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DeTrabalho"/>
  <mc:AlternateContent xmlns:mc="http://schemas.openxmlformats.org/markup-compatibility/2006">
    <mc:Choice Requires="x15">
      <x15ac:absPath xmlns:x15ac="http://schemas.microsoft.com/office/spreadsheetml/2010/11/ac" url="U:\COORC\PESQUISAS DE PREÇOS\2023\00200.004639-2023-11 - Instalação de splits no BL 17\Análise Pregão\Segunda colocada\"/>
    </mc:Choice>
  </mc:AlternateContent>
  <bookViews>
    <workbookView xWindow="-120" yWindow="-120" windowWidth="29040" windowHeight="15720" tabRatio="858" activeTab="3"/>
  </bookViews>
  <sheets>
    <sheet name="Composições" sheetId="5" r:id="rId1"/>
    <sheet name="Comp.Aux1" sheetId="6" r:id="rId2"/>
    <sheet name="Comp.Aux2" sheetId="7" r:id="rId3"/>
    <sheet name="Orçamentária" sheetId="8" r:id="rId4"/>
    <sheet name="BDI" sheetId="9" r:id="rId5"/>
  </sheets>
  <externalReferences>
    <externalReference r:id="rId6"/>
  </externalReferences>
  <definedNames>
    <definedName name="_xlnm._FilterDatabase" localSheetId="1" hidden="1">'Comp.Aux1'!$A$5:$I$643</definedName>
    <definedName name="_xlnm._FilterDatabase" localSheetId="2" hidden="1">'Comp.Aux2'!$A$5:$I$139</definedName>
    <definedName name="_xlnm._FilterDatabase" localSheetId="0" hidden="1">Composições!$A$5:$J$8237</definedName>
    <definedName name="_xlnm._FilterDatabase" localSheetId="3" hidden="1">Orçamentária!$A$5:$J$3492</definedName>
    <definedName name="_xlnm.Print_Area" localSheetId="1">'Comp.Aux1'!$A$1:$G$643</definedName>
    <definedName name="_xlnm.Print_Area" localSheetId="2">'Comp.Aux2'!$A$1:$G$139</definedName>
    <definedName name="_xlnm.Print_Area" localSheetId="0">Composições!$A$1:$H$8237</definedName>
    <definedName name="_xlnm.Print_Area" localSheetId="3">Orçamentária!$A$1:$I$3497</definedName>
    <definedName name="Arial">#REF!</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8" l="1"/>
  <c r="Q3493" i="8" l="1"/>
  <c r="L17" i="9"/>
  <c r="M16" i="9"/>
  <c r="M15" i="9"/>
  <c r="M14" i="9"/>
  <c r="M13" i="9"/>
  <c r="M12" i="9"/>
  <c r="M11" i="9"/>
  <c r="M10" i="9"/>
  <c r="M9" i="9"/>
  <c r="M8" i="9"/>
  <c r="H17" i="9"/>
  <c r="I16" i="9"/>
  <c r="I15" i="9"/>
  <c r="I14" i="9"/>
  <c r="I13" i="9"/>
  <c r="I12" i="9"/>
  <c r="I11" i="9"/>
  <c r="I10" i="9"/>
  <c r="I9" i="9"/>
  <c r="I8" i="9"/>
  <c r="G1" i="9"/>
  <c r="M3230" i="8" l="1"/>
  <c r="M42" i="8" l="1"/>
  <c r="M40" i="8"/>
  <c r="M41" i="8" l="1"/>
  <c r="M51" i="8"/>
  <c r="M48" i="8"/>
  <c r="M45" i="8"/>
  <c r="M33" i="8"/>
  <c r="M32" i="8"/>
  <c r="M1123" i="8"/>
  <c r="M1381" i="8"/>
  <c r="M222" i="8"/>
  <c r="M183" i="8"/>
  <c r="M29" i="8"/>
  <c r="M34" i="8"/>
  <c r="M214" i="8" l="1"/>
  <c r="M198" i="8"/>
  <c r="M918" i="8"/>
  <c r="M1380" i="8"/>
  <c r="M199" i="8"/>
  <c r="M3487" i="8"/>
  <c r="M1131" i="8"/>
  <c r="M223" i="8"/>
  <c r="M184" i="8"/>
  <c r="M164" i="8"/>
  <c r="M2696" i="8"/>
  <c r="M983" i="8"/>
  <c r="M2687" i="8"/>
  <c r="M25" i="8"/>
  <c r="M3250" i="8"/>
  <c r="M3094" i="8"/>
  <c r="M362" i="8"/>
  <c r="M852" i="8"/>
  <c r="M507" i="8"/>
  <c r="M1924" i="8"/>
  <c r="M3098" i="8"/>
  <c r="M360" i="8"/>
  <c r="M569" i="8"/>
  <c r="M1249" i="8"/>
  <c r="M3258" i="8"/>
  <c r="M3096" i="8"/>
  <c r="M849" i="8"/>
  <c r="M2604" i="8"/>
  <c r="M713" i="8"/>
  <c r="M881" i="8"/>
  <c r="M875" i="8"/>
  <c r="M161" i="8"/>
  <c r="M1156" i="8"/>
  <c r="M1928" i="8"/>
  <c r="M2599" i="8"/>
  <c r="M1154" i="8"/>
  <c r="M1253" i="8"/>
  <c r="M579" i="8"/>
  <c r="M721" i="8"/>
  <c r="M1252" i="8"/>
  <c r="M915" i="8"/>
  <c r="M1926" i="8"/>
  <c r="M252" i="8"/>
  <c r="M1257" i="8"/>
  <c r="M1159" i="8"/>
  <c r="M974" i="8"/>
  <c r="M885" i="8"/>
  <c r="M367" i="8"/>
  <c r="M31" i="8"/>
  <c r="M571" i="8"/>
  <c r="M1920" i="8"/>
  <c r="M160" i="8"/>
  <c r="M856" i="8"/>
  <c r="M1815" i="8"/>
  <c r="M2902" i="8"/>
  <c r="M3260" i="8"/>
  <c r="M3234" i="8"/>
  <c r="M897" i="8"/>
  <c r="M3249" i="8"/>
  <c r="M853" i="8"/>
  <c r="M874" i="8"/>
  <c r="M2096" i="8"/>
  <c r="M2598" i="8"/>
  <c r="M1275" i="8"/>
  <c r="M122" i="8"/>
  <c r="M876" i="8"/>
  <c r="M505" i="8"/>
  <c r="M1921" i="8"/>
  <c r="M873" i="8"/>
  <c r="M2684" i="8"/>
  <c r="M718" i="8"/>
  <c r="M3251" i="8"/>
  <c r="M366" i="8"/>
  <c r="M519" i="8"/>
  <c r="M583" i="8"/>
  <c r="M517" i="8"/>
  <c r="M1391" i="8"/>
  <c r="M253" i="8"/>
  <c r="M3257" i="8"/>
  <c r="M46" i="8"/>
  <c r="M1255" i="8"/>
  <c r="M1922" i="8"/>
  <c r="M3225" i="8"/>
  <c r="M914" i="8"/>
  <c r="M190" i="8"/>
  <c r="M570" i="8"/>
  <c r="M1040" i="8"/>
  <c r="M3259" i="8"/>
  <c r="M956" i="8"/>
  <c r="M859" i="8"/>
  <c r="M957" i="8"/>
  <c r="M716" i="8"/>
  <c r="M872" i="8"/>
  <c r="M975" i="8"/>
  <c r="M143" i="8"/>
  <c r="M1073" i="8"/>
  <c r="M962" i="8"/>
  <c r="M313" i="8"/>
  <c r="M228" i="8"/>
  <c r="M719" i="8"/>
  <c r="M1041" i="8"/>
  <c r="M965" i="8"/>
  <c r="M883" i="8"/>
  <c r="M2623" i="8"/>
  <c r="M2622" i="8"/>
  <c r="M3095" i="8"/>
  <c r="M298" i="8"/>
  <c r="M375" i="8"/>
  <c r="M314" i="8"/>
  <c r="M3092" i="8"/>
  <c r="M131" i="8"/>
  <c r="M23" i="8"/>
  <c r="M1143" i="8"/>
  <c r="M11" i="8"/>
  <c r="M1248" i="8"/>
  <c r="M508" i="8"/>
  <c r="M1817" i="8"/>
  <c r="M370" i="8"/>
  <c r="M1190" i="8"/>
  <c r="M870" i="8"/>
  <c r="M123" i="8"/>
  <c r="M2597" i="8"/>
  <c r="M1238" i="8"/>
  <c r="M3371" i="8"/>
  <c r="M2100" i="8"/>
  <c r="M1044" i="8"/>
  <c r="M159" i="8"/>
  <c r="M1254" i="8"/>
  <c r="M1182" i="8"/>
  <c r="M518" i="8"/>
  <c r="M1042" i="8"/>
  <c r="M1130" i="8"/>
  <c r="M3380" i="8"/>
  <c r="M866" i="8"/>
  <c r="M880" i="8"/>
  <c r="M2900" i="8"/>
  <c r="M35" i="8"/>
  <c r="M166" i="8"/>
  <c r="M1045" i="8"/>
  <c r="M516" i="8"/>
  <c r="M3228" i="8"/>
  <c r="M512" i="8"/>
  <c r="M851" i="8"/>
  <c r="M1017" i="8"/>
  <c r="M3261" i="8"/>
  <c r="M2686" i="8"/>
  <c r="M1260" i="8"/>
  <c r="M514" i="8"/>
  <c r="M715" i="8"/>
  <c r="M3097" i="8"/>
  <c r="M1107" i="8"/>
  <c r="M1819" i="8"/>
  <c r="M1301" i="8"/>
  <c r="M2694" i="8"/>
  <c r="M722" i="8"/>
  <c r="M988" i="8"/>
  <c r="M62" i="8"/>
  <c r="M515" i="8"/>
  <c r="M932" i="8"/>
  <c r="M857" i="8"/>
  <c r="M1038" i="8"/>
  <c r="M916" i="8"/>
  <c r="M900" i="8"/>
  <c r="M1142" i="8"/>
  <c r="M1270" i="8"/>
  <c r="M1930" i="8"/>
  <c r="M276" i="8"/>
  <c r="M2616" i="8"/>
  <c r="M506" i="8"/>
  <c r="M1144" i="8"/>
  <c r="M858" i="8"/>
  <c r="M981" i="8"/>
  <c r="M3235" i="8"/>
  <c r="M1172" i="8"/>
  <c r="M923" i="8"/>
  <c r="M964" i="8"/>
  <c r="M156" i="8"/>
  <c r="M125" i="8"/>
  <c r="M316" i="8"/>
  <c r="M1283" i="8"/>
  <c r="M2384" i="8"/>
  <c r="M855" i="8"/>
  <c r="M1812" i="8"/>
  <c r="M154" i="8"/>
  <c r="M249" i="8"/>
  <c r="M2991" i="8"/>
  <c r="M1251" i="8"/>
  <c r="M567" i="8"/>
  <c r="M1074" i="8"/>
  <c r="M3283" i="8"/>
  <c r="M982" i="8"/>
  <c r="M12" i="8"/>
  <c r="M3263" i="8"/>
  <c r="M977" i="8"/>
  <c r="M1276" i="8"/>
  <c r="M1043" i="8"/>
  <c r="M884" i="8"/>
  <c r="M917" i="8"/>
  <c r="M3358" i="8"/>
  <c r="M22" i="8"/>
  <c r="M513" i="8"/>
  <c r="M1289" i="8"/>
  <c r="M3392" i="8"/>
  <c r="M3227" i="8"/>
  <c r="M947" i="8"/>
  <c r="M1818" i="8"/>
  <c r="M992" i="8"/>
  <c r="M2685" i="8"/>
  <c r="M277" i="8"/>
  <c r="M899" i="8"/>
  <c r="M509" i="8"/>
  <c r="M3220" i="8"/>
  <c r="M1814" i="8"/>
  <c r="M3368" i="8"/>
  <c r="M961" i="8"/>
  <c r="M1336" i="8"/>
  <c r="M333" i="8"/>
  <c r="M1183" i="8"/>
  <c r="M1250" i="8"/>
  <c r="M1813" i="8"/>
  <c r="M871" i="8"/>
  <c r="M1816" i="8"/>
  <c r="M1178" i="8"/>
  <c r="M124" i="8"/>
  <c r="M1148" i="8"/>
  <c r="M359" i="8"/>
  <c r="M3090" i="8"/>
  <c r="M299" i="8"/>
  <c r="M3089" i="8"/>
  <c r="M24" i="8"/>
  <c r="M1118" i="8"/>
  <c r="M1923" i="8"/>
  <c r="M1039" i="8"/>
  <c r="M1109" i="8"/>
  <c r="M315" i="8"/>
  <c r="M3050" i="8"/>
  <c r="M1322" i="8"/>
  <c r="M113" i="8" l="1"/>
  <c r="M208" i="8"/>
  <c r="M369" i="8"/>
  <c r="M368" i="8"/>
  <c r="M342" i="8"/>
  <c r="M114" i="8"/>
  <c r="M979" i="8"/>
  <c r="M1075" i="8"/>
  <c r="M340" i="8"/>
  <c r="M1081" i="8"/>
  <c r="M212" i="8"/>
  <c r="M336" i="8"/>
  <c r="M207" i="8"/>
  <c r="M191" i="8"/>
  <c r="M364" i="8"/>
  <c r="M1291" i="8"/>
  <c r="M188" i="8"/>
  <c r="M189" i="8"/>
  <c r="M1353" i="8"/>
  <c r="M1337" i="8"/>
  <c r="M1354" i="8"/>
  <c r="M1288" i="8"/>
  <c r="M231" i="8"/>
  <c r="M136" i="8"/>
  <c r="M2869" i="8"/>
  <c r="M302" i="8"/>
  <c r="M1420" i="8"/>
  <c r="M1177" i="8"/>
  <c r="M152" i="8"/>
  <c r="M1037" i="8"/>
  <c r="M588" i="8"/>
  <c r="M2613" i="8"/>
  <c r="M935" i="8"/>
  <c r="M1181" i="8"/>
  <c r="M81" i="8"/>
  <c r="M3311" i="8"/>
  <c r="M158" i="8"/>
  <c r="M1133" i="8"/>
  <c r="M150" i="8"/>
  <c r="M146" i="8"/>
  <c r="M3383" i="8"/>
  <c r="M2683" i="8"/>
  <c r="M939" i="8"/>
  <c r="M2725" i="8"/>
  <c r="M3018" i="8"/>
  <c r="M1126" i="8"/>
  <c r="M1166" i="8"/>
  <c r="M717" i="8"/>
  <c r="M511" i="8"/>
  <c r="M568" i="8"/>
  <c r="M720" i="8"/>
  <c r="M421" i="8"/>
  <c r="M1274" i="8"/>
  <c r="M1356" i="8"/>
  <c r="M1423" i="8"/>
  <c r="M3262" i="8"/>
  <c r="M377" i="8"/>
  <c r="M38" i="8"/>
  <c r="M2876" i="8"/>
  <c r="M2938" i="8"/>
  <c r="M134" i="8"/>
  <c r="M27" i="8"/>
  <c r="M1886" i="8"/>
  <c r="M2908" i="8"/>
  <c r="M3264" i="8"/>
  <c r="M3024" i="8"/>
  <c r="M3427" i="8"/>
  <c r="M1421" i="8"/>
  <c r="M1116" i="8"/>
  <c r="M1876" i="8"/>
  <c r="M1184" i="8"/>
  <c r="M3267" i="8"/>
  <c r="M75" i="8"/>
  <c r="M371" i="8"/>
  <c r="M3247" i="8"/>
  <c r="M80" i="8"/>
  <c r="M1873" i="8"/>
  <c r="M1361" i="8"/>
  <c r="M1424" i="8"/>
  <c r="M3093" i="8"/>
  <c r="M941" i="8"/>
  <c r="M581" i="8"/>
  <c r="M2923" i="8"/>
  <c r="M1210" i="8"/>
  <c r="M1422" i="8"/>
  <c r="M85" i="8"/>
  <c r="M3379" i="8"/>
  <c r="M194" i="8"/>
  <c r="M2695" i="8"/>
  <c r="M78" i="8"/>
  <c r="M2603" i="8"/>
  <c r="M2753" i="8"/>
  <c r="M26" i="8"/>
  <c r="M21" i="8"/>
  <c r="M135" i="8"/>
  <c r="M3426" i="8"/>
  <c r="M1019" i="8"/>
  <c r="M577" i="8"/>
  <c r="M576" i="8"/>
  <c r="M2936" i="8"/>
  <c r="M585" i="8"/>
  <c r="M3026" i="8"/>
  <c r="M47" i="8"/>
  <c r="M1278" i="8"/>
  <c r="M477" i="8"/>
  <c r="M584" i="8"/>
  <c r="M2618" i="8"/>
  <c r="M84" i="8"/>
  <c r="M3211" i="8"/>
  <c r="M1160" i="8"/>
  <c r="M317" i="8"/>
  <c r="M1410" i="8"/>
  <c r="M1499" i="8"/>
  <c r="M920" i="8"/>
  <c r="M3038" i="8"/>
  <c r="M3424" i="8"/>
  <c r="M241" i="8"/>
  <c r="M3091" i="8"/>
  <c r="M99" i="8"/>
  <c r="M2816" i="8"/>
  <c r="M913" i="8"/>
  <c r="M213" i="8"/>
  <c r="M587" i="8"/>
  <c r="M329" i="8"/>
  <c r="M2722" i="8"/>
  <c r="M3434" i="8"/>
  <c r="M572" i="8"/>
  <c r="M1419" i="8"/>
  <c r="M1872" i="8"/>
  <c r="M355" i="8"/>
  <c r="M963" i="8"/>
  <c r="M2814" i="8"/>
  <c r="M3236" i="8"/>
  <c r="M175" i="8"/>
  <c r="M3433" i="8"/>
  <c r="M2907" i="8"/>
  <c r="M1874" i="8"/>
  <c r="M476" i="8"/>
  <c r="M473" i="8"/>
  <c r="M3237" i="8"/>
  <c r="M43" i="8"/>
  <c r="M2812" i="8"/>
  <c r="M3137" i="8"/>
  <c r="M2742" i="8"/>
  <c r="M219" i="8"/>
  <c r="M17" i="8"/>
  <c r="M1409" i="8"/>
  <c r="M3025" i="8"/>
  <c r="M2905" i="8"/>
  <c r="M133" i="8"/>
  <c r="M1413" i="8"/>
  <c r="M39" i="8"/>
  <c r="M1427" i="8"/>
  <c r="M174" i="8"/>
  <c r="M44" i="8"/>
  <c r="M2757" i="8"/>
  <c r="M1607" i="8"/>
  <c r="M1425" i="8"/>
  <c r="M3349" i="8"/>
  <c r="M3212" i="8"/>
  <c r="M1146" i="8"/>
  <c r="M1300" i="8"/>
  <c r="M185" i="8"/>
  <c r="M201" i="8"/>
  <c r="M1396" i="8"/>
  <c r="M1416" i="8"/>
  <c r="M1110" i="8"/>
  <c r="M2877" i="8"/>
  <c r="M1415" i="8"/>
  <c r="M714" i="8"/>
  <c r="M1286" i="8"/>
  <c r="M582" i="8"/>
  <c r="M2868" i="8"/>
  <c r="M36" i="8"/>
  <c r="M1333" i="8"/>
  <c r="M1426" i="8"/>
  <c r="M3460" i="8"/>
  <c r="M1417" i="8"/>
  <c r="M1888" i="8"/>
  <c r="M345" i="8"/>
  <c r="M2315" i="8"/>
  <c r="M2813" i="8"/>
  <c r="M1231" i="8"/>
  <c r="M3480" i="8"/>
  <c r="M2333" i="8"/>
  <c r="M1065" i="8"/>
  <c r="M1241" i="8"/>
  <c r="M2088" i="8"/>
  <c r="M205" i="8"/>
  <c r="M1880" i="8"/>
  <c r="M494" i="8"/>
  <c r="M580" i="8"/>
  <c r="M2612" i="8"/>
  <c r="M991" i="8"/>
  <c r="M919" i="8"/>
  <c r="M1493" i="8"/>
  <c r="M2906" i="8"/>
  <c r="M2617" i="8"/>
  <c r="M1408" i="8"/>
  <c r="M92" i="8"/>
  <c r="M2087" i="8"/>
  <c r="M937" i="8"/>
  <c r="M1418" i="8"/>
  <c r="M1189" i="8"/>
  <c r="M1884" i="8"/>
  <c r="M933" i="8"/>
  <c r="M93" i="8"/>
  <c r="M2368" i="8"/>
  <c r="M3367" i="8"/>
  <c r="M1368" i="8"/>
  <c r="M37" i="8"/>
  <c r="M346" i="8"/>
  <c r="M1046" i="8"/>
  <c r="M2937" i="8"/>
  <c r="M2870" i="8"/>
  <c r="M50" i="8"/>
  <c r="M938" i="8"/>
  <c r="M28" i="8"/>
  <c r="M940" i="8"/>
  <c r="M153" i="8"/>
  <c r="M3035" i="8" l="1"/>
  <c r="M2299" i="8"/>
  <c r="M2894" i="8"/>
  <c r="M3304" i="8"/>
  <c r="M3319" i="8"/>
  <c r="M3461" i="8"/>
  <c r="M1224" i="8"/>
  <c r="M3336" i="8"/>
  <c r="M1018" i="8"/>
  <c r="M750" i="8"/>
  <c r="M3345" i="8"/>
  <c r="M495" i="8"/>
  <c r="M1103" i="8"/>
  <c r="M3382" i="8"/>
  <c r="M834" i="8"/>
  <c r="M3117" i="8"/>
  <c r="M179" i="8"/>
  <c r="M3439" i="8"/>
  <c r="M1211" i="8"/>
  <c r="M3295" i="8"/>
  <c r="M1831" i="8"/>
  <c r="M3045" i="8"/>
  <c r="M216" i="8"/>
  <c r="M1572" i="8"/>
  <c r="M3309" i="8"/>
  <c r="M1367" i="8"/>
  <c r="M2853" i="8"/>
  <c r="M566" i="8"/>
  <c r="M3333" i="8"/>
  <c r="M3100" i="8"/>
  <c r="M414" i="8"/>
  <c r="M3407" i="8"/>
  <c r="M1119" i="8"/>
  <c r="M1842" i="8"/>
  <c r="M2255" i="8"/>
  <c r="M3022" i="8"/>
  <c r="M1577" i="8"/>
  <c r="M2819" i="8"/>
  <c r="M3421" i="8"/>
  <c r="M3351" i="8"/>
  <c r="M200" i="8"/>
  <c r="M2883" i="8"/>
  <c r="M2904" i="8"/>
  <c r="M1098" i="8"/>
  <c r="M1124" i="8"/>
  <c r="M820" i="8"/>
  <c r="M2926" i="8"/>
  <c r="M2981" i="8"/>
  <c r="M501" i="8"/>
  <c r="M3318" i="8"/>
  <c r="M3266" i="8"/>
  <c r="M3037" i="8"/>
  <c r="M3330" i="8"/>
  <c r="M3313" i="8"/>
  <c r="M3381" i="8"/>
  <c r="M2081" i="8"/>
  <c r="M151" i="8"/>
  <c r="M1099" i="8"/>
  <c r="M1147" i="8"/>
  <c r="M2858" i="8"/>
  <c r="M3164" i="8"/>
  <c r="M3462" i="8"/>
  <c r="M2335" i="8"/>
  <c r="M1285" i="8"/>
  <c r="M1271" i="8"/>
  <c r="M2927" i="8"/>
  <c r="M3310" i="8"/>
  <c r="M2875" i="8"/>
  <c r="M3395" i="8"/>
  <c r="M1165" i="8"/>
  <c r="M196" i="8"/>
  <c r="M3030" i="8"/>
  <c r="M3485" i="8"/>
  <c r="M448" i="8"/>
  <c r="M1240" i="8"/>
  <c r="M1083" i="8"/>
  <c r="M1129" i="8"/>
  <c r="M3449" i="8"/>
  <c r="M2832" i="8"/>
  <c r="M3301" i="8"/>
  <c r="M846" i="8"/>
  <c r="M3029" i="8"/>
  <c r="M1843" i="8"/>
  <c r="M420" i="8"/>
  <c r="M2901" i="8"/>
  <c r="M3464" i="8"/>
  <c r="M1115" i="8"/>
  <c r="M1145" i="8"/>
  <c r="M833" i="8"/>
  <c r="M2891" i="8"/>
  <c r="M204" i="8"/>
  <c r="M2806" i="8"/>
  <c r="M3414" i="8"/>
  <c r="M3346" i="8"/>
  <c r="M3011" i="8"/>
  <c r="M211" i="8"/>
  <c r="M3408" i="8"/>
  <c r="M1949" i="8"/>
  <c r="M3360" i="8"/>
  <c r="M1575" i="8"/>
  <c r="M886" i="8"/>
  <c r="M3300" i="8"/>
  <c r="M2855" i="8"/>
  <c r="M2912" i="8"/>
  <c r="M2815" i="8"/>
  <c r="M218" i="8"/>
  <c r="M1894" i="8"/>
  <c r="M2911" i="8"/>
  <c r="M2859" i="8"/>
  <c r="M1863" i="8"/>
  <c r="M3375" i="8"/>
  <c r="M850" i="8"/>
  <c r="M3003" i="8"/>
  <c r="M3020" i="8"/>
  <c r="M2783" i="8"/>
  <c r="M15" i="8"/>
  <c r="M2831" i="8"/>
  <c r="M2884" i="8"/>
  <c r="M777" i="8"/>
  <c r="M2873" i="8"/>
  <c r="M2854" i="8"/>
  <c r="M751" i="8"/>
  <c r="M2996" i="8"/>
  <c r="M3048" i="8"/>
  <c r="M127" i="8"/>
  <c r="M1414" i="8"/>
  <c r="M2099" i="8"/>
  <c r="M562" i="8"/>
  <c r="M2984" i="8"/>
  <c r="M2295" i="8"/>
  <c r="M3033" i="8"/>
  <c r="M3222" i="8"/>
  <c r="M2765" i="8"/>
  <c r="M2892" i="8"/>
  <c r="M2104" i="8"/>
  <c r="M3396" i="8"/>
  <c r="M3299" i="8"/>
  <c r="M3423" i="8"/>
  <c r="M1605" i="8"/>
  <c r="M2985" i="8"/>
  <c r="M1891" i="8"/>
  <c r="M1933" i="8"/>
  <c r="M496" i="8"/>
  <c r="M1885" i="8"/>
  <c r="M2930" i="8"/>
  <c r="M2736" i="8"/>
  <c r="M1864" i="8"/>
  <c r="M987" i="8"/>
  <c r="M993" i="8"/>
  <c r="M3308" i="8"/>
  <c r="M1846" i="8"/>
  <c r="M1546" i="8"/>
  <c r="M182" i="8"/>
  <c r="M3332" i="8"/>
  <c r="M2940" i="8"/>
  <c r="M1357" i="8"/>
  <c r="M1174" i="8"/>
  <c r="M2934" i="8"/>
  <c r="M3353" i="8"/>
  <c r="M2880" i="8"/>
  <c r="M2747" i="8"/>
  <c r="M3031" i="8"/>
  <c r="M372" i="8"/>
  <c r="M3393" i="8"/>
  <c r="M2740" i="8"/>
  <c r="M3302" i="8"/>
  <c r="M1179" i="8"/>
  <c r="M2818" i="8"/>
  <c r="M3446" i="8"/>
  <c r="M1866" i="8"/>
  <c r="M1576" i="8"/>
  <c r="M3419" i="8"/>
  <c r="M1548" i="8"/>
  <c r="M1568" i="8"/>
  <c r="M2897" i="8"/>
  <c r="M1570" i="8"/>
  <c r="M952" i="8"/>
  <c r="M2504" i="8"/>
  <c r="M2890" i="8"/>
  <c r="M1273" i="8"/>
  <c r="M2993" i="8"/>
  <c r="M3342" i="8"/>
  <c r="M3361" i="8"/>
  <c r="M3316" i="8"/>
  <c r="M2606" i="8"/>
  <c r="M3043" i="8"/>
  <c r="M510" i="8"/>
  <c r="M3442" i="8"/>
  <c r="M3352" i="8"/>
  <c r="M3455" i="8"/>
  <c r="M3376" i="8"/>
  <c r="M2752" i="8"/>
  <c r="M3101" i="8"/>
  <c r="M3329" i="8"/>
  <c r="M3413" i="8"/>
  <c r="M2881" i="8"/>
  <c r="M927" i="8"/>
  <c r="M1094" i="8"/>
  <c r="M1102" i="8"/>
  <c r="M16" i="8"/>
  <c r="M1097" i="8"/>
  <c r="M2872" i="8"/>
  <c r="M3377" i="8"/>
  <c r="M3403" i="8"/>
  <c r="M3466" i="8"/>
  <c r="M1848" i="8"/>
  <c r="M173" i="8"/>
  <c r="M2735" i="8"/>
  <c r="M105" i="8"/>
  <c r="M341" i="8"/>
  <c r="M2878" i="8"/>
  <c r="M1882" i="8"/>
  <c r="M3397" i="8"/>
  <c r="M268" i="8"/>
  <c r="M1113" i="8"/>
  <c r="M3327" i="8"/>
  <c r="M2857" i="8"/>
  <c r="M3404" i="8"/>
  <c r="M118" i="8"/>
  <c r="M3040" i="8"/>
  <c r="M1889" i="8"/>
  <c r="M1132" i="8"/>
  <c r="M973" i="8"/>
  <c r="M969" i="8"/>
  <c r="M1169" i="8"/>
  <c r="M2995" i="8"/>
  <c r="M1897" i="8"/>
  <c r="M3405" i="8"/>
  <c r="M215" i="8"/>
  <c r="M2982" i="8"/>
  <c r="M3409" i="8"/>
  <c r="M1905" i="8"/>
  <c r="M1230" i="8"/>
  <c r="M1606" i="8"/>
  <c r="M3412" i="8"/>
  <c r="M155" i="8"/>
  <c r="M1887" i="8"/>
  <c r="M3372" i="8"/>
  <c r="M1907" i="8"/>
  <c r="M3399" i="8"/>
  <c r="M3365" i="8"/>
  <c r="M1890" i="8"/>
  <c r="M412" i="8"/>
  <c r="M3306" i="8"/>
  <c r="M3398" i="8"/>
  <c r="M3386" i="8"/>
  <c r="M564" i="8"/>
  <c r="M2825" i="8"/>
  <c r="M383" i="8"/>
  <c r="M1389" i="8"/>
  <c r="M928" i="8"/>
  <c r="M2932" i="8"/>
  <c r="M3428" i="8"/>
  <c r="M3465" i="8"/>
  <c r="M1903" i="8"/>
  <c r="M2829" i="8"/>
  <c r="M220" i="8"/>
  <c r="M499" i="8"/>
  <c r="M1833" i="8"/>
  <c r="M3014" i="8"/>
  <c r="M586" i="8"/>
  <c r="M163" i="8"/>
  <c r="M195" i="8"/>
  <c r="M1906" i="8"/>
  <c r="M1837" i="8"/>
  <c r="M2608" i="8"/>
  <c r="M3172" i="8"/>
  <c r="M3019" i="8"/>
  <c r="M578" i="8"/>
  <c r="M3350" i="8"/>
  <c r="M109" i="8"/>
  <c r="M331" i="8"/>
  <c r="M3339" i="8"/>
  <c r="M3320" i="8"/>
  <c r="M2217" i="8"/>
  <c r="M3338" i="8"/>
  <c r="M1138" i="8"/>
  <c r="M1573" i="8"/>
  <c r="M774" i="8"/>
  <c r="M1569" i="8"/>
  <c r="M971" i="8"/>
  <c r="M2822" i="8"/>
  <c r="M3448" i="8"/>
  <c r="M854" i="8"/>
  <c r="M3307" i="8"/>
  <c r="M1093" i="8"/>
  <c r="M3305" i="8"/>
  <c r="M1036" i="8"/>
  <c r="M419" i="8"/>
  <c r="M330" i="8"/>
  <c r="M3296" i="8"/>
  <c r="M2931" i="8"/>
  <c r="M3004" i="8"/>
  <c r="M3444" i="8"/>
  <c r="M1852" i="8"/>
  <c r="M260" i="8"/>
  <c r="M3388" i="8"/>
  <c r="M1847" i="8"/>
  <c r="M3355" i="8"/>
  <c r="M723" i="8"/>
  <c r="M2724" i="8"/>
  <c r="M1393" i="8"/>
  <c r="M2879" i="8"/>
  <c r="M2830" i="8"/>
  <c r="M1120" i="8"/>
  <c r="M1206" i="8"/>
  <c r="M3406" i="8"/>
  <c r="M259" i="8"/>
  <c r="M2990" i="8"/>
  <c r="M1951" i="8"/>
  <c r="M2882" i="8"/>
  <c r="M3384" i="8"/>
  <c r="M3356" i="8"/>
  <c r="M1341" i="8"/>
  <c r="M3027" i="8"/>
  <c r="M2909" i="8"/>
  <c r="M2219" i="8"/>
  <c r="M3303" i="8"/>
  <c r="M3420" i="8"/>
  <c r="M989" i="8"/>
  <c r="M1867" i="8"/>
  <c r="M1219" i="8"/>
  <c r="M3422" i="8"/>
  <c r="M3248" i="8"/>
  <c r="M3036" i="8"/>
  <c r="M1114" i="8"/>
  <c r="M1896" i="8"/>
  <c r="M373" i="8"/>
  <c r="M1839" i="8"/>
  <c r="M1836" i="8"/>
  <c r="M1904" i="8"/>
  <c r="M3400" i="8"/>
  <c r="M3390" i="8"/>
  <c r="M1574" i="8"/>
  <c r="M2708" i="8"/>
  <c r="M269" i="8"/>
  <c r="M2750" i="8"/>
  <c r="M1900" i="8"/>
  <c r="M410" i="8"/>
  <c r="M145" i="8"/>
  <c r="M3347" i="8"/>
  <c r="M1547" i="8"/>
  <c r="M1077" i="8"/>
  <c r="M3219" i="8"/>
  <c r="M3314" i="8"/>
  <c r="M413" i="8"/>
  <c r="M3298" i="8"/>
  <c r="M1608" i="8"/>
  <c r="M3341" i="8"/>
  <c r="M2910" i="8"/>
  <c r="M503" i="8"/>
  <c r="M2789" i="8"/>
  <c r="M3042" i="8"/>
  <c r="M1902" i="8"/>
  <c r="M1122" i="8"/>
  <c r="M1374" i="8"/>
  <c r="M2874" i="8"/>
  <c r="M2886" i="8"/>
  <c r="M1854" i="8"/>
  <c r="M1552" i="8"/>
  <c r="M475" i="8"/>
  <c r="M1095" i="8"/>
  <c r="M54" i="8"/>
  <c r="M3362" i="8"/>
  <c r="M328" i="8"/>
  <c r="M2895" i="8"/>
  <c r="M2871" i="8"/>
  <c r="M597" i="8"/>
  <c r="M90" i="8"/>
  <c r="M3435" i="8"/>
  <c r="M3335" i="8"/>
  <c r="M192" i="8"/>
  <c r="M955" i="8"/>
  <c r="M2394" i="8"/>
  <c r="M929" i="8"/>
  <c r="M3294" i="8"/>
  <c r="M3348" i="8"/>
  <c r="M217" i="8"/>
  <c r="M3047" i="8"/>
  <c r="M1571" i="8"/>
  <c r="M3343" i="8"/>
  <c r="M265" i="8"/>
  <c r="M3046" i="8"/>
  <c r="M2992" i="8"/>
  <c r="M1348" i="8"/>
  <c r="M1861" i="8"/>
  <c r="M2828" i="8"/>
  <c r="M3255" i="8"/>
  <c r="M3340" i="8"/>
  <c r="M3411" i="8"/>
  <c r="M1170" i="8"/>
  <c r="M1125" i="8"/>
  <c r="M1087" i="8"/>
  <c r="M3359" i="8"/>
  <c r="M2817" i="8"/>
  <c r="M3378" i="8"/>
  <c r="M3354" i="8"/>
  <c r="M1006" i="8"/>
  <c r="M3441" i="8"/>
  <c r="M178" i="8"/>
  <c r="M19" i="8"/>
  <c r="M3028" i="8"/>
  <c r="M3322" i="8"/>
  <c r="M1953" i="8"/>
  <c r="M3437" i="8"/>
  <c r="M3468" i="8"/>
  <c r="M1868" i="8"/>
  <c r="M1360" i="8"/>
  <c r="M2290" i="8"/>
  <c r="M3051" i="8"/>
  <c r="M995" i="8"/>
  <c r="M1566" i="8"/>
  <c r="M2593" i="8"/>
  <c r="M3389" i="8"/>
  <c r="M348" i="8"/>
  <c r="M3034" i="8"/>
  <c r="M593" i="8"/>
  <c r="M3370" i="8"/>
  <c r="M3337" i="8"/>
  <c r="M3453" i="8"/>
  <c r="M1272" i="8"/>
  <c r="M1034" i="8"/>
  <c r="M931" i="8"/>
  <c r="M3357" i="8"/>
  <c r="M162" i="8"/>
  <c r="M3254" i="8"/>
  <c r="M1895" i="8"/>
  <c r="M2975" i="8"/>
  <c r="M1551" i="8"/>
  <c r="M3315" i="8"/>
  <c r="M3328" i="8"/>
  <c r="M1871" i="8"/>
  <c r="M3049" i="8"/>
  <c r="M264" i="8"/>
  <c r="M3053" i="8"/>
  <c r="M1869" i="8"/>
  <c r="M1176" i="8"/>
  <c r="M3451" i="8"/>
  <c r="M3208" i="8"/>
  <c r="M177" i="8"/>
  <c r="M845" i="8"/>
  <c r="M953" i="8"/>
  <c r="M3012" i="8"/>
  <c r="M3324" i="8"/>
  <c r="M2824" i="8"/>
  <c r="M1834" i="8"/>
  <c r="M3321" i="8"/>
  <c r="M1412" i="8"/>
  <c r="M1841" i="8"/>
  <c r="M3456" i="8"/>
  <c r="M3415" i="8"/>
  <c r="M3416" i="8"/>
  <c r="M1878" i="8"/>
  <c r="M3479" i="8"/>
  <c r="M3394" i="8"/>
  <c r="M2334" i="8"/>
  <c r="M2979" i="8"/>
  <c r="M1849" i="8"/>
  <c r="M224" i="8"/>
  <c r="M2994" i="8"/>
  <c r="M2924" i="8"/>
  <c r="M1071" i="8"/>
  <c r="M3041" i="8"/>
  <c r="M3418" i="8"/>
  <c r="M1347" i="8"/>
  <c r="M283" i="8"/>
  <c r="M3401" i="8"/>
  <c r="M733" i="8"/>
  <c r="M472" i="8"/>
  <c r="M257" i="8"/>
  <c r="M2823" i="8"/>
  <c r="M3116" i="8"/>
  <c r="M2744" i="8"/>
  <c r="M1856" i="8"/>
  <c r="M56" i="8"/>
  <c r="M3032" i="8"/>
  <c r="M18" i="8"/>
  <c r="M3226" i="8"/>
  <c r="M1293" i="8"/>
  <c r="M181" i="8"/>
  <c r="M121" i="8"/>
  <c r="M2898" i="8"/>
  <c r="M3417" i="8"/>
  <c r="M1155" i="8"/>
  <c r="M186" i="8"/>
  <c r="M1829" i="8"/>
  <c r="M2821" i="8"/>
  <c r="M1893" i="8"/>
  <c r="M1128" i="8"/>
  <c r="M2945" i="8"/>
  <c r="M1851" i="8"/>
  <c r="M2893" i="8"/>
  <c r="M1604" i="8"/>
  <c r="M2887" i="8"/>
  <c r="M202" i="8"/>
  <c r="M2948" i="8"/>
  <c r="M238" i="8"/>
  <c r="M1838" i="8"/>
  <c r="M3410" i="8"/>
  <c r="M819" i="8"/>
  <c r="M3002" i="8"/>
  <c r="M1175" i="8"/>
  <c r="M98" i="8"/>
  <c r="M1545" i="8"/>
  <c r="M10" i="8"/>
  <c r="M1137" i="8"/>
  <c r="M88" i="8"/>
  <c r="M1066" i="8"/>
  <c r="M3325" i="8"/>
  <c r="M2218" i="8"/>
  <c r="M2885" i="8"/>
  <c r="M985" i="8"/>
  <c r="M1267" i="8"/>
  <c r="M3373" i="8"/>
  <c r="M1859" i="8"/>
  <c r="M2899" i="8"/>
  <c r="M3463" i="8"/>
  <c r="M3240" i="8"/>
  <c r="M2980" i="8"/>
  <c r="M1411" i="8"/>
  <c r="M3391" i="8"/>
  <c r="M347" i="8"/>
  <c r="M3374" i="8"/>
  <c r="M3369" i="8"/>
  <c r="M3387" i="8"/>
  <c r="M193" i="8"/>
  <c r="M2861" i="8"/>
  <c r="M416" i="8"/>
  <c r="M3185" i="8"/>
  <c r="M3385" i="8"/>
  <c r="M2729" i="8"/>
  <c r="M3044" i="8"/>
  <c r="M1832" i="8"/>
  <c r="M2946" i="8"/>
  <c r="M1954" i="8"/>
  <c r="M2860" i="8"/>
  <c r="M3013" i="8"/>
  <c r="M775" i="8"/>
  <c r="M3326" i="8"/>
  <c r="M1284" i="8"/>
  <c r="M1899" i="8"/>
  <c r="M2833" i="8"/>
  <c r="M351" i="8"/>
  <c r="M2929" i="8"/>
  <c r="M1549" i="8"/>
  <c r="M1294" i="8"/>
  <c r="M3052" i="8"/>
  <c r="M2933" i="8"/>
  <c r="M3317" i="8"/>
  <c r="M1088" i="8"/>
  <c r="M1892" i="8"/>
  <c r="M1035" i="8"/>
  <c r="M3366" i="8"/>
  <c r="M3331" i="8"/>
  <c r="M3363" i="8"/>
  <c r="M1121" i="8"/>
  <c r="M3039" i="8"/>
  <c r="M240" i="8"/>
  <c r="M3364" i="8"/>
  <c r="M1898" i="8"/>
  <c r="M945" i="8"/>
  <c r="M3297" i="8"/>
  <c r="M3402" i="8"/>
  <c r="M2748" i="8"/>
  <c r="M3323" i="8"/>
  <c r="M3344" i="8"/>
  <c r="M3469" i="8"/>
  <c r="M53" i="8"/>
  <c r="M3312" i="8"/>
  <c r="M2820" i="8"/>
  <c r="M2896" i="8"/>
  <c r="M1853" i="8"/>
  <c r="M103" i="8"/>
  <c r="M3334" i="8"/>
  <c r="M742" i="8"/>
  <c r="M126" i="8"/>
  <c r="M3001" i="8"/>
  <c r="M2978" i="8"/>
  <c r="M2697" i="8"/>
  <c r="M1844" i="8"/>
  <c r="M1862" i="8"/>
  <c r="M1858" i="8"/>
  <c r="M958" i="8"/>
  <c r="M1180" i="8"/>
  <c r="M1901" i="8"/>
  <c r="M374" i="8" l="1"/>
  <c r="M1366" i="8"/>
  <c r="M1290" i="8"/>
  <c r="M226" i="8"/>
  <c r="M3270" i="8"/>
  <c r="M3271" i="8"/>
  <c r="M197" i="8"/>
  <c r="M343" i="8"/>
  <c r="M229" i="8"/>
  <c r="M209" i="8"/>
  <c r="M1355" i="8"/>
  <c r="M3269" i="8"/>
  <c r="M106" i="8"/>
  <c r="M116" i="8"/>
  <c r="M1163" i="8"/>
  <c r="M210" i="8"/>
  <c r="M128" i="8"/>
  <c r="M230" i="8"/>
  <c r="M117" i="8"/>
  <c r="M381" i="8"/>
  <c r="M206" i="8"/>
  <c r="M180" i="8"/>
  <c r="M1320" i="8"/>
  <c r="M1277" i="8"/>
  <c r="M376" i="8"/>
  <c r="M1352" i="8"/>
  <c r="M2607" i="8"/>
  <c r="M384" i="8"/>
  <c r="M261" i="8"/>
  <c r="M1140" i="8"/>
  <c r="M1292" i="8"/>
  <c r="M1266" i="8"/>
  <c r="M948" i="8"/>
  <c r="M203" i="8"/>
  <c r="M221" i="8" l="1"/>
  <c r="M311" i="8"/>
  <c r="M87" i="8"/>
  <c r="M318" i="8"/>
  <c r="M909" i="8"/>
  <c r="M308" i="8"/>
  <c r="M1246" i="8"/>
  <c r="M1058" i="8"/>
  <c r="M879" i="8"/>
  <c r="M157" i="8"/>
  <c r="M907" i="8"/>
  <c r="M997" i="8"/>
  <c r="M898" i="8"/>
  <c r="M1364" i="8"/>
  <c r="M1245" i="8"/>
  <c r="M864" i="8"/>
  <c r="M144" i="8"/>
  <c r="M893" i="8"/>
  <c r="M273" i="8"/>
  <c r="M1067" i="8"/>
  <c r="M896" i="8"/>
  <c r="M869" i="8"/>
  <c r="M863" i="8"/>
  <c r="M301" i="8"/>
  <c r="M1247" i="8"/>
  <c r="M1340" i="8"/>
  <c r="M2620" i="8"/>
  <c r="M1168" i="8"/>
  <c r="M1135" i="8"/>
  <c r="M911" i="8"/>
  <c r="M877" i="8"/>
  <c r="M1392" i="8"/>
  <c r="M894" i="8"/>
  <c r="M1287" i="8"/>
  <c r="M307" i="8"/>
  <c r="M319" i="8"/>
  <c r="M892" i="8"/>
  <c r="M3282" i="8"/>
  <c r="M272" i="8"/>
  <c r="M860" i="8"/>
  <c r="M365" i="8"/>
  <c r="M1064" i="8" l="1"/>
  <c r="M895" i="8"/>
  <c r="M132" i="8"/>
  <c r="M912" i="8"/>
  <c r="M905" i="8"/>
  <c r="M574" i="8"/>
  <c r="M921" i="8"/>
  <c r="M379" i="8"/>
  <c r="M890" i="8"/>
  <c r="M878" i="8"/>
  <c r="M573" i="8"/>
  <c r="M2611" i="8"/>
  <c r="M1263" i="8"/>
  <c r="M271" i="8"/>
  <c r="M904" i="8"/>
  <c r="M1316" i="8"/>
  <c r="M1173" i="8"/>
  <c r="M303" i="8"/>
  <c r="M225" i="8"/>
  <c r="M1363" i="8"/>
  <c r="M865" i="8"/>
  <c r="M378" i="8"/>
  <c r="M1164" i="8"/>
  <c r="M1324" i="8"/>
  <c r="M147" i="8"/>
  <c r="M902" i="8"/>
  <c r="M888" i="8"/>
  <c r="M312" i="8"/>
  <c r="M1365" i="8"/>
  <c r="M1332" i="8"/>
  <c r="M868" i="8"/>
  <c r="M891" i="8"/>
  <c r="M922" i="8"/>
  <c r="M1331" i="8"/>
  <c r="M1264" i="8"/>
  <c r="M86" i="8"/>
  <c r="M385" i="8"/>
  <c r="M980" i="8"/>
  <c r="M994" i="8"/>
  <c r="M926" i="8"/>
  <c r="M361" i="8"/>
  <c r="M236" i="8"/>
  <c r="M1334" i="8"/>
  <c r="M363" i="8"/>
  <c r="M263" i="8"/>
  <c r="M1171" i="8"/>
  <c r="M930" i="8"/>
  <c r="M325" i="8"/>
  <c r="M1395" i="8"/>
  <c r="M382" i="8"/>
  <c r="M1265" i="8"/>
  <c r="M906" i="8"/>
  <c r="M908" i="8"/>
  <c r="M882" i="8"/>
  <c r="M903" i="8"/>
  <c r="M1269" i="8"/>
  <c r="M304" i="8"/>
  <c r="M101" i="8"/>
  <c r="M889" i="8"/>
  <c r="M861" i="8"/>
  <c r="M910" i="8"/>
  <c r="M148" i="8"/>
  <c r="M575" i="8"/>
  <c r="M1134" i="8"/>
  <c r="M978" i="8"/>
  <c r="M2601" i="8"/>
  <c r="M1078" i="8"/>
  <c r="M270" i="8"/>
  <c r="M344" i="8"/>
  <c r="M171" i="8"/>
  <c r="M1317" i="8"/>
  <c r="M862" i="8"/>
  <c r="M1085" i="8"/>
  <c r="M2600" i="8"/>
  <c r="M1185" i="8"/>
  <c r="M305" i="8"/>
  <c r="M942" i="8" l="1"/>
  <c r="M82" i="8"/>
  <c r="M1268" i="8"/>
  <c r="M187" i="8"/>
  <c r="M306" i="8"/>
  <c r="M310" i="8"/>
  <c r="M1319" i="8"/>
  <c r="M83" i="8"/>
  <c r="M1136" i="8"/>
  <c r="M120" i="8"/>
  <c r="M287" i="8"/>
  <c r="M129" i="8"/>
  <c r="M274" i="8"/>
  <c r="M1330" i="8"/>
  <c r="M949" i="8"/>
  <c r="M1338" i="8"/>
  <c r="M1262" i="8"/>
  <c r="M107" i="8"/>
  <c r="M1139" i="8"/>
  <c r="M2709" i="8"/>
  <c r="M1382" i="8"/>
  <c r="M3252" i="8"/>
  <c r="M332" i="8"/>
  <c r="M233" i="8"/>
  <c r="M324" i="8"/>
  <c r="M1141" i="8"/>
  <c r="M309" i="8"/>
  <c r="M1069" i="8"/>
  <c r="M1318" i="8"/>
  <c r="M102" i="8"/>
  <c r="M380" i="8"/>
  <c r="M235" i="8"/>
  <c r="M1256" i="8"/>
  <c r="M1321" i="8"/>
  <c r="M1323" i="8"/>
  <c r="M130" i="8"/>
  <c r="M1358" i="8"/>
  <c r="M95" i="8"/>
  <c r="M255" i="8"/>
  <c r="M1261" i="8"/>
  <c r="M97" i="8"/>
  <c r="M943" i="8"/>
  <c r="M321" i="8"/>
  <c r="M300" i="8"/>
  <c r="M279" i="8" l="1"/>
  <c r="M239" i="8"/>
  <c r="M1315" i="8"/>
  <c r="M3281" i="8"/>
  <c r="M1112" i="8"/>
  <c r="M1076" i="8"/>
  <c r="M282" i="8"/>
  <c r="M165" i="8"/>
  <c r="M2619" i="8"/>
  <c r="M267" i="8"/>
  <c r="M1359" i="8"/>
  <c r="M3483" i="8" l="1"/>
  <c r="M275" i="8"/>
  <c r="M1117" i="8"/>
  <c r="M112" i="8"/>
  <c r="M326" i="8"/>
  <c r="M867" i="8"/>
  <c r="M115" i="8"/>
  <c r="M237" i="8"/>
  <c r="M119" i="8"/>
  <c r="M901" i="8"/>
  <c r="M327" i="8"/>
  <c r="M280" i="8"/>
  <c r="M281" i="8"/>
  <c r="M100" i="8"/>
  <c r="M278" i="8"/>
  <c r="M967" i="8" l="1"/>
  <c r="M999" i="8"/>
  <c r="M1059" i="8"/>
  <c r="M227" i="8"/>
  <c r="M1111" i="8"/>
  <c r="M1152" i="8"/>
  <c r="M966" i="8"/>
  <c r="M968" i="8"/>
  <c r="M1153" i="8"/>
  <c r="M1158" i="8" l="1"/>
  <c r="M2614" i="8"/>
  <c r="M232" i="8"/>
  <c r="M3265" i="8"/>
  <c r="M111" i="8"/>
  <c r="M1016" i="8"/>
  <c r="M2615" i="8"/>
  <c r="M2605" i="8"/>
  <c r="M2609" i="8"/>
  <c r="M1157" i="8"/>
  <c r="M1161" i="8"/>
  <c r="M3253" i="8"/>
  <c r="M234" i="8"/>
  <c r="M959" i="8"/>
  <c r="M2710" i="8"/>
  <c r="M2602" i="8"/>
  <c r="M94" i="8"/>
  <c r="M2715" i="8"/>
  <c r="M91" i="8"/>
  <c r="M960" i="8"/>
  <c r="M3136" i="8"/>
  <c r="M96" i="8"/>
  <c r="M951" i="8"/>
  <c r="M3286" i="8"/>
  <c r="M1079" i="8"/>
  <c r="M89" i="8"/>
  <c r="M996" i="8"/>
  <c r="M79" i="8"/>
  <c r="M986" i="8"/>
  <c r="M110" i="8"/>
  <c r="M1162" i="8"/>
  <c r="M1344" i="8"/>
  <c r="M2714" i="8"/>
  <c r="M976" i="8" l="1"/>
  <c r="M970" i="8"/>
  <c r="M2596" i="8"/>
  <c r="M2595" i="8"/>
  <c r="M972" i="8"/>
  <c r="M1237" i="8"/>
  <c r="M242" i="8" l="1"/>
  <c r="M3284" i="8"/>
  <c r="M1339" i="8"/>
  <c r="M1375" i="8"/>
  <c r="M243" i="8" l="1"/>
  <c r="M1068" i="8"/>
  <c r="M244" i="8"/>
  <c r="M248" i="8"/>
  <c r="M3285" i="8"/>
  <c r="M246" i="8" l="1"/>
  <c r="M247" i="8"/>
  <c r="M245" i="8" l="1"/>
  <c r="L3491" i="8"/>
  <c r="L3490" i="8"/>
  <c r="L3488" i="8"/>
  <c r="L3256" i="8"/>
  <c r="L3243" i="8"/>
  <c r="L3132" i="8"/>
  <c r="L2707" i="8"/>
  <c r="L2706" i="8"/>
  <c r="L1378" i="8"/>
  <c r="L1106" i="8"/>
  <c r="L1082" i="8"/>
  <c r="L1070" i="8"/>
  <c r="L936" i="8"/>
  <c r="L934" i="8"/>
  <c r="L925" i="8"/>
  <c r="L924" i="8"/>
  <c r="L356" i="8"/>
  <c r="L354" i="8"/>
  <c r="L353" i="8"/>
  <c r="L352" i="8"/>
  <c r="L350" i="8"/>
  <c r="L349" i="8"/>
  <c r="L339" i="8"/>
  <c r="L338" i="8"/>
  <c r="L337" i="8"/>
  <c r="L335" i="8"/>
  <c r="L334" i="8"/>
  <c r="L323" i="8"/>
  <c r="L322" i="8"/>
  <c r="L320" i="8"/>
  <c r="O297" i="8"/>
  <c r="P297" i="8" s="1"/>
  <c r="R297" i="8" s="1"/>
  <c r="L297" i="8"/>
  <c r="O296" i="8"/>
  <c r="P296" i="8" s="1"/>
  <c r="L296" i="8"/>
  <c r="O291" i="8"/>
  <c r="L291" i="8"/>
  <c r="L290" i="8"/>
  <c r="L289" i="8"/>
  <c r="L288" i="8"/>
  <c r="L286" i="8"/>
  <c r="L285" i="8"/>
  <c r="L284" i="8"/>
  <c r="L266" i="8"/>
  <c r="L262" i="8"/>
  <c r="L258" i="8"/>
  <c r="L256" i="8"/>
  <c r="L254" i="8"/>
  <c r="L251" i="8"/>
  <c r="L250" i="8"/>
  <c r="L176" i="8"/>
  <c r="L172" i="8"/>
  <c r="L149" i="8"/>
  <c r="L108" i="8"/>
  <c r="L104" i="8"/>
  <c r="L49" i="8"/>
  <c r="L30" i="8"/>
  <c r="L14" i="8"/>
  <c r="L13" i="8"/>
  <c r="L9" i="8"/>
  <c r="L8" i="8"/>
  <c r="L7" i="8"/>
  <c r="L6" i="8"/>
  <c r="K1" i="6"/>
  <c r="K1" i="7"/>
  <c r="M139" i="7"/>
  <c r="M138" i="7"/>
  <c r="M137" i="7"/>
  <c r="M136" i="7"/>
  <c r="Q136" i="7" s="1"/>
  <c r="M135" i="7"/>
  <c r="Q135" i="7" s="1"/>
  <c r="M134" i="7"/>
  <c r="Q134" i="7" s="1"/>
  <c r="M133" i="7"/>
  <c r="M132" i="7"/>
  <c r="M131" i="7"/>
  <c r="M130" i="7"/>
  <c r="M129" i="7"/>
  <c r="M128" i="7"/>
  <c r="Q128" i="7" s="1"/>
  <c r="M127" i="7"/>
  <c r="M126" i="7"/>
  <c r="M125" i="7"/>
  <c r="Q125" i="7" s="1"/>
  <c r="M124" i="7"/>
  <c r="Q124" i="7" s="1"/>
  <c r="M123" i="7"/>
  <c r="M122" i="7"/>
  <c r="M121" i="7"/>
  <c r="M118" i="7"/>
  <c r="M117" i="7"/>
  <c r="M116" i="7"/>
  <c r="M115" i="7"/>
  <c r="M114" i="7"/>
  <c r="M113" i="7"/>
  <c r="M112" i="7"/>
  <c r="M111" i="7"/>
  <c r="M110" i="7"/>
  <c r="Q110" i="7" s="1"/>
  <c r="M109" i="7"/>
  <c r="Q109" i="7" s="1"/>
  <c r="M108" i="7"/>
  <c r="Q108" i="7" s="1"/>
  <c r="M107" i="7"/>
  <c r="Q107" i="7" s="1"/>
  <c r="M106" i="7"/>
  <c r="Q106" i="7" s="1"/>
  <c r="M103" i="7"/>
  <c r="M102" i="7"/>
  <c r="M101" i="7"/>
  <c r="M100" i="7"/>
  <c r="M99" i="7"/>
  <c r="M98" i="7"/>
  <c r="M97" i="7"/>
  <c r="M96" i="7"/>
  <c r="Q96" i="7" s="1"/>
  <c r="M95" i="7"/>
  <c r="M94" i="7"/>
  <c r="Q94" i="7" s="1"/>
  <c r="M93" i="7"/>
  <c r="Q93" i="7" s="1"/>
  <c r="M92" i="7"/>
  <c r="M89" i="7"/>
  <c r="M88" i="7"/>
  <c r="M87" i="7"/>
  <c r="M86" i="7"/>
  <c r="M85" i="7"/>
  <c r="M84" i="7"/>
  <c r="M83" i="7"/>
  <c r="M82" i="7"/>
  <c r="M81" i="7"/>
  <c r="Q81" i="7" s="1"/>
  <c r="M80" i="7"/>
  <c r="Q80" i="7" s="1"/>
  <c r="M79" i="7"/>
  <c r="M78" i="7"/>
  <c r="M77" i="7"/>
  <c r="M76" i="7"/>
  <c r="M75" i="7"/>
  <c r="M74" i="7"/>
  <c r="M73" i="7"/>
  <c r="Q73" i="7" s="1"/>
  <c r="M72" i="7"/>
  <c r="Q72" i="7" s="1"/>
  <c r="M71" i="7"/>
  <c r="Q71" i="7" s="1"/>
  <c r="M70" i="7"/>
  <c r="Q70" i="7" s="1"/>
  <c r="M69" i="7"/>
  <c r="M66" i="7"/>
  <c r="M65" i="7"/>
  <c r="M64" i="7"/>
  <c r="M63" i="7"/>
  <c r="M62" i="7"/>
  <c r="M61" i="7"/>
  <c r="M60" i="7"/>
  <c r="Q60" i="7" s="1"/>
  <c r="M59" i="7"/>
  <c r="M58" i="7"/>
  <c r="M57" i="7"/>
  <c r="M56" i="7"/>
  <c r="Q56" i="7" s="1"/>
  <c r="M55" i="7"/>
  <c r="Q55" i="7" s="1"/>
  <c r="M52" i="7"/>
  <c r="M51" i="7"/>
  <c r="M50" i="7"/>
  <c r="M49" i="7"/>
  <c r="M48" i="7"/>
  <c r="M47" i="7"/>
  <c r="Q47" i="7" s="1"/>
  <c r="M46" i="7"/>
  <c r="M45" i="7"/>
  <c r="Q45" i="7" s="1"/>
  <c r="M44" i="7"/>
  <c r="M43" i="7"/>
  <c r="M42" i="7"/>
  <c r="M41" i="7"/>
  <c r="M40" i="7"/>
  <c r="M39" i="7"/>
  <c r="M38" i="7"/>
  <c r="M37" i="7"/>
  <c r="Q37" i="7" s="1"/>
  <c r="M36" i="7"/>
  <c r="M35" i="7"/>
  <c r="Q35" i="7" s="1"/>
  <c r="M34" i="7"/>
  <c r="Q34" i="7" s="1"/>
  <c r="M33" i="7"/>
  <c r="M30" i="7"/>
  <c r="M29" i="7"/>
  <c r="M28" i="7"/>
  <c r="M27" i="7"/>
  <c r="M26" i="7"/>
  <c r="M25" i="7"/>
  <c r="Q25" i="7" s="1"/>
  <c r="M24" i="7"/>
  <c r="Q24" i="7" s="1"/>
  <c r="M23" i="7"/>
  <c r="M22" i="7"/>
  <c r="M21" i="7"/>
  <c r="M20" i="7"/>
  <c r="M19" i="7"/>
  <c r="M18" i="7"/>
  <c r="Q18" i="7" s="1"/>
  <c r="M17" i="7"/>
  <c r="Q17" i="7" s="1"/>
  <c r="M16" i="7"/>
  <c r="Q16" i="7" s="1"/>
  <c r="M15" i="7"/>
  <c r="M14" i="7"/>
  <c r="M13" i="7"/>
  <c r="M12" i="7"/>
  <c r="M11" i="7"/>
  <c r="Q11" i="7" s="1"/>
  <c r="M10" i="7"/>
  <c r="M9" i="7"/>
  <c r="M8" i="7"/>
  <c r="M7" i="7"/>
  <c r="M6" i="7"/>
  <c r="Q6" i="7" s="1"/>
  <c r="R139" i="7"/>
  <c r="P139" i="7"/>
  <c r="O139" i="7"/>
  <c r="Q139" i="7"/>
  <c r="R138" i="7"/>
  <c r="P138" i="7"/>
  <c r="O138" i="7"/>
  <c r="P137" i="7"/>
  <c r="O137" i="7"/>
  <c r="R136" i="7"/>
  <c r="P136" i="7"/>
  <c r="O136" i="7"/>
  <c r="R135" i="7"/>
  <c r="P135" i="7"/>
  <c r="O135" i="7"/>
  <c r="R134" i="7"/>
  <c r="P134" i="7"/>
  <c r="O134" i="7"/>
  <c r="R133" i="7"/>
  <c r="P133" i="7"/>
  <c r="O133" i="7"/>
  <c r="R132" i="7"/>
  <c r="P132" i="7"/>
  <c r="O132" i="7"/>
  <c r="P131" i="7"/>
  <c r="O131" i="7"/>
  <c r="R130" i="7"/>
  <c r="Q130" i="7"/>
  <c r="P130" i="7"/>
  <c r="O130" i="7"/>
  <c r="R129" i="7"/>
  <c r="P129" i="7"/>
  <c r="O129" i="7"/>
  <c r="Q129" i="7"/>
  <c r="R128" i="7"/>
  <c r="P128" i="7"/>
  <c r="O128" i="7"/>
  <c r="R127" i="7"/>
  <c r="P127" i="7"/>
  <c r="O127" i="7"/>
  <c r="P126" i="7"/>
  <c r="O126" i="7"/>
  <c r="R125" i="7"/>
  <c r="P125" i="7"/>
  <c r="O125" i="7"/>
  <c r="R124" i="7"/>
  <c r="P124" i="7"/>
  <c r="O124" i="7"/>
  <c r="R123" i="7"/>
  <c r="P123" i="7"/>
  <c r="O123" i="7"/>
  <c r="Q123" i="7"/>
  <c r="R122" i="7"/>
  <c r="Q122" i="7"/>
  <c r="P122" i="7"/>
  <c r="O122" i="7"/>
  <c r="R121" i="7"/>
  <c r="P121" i="7"/>
  <c r="O121" i="7"/>
  <c r="Q121" i="7"/>
  <c r="R120" i="7"/>
  <c r="P120" i="7"/>
  <c r="R119" i="7"/>
  <c r="P119" i="7"/>
  <c r="R118" i="7"/>
  <c r="P118" i="7"/>
  <c r="O118" i="7"/>
  <c r="R117" i="7"/>
  <c r="P117" i="7"/>
  <c r="O117" i="7"/>
  <c r="R116" i="7"/>
  <c r="P116" i="7"/>
  <c r="O116" i="7"/>
  <c r="R115" i="7"/>
  <c r="P115" i="7"/>
  <c r="O115" i="7"/>
  <c r="R114" i="7"/>
  <c r="P114" i="7"/>
  <c r="O114" i="7"/>
  <c r="R113" i="7"/>
  <c r="P113" i="7"/>
  <c r="O113" i="7"/>
  <c r="R112" i="7"/>
  <c r="P112" i="7"/>
  <c r="O112" i="7"/>
  <c r="P111" i="7"/>
  <c r="O111" i="7"/>
  <c r="R110" i="7"/>
  <c r="P110" i="7"/>
  <c r="O110" i="7"/>
  <c r="R109" i="7"/>
  <c r="P109" i="7"/>
  <c r="O109" i="7"/>
  <c r="R108" i="7"/>
  <c r="P108" i="7"/>
  <c r="O108" i="7"/>
  <c r="R107" i="7"/>
  <c r="P107" i="7"/>
  <c r="O107" i="7"/>
  <c r="R106" i="7"/>
  <c r="P106" i="7"/>
  <c r="O106" i="7"/>
  <c r="R105" i="7"/>
  <c r="P105" i="7"/>
  <c r="R104" i="7"/>
  <c r="P104" i="7"/>
  <c r="R103" i="7"/>
  <c r="P103" i="7"/>
  <c r="O103" i="7"/>
  <c r="R102" i="7"/>
  <c r="P102" i="7"/>
  <c r="O102" i="7"/>
  <c r="R101" i="7"/>
  <c r="P101" i="7"/>
  <c r="O101" i="7"/>
  <c r="R100" i="7"/>
  <c r="P100" i="7"/>
  <c r="O100" i="7"/>
  <c r="R99" i="7"/>
  <c r="P99" i="7"/>
  <c r="O99" i="7"/>
  <c r="R98" i="7"/>
  <c r="P98" i="7"/>
  <c r="O98" i="7"/>
  <c r="P97" i="7"/>
  <c r="O97" i="7"/>
  <c r="R96" i="7"/>
  <c r="P96" i="7"/>
  <c r="O96" i="7"/>
  <c r="R95" i="7"/>
  <c r="P95" i="7"/>
  <c r="O95" i="7"/>
  <c r="Q95" i="7"/>
  <c r="R94" i="7"/>
  <c r="P94" i="7"/>
  <c r="O94" i="7"/>
  <c r="R93" i="7"/>
  <c r="P93" i="7"/>
  <c r="O93" i="7"/>
  <c r="R92" i="7"/>
  <c r="P92" i="7"/>
  <c r="O92" i="7"/>
  <c r="Q92" i="7"/>
  <c r="R91" i="7"/>
  <c r="P91" i="7"/>
  <c r="R90" i="7"/>
  <c r="P90" i="7"/>
  <c r="R89" i="7"/>
  <c r="P89" i="7"/>
  <c r="O89" i="7"/>
  <c r="R88" i="7"/>
  <c r="P88" i="7"/>
  <c r="O88" i="7"/>
  <c r="R87" i="7"/>
  <c r="P87" i="7"/>
  <c r="O87" i="7"/>
  <c r="R86" i="7"/>
  <c r="P86" i="7"/>
  <c r="O86" i="7"/>
  <c r="R85" i="7"/>
  <c r="P85" i="7"/>
  <c r="O85" i="7"/>
  <c r="R84" i="7"/>
  <c r="P84" i="7"/>
  <c r="O84" i="7"/>
  <c r="P83" i="7"/>
  <c r="O83" i="7"/>
  <c r="R82" i="7"/>
  <c r="Q82" i="7"/>
  <c r="P82" i="7"/>
  <c r="O82" i="7"/>
  <c r="R81" i="7"/>
  <c r="P81" i="7"/>
  <c r="O81" i="7"/>
  <c r="R80" i="7"/>
  <c r="P80" i="7"/>
  <c r="O80" i="7"/>
  <c r="R79" i="7"/>
  <c r="P79" i="7"/>
  <c r="O79" i="7"/>
  <c r="R78" i="7"/>
  <c r="P78" i="7"/>
  <c r="O78" i="7"/>
  <c r="R77" i="7"/>
  <c r="P77" i="7"/>
  <c r="O77" i="7"/>
  <c r="R76" i="7"/>
  <c r="P76" i="7"/>
  <c r="O76" i="7"/>
  <c r="P75" i="7"/>
  <c r="O75" i="7"/>
  <c r="R74" i="7"/>
  <c r="Q74" i="7"/>
  <c r="P74" i="7"/>
  <c r="O74" i="7"/>
  <c r="R73" i="7"/>
  <c r="P73" i="7"/>
  <c r="O73" i="7"/>
  <c r="R72" i="7"/>
  <c r="P72" i="7"/>
  <c r="O72" i="7"/>
  <c r="R71" i="7"/>
  <c r="P71" i="7"/>
  <c r="O71" i="7"/>
  <c r="R70" i="7"/>
  <c r="P70" i="7"/>
  <c r="O70" i="7"/>
  <c r="R69" i="7"/>
  <c r="Q69" i="7"/>
  <c r="P69" i="7"/>
  <c r="O69" i="7"/>
  <c r="R68" i="7"/>
  <c r="P68" i="7"/>
  <c r="R67" i="7"/>
  <c r="P67" i="7"/>
  <c r="R66" i="7"/>
  <c r="P66" i="7"/>
  <c r="O66" i="7"/>
  <c r="R65" i="7"/>
  <c r="P65" i="7"/>
  <c r="O65" i="7"/>
  <c r="R64" i="7"/>
  <c r="P64" i="7"/>
  <c r="O64" i="7"/>
  <c r="R63" i="7"/>
  <c r="P63" i="7"/>
  <c r="O63" i="7"/>
  <c r="R62" i="7"/>
  <c r="P62" i="7"/>
  <c r="O62" i="7"/>
  <c r="P61" i="7"/>
  <c r="O61" i="7"/>
  <c r="R60" i="7"/>
  <c r="P60" i="7"/>
  <c r="O60" i="7"/>
  <c r="R59" i="7"/>
  <c r="P59" i="7"/>
  <c r="O59" i="7"/>
  <c r="Q59" i="7"/>
  <c r="R58" i="7"/>
  <c r="Q58" i="7"/>
  <c r="P58" i="7"/>
  <c r="O58" i="7"/>
  <c r="R57" i="7"/>
  <c r="P57" i="7"/>
  <c r="O57" i="7"/>
  <c r="Q57" i="7"/>
  <c r="R56" i="7"/>
  <c r="P56" i="7"/>
  <c r="O56" i="7"/>
  <c r="R55" i="7"/>
  <c r="P55" i="7"/>
  <c r="O55" i="7"/>
  <c r="R54" i="7"/>
  <c r="P54" i="7"/>
  <c r="R53" i="7"/>
  <c r="P53" i="7"/>
  <c r="R52" i="7"/>
  <c r="P52" i="7"/>
  <c r="O52" i="7"/>
  <c r="R51" i="7"/>
  <c r="P51" i="7"/>
  <c r="O51" i="7"/>
  <c r="R50" i="7"/>
  <c r="P50" i="7"/>
  <c r="O50" i="7"/>
  <c r="R49" i="7"/>
  <c r="P49" i="7"/>
  <c r="O49" i="7"/>
  <c r="P48" i="7"/>
  <c r="O48" i="7"/>
  <c r="R47" i="7"/>
  <c r="P47" i="7"/>
  <c r="O47" i="7"/>
  <c r="R46" i="7"/>
  <c r="P46" i="7"/>
  <c r="O46" i="7"/>
  <c r="Q46" i="7"/>
  <c r="R45" i="7"/>
  <c r="P45" i="7"/>
  <c r="O45" i="7"/>
  <c r="R44" i="7"/>
  <c r="P44" i="7"/>
  <c r="O44" i="7"/>
  <c r="R43" i="7"/>
  <c r="P43" i="7"/>
  <c r="O43" i="7"/>
  <c r="R42" i="7"/>
  <c r="P42" i="7"/>
  <c r="O42" i="7"/>
  <c r="R41" i="7"/>
  <c r="P41" i="7"/>
  <c r="O41" i="7"/>
  <c r="R40" i="7"/>
  <c r="P40" i="7"/>
  <c r="O40" i="7"/>
  <c r="R39" i="7"/>
  <c r="P39" i="7"/>
  <c r="O39" i="7"/>
  <c r="P38" i="7"/>
  <c r="O38" i="7"/>
  <c r="R37" i="7"/>
  <c r="P37" i="7"/>
  <c r="O37" i="7"/>
  <c r="R36" i="7"/>
  <c r="P36" i="7"/>
  <c r="O36" i="7"/>
  <c r="Q36" i="7"/>
  <c r="R35" i="7"/>
  <c r="P35" i="7"/>
  <c r="O35" i="7"/>
  <c r="R34" i="7"/>
  <c r="P34" i="7"/>
  <c r="O34" i="7"/>
  <c r="R33" i="7"/>
  <c r="P33" i="7"/>
  <c r="O33" i="7"/>
  <c r="Q33" i="7"/>
  <c r="R32" i="7"/>
  <c r="P32" i="7"/>
  <c r="R31" i="7"/>
  <c r="P31" i="7"/>
  <c r="R30" i="7"/>
  <c r="P30" i="7"/>
  <c r="O30" i="7"/>
  <c r="R29" i="7"/>
  <c r="P29" i="7"/>
  <c r="O29" i="7"/>
  <c r="R28" i="7"/>
  <c r="P28" i="7"/>
  <c r="O28" i="7"/>
  <c r="R27" i="7"/>
  <c r="P27" i="7"/>
  <c r="O27" i="7"/>
  <c r="P26" i="7"/>
  <c r="O26" i="7"/>
  <c r="R25" i="7"/>
  <c r="P25" i="7"/>
  <c r="O25" i="7"/>
  <c r="R24" i="7"/>
  <c r="P24" i="7"/>
  <c r="O24" i="7"/>
  <c r="R23" i="7"/>
  <c r="P23" i="7"/>
  <c r="O23" i="7"/>
  <c r="Q23" i="7"/>
  <c r="R22" i="7"/>
  <c r="P22" i="7"/>
  <c r="O22" i="7"/>
  <c r="R21" i="7"/>
  <c r="P21" i="7"/>
  <c r="O21" i="7"/>
  <c r="R20" i="7"/>
  <c r="P20" i="7"/>
  <c r="O20" i="7"/>
  <c r="P19" i="7"/>
  <c r="O19" i="7"/>
  <c r="R18" i="7"/>
  <c r="P18" i="7"/>
  <c r="O18" i="7"/>
  <c r="R17" i="7"/>
  <c r="P17" i="7"/>
  <c r="O17" i="7"/>
  <c r="R16" i="7"/>
  <c r="P16" i="7"/>
  <c r="O16" i="7"/>
  <c r="R15" i="7"/>
  <c r="P15" i="7"/>
  <c r="O15" i="7"/>
  <c r="R14" i="7"/>
  <c r="P14" i="7"/>
  <c r="O14" i="7"/>
  <c r="P13" i="7"/>
  <c r="O13" i="7"/>
  <c r="R12" i="7"/>
  <c r="P12" i="7"/>
  <c r="O12" i="7"/>
  <c r="Q12" i="7"/>
  <c r="R11" i="7"/>
  <c r="P11" i="7"/>
  <c r="O11" i="7"/>
  <c r="R10" i="7"/>
  <c r="Q10" i="7"/>
  <c r="P10" i="7"/>
  <c r="O10" i="7"/>
  <c r="R9" i="7"/>
  <c r="P9" i="7"/>
  <c r="O9" i="7"/>
  <c r="P8" i="7"/>
  <c r="O8" i="7"/>
  <c r="R7" i="7"/>
  <c r="P7" i="7"/>
  <c r="O7" i="7"/>
  <c r="Q7" i="7"/>
  <c r="R6" i="7"/>
  <c r="P6" i="7"/>
  <c r="O6" i="7"/>
  <c r="M639" i="6"/>
  <c r="M509" i="6"/>
  <c r="M498" i="6"/>
  <c r="M422" i="6"/>
  <c r="M411" i="6"/>
  <c r="M308" i="6"/>
  <c r="M236" i="6"/>
  <c r="M151" i="6"/>
  <c r="M101" i="6"/>
  <c r="M56" i="6"/>
  <c r="M11" i="6"/>
  <c r="M8" i="6"/>
  <c r="O8" i="6"/>
  <c r="P8" i="6"/>
  <c r="M9" i="6"/>
  <c r="O9" i="6"/>
  <c r="P9" i="6"/>
  <c r="R9" i="6"/>
  <c r="M10" i="6"/>
  <c r="O10" i="6"/>
  <c r="P10" i="6"/>
  <c r="R10" i="6"/>
  <c r="P11" i="6"/>
  <c r="R11" i="6"/>
  <c r="P12" i="6"/>
  <c r="R12" i="6"/>
  <c r="M13" i="6"/>
  <c r="Q13" i="6" s="1"/>
  <c r="O13" i="6"/>
  <c r="P13" i="6"/>
  <c r="R13" i="6"/>
  <c r="M14" i="6"/>
  <c r="Q14" i="6" s="1"/>
  <c r="O14" i="6"/>
  <c r="P14" i="6"/>
  <c r="R14" i="6"/>
  <c r="M15" i="6"/>
  <c r="Q15" i="6" s="1"/>
  <c r="O15" i="6"/>
  <c r="P15" i="6"/>
  <c r="R15" i="6"/>
  <c r="M16" i="6"/>
  <c r="Q16" i="6" s="1"/>
  <c r="O16" i="6"/>
  <c r="P16" i="6"/>
  <c r="R16" i="6"/>
  <c r="M17" i="6"/>
  <c r="Q17" i="6" s="1"/>
  <c r="O17" i="6"/>
  <c r="P17" i="6"/>
  <c r="R17" i="6"/>
  <c r="M18" i="6"/>
  <c r="O18" i="6"/>
  <c r="P18" i="6"/>
  <c r="M19" i="6"/>
  <c r="O19" i="6"/>
  <c r="P19" i="6"/>
  <c r="R19" i="6"/>
  <c r="M20" i="6"/>
  <c r="Q20" i="6" s="1"/>
  <c r="O20" i="6"/>
  <c r="P20" i="6"/>
  <c r="R20" i="6"/>
  <c r="M21" i="6"/>
  <c r="Q21" i="6" s="1"/>
  <c r="O21" i="6"/>
  <c r="P21" i="6"/>
  <c r="R21" i="6"/>
  <c r="M22" i="6"/>
  <c r="Q22" i="6" s="1"/>
  <c r="O22" i="6"/>
  <c r="P22" i="6"/>
  <c r="R22" i="6"/>
  <c r="M23" i="6"/>
  <c r="O23" i="6"/>
  <c r="P23" i="6"/>
  <c r="M24" i="6"/>
  <c r="O24" i="6"/>
  <c r="P24" i="6"/>
  <c r="R24" i="6"/>
  <c r="M25" i="6"/>
  <c r="O25" i="6"/>
  <c r="P25" i="6"/>
  <c r="R25" i="6"/>
  <c r="M26" i="6"/>
  <c r="Q26" i="6" s="1"/>
  <c r="O26" i="6"/>
  <c r="P26" i="6"/>
  <c r="R26" i="6"/>
  <c r="M27" i="6"/>
  <c r="Q27" i="6" s="1"/>
  <c r="O27" i="6"/>
  <c r="P27" i="6"/>
  <c r="R27" i="6"/>
  <c r="M28" i="6"/>
  <c r="Q28" i="6" s="1"/>
  <c r="O28" i="6"/>
  <c r="P28" i="6"/>
  <c r="R28" i="6"/>
  <c r="M29" i="6"/>
  <c r="O29" i="6"/>
  <c r="P29" i="6"/>
  <c r="M30" i="6"/>
  <c r="O30" i="6"/>
  <c r="P30" i="6"/>
  <c r="R30" i="6"/>
  <c r="M31" i="6"/>
  <c r="O31" i="6"/>
  <c r="P31" i="6"/>
  <c r="R31" i="6"/>
  <c r="M32" i="6"/>
  <c r="O32" i="6"/>
  <c r="P32" i="6"/>
  <c r="R32" i="6"/>
  <c r="M33" i="6"/>
  <c r="O33" i="6"/>
  <c r="P33" i="6"/>
  <c r="R33" i="6"/>
  <c r="M34" i="6"/>
  <c r="O34" i="6"/>
  <c r="P34" i="6"/>
  <c r="R34" i="6"/>
  <c r="M35" i="6"/>
  <c r="O35" i="6"/>
  <c r="P35" i="6"/>
  <c r="R35" i="6"/>
  <c r="M36" i="6"/>
  <c r="O36" i="6"/>
  <c r="P36" i="6"/>
  <c r="R36" i="6"/>
  <c r="M37" i="6"/>
  <c r="Q37" i="6" s="1"/>
  <c r="O37" i="6"/>
  <c r="P37" i="6"/>
  <c r="R37" i="6"/>
  <c r="M38" i="6"/>
  <c r="Q38" i="6" s="1"/>
  <c r="O38" i="6"/>
  <c r="P38" i="6"/>
  <c r="R38" i="6"/>
  <c r="M39" i="6"/>
  <c r="Q39" i="6" s="1"/>
  <c r="O39" i="6"/>
  <c r="P39" i="6"/>
  <c r="R39" i="6"/>
  <c r="M40" i="6"/>
  <c r="O40" i="6"/>
  <c r="P40" i="6"/>
  <c r="M41" i="6"/>
  <c r="O41" i="6"/>
  <c r="P41" i="6"/>
  <c r="R41" i="6"/>
  <c r="M42" i="6"/>
  <c r="O42" i="6"/>
  <c r="P42" i="6"/>
  <c r="R42" i="6"/>
  <c r="M43" i="6"/>
  <c r="O43" i="6"/>
  <c r="P43" i="6"/>
  <c r="R43" i="6"/>
  <c r="M44" i="6"/>
  <c r="O44" i="6"/>
  <c r="P44" i="6"/>
  <c r="R44" i="6"/>
  <c r="M45" i="6"/>
  <c r="O45" i="6"/>
  <c r="P45" i="6"/>
  <c r="R45" i="6"/>
  <c r="M46" i="6"/>
  <c r="O46" i="6"/>
  <c r="P46" i="6"/>
  <c r="R46" i="6"/>
  <c r="M47" i="6"/>
  <c r="Q47" i="6" s="1"/>
  <c r="O47" i="6"/>
  <c r="P47" i="6"/>
  <c r="R47" i="6"/>
  <c r="M48" i="6"/>
  <c r="Q48" i="6" s="1"/>
  <c r="O48" i="6"/>
  <c r="P48" i="6"/>
  <c r="R48" i="6"/>
  <c r="M49" i="6"/>
  <c r="Q49" i="6" s="1"/>
  <c r="O49" i="6"/>
  <c r="P49" i="6"/>
  <c r="R49" i="6"/>
  <c r="M50" i="6"/>
  <c r="O50" i="6"/>
  <c r="P50" i="6"/>
  <c r="M51" i="6"/>
  <c r="O51" i="6"/>
  <c r="P51" i="6"/>
  <c r="R51" i="6"/>
  <c r="M52" i="6"/>
  <c r="O52" i="6"/>
  <c r="P52" i="6"/>
  <c r="R52" i="6"/>
  <c r="M53" i="6"/>
  <c r="O53" i="6"/>
  <c r="P53" i="6"/>
  <c r="R53" i="6"/>
  <c r="M54" i="6"/>
  <c r="O54" i="6"/>
  <c r="P54" i="6"/>
  <c r="R54" i="6"/>
  <c r="M55" i="6"/>
  <c r="O55" i="6"/>
  <c r="P55" i="6"/>
  <c r="R55" i="6"/>
  <c r="P56" i="6"/>
  <c r="R56" i="6"/>
  <c r="M57" i="6"/>
  <c r="P57" i="6"/>
  <c r="R57" i="6"/>
  <c r="M58" i="6"/>
  <c r="Q58" i="6" s="1"/>
  <c r="O58" i="6"/>
  <c r="P58" i="6"/>
  <c r="R58" i="6"/>
  <c r="M59" i="6"/>
  <c r="Q59" i="6" s="1"/>
  <c r="O59" i="6"/>
  <c r="P59" i="6"/>
  <c r="R59" i="6"/>
  <c r="M60" i="6"/>
  <c r="Q60" i="6" s="1"/>
  <c r="O60" i="6"/>
  <c r="P60" i="6"/>
  <c r="R60" i="6"/>
  <c r="M61" i="6"/>
  <c r="Q61" i="6" s="1"/>
  <c r="O61" i="6"/>
  <c r="P61" i="6"/>
  <c r="R61" i="6"/>
  <c r="M62" i="6"/>
  <c r="Q62" i="6" s="1"/>
  <c r="O62" i="6"/>
  <c r="P62" i="6"/>
  <c r="R62" i="6"/>
  <c r="M63" i="6"/>
  <c r="O63" i="6"/>
  <c r="P63" i="6"/>
  <c r="M64" i="6"/>
  <c r="O64" i="6"/>
  <c r="P64" i="6"/>
  <c r="R64" i="6"/>
  <c r="M65" i="6"/>
  <c r="O65" i="6"/>
  <c r="P65" i="6"/>
  <c r="R65" i="6"/>
  <c r="M66" i="6"/>
  <c r="O66" i="6"/>
  <c r="P66" i="6"/>
  <c r="R66" i="6"/>
  <c r="M67" i="6"/>
  <c r="O67" i="6"/>
  <c r="P67" i="6"/>
  <c r="R67" i="6"/>
  <c r="M68" i="6"/>
  <c r="Q68" i="6" s="1"/>
  <c r="O68" i="6"/>
  <c r="P68" i="6"/>
  <c r="R68" i="6"/>
  <c r="M69" i="6"/>
  <c r="Q69" i="6" s="1"/>
  <c r="O69" i="6"/>
  <c r="P69" i="6"/>
  <c r="R69" i="6"/>
  <c r="M70" i="6"/>
  <c r="Q70" i="6" s="1"/>
  <c r="O70" i="6"/>
  <c r="P70" i="6"/>
  <c r="R70" i="6"/>
  <c r="M71" i="6"/>
  <c r="O71" i="6"/>
  <c r="P71" i="6"/>
  <c r="M72" i="6"/>
  <c r="O72" i="6"/>
  <c r="P72" i="6"/>
  <c r="R72" i="6"/>
  <c r="M73" i="6"/>
  <c r="O73" i="6"/>
  <c r="P73" i="6"/>
  <c r="R73" i="6"/>
  <c r="M74" i="6"/>
  <c r="P74" i="6"/>
  <c r="R74" i="6"/>
  <c r="M75" i="6"/>
  <c r="P75" i="6"/>
  <c r="R75" i="6"/>
  <c r="M76" i="6"/>
  <c r="Q76" i="6" s="1"/>
  <c r="O76" i="6"/>
  <c r="P76" i="6"/>
  <c r="R76" i="6"/>
  <c r="M77" i="6"/>
  <c r="Q77" i="6" s="1"/>
  <c r="O77" i="6"/>
  <c r="P77" i="6"/>
  <c r="R77" i="6"/>
  <c r="M78" i="6"/>
  <c r="Q78" i="6" s="1"/>
  <c r="O78" i="6"/>
  <c r="P78" i="6"/>
  <c r="R78" i="6"/>
  <c r="M79" i="6"/>
  <c r="Q79" i="6" s="1"/>
  <c r="O79" i="6"/>
  <c r="P79" i="6"/>
  <c r="R79" i="6"/>
  <c r="M80" i="6"/>
  <c r="Q80" i="6" s="1"/>
  <c r="O80" i="6"/>
  <c r="P80" i="6"/>
  <c r="R80" i="6"/>
  <c r="M81" i="6"/>
  <c r="O81" i="6"/>
  <c r="P81" i="6"/>
  <c r="M82" i="6"/>
  <c r="O82" i="6"/>
  <c r="P82" i="6"/>
  <c r="R82" i="6"/>
  <c r="M83" i="6"/>
  <c r="O83" i="6"/>
  <c r="P83" i="6"/>
  <c r="R83" i="6"/>
  <c r="M84" i="6"/>
  <c r="O84" i="6"/>
  <c r="P84" i="6"/>
  <c r="R84" i="6"/>
  <c r="M85" i="6"/>
  <c r="Q85" i="6" s="1"/>
  <c r="O85" i="6"/>
  <c r="P85" i="6"/>
  <c r="R85" i="6"/>
  <c r="M86" i="6"/>
  <c r="Q86" i="6" s="1"/>
  <c r="O86" i="6"/>
  <c r="P86" i="6"/>
  <c r="R86" i="6"/>
  <c r="M87" i="6"/>
  <c r="Q87" i="6" s="1"/>
  <c r="O87" i="6"/>
  <c r="P87" i="6"/>
  <c r="R87" i="6"/>
  <c r="M88" i="6"/>
  <c r="O88" i="6"/>
  <c r="P88" i="6"/>
  <c r="M89" i="6"/>
  <c r="O89" i="6"/>
  <c r="P89" i="6"/>
  <c r="R89" i="6"/>
  <c r="M90" i="6"/>
  <c r="O90" i="6"/>
  <c r="P90" i="6"/>
  <c r="R90" i="6"/>
  <c r="M91" i="6"/>
  <c r="P91" i="6"/>
  <c r="R91" i="6"/>
  <c r="M92" i="6"/>
  <c r="P92" i="6"/>
  <c r="R92" i="6"/>
  <c r="M93" i="6"/>
  <c r="Q93" i="6" s="1"/>
  <c r="O93" i="6"/>
  <c r="P93" i="6"/>
  <c r="R93" i="6"/>
  <c r="M94" i="6"/>
  <c r="Q94" i="6" s="1"/>
  <c r="O94" i="6"/>
  <c r="P94" i="6"/>
  <c r="R94" i="6"/>
  <c r="M95" i="6"/>
  <c r="Q95" i="6" s="1"/>
  <c r="O95" i="6"/>
  <c r="P95" i="6"/>
  <c r="R95" i="6"/>
  <c r="M96" i="6"/>
  <c r="Q96" i="6" s="1"/>
  <c r="O96" i="6"/>
  <c r="P96" i="6"/>
  <c r="R96" i="6"/>
  <c r="M97" i="6"/>
  <c r="Q97" i="6" s="1"/>
  <c r="O97" i="6"/>
  <c r="P97" i="6"/>
  <c r="R97" i="6"/>
  <c r="M98" i="6"/>
  <c r="O98" i="6"/>
  <c r="P98" i="6"/>
  <c r="M99" i="6"/>
  <c r="O99" i="6"/>
  <c r="P99" i="6"/>
  <c r="R99" i="6"/>
  <c r="M100" i="6"/>
  <c r="O100" i="6"/>
  <c r="P100" i="6"/>
  <c r="R100" i="6"/>
  <c r="P101" i="6"/>
  <c r="R101" i="6"/>
  <c r="M102" i="6"/>
  <c r="P102" i="6"/>
  <c r="R102" i="6"/>
  <c r="M103" i="6"/>
  <c r="Q103" i="6" s="1"/>
  <c r="O103" i="6"/>
  <c r="P103" i="6"/>
  <c r="R103" i="6"/>
  <c r="M104" i="6"/>
  <c r="Q104" i="6" s="1"/>
  <c r="O104" i="6"/>
  <c r="P104" i="6"/>
  <c r="R104" i="6"/>
  <c r="M105" i="6"/>
  <c r="Q105" i="6" s="1"/>
  <c r="O105" i="6"/>
  <c r="P105" i="6"/>
  <c r="R105" i="6"/>
  <c r="M106" i="6"/>
  <c r="Q106" i="6" s="1"/>
  <c r="O106" i="6"/>
  <c r="P106" i="6"/>
  <c r="R106" i="6"/>
  <c r="M107" i="6"/>
  <c r="Q107" i="6" s="1"/>
  <c r="O107" i="6"/>
  <c r="P107" i="6"/>
  <c r="R107" i="6"/>
  <c r="M108" i="6"/>
  <c r="O108" i="6"/>
  <c r="P108" i="6"/>
  <c r="M109" i="6"/>
  <c r="O109" i="6"/>
  <c r="P109" i="6"/>
  <c r="R109" i="6"/>
  <c r="M110" i="6"/>
  <c r="O110" i="6"/>
  <c r="P110" i="6"/>
  <c r="R110" i="6"/>
  <c r="M111" i="6"/>
  <c r="Q111" i="6" s="1"/>
  <c r="O111" i="6"/>
  <c r="P111" i="6"/>
  <c r="R111" i="6"/>
  <c r="M112" i="6"/>
  <c r="Q112" i="6" s="1"/>
  <c r="O112" i="6"/>
  <c r="P112" i="6"/>
  <c r="R112" i="6"/>
  <c r="M113" i="6"/>
  <c r="Q113" i="6" s="1"/>
  <c r="O113" i="6"/>
  <c r="P113" i="6"/>
  <c r="R113" i="6"/>
  <c r="M114" i="6"/>
  <c r="O114" i="6"/>
  <c r="P114" i="6"/>
  <c r="M115" i="6"/>
  <c r="O115" i="6"/>
  <c r="P115" i="6"/>
  <c r="R115" i="6"/>
  <c r="M116" i="6"/>
  <c r="O116" i="6"/>
  <c r="P116" i="6"/>
  <c r="R116" i="6"/>
  <c r="M117" i="6"/>
  <c r="Q117" i="6" s="1"/>
  <c r="O117" i="6"/>
  <c r="P117" i="6"/>
  <c r="R117" i="6"/>
  <c r="M118" i="6"/>
  <c r="Q118" i="6" s="1"/>
  <c r="O118" i="6"/>
  <c r="P118" i="6"/>
  <c r="R118" i="6"/>
  <c r="M119" i="6"/>
  <c r="Q119" i="6" s="1"/>
  <c r="O119" i="6"/>
  <c r="P119" i="6"/>
  <c r="R119" i="6"/>
  <c r="M120" i="6"/>
  <c r="O120" i="6"/>
  <c r="P120" i="6"/>
  <c r="M121" i="6"/>
  <c r="O121" i="6"/>
  <c r="P121" i="6"/>
  <c r="R121" i="6"/>
  <c r="M122" i="6"/>
  <c r="O122" i="6"/>
  <c r="P122" i="6"/>
  <c r="R122" i="6"/>
  <c r="M123" i="6"/>
  <c r="Q123" i="6" s="1"/>
  <c r="O123" i="6"/>
  <c r="P123" i="6"/>
  <c r="R123" i="6"/>
  <c r="M124" i="6"/>
  <c r="Q124" i="6" s="1"/>
  <c r="O124" i="6"/>
  <c r="P124" i="6"/>
  <c r="R124" i="6"/>
  <c r="M125" i="6"/>
  <c r="Q125" i="6" s="1"/>
  <c r="O125" i="6"/>
  <c r="P125" i="6"/>
  <c r="R125" i="6"/>
  <c r="M126" i="6"/>
  <c r="O126" i="6"/>
  <c r="P126" i="6"/>
  <c r="M127" i="6"/>
  <c r="O127" i="6"/>
  <c r="P127" i="6"/>
  <c r="R127" i="6"/>
  <c r="M128" i="6"/>
  <c r="O128" i="6"/>
  <c r="P128" i="6"/>
  <c r="R128" i="6"/>
  <c r="M129" i="6"/>
  <c r="Q129" i="6" s="1"/>
  <c r="O129" i="6"/>
  <c r="P129" i="6"/>
  <c r="R129" i="6"/>
  <c r="M130" i="6"/>
  <c r="Q130" i="6" s="1"/>
  <c r="O130" i="6"/>
  <c r="P130" i="6"/>
  <c r="R130" i="6"/>
  <c r="M131" i="6"/>
  <c r="Q131" i="6" s="1"/>
  <c r="O131" i="6"/>
  <c r="P131" i="6"/>
  <c r="R131" i="6"/>
  <c r="M132" i="6"/>
  <c r="O132" i="6"/>
  <c r="P132" i="6"/>
  <c r="M133" i="6"/>
  <c r="O133" i="6"/>
  <c r="P133" i="6"/>
  <c r="R133" i="6"/>
  <c r="M134" i="6"/>
  <c r="O134" i="6"/>
  <c r="P134" i="6"/>
  <c r="R134" i="6"/>
  <c r="M135" i="6"/>
  <c r="Q135" i="6" s="1"/>
  <c r="O135" i="6"/>
  <c r="P135" i="6"/>
  <c r="R135" i="6"/>
  <c r="M136" i="6"/>
  <c r="Q136" i="6" s="1"/>
  <c r="O136" i="6"/>
  <c r="P136" i="6"/>
  <c r="R136" i="6"/>
  <c r="M137" i="6"/>
  <c r="Q137" i="6" s="1"/>
  <c r="O137" i="6"/>
  <c r="P137" i="6"/>
  <c r="R137" i="6"/>
  <c r="M138" i="6"/>
  <c r="O138" i="6"/>
  <c r="P138" i="6"/>
  <c r="M139" i="6"/>
  <c r="O139" i="6"/>
  <c r="P139" i="6"/>
  <c r="R139" i="6"/>
  <c r="M140" i="6"/>
  <c r="O140" i="6"/>
  <c r="P140" i="6"/>
  <c r="R140" i="6"/>
  <c r="M141" i="6"/>
  <c r="Q141" i="6" s="1"/>
  <c r="O141" i="6"/>
  <c r="P141" i="6"/>
  <c r="R141" i="6"/>
  <c r="M142" i="6"/>
  <c r="Q142" i="6" s="1"/>
  <c r="O142" i="6"/>
  <c r="P142" i="6"/>
  <c r="R142" i="6"/>
  <c r="M143" i="6"/>
  <c r="Q143" i="6" s="1"/>
  <c r="O143" i="6"/>
  <c r="P143" i="6"/>
  <c r="R143" i="6"/>
  <c r="M144" i="6"/>
  <c r="O144" i="6"/>
  <c r="P144" i="6"/>
  <c r="M145" i="6"/>
  <c r="O145" i="6"/>
  <c r="P145" i="6"/>
  <c r="R145" i="6"/>
  <c r="M146" i="6"/>
  <c r="O146" i="6"/>
  <c r="P146" i="6"/>
  <c r="R146" i="6"/>
  <c r="M147" i="6"/>
  <c r="O147" i="6"/>
  <c r="P147" i="6"/>
  <c r="R147" i="6"/>
  <c r="M148" i="6"/>
  <c r="O148" i="6"/>
  <c r="P148" i="6"/>
  <c r="R148" i="6"/>
  <c r="M149" i="6"/>
  <c r="O149" i="6"/>
  <c r="P149" i="6"/>
  <c r="R149" i="6"/>
  <c r="M150" i="6"/>
  <c r="O150" i="6"/>
  <c r="P150" i="6"/>
  <c r="R150" i="6"/>
  <c r="P151" i="6"/>
  <c r="R151" i="6"/>
  <c r="M152" i="6"/>
  <c r="P152" i="6"/>
  <c r="R152" i="6"/>
  <c r="M153" i="6"/>
  <c r="Q153" i="6" s="1"/>
  <c r="O153" i="6"/>
  <c r="P153" i="6"/>
  <c r="R153" i="6"/>
  <c r="M154" i="6"/>
  <c r="Q154" i="6" s="1"/>
  <c r="O154" i="6"/>
  <c r="P154" i="6"/>
  <c r="R154" i="6"/>
  <c r="M155" i="6"/>
  <c r="Q155" i="6" s="1"/>
  <c r="O155" i="6"/>
  <c r="P155" i="6"/>
  <c r="R155" i="6"/>
  <c r="M156" i="6"/>
  <c r="Q156" i="6" s="1"/>
  <c r="O156" i="6"/>
  <c r="P156" i="6"/>
  <c r="R156" i="6"/>
  <c r="M157" i="6"/>
  <c r="Q157" i="6" s="1"/>
  <c r="O157" i="6"/>
  <c r="P157" i="6"/>
  <c r="R157" i="6"/>
  <c r="M158" i="6"/>
  <c r="O158" i="6"/>
  <c r="P158" i="6"/>
  <c r="M159" i="6"/>
  <c r="O159" i="6"/>
  <c r="P159" i="6"/>
  <c r="R159" i="6"/>
  <c r="M160" i="6"/>
  <c r="O160" i="6"/>
  <c r="P160" i="6"/>
  <c r="R160" i="6"/>
  <c r="M161" i="6"/>
  <c r="O161" i="6"/>
  <c r="P161" i="6"/>
  <c r="R161" i="6"/>
  <c r="M162" i="6"/>
  <c r="O162" i="6"/>
  <c r="P162" i="6"/>
  <c r="R162" i="6"/>
  <c r="M163" i="6"/>
  <c r="P163" i="6"/>
  <c r="R163" i="6"/>
  <c r="M164" i="6"/>
  <c r="P164" i="6"/>
  <c r="R164" i="6"/>
  <c r="M165" i="6"/>
  <c r="Q165" i="6" s="1"/>
  <c r="O165" i="6"/>
  <c r="P165" i="6"/>
  <c r="R165" i="6"/>
  <c r="M166" i="6"/>
  <c r="Q166" i="6" s="1"/>
  <c r="O166" i="6"/>
  <c r="P166" i="6"/>
  <c r="R166" i="6"/>
  <c r="M167" i="6"/>
  <c r="Q167" i="6" s="1"/>
  <c r="O167" i="6"/>
  <c r="P167" i="6"/>
  <c r="R167" i="6"/>
  <c r="M168" i="6"/>
  <c r="Q168" i="6" s="1"/>
  <c r="O168" i="6"/>
  <c r="P168" i="6"/>
  <c r="R168" i="6"/>
  <c r="M169" i="6"/>
  <c r="Q169" i="6" s="1"/>
  <c r="O169" i="6"/>
  <c r="P169" i="6"/>
  <c r="R169" i="6"/>
  <c r="M170" i="6"/>
  <c r="O170" i="6"/>
  <c r="P170" i="6"/>
  <c r="M171" i="6"/>
  <c r="O171" i="6"/>
  <c r="P171" i="6"/>
  <c r="R171" i="6"/>
  <c r="M172" i="6"/>
  <c r="O172" i="6"/>
  <c r="P172" i="6"/>
  <c r="R172" i="6"/>
  <c r="M173" i="6"/>
  <c r="Q173" i="6" s="1"/>
  <c r="O173" i="6"/>
  <c r="P173" i="6"/>
  <c r="R173" i="6"/>
  <c r="M174" i="6"/>
  <c r="Q174" i="6" s="1"/>
  <c r="O174" i="6"/>
  <c r="P174" i="6"/>
  <c r="R174" i="6"/>
  <c r="M175" i="6"/>
  <c r="Q175" i="6" s="1"/>
  <c r="O175" i="6"/>
  <c r="P175" i="6"/>
  <c r="R175" i="6"/>
  <c r="M176" i="6"/>
  <c r="O176" i="6"/>
  <c r="P176" i="6"/>
  <c r="M177" i="6"/>
  <c r="O177" i="6"/>
  <c r="P177" i="6"/>
  <c r="R177" i="6"/>
  <c r="M178" i="6"/>
  <c r="O178" i="6"/>
  <c r="P178" i="6"/>
  <c r="R178" i="6"/>
  <c r="M179" i="6"/>
  <c r="Q179" i="6" s="1"/>
  <c r="O179" i="6"/>
  <c r="P179" i="6"/>
  <c r="R179" i="6"/>
  <c r="M180" i="6"/>
  <c r="Q180" i="6" s="1"/>
  <c r="O180" i="6"/>
  <c r="P180" i="6"/>
  <c r="R180" i="6"/>
  <c r="M181" i="6"/>
  <c r="Q181" i="6" s="1"/>
  <c r="O181" i="6"/>
  <c r="P181" i="6"/>
  <c r="R181" i="6"/>
  <c r="M182" i="6"/>
  <c r="O182" i="6"/>
  <c r="P182" i="6"/>
  <c r="M183" i="6"/>
  <c r="O183" i="6"/>
  <c r="P183" i="6"/>
  <c r="R183" i="6"/>
  <c r="M184" i="6"/>
  <c r="O184" i="6"/>
  <c r="P184" i="6"/>
  <c r="R184" i="6"/>
  <c r="M185" i="6"/>
  <c r="Q185" i="6" s="1"/>
  <c r="O185" i="6"/>
  <c r="P185" i="6"/>
  <c r="R185" i="6"/>
  <c r="M186" i="6"/>
  <c r="Q186" i="6" s="1"/>
  <c r="O186" i="6"/>
  <c r="P186" i="6"/>
  <c r="R186" i="6"/>
  <c r="M187" i="6"/>
  <c r="Q187" i="6" s="1"/>
  <c r="O187" i="6"/>
  <c r="P187" i="6"/>
  <c r="R187" i="6"/>
  <c r="M188" i="6"/>
  <c r="O188" i="6"/>
  <c r="P188" i="6"/>
  <c r="M189" i="6"/>
  <c r="O189" i="6"/>
  <c r="P189" i="6"/>
  <c r="R189" i="6"/>
  <c r="M190" i="6"/>
  <c r="Q190" i="6" s="1"/>
  <c r="O190" i="6"/>
  <c r="P190" i="6"/>
  <c r="R190" i="6"/>
  <c r="M191" i="6"/>
  <c r="Q191" i="6" s="1"/>
  <c r="O191" i="6"/>
  <c r="P191" i="6"/>
  <c r="R191" i="6"/>
  <c r="M192" i="6"/>
  <c r="Q192" i="6" s="1"/>
  <c r="O192" i="6"/>
  <c r="P192" i="6"/>
  <c r="R192" i="6"/>
  <c r="M193" i="6"/>
  <c r="N193" i="6" s="1"/>
  <c r="O193" i="6"/>
  <c r="P193" i="6"/>
  <c r="M194" i="6"/>
  <c r="Q194" i="6" s="1"/>
  <c r="O194" i="6"/>
  <c r="P194" i="6"/>
  <c r="R194" i="6"/>
  <c r="M195" i="6"/>
  <c r="Q195" i="6" s="1"/>
  <c r="O195" i="6"/>
  <c r="P195" i="6"/>
  <c r="R195" i="6"/>
  <c r="M196" i="6"/>
  <c r="Q196" i="6" s="1"/>
  <c r="O196" i="6"/>
  <c r="P196" i="6"/>
  <c r="R196" i="6"/>
  <c r="M197" i="6"/>
  <c r="O197" i="6"/>
  <c r="P197" i="6"/>
  <c r="M198" i="6"/>
  <c r="O198" i="6"/>
  <c r="P198" i="6"/>
  <c r="R198" i="6"/>
  <c r="M199" i="6"/>
  <c r="O199" i="6"/>
  <c r="P199" i="6"/>
  <c r="R199" i="6"/>
  <c r="M200" i="6"/>
  <c r="O200" i="6"/>
  <c r="P200" i="6"/>
  <c r="R200" i="6"/>
  <c r="M201" i="6"/>
  <c r="O201" i="6"/>
  <c r="P201" i="6"/>
  <c r="R201" i="6"/>
  <c r="M202" i="6"/>
  <c r="Q202" i="6" s="1"/>
  <c r="O202" i="6"/>
  <c r="P202" i="6"/>
  <c r="R202" i="6"/>
  <c r="M203" i="6"/>
  <c r="Q203" i="6" s="1"/>
  <c r="O203" i="6"/>
  <c r="P203" i="6"/>
  <c r="R203" i="6"/>
  <c r="M204" i="6"/>
  <c r="Q204" i="6" s="1"/>
  <c r="O204" i="6"/>
  <c r="P204" i="6"/>
  <c r="R204" i="6"/>
  <c r="M205" i="6"/>
  <c r="O205" i="6"/>
  <c r="P205" i="6"/>
  <c r="M206" i="6"/>
  <c r="O206" i="6"/>
  <c r="P206" i="6"/>
  <c r="R206" i="6"/>
  <c r="M207" i="6"/>
  <c r="Q207" i="6" s="1"/>
  <c r="O207" i="6"/>
  <c r="P207" i="6"/>
  <c r="R207" i="6"/>
  <c r="M208" i="6"/>
  <c r="Q208" i="6" s="1"/>
  <c r="O208" i="6"/>
  <c r="P208" i="6"/>
  <c r="R208" i="6"/>
  <c r="M209" i="6"/>
  <c r="Q209" i="6" s="1"/>
  <c r="O209" i="6"/>
  <c r="P209" i="6"/>
  <c r="R209" i="6"/>
  <c r="M210" i="6"/>
  <c r="O210" i="6"/>
  <c r="P210" i="6"/>
  <c r="M211" i="6"/>
  <c r="O211" i="6"/>
  <c r="P211" i="6"/>
  <c r="R211" i="6"/>
  <c r="M212" i="6"/>
  <c r="Q212" i="6" s="1"/>
  <c r="O212" i="6"/>
  <c r="P212" i="6"/>
  <c r="R212" i="6"/>
  <c r="M213" i="6"/>
  <c r="Q213" i="6" s="1"/>
  <c r="O213" i="6"/>
  <c r="P213" i="6"/>
  <c r="R213" i="6"/>
  <c r="M214" i="6"/>
  <c r="Q214" i="6" s="1"/>
  <c r="O214" i="6"/>
  <c r="P214" i="6"/>
  <c r="R214" i="6"/>
  <c r="M215" i="6"/>
  <c r="O215" i="6"/>
  <c r="P215" i="6"/>
  <c r="M216" i="6"/>
  <c r="O216" i="6"/>
  <c r="P216" i="6"/>
  <c r="R216" i="6"/>
  <c r="M217" i="6"/>
  <c r="O217" i="6"/>
  <c r="P217" i="6"/>
  <c r="R217" i="6"/>
  <c r="M218" i="6"/>
  <c r="O218" i="6"/>
  <c r="P218" i="6"/>
  <c r="R218" i="6"/>
  <c r="M219" i="6"/>
  <c r="O219" i="6"/>
  <c r="P219" i="6"/>
  <c r="R219" i="6"/>
  <c r="M220" i="6"/>
  <c r="O220" i="6"/>
  <c r="P220" i="6"/>
  <c r="R220" i="6"/>
  <c r="M221" i="6"/>
  <c r="O221" i="6"/>
  <c r="P221" i="6"/>
  <c r="R221" i="6"/>
  <c r="M222" i="6"/>
  <c r="P222" i="6"/>
  <c r="R222" i="6"/>
  <c r="M223" i="6"/>
  <c r="P223" i="6"/>
  <c r="R223" i="6"/>
  <c r="M224" i="6"/>
  <c r="Q224" i="6" s="1"/>
  <c r="O224" i="6"/>
  <c r="P224" i="6"/>
  <c r="R224" i="6"/>
  <c r="M225" i="6"/>
  <c r="Q225" i="6" s="1"/>
  <c r="O225" i="6"/>
  <c r="P225" i="6"/>
  <c r="R225" i="6"/>
  <c r="M226" i="6"/>
  <c r="Q226" i="6" s="1"/>
  <c r="O226" i="6"/>
  <c r="P226" i="6"/>
  <c r="R226" i="6"/>
  <c r="M227" i="6"/>
  <c r="Q227" i="6" s="1"/>
  <c r="O227" i="6"/>
  <c r="P227" i="6"/>
  <c r="R227" i="6"/>
  <c r="M228" i="6"/>
  <c r="Q228" i="6" s="1"/>
  <c r="O228" i="6"/>
  <c r="P228" i="6"/>
  <c r="R228" i="6"/>
  <c r="M229" i="6"/>
  <c r="O229" i="6"/>
  <c r="P229" i="6"/>
  <c r="M230" i="6"/>
  <c r="O230" i="6"/>
  <c r="P230" i="6"/>
  <c r="R230" i="6"/>
  <c r="M231" i="6"/>
  <c r="O231" i="6"/>
  <c r="P231" i="6"/>
  <c r="R231" i="6"/>
  <c r="M232" i="6"/>
  <c r="O232" i="6"/>
  <c r="P232" i="6"/>
  <c r="R232" i="6"/>
  <c r="M233" i="6"/>
  <c r="O233" i="6"/>
  <c r="P233" i="6"/>
  <c r="R233" i="6"/>
  <c r="M234" i="6"/>
  <c r="O234" i="6"/>
  <c r="P234" i="6"/>
  <c r="R234" i="6"/>
  <c r="M235" i="6"/>
  <c r="O235" i="6"/>
  <c r="P235" i="6"/>
  <c r="R235" i="6"/>
  <c r="P236" i="6"/>
  <c r="R236" i="6"/>
  <c r="P237" i="6"/>
  <c r="R237" i="6"/>
  <c r="M238" i="6"/>
  <c r="Q238" i="6" s="1"/>
  <c r="O238" i="6"/>
  <c r="P238" i="6"/>
  <c r="R238" i="6"/>
  <c r="M239" i="6"/>
  <c r="Q239" i="6" s="1"/>
  <c r="O239" i="6"/>
  <c r="P239" i="6"/>
  <c r="R239" i="6"/>
  <c r="M240" i="6"/>
  <c r="Q240" i="6" s="1"/>
  <c r="O240" i="6"/>
  <c r="P240" i="6"/>
  <c r="R240" i="6"/>
  <c r="M241" i="6"/>
  <c r="Q241" i="6" s="1"/>
  <c r="O241" i="6"/>
  <c r="P241" i="6"/>
  <c r="R241" i="6"/>
  <c r="M242" i="6"/>
  <c r="Q242" i="6" s="1"/>
  <c r="O242" i="6"/>
  <c r="P242" i="6"/>
  <c r="R242" i="6"/>
  <c r="M243" i="6"/>
  <c r="O243" i="6"/>
  <c r="P243" i="6"/>
  <c r="M244" i="6"/>
  <c r="O244" i="6"/>
  <c r="P244" i="6"/>
  <c r="R244" i="6"/>
  <c r="M245" i="6"/>
  <c r="O245" i="6"/>
  <c r="P245" i="6"/>
  <c r="R245" i="6"/>
  <c r="M246" i="6"/>
  <c r="O246" i="6"/>
  <c r="P246" i="6"/>
  <c r="R246" i="6"/>
  <c r="M247" i="6"/>
  <c r="O247" i="6"/>
  <c r="P247" i="6"/>
  <c r="R247" i="6"/>
  <c r="M248" i="6"/>
  <c r="O248" i="6"/>
  <c r="P248" i="6"/>
  <c r="R248" i="6"/>
  <c r="M249" i="6"/>
  <c r="O249" i="6"/>
  <c r="P249" i="6"/>
  <c r="R249" i="6"/>
  <c r="M250" i="6"/>
  <c r="O250" i="6"/>
  <c r="P250" i="6"/>
  <c r="R250" i="6"/>
  <c r="P251" i="6"/>
  <c r="R251" i="6"/>
  <c r="M252" i="6"/>
  <c r="P252" i="6"/>
  <c r="R252" i="6"/>
  <c r="M253" i="6"/>
  <c r="Q253" i="6" s="1"/>
  <c r="O253" i="6"/>
  <c r="P253" i="6"/>
  <c r="R253" i="6"/>
  <c r="M254" i="6"/>
  <c r="Q254" i="6" s="1"/>
  <c r="O254" i="6"/>
  <c r="P254" i="6"/>
  <c r="R254" i="6"/>
  <c r="M255" i="6"/>
  <c r="Q255" i="6" s="1"/>
  <c r="O255" i="6"/>
  <c r="P255" i="6"/>
  <c r="R255" i="6"/>
  <c r="M256" i="6"/>
  <c r="Q256" i="6" s="1"/>
  <c r="O256" i="6"/>
  <c r="P256" i="6"/>
  <c r="R256" i="6"/>
  <c r="M257" i="6"/>
  <c r="Q257" i="6" s="1"/>
  <c r="O257" i="6"/>
  <c r="P257" i="6"/>
  <c r="R257" i="6"/>
  <c r="M258" i="6"/>
  <c r="O258" i="6"/>
  <c r="P258" i="6"/>
  <c r="M259" i="6"/>
  <c r="O259" i="6"/>
  <c r="P259" i="6"/>
  <c r="R259" i="6"/>
  <c r="M260" i="6"/>
  <c r="O260" i="6"/>
  <c r="P260" i="6"/>
  <c r="R260" i="6"/>
  <c r="M261" i="6"/>
  <c r="P261" i="6"/>
  <c r="R261" i="6"/>
  <c r="M262" i="6"/>
  <c r="P262" i="6"/>
  <c r="R262" i="6"/>
  <c r="M263" i="6"/>
  <c r="Q263" i="6" s="1"/>
  <c r="O263" i="6"/>
  <c r="P263" i="6"/>
  <c r="R263" i="6"/>
  <c r="M264" i="6"/>
  <c r="Q264" i="6" s="1"/>
  <c r="O264" i="6"/>
  <c r="P264" i="6"/>
  <c r="R264" i="6"/>
  <c r="M265" i="6"/>
  <c r="Q265" i="6" s="1"/>
  <c r="O265" i="6"/>
  <c r="P265" i="6"/>
  <c r="R265" i="6"/>
  <c r="M266" i="6"/>
  <c r="Q266" i="6" s="1"/>
  <c r="O266" i="6"/>
  <c r="P266" i="6"/>
  <c r="R266" i="6"/>
  <c r="M267" i="6"/>
  <c r="Q267" i="6" s="1"/>
  <c r="O267" i="6"/>
  <c r="P267" i="6"/>
  <c r="R267" i="6"/>
  <c r="M268" i="6"/>
  <c r="O268" i="6"/>
  <c r="P268" i="6"/>
  <c r="M269" i="6"/>
  <c r="O269" i="6"/>
  <c r="P269" i="6"/>
  <c r="R269" i="6"/>
  <c r="M270" i="6"/>
  <c r="O270" i="6"/>
  <c r="P270" i="6"/>
  <c r="R270" i="6"/>
  <c r="M271" i="6"/>
  <c r="O271" i="6"/>
  <c r="P271" i="6"/>
  <c r="R271" i="6"/>
  <c r="M272" i="6"/>
  <c r="O272" i="6"/>
  <c r="P272" i="6"/>
  <c r="R272" i="6"/>
  <c r="M273" i="6"/>
  <c r="Q273" i="6" s="1"/>
  <c r="O273" i="6"/>
  <c r="P273" i="6"/>
  <c r="R273" i="6"/>
  <c r="M274" i="6"/>
  <c r="Q274" i="6" s="1"/>
  <c r="O274" i="6"/>
  <c r="P274" i="6"/>
  <c r="R274" i="6"/>
  <c r="M275" i="6"/>
  <c r="Q275" i="6" s="1"/>
  <c r="O275" i="6"/>
  <c r="P275" i="6"/>
  <c r="R275" i="6"/>
  <c r="M276" i="6"/>
  <c r="O276" i="6"/>
  <c r="P276" i="6"/>
  <c r="M277" i="6"/>
  <c r="O277" i="6"/>
  <c r="P277" i="6"/>
  <c r="R277" i="6"/>
  <c r="M278" i="6"/>
  <c r="O278" i="6"/>
  <c r="P278" i="6"/>
  <c r="R278" i="6"/>
  <c r="M279" i="6"/>
  <c r="O279" i="6"/>
  <c r="P279" i="6"/>
  <c r="R279" i="6"/>
  <c r="M280" i="6"/>
  <c r="P280" i="6"/>
  <c r="R280" i="6"/>
  <c r="M281" i="6"/>
  <c r="P281" i="6"/>
  <c r="R281" i="6"/>
  <c r="M282" i="6"/>
  <c r="Q282" i="6" s="1"/>
  <c r="O282" i="6"/>
  <c r="P282" i="6"/>
  <c r="R282" i="6"/>
  <c r="M283" i="6"/>
  <c r="Q283" i="6" s="1"/>
  <c r="O283" i="6"/>
  <c r="P283" i="6"/>
  <c r="R283" i="6"/>
  <c r="M284" i="6"/>
  <c r="Q284" i="6" s="1"/>
  <c r="O284" i="6"/>
  <c r="P284" i="6"/>
  <c r="R284" i="6"/>
  <c r="M285" i="6"/>
  <c r="Q285" i="6" s="1"/>
  <c r="O285" i="6"/>
  <c r="P285" i="6"/>
  <c r="R285" i="6"/>
  <c r="M286" i="6"/>
  <c r="Q286" i="6" s="1"/>
  <c r="O286" i="6"/>
  <c r="P286" i="6"/>
  <c r="R286" i="6"/>
  <c r="M287" i="6"/>
  <c r="O287" i="6"/>
  <c r="P287" i="6"/>
  <c r="M288" i="6"/>
  <c r="O288" i="6"/>
  <c r="P288" i="6"/>
  <c r="R288" i="6"/>
  <c r="M289" i="6"/>
  <c r="O289" i="6"/>
  <c r="P289" i="6"/>
  <c r="R289" i="6"/>
  <c r="M290" i="6"/>
  <c r="O290" i="6"/>
  <c r="P290" i="6"/>
  <c r="R290" i="6"/>
  <c r="M291" i="6"/>
  <c r="O291" i="6"/>
  <c r="P291" i="6"/>
  <c r="R291" i="6"/>
  <c r="M292" i="6"/>
  <c r="Q292" i="6" s="1"/>
  <c r="O292" i="6"/>
  <c r="P292" i="6"/>
  <c r="R292" i="6"/>
  <c r="M293" i="6"/>
  <c r="Q293" i="6" s="1"/>
  <c r="O293" i="6"/>
  <c r="P293" i="6"/>
  <c r="R293" i="6"/>
  <c r="M294" i="6"/>
  <c r="Q294" i="6" s="1"/>
  <c r="O294" i="6"/>
  <c r="P294" i="6"/>
  <c r="R294" i="6"/>
  <c r="M295" i="6"/>
  <c r="O295" i="6"/>
  <c r="P295" i="6"/>
  <c r="M296" i="6"/>
  <c r="O296" i="6"/>
  <c r="P296" i="6"/>
  <c r="R296" i="6"/>
  <c r="M297" i="6"/>
  <c r="O297" i="6"/>
  <c r="P297" i="6"/>
  <c r="R297" i="6"/>
  <c r="M298" i="6"/>
  <c r="Q298" i="6" s="1"/>
  <c r="O298" i="6"/>
  <c r="P298" i="6"/>
  <c r="R298" i="6"/>
  <c r="M299" i="6"/>
  <c r="Q299" i="6" s="1"/>
  <c r="O299" i="6"/>
  <c r="P299" i="6"/>
  <c r="R299" i="6"/>
  <c r="M300" i="6"/>
  <c r="Q300" i="6" s="1"/>
  <c r="O300" i="6"/>
  <c r="P300" i="6"/>
  <c r="R300" i="6"/>
  <c r="M301" i="6"/>
  <c r="O301" i="6"/>
  <c r="P301" i="6"/>
  <c r="M302" i="6"/>
  <c r="O302" i="6"/>
  <c r="P302" i="6"/>
  <c r="R302" i="6"/>
  <c r="M303" i="6"/>
  <c r="O303" i="6"/>
  <c r="P303" i="6"/>
  <c r="R303" i="6"/>
  <c r="M304" i="6"/>
  <c r="O304" i="6"/>
  <c r="P304" i="6"/>
  <c r="R304" i="6"/>
  <c r="M305" i="6"/>
  <c r="O305" i="6"/>
  <c r="P305" i="6"/>
  <c r="R305" i="6"/>
  <c r="M306" i="6"/>
  <c r="O306" i="6"/>
  <c r="P306" i="6"/>
  <c r="R306" i="6"/>
  <c r="M307" i="6"/>
  <c r="O307" i="6"/>
  <c r="P307" i="6"/>
  <c r="R307" i="6"/>
  <c r="P308" i="6"/>
  <c r="R308" i="6"/>
  <c r="P309" i="6"/>
  <c r="R309" i="6"/>
  <c r="M310" i="6"/>
  <c r="Q310" i="6" s="1"/>
  <c r="O310" i="6"/>
  <c r="P310" i="6"/>
  <c r="R310" i="6"/>
  <c r="M311" i="6"/>
  <c r="Q311" i="6" s="1"/>
  <c r="O311" i="6"/>
  <c r="P311" i="6"/>
  <c r="R311" i="6"/>
  <c r="M312" i="6"/>
  <c r="Q312" i="6" s="1"/>
  <c r="O312" i="6"/>
  <c r="P312" i="6"/>
  <c r="R312" i="6"/>
  <c r="M313" i="6"/>
  <c r="Q313" i="6" s="1"/>
  <c r="O313" i="6"/>
  <c r="P313" i="6"/>
  <c r="R313" i="6"/>
  <c r="M314" i="6"/>
  <c r="Q314" i="6" s="1"/>
  <c r="O314" i="6"/>
  <c r="P314" i="6"/>
  <c r="R314" i="6"/>
  <c r="M315" i="6"/>
  <c r="O315" i="6"/>
  <c r="P315" i="6"/>
  <c r="M316" i="6"/>
  <c r="O316" i="6"/>
  <c r="P316" i="6"/>
  <c r="R316" i="6"/>
  <c r="M317" i="6"/>
  <c r="O317" i="6"/>
  <c r="P317" i="6"/>
  <c r="R317" i="6"/>
  <c r="M318" i="6"/>
  <c r="O318" i="6"/>
  <c r="P318" i="6"/>
  <c r="R318" i="6"/>
  <c r="M319" i="6"/>
  <c r="O319" i="6"/>
  <c r="P319" i="6"/>
  <c r="R319" i="6"/>
  <c r="M320" i="6"/>
  <c r="O320" i="6"/>
  <c r="P320" i="6"/>
  <c r="R320" i="6"/>
  <c r="M321" i="6"/>
  <c r="O321" i="6"/>
  <c r="P321" i="6"/>
  <c r="R321" i="6"/>
  <c r="P322" i="6"/>
  <c r="R322" i="6"/>
  <c r="M323" i="6"/>
  <c r="P323" i="6"/>
  <c r="R323" i="6"/>
  <c r="M324" i="6"/>
  <c r="Q324" i="6" s="1"/>
  <c r="O324" i="6"/>
  <c r="P324" i="6"/>
  <c r="R324" i="6"/>
  <c r="M325" i="6"/>
  <c r="Q325" i="6" s="1"/>
  <c r="O325" i="6"/>
  <c r="P325" i="6"/>
  <c r="R325" i="6"/>
  <c r="M326" i="6"/>
  <c r="Q326" i="6" s="1"/>
  <c r="O326" i="6"/>
  <c r="P326" i="6"/>
  <c r="R326" i="6"/>
  <c r="M327" i="6"/>
  <c r="Q327" i="6" s="1"/>
  <c r="O327" i="6"/>
  <c r="P327" i="6"/>
  <c r="R327" i="6"/>
  <c r="M328" i="6"/>
  <c r="Q328" i="6" s="1"/>
  <c r="O328" i="6"/>
  <c r="P328" i="6"/>
  <c r="R328" i="6"/>
  <c r="M329" i="6"/>
  <c r="O329" i="6"/>
  <c r="P329" i="6"/>
  <c r="M330" i="6"/>
  <c r="O330" i="6"/>
  <c r="P330" i="6"/>
  <c r="R330" i="6"/>
  <c r="M331" i="6"/>
  <c r="O331" i="6"/>
  <c r="P331" i="6"/>
  <c r="R331" i="6"/>
  <c r="M332" i="6"/>
  <c r="O332" i="6"/>
  <c r="P332" i="6"/>
  <c r="R332" i="6"/>
  <c r="M333" i="6"/>
  <c r="O333" i="6"/>
  <c r="P333" i="6"/>
  <c r="R333" i="6"/>
  <c r="M334" i="6"/>
  <c r="P334" i="6"/>
  <c r="R334" i="6"/>
  <c r="M335" i="6"/>
  <c r="P335" i="6"/>
  <c r="R335" i="6"/>
  <c r="M336" i="6"/>
  <c r="Q336" i="6" s="1"/>
  <c r="O336" i="6"/>
  <c r="P336" i="6"/>
  <c r="R336" i="6"/>
  <c r="M337" i="6"/>
  <c r="Q337" i="6" s="1"/>
  <c r="O337" i="6"/>
  <c r="P337" i="6"/>
  <c r="R337" i="6"/>
  <c r="M338" i="6"/>
  <c r="Q338" i="6" s="1"/>
  <c r="O338" i="6"/>
  <c r="P338" i="6"/>
  <c r="R338" i="6"/>
  <c r="M339" i="6"/>
  <c r="Q339" i="6" s="1"/>
  <c r="O339" i="6"/>
  <c r="P339" i="6"/>
  <c r="R339" i="6"/>
  <c r="M340" i="6"/>
  <c r="Q340" i="6" s="1"/>
  <c r="O340" i="6"/>
  <c r="P340" i="6"/>
  <c r="R340" i="6"/>
  <c r="M341" i="6"/>
  <c r="O341" i="6"/>
  <c r="P341" i="6"/>
  <c r="M342" i="6"/>
  <c r="O342" i="6"/>
  <c r="P342" i="6"/>
  <c r="R342" i="6"/>
  <c r="M343" i="6"/>
  <c r="O343" i="6"/>
  <c r="P343" i="6"/>
  <c r="R343" i="6"/>
  <c r="M344" i="6"/>
  <c r="O344" i="6"/>
  <c r="P344" i="6"/>
  <c r="R344" i="6"/>
  <c r="M345" i="6"/>
  <c r="Q345" i="6" s="1"/>
  <c r="O345" i="6"/>
  <c r="P345" i="6"/>
  <c r="R345" i="6"/>
  <c r="M346" i="6"/>
  <c r="Q346" i="6" s="1"/>
  <c r="O346" i="6"/>
  <c r="P346" i="6"/>
  <c r="R346" i="6"/>
  <c r="M347" i="6"/>
  <c r="Q347" i="6" s="1"/>
  <c r="O347" i="6"/>
  <c r="P347" i="6"/>
  <c r="R347" i="6"/>
  <c r="M348" i="6"/>
  <c r="O348" i="6"/>
  <c r="P348" i="6"/>
  <c r="M349" i="6"/>
  <c r="O349" i="6"/>
  <c r="P349" i="6"/>
  <c r="R349" i="6"/>
  <c r="M350" i="6"/>
  <c r="O350" i="6"/>
  <c r="P350" i="6"/>
  <c r="R350" i="6"/>
  <c r="M351" i="6"/>
  <c r="O351" i="6"/>
  <c r="P351" i="6"/>
  <c r="R351" i="6"/>
  <c r="M352" i="6"/>
  <c r="Q352" i="6" s="1"/>
  <c r="O352" i="6"/>
  <c r="P352" i="6"/>
  <c r="R352" i="6"/>
  <c r="M353" i="6"/>
  <c r="Q353" i="6" s="1"/>
  <c r="O353" i="6"/>
  <c r="P353" i="6"/>
  <c r="R353" i="6"/>
  <c r="M354" i="6"/>
  <c r="Q354" i="6" s="1"/>
  <c r="O354" i="6"/>
  <c r="P354" i="6"/>
  <c r="R354" i="6"/>
  <c r="M355" i="6"/>
  <c r="O355" i="6"/>
  <c r="P355" i="6"/>
  <c r="M356" i="6"/>
  <c r="O356" i="6"/>
  <c r="P356" i="6"/>
  <c r="R356" i="6"/>
  <c r="M357" i="6"/>
  <c r="O357" i="6"/>
  <c r="P357" i="6"/>
  <c r="R357" i="6"/>
  <c r="M358" i="6"/>
  <c r="O358" i="6"/>
  <c r="P358" i="6"/>
  <c r="R358" i="6"/>
  <c r="M359" i="6"/>
  <c r="O359" i="6"/>
  <c r="P359" i="6"/>
  <c r="R359" i="6"/>
  <c r="M360" i="6"/>
  <c r="Q360" i="6" s="1"/>
  <c r="O360" i="6"/>
  <c r="P360" i="6"/>
  <c r="R360" i="6"/>
  <c r="M361" i="6"/>
  <c r="Q361" i="6" s="1"/>
  <c r="O361" i="6"/>
  <c r="P361" i="6"/>
  <c r="R361" i="6"/>
  <c r="M362" i="6"/>
  <c r="Q362" i="6" s="1"/>
  <c r="O362" i="6"/>
  <c r="P362" i="6"/>
  <c r="R362" i="6"/>
  <c r="M363" i="6"/>
  <c r="O363" i="6"/>
  <c r="P363" i="6"/>
  <c r="M364" i="6"/>
  <c r="O364" i="6"/>
  <c r="P364" i="6"/>
  <c r="R364" i="6"/>
  <c r="M365" i="6"/>
  <c r="O365" i="6"/>
  <c r="P365" i="6"/>
  <c r="R365" i="6"/>
  <c r="M366" i="6"/>
  <c r="Q366" i="6" s="1"/>
  <c r="O366" i="6"/>
  <c r="P366" i="6"/>
  <c r="R366" i="6"/>
  <c r="M367" i="6"/>
  <c r="Q367" i="6" s="1"/>
  <c r="O367" i="6"/>
  <c r="P367" i="6"/>
  <c r="R367" i="6"/>
  <c r="M368" i="6"/>
  <c r="Q368" i="6" s="1"/>
  <c r="O368" i="6"/>
  <c r="P368" i="6"/>
  <c r="R368" i="6"/>
  <c r="M369" i="6"/>
  <c r="O369" i="6"/>
  <c r="P369" i="6"/>
  <c r="M370" i="6"/>
  <c r="O370" i="6"/>
  <c r="P370" i="6"/>
  <c r="R370" i="6"/>
  <c r="M371" i="6"/>
  <c r="O371" i="6"/>
  <c r="P371" i="6"/>
  <c r="R371" i="6"/>
  <c r="M372" i="6"/>
  <c r="Q372" i="6" s="1"/>
  <c r="O372" i="6"/>
  <c r="P372" i="6"/>
  <c r="R372" i="6"/>
  <c r="M373" i="6"/>
  <c r="Q373" i="6" s="1"/>
  <c r="O373" i="6"/>
  <c r="P373" i="6"/>
  <c r="R373" i="6"/>
  <c r="M374" i="6"/>
  <c r="Q374" i="6" s="1"/>
  <c r="O374" i="6"/>
  <c r="P374" i="6"/>
  <c r="R374" i="6"/>
  <c r="M375" i="6"/>
  <c r="O375" i="6"/>
  <c r="P375" i="6"/>
  <c r="M376" i="6"/>
  <c r="O376" i="6"/>
  <c r="P376" i="6"/>
  <c r="R376" i="6"/>
  <c r="M377" i="6"/>
  <c r="O377" i="6"/>
  <c r="P377" i="6"/>
  <c r="R377" i="6"/>
  <c r="M378" i="6"/>
  <c r="O378" i="6"/>
  <c r="P378" i="6"/>
  <c r="R378" i="6"/>
  <c r="M379" i="6"/>
  <c r="O379" i="6"/>
  <c r="P379" i="6"/>
  <c r="R379" i="6"/>
  <c r="M380" i="6"/>
  <c r="O380" i="6"/>
  <c r="P380" i="6"/>
  <c r="R380" i="6"/>
  <c r="M381" i="6"/>
  <c r="Q381" i="6" s="1"/>
  <c r="O381" i="6"/>
  <c r="P381" i="6"/>
  <c r="R381" i="6"/>
  <c r="M382" i="6"/>
  <c r="Q382" i="6" s="1"/>
  <c r="O382" i="6"/>
  <c r="P382" i="6"/>
  <c r="R382" i="6"/>
  <c r="M383" i="6"/>
  <c r="Q383" i="6" s="1"/>
  <c r="O383" i="6"/>
  <c r="P383" i="6"/>
  <c r="R383" i="6"/>
  <c r="M384" i="6"/>
  <c r="O384" i="6"/>
  <c r="P384" i="6"/>
  <c r="M385" i="6"/>
  <c r="O385" i="6"/>
  <c r="P385" i="6"/>
  <c r="R385" i="6"/>
  <c r="M386" i="6"/>
  <c r="O386" i="6"/>
  <c r="P386" i="6"/>
  <c r="R386" i="6"/>
  <c r="M387" i="6"/>
  <c r="O387" i="6"/>
  <c r="P387" i="6"/>
  <c r="R387" i="6"/>
  <c r="M388" i="6"/>
  <c r="O388" i="6"/>
  <c r="P388" i="6"/>
  <c r="R388" i="6"/>
  <c r="M389" i="6"/>
  <c r="O389" i="6"/>
  <c r="P389" i="6"/>
  <c r="R389" i="6"/>
  <c r="M390" i="6"/>
  <c r="O390" i="6"/>
  <c r="P390" i="6"/>
  <c r="R390" i="6"/>
  <c r="M391" i="6"/>
  <c r="Q391" i="6" s="1"/>
  <c r="O391" i="6"/>
  <c r="P391" i="6"/>
  <c r="R391" i="6"/>
  <c r="M392" i="6"/>
  <c r="Q392" i="6" s="1"/>
  <c r="O392" i="6"/>
  <c r="P392" i="6"/>
  <c r="R392" i="6"/>
  <c r="M393" i="6"/>
  <c r="Q393" i="6" s="1"/>
  <c r="O393" i="6"/>
  <c r="P393" i="6"/>
  <c r="R393" i="6"/>
  <c r="M394" i="6"/>
  <c r="O394" i="6"/>
  <c r="P394" i="6"/>
  <c r="M395" i="6"/>
  <c r="O395" i="6"/>
  <c r="P395" i="6"/>
  <c r="R395" i="6"/>
  <c r="M396" i="6"/>
  <c r="O396" i="6"/>
  <c r="P396" i="6"/>
  <c r="R396" i="6"/>
  <c r="M397" i="6"/>
  <c r="O397" i="6"/>
  <c r="P397" i="6"/>
  <c r="R397" i="6"/>
  <c r="M398" i="6"/>
  <c r="O398" i="6"/>
  <c r="P398" i="6"/>
  <c r="R398" i="6"/>
  <c r="M399" i="6"/>
  <c r="P399" i="6"/>
  <c r="R399" i="6"/>
  <c r="M400" i="6"/>
  <c r="P400" i="6"/>
  <c r="R400" i="6"/>
  <c r="M401" i="6"/>
  <c r="Q401" i="6" s="1"/>
  <c r="O401" i="6"/>
  <c r="P401" i="6"/>
  <c r="R401" i="6"/>
  <c r="M402" i="6"/>
  <c r="Q402" i="6" s="1"/>
  <c r="O402" i="6"/>
  <c r="P402" i="6"/>
  <c r="R402" i="6"/>
  <c r="M403" i="6"/>
  <c r="Q403" i="6" s="1"/>
  <c r="O403" i="6"/>
  <c r="P403" i="6"/>
  <c r="R403" i="6"/>
  <c r="M404" i="6"/>
  <c r="Q404" i="6" s="1"/>
  <c r="O404" i="6"/>
  <c r="P404" i="6"/>
  <c r="R404" i="6"/>
  <c r="M405" i="6"/>
  <c r="Q405" i="6" s="1"/>
  <c r="O405" i="6"/>
  <c r="P405" i="6"/>
  <c r="R405" i="6"/>
  <c r="M406" i="6"/>
  <c r="O406" i="6"/>
  <c r="P406" i="6"/>
  <c r="M407" i="6"/>
  <c r="O407" i="6"/>
  <c r="P407" i="6"/>
  <c r="R407" i="6"/>
  <c r="M408" i="6"/>
  <c r="O408" i="6"/>
  <c r="P408" i="6"/>
  <c r="R408" i="6"/>
  <c r="M409" i="6"/>
  <c r="O409" i="6"/>
  <c r="P409" i="6"/>
  <c r="R409" i="6"/>
  <c r="M410" i="6"/>
  <c r="O410" i="6"/>
  <c r="P410" i="6"/>
  <c r="R410" i="6"/>
  <c r="P411" i="6"/>
  <c r="R411" i="6"/>
  <c r="P412" i="6"/>
  <c r="R412" i="6"/>
  <c r="M413" i="6"/>
  <c r="Q413" i="6" s="1"/>
  <c r="O413" i="6"/>
  <c r="P413" i="6"/>
  <c r="R413" i="6"/>
  <c r="M414" i="6"/>
  <c r="Q414" i="6" s="1"/>
  <c r="O414" i="6"/>
  <c r="P414" i="6"/>
  <c r="R414" i="6"/>
  <c r="M415" i="6"/>
  <c r="Q415" i="6" s="1"/>
  <c r="O415" i="6"/>
  <c r="P415" i="6"/>
  <c r="R415" i="6"/>
  <c r="M416" i="6"/>
  <c r="Q416" i="6" s="1"/>
  <c r="O416" i="6"/>
  <c r="P416" i="6"/>
  <c r="R416" i="6"/>
  <c r="M417" i="6"/>
  <c r="Q417" i="6" s="1"/>
  <c r="O417" i="6"/>
  <c r="P417" i="6"/>
  <c r="R417" i="6"/>
  <c r="M418" i="6"/>
  <c r="O418" i="6"/>
  <c r="P418" i="6"/>
  <c r="M419" i="6"/>
  <c r="O419" i="6"/>
  <c r="P419" i="6"/>
  <c r="R419" i="6"/>
  <c r="M420" i="6"/>
  <c r="O420" i="6"/>
  <c r="P420" i="6"/>
  <c r="R420" i="6"/>
  <c r="M421" i="6"/>
  <c r="O421" i="6"/>
  <c r="P421" i="6"/>
  <c r="R421" i="6"/>
  <c r="P422" i="6"/>
  <c r="R422" i="6"/>
  <c r="M423" i="6"/>
  <c r="P423" i="6"/>
  <c r="R423" i="6"/>
  <c r="M424" i="6"/>
  <c r="Q424" i="6" s="1"/>
  <c r="O424" i="6"/>
  <c r="P424" i="6"/>
  <c r="R424" i="6"/>
  <c r="M425" i="6"/>
  <c r="Q425" i="6" s="1"/>
  <c r="O425" i="6"/>
  <c r="P425" i="6"/>
  <c r="R425" i="6"/>
  <c r="M426" i="6"/>
  <c r="Q426" i="6" s="1"/>
  <c r="O426" i="6"/>
  <c r="P426" i="6"/>
  <c r="R426" i="6"/>
  <c r="M427" i="6"/>
  <c r="Q427" i="6" s="1"/>
  <c r="O427" i="6"/>
  <c r="P427" i="6"/>
  <c r="R427" i="6"/>
  <c r="M428" i="6"/>
  <c r="Q428" i="6" s="1"/>
  <c r="O428" i="6"/>
  <c r="P428" i="6"/>
  <c r="R428" i="6"/>
  <c r="M429" i="6"/>
  <c r="O429" i="6"/>
  <c r="P429" i="6"/>
  <c r="M430" i="6"/>
  <c r="O430" i="6"/>
  <c r="P430" i="6"/>
  <c r="R430" i="6"/>
  <c r="M431" i="6"/>
  <c r="O431" i="6"/>
  <c r="P431" i="6"/>
  <c r="R431" i="6"/>
  <c r="M432" i="6"/>
  <c r="O432" i="6"/>
  <c r="P432" i="6"/>
  <c r="R432" i="6"/>
  <c r="M433" i="6"/>
  <c r="O433" i="6"/>
  <c r="P433" i="6"/>
  <c r="R433" i="6"/>
  <c r="M434" i="6"/>
  <c r="P434" i="6"/>
  <c r="R434" i="6"/>
  <c r="M435" i="6"/>
  <c r="P435" i="6"/>
  <c r="R435" i="6"/>
  <c r="M436" i="6"/>
  <c r="Q436" i="6" s="1"/>
  <c r="O436" i="6"/>
  <c r="P436" i="6"/>
  <c r="R436" i="6"/>
  <c r="M437" i="6"/>
  <c r="Q437" i="6" s="1"/>
  <c r="O437" i="6"/>
  <c r="P437" i="6"/>
  <c r="R437" i="6"/>
  <c r="M438" i="6"/>
  <c r="Q438" i="6" s="1"/>
  <c r="O438" i="6"/>
  <c r="P438" i="6"/>
  <c r="R438" i="6"/>
  <c r="M439" i="6"/>
  <c r="Q439" i="6" s="1"/>
  <c r="O439" i="6"/>
  <c r="P439" i="6"/>
  <c r="R439" i="6"/>
  <c r="M440" i="6"/>
  <c r="Q440" i="6" s="1"/>
  <c r="O440" i="6"/>
  <c r="P440" i="6"/>
  <c r="R440" i="6"/>
  <c r="M441" i="6"/>
  <c r="O441" i="6"/>
  <c r="P441" i="6"/>
  <c r="M442" i="6"/>
  <c r="O442" i="6"/>
  <c r="P442" i="6"/>
  <c r="R442" i="6"/>
  <c r="M443" i="6"/>
  <c r="O443" i="6"/>
  <c r="P443" i="6"/>
  <c r="R443" i="6"/>
  <c r="M444" i="6"/>
  <c r="O444" i="6"/>
  <c r="P444" i="6"/>
  <c r="R444" i="6"/>
  <c r="M445" i="6"/>
  <c r="O445" i="6"/>
  <c r="P445" i="6"/>
  <c r="R445" i="6"/>
  <c r="M446" i="6"/>
  <c r="O446" i="6"/>
  <c r="P446" i="6"/>
  <c r="R446" i="6"/>
  <c r="M447" i="6"/>
  <c r="O447" i="6"/>
  <c r="P447" i="6"/>
  <c r="R447" i="6"/>
  <c r="M448" i="6"/>
  <c r="O448" i="6"/>
  <c r="P448" i="6"/>
  <c r="R448" i="6"/>
  <c r="M449" i="6"/>
  <c r="O449" i="6"/>
  <c r="P449" i="6"/>
  <c r="R449" i="6"/>
  <c r="M450" i="6"/>
  <c r="O450" i="6"/>
  <c r="P450" i="6"/>
  <c r="R450" i="6"/>
  <c r="M451" i="6"/>
  <c r="O451" i="6"/>
  <c r="P451" i="6"/>
  <c r="R451" i="6"/>
  <c r="M452" i="6"/>
  <c r="O452" i="6"/>
  <c r="P452" i="6"/>
  <c r="R452" i="6"/>
  <c r="M453" i="6"/>
  <c r="O453" i="6"/>
  <c r="P453" i="6"/>
  <c r="R453" i="6"/>
  <c r="M454" i="6"/>
  <c r="O454" i="6"/>
  <c r="P454" i="6"/>
  <c r="R454" i="6"/>
  <c r="M455" i="6"/>
  <c r="Q455" i="6" s="1"/>
  <c r="O455" i="6"/>
  <c r="P455" i="6"/>
  <c r="R455" i="6"/>
  <c r="M456" i="6"/>
  <c r="Q456" i="6" s="1"/>
  <c r="O456" i="6"/>
  <c r="P456" i="6"/>
  <c r="R456" i="6"/>
  <c r="M457" i="6"/>
  <c r="Q457" i="6" s="1"/>
  <c r="O457" i="6"/>
  <c r="P457" i="6"/>
  <c r="R457" i="6"/>
  <c r="M458" i="6"/>
  <c r="Q458" i="6" s="1"/>
  <c r="O458" i="6"/>
  <c r="P458" i="6"/>
  <c r="R458" i="6"/>
  <c r="M459" i="6"/>
  <c r="Q459" i="6" s="1"/>
  <c r="O459" i="6"/>
  <c r="P459" i="6"/>
  <c r="R459" i="6"/>
  <c r="M460" i="6"/>
  <c r="O460" i="6"/>
  <c r="P460" i="6"/>
  <c r="M461" i="6"/>
  <c r="O461" i="6"/>
  <c r="P461" i="6"/>
  <c r="R461" i="6"/>
  <c r="M462" i="6"/>
  <c r="O462" i="6"/>
  <c r="P462" i="6"/>
  <c r="R462" i="6"/>
  <c r="M463" i="6"/>
  <c r="O463" i="6"/>
  <c r="P463" i="6"/>
  <c r="R463" i="6"/>
  <c r="M464" i="6"/>
  <c r="O464" i="6"/>
  <c r="P464" i="6"/>
  <c r="R464" i="6"/>
  <c r="M465" i="6"/>
  <c r="O465" i="6"/>
  <c r="P465" i="6"/>
  <c r="R465" i="6"/>
  <c r="M466" i="6"/>
  <c r="O466" i="6"/>
  <c r="P466" i="6"/>
  <c r="R466" i="6"/>
  <c r="M467" i="6"/>
  <c r="P467" i="6"/>
  <c r="R467" i="6"/>
  <c r="M468" i="6"/>
  <c r="P468" i="6"/>
  <c r="R468" i="6"/>
  <c r="M469" i="6"/>
  <c r="Q469" i="6" s="1"/>
  <c r="O469" i="6"/>
  <c r="P469" i="6"/>
  <c r="R469" i="6"/>
  <c r="M470" i="6"/>
  <c r="Q470" i="6" s="1"/>
  <c r="O470" i="6"/>
  <c r="P470" i="6"/>
  <c r="R470" i="6"/>
  <c r="M471" i="6"/>
  <c r="Q471" i="6" s="1"/>
  <c r="O471" i="6"/>
  <c r="P471" i="6"/>
  <c r="R471" i="6"/>
  <c r="M472" i="6"/>
  <c r="Q472" i="6" s="1"/>
  <c r="O472" i="6"/>
  <c r="P472" i="6"/>
  <c r="R472" i="6"/>
  <c r="M473" i="6"/>
  <c r="Q473" i="6" s="1"/>
  <c r="O473" i="6"/>
  <c r="P473" i="6"/>
  <c r="R473" i="6"/>
  <c r="M474" i="6"/>
  <c r="O474" i="6"/>
  <c r="P474" i="6"/>
  <c r="M475" i="6"/>
  <c r="O475" i="6"/>
  <c r="P475" i="6"/>
  <c r="R475" i="6"/>
  <c r="M476" i="6"/>
  <c r="O476" i="6"/>
  <c r="P476" i="6"/>
  <c r="R476" i="6"/>
  <c r="M477" i="6"/>
  <c r="O477" i="6"/>
  <c r="P477" i="6"/>
  <c r="R477" i="6"/>
  <c r="M478" i="6"/>
  <c r="O478" i="6"/>
  <c r="P478" i="6"/>
  <c r="R478" i="6"/>
  <c r="M479" i="6"/>
  <c r="O479" i="6"/>
  <c r="P479" i="6"/>
  <c r="R479" i="6"/>
  <c r="M480" i="6"/>
  <c r="O480" i="6"/>
  <c r="P480" i="6"/>
  <c r="R480" i="6"/>
  <c r="M481" i="6"/>
  <c r="O481" i="6"/>
  <c r="P481" i="6"/>
  <c r="R481" i="6"/>
  <c r="M482" i="6"/>
  <c r="O482" i="6"/>
  <c r="P482" i="6"/>
  <c r="R482" i="6"/>
  <c r="M483" i="6"/>
  <c r="O483" i="6"/>
  <c r="P483" i="6"/>
  <c r="R483" i="6"/>
  <c r="M484" i="6"/>
  <c r="O484" i="6"/>
  <c r="P484" i="6"/>
  <c r="R484" i="6"/>
  <c r="M485" i="6"/>
  <c r="O485" i="6"/>
  <c r="P485" i="6"/>
  <c r="R485" i="6"/>
  <c r="M486" i="6"/>
  <c r="O486" i="6"/>
  <c r="P486" i="6"/>
  <c r="R486" i="6"/>
  <c r="M487" i="6"/>
  <c r="O487" i="6"/>
  <c r="P487" i="6"/>
  <c r="R487" i="6"/>
  <c r="M488" i="6"/>
  <c r="Q488" i="6" s="1"/>
  <c r="O488" i="6"/>
  <c r="P488" i="6"/>
  <c r="R488" i="6"/>
  <c r="M489" i="6"/>
  <c r="Q489" i="6" s="1"/>
  <c r="O489" i="6"/>
  <c r="P489" i="6"/>
  <c r="R489" i="6"/>
  <c r="M490" i="6"/>
  <c r="Q490" i="6" s="1"/>
  <c r="O490" i="6"/>
  <c r="P490" i="6"/>
  <c r="R490" i="6"/>
  <c r="M491" i="6"/>
  <c r="Q491" i="6" s="1"/>
  <c r="O491" i="6"/>
  <c r="P491" i="6"/>
  <c r="R491" i="6"/>
  <c r="M492" i="6"/>
  <c r="Q492" i="6" s="1"/>
  <c r="O492" i="6"/>
  <c r="P492" i="6"/>
  <c r="R492" i="6"/>
  <c r="M493" i="6"/>
  <c r="O493" i="6"/>
  <c r="P493" i="6"/>
  <c r="M494" i="6"/>
  <c r="O494" i="6"/>
  <c r="P494" i="6"/>
  <c r="R494" i="6"/>
  <c r="M495" i="6"/>
  <c r="O495" i="6"/>
  <c r="P495" i="6"/>
  <c r="R495" i="6"/>
  <c r="M496" i="6"/>
  <c r="O496" i="6"/>
  <c r="P496" i="6"/>
  <c r="R496" i="6"/>
  <c r="M497" i="6"/>
  <c r="O497" i="6"/>
  <c r="P497" i="6"/>
  <c r="R497" i="6"/>
  <c r="P498" i="6"/>
  <c r="R498" i="6"/>
  <c r="P499" i="6"/>
  <c r="R499" i="6"/>
  <c r="M500" i="6"/>
  <c r="Q500" i="6" s="1"/>
  <c r="O500" i="6"/>
  <c r="P500" i="6"/>
  <c r="R500" i="6"/>
  <c r="M501" i="6"/>
  <c r="Q501" i="6" s="1"/>
  <c r="O501" i="6"/>
  <c r="P501" i="6"/>
  <c r="R501" i="6"/>
  <c r="M502" i="6"/>
  <c r="Q502" i="6" s="1"/>
  <c r="O502" i="6"/>
  <c r="P502" i="6"/>
  <c r="R502" i="6"/>
  <c r="M503" i="6"/>
  <c r="Q503" i="6" s="1"/>
  <c r="O503" i="6"/>
  <c r="P503" i="6"/>
  <c r="R503" i="6"/>
  <c r="M504" i="6"/>
  <c r="Q504" i="6" s="1"/>
  <c r="O504" i="6"/>
  <c r="P504" i="6"/>
  <c r="R504" i="6"/>
  <c r="M505" i="6"/>
  <c r="O505" i="6"/>
  <c r="P505" i="6"/>
  <c r="M506" i="6"/>
  <c r="O506" i="6"/>
  <c r="P506" i="6"/>
  <c r="R506" i="6"/>
  <c r="M507" i="6"/>
  <c r="O507" i="6"/>
  <c r="P507" i="6"/>
  <c r="R507" i="6"/>
  <c r="M508" i="6"/>
  <c r="O508" i="6"/>
  <c r="P508" i="6"/>
  <c r="R508" i="6"/>
  <c r="P509" i="6"/>
  <c r="R509" i="6"/>
  <c r="M510" i="6"/>
  <c r="P510" i="6"/>
  <c r="R510" i="6"/>
  <c r="M511" i="6"/>
  <c r="Q511" i="6" s="1"/>
  <c r="O511" i="6"/>
  <c r="P511" i="6"/>
  <c r="R511" i="6"/>
  <c r="M512" i="6"/>
  <c r="Q512" i="6" s="1"/>
  <c r="O512" i="6"/>
  <c r="P512" i="6"/>
  <c r="R512" i="6"/>
  <c r="M513" i="6"/>
  <c r="Q513" i="6" s="1"/>
  <c r="O513" i="6"/>
  <c r="P513" i="6"/>
  <c r="R513" i="6"/>
  <c r="M514" i="6"/>
  <c r="Q514" i="6" s="1"/>
  <c r="O514" i="6"/>
  <c r="P514" i="6"/>
  <c r="R514" i="6"/>
  <c r="M515" i="6"/>
  <c r="Q515" i="6" s="1"/>
  <c r="O515" i="6"/>
  <c r="P515" i="6"/>
  <c r="R515" i="6"/>
  <c r="M516" i="6"/>
  <c r="O516" i="6"/>
  <c r="P516" i="6"/>
  <c r="M517" i="6"/>
  <c r="O517" i="6"/>
  <c r="P517" i="6"/>
  <c r="R517" i="6"/>
  <c r="M518" i="6"/>
  <c r="O518" i="6"/>
  <c r="P518" i="6"/>
  <c r="R518" i="6"/>
  <c r="M519" i="6"/>
  <c r="Q519" i="6" s="1"/>
  <c r="O519" i="6"/>
  <c r="P519" i="6"/>
  <c r="R519" i="6"/>
  <c r="M520" i="6"/>
  <c r="Q520" i="6" s="1"/>
  <c r="O520" i="6"/>
  <c r="P520" i="6"/>
  <c r="R520" i="6"/>
  <c r="M521" i="6"/>
  <c r="Q521" i="6" s="1"/>
  <c r="O521" i="6"/>
  <c r="P521" i="6"/>
  <c r="R521" i="6"/>
  <c r="M522" i="6"/>
  <c r="O522" i="6"/>
  <c r="P522" i="6"/>
  <c r="M523" i="6"/>
  <c r="O523" i="6"/>
  <c r="P523" i="6"/>
  <c r="R523" i="6"/>
  <c r="M524" i="6"/>
  <c r="O524" i="6"/>
  <c r="P524" i="6"/>
  <c r="R524" i="6"/>
  <c r="M525" i="6"/>
  <c r="Q525" i="6" s="1"/>
  <c r="O525" i="6"/>
  <c r="P525" i="6"/>
  <c r="R525" i="6"/>
  <c r="M526" i="6"/>
  <c r="Q526" i="6" s="1"/>
  <c r="O526" i="6"/>
  <c r="P526" i="6"/>
  <c r="R526" i="6"/>
  <c r="M527" i="6"/>
  <c r="Q527" i="6" s="1"/>
  <c r="O527" i="6"/>
  <c r="P527" i="6"/>
  <c r="R527" i="6"/>
  <c r="M528" i="6"/>
  <c r="O528" i="6"/>
  <c r="P528" i="6"/>
  <c r="M529" i="6"/>
  <c r="O529" i="6"/>
  <c r="P529" i="6"/>
  <c r="R529" i="6"/>
  <c r="M530" i="6"/>
  <c r="O530" i="6"/>
  <c r="P530" i="6"/>
  <c r="R530" i="6"/>
  <c r="M531" i="6"/>
  <c r="Q531" i="6" s="1"/>
  <c r="O531" i="6"/>
  <c r="P531" i="6"/>
  <c r="R531" i="6"/>
  <c r="M532" i="6"/>
  <c r="Q532" i="6" s="1"/>
  <c r="O532" i="6"/>
  <c r="P532" i="6"/>
  <c r="R532" i="6"/>
  <c r="M533" i="6"/>
  <c r="Q533" i="6" s="1"/>
  <c r="O533" i="6"/>
  <c r="P533" i="6"/>
  <c r="R533" i="6"/>
  <c r="M534" i="6"/>
  <c r="O534" i="6"/>
  <c r="P534" i="6"/>
  <c r="M535" i="6"/>
  <c r="O535" i="6"/>
  <c r="P535" i="6"/>
  <c r="R535" i="6"/>
  <c r="M536" i="6"/>
  <c r="O536" i="6"/>
  <c r="P536" i="6"/>
  <c r="R536" i="6"/>
  <c r="M537" i="6"/>
  <c r="Q537" i="6" s="1"/>
  <c r="O537" i="6"/>
  <c r="P537" i="6"/>
  <c r="R537" i="6"/>
  <c r="M538" i="6"/>
  <c r="Q538" i="6" s="1"/>
  <c r="O538" i="6"/>
  <c r="P538" i="6"/>
  <c r="R538" i="6"/>
  <c r="M539" i="6"/>
  <c r="Q539" i="6" s="1"/>
  <c r="O539" i="6"/>
  <c r="P539" i="6"/>
  <c r="R539" i="6"/>
  <c r="M540" i="6"/>
  <c r="O540" i="6"/>
  <c r="P540" i="6"/>
  <c r="M541" i="6"/>
  <c r="O541" i="6"/>
  <c r="P541" i="6"/>
  <c r="R541" i="6"/>
  <c r="M542" i="6"/>
  <c r="O542" i="6"/>
  <c r="P542" i="6"/>
  <c r="R542" i="6"/>
  <c r="M543" i="6"/>
  <c r="Q543" i="6" s="1"/>
  <c r="O543" i="6"/>
  <c r="P543" i="6"/>
  <c r="R543" i="6"/>
  <c r="M544" i="6"/>
  <c r="Q544" i="6" s="1"/>
  <c r="O544" i="6"/>
  <c r="P544" i="6"/>
  <c r="R544" i="6"/>
  <c r="M545" i="6"/>
  <c r="Q545" i="6" s="1"/>
  <c r="O545" i="6"/>
  <c r="P545" i="6"/>
  <c r="R545" i="6"/>
  <c r="M546" i="6"/>
  <c r="O546" i="6"/>
  <c r="P546" i="6"/>
  <c r="M547" i="6"/>
  <c r="O547" i="6"/>
  <c r="P547" i="6"/>
  <c r="R547" i="6"/>
  <c r="M548" i="6"/>
  <c r="O548" i="6"/>
  <c r="P548" i="6"/>
  <c r="R548" i="6"/>
  <c r="M549" i="6"/>
  <c r="O549" i="6"/>
  <c r="P549" i="6"/>
  <c r="R549" i="6"/>
  <c r="M550" i="6"/>
  <c r="Q550" i="6" s="1"/>
  <c r="O550" i="6"/>
  <c r="P550" i="6"/>
  <c r="R550" i="6"/>
  <c r="M551" i="6"/>
  <c r="Q551" i="6" s="1"/>
  <c r="O551" i="6"/>
  <c r="P551" i="6"/>
  <c r="R551" i="6"/>
  <c r="M552" i="6"/>
  <c r="Q552" i="6" s="1"/>
  <c r="O552" i="6"/>
  <c r="P552" i="6"/>
  <c r="R552" i="6"/>
  <c r="M553" i="6"/>
  <c r="O553" i="6"/>
  <c r="P553" i="6"/>
  <c r="M554" i="6"/>
  <c r="O554" i="6"/>
  <c r="P554" i="6"/>
  <c r="R554" i="6"/>
  <c r="M555" i="6"/>
  <c r="O555" i="6"/>
  <c r="P555" i="6"/>
  <c r="R555" i="6"/>
  <c r="M556" i="6"/>
  <c r="O556" i="6"/>
  <c r="P556" i="6"/>
  <c r="R556" i="6"/>
  <c r="M557" i="6"/>
  <c r="O557" i="6"/>
  <c r="P557" i="6"/>
  <c r="R557" i="6"/>
  <c r="M558" i="6"/>
  <c r="O558" i="6"/>
  <c r="P558" i="6"/>
  <c r="R558" i="6"/>
  <c r="M559" i="6"/>
  <c r="P559" i="6"/>
  <c r="R559" i="6"/>
  <c r="M560" i="6"/>
  <c r="P560" i="6"/>
  <c r="R560" i="6"/>
  <c r="M561" i="6"/>
  <c r="Q561" i="6" s="1"/>
  <c r="O561" i="6"/>
  <c r="P561" i="6"/>
  <c r="R561" i="6"/>
  <c r="M562" i="6"/>
  <c r="Q562" i="6" s="1"/>
  <c r="O562" i="6"/>
  <c r="P562" i="6"/>
  <c r="R562" i="6"/>
  <c r="M563" i="6"/>
  <c r="Q563" i="6" s="1"/>
  <c r="O563" i="6"/>
  <c r="P563" i="6"/>
  <c r="R563" i="6"/>
  <c r="M564" i="6"/>
  <c r="Q564" i="6" s="1"/>
  <c r="O564" i="6"/>
  <c r="P564" i="6"/>
  <c r="R564" i="6"/>
  <c r="M565" i="6"/>
  <c r="Q565" i="6" s="1"/>
  <c r="O565" i="6"/>
  <c r="P565" i="6"/>
  <c r="R565" i="6"/>
  <c r="M566" i="6"/>
  <c r="O566" i="6"/>
  <c r="P566" i="6"/>
  <c r="M567" i="6"/>
  <c r="O567" i="6"/>
  <c r="P567" i="6"/>
  <c r="R567" i="6"/>
  <c r="M568" i="6"/>
  <c r="O568" i="6"/>
  <c r="P568" i="6"/>
  <c r="R568" i="6"/>
  <c r="M569" i="6"/>
  <c r="Q569" i="6" s="1"/>
  <c r="O569" i="6"/>
  <c r="P569" i="6"/>
  <c r="R569" i="6"/>
  <c r="M570" i="6"/>
  <c r="Q570" i="6" s="1"/>
  <c r="O570" i="6"/>
  <c r="P570" i="6"/>
  <c r="R570" i="6"/>
  <c r="M571" i="6"/>
  <c r="Q571" i="6" s="1"/>
  <c r="O571" i="6"/>
  <c r="P571" i="6"/>
  <c r="R571" i="6"/>
  <c r="M572" i="6"/>
  <c r="O572" i="6"/>
  <c r="P572" i="6"/>
  <c r="M573" i="6"/>
  <c r="O573" i="6"/>
  <c r="P573" i="6"/>
  <c r="R573" i="6"/>
  <c r="M574" i="6"/>
  <c r="O574" i="6"/>
  <c r="P574" i="6"/>
  <c r="R574" i="6"/>
  <c r="M575" i="6"/>
  <c r="O575" i="6"/>
  <c r="P575" i="6"/>
  <c r="R575" i="6"/>
  <c r="M576" i="6"/>
  <c r="Q576" i="6" s="1"/>
  <c r="O576" i="6"/>
  <c r="P576" i="6"/>
  <c r="R576" i="6"/>
  <c r="M577" i="6"/>
  <c r="Q577" i="6" s="1"/>
  <c r="O577" i="6"/>
  <c r="P577" i="6"/>
  <c r="R577" i="6"/>
  <c r="M578" i="6"/>
  <c r="Q578" i="6" s="1"/>
  <c r="O578" i="6"/>
  <c r="P578" i="6"/>
  <c r="R578" i="6"/>
  <c r="M579" i="6"/>
  <c r="N579" i="6" s="1"/>
  <c r="O579" i="6"/>
  <c r="P579" i="6"/>
  <c r="M580" i="6"/>
  <c r="O580" i="6"/>
  <c r="P580" i="6"/>
  <c r="R580" i="6"/>
  <c r="M581" i="6"/>
  <c r="Q581" i="6" s="1"/>
  <c r="O581" i="6"/>
  <c r="P581" i="6"/>
  <c r="R581" i="6"/>
  <c r="M582" i="6"/>
  <c r="Q582" i="6" s="1"/>
  <c r="O582" i="6"/>
  <c r="P582" i="6"/>
  <c r="R582" i="6"/>
  <c r="M583" i="6"/>
  <c r="Q583" i="6" s="1"/>
  <c r="O583" i="6"/>
  <c r="P583" i="6"/>
  <c r="R583" i="6"/>
  <c r="M584" i="6"/>
  <c r="O584" i="6"/>
  <c r="P584" i="6"/>
  <c r="M585" i="6"/>
  <c r="O585" i="6"/>
  <c r="P585" i="6"/>
  <c r="R585" i="6"/>
  <c r="M586" i="6"/>
  <c r="O586" i="6"/>
  <c r="P586" i="6"/>
  <c r="R586" i="6"/>
  <c r="M587" i="6"/>
  <c r="O587" i="6"/>
  <c r="P587" i="6"/>
  <c r="R587" i="6"/>
  <c r="M588" i="6"/>
  <c r="O588" i="6"/>
  <c r="P588" i="6"/>
  <c r="R588" i="6"/>
  <c r="M589" i="6"/>
  <c r="O589" i="6"/>
  <c r="P589" i="6"/>
  <c r="R589" i="6"/>
  <c r="M590" i="6"/>
  <c r="P590" i="6"/>
  <c r="R590" i="6"/>
  <c r="M591" i="6"/>
  <c r="P591" i="6"/>
  <c r="R591" i="6"/>
  <c r="M592" i="6"/>
  <c r="Q592" i="6" s="1"/>
  <c r="O592" i="6"/>
  <c r="P592" i="6"/>
  <c r="R592" i="6"/>
  <c r="M593" i="6"/>
  <c r="Q593" i="6" s="1"/>
  <c r="O593" i="6"/>
  <c r="P593" i="6"/>
  <c r="R593" i="6"/>
  <c r="M594" i="6"/>
  <c r="Q594" i="6" s="1"/>
  <c r="O594" i="6"/>
  <c r="P594" i="6"/>
  <c r="R594" i="6"/>
  <c r="M595" i="6"/>
  <c r="Q595" i="6" s="1"/>
  <c r="O595" i="6"/>
  <c r="P595" i="6"/>
  <c r="R595" i="6"/>
  <c r="M596" i="6"/>
  <c r="Q596" i="6" s="1"/>
  <c r="O596" i="6"/>
  <c r="P596" i="6"/>
  <c r="R596" i="6"/>
  <c r="M597" i="6"/>
  <c r="O597" i="6"/>
  <c r="P597" i="6"/>
  <c r="M598" i="6"/>
  <c r="O598" i="6"/>
  <c r="P598" i="6"/>
  <c r="R598" i="6"/>
  <c r="M599" i="6"/>
  <c r="Q599" i="6" s="1"/>
  <c r="O599" i="6"/>
  <c r="P599" i="6"/>
  <c r="R599" i="6"/>
  <c r="M600" i="6"/>
  <c r="Q600" i="6" s="1"/>
  <c r="O600" i="6"/>
  <c r="P600" i="6"/>
  <c r="R600" i="6"/>
  <c r="M601" i="6"/>
  <c r="Q601" i="6" s="1"/>
  <c r="O601" i="6"/>
  <c r="P601" i="6"/>
  <c r="R601" i="6"/>
  <c r="M602" i="6"/>
  <c r="O602" i="6"/>
  <c r="P602" i="6"/>
  <c r="M603" i="6"/>
  <c r="O603" i="6"/>
  <c r="P603" i="6"/>
  <c r="R603" i="6"/>
  <c r="M604" i="6"/>
  <c r="O604" i="6"/>
  <c r="P604" i="6"/>
  <c r="R604" i="6"/>
  <c r="M605" i="6"/>
  <c r="O605" i="6"/>
  <c r="P605" i="6"/>
  <c r="R605" i="6"/>
  <c r="M606" i="6"/>
  <c r="O606" i="6"/>
  <c r="P606" i="6"/>
  <c r="R606" i="6"/>
  <c r="M607" i="6"/>
  <c r="Q607" i="6" s="1"/>
  <c r="O607" i="6"/>
  <c r="P607" i="6"/>
  <c r="R607" i="6"/>
  <c r="M608" i="6"/>
  <c r="Q608" i="6" s="1"/>
  <c r="O608" i="6"/>
  <c r="P608" i="6"/>
  <c r="R608" i="6"/>
  <c r="M609" i="6"/>
  <c r="Q609" i="6" s="1"/>
  <c r="O609" i="6"/>
  <c r="P609" i="6"/>
  <c r="R609" i="6"/>
  <c r="M610" i="6"/>
  <c r="O610" i="6"/>
  <c r="P610" i="6"/>
  <c r="M611" i="6"/>
  <c r="O611" i="6"/>
  <c r="P611" i="6"/>
  <c r="R611" i="6"/>
  <c r="M612" i="6"/>
  <c r="O612" i="6"/>
  <c r="P612" i="6"/>
  <c r="R612" i="6"/>
  <c r="M613" i="6"/>
  <c r="Q613" i="6" s="1"/>
  <c r="O613" i="6"/>
  <c r="P613" i="6"/>
  <c r="R613" i="6"/>
  <c r="M614" i="6"/>
  <c r="Q614" i="6" s="1"/>
  <c r="O614" i="6"/>
  <c r="P614" i="6"/>
  <c r="R614" i="6"/>
  <c r="M615" i="6"/>
  <c r="Q615" i="6" s="1"/>
  <c r="O615" i="6"/>
  <c r="P615" i="6"/>
  <c r="R615" i="6"/>
  <c r="M616" i="6"/>
  <c r="O616" i="6"/>
  <c r="P616" i="6"/>
  <c r="M617" i="6"/>
  <c r="O617" i="6"/>
  <c r="P617" i="6"/>
  <c r="R617" i="6"/>
  <c r="M618" i="6"/>
  <c r="Q618" i="6" s="1"/>
  <c r="O618" i="6"/>
  <c r="P618" i="6"/>
  <c r="R618" i="6"/>
  <c r="M619" i="6"/>
  <c r="Q619" i="6" s="1"/>
  <c r="O619" i="6"/>
  <c r="P619" i="6"/>
  <c r="R619" i="6"/>
  <c r="M620" i="6"/>
  <c r="Q620" i="6" s="1"/>
  <c r="O620" i="6"/>
  <c r="P620" i="6"/>
  <c r="R620" i="6"/>
  <c r="M621" i="6"/>
  <c r="O621" i="6"/>
  <c r="P621" i="6"/>
  <c r="M622" i="6"/>
  <c r="O622" i="6"/>
  <c r="P622" i="6"/>
  <c r="R622" i="6"/>
  <c r="M623" i="6"/>
  <c r="Q623" i="6" s="1"/>
  <c r="O623" i="6"/>
  <c r="P623" i="6"/>
  <c r="R623" i="6"/>
  <c r="M624" i="6"/>
  <c r="Q624" i="6" s="1"/>
  <c r="O624" i="6"/>
  <c r="P624" i="6"/>
  <c r="R624" i="6"/>
  <c r="M625" i="6"/>
  <c r="Q625" i="6" s="1"/>
  <c r="O625" i="6"/>
  <c r="P625" i="6"/>
  <c r="R625" i="6"/>
  <c r="M626" i="6"/>
  <c r="O626" i="6"/>
  <c r="P626" i="6"/>
  <c r="M627" i="6"/>
  <c r="O627" i="6"/>
  <c r="P627" i="6"/>
  <c r="R627" i="6"/>
  <c r="M628" i="6"/>
  <c r="O628" i="6"/>
  <c r="P628" i="6"/>
  <c r="R628" i="6"/>
  <c r="M629" i="6"/>
  <c r="Q629" i="6" s="1"/>
  <c r="O629" i="6"/>
  <c r="P629" i="6"/>
  <c r="R629" i="6"/>
  <c r="M630" i="6"/>
  <c r="Q630" i="6" s="1"/>
  <c r="O630" i="6"/>
  <c r="P630" i="6"/>
  <c r="R630" i="6"/>
  <c r="M631" i="6"/>
  <c r="Q631" i="6" s="1"/>
  <c r="O631" i="6"/>
  <c r="P631" i="6"/>
  <c r="R631" i="6"/>
  <c r="M632" i="6"/>
  <c r="O632" i="6"/>
  <c r="P632" i="6"/>
  <c r="M633" i="6"/>
  <c r="O633" i="6"/>
  <c r="P633" i="6"/>
  <c r="R633" i="6"/>
  <c r="M634" i="6"/>
  <c r="O634" i="6"/>
  <c r="P634" i="6"/>
  <c r="R634" i="6"/>
  <c r="M635" i="6"/>
  <c r="O635" i="6"/>
  <c r="P635" i="6"/>
  <c r="R635" i="6"/>
  <c r="M636" i="6"/>
  <c r="O636" i="6"/>
  <c r="P636" i="6"/>
  <c r="R636" i="6"/>
  <c r="M637" i="6"/>
  <c r="O637" i="6"/>
  <c r="P637" i="6"/>
  <c r="R637" i="6"/>
  <c r="M638" i="6"/>
  <c r="O638" i="6"/>
  <c r="P638" i="6"/>
  <c r="R638" i="6"/>
  <c r="P639" i="6"/>
  <c r="R639" i="6"/>
  <c r="P640" i="6"/>
  <c r="R640" i="6"/>
  <c r="M641" i="6"/>
  <c r="Q641" i="6" s="1"/>
  <c r="O641" i="6"/>
  <c r="P641" i="6"/>
  <c r="R641" i="6"/>
  <c r="M642" i="6"/>
  <c r="Q642" i="6" s="1"/>
  <c r="O642" i="6"/>
  <c r="P642" i="6"/>
  <c r="R642" i="6"/>
  <c r="M643" i="6"/>
  <c r="Q643" i="6" s="1"/>
  <c r="O643" i="6"/>
  <c r="P643" i="6"/>
  <c r="R643" i="6"/>
  <c r="R7" i="6"/>
  <c r="P7" i="6"/>
  <c r="O7" i="6"/>
  <c r="M7" i="6"/>
  <c r="Q7" i="6" s="1"/>
  <c r="R6" i="6"/>
  <c r="P6" i="6"/>
  <c r="O6" i="6"/>
  <c r="M6" i="6"/>
  <c r="Q6" i="6" s="1"/>
  <c r="N126" i="7" l="1"/>
  <c r="N137" i="7"/>
  <c r="N81" i="6"/>
  <c r="N18" i="6"/>
  <c r="N205" i="6"/>
  <c r="N287" i="6"/>
  <c r="N584" i="6"/>
  <c r="N540" i="6"/>
  <c r="N138" i="6"/>
  <c r="N441" i="6"/>
  <c r="N348" i="6"/>
  <c r="N616" i="6"/>
  <c r="N522" i="6"/>
  <c r="N295" i="6"/>
  <c r="N144" i="6"/>
  <c r="N23" i="6"/>
  <c r="N610" i="6"/>
  <c r="N602" i="6"/>
  <c r="N210" i="6"/>
  <c r="N158" i="6"/>
  <c r="N114" i="6"/>
  <c r="N75" i="7"/>
  <c r="N528" i="6"/>
  <c r="N369" i="6"/>
  <c r="N197" i="6"/>
  <c r="N71" i="6"/>
  <c r="N40" i="6"/>
  <c r="R296" i="8"/>
  <c r="P291" i="8"/>
  <c r="R291" i="8" s="1"/>
  <c r="N132" i="6"/>
  <c r="M12" i="6"/>
  <c r="N8" i="6" s="1"/>
  <c r="M237" i="6"/>
  <c r="N229" i="6" s="1"/>
  <c r="M309" i="6"/>
  <c r="M412" i="6"/>
  <c r="N406" i="6" s="1"/>
  <c r="M499" i="6"/>
  <c r="N493" i="6" s="1"/>
  <c r="M640" i="6"/>
  <c r="N98" i="6"/>
  <c r="N460" i="6"/>
  <c r="N108" i="6"/>
  <c r="N566" i="6"/>
  <c r="N429" i="6"/>
  <c r="N276" i="6"/>
  <c r="N572" i="6"/>
  <c r="N355" i="6"/>
  <c r="N418" i="6"/>
  <c r="N268" i="6"/>
  <c r="N88" i="6"/>
  <c r="N363" i="6"/>
  <c r="N534" i="6"/>
  <c r="N597" i="6"/>
  <c r="N29" i="6"/>
  <c r="N170" i="6"/>
  <c r="N215" i="6"/>
  <c r="N375" i="6"/>
  <c r="N474" i="6"/>
  <c r="N546" i="6"/>
  <c r="N176" i="6"/>
  <c r="N384" i="6"/>
  <c r="N553" i="6"/>
  <c r="N50" i="6"/>
  <c r="N120" i="6"/>
  <c r="N182" i="6"/>
  <c r="N329" i="6"/>
  <c r="N394" i="6"/>
  <c r="N505" i="6"/>
  <c r="N621" i="6"/>
  <c r="N63" i="6"/>
  <c r="N126" i="6"/>
  <c r="N188" i="6"/>
  <c r="N258" i="6"/>
  <c r="N341" i="6"/>
  <c r="N516" i="6"/>
  <c r="N626" i="6"/>
  <c r="N19" i="7"/>
  <c r="N131" i="7"/>
  <c r="N8" i="7"/>
  <c r="N38" i="7"/>
  <c r="N13" i="7"/>
  <c r="M251" i="6"/>
  <c r="M322" i="6"/>
  <c r="N243" i="6" l="1"/>
  <c r="N632" i="6"/>
  <c r="N315" i="6"/>
  <c r="N301" i="6"/>
  <c r="N8237" i="5" l="1"/>
  <c r="N8236" i="5"/>
  <c r="N8235" i="5"/>
  <c r="N8234" i="5"/>
  <c r="N8233" i="5"/>
  <c r="N8232" i="5"/>
  <c r="N8231" i="5"/>
  <c r="N8230" i="5"/>
  <c r="N8229" i="5"/>
  <c r="N8228" i="5"/>
  <c r="N8227" i="5"/>
  <c r="N8226" i="5"/>
  <c r="N8225" i="5"/>
  <c r="N8224" i="5"/>
  <c r="N8223" i="5"/>
  <c r="N8222" i="5"/>
  <c r="N8221" i="5"/>
  <c r="N8220" i="5"/>
  <c r="N8219" i="5"/>
  <c r="N8218" i="5"/>
  <c r="N8217" i="5"/>
  <c r="N8216" i="5"/>
  <c r="N8215" i="5"/>
  <c r="N8214" i="5"/>
  <c r="N8213" i="5"/>
  <c r="O8213" i="5" s="1"/>
  <c r="N8212" i="5"/>
  <c r="N8211" i="5"/>
  <c r="N8210" i="5"/>
  <c r="N8209" i="5"/>
  <c r="N8208" i="5"/>
  <c r="N8207" i="5"/>
  <c r="N8206" i="5"/>
  <c r="N8205" i="5"/>
  <c r="N8204" i="5"/>
  <c r="N8203" i="5"/>
  <c r="N8202" i="5"/>
  <c r="N8201" i="5"/>
  <c r="N8200" i="5"/>
  <c r="N8199" i="5"/>
  <c r="N8198" i="5"/>
  <c r="N8197" i="5"/>
  <c r="N8196" i="5"/>
  <c r="N8195" i="5"/>
  <c r="N8194" i="5"/>
  <c r="N8193" i="5"/>
  <c r="N8192" i="5"/>
  <c r="N8191" i="5"/>
  <c r="N8190" i="5"/>
  <c r="N8189" i="5"/>
  <c r="N8188" i="5"/>
  <c r="N8187" i="5"/>
  <c r="N8186" i="5"/>
  <c r="N8185" i="5"/>
  <c r="N8184" i="5"/>
  <c r="N8183" i="5"/>
  <c r="N8182" i="5"/>
  <c r="N8181" i="5"/>
  <c r="N8180" i="5"/>
  <c r="N8179" i="5"/>
  <c r="N8178" i="5"/>
  <c r="N8177" i="5"/>
  <c r="O8177" i="5" s="1"/>
  <c r="N8176" i="5"/>
  <c r="N8175" i="5"/>
  <c r="N8174" i="5"/>
  <c r="N8173" i="5"/>
  <c r="O8173" i="5" s="1"/>
  <c r="N8172" i="5"/>
  <c r="N8171" i="5"/>
  <c r="N8170" i="5"/>
  <c r="N8169" i="5"/>
  <c r="O8169" i="5" s="1"/>
  <c r="N8168" i="5"/>
  <c r="N8167" i="5"/>
  <c r="N8166" i="5"/>
  <c r="N8165" i="5"/>
  <c r="O8165" i="5" s="1"/>
  <c r="N8164" i="5"/>
  <c r="N8163" i="5"/>
  <c r="N8162" i="5"/>
  <c r="N8161" i="5"/>
  <c r="O8161" i="5" s="1"/>
  <c r="N8160" i="5"/>
  <c r="N8159" i="5"/>
  <c r="N8158" i="5"/>
  <c r="N8157" i="5"/>
  <c r="O8157" i="5" s="1"/>
  <c r="N8156" i="5"/>
  <c r="N8155" i="5"/>
  <c r="N8154" i="5"/>
  <c r="N8153" i="5"/>
  <c r="O8153" i="5" s="1"/>
  <c r="N8152" i="5"/>
  <c r="N8151" i="5"/>
  <c r="N8150" i="5"/>
  <c r="N8149" i="5"/>
  <c r="O8149" i="5" s="1"/>
  <c r="N8148" i="5"/>
  <c r="N8147" i="5"/>
  <c r="N8146" i="5"/>
  <c r="N8145" i="5"/>
  <c r="O8145" i="5" s="1"/>
  <c r="N8144" i="5"/>
  <c r="N8143" i="5"/>
  <c r="N8142" i="5"/>
  <c r="N8141" i="5"/>
  <c r="O8141" i="5" s="1"/>
  <c r="N8140" i="5"/>
  <c r="N8139" i="5"/>
  <c r="N8138" i="5"/>
  <c r="N8137" i="5"/>
  <c r="O8137" i="5" s="1"/>
  <c r="N8136" i="5"/>
  <c r="N8135" i="5"/>
  <c r="N8134" i="5"/>
  <c r="N8133" i="5"/>
  <c r="O8133" i="5" s="1"/>
  <c r="N8132" i="5"/>
  <c r="N8131" i="5"/>
  <c r="N8130" i="5"/>
  <c r="N8129" i="5"/>
  <c r="O8129" i="5" s="1"/>
  <c r="N8128" i="5"/>
  <c r="N8127" i="5"/>
  <c r="N8126" i="5"/>
  <c r="N8125" i="5"/>
  <c r="O8125" i="5" s="1"/>
  <c r="N8124" i="5"/>
  <c r="N8123" i="5"/>
  <c r="N8122" i="5"/>
  <c r="N8121" i="5"/>
  <c r="O8121" i="5" s="1"/>
  <c r="N8120" i="5"/>
  <c r="N8119" i="5"/>
  <c r="N8118" i="5"/>
  <c r="N8117" i="5"/>
  <c r="O8117" i="5" s="1"/>
  <c r="N8116" i="5"/>
  <c r="N8115" i="5"/>
  <c r="N8114" i="5"/>
  <c r="N8113" i="5"/>
  <c r="O8113" i="5" s="1"/>
  <c r="N8112" i="5"/>
  <c r="N8111" i="5"/>
  <c r="N8110" i="5"/>
  <c r="N8109" i="5"/>
  <c r="O8109" i="5" s="1"/>
  <c r="N8108" i="5"/>
  <c r="N8107" i="5"/>
  <c r="N8106" i="5"/>
  <c r="N8105" i="5"/>
  <c r="O8105" i="5" s="1"/>
  <c r="N8104" i="5"/>
  <c r="N8103" i="5"/>
  <c r="N8102" i="5"/>
  <c r="N8101" i="5"/>
  <c r="O8101" i="5" s="1"/>
  <c r="N8100" i="5"/>
  <c r="N8099" i="5"/>
  <c r="N8098" i="5"/>
  <c r="N8097" i="5"/>
  <c r="O8097" i="5" s="1"/>
  <c r="N8096" i="5"/>
  <c r="N8095" i="5"/>
  <c r="N8094" i="5"/>
  <c r="N8093" i="5"/>
  <c r="O8093" i="5" s="1"/>
  <c r="N8092" i="5"/>
  <c r="N8091" i="5"/>
  <c r="N8090" i="5"/>
  <c r="N8089" i="5"/>
  <c r="O8089" i="5" s="1"/>
  <c r="N8088" i="5"/>
  <c r="N8087" i="5"/>
  <c r="N8086" i="5"/>
  <c r="N8085" i="5"/>
  <c r="O8085" i="5" s="1"/>
  <c r="N8084" i="5"/>
  <c r="N8083" i="5"/>
  <c r="N8082" i="5"/>
  <c r="N8081" i="5"/>
  <c r="O8081" i="5" s="1"/>
  <c r="N8080" i="5"/>
  <c r="N8079" i="5"/>
  <c r="N8078" i="5"/>
  <c r="N8077" i="5"/>
  <c r="O8077" i="5" s="1"/>
  <c r="N8076" i="5"/>
  <c r="N8075" i="5"/>
  <c r="N8074" i="5"/>
  <c r="N8073" i="5"/>
  <c r="O8073" i="5" s="1"/>
  <c r="N8072" i="5"/>
  <c r="N8071" i="5"/>
  <c r="N8070" i="5"/>
  <c r="N8069" i="5"/>
  <c r="O8069" i="5" s="1"/>
  <c r="N8068" i="5"/>
  <c r="N8067" i="5"/>
  <c r="N8066" i="5"/>
  <c r="N8065" i="5"/>
  <c r="O8065" i="5" s="1"/>
  <c r="N8064" i="5"/>
  <c r="N8063" i="5"/>
  <c r="N8062" i="5"/>
  <c r="N8061" i="5"/>
  <c r="O8061" i="5" s="1"/>
  <c r="N8060" i="5"/>
  <c r="N8059" i="5"/>
  <c r="N8058" i="5"/>
  <c r="N8057" i="5"/>
  <c r="O8057" i="5" s="1"/>
  <c r="N8056" i="5"/>
  <c r="N8055" i="5"/>
  <c r="N8054" i="5"/>
  <c r="N8053" i="5"/>
  <c r="O8053" i="5" s="1"/>
  <c r="N8052" i="5"/>
  <c r="N8051" i="5"/>
  <c r="N8050" i="5"/>
  <c r="N8049" i="5"/>
  <c r="O8049" i="5" s="1"/>
  <c r="N8048" i="5"/>
  <c r="N8047" i="5"/>
  <c r="N8046" i="5"/>
  <c r="N8045" i="5"/>
  <c r="O8045" i="5" s="1"/>
  <c r="N8044" i="5"/>
  <c r="N8043" i="5"/>
  <c r="N8042" i="5"/>
  <c r="N8041" i="5"/>
  <c r="O8041" i="5" s="1"/>
  <c r="N8040" i="5"/>
  <c r="N8039" i="5"/>
  <c r="N8038" i="5"/>
  <c r="N8037" i="5"/>
  <c r="O8037" i="5" s="1"/>
  <c r="N8036" i="5"/>
  <c r="N8035" i="5"/>
  <c r="N8034" i="5"/>
  <c r="N8033" i="5"/>
  <c r="O8033" i="5" s="1"/>
  <c r="N8032" i="5"/>
  <c r="N8031" i="5"/>
  <c r="N8030" i="5"/>
  <c r="N8029" i="5"/>
  <c r="O8029" i="5" s="1"/>
  <c r="N8028" i="5"/>
  <c r="N8027" i="5"/>
  <c r="N8026" i="5"/>
  <c r="N8025" i="5"/>
  <c r="O8025" i="5" s="1"/>
  <c r="N8024" i="5"/>
  <c r="N8023" i="5"/>
  <c r="N8022" i="5"/>
  <c r="N8021" i="5"/>
  <c r="O8021" i="5" s="1"/>
  <c r="N8020" i="5"/>
  <c r="N8019" i="5"/>
  <c r="N8018" i="5"/>
  <c r="N8017" i="5"/>
  <c r="O8017" i="5" s="1"/>
  <c r="N8016" i="5"/>
  <c r="N8015" i="5"/>
  <c r="N8014" i="5"/>
  <c r="N8013" i="5"/>
  <c r="O8013" i="5" s="1"/>
  <c r="N8012" i="5"/>
  <c r="N8011" i="5"/>
  <c r="N8010" i="5"/>
  <c r="N8009" i="5"/>
  <c r="O8009" i="5" s="1"/>
  <c r="N8008" i="5"/>
  <c r="N8007" i="5"/>
  <c r="N8006" i="5"/>
  <c r="N8005" i="5"/>
  <c r="O8005" i="5" s="1"/>
  <c r="N8004" i="5"/>
  <c r="N8003" i="5"/>
  <c r="N8002" i="5"/>
  <c r="N8001" i="5"/>
  <c r="O8001" i="5" s="1"/>
  <c r="N8000" i="5"/>
  <c r="N7999" i="5"/>
  <c r="N7998" i="5"/>
  <c r="N7997" i="5"/>
  <c r="O7997" i="5" s="1"/>
  <c r="N7996" i="5"/>
  <c r="N7995" i="5"/>
  <c r="N7994" i="5"/>
  <c r="N7993" i="5"/>
  <c r="O7993" i="5" s="1"/>
  <c r="N7992" i="5"/>
  <c r="N7991" i="5"/>
  <c r="N7990" i="5"/>
  <c r="N7989" i="5"/>
  <c r="O7989" i="5" s="1"/>
  <c r="N7988" i="5"/>
  <c r="N7987" i="5"/>
  <c r="N7986" i="5"/>
  <c r="N7985" i="5"/>
  <c r="O7985" i="5" s="1"/>
  <c r="N7984" i="5"/>
  <c r="N7983" i="5"/>
  <c r="N7982" i="5"/>
  <c r="N7981" i="5"/>
  <c r="O7981" i="5" s="1"/>
  <c r="N7980" i="5"/>
  <c r="N7979" i="5"/>
  <c r="N7978" i="5"/>
  <c r="N7977" i="5"/>
  <c r="O7977" i="5" s="1"/>
  <c r="N7976" i="5"/>
  <c r="N7975" i="5"/>
  <c r="N7974" i="5"/>
  <c r="N7973" i="5"/>
  <c r="O7973" i="5" s="1"/>
  <c r="N7972" i="5"/>
  <c r="N7971" i="5"/>
  <c r="N7970" i="5"/>
  <c r="N7969" i="5"/>
  <c r="O7969" i="5" s="1"/>
  <c r="N7968" i="5"/>
  <c r="N7967" i="5"/>
  <c r="N7966" i="5"/>
  <c r="N7965" i="5"/>
  <c r="O7965" i="5" s="1"/>
  <c r="N7964" i="5"/>
  <c r="N7963" i="5"/>
  <c r="N7962" i="5"/>
  <c r="N7961" i="5"/>
  <c r="O7961" i="5" s="1"/>
  <c r="N7960" i="5"/>
  <c r="N7959" i="5"/>
  <c r="N7958" i="5"/>
  <c r="N7957" i="5"/>
  <c r="O7957" i="5" s="1"/>
  <c r="N7956" i="5"/>
  <c r="N7955" i="5"/>
  <c r="N7954" i="5"/>
  <c r="N7953" i="5"/>
  <c r="O7953" i="5" s="1"/>
  <c r="N7952" i="5"/>
  <c r="N7951" i="5"/>
  <c r="N7950" i="5"/>
  <c r="N7949" i="5"/>
  <c r="O7949" i="5" s="1"/>
  <c r="N7948" i="5"/>
  <c r="N7947" i="5"/>
  <c r="N7946" i="5"/>
  <c r="N7945" i="5"/>
  <c r="O7945" i="5" s="1"/>
  <c r="N7944" i="5"/>
  <c r="N7943" i="5"/>
  <c r="N7942" i="5"/>
  <c r="N7941" i="5"/>
  <c r="O7941" i="5" s="1"/>
  <c r="N7940" i="5"/>
  <c r="N7939" i="5"/>
  <c r="N7938" i="5"/>
  <c r="N7937" i="5"/>
  <c r="O7937" i="5" s="1"/>
  <c r="N7936" i="5"/>
  <c r="N7935" i="5"/>
  <c r="N7934" i="5"/>
  <c r="N7933" i="5"/>
  <c r="O7933" i="5" s="1"/>
  <c r="N7932" i="5"/>
  <c r="N7931" i="5"/>
  <c r="N7930" i="5"/>
  <c r="N7929" i="5"/>
  <c r="O7929" i="5" s="1"/>
  <c r="N7928" i="5"/>
  <c r="N7927" i="5"/>
  <c r="N7926" i="5"/>
  <c r="N7925" i="5"/>
  <c r="O7925" i="5" s="1"/>
  <c r="N7924" i="5"/>
  <c r="N7923" i="5"/>
  <c r="N7922" i="5"/>
  <c r="N7921" i="5"/>
  <c r="O7921" i="5" s="1"/>
  <c r="N7920" i="5"/>
  <c r="N7919" i="5"/>
  <c r="N7918" i="5"/>
  <c r="N7917" i="5"/>
  <c r="O7917" i="5" s="1"/>
  <c r="N7916" i="5"/>
  <c r="N7915" i="5"/>
  <c r="N7914" i="5"/>
  <c r="N7913" i="5"/>
  <c r="O7913" i="5" s="1"/>
  <c r="N7912" i="5"/>
  <c r="N7911" i="5"/>
  <c r="N7910" i="5"/>
  <c r="N7909" i="5"/>
  <c r="O7909" i="5" s="1"/>
  <c r="N7908" i="5"/>
  <c r="N7907" i="5"/>
  <c r="N7906" i="5"/>
  <c r="N7905" i="5"/>
  <c r="O7905" i="5" s="1"/>
  <c r="N7904" i="5"/>
  <c r="N7903" i="5"/>
  <c r="N7902" i="5"/>
  <c r="N7901" i="5"/>
  <c r="O7901" i="5" s="1"/>
  <c r="N7900" i="5"/>
  <c r="N7899" i="5"/>
  <c r="N7898" i="5"/>
  <c r="N7897" i="5"/>
  <c r="O7897" i="5" s="1"/>
  <c r="N7896" i="5"/>
  <c r="N7895" i="5"/>
  <c r="N7894" i="5"/>
  <c r="N7893" i="5"/>
  <c r="O7893" i="5" s="1"/>
  <c r="N7892" i="5"/>
  <c r="N7891" i="5"/>
  <c r="N7890" i="5"/>
  <c r="N7889" i="5"/>
  <c r="O7889" i="5" s="1"/>
  <c r="N7888" i="5"/>
  <c r="N7887" i="5"/>
  <c r="N7886" i="5"/>
  <c r="N7885" i="5"/>
  <c r="O7885" i="5" s="1"/>
  <c r="N7884" i="5"/>
  <c r="N7883" i="5"/>
  <c r="N7882" i="5"/>
  <c r="N7881" i="5"/>
  <c r="O7881" i="5" s="1"/>
  <c r="N7880" i="5"/>
  <c r="N7879" i="5"/>
  <c r="N7878" i="5"/>
  <c r="N7877" i="5"/>
  <c r="O7877" i="5" s="1"/>
  <c r="N7876" i="5"/>
  <c r="N7875" i="5"/>
  <c r="N7874" i="5"/>
  <c r="N7873" i="5"/>
  <c r="O7873" i="5" s="1"/>
  <c r="N7872" i="5"/>
  <c r="N7871" i="5"/>
  <c r="N7870" i="5"/>
  <c r="N7869" i="5"/>
  <c r="O7869" i="5" s="1"/>
  <c r="N7868" i="5"/>
  <c r="N7867" i="5"/>
  <c r="N7866" i="5"/>
  <c r="N7865" i="5"/>
  <c r="O7865" i="5" s="1"/>
  <c r="N7864" i="5"/>
  <c r="N7863" i="5"/>
  <c r="N7862" i="5"/>
  <c r="N7861" i="5"/>
  <c r="O7861" i="5" s="1"/>
  <c r="N7860" i="5"/>
  <c r="N7859" i="5"/>
  <c r="N7858" i="5"/>
  <c r="N7857" i="5"/>
  <c r="O7857" i="5" s="1"/>
  <c r="N7856" i="5"/>
  <c r="N7855" i="5"/>
  <c r="N7854" i="5"/>
  <c r="N7853" i="5"/>
  <c r="O7853" i="5" s="1"/>
  <c r="N7852" i="5"/>
  <c r="N7851" i="5"/>
  <c r="N7850" i="5"/>
  <c r="N7849" i="5"/>
  <c r="O7849" i="5" s="1"/>
  <c r="N7848" i="5"/>
  <c r="N7847" i="5"/>
  <c r="N7846" i="5"/>
  <c r="N7845" i="5"/>
  <c r="O7845" i="5" s="1"/>
  <c r="N7844" i="5"/>
  <c r="N7843" i="5"/>
  <c r="N7842" i="5"/>
  <c r="N7841" i="5"/>
  <c r="O7841" i="5" s="1"/>
  <c r="N7840" i="5"/>
  <c r="N7839" i="5"/>
  <c r="N7838" i="5"/>
  <c r="N7837" i="5"/>
  <c r="O7837" i="5" s="1"/>
  <c r="N7836" i="5"/>
  <c r="N7835" i="5"/>
  <c r="N7834" i="5"/>
  <c r="N7833" i="5"/>
  <c r="O7833" i="5" s="1"/>
  <c r="N7832" i="5"/>
  <c r="N7831" i="5"/>
  <c r="N7830" i="5"/>
  <c r="N7829" i="5"/>
  <c r="O7829" i="5" s="1"/>
  <c r="N7828" i="5"/>
  <c r="N7827" i="5"/>
  <c r="N7826" i="5"/>
  <c r="N7825" i="5"/>
  <c r="O7825" i="5" s="1"/>
  <c r="N7824" i="5"/>
  <c r="N7823" i="5"/>
  <c r="N7822" i="5"/>
  <c r="N7821" i="5"/>
  <c r="O7821" i="5" s="1"/>
  <c r="N7820" i="5"/>
  <c r="N7819" i="5"/>
  <c r="N7818" i="5"/>
  <c r="N7817" i="5"/>
  <c r="O7817" i="5" s="1"/>
  <c r="N7816" i="5"/>
  <c r="N7815" i="5"/>
  <c r="N7814" i="5"/>
  <c r="N7813" i="5"/>
  <c r="O7813" i="5" s="1"/>
  <c r="N7812" i="5"/>
  <c r="N7811" i="5"/>
  <c r="N7810" i="5"/>
  <c r="N7809" i="5"/>
  <c r="O7809" i="5" s="1"/>
  <c r="N7808" i="5"/>
  <c r="N7807" i="5"/>
  <c r="N7806" i="5"/>
  <c r="N7805" i="5"/>
  <c r="O7805" i="5" s="1"/>
  <c r="N7804" i="5"/>
  <c r="N7803" i="5"/>
  <c r="N7802" i="5"/>
  <c r="N7801" i="5"/>
  <c r="O7801" i="5" s="1"/>
  <c r="N7800" i="5"/>
  <c r="N7799" i="5"/>
  <c r="N7798" i="5"/>
  <c r="N7797" i="5"/>
  <c r="O7797" i="5" s="1"/>
  <c r="N7796" i="5"/>
  <c r="N7795" i="5"/>
  <c r="N7794" i="5"/>
  <c r="N7793" i="5"/>
  <c r="O7793" i="5" s="1"/>
  <c r="N7792" i="5"/>
  <c r="N7791" i="5"/>
  <c r="N7790" i="5"/>
  <c r="N7789" i="5"/>
  <c r="O7789" i="5" s="1"/>
  <c r="N7788" i="5"/>
  <c r="N7787" i="5"/>
  <c r="N7786" i="5"/>
  <c r="N7785" i="5"/>
  <c r="O7785" i="5" s="1"/>
  <c r="N7784" i="5"/>
  <c r="N7783" i="5"/>
  <c r="N7782" i="5"/>
  <c r="N7781" i="5"/>
  <c r="O7781" i="5" s="1"/>
  <c r="N7780" i="5"/>
  <c r="N7779" i="5"/>
  <c r="N7778" i="5"/>
  <c r="N7777" i="5"/>
  <c r="O7777" i="5" s="1"/>
  <c r="N7776" i="5"/>
  <c r="N7775" i="5"/>
  <c r="N7774" i="5"/>
  <c r="N7773" i="5"/>
  <c r="O7773" i="5" s="1"/>
  <c r="N7772" i="5"/>
  <c r="N7771" i="5"/>
  <c r="N7770" i="5"/>
  <c r="N7769" i="5"/>
  <c r="O7769" i="5" s="1"/>
  <c r="N7768" i="5"/>
  <c r="N7767" i="5"/>
  <c r="N7766" i="5"/>
  <c r="N7765" i="5"/>
  <c r="O7765" i="5" s="1"/>
  <c r="N7764" i="5"/>
  <c r="N7763" i="5"/>
  <c r="N7762" i="5"/>
  <c r="N7761" i="5"/>
  <c r="O7761" i="5" s="1"/>
  <c r="N7760" i="5"/>
  <c r="N7759" i="5"/>
  <c r="N7758" i="5"/>
  <c r="N7757" i="5"/>
  <c r="O7757" i="5" s="1"/>
  <c r="N7756" i="5"/>
  <c r="N7755" i="5"/>
  <c r="N7754" i="5"/>
  <c r="N7753" i="5"/>
  <c r="O7753" i="5" s="1"/>
  <c r="N7752" i="5"/>
  <c r="N7751" i="5"/>
  <c r="N7750" i="5"/>
  <c r="N7749" i="5"/>
  <c r="O7749" i="5" s="1"/>
  <c r="N7748" i="5"/>
  <c r="N7747" i="5"/>
  <c r="N7746" i="5"/>
  <c r="N7745" i="5"/>
  <c r="O7745" i="5" s="1"/>
  <c r="N7744" i="5"/>
  <c r="N7743" i="5"/>
  <c r="N7742" i="5"/>
  <c r="N7741" i="5"/>
  <c r="O7741" i="5" s="1"/>
  <c r="N7740" i="5"/>
  <c r="N7739" i="5"/>
  <c r="N7738" i="5"/>
  <c r="N7737" i="5"/>
  <c r="O7737" i="5" s="1"/>
  <c r="N7736" i="5"/>
  <c r="N7735" i="5"/>
  <c r="N7734" i="5"/>
  <c r="N7733" i="5"/>
  <c r="O7733" i="5" s="1"/>
  <c r="N7732" i="5"/>
  <c r="N7731" i="5"/>
  <c r="N7730" i="5"/>
  <c r="N7729" i="5"/>
  <c r="O7729" i="5" s="1"/>
  <c r="N7728" i="5"/>
  <c r="N7727" i="5"/>
  <c r="N7726" i="5"/>
  <c r="N7725" i="5"/>
  <c r="O7725" i="5" s="1"/>
  <c r="N7724" i="5"/>
  <c r="N7723" i="5"/>
  <c r="N7722" i="5"/>
  <c r="N7721" i="5"/>
  <c r="O7721" i="5" s="1"/>
  <c r="N7720" i="5"/>
  <c r="N7719" i="5"/>
  <c r="N7718" i="5"/>
  <c r="N7717" i="5"/>
  <c r="O7717" i="5" s="1"/>
  <c r="N7716" i="5"/>
  <c r="N7715" i="5"/>
  <c r="N7714" i="5"/>
  <c r="N7713" i="5"/>
  <c r="O7713" i="5" s="1"/>
  <c r="N7712" i="5"/>
  <c r="N7711" i="5"/>
  <c r="N7710" i="5"/>
  <c r="N7709" i="5"/>
  <c r="O7709" i="5" s="1"/>
  <c r="N7708" i="5"/>
  <c r="N7707" i="5"/>
  <c r="N7706" i="5"/>
  <c r="N7705" i="5"/>
  <c r="O7705" i="5" s="1"/>
  <c r="N7704" i="5"/>
  <c r="N7703" i="5"/>
  <c r="N7702" i="5"/>
  <c r="N7701" i="5"/>
  <c r="O7701" i="5" s="1"/>
  <c r="N7700" i="5"/>
  <c r="N7699" i="5"/>
  <c r="N7698" i="5"/>
  <c r="N7697" i="5"/>
  <c r="O7697" i="5" s="1"/>
  <c r="N7696" i="5"/>
  <c r="N7695" i="5"/>
  <c r="N7694" i="5"/>
  <c r="N7693" i="5"/>
  <c r="O7693" i="5" s="1"/>
  <c r="N7692" i="5"/>
  <c r="N7691" i="5"/>
  <c r="N7690" i="5"/>
  <c r="N7689" i="5"/>
  <c r="O7689" i="5" s="1"/>
  <c r="N7688" i="5"/>
  <c r="N7687" i="5"/>
  <c r="N7686" i="5"/>
  <c r="N7685" i="5"/>
  <c r="O7685" i="5" s="1"/>
  <c r="N7684" i="5"/>
  <c r="N7683" i="5"/>
  <c r="N7682" i="5"/>
  <c r="N7681" i="5"/>
  <c r="O7681" i="5" s="1"/>
  <c r="N7680" i="5"/>
  <c r="N7679" i="5"/>
  <c r="N7678" i="5"/>
  <c r="N7677" i="5"/>
  <c r="O7677" i="5" s="1"/>
  <c r="N7676" i="5"/>
  <c r="N7675" i="5"/>
  <c r="N7674" i="5"/>
  <c r="N7673" i="5"/>
  <c r="O7673" i="5" s="1"/>
  <c r="N7672" i="5"/>
  <c r="N7671" i="5"/>
  <c r="N7670" i="5"/>
  <c r="N7669" i="5"/>
  <c r="O7669" i="5" s="1"/>
  <c r="N7668" i="5"/>
  <c r="N7667" i="5"/>
  <c r="N7666" i="5"/>
  <c r="N7665" i="5"/>
  <c r="O7665" i="5" s="1"/>
  <c r="N7664" i="5"/>
  <c r="N7663" i="5"/>
  <c r="N7662" i="5"/>
  <c r="N7661" i="5"/>
  <c r="O7661" i="5" s="1"/>
  <c r="N7660" i="5"/>
  <c r="N7659" i="5"/>
  <c r="N7658" i="5"/>
  <c r="N7657" i="5"/>
  <c r="O7657" i="5" s="1"/>
  <c r="N7656" i="5"/>
  <c r="N7655" i="5"/>
  <c r="N7654" i="5"/>
  <c r="N7653" i="5"/>
  <c r="O7653" i="5" s="1"/>
  <c r="N7652" i="5"/>
  <c r="N7651" i="5"/>
  <c r="N7650" i="5"/>
  <c r="N7649" i="5"/>
  <c r="O7649" i="5" s="1"/>
  <c r="N7648" i="5"/>
  <c r="N7647" i="5"/>
  <c r="N7646" i="5"/>
  <c r="N7645" i="5"/>
  <c r="O7645" i="5" s="1"/>
  <c r="N7644" i="5"/>
  <c r="N7643" i="5"/>
  <c r="N7642" i="5"/>
  <c r="N7641" i="5"/>
  <c r="O7641" i="5" s="1"/>
  <c r="N7640" i="5"/>
  <c r="N7639" i="5"/>
  <c r="N7638" i="5"/>
  <c r="N7637" i="5"/>
  <c r="O7637" i="5" s="1"/>
  <c r="N7636" i="5"/>
  <c r="N7635" i="5"/>
  <c r="N7634" i="5"/>
  <c r="N7633" i="5"/>
  <c r="O7633" i="5" s="1"/>
  <c r="N7632" i="5"/>
  <c r="N7631" i="5"/>
  <c r="N7630" i="5"/>
  <c r="N7629" i="5"/>
  <c r="O7629" i="5" s="1"/>
  <c r="N7628" i="5"/>
  <c r="N7627" i="5"/>
  <c r="N7626" i="5"/>
  <c r="N7625" i="5"/>
  <c r="O7625" i="5" s="1"/>
  <c r="N7624" i="5"/>
  <c r="N7623" i="5"/>
  <c r="N7622" i="5"/>
  <c r="N7621" i="5"/>
  <c r="O7621" i="5" s="1"/>
  <c r="N7620" i="5"/>
  <c r="N7619" i="5"/>
  <c r="N7618" i="5"/>
  <c r="N7617" i="5"/>
  <c r="O7617" i="5" s="1"/>
  <c r="N7616" i="5"/>
  <c r="N7615" i="5"/>
  <c r="N7614" i="5"/>
  <c r="N7613" i="5"/>
  <c r="O7613" i="5" s="1"/>
  <c r="N7612" i="5"/>
  <c r="N7611" i="5"/>
  <c r="N7610" i="5"/>
  <c r="N7609" i="5"/>
  <c r="O7609" i="5" s="1"/>
  <c r="N7608" i="5"/>
  <c r="N7607" i="5"/>
  <c r="N7606" i="5"/>
  <c r="N7605" i="5"/>
  <c r="O7605" i="5" s="1"/>
  <c r="N7604" i="5"/>
  <c r="N7603" i="5"/>
  <c r="N7602" i="5"/>
  <c r="N7601" i="5"/>
  <c r="O7601" i="5" s="1"/>
  <c r="N7600" i="5"/>
  <c r="N7599" i="5"/>
  <c r="N7598" i="5"/>
  <c r="N7597" i="5"/>
  <c r="O7597" i="5" s="1"/>
  <c r="N7596" i="5"/>
  <c r="N7595" i="5"/>
  <c r="N7594" i="5"/>
  <c r="N7593" i="5"/>
  <c r="O7593" i="5" s="1"/>
  <c r="N7592" i="5"/>
  <c r="N7591" i="5"/>
  <c r="N7590" i="5"/>
  <c r="N7589" i="5"/>
  <c r="O7589" i="5" s="1"/>
  <c r="N7588" i="5"/>
  <c r="N7587" i="5"/>
  <c r="N7586" i="5"/>
  <c r="N7585" i="5"/>
  <c r="O7585" i="5" s="1"/>
  <c r="N7584" i="5"/>
  <c r="N7583" i="5"/>
  <c r="N7582" i="5"/>
  <c r="N7581" i="5"/>
  <c r="O7581" i="5" s="1"/>
  <c r="N7580" i="5"/>
  <c r="N7579" i="5"/>
  <c r="N7578" i="5"/>
  <c r="N7577" i="5"/>
  <c r="O7577" i="5" s="1"/>
  <c r="N7576" i="5"/>
  <c r="N7575" i="5"/>
  <c r="N7574" i="5"/>
  <c r="N7573" i="5"/>
  <c r="O7573" i="5" s="1"/>
  <c r="N7572" i="5"/>
  <c r="N7571" i="5"/>
  <c r="N7570" i="5"/>
  <c r="N7569" i="5"/>
  <c r="O7569" i="5" s="1"/>
  <c r="N7568" i="5"/>
  <c r="N7567" i="5"/>
  <c r="N7566" i="5"/>
  <c r="N7565" i="5"/>
  <c r="O7565" i="5" s="1"/>
  <c r="N7564" i="5"/>
  <c r="N7563" i="5"/>
  <c r="N7562" i="5"/>
  <c r="N7561" i="5"/>
  <c r="O7561" i="5" s="1"/>
  <c r="N7560" i="5"/>
  <c r="N7559" i="5"/>
  <c r="N7558" i="5"/>
  <c r="N7557" i="5"/>
  <c r="O7557" i="5" s="1"/>
  <c r="N7556" i="5"/>
  <c r="N7555" i="5"/>
  <c r="N7554" i="5"/>
  <c r="N7553" i="5"/>
  <c r="O7553" i="5" s="1"/>
  <c r="N7552" i="5"/>
  <c r="N7551" i="5"/>
  <c r="N7550" i="5"/>
  <c r="N7549" i="5"/>
  <c r="O7549" i="5" s="1"/>
  <c r="N7548" i="5"/>
  <c r="N7547" i="5"/>
  <c r="N7546" i="5"/>
  <c r="N7545" i="5"/>
  <c r="N7544" i="5"/>
  <c r="N7543" i="5"/>
  <c r="N7542" i="5"/>
  <c r="N7541" i="5"/>
  <c r="N7540" i="5"/>
  <c r="N7539" i="5"/>
  <c r="N7538" i="5"/>
  <c r="N7537" i="5"/>
  <c r="N7536" i="5"/>
  <c r="N7535" i="5"/>
  <c r="N7534" i="5"/>
  <c r="N7533" i="5"/>
  <c r="N7532" i="5"/>
  <c r="N7531" i="5"/>
  <c r="N7530" i="5"/>
  <c r="N7529" i="5"/>
  <c r="N7528" i="5"/>
  <c r="N7527" i="5"/>
  <c r="N7526" i="5"/>
  <c r="N7525" i="5"/>
  <c r="N7524" i="5"/>
  <c r="N7523" i="5"/>
  <c r="N7522" i="5"/>
  <c r="N7521" i="5"/>
  <c r="N7520" i="5"/>
  <c r="N7519" i="5"/>
  <c r="N7518" i="5"/>
  <c r="N7517" i="5"/>
  <c r="N7516" i="5"/>
  <c r="N7515" i="5"/>
  <c r="N7514" i="5"/>
  <c r="N7513" i="5"/>
  <c r="N7512" i="5"/>
  <c r="N7511" i="5"/>
  <c r="N7510" i="5"/>
  <c r="N7509" i="5"/>
  <c r="N7508" i="5"/>
  <c r="N7507" i="5"/>
  <c r="N7506" i="5"/>
  <c r="N7505" i="5"/>
  <c r="N7504" i="5"/>
  <c r="N7503" i="5"/>
  <c r="N7502" i="5"/>
  <c r="N7501" i="5"/>
  <c r="N7500" i="5"/>
  <c r="N7499" i="5"/>
  <c r="N7498" i="5"/>
  <c r="N7497" i="5"/>
  <c r="N7496" i="5"/>
  <c r="N7495" i="5"/>
  <c r="N7494" i="5"/>
  <c r="N7493" i="5"/>
  <c r="N7492" i="5"/>
  <c r="N7491" i="5"/>
  <c r="N7490" i="5"/>
  <c r="N7489" i="5"/>
  <c r="N7488" i="5"/>
  <c r="N7487" i="5"/>
  <c r="N7486" i="5"/>
  <c r="N7485" i="5"/>
  <c r="N7484" i="5"/>
  <c r="N7483" i="5"/>
  <c r="N7482" i="5"/>
  <c r="N7481" i="5"/>
  <c r="N7480" i="5"/>
  <c r="N7479" i="5"/>
  <c r="N7478" i="5"/>
  <c r="N7477" i="5"/>
  <c r="N7476" i="5"/>
  <c r="N7475" i="5"/>
  <c r="N7474" i="5"/>
  <c r="N7473" i="5"/>
  <c r="N7472" i="5"/>
  <c r="N7471" i="5"/>
  <c r="N7470" i="5"/>
  <c r="N7469" i="5"/>
  <c r="N7468" i="5"/>
  <c r="N7467" i="5"/>
  <c r="N7466" i="5"/>
  <c r="N7465" i="5"/>
  <c r="N7464" i="5"/>
  <c r="N7463" i="5"/>
  <c r="N7462" i="5"/>
  <c r="N7461" i="5"/>
  <c r="N7460" i="5"/>
  <c r="N7459" i="5"/>
  <c r="N7458" i="5"/>
  <c r="N7457" i="5"/>
  <c r="N7456" i="5"/>
  <c r="N7455" i="5"/>
  <c r="N7454" i="5"/>
  <c r="N7453" i="5"/>
  <c r="N7452" i="5"/>
  <c r="N7451" i="5"/>
  <c r="N7450" i="5"/>
  <c r="N7449" i="5"/>
  <c r="N7448" i="5"/>
  <c r="N7447" i="5"/>
  <c r="N7446" i="5"/>
  <c r="N7445" i="5"/>
  <c r="N7444" i="5"/>
  <c r="N7443" i="5"/>
  <c r="N7442" i="5"/>
  <c r="N7441" i="5"/>
  <c r="N7440" i="5"/>
  <c r="N7439" i="5"/>
  <c r="N7438" i="5"/>
  <c r="N7437" i="5"/>
  <c r="N7436" i="5"/>
  <c r="N7435" i="5"/>
  <c r="N7434" i="5"/>
  <c r="N7433" i="5"/>
  <c r="N7432" i="5"/>
  <c r="N7431" i="5"/>
  <c r="N7430" i="5"/>
  <c r="N7429" i="5"/>
  <c r="N7428" i="5"/>
  <c r="N7427" i="5"/>
  <c r="N7426" i="5"/>
  <c r="N7425" i="5"/>
  <c r="N7424" i="5"/>
  <c r="N7423" i="5"/>
  <c r="N7422" i="5"/>
  <c r="N7421" i="5"/>
  <c r="N7420" i="5"/>
  <c r="N7419" i="5"/>
  <c r="N7418" i="5"/>
  <c r="N7417" i="5"/>
  <c r="N7416" i="5"/>
  <c r="N7415" i="5"/>
  <c r="N7414" i="5"/>
  <c r="N7413" i="5"/>
  <c r="N7412" i="5"/>
  <c r="N7411" i="5"/>
  <c r="N7410" i="5"/>
  <c r="N7409" i="5"/>
  <c r="N7408" i="5"/>
  <c r="N7407" i="5"/>
  <c r="N7406" i="5"/>
  <c r="O7404" i="5" s="1"/>
  <c r="N7405" i="5"/>
  <c r="N7404" i="5"/>
  <c r="N7403" i="5"/>
  <c r="N7402" i="5"/>
  <c r="N7401" i="5"/>
  <c r="N7400" i="5"/>
  <c r="N7399" i="5"/>
  <c r="N7398" i="5"/>
  <c r="N7397" i="5"/>
  <c r="N7396" i="5"/>
  <c r="N7395" i="5"/>
  <c r="N7394" i="5"/>
  <c r="N7393" i="5"/>
  <c r="N7392" i="5"/>
  <c r="N7391" i="5"/>
  <c r="N7390" i="5"/>
  <c r="N7389" i="5"/>
  <c r="N7388" i="5"/>
  <c r="N7387" i="5"/>
  <c r="N7386" i="5"/>
  <c r="N7385" i="5"/>
  <c r="N7384" i="5"/>
  <c r="N7383" i="5"/>
  <c r="N7382" i="5"/>
  <c r="N7381" i="5"/>
  <c r="N7380" i="5"/>
  <c r="N7379" i="5"/>
  <c r="N7378" i="5"/>
  <c r="N7377" i="5"/>
  <c r="N7376" i="5"/>
  <c r="N7375" i="5"/>
  <c r="N7374" i="5"/>
  <c r="N7373" i="5"/>
  <c r="N7372" i="5"/>
  <c r="N7371" i="5"/>
  <c r="N7370" i="5"/>
  <c r="N7369" i="5"/>
  <c r="N7368" i="5"/>
  <c r="N7367" i="5"/>
  <c r="N7366" i="5"/>
  <c r="N7365" i="5"/>
  <c r="N7364" i="5"/>
  <c r="N7363" i="5"/>
  <c r="N7362" i="5"/>
  <c r="N7361" i="5"/>
  <c r="N7360" i="5"/>
  <c r="N7359" i="5"/>
  <c r="N7358" i="5"/>
  <c r="N7357" i="5"/>
  <c r="N7356" i="5"/>
  <c r="N7355" i="5"/>
  <c r="N7354" i="5"/>
  <c r="N7353" i="5"/>
  <c r="N7352" i="5"/>
  <c r="N7351" i="5"/>
  <c r="N7350" i="5"/>
  <c r="N7349" i="5"/>
  <c r="N7348" i="5"/>
  <c r="N7347" i="5"/>
  <c r="N7346" i="5"/>
  <c r="N7345" i="5"/>
  <c r="N7344" i="5"/>
  <c r="N7343" i="5"/>
  <c r="N7342" i="5"/>
  <c r="N7341" i="5"/>
  <c r="N7340" i="5"/>
  <c r="N7339" i="5"/>
  <c r="N7338" i="5"/>
  <c r="N7337" i="5"/>
  <c r="N7336" i="5"/>
  <c r="N7335" i="5"/>
  <c r="N7334" i="5"/>
  <c r="N7333" i="5"/>
  <c r="N7332" i="5"/>
  <c r="N7331" i="5"/>
  <c r="N7330" i="5"/>
  <c r="N7329" i="5"/>
  <c r="N7328" i="5"/>
  <c r="N7327" i="5"/>
  <c r="N7326" i="5"/>
  <c r="N7325" i="5"/>
  <c r="N7324" i="5"/>
  <c r="N7323" i="5"/>
  <c r="N7322" i="5"/>
  <c r="N7321" i="5"/>
  <c r="N7320" i="5"/>
  <c r="N7319" i="5"/>
  <c r="N7318" i="5"/>
  <c r="N7317" i="5"/>
  <c r="N7316" i="5"/>
  <c r="N7315" i="5"/>
  <c r="N7314" i="5"/>
  <c r="O7314" i="5" s="1"/>
  <c r="N7313" i="5"/>
  <c r="N7312" i="5"/>
  <c r="N7311" i="5"/>
  <c r="N7310" i="5"/>
  <c r="O7310" i="5" s="1"/>
  <c r="N7309" i="5"/>
  <c r="N7308" i="5"/>
  <c r="N7307" i="5"/>
  <c r="N7306" i="5"/>
  <c r="O7306" i="5" s="1"/>
  <c r="N7305" i="5"/>
  <c r="N7304" i="5"/>
  <c r="N7303" i="5"/>
  <c r="N7302" i="5"/>
  <c r="O7302" i="5" s="1"/>
  <c r="N7301" i="5"/>
  <c r="N7300" i="5"/>
  <c r="N7299" i="5"/>
  <c r="N7298" i="5"/>
  <c r="O7298" i="5" s="1"/>
  <c r="N7297" i="5"/>
  <c r="N7296" i="5"/>
  <c r="N7295" i="5"/>
  <c r="N7294" i="5"/>
  <c r="O7294" i="5" s="1"/>
  <c r="N7293" i="5"/>
  <c r="N7292" i="5"/>
  <c r="N7291" i="5"/>
  <c r="N7290" i="5"/>
  <c r="O7290" i="5" s="1"/>
  <c r="N7289" i="5"/>
  <c r="N7288" i="5"/>
  <c r="N7287" i="5"/>
  <c r="N7286" i="5"/>
  <c r="O7286" i="5" s="1"/>
  <c r="N7285" i="5"/>
  <c r="N7284" i="5"/>
  <c r="N7283" i="5"/>
  <c r="N7282" i="5"/>
  <c r="O7282" i="5" s="1"/>
  <c r="N7281" i="5"/>
  <c r="N7280" i="5"/>
  <c r="N7279" i="5"/>
  <c r="N7278" i="5"/>
  <c r="O7278" i="5" s="1"/>
  <c r="N7277" i="5"/>
  <c r="N7276" i="5"/>
  <c r="N7275" i="5"/>
  <c r="N7274" i="5"/>
  <c r="O7274" i="5" s="1"/>
  <c r="N7273" i="5"/>
  <c r="N7272" i="5"/>
  <c r="N7271" i="5"/>
  <c r="N7270" i="5"/>
  <c r="O7270" i="5" s="1"/>
  <c r="N7269" i="5"/>
  <c r="N7268" i="5"/>
  <c r="N7267" i="5"/>
  <c r="N7266" i="5"/>
  <c r="O7266" i="5" s="1"/>
  <c r="N7265" i="5"/>
  <c r="N7264" i="5"/>
  <c r="N7263" i="5"/>
  <c r="N7262" i="5"/>
  <c r="O7262" i="5" s="1"/>
  <c r="N7261" i="5"/>
  <c r="N7260" i="5"/>
  <c r="N7259" i="5"/>
  <c r="N7258" i="5"/>
  <c r="O7258" i="5" s="1"/>
  <c r="N7257" i="5"/>
  <c r="N7256" i="5"/>
  <c r="N7255" i="5"/>
  <c r="N7254" i="5"/>
  <c r="N7253" i="5"/>
  <c r="N7252" i="5"/>
  <c r="N7251" i="5"/>
  <c r="N7250" i="5"/>
  <c r="N7249" i="5"/>
  <c r="N7248" i="5"/>
  <c r="N7247" i="5"/>
  <c r="N7246" i="5"/>
  <c r="N7245" i="5"/>
  <c r="N7244" i="5"/>
  <c r="N7243" i="5"/>
  <c r="N7242" i="5"/>
  <c r="N7241" i="5"/>
  <c r="N7240" i="5"/>
  <c r="N7239" i="5"/>
  <c r="N7238" i="5"/>
  <c r="N7237" i="5"/>
  <c r="N7236" i="5"/>
  <c r="N7235" i="5"/>
  <c r="N7234" i="5"/>
  <c r="N7232" i="5"/>
  <c r="N7231" i="5"/>
  <c r="N7230" i="5"/>
  <c r="N7229" i="5"/>
  <c r="N7228" i="5"/>
  <c r="N7227" i="5"/>
  <c r="N7226" i="5"/>
  <c r="N7225" i="5"/>
  <c r="N7224" i="5"/>
  <c r="N7223" i="5"/>
  <c r="N7222" i="5"/>
  <c r="N7221" i="5"/>
  <c r="N7220" i="5"/>
  <c r="O7220" i="5" s="1"/>
  <c r="N7219" i="5"/>
  <c r="N7218" i="5"/>
  <c r="N7217" i="5"/>
  <c r="N7216" i="5"/>
  <c r="O7216" i="5" s="1"/>
  <c r="N7215" i="5"/>
  <c r="N7214" i="5"/>
  <c r="N7213" i="5"/>
  <c r="N7212" i="5"/>
  <c r="O7212" i="5" s="1"/>
  <c r="N7211" i="5"/>
  <c r="N7210" i="5"/>
  <c r="N7209" i="5"/>
  <c r="N7208" i="5"/>
  <c r="O7208" i="5" s="1"/>
  <c r="N7207" i="5"/>
  <c r="N7206" i="5"/>
  <c r="N7205" i="5"/>
  <c r="N7204" i="5"/>
  <c r="N7203" i="5"/>
  <c r="N7202" i="5"/>
  <c r="O7202" i="5" s="1"/>
  <c r="N7201" i="5"/>
  <c r="N7200" i="5"/>
  <c r="N7199" i="5"/>
  <c r="N7198" i="5"/>
  <c r="N7197" i="5"/>
  <c r="N7196" i="5"/>
  <c r="O7196" i="5" s="1"/>
  <c r="N7195" i="5"/>
  <c r="N7194" i="5"/>
  <c r="N7193" i="5"/>
  <c r="N7192" i="5"/>
  <c r="N7191" i="5"/>
  <c r="N7190" i="5"/>
  <c r="O7190" i="5" s="1"/>
  <c r="N7189" i="5"/>
  <c r="N7188" i="5"/>
  <c r="N7187" i="5"/>
  <c r="N7186" i="5"/>
  <c r="N7185" i="5"/>
  <c r="N7184" i="5"/>
  <c r="O7184" i="5" s="1"/>
  <c r="N7183" i="5"/>
  <c r="N7182" i="5"/>
  <c r="N7181" i="5"/>
  <c r="N7180" i="5"/>
  <c r="N7179" i="5"/>
  <c r="N7178" i="5"/>
  <c r="O7178" i="5" s="1"/>
  <c r="N7177" i="5"/>
  <c r="N7176" i="5"/>
  <c r="N7175" i="5"/>
  <c r="N7174" i="5"/>
  <c r="N7173" i="5"/>
  <c r="N7172" i="5"/>
  <c r="O7172" i="5" s="1"/>
  <c r="N7171" i="5"/>
  <c r="N7170" i="5"/>
  <c r="N7169" i="5"/>
  <c r="N7168" i="5"/>
  <c r="N7167" i="5"/>
  <c r="N7166" i="5"/>
  <c r="O7166" i="5" s="1"/>
  <c r="N7165" i="5"/>
  <c r="N7164" i="5"/>
  <c r="N7163" i="5"/>
  <c r="N7162" i="5"/>
  <c r="N7161" i="5"/>
  <c r="N7160" i="5"/>
  <c r="O7160" i="5" s="1"/>
  <c r="N7159" i="5"/>
  <c r="N7158" i="5"/>
  <c r="N7157" i="5"/>
  <c r="N7156" i="5"/>
  <c r="N7155" i="5"/>
  <c r="N7154" i="5"/>
  <c r="O7154" i="5" s="1"/>
  <c r="N7153" i="5"/>
  <c r="N7152" i="5"/>
  <c r="N7151" i="5"/>
  <c r="N7150" i="5"/>
  <c r="N7149" i="5"/>
  <c r="N7148" i="5"/>
  <c r="O7148" i="5" s="1"/>
  <c r="N7147" i="5"/>
  <c r="N7146" i="5"/>
  <c r="N7145" i="5"/>
  <c r="N7144" i="5"/>
  <c r="O7144" i="5" s="1"/>
  <c r="N7143" i="5"/>
  <c r="N7142" i="5"/>
  <c r="N7141" i="5"/>
  <c r="N7140" i="5"/>
  <c r="O7140" i="5" s="1"/>
  <c r="N7139" i="5"/>
  <c r="N7138" i="5"/>
  <c r="N7137" i="5"/>
  <c r="N7136" i="5"/>
  <c r="O7136" i="5" s="1"/>
  <c r="N7135" i="5"/>
  <c r="N7134" i="5"/>
  <c r="N7133" i="5"/>
  <c r="N7132" i="5"/>
  <c r="O7132" i="5" s="1"/>
  <c r="N7131" i="5"/>
  <c r="N7130" i="5"/>
  <c r="N7129" i="5"/>
  <c r="N7128" i="5"/>
  <c r="O7128" i="5" s="1"/>
  <c r="N7127" i="5"/>
  <c r="N7126" i="5"/>
  <c r="N7125" i="5"/>
  <c r="N7124" i="5"/>
  <c r="O7124" i="5" s="1"/>
  <c r="N7123" i="5"/>
  <c r="N7122" i="5"/>
  <c r="N7121" i="5"/>
  <c r="N7120" i="5"/>
  <c r="O7120" i="5" s="1"/>
  <c r="N7119" i="5"/>
  <c r="N7118" i="5"/>
  <c r="N7117" i="5"/>
  <c r="N7116" i="5"/>
  <c r="O7116" i="5" s="1"/>
  <c r="N7115" i="5"/>
  <c r="N7114" i="5"/>
  <c r="N7113" i="5"/>
  <c r="N7112" i="5"/>
  <c r="O7112" i="5" s="1"/>
  <c r="N7111" i="5"/>
  <c r="N7110" i="5"/>
  <c r="N7109" i="5"/>
  <c r="N7108" i="5"/>
  <c r="O7108" i="5" s="1"/>
  <c r="N7107" i="5"/>
  <c r="N7106" i="5"/>
  <c r="N7105" i="5"/>
  <c r="N7104" i="5"/>
  <c r="O7104" i="5" s="1"/>
  <c r="N7103" i="5"/>
  <c r="N7102" i="5"/>
  <c r="N7101" i="5"/>
  <c r="N7100" i="5"/>
  <c r="O7100" i="5" s="1"/>
  <c r="N7099" i="5"/>
  <c r="N7098" i="5"/>
  <c r="N7097" i="5"/>
  <c r="N7096" i="5"/>
  <c r="O7096" i="5" s="1"/>
  <c r="N7095" i="5"/>
  <c r="N7094" i="5"/>
  <c r="N7093" i="5"/>
  <c r="N7092" i="5"/>
  <c r="O7092" i="5" s="1"/>
  <c r="N7091" i="5"/>
  <c r="N7090" i="5"/>
  <c r="N7089" i="5"/>
  <c r="N7088" i="5"/>
  <c r="O7088" i="5" s="1"/>
  <c r="N7087" i="5"/>
  <c r="N7086" i="5"/>
  <c r="N7085" i="5"/>
  <c r="N7084" i="5"/>
  <c r="O7084" i="5" s="1"/>
  <c r="N7083" i="5"/>
  <c r="N7082" i="5"/>
  <c r="N7081" i="5"/>
  <c r="N7080" i="5"/>
  <c r="O7080" i="5" s="1"/>
  <c r="N7079" i="5"/>
  <c r="N7078" i="5"/>
  <c r="N7077" i="5"/>
  <c r="N7076" i="5"/>
  <c r="O7076" i="5" s="1"/>
  <c r="N7075" i="5"/>
  <c r="N7074" i="5"/>
  <c r="N7073" i="5"/>
  <c r="N7072" i="5"/>
  <c r="O7072" i="5" s="1"/>
  <c r="N7071" i="5"/>
  <c r="N7070" i="5"/>
  <c r="N7069" i="5"/>
  <c r="N7068" i="5"/>
  <c r="O7068" i="5" s="1"/>
  <c r="N7067" i="5"/>
  <c r="N7066" i="5"/>
  <c r="N7065" i="5"/>
  <c r="N7064" i="5"/>
  <c r="O7064" i="5" s="1"/>
  <c r="N7063" i="5"/>
  <c r="N7062" i="5"/>
  <c r="N7061" i="5"/>
  <c r="N7060" i="5"/>
  <c r="O7060" i="5" s="1"/>
  <c r="N7059" i="5"/>
  <c r="N7058" i="5"/>
  <c r="N7057" i="5"/>
  <c r="N7056" i="5"/>
  <c r="O7056" i="5" s="1"/>
  <c r="N7055" i="5"/>
  <c r="N7054" i="5"/>
  <c r="N7053" i="5"/>
  <c r="N7052" i="5"/>
  <c r="O7052" i="5" s="1"/>
  <c r="N7051" i="5"/>
  <c r="N7050" i="5"/>
  <c r="N7049" i="5"/>
  <c r="N7048" i="5"/>
  <c r="O7048" i="5" s="1"/>
  <c r="N7047" i="5"/>
  <c r="N7046" i="5"/>
  <c r="N7045" i="5"/>
  <c r="N7044" i="5"/>
  <c r="O7044" i="5" s="1"/>
  <c r="N7043" i="5"/>
  <c r="N7042" i="5"/>
  <c r="N7041" i="5"/>
  <c r="N7040" i="5"/>
  <c r="O7040" i="5" s="1"/>
  <c r="N7039" i="5"/>
  <c r="N7038" i="5"/>
  <c r="N7037" i="5"/>
  <c r="N7036" i="5"/>
  <c r="O7036" i="5" s="1"/>
  <c r="N7035" i="5"/>
  <c r="N7034" i="5"/>
  <c r="N7033" i="5"/>
  <c r="N7032" i="5"/>
  <c r="O7032" i="5" s="1"/>
  <c r="N7031" i="5"/>
  <c r="N7030" i="5"/>
  <c r="N7029" i="5"/>
  <c r="N7028" i="5"/>
  <c r="O7028" i="5" s="1"/>
  <c r="N7027" i="5"/>
  <c r="N7026" i="5"/>
  <c r="N7025" i="5"/>
  <c r="N7024" i="5"/>
  <c r="O7024" i="5" s="1"/>
  <c r="N7023" i="5"/>
  <c r="N7022" i="5"/>
  <c r="N7021" i="5"/>
  <c r="N7020" i="5"/>
  <c r="O7020" i="5" s="1"/>
  <c r="N7019" i="5"/>
  <c r="N7018" i="5"/>
  <c r="N7017" i="5"/>
  <c r="N7016" i="5"/>
  <c r="O7016" i="5" s="1"/>
  <c r="N7015" i="5"/>
  <c r="N7014" i="5"/>
  <c r="N7013" i="5"/>
  <c r="N7012" i="5"/>
  <c r="O7012" i="5" s="1"/>
  <c r="N7011" i="5"/>
  <c r="N7010" i="5"/>
  <c r="N7009" i="5"/>
  <c r="N7008" i="5"/>
  <c r="O7008" i="5" s="1"/>
  <c r="N7007" i="5"/>
  <c r="N7006" i="5"/>
  <c r="N7005" i="5"/>
  <c r="N7004" i="5"/>
  <c r="O7004" i="5" s="1"/>
  <c r="N7003" i="5"/>
  <c r="N7002" i="5"/>
  <c r="N7001" i="5"/>
  <c r="N7000" i="5"/>
  <c r="O7000" i="5" s="1"/>
  <c r="N6999" i="5"/>
  <c r="N6998" i="5"/>
  <c r="N6997" i="5"/>
  <c r="N6996" i="5"/>
  <c r="O6996" i="5" s="1"/>
  <c r="N6995" i="5"/>
  <c r="N6994" i="5"/>
  <c r="N6993" i="5"/>
  <c r="N6992" i="5"/>
  <c r="O6992" i="5" s="1"/>
  <c r="N6991" i="5"/>
  <c r="N6990" i="5"/>
  <c r="N6989" i="5"/>
  <c r="N6988" i="5"/>
  <c r="O6988" i="5" s="1"/>
  <c r="N6987" i="5"/>
  <c r="N6986" i="5"/>
  <c r="N6985" i="5"/>
  <c r="N6984" i="5"/>
  <c r="O6984" i="5" s="1"/>
  <c r="N6983" i="5"/>
  <c r="N6982" i="5"/>
  <c r="N6981" i="5"/>
  <c r="N6980" i="5"/>
  <c r="O6980" i="5" s="1"/>
  <c r="N6979" i="5"/>
  <c r="N6978" i="5"/>
  <c r="N6977" i="5"/>
  <c r="N6976" i="5"/>
  <c r="O6976" i="5" s="1"/>
  <c r="N6975" i="5"/>
  <c r="N6974" i="5"/>
  <c r="N6973" i="5"/>
  <c r="N6972" i="5"/>
  <c r="O6972" i="5" s="1"/>
  <c r="N6971" i="5"/>
  <c r="N6970" i="5"/>
  <c r="N6969" i="5"/>
  <c r="N6968" i="5"/>
  <c r="O6968" i="5" s="1"/>
  <c r="N6967" i="5"/>
  <c r="N6966" i="5"/>
  <c r="N6965" i="5"/>
  <c r="N6964" i="5"/>
  <c r="O6964" i="5" s="1"/>
  <c r="N6963" i="5"/>
  <c r="N6962" i="5"/>
  <c r="N6961" i="5"/>
  <c r="N6960" i="5"/>
  <c r="O6960" i="5" s="1"/>
  <c r="N6959" i="5"/>
  <c r="N6958" i="5"/>
  <c r="N6957" i="5"/>
  <c r="N6956" i="5"/>
  <c r="O6956" i="5" s="1"/>
  <c r="N6955" i="5"/>
  <c r="N6954" i="5"/>
  <c r="N6953" i="5"/>
  <c r="N6952" i="5"/>
  <c r="O6952" i="5" s="1"/>
  <c r="N6951" i="5"/>
  <c r="N6950" i="5"/>
  <c r="N6949" i="5"/>
  <c r="N6948" i="5"/>
  <c r="O6948" i="5" s="1"/>
  <c r="N6947" i="5"/>
  <c r="N6946" i="5"/>
  <c r="N6945" i="5"/>
  <c r="N6944" i="5"/>
  <c r="O6944" i="5" s="1"/>
  <c r="N6943" i="5"/>
  <c r="N6942" i="5"/>
  <c r="N6941" i="5"/>
  <c r="N6940" i="5"/>
  <c r="O6940" i="5" s="1"/>
  <c r="N6939" i="5"/>
  <c r="N6938" i="5"/>
  <c r="N6937" i="5"/>
  <c r="N6936" i="5"/>
  <c r="O6936" i="5" s="1"/>
  <c r="N6935" i="5"/>
  <c r="N6934" i="5"/>
  <c r="N6933" i="5"/>
  <c r="N6932" i="5"/>
  <c r="O6932" i="5" s="1"/>
  <c r="N6931" i="5"/>
  <c r="N6930" i="5"/>
  <c r="N6929" i="5"/>
  <c r="N6928" i="5"/>
  <c r="O6928" i="5" s="1"/>
  <c r="N6927" i="5"/>
  <c r="N6926" i="5"/>
  <c r="N6925" i="5"/>
  <c r="N6924" i="5"/>
  <c r="O6924" i="5" s="1"/>
  <c r="N6923" i="5"/>
  <c r="N6922" i="5"/>
  <c r="N6921" i="5"/>
  <c r="N6920" i="5"/>
  <c r="O6920" i="5" s="1"/>
  <c r="N6919" i="5"/>
  <c r="N6918" i="5"/>
  <c r="N6917" i="5"/>
  <c r="N6916" i="5"/>
  <c r="O6916" i="5" s="1"/>
  <c r="N6915" i="5"/>
  <c r="N6914" i="5"/>
  <c r="N6913" i="5"/>
  <c r="N6912" i="5"/>
  <c r="O6912" i="5" s="1"/>
  <c r="N6911" i="5"/>
  <c r="N6910" i="5"/>
  <c r="N6909" i="5"/>
  <c r="N6908" i="5"/>
  <c r="O6908" i="5" s="1"/>
  <c r="N6907" i="5"/>
  <c r="N6906" i="5"/>
  <c r="N6905" i="5"/>
  <c r="N6904" i="5"/>
  <c r="O6904" i="5" s="1"/>
  <c r="N6903" i="5"/>
  <c r="N6902" i="5"/>
  <c r="N6901" i="5"/>
  <c r="N6900" i="5"/>
  <c r="O6900" i="5" s="1"/>
  <c r="N6899" i="5"/>
  <c r="N6898" i="5"/>
  <c r="N6897" i="5"/>
  <c r="N6896" i="5"/>
  <c r="O6896" i="5" s="1"/>
  <c r="N6895" i="5"/>
  <c r="N6894" i="5"/>
  <c r="N6893" i="5"/>
  <c r="N6892" i="5"/>
  <c r="O6892" i="5" s="1"/>
  <c r="N6891" i="5"/>
  <c r="N6890" i="5"/>
  <c r="N6889" i="5"/>
  <c r="N6888" i="5"/>
  <c r="O6888" i="5" s="1"/>
  <c r="N6887" i="5"/>
  <c r="N6886" i="5"/>
  <c r="N6885" i="5"/>
  <c r="N6884" i="5"/>
  <c r="O6884" i="5" s="1"/>
  <c r="N6883" i="5"/>
  <c r="N6882" i="5"/>
  <c r="N6881" i="5"/>
  <c r="N6880" i="5"/>
  <c r="O6880" i="5" s="1"/>
  <c r="N6879" i="5"/>
  <c r="N6878" i="5"/>
  <c r="N6877" i="5"/>
  <c r="N6876" i="5"/>
  <c r="O6876" i="5" s="1"/>
  <c r="N6875" i="5"/>
  <c r="N6874" i="5"/>
  <c r="N6873" i="5"/>
  <c r="N6872" i="5"/>
  <c r="O6872" i="5" s="1"/>
  <c r="N6871" i="5"/>
  <c r="N6870" i="5"/>
  <c r="N6869" i="5"/>
  <c r="N6868" i="5"/>
  <c r="O6868" i="5" s="1"/>
  <c r="N6867" i="5"/>
  <c r="N6866" i="5"/>
  <c r="N6865" i="5"/>
  <c r="N6864" i="5"/>
  <c r="O6864" i="5" s="1"/>
  <c r="N6863" i="5"/>
  <c r="N6862" i="5"/>
  <c r="N6861" i="5"/>
  <c r="N6860" i="5"/>
  <c r="O6860" i="5" s="1"/>
  <c r="N6859" i="5"/>
  <c r="N6858" i="5"/>
  <c r="N6857" i="5"/>
  <c r="N6856" i="5"/>
  <c r="O6856" i="5" s="1"/>
  <c r="N6855" i="5"/>
  <c r="N6854" i="5"/>
  <c r="N6853" i="5"/>
  <c r="N6852" i="5"/>
  <c r="O6852" i="5" s="1"/>
  <c r="N6851" i="5"/>
  <c r="N6850" i="5"/>
  <c r="N6849" i="5"/>
  <c r="N6848" i="5"/>
  <c r="O6848" i="5" s="1"/>
  <c r="N6847" i="5"/>
  <c r="N6846" i="5"/>
  <c r="N6845" i="5"/>
  <c r="N6844" i="5"/>
  <c r="O6844" i="5" s="1"/>
  <c r="N6843" i="5"/>
  <c r="N6842" i="5"/>
  <c r="N6841" i="5"/>
  <c r="N6840" i="5"/>
  <c r="O6840" i="5" s="1"/>
  <c r="N6839" i="5"/>
  <c r="N6838" i="5"/>
  <c r="N6837" i="5"/>
  <c r="N6836" i="5"/>
  <c r="O6836" i="5" s="1"/>
  <c r="N6835" i="5"/>
  <c r="N6834" i="5"/>
  <c r="N6833" i="5"/>
  <c r="N6832" i="5"/>
  <c r="O6832" i="5" s="1"/>
  <c r="N6831" i="5"/>
  <c r="N6830" i="5"/>
  <c r="N6829" i="5"/>
  <c r="N6828" i="5"/>
  <c r="O6828" i="5" s="1"/>
  <c r="N6827" i="5"/>
  <c r="N6826" i="5"/>
  <c r="N6825" i="5"/>
  <c r="N6824" i="5"/>
  <c r="O6824" i="5" s="1"/>
  <c r="N6823" i="5"/>
  <c r="N6822" i="5"/>
  <c r="N6821" i="5"/>
  <c r="N6820" i="5"/>
  <c r="O6820" i="5" s="1"/>
  <c r="N6819" i="5"/>
  <c r="N6818" i="5"/>
  <c r="N6817" i="5"/>
  <c r="N6816" i="5"/>
  <c r="O6816" i="5" s="1"/>
  <c r="N6815" i="5"/>
  <c r="N6814" i="5"/>
  <c r="N6813" i="5"/>
  <c r="N6812" i="5"/>
  <c r="O6812" i="5" s="1"/>
  <c r="N6811" i="5"/>
  <c r="N6810" i="5"/>
  <c r="N6809" i="5"/>
  <c r="N6808" i="5"/>
  <c r="O6808" i="5" s="1"/>
  <c r="N6807" i="5"/>
  <c r="N6806" i="5"/>
  <c r="N6805" i="5"/>
  <c r="N6804" i="5"/>
  <c r="O6804" i="5" s="1"/>
  <c r="N6803" i="5"/>
  <c r="N6802" i="5"/>
  <c r="N6801" i="5"/>
  <c r="N6800" i="5"/>
  <c r="O6800" i="5" s="1"/>
  <c r="N6799" i="5"/>
  <c r="N6798" i="5"/>
  <c r="N6797" i="5"/>
  <c r="N6796" i="5"/>
  <c r="O6796" i="5" s="1"/>
  <c r="N6795" i="5"/>
  <c r="N6794" i="5"/>
  <c r="N6793" i="5"/>
  <c r="N6792" i="5"/>
  <c r="O6792" i="5" s="1"/>
  <c r="N6791" i="5"/>
  <c r="N6790" i="5"/>
  <c r="N6789" i="5"/>
  <c r="N6788" i="5"/>
  <c r="O6788" i="5" s="1"/>
  <c r="N6787" i="5"/>
  <c r="N6786" i="5"/>
  <c r="N6785" i="5"/>
  <c r="N6784" i="5"/>
  <c r="O6784" i="5" s="1"/>
  <c r="N6783" i="5"/>
  <c r="N6782" i="5"/>
  <c r="N6781" i="5"/>
  <c r="N6780" i="5"/>
  <c r="O6780" i="5" s="1"/>
  <c r="N6779" i="5"/>
  <c r="N6778" i="5"/>
  <c r="N6777" i="5"/>
  <c r="N6776" i="5"/>
  <c r="O6776" i="5" s="1"/>
  <c r="N6775" i="5"/>
  <c r="N6774" i="5"/>
  <c r="N6773" i="5"/>
  <c r="N6772" i="5"/>
  <c r="O6772" i="5" s="1"/>
  <c r="N6771" i="5"/>
  <c r="N6770" i="5"/>
  <c r="N6769" i="5"/>
  <c r="N6768" i="5"/>
  <c r="O6768" i="5" s="1"/>
  <c r="N6767" i="5"/>
  <c r="N6766" i="5"/>
  <c r="N6765" i="5"/>
  <c r="N6764" i="5"/>
  <c r="O6764" i="5" s="1"/>
  <c r="N6763" i="5"/>
  <c r="N6762" i="5"/>
  <c r="N6761" i="5"/>
  <c r="N6760" i="5"/>
  <c r="O6760" i="5" s="1"/>
  <c r="N6759" i="5"/>
  <c r="N6758" i="5"/>
  <c r="N6757" i="5"/>
  <c r="N6756" i="5"/>
  <c r="O6756" i="5" s="1"/>
  <c r="N6755" i="5"/>
  <c r="N6754" i="5"/>
  <c r="N6753" i="5"/>
  <c r="N6752" i="5"/>
  <c r="O6752" i="5" s="1"/>
  <c r="N6751" i="5"/>
  <c r="N6750" i="5"/>
  <c r="N6749" i="5"/>
  <c r="N6748" i="5"/>
  <c r="O6748" i="5" s="1"/>
  <c r="N6747" i="5"/>
  <c r="N6746" i="5"/>
  <c r="N6745" i="5"/>
  <c r="N6744" i="5"/>
  <c r="O6744" i="5" s="1"/>
  <c r="N6743" i="5"/>
  <c r="N6742" i="5"/>
  <c r="N6741" i="5"/>
  <c r="N6740" i="5"/>
  <c r="O6740" i="5" s="1"/>
  <c r="N6739" i="5"/>
  <c r="N6738" i="5"/>
  <c r="N6737" i="5"/>
  <c r="N6736" i="5"/>
  <c r="O6736" i="5" s="1"/>
  <c r="N6735" i="5"/>
  <c r="N6734" i="5"/>
  <c r="N6733" i="5"/>
  <c r="N6732" i="5"/>
  <c r="O6732" i="5" s="1"/>
  <c r="N6731" i="5"/>
  <c r="N6730" i="5"/>
  <c r="N6729" i="5"/>
  <c r="N6728" i="5"/>
  <c r="O6728" i="5" s="1"/>
  <c r="N6727" i="5"/>
  <c r="N6726" i="5"/>
  <c r="N6725" i="5"/>
  <c r="N6724" i="5"/>
  <c r="O6724" i="5" s="1"/>
  <c r="N6723" i="5"/>
  <c r="N6722" i="5"/>
  <c r="N6721" i="5"/>
  <c r="N6720" i="5"/>
  <c r="O6720" i="5" s="1"/>
  <c r="N6719" i="5"/>
  <c r="N6718" i="5"/>
  <c r="N6717" i="5"/>
  <c r="N6716" i="5"/>
  <c r="O6716" i="5" s="1"/>
  <c r="N6715" i="5"/>
  <c r="N6714" i="5"/>
  <c r="N6713" i="5"/>
  <c r="N6712" i="5"/>
  <c r="O6712" i="5" s="1"/>
  <c r="N6711" i="5"/>
  <c r="N6710" i="5"/>
  <c r="N6709" i="5"/>
  <c r="N6708" i="5"/>
  <c r="O6708" i="5" s="1"/>
  <c r="N6707" i="5"/>
  <c r="N6706" i="5"/>
  <c r="N6705" i="5"/>
  <c r="N6704" i="5"/>
  <c r="O6704" i="5" s="1"/>
  <c r="N6703" i="5"/>
  <c r="N6702" i="5"/>
  <c r="N6701" i="5"/>
  <c r="N6700" i="5"/>
  <c r="O6700" i="5" s="1"/>
  <c r="N6699" i="5"/>
  <c r="N6698" i="5"/>
  <c r="N6697" i="5"/>
  <c r="N6696" i="5"/>
  <c r="O6696" i="5" s="1"/>
  <c r="N6695" i="5"/>
  <c r="N6694" i="5"/>
  <c r="N6693" i="5"/>
  <c r="N6692" i="5"/>
  <c r="O6692" i="5" s="1"/>
  <c r="N6691" i="5"/>
  <c r="N6690" i="5"/>
  <c r="N6689" i="5"/>
  <c r="N6688" i="5"/>
  <c r="O6688" i="5" s="1"/>
  <c r="N6687" i="5"/>
  <c r="N6686" i="5"/>
  <c r="N6685" i="5"/>
  <c r="N6684" i="5"/>
  <c r="O6684" i="5" s="1"/>
  <c r="N6683" i="5"/>
  <c r="N6682" i="5"/>
  <c r="N6681" i="5"/>
  <c r="N6680" i="5"/>
  <c r="O6680" i="5" s="1"/>
  <c r="N6679" i="5"/>
  <c r="N6678" i="5"/>
  <c r="N6677" i="5"/>
  <c r="N6676" i="5"/>
  <c r="O6676" i="5" s="1"/>
  <c r="N6675" i="5"/>
  <c r="N6674" i="5"/>
  <c r="N6673" i="5"/>
  <c r="N6672" i="5"/>
  <c r="O6672" i="5" s="1"/>
  <c r="N6671" i="5"/>
  <c r="N6670" i="5"/>
  <c r="N6669" i="5"/>
  <c r="N6668" i="5"/>
  <c r="O6668" i="5" s="1"/>
  <c r="N6667" i="5"/>
  <c r="N6666" i="5"/>
  <c r="N6665" i="5"/>
  <c r="N6664" i="5"/>
  <c r="O6664" i="5" s="1"/>
  <c r="N6663" i="5"/>
  <c r="N6662" i="5"/>
  <c r="N6661" i="5"/>
  <c r="N6660" i="5"/>
  <c r="O6660" i="5" s="1"/>
  <c r="N6659" i="5"/>
  <c r="N6658" i="5"/>
  <c r="N6657" i="5"/>
  <c r="N6656" i="5"/>
  <c r="O6656" i="5" s="1"/>
  <c r="N6655" i="5"/>
  <c r="N6654" i="5"/>
  <c r="N6653" i="5"/>
  <c r="N6652" i="5"/>
  <c r="O6652" i="5" s="1"/>
  <c r="N6651" i="5"/>
  <c r="N6650" i="5"/>
  <c r="N6649" i="5"/>
  <c r="N6648" i="5"/>
  <c r="O6648" i="5" s="1"/>
  <c r="N6647" i="5"/>
  <c r="N6646" i="5"/>
  <c r="N6645" i="5"/>
  <c r="N6644" i="5"/>
  <c r="O6644" i="5" s="1"/>
  <c r="N6643" i="5"/>
  <c r="N6642" i="5"/>
  <c r="N6641" i="5"/>
  <c r="N6640" i="5"/>
  <c r="O6640" i="5" s="1"/>
  <c r="N6639" i="5"/>
  <c r="N6638" i="5"/>
  <c r="N6637" i="5"/>
  <c r="N6636" i="5"/>
  <c r="O6636" i="5" s="1"/>
  <c r="N6635" i="5"/>
  <c r="N6634" i="5"/>
  <c r="N6633" i="5"/>
  <c r="N6632" i="5"/>
  <c r="O6632" i="5" s="1"/>
  <c r="N6631" i="5"/>
  <c r="N6630" i="5"/>
  <c r="N6629" i="5"/>
  <c r="N6628" i="5"/>
  <c r="O6628" i="5" s="1"/>
  <c r="N6627" i="5"/>
  <c r="N6626" i="5"/>
  <c r="N6625" i="5"/>
  <c r="N6624" i="5"/>
  <c r="O6624" i="5" s="1"/>
  <c r="N6623" i="5"/>
  <c r="N6622" i="5"/>
  <c r="N6621" i="5"/>
  <c r="N6620" i="5"/>
  <c r="O6620" i="5" s="1"/>
  <c r="N6619" i="5"/>
  <c r="N6618" i="5"/>
  <c r="N6617" i="5"/>
  <c r="N6616" i="5"/>
  <c r="O6616" i="5" s="1"/>
  <c r="N6615" i="5"/>
  <c r="N6614" i="5"/>
  <c r="N6613" i="5"/>
  <c r="N6612" i="5"/>
  <c r="O6612" i="5" s="1"/>
  <c r="N6611" i="5"/>
  <c r="N6610" i="5"/>
  <c r="N6609" i="5"/>
  <c r="N6608" i="5"/>
  <c r="O6608" i="5" s="1"/>
  <c r="N6607" i="5"/>
  <c r="N6606" i="5"/>
  <c r="N6605" i="5"/>
  <c r="N6604" i="5"/>
  <c r="O6604" i="5" s="1"/>
  <c r="N6603" i="5"/>
  <c r="N6602" i="5"/>
  <c r="N6601" i="5"/>
  <c r="N6600" i="5"/>
  <c r="O6600" i="5" s="1"/>
  <c r="N6599" i="5"/>
  <c r="N6598" i="5"/>
  <c r="N6597" i="5"/>
  <c r="N6596" i="5"/>
  <c r="O6596" i="5" s="1"/>
  <c r="N6595" i="5"/>
  <c r="N6594" i="5"/>
  <c r="N6593" i="5"/>
  <c r="N6592" i="5"/>
  <c r="O6592" i="5" s="1"/>
  <c r="N6591" i="5"/>
  <c r="N6590" i="5"/>
  <c r="N6589" i="5"/>
  <c r="N6588" i="5"/>
  <c r="O6588" i="5" s="1"/>
  <c r="N6587" i="5"/>
  <c r="N6586" i="5"/>
  <c r="N6585" i="5"/>
  <c r="N6584" i="5"/>
  <c r="O6584" i="5" s="1"/>
  <c r="N6583" i="5"/>
  <c r="N6582" i="5"/>
  <c r="N6581" i="5"/>
  <c r="N6580" i="5"/>
  <c r="O6580" i="5" s="1"/>
  <c r="N6579" i="5"/>
  <c r="N6578" i="5"/>
  <c r="N6577" i="5"/>
  <c r="N6576" i="5"/>
  <c r="O6576" i="5" s="1"/>
  <c r="N6575" i="5"/>
  <c r="N6574" i="5"/>
  <c r="N6573" i="5"/>
  <c r="N6572" i="5"/>
  <c r="O6572" i="5" s="1"/>
  <c r="N6571" i="5"/>
  <c r="N6570" i="5"/>
  <c r="N6569" i="5"/>
  <c r="N6568" i="5"/>
  <c r="O6568" i="5" s="1"/>
  <c r="N6567" i="5"/>
  <c r="N6566" i="5"/>
  <c r="N6565" i="5"/>
  <c r="N6564" i="5"/>
  <c r="O6564" i="5" s="1"/>
  <c r="N6563" i="5"/>
  <c r="N6562" i="5"/>
  <c r="N6561" i="5"/>
  <c r="N6560" i="5"/>
  <c r="O6560" i="5" s="1"/>
  <c r="N6559" i="5"/>
  <c r="N6558" i="5"/>
  <c r="N6557" i="5"/>
  <c r="N6556" i="5"/>
  <c r="O6556" i="5" s="1"/>
  <c r="N6555" i="5"/>
  <c r="N6554" i="5"/>
  <c r="N6553" i="5"/>
  <c r="N6552" i="5"/>
  <c r="O6552" i="5" s="1"/>
  <c r="N6551" i="5"/>
  <c r="N6550" i="5"/>
  <c r="N6549" i="5"/>
  <c r="N6548" i="5"/>
  <c r="O6548" i="5" s="1"/>
  <c r="N6547" i="5"/>
  <c r="N6546" i="5"/>
  <c r="N6545" i="5"/>
  <c r="N6544" i="5"/>
  <c r="O6544" i="5" s="1"/>
  <c r="N6543" i="5"/>
  <c r="N6542" i="5"/>
  <c r="N6541" i="5"/>
  <c r="N6540" i="5"/>
  <c r="O6540" i="5" s="1"/>
  <c r="N6539" i="5"/>
  <c r="N6538" i="5"/>
  <c r="N6537" i="5"/>
  <c r="N6536" i="5"/>
  <c r="O6536" i="5" s="1"/>
  <c r="N6535" i="5"/>
  <c r="N6534" i="5"/>
  <c r="N6533" i="5"/>
  <c r="N6532" i="5"/>
  <c r="O6532" i="5" s="1"/>
  <c r="N6531" i="5"/>
  <c r="N6530" i="5"/>
  <c r="N6529" i="5"/>
  <c r="N6528" i="5"/>
  <c r="O6528" i="5" s="1"/>
  <c r="N6527" i="5"/>
  <c r="N6526" i="5"/>
  <c r="N6525" i="5"/>
  <c r="N6524" i="5"/>
  <c r="O6524" i="5" s="1"/>
  <c r="N6523" i="5"/>
  <c r="N6522" i="5"/>
  <c r="N6521" i="5"/>
  <c r="N6520" i="5"/>
  <c r="O6520" i="5" s="1"/>
  <c r="N6519" i="5"/>
  <c r="N6518" i="5"/>
  <c r="N6517" i="5"/>
  <c r="N6516" i="5"/>
  <c r="O6516" i="5" s="1"/>
  <c r="N6515" i="5"/>
  <c r="N6514" i="5"/>
  <c r="N6513" i="5"/>
  <c r="N6512" i="5"/>
  <c r="O6512" i="5" s="1"/>
  <c r="N6511" i="5"/>
  <c r="N6510" i="5"/>
  <c r="N6509" i="5"/>
  <c r="N6508" i="5"/>
  <c r="O6508" i="5" s="1"/>
  <c r="N6507" i="5"/>
  <c r="N6506" i="5"/>
  <c r="N6505" i="5"/>
  <c r="N6504" i="5"/>
  <c r="O6504" i="5" s="1"/>
  <c r="N6503" i="5"/>
  <c r="N6502" i="5"/>
  <c r="N6501" i="5"/>
  <c r="N6500" i="5"/>
  <c r="O6500" i="5" s="1"/>
  <c r="N6499" i="5"/>
  <c r="N6498" i="5"/>
  <c r="N6497" i="5"/>
  <c r="N6496" i="5"/>
  <c r="O6496" i="5" s="1"/>
  <c r="N6495" i="5"/>
  <c r="N6494" i="5"/>
  <c r="N6493" i="5"/>
  <c r="N6492" i="5"/>
  <c r="N6491" i="5"/>
  <c r="N6490" i="5"/>
  <c r="N6489" i="5"/>
  <c r="N6488" i="5"/>
  <c r="N6487" i="5"/>
  <c r="N6486" i="5"/>
  <c r="N6485" i="5"/>
  <c r="N6484" i="5"/>
  <c r="N6483" i="5"/>
  <c r="N6482" i="5"/>
  <c r="N6481" i="5"/>
  <c r="N6480" i="5"/>
  <c r="N6479" i="5"/>
  <c r="N6478" i="5"/>
  <c r="N6477" i="5"/>
  <c r="N6476" i="5"/>
  <c r="N6475" i="5"/>
  <c r="N6474" i="5"/>
  <c r="N6473" i="5"/>
  <c r="N6472" i="5"/>
  <c r="N6471" i="5"/>
  <c r="N6470" i="5"/>
  <c r="N6469" i="5"/>
  <c r="N6468" i="5"/>
  <c r="N6467" i="5"/>
  <c r="N6466" i="5"/>
  <c r="N6465" i="5"/>
  <c r="N6464" i="5"/>
  <c r="N6463" i="5"/>
  <c r="N6462" i="5"/>
  <c r="N6461" i="5"/>
  <c r="N6460" i="5"/>
  <c r="N6459" i="5"/>
  <c r="N6458" i="5"/>
  <c r="N6457" i="5"/>
  <c r="N6456" i="5"/>
  <c r="N6455" i="5"/>
  <c r="N6454" i="5"/>
  <c r="N6453" i="5"/>
  <c r="N6452" i="5"/>
  <c r="N6451" i="5"/>
  <c r="N6450" i="5"/>
  <c r="N6449" i="5"/>
  <c r="N6448" i="5"/>
  <c r="N6447" i="5"/>
  <c r="N6446" i="5"/>
  <c r="N6445" i="5"/>
  <c r="N6444" i="5"/>
  <c r="N6443" i="5"/>
  <c r="N6442" i="5"/>
  <c r="N6441" i="5"/>
  <c r="N6440" i="5"/>
  <c r="N6439" i="5"/>
  <c r="N6438" i="5"/>
  <c r="N6437" i="5"/>
  <c r="N6436" i="5"/>
  <c r="N6435" i="5"/>
  <c r="N6434" i="5"/>
  <c r="N6433" i="5"/>
  <c r="N6432" i="5"/>
  <c r="N6431" i="5"/>
  <c r="N6430" i="5"/>
  <c r="N6429" i="5"/>
  <c r="N6428" i="5"/>
  <c r="N6427" i="5"/>
  <c r="N6426" i="5"/>
  <c r="N6425" i="5"/>
  <c r="N6424" i="5"/>
  <c r="N6423" i="5"/>
  <c r="N6422" i="5"/>
  <c r="N6421" i="5"/>
  <c r="O6421" i="5" s="1"/>
  <c r="N6420" i="5"/>
  <c r="N6419" i="5"/>
  <c r="N6418" i="5"/>
  <c r="N6417" i="5"/>
  <c r="O6417" i="5" s="1"/>
  <c r="N6416" i="5"/>
  <c r="N6415" i="5"/>
  <c r="N6414" i="5"/>
  <c r="N6413" i="5"/>
  <c r="N6412" i="5"/>
  <c r="N6411" i="5"/>
  <c r="N6410" i="5"/>
  <c r="N6409" i="5"/>
  <c r="N6408" i="5"/>
  <c r="O6408" i="5" s="1"/>
  <c r="N6407" i="5"/>
  <c r="N6406" i="5"/>
  <c r="N6405" i="5"/>
  <c r="N6404" i="5"/>
  <c r="N6403" i="5"/>
  <c r="N6402" i="5"/>
  <c r="N6401" i="5"/>
  <c r="N6400" i="5"/>
  <c r="N6399" i="5"/>
  <c r="N6398" i="5"/>
  <c r="N6397" i="5"/>
  <c r="N6396" i="5"/>
  <c r="N6395" i="5"/>
  <c r="N6394" i="5"/>
  <c r="N6393" i="5"/>
  <c r="N6392" i="5"/>
  <c r="N6391" i="5"/>
  <c r="N6390" i="5"/>
  <c r="N6389" i="5"/>
  <c r="N6388" i="5"/>
  <c r="N6387" i="5"/>
  <c r="N6386" i="5"/>
  <c r="N6382" i="5"/>
  <c r="N6381" i="5"/>
  <c r="N6380" i="5"/>
  <c r="N6379" i="5"/>
  <c r="N6378" i="5"/>
  <c r="N6377" i="5"/>
  <c r="N6376" i="5"/>
  <c r="N6375" i="5"/>
  <c r="N6374" i="5"/>
  <c r="N6373" i="5"/>
  <c r="N6372" i="5"/>
  <c r="N6371" i="5"/>
  <c r="N6369" i="5"/>
  <c r="N6368" i="5"/>
  <c r="N6367" i="5"/>
  <c r="N6366" i="5"/>
  <c r="N6365" i="5"/>
  <c r="N6364" i="5"/>
  <c r="N6363" i="5"/>
  <c r="N6362" i="5"/>
  <c r="N6361" i="5"/>
  <c r="N6360" i="5"/>
  <c r="N6359" i="5"/>
  <c r="N6358" i="5"/>
  <c r="N6357" i="5"/>
  <c r="N6355" i="5"/>
  <c r="N6354" i="5"/>
  <c r="N6353" i="5"/>
  <c r="N6352" i="5"/>
  <c r="N6350" i="5"/>
  <c r="N6349" i="5"/>
  <c r="N6348" i="5"/>
  <c r="N6347" i="5"/>
  <c r="N6346" i="5"/>
  <c r="N6345" i="5"/>
  <c r="N6344" i="5"/>
  <c r="N6343" i="5"/>
  <c r="N6341" i="5"/>
  <c r="N6340" i="5"/>
  <c r="N6339" i="5"/>
  <c r="N6338" i="5"/>
  <c r="N6337" i="5"/>
  <c r="N6336" i="5"/>
  <c r="N6335" i="5"/>
  <c r="N6334" i="5"/>
  <c r="N6333" i="5"/>
  <c r="N6331" i="5"/>
  <c r="N6330" i="5"/>
  <c r="N6329" i="5"/>
  <c r="N6328" i="5"/>
  <c r="N6327" i="5"/>
  <c r="N6326" i="5"/>
  <c r="N6325" i="5"/>
  <c r="N6324" i="5"/>
  <c r="N6323" i="5"/>
  <c r="N6322" i="5"/>
  <c r="N6321" i="5"/>
  <c r="N6320" i="5"/>
  <c r="N6319" i="5"/>
  <c r="N6318" i="5"/>
  <c r="N6317" i="5"/>
  <c r="N6316" i="5"/>
  <c r="N6315" i="5"/>
  <c r="N6314" i="5"/>
  <c r="N6313" i="5"/>
  <c r="N6312" i="5"/>
  <c r="N6311" i="5"/>
  <c r="N6310" i="5"/>
  <c r="N6309" i="5"/>
  <c r="N6307" i="5"/>
  <c r="N6306" i="5"/>
  <c r="N6305" i="5"/>
  <c r="N6304" i="5"/>
  <c r="N6303" i="5"/>
  <c r="N6302" i="5"/>
  <c r="N6301" i="5"/>
  <c r="N6300" i="5"/>
  <c r="N6299" i="5"/>
  <c r="N6298" i="5"/>
  <c r="N6296" i="5"/>
  <c r="N6295" i="5"/>
  <c r="N6294" i="5"/>
  <c r="N6293" i="5"/>
  <c r="N6292" i="5"/>
  <c r="N6291" i="5"/>
  <c r="N6290" i="5"/>
  <c r="N6289" i="5"/>
  <c r="N6287" i="5"/>
  <c r="N6286" i="5"/>
  <c r="N6285" i="5"/>
  <c r="N6284" i="5"/>
  <c r="N6283" i="5"/>
  <c r="N6282" i="5"/>
  <c r="N6281" i="5"/>
  <c r="N6279" i="5"/>
  <c r="N6278" i="5"/>
  <c r="N6277" i="5"/>
  <c r="N6276" i="5"/>
  <c r="N6275" i="5"/>
  <c r="N6274" i="5"/>
  <c r="N6273" i="5"/>
  <c r="N6271" i="5"/>
  <c r="N6270" i="5"/>
  <c r="N6269" i="5"/>
  <c r="N6268" i="5"/>
  <c r="N6267" i="5"/>
  <c r="N6266" i="5"/>
  <c r="N6265" i="5"/>
  <c r="N6264" i="5"/>
  <c r="N6263" i="5"/>
  <c r="N6262" i="5"/>
  <c r="N6260" i="5"/>
  <c r="N6259" i="5"/>
  <c r="N6258" i="5"/>
  <c r="N6257" i="5"/>
  <c r="N6256" i="5"/>
  <c r="N6255" i="5"/>
  <c r="N6254" i="5"/>
  <c r="N6253" i="5"/>
  <c r="N6251" i="5"/>
  <c r="N6250" i="5"/>
  <c r="N6249" i="5"/>
  <c r="N6248" i="5"/>
  <c r="N6247" i="5"/>
  <c r="N6245" i="5"/>
  <c r="N6244" i="5"/>
  <c r="N6243" i="5"/>
  <c r="N6242" i="5"/>
  <c r="N6241" i="5"/>
  <c r="N6239" i="5"/>
  <c r="N6238" i="5"/>
  <c r="N6237" i="5"/>
  <c r="N6236" i="5"/>
  <c r="N6235" i="5"/>
  <c r="N6234" i="5"/>
  <c r="N6232" i="5"/>
  <c r="N6231" i="5"/>
  <c r="N6230" i="5"/>
  <c r="N6229" i="5"/>
  <c r="N6228" i="5"/>
  <c r="N6226" i="5"/>
  <c r="N6225" i="5"/>
  <c r="N6224" i="5"/>
  <c r="N6223" i="5"/>
  <c r="N6222" i="5"/>
  <c r="N6221" i="5"/>
  <c r="N6219" i="5"/>
  <c r="N6218" i="5"/>
  <c r="N6217" i="5"/>
  <c r="N6216" i="5"/>
  <c r="N6215" i="5"/>
  <c r="N6214" i="5"/>
  <c r="N6213" i="5"/>
  <c r="N6212" i="5"/>
  <c r="N6210" i="5"/>
  <c r="N6209" i="5"/>
  <c r="N6208" i="5"/>
  <c r="N6207" i="5"/>
  <c r="N6206" i="5"/>
  <c r="N6205" i="5"/>
  <c r="N6204" i="5"/>
  <c r="N6200" i="5"/>
  <c r="N6199" i="5"/>
  <c r="N6198" i="5"/>
  <c r="N6197" i="5"/>
  <c r="N6196" i="5"/>
  <c r="N6194" i="5"/>
  <c r="N6193" i="5"/>
  <c r="N6192" i="5"/>
  <c r="N6191" i="5"/>
  <c r="N6189" i="5"/>
  <c r="N6188" i="5"/>
  <c r="N6187" i="5"/>
  <c r="N6186" i="5"/>
  <c r="N6184" i="5"/>
  <c r="N6183" i="5"/>
  <c r="N6182" i="5"/>
  <c r="N6181" i="5"/>
  <c r="N6180" i="5"/>
  <c r="N6179" i="5"/>
  <c r="N6178" i="5"/>
  <c r="N6177" i="5"/>
  <c r="N6176" i="5"/>
  <c r="N6175" i="5"/>
  <c r="N6174" i="5"/>
  <c r="N6173" i="5"/>
  <c r="N6172" i="5"/>
  <c r="N6171" i="5"/>
  <c r="N6170" i="5"/>
  <c r="N6169" i="5"/>
  <c r="N6168" i="5"/>
  <c r="N6167" i="5"/>
  <c r="N6166" i="5"/>
  <c r="N6165" i="5"/>
  <c r="N6164" i="5"/>
  <c r="N6163" i="5"/>
  <c r="N6162" i="5"/>
  <c r="N6161" i="5"/>
  <c r="N6160" i="5"/>
  <c r="N6159" i="5"/>
  <c r="N6158" i="5"/>
  <c r="N6157" i="5"/>
  <c r="N6156" i="5"/>
  <c r="N6155" i="5"/>
  <c r="O6155" i="5" s="1"/>
  <c r="N6154" i="5"/>
  <c r="N6153" i="5"/>
  <c r="N6152" i="5"/>
  <c r="N6151" i="5"/>
  <c r="O6151" i="5" s="1"/>
  <c r="N6150" i="5"/>
  <c r="N6149" i="5"/>
  <c r="N6148" i="5"/>
  <c r="N6147" i="5"/>
  <c r="O6147" i="5" s="1"/>
  <c r="N6146" i="5"/>
  <c r="N6145" i="5"/>
  <c r="N6143" i="5"/>
  <c r="N6142" i="5"/>
  <c r="N6141" i="5"/>
  <c r="N6140" i="5"/>
  <c r="N6139" i="5"/>
  <c r="N6138" i="5"/>
  <c r="N6137" i="5"/>
  <c r="N6136" i="5"/>
  <c r="N6135" i="5"/>
  <c r="O6135" i="5" s="1"/>
  <c r="N6134" i="5"/>
  <c r="N6133" i="5"/>
  <c r="N6132" i="5"/>
  <c r="N6131" i="5"/>
  <c r="O6131" i="5" s="1"/>
  <c r="N6130" i="5"/>
  <c r="N6129" i="5"/>
  <c r="N6128" i="5"/>
  <c r="N6127" i="5"/>
  <c r="O6127" i="5" s="1"/>
  <c r="N6126" i="5"/>
  <c r="N6125" i="5"/>
  <c r="N6124" i="5"/>
  <c r="N6123" i="5"/>
  <c r="O6123" i="5" s="1"/>
  <c r="N6122" i="5"/>
  <c r="N6121" i="5"/>
  <c r="N6120" i="5"/>
  <c r="N6119" i="5"/>
  <c r="O6119" i="5" s="1"/>
  <c r="N6118" i="5"/>
  <c r="N6117" i="5"/>
  <c r="N6116" i="5"/>
  <c r="N6115" i="5"/>
  <c r="O6115" i="5" s="1"/>
  <c r="N6114" i="5"/>
  <c r="N6113" i="5"/>
  <c r="N6112" i="5"/>
  <c r="N6111" i="5"/>
  <c r="O6111" i="5" s="1"/>
  <c r="N6110" i="5"/>
  <c r="N6109" i="5"/>
  <c r="N6108" i="5"/>
  <c r="N6107" i="5"/>
  <c r="O6107" i="5" s="1"/>
  <c r="N6106" i="5"/>
  <c r="N6105" i="5"/>
  <c r="N6104" i="5"/>
  <c r="N6103" i="5"/>
  <c r="O6103" i="5" s="1"/>
  <c r="N6102" i="5"/>
  <c r="N6101" i="5"/>
  <c r="N6100" i="5"/>
  <c r="N6099" i="5"/>
  <c r="O6099" i="5" s="1"/>
  <c r="N6098" i="5"/>
  <c r="N6097" i="5"/>
  <c r="N6096" i="5"/>
  <c r="N6095" i="5"/>
  <c r="O6095" i="5" s="1"/>
  <c r="N6094" i="5"/>
  <c r="N6093" i="5"/>
  <c r="N6092" i="5"/>
  <c r="N6091" i="5"/>
  <c r="O6091" i="5" s="1"/>
  <c r="N6090" i="5"/>
  <c r="N6089" i="5"/>
  <c r="N6088" i="5"/>
  <c r="N6087" i="5"/>
  <c r="O6087" i="5" s="1"/>
  <c r="N6086" i="5"/>
  <c r="N6085" i="5"/>
  <c r="N6084" i="5"/>
  <c r="N6083" i="5"/>
  <c r="O6083" i="5" s="1"/>
  <c r="N6082" i="5"/>
  <c r="N6081" i="5"/>
  <c r="N6080" i="5"/>
  <c r="N6079" i="5"/>
  <c r="O6079" i="5" s="1"/>
  <c r="N6078" i="5"/>
  <c r="N6077" i="5"/>
  <c r="N6076" i="5"/>
  <c r="N6075" i="5"/>
  <c r="O6075" i="5" s="1"/>
  <c r="N6074" i="5"/>
  <c r="N6073" i="5"/>
  <c r="N6072" i="5"/>
  <c r="N6071" i="5"/>
  <c r="O6071" i="5" s="1"/>
  <c r="N6070" i="5"/>
  <c r="N6069" i="5"/>
  <c r="N6068" i="5"/>
  <c r="N6067" i="5"/>
  <c r="O6067" i="5" s="1"/>
  <c r="N6066" i="5"/>
  <c r="N6065" i="5"/>
  <c r="N6064" i="5"/>
  <c r="N6063" i="5"/>
  <c r="O6063" i="5" s="1"/>
  <c r="N6062" i="5"/>
  <c r="N6061" i="5"/>
  <c r="N6060" i="5"/>
  <c r="N6059" i="5"/>
  <c r="O6059" i="5" s="1"/>
  <c r="N6058" i="5"/>
  <c r="N6057" i="5"/>
  <c r="N6056" i="5"/>
  <c r="N6055" i="5"/>
  <c r="O6055" i="5" s="1"/>
  <c r="N6054" i="5"/>
  <c r="N6053" i="5"/>
  <c r="N6052" i="5"/>
  <c r="N6051" i="5"/>
  <c r="O6051" i="5" s="1"/>
  <c r="N6050" i="5"/>
  <c r="N6049" i="5"/>
  <c r="N6048" i="5"/>
  <c r="N6047" i="5"/>
  <c r="O6047" i="5" s="1"/>
  <c r="N6046" i="5"/>
  <c r="N6045" i="5"/>
  <c r="N6044" i="5"/>
  <c r="N6043" i="5"/>
  <c r="O6043" i="5" s="1"/>
  <c r="N6042" i="5"/>
  <c r="N6041" i="5"/>
  <c r="N6040" i="5"/>
  <c r="N6039" i="5"/>
  <c r="O6039" i="5" s="1"/>
  <c r="N6038" i="5"/>
  <c r="N6037" i="5"/>
  <c r="N6036" i="5"/>
  <c r="N6035" i="5"/>
  <c r="O6035" i="5" s="1"/>
  <c r="N6034" i="5"/>
  <c r="N6033" i="5"/>
  <c r="N6032" i="5"/>
  <c r="N6031" i="5"/>
  <c r="O6031" i="5" s="1"/>
  <c r="N6030" i="5"/>
  <c r="N6029" i="5"/>
  <c r="N6028" i="5"/>
  <c r="N6027" i="5"/>
  <c r="O6027" i="5" s="1"/>
  <c r="N6026" i="5"/>
  <c r="N6025" i="5"/>
  <c r="N6024" i="5"/>
  <c r="N6023" i="5"/>
  <c r="O6023" i="5" s="1"/>
  <c r="N6022" i="5"/>
  <c r="N6021" i="5"/>
  <c r="N6020" i="5"/>
  <c r="N6019" i="5"/>
  <c r="O6019" i="5" s="1"/>
  <c r="N6018" i="5"/>
  <c r="N6017" i="5"/>
  <c r="N6016" i="5"/>
  <c r="N6015" i="5"/>
  <c r="O6015" i="5" s="1"/>
  <c r="N6014" i="5"/>
  <c r="N6013" i="5"/>
  <c r="N6012" i="5"/>
  <c r="N6011" i="5"/>
  <c r="O6011" i="5" s="1"/>
  <c r="N6010" i="5"/>
  <c r="N6009" i="5"/>
  <c r="N6008" i="5"/>
  <c r="N6007" i="5"/>
  <c r="O6007" i="5" s="1"/>
  <c r="N6006" i="5"/>
  <c r="N6005" i="5"/>
  <c r="N6004" i="5"/>
  <c r="N6003" i="5"/>
  <c r="O6003" i="5" s="1"/>
  <c r="N6002" i="5"/>
  <c r="N6001" i="5"/>
  <c r="N6000" i="5"/>
  <c r="N5999" i="5"/>
  <c r="O5999" i="5" s="1"/>
  <c r="N5998" i="5"/>
  <c r="N5997" i="5"/>
  <c r="N5996" i="5"/>
  <c r="N5995" i="5"/>
  <c r="O5995" i="5" s="1"/>
  <c r="N5994" i="5"/>
  <c r="N5993" i="5"/>
  <c r="N5992" i="5"/>
  <c r="N5991" i="5"/>
  <c r="O5991" i="5" s="1"/>
  <c r="N5990" i="5"/>
  <c r="N5989" i="5"/>
  <c r="N5988" i="5"/>
  <c r="N5987" i="5"/>
  <c r="O5987" i="5" s="1"/>
  <c r="N5986" i="5"/>
  <c r="N5985" i="5"/>
  <c r="N5984" i="5"/>
  <c r="N5983" i="5"/>
  <c r="O5983" i="5" s="1"/>
  <c r="N5982" i="5"/>
  <c r="N5981" i="5"/>
  <c r="N5980" i="5"/>
  <c r="N5979" i="5"/>
  <c r="O5979" i="5" s="1"/>
  <c r="N5978" i="5"/>
  <c r="N5977" i="5"/>
  <c r="N5976" i="5"/>
  <c r="N5975" i="5"/>
  <c r="O5975" i="5" s="1"/>
  <c r="N5974" i="5"/>
  <c r="N5973" i="5"/>
  <c r="N5972" i="5"/>
  <c r="N5971" i="5"/>
  <c r="O5971" i="5" s="1"/>
  <c r="N5970" i="5"/>
  <c r="N5969" i="5"/>
  <c r="N5968" i="5"/>
  <c r="N5967" i="5"/>
  <c r="O5967" i="5" s="1"/>
  <c r="N5966" i="5"/>
  <c r="N5965" i="5"/>
  <c r="N5964" i="5"/>
  <c r="N5963" i="5"/>
  <c r="O5963" i="5" s="1"/>
  <c r="N5962" i="5"/>
  <c r="N5961" i="5"/>
  <c r="N5960" i="5"/>
  <c r="N5959" i="5"/>
  <c r="O5959" i="5" s="1"/>
  <c r="N5958" i="5"/>
  <c r="N5957" i="5"/>
  <c r="N5956" i="5"/>
  <c r="N5955" i="5"/>
  <c r="O5955" i="5" s="1"/>
  <c r="N5954" i="5"/>
  <c r="N5953" i="5"/>
  <c r="N5952" i="5"/>
  <c r="N5951" i="5"/>
  <c r="O5951" i="5" s="1"/>
  <c r="N5950" i="5"/>
  <c r="N5949" i="5"/>
  <c r="N5948" i="5"/>
  <c r="N5947" i="5"/>
  <c r="O5947" i="5" s="1"/>
  <c r="N5946" i="5"/>
  <c r="N5945" i="5"/>
  <c r="N5944" i="5"/>
  <c r="N5943" i="5"/>
  <c r="O5943" i="5" s="1"/>
  <c r="N5942" i="5"/>
  <c r="N5941" i="5"/>
  <c r="N5940" i="5"/>
  <c r="N5939" i="5"/>
  <c r="O5939" i="5" s="1"/>
  <c r="N5938" i="5"/>
  <c r="N5937" i="5"/>
  <c r="N5936" i="5"/>
  <c r="N5935" i="5"/>
  <c r="O5935" i="5" s="1"/>
  <c r="N5934" i="5"/>
  <c r="N5933" i="5"/>
  <c r="N5932" i="5"/>
  <c r="N5931" i="5"/>
  <c r="O5931" i="5" s="1"/>
  <c r="N5930" i="5"/>
  <c r="N5929" i="5"/>
  <c r="N5928" i="5"/>
  <c r="N5927" i="5"/>
  <c r="O5927" i="5" s="1"/>
  <c r="N5926" i="5"/>
  <c r="N5925" i="5"/>
  <c r="N5924" i="5"/>
  <c r="N5923" i="5"/>
  <c r="O5923" i="5" s="1"/>
  <c r="N5922" i="5"/>
  <c r="N5921" i="5"/>
  <c r="N5920" i="5"/>
  <c r="N5919" i="5"/>
  <c r="O5919" i="5" s="1"/>
  <c r="N5918" i="5"/>
  <c r="N5917" i="5"/>
  <c r="N5916" i="5"/>
  <c r="N5915" i="5"/>
  <c r="O5915" i="5" s="1"/>
  <c r="N5914" i="5"/>
  <c r="N5913" i="5"/>
  <c r="N5912" i="5"/>
  <c r="N5911" i="5"/>
  <c r="O5911" i="5" s="1"/>
  <c r="N5910" i="5"/>
  <c r="N5909" i="5"/>
  <c r="N5908" i="5"/>
  <c r="N5907" i="5"/>
  <c r="O5907" i="5" s="1"/>
  <c r="N5906" i="5"/>
  <c r="N5905" i="5"/>
  <c r="N5904" i="5"/>
  <c r="N5903" i="5"/>
  <c r="O5903" i="5" s="1"/>
  <c r="N5902" i="5"/>
  <c r="N5901" i="5"/>
  <c r="N5900" i="5"/>
  <c r="N5899" i="5"/>
  <c r="O5899" i="5" s="1"/>
  <c r="N5898" i="5"/>
  <c r="N5897" i="5"/>
  <c r="N5896" i="5"/>
  <c r="N5895" i="5"/>
  <c r="O5895" i="5" s="1"/>
  <c r="N5894" i="5"/>
  <c r="N5893" i="5"/>
  <c r="N5892" i="5"/>
  <c r="N5891" i="5"/>
  <c r="O5891" i="5" s="1"/>
  <c r="N5890" i="5"/>
  <c r="N5889" i="5"/>
  <c r="N5888" i="5"/>
  <c r="N5887" i="5"/>
  <c r="O5887" i="5" s="1"/>
  <c r="N5886" i="5"/>
  <c r="N5885" i="5"/>
  <c r="N5884" i="5"/>
  <c r="N5883" i="5"/>
  <c r="O5883" i="5" s="1"/>
  <c r="N5882" i="5"/>
  <c r="N5881" i="5"/>
  <c r="N5880" i="5"/>
  <c r="N5879" i="5"/>
  <c r="O5879" i="5" s="1"/>
  <c r="N5878" i="5"/>
  <c r="N5877" i="5"/>
  <c r="N5876" i="5"/>
  <c r="N5875" i="5"/>
  <c r="O5875" i="5" s="1"/>
  <c r="N5874" i="5"/>
  <c r="N5873" i="5"/>
  <c r="N5872" i="5"/>
  <c r="N5871" i="5"/>
  <c r="O5871" i="5" s="1"/>
  <c r="N5870" i="5"/>
  <c r="N5869" i="5"/>
  <c r="N5868" i="5"/>
  <c r="N5867" i="5"/>
  <c r="O5867" i="5" s="1"/>
  <c r="N5866" i="5"/>
  <c r="N5865" i="5"/>
  <c r="N5864" i="5"/>
  <c r="N5863" i="5"/>
  <c r="O5863" i="5" s="1"/>
  <c r="N5862" i="5"/>
  <c r="N5861" i="5"/>
  <c r="N5860" i="5"/>
  <c r="N5859" i="5"/>
  <c r="O5859" i="5" s="1"/>
  <c r="N5858" i="5"/>
  <c r="N5857" i="5"/>
  <c r="N5856" i="5"/>
  <c r="N5855" i="5"/>
  <c r="O5855" i="5" s="1"/>
  <c r="N5854" i="5"/>
  <c r="N5853" i="5"/>
  <c r="N5852" i="5"/>
  <c r="N5851" i="5"/>
  <c r="O5851" i="5" s="1"/>
  <c r="N5850" i="5"/>
  <c r="N5849" i="5"/>
  <c r="N5848" i="5"/>
  <c r="N5847" i="5"/>
  <c r="O5847" i="5" s="1"/>
  <c r="N5846" i="5"/>
  <c r="N5845" i="5"/>
  <c r="N5844" i="5"/>
  <c r="N5843" i="5"/>
  <c r="O5843" i="5" s="1"/>
  <c r="N5842" i="5"/>
  <c r="N5841" i="5"/>
  <c r="N5840" i="5"/>
  <c r="N5839" i="5"/>
  <c r="O5839" i="5" s="1"/>
  <c r="N5838" i="5"/>
  <c r="N5837" i="5"/>
  <c r="N5836" i="5"/>
  <c r="N5835" i="5"/>
  <c r="O5835" i="5" s="1"/>
  <c r="N5834" i="5"/>
  <c r="N5833" i="5"/>
  <c r="N5832" i="5"/>
  <c r="N5831" i="5"/>
  <c r="O5831" i="5" s="1"/>
  <c r="N5830" i="5"/>
  <c r="N5829" i="5"/>
  <c r="N5828" i="5"/>
  <c r="N5827" i="5"/>
  <c r="O5827" i="5" s="1"/>
  <c r="N5826" i="5"/>
  <c r="N5825" i="5"/>
  <c r="N5824" i="5"/>
  <c r="N5823" i="5"/>
  <c r="O5823" i="5" s="1"/>
  <c r="N5822" i="5"/>
  <c r="N5821" i="5"/>
  <c r="N5820" i="5"/>
  <c r="N5819" i="5"/>
  <c r="O5819" i="5" s="1"/>
  <c r="N5818" i="5"/>
  <c r="N5817" i="5"/>
  <c r="N5816" i="5"/>
  <c r="N5815" i="5"/>
  <c r="O5815" i="5" s="1"/>
  <c r="N5814" i="5"/>
  <c r="N5813" i="5"/>
  <c r="N5812" i="5"/>
  <c r="N5811" i="5"/>
  <c r="O5811" i="5" s="1"/>
  <c r="N5810" i="5"/>
  <c r="N5809" i="5"/>
  <c r="N5808" i="5"/>
  <c r="N5807" i="5"/>
  <c r="O5807" i="5" s="1"/>
  <c r="N5806" i="5"/>
  <c r="N5805" i="5"/>
  <c r="N5804" i="5"/>
  <c r="N5803" i="5"/>
  <c r="O5803" i="5" s="1"/>
  <c r="N5802" i="5"/>
  <c r="N5801" i="5"/>
  <c r="N5800" i="5"/>
  <c r="N5799" i="5"/>
  <c r="O5799" i="5" s="1"/>
  <c r="N5798" i="5"/>
  <c r="N5797" i="5"/>
  <c r="N5796" i="5"/>
  <c r="N5795" i="5"/>
  <c r="O5795" i="5" s="1"/>
  <c r="N5794" i="5"/>
  <c r="N5793" i="5"/>
  <c r="N5792" i="5"/>
  <c r="N5791" i="5"/>
  <c r="O5791" i="5" s="1"/>
  <c r="N5790" i="5"/>
  <c r="N5789" i="5"/>
  <c r="N5788" i="5"/>
  <c r="N5787" i="5"/>
  <c r="O5787" i="5" s="1"/>
  <c r="N5786" i="5"/>
  <c r="N5785" i="5"/>
  <c r="N5784" i="5"/>
  <c r="N5783" i="5"/>
  <c r="O5783" i="5" s="1"/>
  <c r="N5782" i="5"/>
  <c r="N5781" i="5"/>
  <c r="N5780" i="5"/>
  <c r="N5779" i="5"/>
  <c r="O5779" i="5" s="1"/>
  <c r="N5778" i="5"/>
  <c r="N5777" i="5"/>
  <c r="N5776" i="5"/>
  <c r="N5775" i="5"/>
  <c r="O5775" i="5" s="1"/>
  <c r="N5774" i="5"/>
  <c r="N5773" i="5"/>
  <c r="N5772" i="5"/>
  <c r="N5771" i="5"/>
  <c r="O5771" i="5" s="1"/>
  <c r="N5770" i="5"/>
  <c r="N5769" i="5"/>
  <c r="N5768" i="5"/>
  <c r="N5767" i="5"/>
  <c r="O5767" i="5" s="1"/>
  <c r="N5766" i="5"/>
  <c r="N5765" i="5"/>
  <c r="N5764" i="5"/>
  <c r="N5763" i="5"/>
  <c r="O5763" i="5" s="1"/>
  <c r="N5762" i="5"/>
  <c r="N5761" i="5"/>
  <c r="N5760" i="5"/>
  <c r="N5759" i="5"/>
  <c r="O5759" i="5" s="1"/>
  <c r="N5758" i="5"/>
  <c r="N5757" i="5"/>
  <c r="N5756" i="5"/>
  <c r="N5755" i="5"/>
  <c r="O5755" i="5" s="1"/>
  <c r="N5754" i="5"/>
  <c r="N5753" i="5"/>
  <c r="N5752" i="5"/>
  <c r="N5751" i="5"/>
  <c r="O5751" i="5" s="1"/>
  <c r="N5750" i="5"/>
  <c r="N5749" i="5"/>
  <c r="N5748" i="5"/>
  <c r="N5747" i="5"/>
  <c r="O5747" i="5" s="1"/>
  <c r="N5746" i="5"/>
  <c r="N5745" i="5"/>
  <c r="N5744" i="5"/>
  <c r="N5743" i="5"/>
  <c r="O5743" i="5" s="1"/>
  <c r="N5742" i="5"/>
  <c r="N5741" i="5"/>
  <c r="N5740" i="5"/>
  <c r="N5739" i="5"/>
  <c r="O5739" i="5" s="1"/>
  <c r="N5738" i="5"/>
  <c r="N5737" i="5"/>
  <c r="N5736" i="5"/>
  <c r="N5735" i="5"/>
  <c r="O5735" i="5" s="1"/>
  <c r="N5734" i="5"/>
  <c r="N5733" i="5"/>
  <c r="N5732" i="5"/>
  <c r="N5731" i="5"/>
  <c r="O5731" i="5" s="1"/>
  <c r="N5730" i="5"/>
  <c r="N5729" i="5"/>
  <c r="N5728" i="5"/>
  <c r="N5727" i="5"/>
  <c r="O5727" i="5" s="1"/>
  <c r="N5726" i="5"/>
  <c r="N5725" i="5"/>
  <c r="N5724" i="5"/>
  <c r="N5723" i="5"/>
  <c r="O5723" i="5" s="1"/>
  <c r="N5722" i="5"/>
  <c r="N5721" i="5"/>
  <c r="N5720" i="5"/>
  <c r="N5719" i="5"/>
  <c r="O5719" i="5" s="1"/>
  <c r="N5718" i="5"/>
  <c r="N5717" i="5"/>
  <c r="N5716" i="5"/>
  <c r="N5715" i="5"/>
  <c r="O5715" i="5" s="1"/>
  <c r="N5714" i="5"/>
  <c r="N5713" i="5"/>
  <c r="N5712" i="5"/>
  <c r="N5711" i="5"/>
  <c r="O5711" i="5" s="1"/>
  <c r="N5710" i="5"/>
  <c r="N5709" i="5"/>
  <c r="N5708" i="5"/>
  <c r="N5707" i="5"/>
  <c r="O5707" i="5" s="1"/>
  <c r="N5706" i="5"/>
  <c r="N5705" i="5"/>
  <c r="N5704" i="5"/>
  <c r="N5703" i="5"/>
  <c r="O5703" i="5" s="1"/>
  <c r="N5702" i="5"/>
  <c r="N5701" i="5"/>
  <c r="N5700" i="5"/>
  <c r="N5699" i="5"/>
  <c r="O5699" i="5" s="1"/>
  <c r="N5698" i="5"/>
  <c r="N5697" i="5"/>
  <c r="N5696" i="5"/>
  <c r="N5695" i="5"/>
  <c r="O5695" i="5" s="1"/>
  <c r="N5694" i="5"/>
  <c r="N5693" i="5"/>
  <c r="N5692" i="5"/>
  <c r="N5691" i="5"/>
  <c r="O5691" i="5" s="1"/>
  <c r="N5690" i="5"/>
  <c r="N5689" i="5"/>
  <c r="N5688" i="5"/>
  <c r="N5687" i="5"/>
  <c r="O5687" i="5" s="1"/>
  <c r="N5686" i="5"/>
  <c r="N5685" i="5"/>
  <c r="N5684" i="5"/>
  <c r="N5683" i="5"/>
  <c r="O5683" i="5" s="1"/>
  <c r="N5682" i="5"/>
  <c r="N5681" i="5"/>
  <c r="N5680" i="5"/>
  <c r="N5679" i="5"/>
  <c r="O5679" i="5" s="1"/>
  <c r="N5678" i="5"/>
  <c r="N5677" i="5"/>
  <c r="N5676" i="5"/>
  <c r="N5675" i="5"/>
  <c r="O5675" i="5" s="1"/>
  <c r="N5674" i="5"/>
  <c r="N5673" i="5"/>
  <c r="N5672" i="5"/>
  <c r="N5671" i="5"/>
  <c r="O5671" i="5" s="1"/>
  <c r="N5670" i="5"/>
  <c r="N5669" i="5"/>
  <c r="N5668" i="5"/>
  <c r="N5667" i="5"/>
  <c r="O5667" i="5" s="1"/>
  <c r="N5666" i="5"/>
  <c r="N5665" i="5"/>
  <c r="N5664" i="5"/>
  <c r="N5663" i="5"/>
  <c r="O5663" i="5" s="1"/>
  <c r="N5662" i="5"/>
  <c r="N5661" i="5"/>
  <c r="N5660" i="5"/>
  <c r="N5659" i="5"/>
  <c r="O5659" i="5" s="1"/>
  <c r="N5658" i="5"/>
  <c r="N5657" i="5"/>
  <c r="N5656" i="5"/>
  <c r="N5655" i="5"/>
  <c r="O5655" i="5" s="1"/>
  <c r="N5654" i="5"/>
  <c r="N5653" i="5"/>
  <c r="N5652" i="5"/>
  <c r="N5651" i="5"/>
  <c r="O5651" i="5" s="1"/>
  <c r="N5650" i="5"/>
  <c r="N5649" i="5"/>
  <c r="N5648" i="5"/>
  <c r="N5647" i="5"/>
  <c r="O5647" i="5" s="1"/>
  <c r="N5646" i="5"/>
  <c r="N5645" i="5"/>
  <c r="N5644" i="5"/>
  <c r="N5643" i="5"/>
  <c r="O5643" i="5" s="1"/>
  <c r="N5642" i="5"/>
  <c r="N5641" i="5"/>
  <c r="N5640" i="5"/>
  <c r="N5639" i="5"/>
  <c r="O5639" i="5" s="1"/>
  <c r="N5638" i="5"/>
  <c r="N5637" i="5"/>
  <c r="N5636" i="5"/>
  <c r="N5635" i="5"/>
  <c r="O5635" i="5" s="1"/>
  <c r="N5634" i="5"/>
  <c r="N5633" i="5"/>
  <c r="N5632" i="5"/>
  <c r="N5631" i="5"/>
  <c r="O5631" i="5" s="1"/>
  <c r="N5630" i="5"/>
  <c r="N5629" i="5"/>
  <c r="N5628" i="5"/>
  <c r="N5627" i="5"/>
  <c r="O5627" i="5" s="1"/>
  <c r="N5626" i="5"/>
  <c r="N5625" i="5"/>
  <c r="N5624" i="5"/>
  <c r="N5623" i="5"/>
  <c r="O5623" i="5" s="1"/>
  <c r="N5622" i="5"/>
  <c r="N5621" i="5"/>
  <c r="N5620" i="5"/>
  <c r="N5619" i="5"/>
  <c r="O5619" i="5" s="1"/>
  <c r="N5618" i="5"/>
  <c r="N5617" i="5"/>
  <c r="N5616" i="5"/>
  <c r="N5615" i="5"/>
  <c r="N5614" i="5"/>
  <c r="N5613" i="5"/>
  <c r="O5613" i="5" s="1"/>
  <c r="N5612" i="5"/>
  <c r="N5611" i="5"/>
  <c r="N5610" i="5"/>
  <c r="N5609" i="5"/>
  <c r="N5608" i="5"/>
  <c r="N5607" i="5"/>
  <c r="O5607" i="5" s="1"/>
  <c r="N5606" i="5"/>
  <c r="N5605" i="5"/>
  <c r="N5604" i="5"/>
  <c r="N5603" i="5"/>
  <c r="N5602" i="5"/>
  <c r="N5601" i="5"/>
  <c r="O5601" i="5" s="1"/>
  <c r="N5600" i="5"/>
  <c r="N5599" i="5"/>
  <c r="N5598" i="5"/>
  <c r="N5597" i="5"/>
  <c r="N5596" i="5"/>
  <c r="N5595" i="5"/>
  <c r="O5595" i="5" s="1"/>
  <c r="N5594" i="5"/>
  <c r="N5593" i="5"/>
  <c r="N5592" i="5"/>
  <c r="N5591" i="5"/>
  <c r="N5590" i="5"/>
  <c r="N5589" i="5"/>
  <c r="O5589" i="5" s="1"/>
  <c r="N5588" i="5"/>
  <c r="N5587" i="5"/>
  <c r="N5586" i="5"/>
  <c r="N5585" i="5"/>
  <c r="N5584" i="5"/>
  <c r="N5583" i="5"/>
  <c r="O5583" i="5" s="1"/>
  <c r="N5582" i="5"/>
  <c r="N5581" i="5"/>
  <c r="N5580" i="5"/>
  <c r="N5579" i="5"/>
  <c r="N5578" i="5"/>
  <c r="N5577" i="5"/>
  <c r="O5577" i="5" s="1"/>
  <c r="N5576" i="5"/>
  <c r="N5575" i="5"/>
  <c r="N5574" i="5"/>
  <c r="N5573" i="5"/>
  <c r="N5572" i="5"/>
  <c r="N5571" i="5"/>
  <c r="O5571" i="5" s="1"/>
  <c r="N5570" i="5"/>
  <c r="N5569" i="5"/>
  <c r="N5568" i="5"/>
  <c r="N5567" i="5"/>
  <c r="N5566" i="5"/>
  <c r="N5565" i="5"/>
  <c r="O5565" i="5" s="1"/>
  <c r="N5564" i="5"/>
  <c r="N5563" i="5"/>
  <c r="N5562" i="5"/>
  <c r="N5561" i="5"/>
  <c r="N5560" i="5"/>
  <c r="N5559" i="5"/>
  <c r="O5559" i="5" s="1"/>
  <c r="N5558" i="5"/>
  <c r="N5557" i="5"/>
  <c r="N5556" i="5"/>
  <c r="N5555" i="5"/>
  <c r="N5554" i="5"/>
  <c r="N5553" i="5"/>
  <c r="O5553" i="5" s="1"/>
  <c r="N5552" i="5"/>
  <c r="N5551" i="5"/>
  <c r="N5550" i="5"/>
  <c r="N5549" i="5"/>
  <c r="N5548" i="5"/>
  <c r="N5547" i="5"/>
  <c r="O5547" i="5" s="1"/>
  <c r="N5546" i="5"/>
  <c r="N5545" i="5"/>
  <c r="N5544" i="5"/>
  <c r="N5543" i="5"/>
  <c r="N5542" i="5"/>
  <c r="N5541" i="5"/>
  <c r="O5541" i="5" s="1"/>
  <c r="N5540" i="5"/>
  <c r="N5539" i="5"/>
  <c r="N5538" i="5"/>
  <c r="N5537" i="5"/>
  <c r="N5536" i="5"/>
  <c r="N5535" i="5"/>
  <c r="O5535" i="5" s="1"/>
  <c r="N5534" i="5"/>
  <c r="N5533" i="5"/>
  <c r="N5532" i="5"/>
  <c r="N5531" i="5"/>
  <c r="N5530" i="5"/>
  <c r="N5529" i="5"/>
  <c r="O5529" i="5" s="1"/>
  <c r="N5528" i="5"/>
  <c r="N5527" i="5"/>
  <c r="N5526" i="5"/>
  <c r="N5525" i="5"/>
  <c r="N5524" i="5"/>
  <c r="N5523" i="5"/>
  <c r="O5523" i="5" s="1"/>
  <c r="N5522" i="5"/>
  <c r="N5521" i="5"/>
  <c r="N5520" i="5"/>
  <c r="N5519" i="5"/>
  <c r="N5518" i="5"/>
  <c r="N5517" i="5"/>
  <c r="O5517" i="5" s="1"/>
  <c r="N5516" i="5"/>
  <c r="N5515" i="5"/>
  <c r="N5514" i="5"/>
  <c r="N5513" i="5"/>
  <c r="N5512" i="5"/>
  <c r="N5511" i="5"/>
  <c r="O5511" i="5" s="1"/>
  <c r="N5510" i="5"/>
  <c r="N5509" i="5"/>
  <c r="N5508" i="5"/>
  <c r="N5507" i="5"/>
  <c r="N5506" i="5"/>
  <c r="N5505" i="5"/>
  <c r="O5505" i="5" s="1"/>
  <c r="N5504" i="5"/>
  <c r="N5503" i="5"/>
  <c r="N5502" i="5"/>
  <c r="N5501" i="5"/>
  <c r="N5500" i="5"/>
  <c r="N5499" i="5"/>
  <c r="O5499" i="5" s="1"/>
  <c r="N5498" i="5"/>
  <c r="N5497" i="5"/>
  <c r="N5496" i="5"/>
  <c r="N5495" i="5"/>
  <c r="O5495" i="5" s="1"/>
  <c r="N5494" i="5"/>
  <c r="N5493" i="5"/>
  <c r="N5492" i="5"/>
  <c r="N5491" i="5"/>
  <c r="N5490" i="5"/>
  <c r="N5489" i="5"/>
  <c r="N5488" i="5"/>
  <c r="N5487" i="5"/>
  <c r="N5486" i="5"/>
  <c r="N5485" i="5"/>
  <c r="N5484" i="5"/>
  <c r="O5484" i="5" s="1"/>
  <c r="N5483" i="5"/>
  <c r="N5482" i="5"/>
  <c r="N5481" i="5"/>
  <c r="N5480" i="5"/>
  <c r="N5479" i="5"/>
  <c r="N5478" i="5"/>
  <c r="N5477" i="5"/>
  <c r="N5476" i="5"/>
  <c r="N5475" i="5"/>
  <c r="N5474" i="5"/>
  <c r="N5473" i="5"/>
  <c r="N5472" i="5"/>
  <c r="N5471" i="5"/>
  <c r="N5470" i="5"/>
  <c r="N5469" i="5"/>
  <c r="N5468" i="5"/>
  <c r="N5467" i="5"/>
  <c r="N5466" i="5"/>
  <c r="N5465" i="5"/>
  <c r="N5464" i="5"/>
  <c r="N5463" i="5"/>
  <c r="N5462" i="5"/>
  <c r="N5461" i="5"/>
  <c r="N5460" i="5"/>
  <c r="N5459" i="5"/>
  <c r="N5458" i="5"/>
  <c r="N5457" i="5"/>
  <c r="N5456" i="5"/>
  <c r="N5455" i="5"/>
  <c r="N5454" i="5"/>
  <c r="N5453" i="5"/>
  <c r="N5452" i="5"/>
  <c r="N5451" i="5"/>
  <c r="N5450" i="5"/>
  <c r="N5449" i="5"/>
  <c r="N5448" i="5"/>
  <c r="N5447" i="5"/>
  <c r="N5446" i="5"/>
  <c r="N5445" i="5"/>
  <c r="N5444" i="5"/>
  <c r="N5443" i="5"/>
  <c r="N5442" i="5"/>
  <c r="N5441" i="5"/>
  <c r="N5440" i="5"/>
  <c r="N5439" i="5"/>
  <c r="N5438" i="5"/>
  <c r="N5437" i="5"/>
  <c r="N5436" i="5"/>
  <c r="N5435" i="5"/>
  <c r="N5434" i="5"/>
  <c r="N5433" i="5"/>
  <c r="N5432" i="5"/>
  <c r="N5431" i="5"/>
  <c r="N5430" i="5"/>
  <c r="N5429" i="5"/>
  <c r="N5428" i="5"/>
  <c r="N5427" i="5"/>
  <c r="N5426" i="5"/>
  <c r="N5425" i="5"/>
  <c r="N5424" i="5"/>
  <c r="N5423" i="5"/>
  <c r="N5422" i="5"/>
  <c r="N5421" i="5"/>
  <c r="N5420" i="5"/>
  <c r="N5419" i="5"/>
  <c r="N5418" i="5"/>
  <c r="N5417" i="5"/>
  <c r="N5416" i="5"/>
  <c r="N5415" i="5"/>
  <c r="N5414" i="5"/>
  <c r="N5413" i="5"/>
  <c r="N5412" i="5"/>
  <c r="N5411" i="5"/>
  <c r="N5410" i="5"/>
  <c r="N5409" i="5"/>
  <c r="N5408" i="5"/>
  <c r="N5407" i="5"/>
  <c r="N5406" i="5"/>
  <c r="N5405" i="5"/>
  <c r="N5404" i="5"/>
  <c r="N5403" i="5"/>
  <c r="N5402" i="5"/>
  <c r="N5401" i="5"/>
  <c r="N5400" i="5"/>
  <c r="N5399" i="5"/>
  <c r="N5398" i="5"/>
  <c r="N5397" i="5"/>
  <c r="N5396" i="5"/>
  <c r="N5395" i="5"/>
  <c r="N5394" i="5"/>
  <c r="N5393" i="5"/>
  <c r="N5392" i="5"/>
  <c r="N5391" i="5"/>
  <c r="N5390" i="5"/>
  <c r="N5389" i="5"/>
  <c r="N5388" i="5"/>
  <c r="N5387" i="5"/>
  <c r="N5386" i="5"/>
  <c r="N5385" i="5"/>
  <c r="N5384" i="5"/>
  <c r="N5383" i="5"/>
  <c r="N5382" i="5"/>
  <c r="N5381" i="5"/>
  <c r="N5380" i="5"/>
  <c r="N5379" i="5"/>
  <c r="N5378" i="5"/>
  <c r="N5377" i="5"/>
  <c r="N5376" i="5"/>
  <c r="N5375" i="5"/>
  <c r="N5374" i="5"/>
  <c r="N5373" i="5"/>
  <c r="N5372" i="5"/>
  <c r="N5371" i="5"/>
  <c r="N5370" i="5"/>
  <c r="N5369" i="5"/>
  <c r="N5368" i="5"/>
  <c r="N5367" i="5"/>
  <c r="N5366" i="5"/>
  <c r="N5365" i="5"/>
  <c r="N5364" i="5"/>
  <c r="N5363" i="5"/>
  <c r="N5362" i="5"/>
  <c r="N5361" i="5"/>
  <c r="N5360" i="5"/>
  <c r="N5359" i="5"/>
  <c r="N5358" i="5"/>
  <c r="N5357" i="5"/>
  <c r="N5356" i="5"/>
  <c r="N5355" i="5"/>
  <c r="N5354" i="5"/>
  <c r="N5353" i="5"/>
  <c r="N5352" i="5"/>
  <c r="N5351" i="5"/>
  <c r="N5350" i="5"/>
  <c r="N5349" i="5"/>
  <c r="N5348" i="5"/>
  <c r="N5347" i="5"/>
  <c r="N5346" i="5"/>
  <c r="N5345" i="5"/>
  <c r="N5344" i="5"/>
  <c r="N5343" i="5"/>
  <c r="N5342" i="5"/>
  <c r="N5341" i="5"/>
  <c r="N5340" i="5"/>
  <c r="N5339" i="5"/>
  <c r="N5338" i="5"/>
  <c r="N5337" i="5"/>
  <c r="N5336" i="5"/>
  <c r="N5335" i="5"/>
  <c r="N5334" i="5"/>
  <c r="N5333" i="5"/>
  <c r="N5332" i="5"/>
  <c r="N5331" i="5"/>
  <c r="N5330" i="5"/>
  <c r="N5329" i="5"/>
  <c r="N5328" i="5"/>
  <c r="N5327" i="5"/>
  <c r="N5326" i="5"/>
  <c r="N5325" i="5"/>
  <c r="N5324" i="5"/>
  <c r="N5323" i="5"/>
  <c r="N5322" i="5"/>
  <c r="N5321" i="5"/>
  <c r="N5320" i="5"/>
  <c r="N5319" i="5"/>
  <c r="N5318" i="5"/>
  <c r="N5317" i="5"/>
  <c r="N5316" i="5"/>
  <c r="N5315" i="5"/>
  <c r="N5314" i="5"/>
  <c r="N5313" i="5"/>
  <c r="N5312" i="5"/>
  <c r="N5311" i="5"/>
  <c r="N5310" i="5"/>
  <c r="N5309" i="5"/>
  <c r="N5308" i="5"/>
  <c r="N5307" i="5"/>
  <c r="N5306" i="5"/>
  <c r="N5305" i="5"/>
  <c r="N5304" i="5"/>
  <c r="N5303" i="5"/>
  <c r="N5302" i="5"/>
  <c r="N5301" i="5"/>
  <c r="N5300" i="5"/>
  <c r="N5299" i="5"/>
  <c r="N5298" i="5"/>
  <c r="N5297" i="5"/>
  <c r="N5296" i="5"/>
  <c r="N5295" i="5"/>
  <c r="N5294" i="5"/>
  <c r="N5293" i="5"/>
  <c r="N5292" i="5"/>
  <c r="N5291" i="5"/>
  <c r="N5290" i="5"/>
  <c r="N5289" i="5"/>
  <c r="N5288" i="5"/>
  <c r="N5287" i="5"/>
  <c r="N5286" i="5"/>
  <c r="N5285" i="5"/>
  <c r="N5284" i="5"/>
  <c r="N5283" i="5"/>
  <c r="N5282" i="5"/>
  <c r="N5281" i="5"/>
  <c r="N5280" i="5"/>
  <c r="N5279" i="5"/>
  <c r="N5278" i="5"/>
  <c r="N5277" i="5"/>
  <c r="N5276" i="5"/>
  <c r="N5275" i="5"/>
  <c r="N5274" i="5"/>
  <c r="N5273" i="5"/>
  <c r="N5272" i="5"/>
  <c r="N5271" i="5"/>
  <c r="N5270" i="5"/>
  <c r="N5269" i="5"/>
  <c r="N5268" i="5"/>
  <c r="N5267" i="5"/>
  <c r="N5266" i="5"/>
  <c r="N5265" i="5"/>
  <c r="N5264" i="5"/>
  <c r="N5263" i="5"/>
  <c r="N5262" i="5"/>
  <c r="N5261" i="5"/>
  <c r="N5260" i="5"/>
  <c r="N5259" i="5"/>
  <c r="N5258" i="5"/>
  <c r="N5257" i="5"/>
  <c r="N5256" i="5"/>
  <c r="N5255" i="5"/>
  <c r="N5254" i="5"/>
  <c r="N5253" i="5"/>
  <c r="N5252" i="5"/>
  <c r="N5251" i="5"/>
  <c r="N5250" i="5"/>
  <c r="N5249" i="5"/>
  <c r="N5248" i="5"/>
  <c r="N5247" i="5"/>
  <c r="N5246" i="5"/>
  <c r="N5245" i="5"/>
  <c r="N5244" i="5"/>
  <c r="N5243" i="5"/>
  <c r="N5242" i="5"/>
  <c r="N5241" i="5"/>
  <c r="N5240" i="5"/>
  <c r="N5239" i="5"/>
  <c r="N5238" i="5"/>
  <c r="N5237" i="5"/>
  <c r="N5236" i="5"/>
  <c r="N5235" i="5"/>
  <c r="N5234" i="5"/>
  <c r="N5233" i="5"/>
  <c r="N5232" i="5"/>
  <c r="N5231" i="5"/>
  <c r="N5230" i="5"/>
  <c r="N5228" i="5"/>
  <c r="N5227" i="5"/>
  <c r="N5226" i="5"/>
  <c r="N5225" i="5"/>
  <c r="N5224" i="5"/>
  <c r="N5223" i="5"/>
  <c r="N5222" i="5"/>
  <c r="N5221" i="5"/>
  <c r="N5220" i="5"/>
  <c r="N5219" i="5"/>
  <c r="N5218" i="5"/>
  <c r="N5217" i="5"/>
  <c r="N5216" i="5"/>
  <c r="N5215" i="5"/>
  <c r="N5214" i="5"/>
  <c r="N5213" i="5"/>
  <c r="N5212" i="5"/>
  <c r="N5211" i="5"/>
  <c r="N5210" i="5"/>
  <c r="N5209" i="5"/>
  <c r="N5208" i="5"/>
  <c r="N5207" i="5"/>
  <c r="N5206" i="5"/>
  <c r="N5205" i="5"/>
  <c r="N5204" i="5"/>
  <c r="N5203" i="5"/>
  <c r="N5202" i="5"/>
  <c r="N5201" i="5"/>
  <c r="N5200" i="5"/>
  <c r="N5199" i="5"/>
  <c r="N5198" i="5"/>
  <c r="N5197" i="5"/>
  <c r="N5196" i="5"/>
  <c r="N5195" i="5"/>
  <c r="N5194" i="5"/>
  <c r="N5193" i="5"/>
  <c r="N5192" i="5"/>
  <c r="N5191" i="5"/>
  <c r="N5190" i="5"/>
  <c r="N5189" i="5"/>
  <c r="N5188" i="5"/>
  <c r="N5187" i="5"/>
  <c r="N5186" i="5"/>
  <c r="N5185" i="5"/>
  <c r="N5184" i="5"/>
  <c r="N5183" i="5"/>
  <c r="N5182" i="5"/>
  <c r="N5181" i="5"/>
  <c r="N5180" i="5"/>
  <c r="N5179" i="5"/>
  <c r="N5178" i="5"/>
  <c r="N5177" i="5"/>
  <c r="N5176" i="5"/>
  <c r="N5175" i="5"/>
  <c r="N5174" i="5"/>
  <c r="N5173" i="5"/>
  <c r="N5172" i="5"/>
  <c r="N5171" i="5"/>
  <c r="N5170" i="5"/>
  <c r="N5169" i="5"/>
  <c r="N5168" i="5"/>
  <c r="N5167" i="5"/>
  <c r="N5166" i="5"/>
  <c r="N5165" i="5"/>
  <c r="N5164" i="5"/>
  <c r="N5163" i="5"/>
  <c r="N5162" i="5"/>
  <c r="N5161" i="5"/>
  <c r="N5160" i="5"/>
  <c r="N5159" i="5"/>
  <c r="N5158" i="5"/>
  <c r="N5157" i="5"/>
  <c r="N5156" i="5"/>
  <c r="N5155" i="5"/>
  <c r="N5154" i="5"/>
  <c r="N5153" i="5"/>
  <c r="N5152" i="5"/>
  <c r="N5151" i="5"/>
  <c r="N5150" i="5"/>
  <c r="N5149" i="5"/>
  <c r="N5148" i="5"/>
  <c r="N5147" i="5"/>
  <c r="N5146" i="5"/>
  <c r="N5145" i="5"/>
  <c r="N5144" i="5"/>
  <c r="N5143" i="5"/>
  <c r="N5142" i="5"/>
  <c r="N5141" i="5"/>
  <c r="N5140" i="5"/>
  <c r="N5139" i="5"/>
  <c r="N5138" i="5"/>
  <c r="N5137" i="5"/>
  <c r="N5136" i="5"/>
  <c r="N5135" i="5"/>
  <c r="N5134" i="5"/>
  <c r="N5133" i="5"/>
  <c r="N5132" i="5"/>
  <c r="N5131" i="5"/>
  <c r="N5130" i="5"/>
  <c r="N5129" i="5"/>
  <c r="N5128" i="5"/>
  <c r="N5127" i="5"/>
  <c r="N5126" i="5"/>
  <c r="N5125" i="5"/>
  <c r="N5124" i="5"/>
  <c r="N5123" i="5"/>
  <c r="N5122" i="5"/>
  <c r="N5121" i="5"/>
  <c r="N5120" i="5"/>
  <c r="N5119" i="5"/>
  <c r="N5116" i="5"/>
  <c r="N5115" i="5"/>
  <c r="N5114" i="5"/>
  <c r="N5113" i="5"/>
  <c r="N5112" i="5"/>
  <c r="N5111" i="5"/>
  <c r="N5110" i="5"/>
  <c r="N5109" i="5"/>
  <c r="N5108" i="5"/>
  <c r="N5107" i="5"/>
  <c r="N5106" i="5"/>
  <c r="N5105" i="5"/>
  <c r="N5104" i="5"/>
  <c r="N5103" i="5"/>
  <c r="N5102" i="5"/>
  <c r="N5101" i="5"/>
  <c r="N5100" i="5"/>
  <c r="N5099" i="5"/>
  <c r="N5098" i="5"/>
  <c r="N5097" i="5"/>
  <c r="N5096" i="5"/>
  <c r="N5095" i="5"/>
  <c r="N5094" i="5"/>
  <c r="N5093" i="5"/>
  <c r="N5092" i="5"/>
  <c r="N5091" i="5"/>
  <c r="N5090" i="5"/>
  <c r="N5089" i="5"/>
  <c r="N5088" i="5"/>
  <c r="N5087" i="5"/>
  <c r="N5086" i="5"/>
  <c r="N5085" i="5"/>
  <c r="N5084" i="5"/>
  <c r="N5083" i="5"/>
  <c r="N5082" i="5"/>
  <c r="N5081" i="5"/>
  <c r="N5080" i="5"/>
  <c r="N5079" i="5"/>
  <c r="N5078" i="5"/>
  <c r="N5077" i="5"/>
  <c r="N5076" i="5"/>
  <c r="N5075" i="5"/>
  <c r="N5074" i="5"/>
  <c r="N5073" i="5"/>
  <c r="N5072" i="5"/>
  <c r="N5071" i="5"/>
  <c r="N5070" i="5"/>
  <c r="N5069" i="5"/>
  <c r="N5068" i="5"/>
  <c r="N5067" i="5"/>
  <c r="N5066" i="5"/>
  <c r="N5065" i="5"/>
  <c r="N5064" i="5"/>
  <c r="N5063" i="5"/>
  <c r="N5062" i="5"/>
  <c r="N5061" i="5"/>
  <c r="N5060" i="5"/>
  <c r="N5059" i="5"/>
  <c r="N5058" i="5"/>
  <c r="N5057" i="5"/>
  <c r="N5056" i="5"/>
  <c r="N5055" i="5"/>
  <c r="N5054" i="5"/>
  <c r="N5053" i="5"/>
  <c r="N5052" i="5"/>
  <c r="N5051" i="5"/>
  <c r="N5050" i="5"/>
  <c r="N5049" i="5"/>
  <c r="N5048" i="5"/>
  <c r="N5047" i="5"/>
  <c r="N5046" i="5"/>
  <c r="N5045" i="5"/>
  <c r="N5044" i="5"/>
  <c r="N5043" i="5"/>
  <c r="N5042" i="5"/>
  <c r="N5041" i="5"/>
  <c r="N5040" i="5"/>
  <c r="N5039" i="5"/>
  <c r="N5038" i="5"/>
  <c r="N5037" i="5"/>
  <c r="N5036" i="5"/>
  <c r="N5035" i="5"/>
  <c r="N5034" i="5"/>
  <c r="N5033" i="5"/>
  <c r="N5032" i="5"/>
  <c r="N5031" i="5"/>
  <c r="N5030" i="5"/>
  <c r="N5029" i="5"/>
  <c r="N5028" i="5"/>
  <c r="N5027" i="5"/>
  <c r="O5027" i="5" s="1"/>
  <c r="N5026" i="5"/>
  <c r="N5025" i="5"/>
  <c r="N5024" i="5"/>
  <c r="N5023" i="5"/>
  <c r="N5022" i="5"/>
  <c r="N5021" i="5"/>
  <c r="N5020" i="5"/>
  <c r="N5019" i="5"/>
  <c r="N5018" i="5"/>
  <c r="N5017" i="5"/>
  <c r="N5016" i="5"/>
  <c r="N5015" i="5"/>
  <c r="N5014" i="5"/>
  <c r="N5013" i="5"/>
  <c r="N5012" i="5"/>
  <c r="N5011" i="5"/>
  <c r="N5010" i="5"/>
  <c r="N5009" i="5"/>
  <c r="N5008" i="5"/>
  <c r="N5007" i="5"/>
  <c r="N5006" i="5"/>
  <c r="N5005" i="5"/>
  <c r="N5004" i="5"/>
  <c r="N5003" i="5"/>
  <c r="N5002" i="5"/>
  <c r="N5001" i="5"/>
  <c r="N5000" i="5"/>
  <c r="N4999" i="5"/>
  <c r="N4998" i="5"/>
  <c r="N4997" i="5"/>
  <c r="N4996" i="5"/>
  <c r="N4995" i="5"/>
  <c r="N4994" i="5"/>
  <c r="N4993" i="5"/>
  <c r="N4992" i="5"/>
  <c r="N4991" i="5"/>
  <c r="N4990" i="5"/>
  <c r="N4989" i="5"/>
  <c r="N4988" i="5"/>
  <c r="N4987" i="5"/>
  <c r="N4986" i="5"/>
  <c r="N4985" i="5"/>
  <c r="N4984" i="5"/>
  <c r="N4983" i="5"/>
  <c r="N4982" i="5"/>
  <c r="N4981" i="5"/>
  <c r="N4980" i="5"/>
  <c r="N4979" i="5"/>
  <c r="N4978" i="5"/>
  <c r="N4977" i="5"/>
  <c r="N4976" i="5"/>
  <c r="N4975" i="5"/>
  <c r="N4974" i="5"/>
  <c r="N4973" i="5"/>
  <c r="N4972" i="5"/>
  <c r="N4971" i="5"/>
  <c r="N4970" i="5"/>
  <c r="N4969" i="5"/>
  <c r="N4968" i="5"/>
  <c r="N4967" i="5"/>
  <c r="N4966" i="5"/>
  <c r="N4965" i="5"/>
  <c r="N4964" i="5"/>
  <c r="N4963" i="5"/>
  <c r="N4962" i="5"/>
  <c r="N4961" i="5"/>
  <c r="N4960" i="5"/>
  <c r="N4959" i="5"/>
  <c r="N4958" i="5"/>
  <c r="N4957" i="5"/>
  <c r="N4956" i="5"/>
  <c r="N4955" i="5"/>
  <c r="N4954" i="5"/>
  <c r="N4953" i="5"/>
  <c r="N4952" i="5"/>
  <c r="N4951" i="5"/>
  <c r="N4950" i="5"/>
  <c r="N4949" i="5"/>
  <c r="N4948" i="5"/>
  <c r="N4947" i="5"/>
  <c r="N4946" i="5"/>
  <c r="N4945" i="5"/>
  <c r="N4944" i="5"/>
  <c r="N4943" i="5"/>
  <c r="N4942" i="5"/>
  <c r="N4941" i="5"/>
  <c r="N4940" i="5"/>
  <c r="N4939" i="5"/>
  <c r="N4938" i="5"/>
  <c r="N4937" i="5"/>
  <c r="N4936" i="5"/>
  <c r="N4935" i="5"/>
  <c r="N4934" i="5"/>
  <c r="N4933" i="5"/>
  <c r="N4932" i="5"/>
  <c r="N4931" i="5"/>
  <c r="N4930" i="5"/>
  <c r="N4929" i="5"/>
  <c r="N4928" i="5"/>
  <c r="N4927" i="5"/>
  <c r="N4926" i="5"/>
  <c r="N4925" i="5"/>
  <c r="N4924" i="5"/>
  <c r="N4923" i="5"/>
  <c r="N4922" i="5"/>
  <c r="N4921" i="5"/>
  <c r="N4920" i="5"/>
  <c r="N4919" i="5"/>
  <c r="N4918" i="5"/>
  <c r="N4917" i="5"/>
  <c r="N4916" i="5"/>
  <c r="N4915" i="5"/>
  <c r="N4914" i="5"/>
  <c r="N4913" i="5"/>
  <c r="N4912" i="5"/>
  <c r="N4911" i="5"/>
  <c r="N4910" i="5"/>
  <c r="N4909" i="5"/>
  <c r="N4908" i="5"/>
  <c r="N4907" i="5"/>
  <c r="N4906" i="5"/>
  <c r="N4905" i="5"/>
  <c r="N4904" i="5"/>
  <c r="N4903" i="5"/>
  <c r="N4902" i="5"/>
  <c r="N4901" i="5"/>
  <c r="N4900" i="5"/>
  <c r="N4899" i="5"/>
  <c r="N4898" i="5"/>
  <c r="N4897" i="5"/>
  <c r="N4896" i="5"/>
  <c r="N4895" i="5"/>
  <c r="N4894" i="5"/>
  <c r="N4893" i="5"/>
  <c r="N4892" i="5"/>
  <c r="N4891" i="5"/>
  <c r="N4890" i="5"/>
  <c r="N4889" i="5"/>
  <c r="N4888" i="5"/>
  <c r="N4887" i="5"/>
  <c r="N4886" i="5"/>
  <c r="N4885" i="5"/>
  <c r="N4884" i="5"/>
  <c r="N4883" i="5"/>
  <c r="N4882" i="5"/>
  <c r="N4878" i="5"/>
  <c r="N4877" i="5"/>
  <c r="N4876" i="5"/>
  <c r="N4875" i="5"/>
  <c r="N4874" i="5"/>
  <c r="N4870" i="5"/>
  <c r="N4869" i="5"/>
  <c r="N4868" i="5"/>
  <c r="N4867" i="5"/>
  <c r="N4866" i="5"/>
  <c r="N4862" i="5"/>
  <c r="N4861" i="5"/>
  <c r="N4860" i="5"/>
  <c r="N4859" i="5"/>
  <c r="N4858" i="5"/>
  <c r="N4854" i="5"/>
  <c r="N4853" i="5"/>
  <c r="N4852" i="5"/>
  <c r="N4851" i="5"/>
  <c r="N4850" i="5"/>
  <c r="N4846" i="5"/>
  <c r="N4845" i="5"/>
  <c r="N4844" i="5"/>
  <c r="N4843" i="5"/>
  <c r="N4842" i="5"/>
  <c r="N4838" i="5"/>
  <c r="N4837" i="5"/>
  <c r="N4836" i="5"/>
  <c r="N4835" i="5"/>
  <c r="N4834" i="5"/>
  <c r="N4830" i="5"/>
  <c r="N4829" i="5"/>
  <c r="N4828" i="5"/>
  <c r="N4827" i="5"/>
  <c r="N4825" i="5"/>
  <c r="N4822" i="5"/>
  <c r="N4821" i="5"/>
  <c r="N4820" i="5"/>
  <c r="N4819" i="5"/>
  <c r="N4818" i="5"/>
  <c r="N4817" i="5"/>
  <c r="N4816" i="5"/>
  <c r="N4815" i="5"/>
  <c r="N4814" i="5"/>
  <c r="N4813" i="5"/>
  <c r="N4812" i="5"/>
  <c r="N4811" i="5"/>
  <c r="N4810" i="5"/>
  <c r="N4809" i="5"/>
  <c r="N4808" i="5"/>
  <c r="N4807" i="5"/>
  <c r="N4806" i="5"/>
  <c r="N4805" i="5"/>
  <c r="N4804" i="5"/>
  <c r="N4803" i="5"/>
  <c r="N4802" i="5"/>
  <c r="N4801" i="5"/>
  <c r="N4800" i="5"/>
  <c r="N4799" i="5"/>
  <c r="N4798" i="5"/>
  <c r="N4797" i="5"/>
  <c r="N4796" i="5"/>
  <c r="N4795" i="5"/>
  <c r="N4794" i="5"/>
  <c r="N4793" i="5"/>
  <c r="N4792" i="5"/>
  <c r="N4791" i="5"/>
  <c r="N4790" i="5"/>
  <c r="N4789" i="5"/>
  <c r="N4788" i="5"/>
  <c r="N4787" i="5"/>
  <c r="N4786" i="5"/>
  <c r="N4785" i="5"/>
  <c r="N4784" i="5"/>
  <c r="N4783" i="5"/>
  <c r="N4782" i="5"/>
  <c r="N4781" i="5"/>
  <c r="N4780" i="5"/>
  <c r="N4779" i="5"/>
  <c r="N4778" i="5"/>
  <c r="N4777" i="5"/>
  <c r="N4776" i="5"/>
  <c r="N4775" i="5"/>
  <c r="N4774" i="5"/>
  <c r="N4773" i="5"/>
  <c r="N4772" i="5"/>
  <c r="N4771" i="5"/>
  <c r="N4770" i="5"/>
  <c r="N4769" i="5"/>
  <c r="N4768" i="5"/>
  <c r="N4767" i="5"/>
  <c r="N4766" i="5"/>
  <c r="O4766" i="5" s="1"/>
  <c r="N4765" i="5"/>
  <c r="N4764" i="5"/>
  <c r="N4763" i="5"/>
  <c r="N4762" i="5"/>
  <c r="O4762" i="5" s="1"/>
  <c r="N4761" i="5"/>
  <c r="N4760" i="5"/>
  <c r="N4759" i="5"/>
  <c r="N4758" i="5"/>
  <c r="O4758" i="5" s="1"/>
  <c r="N4757" i="5"/>
  <c r="N4756" i="5"/>
  <c r="N4755" i="5"/>
  <c r="N4754" i="5"/>
  <c r="O4754" i="5" s="1"/>
  <c r="N4753" i="5"/>
  <c r="N4752" i="5"/>
  <c r="N4751" i="5"/>
  <c r="N4750" i="5"/>
  <c r="O4750" i="5" s="1"/>
  <c r="N4749" i="5"/>
  <c r="N4748" i="5"/>
  <c r="N4747" i="5"/>
  <c r="N4746" i="5"/>
  <c r="O4746" i="5" s="1"/>
  <c r="N4745" i="5"/>
  <c r="N4744" i="5"/>
  <c r="N4743" i="5"/>
  <c r="N4742" i="5"/>
  <c r="O4742" i="5" s="1"/>
  <c r="N4741" i="5"/>
  <c r="N4740" i="5"/>
  <c r="N4739" i="5"/>
  <c r="N4738" i="5"/>
  <c r="O4738" i="5" s="1"/>
  <c r="N4737" i="5"/>
  <c r="N4736" i="5"/>
  <c r="N4735" i="5"/>
  <c r="N4734" i="5"/>
  <c r="O4734" i="5" s="1"/>
  <c r="N4733" i="5"/>
  <c r="N4732" i="5"/>
  <c r="N4731" i="5"/>
  <c r="N4730" i="5"/>
  <c r="N4729" i="5"/>
  <c r="N4728" i="5"/>
  <c r="N4727" i="5"/>
  <c r="N4726" i="5"/>
  <c r="N4725" i="5"/>
  <c r="N4724" i="5"/>
  <c r="N4723" i="5"/>
  <c r="N4722" i="5"/>
  <c r="N4721" i="5"/>
  <c r="N4720" i="5"/>
  <c r="O4720" i="5" s="1"/>
  <c r="N4719" i="5"/>
  <c r="N4718" i="5"/>
  <c r="N4717" i="5"/>
  <c r="N4716" i="5"/>
  <c r="O4716" i="5" s="1"/>
  <c r="N4715" i="5"/>
  <c r="N4714" i="5"/>
  <c r="N4713" i="5"/>
  <c r="N4712" i="5"/>
  <c r="N4711" i="5"/>
  <c r="N4710" i="5"/>
  <c r="N4709" i="5"/>
  <c r="N4708" i="5"/>
  <c r="N4707" i="5"/>
  <c r="N4706" i="5"/>
  <c r="N4705" i="5"/>
  <c r="N4704" i="5"/>
  <c r="N4703" i="5"/>
  <c r="N4702" i="5"/>
  <c r="N4701" i="5"/>
  <c r="N4700" i="5"/>
  <c r="N4699" i="5"/>
  <c r="N4698" i="5"/>
  <c r="N4697" i="5"/>
  <c r="N4696" i="5"/>
  <c r="N4695" i="5"/>
  <c r="N4694" i="5"/>
  <c r="N4693" i="5"/>
  <c r="N4692" i="5"/>
  <c r="N4691" i="5"/>
  <c r="N4690" i="5"/>
  <c r="N4689" i="5"/>
  <c r="N4688" i="5"/>
  <c r="N4687" i="5"/>
  <c r="N4686" i="5"/>
  <c r="N4685" i="5"/>
  <c r="N4684" i="5"/>
  <c r="N4683" i="5"/>
  <c r="N4682" i="5"/>
  <c r="N4681" i="5"/>
  <c r="N4680" i="5"/>
  <c r="N4679" i="5"/>
  <c r="N4678" i="5"/>
  <c r="N4677" i="5"/>
  <c r="N4676" i="5"/>
  <c r="N4675" i="5"/>
  <c r="N4674" i="5"/>
  <c r="N4673" i="5"/>
  <c r="N4672" i="5"/>
  <c r="N4671" i="5"/>
  <c r="N4670" i="5"/>
  <c r="N4669" i="5"/>
  <c r="N4668" i="5"/>
  <c r="N4667" i="5"/>
  <c r="N4666" i="5"/>
  <c r="N4665" i="5"/>
  <c r="N4664" i="5"/>
  <c r="N4663" i="5"/>
  <c r="N4662" i="5"/>
  <c r="N4661" i="5"/>
  <c r="N4660" i="5"/>
  <c r="N4659" i="5"/>
  <c r="N4658" i="5"/>
  <c r="N4657" i="5"/>
  <c r="N4656" i="5"/>
  <c r="N4655" i="5"/>
  <c r="N4654" i="5"/>
  <c r="N4653" i="5"/>
  <c r="N4652" i="5"/>
  <c r="N4651" i="5"/>
  <c r="N4650" i="5"/>
  <c r="N4649" i="5"/>
  <c r="N4648" i="5"/>
  <c r="N4647" i="5"/>
  <c r="N4646" i="5"/>
  <c r="N4645" i="5"/>
  <c r="N4644" i="5"/>
  <c r="N4643" i="5"/>
  <c r="N4642" i="5"/>
  <c r="N4641" i="5"/>
  <c r="N4640" i="5"/>
  <c r="N4639" i="5"/>
  <c r="N4638" i="5"/>
  <c r="N4637" i="5"/>
  <c r="N4636" i="5"/>
  <c r="N4635" i="5"/>
  <c r="N4634" i="5"/>
  <c r="N4633" i="5"/>
  <c r="N4632" i="5"/>
  <c r="N4631" i="5"/>
  <c r="N4630" i="5"/>
  <c r="N4629" i="5"/>
  <c r="N4628" i="5"/>
  <c r="N4627" i="5"/>
  <c r="N4626" i="5"/>
  <c r="N4625" i="5"/>
  <c r="N4624" i="5"/>
  <c r="N4623" i="5"/>
  <c r="N4622" i="5"/>
  <c r="N4621" i="5"/>
  <c r="N4620" i="5"/>
  <c r="N4619" i="5"/>
  <c r="N4618" i="5"/>
  <c r="N4617" i="5"/>
  <c r="N4616" i="5"/>
  <c r="N4615" i="5"/>
  <c r="N4614" i="5"/>
  <c r="N4613" i="5"/>
  <c r="N4612" i="5"/>
  <c r="N4611" i="5"/>
  <c r="N4610" i="5"/>
  <c r="N4609" i="5"/>
  <c r="N4608" i="5"/>
  <c r="N4607" i="5"/>
  <c r="N4606" i="5"/>
  <c r="N4605" i="5"/>
  <c r="N4604" i="5"/>
  <c r="N4603" i="5"/>
  <c r="N4602" i="5"/>
  <c r="N4601" i="5"/>
  <c r="N4600" i="5"/>
  <c r="N4599" i="5"/>
  <c r="N4598" i="5"/>
  <c r="N4597" i="5"/>
  <c r="N4596" i="5"/>
  <c r="N4595" i="5"/>
  <c r="N4594" i="5"/>
  <c r="N4593" i="5"/>
  <c r="N4592" i="5"/>
  <c r="N4591" i="5"/>
  <c r="N4590" i="5"/>
  <c r="N4589" i="5"/>
  <c r="N4588" i="5"/>
  <c r="N4587" i="5"/>
  <c r="N4586" i="5"/>
  <c r="N4585" i="5"/>
  <c r="N4584" i="5"/>
  <c r="N4583" i="5"/>
  <c r="N4582" i="5"/>
  <c r="N4581" i="5"/>
  <c r="N4580" i="5"/>
  <c r="N4579" i="5"/>
  <c r="N4578" i="5"/>
  <c r="N4577" i="5"/>
  <c r="N4576" i="5"/>
  <c r="N4575" i="5"/>
  <c r="N4574" i="5"/>
  <c r="N4573" i="5"/>
  <c r="N4572" i="5"/>
  <c r="N4571" i="5"/>
  <c r="N4570" i="5"/>
  <c r="N4569" i="5"/>
  <c r="N4568" i="5"/>
  <c r="N4567" i="5"/>
  <c r="N4566" i="5"/>
  <c r="N4565" i="5"/>
  <c r="N4564" i="5"/>
  <c r="N4563" i="5"/>
  <c r="N4562" i="5"/>
  <c r="N4561" i="5"/>
  <c r="N4560" i="5"/>
  <c r="N4559" i="5"/>
  <c r="N4558" i="5"/>
  <c r="N4557" i="5"/>
  <c r="N4556" i="5"/>
  <c r="N4555" i="5"/>
  <c r="N4554" i="5"/>
  <c r="N4553" i="5"/>
  <c r="N4552" i="5"/>
  <c r="N4551" i="5"/>
  <c r="N4550" i="5"/>
  <c r="N4549" i="5"/>
  <c r="N4548" i="5"/>
  <c r="N4547" i="5"/>
  <c r="N4546" i="5"/>
  <c r="N4545" i="5"/>
  <c r="N4544" i="5"/>
  <c r="N4543" i="5"/>
  <c r="N4542" i="5"/>
  <c r="N4541" i="5"/>
  <c r="N4540" i="5"/>
  <c r="N4539" i="5"/>
  <c r="N4538" i="5"/>
  <c r="N4537" i="5"/>
  <c r="N4536" i="5"/>
  <c r="N4535" i="5"/>
  <c r="N4534" i="5"/>
  <c r="N4533" i="5"/>
  <c r="N4532" i="5"/>
  <c r="N4531" i="5"/>
  <c r="N4530" i="5"/>
  <c r="N4529" i="5"/>
  <c r="N4528" i="5"/>
  <c r="N4527" i="5"/>
  <c r="N4526" i="5"/>
  <c r="N4525" i="5"/>
  <c r="N4524" i="5"/>
  <c r="N4523" i="5"/>
  <c r="N4522" i="5"/>
  <c r="N4521" i="5"/>
  <c r="N4520" i="5"/>
  <c r="N4519" i="5"/>
  <c r="N4518" i="5"/>
  <c r="N4517" i="5"/>
  <c r="N4516" i="5"/>
  <c r="N4515" i="5"/>
  <c r="N4514" i="5"/>
  <c r="N4513" i="5"/>
  <c r="N4512" i="5"/>
  <c r="N4511" i="5"/>
  <c r="N4510" i="5"/>
  <c r="N4509" i="5"/>
  <c r="N4508" i="5"/>
  <c r="N4507" i="5"/>
  <c r="N4506" i="5"/>
  <c r="N4505" i="5"/>
  <c r="N4504" i="5"/>
  <c r="N4503" i="5"/>
  <c r="N4502" i="5"/>
  <c r="N4501" i="5"/>
  <c r="N4498" i="5"/>
  <c r="N4497" i="5"/>
  <c r="N4496" i="5"/>
  <c r="N4495" i="5"/>
  <c r="N4494" i="5"/>
  <c r="N4493" i="5"/>
  <c r="N4490" i="5"/>
  <c r="N4489" i="5"/>
  <c r="N4488" i="5"/>
  <c r="N4487" i="5"/>
  <c r="N4486" i="5"/>
  <c r="N4485" i="5"/>
  <c r="N4484" i="5"/>
  <c r="N4483" i="5"/>
  <c r="N4482" i="5"/>
  <c r="N4481" i="5"/>
  <c r="N4480" i="5"/>
  <c r="N4479" i="5"/>
  <c r="N4478" i="5"/>
  <c r="N4477" i="5"/>
  <c r="N4476" i="5"/>
  <c r="N4475" i="5"/>
  <c r="N4474" i="5"/>
  <c r="N4473" i="5"/>
  <c r="N4472" i="5"/>
  <c r="N4471" i="5"/>
  <c r="N4470" i="5"/>
  <c r="N4469" i="5"/>
  <c r="N4468" i="5"/>
  <c r="N4467" i="5"/>
  <c r="N4466" i="5"/>
  <c r="N4465" i="5"/>
  <c r="N4464" i="5"/>
  <c r="N4463" i="5"/>
  <c r="N4462" i="5"/>
  <c r="N4461" i="5"/>
  <c r="N4460" i="5"/>
  <c r="N4459" i="5"/>
  <c r="N4458" i="5"/>
  <c r="N4457" i="5"/>
  <c r="N4456" i="5"/>
  <c r="N4455" i="5"/>
  <c r="N4454" i="5"/>
  <c r="N4453" i="5"/>
  <c r="N4452" i="5"/>
  <c r="N4451" i="5"/>
  <c r="N4450" i="5"/>
  <c r="N4449" i="5"/>
  <c r="N4448" i="5"/>
  <c r="N4447" i="5"/>
  <c r="N4446" i="5"/>
  <c r="N4445" i="5"/>
  <c r="N4444" i="5"/>
  <c r="N4443" i="5"/>
  <c r="N4442" i="5"/>
  <c r="N4441" i="5"/>
  <c r="N4440" i="5"/>
  <c r="N4439" i="5"/>
  <c r="N4438" i="5"/>
  <c r="N4437" i="5"/>
  <c r="N4436" i="5"/>
  <c r="N4435" i="5"/>
  <c r="N4434" i="5"/>
  <c r="N4433" i="5"/>
  <c r="N4432" i="5"/>
  <c r="N4431" i="5"/>
  <c r="N4430" i="5"/>
  <c r="N4429" i="5"/>
  <c r="N4428" i="5"/>
  <c r="N4427" i="5"/>
  <c r="N4426" i="5"/>
  <c r="N4425" i="5"/>
  <c r="N4424" i="5"/>
  <c r="N4423" i="5"/>
  <c r="N4422" i="5"/>
  <c r="N4421" i="5"/>
  <c r="N4420" i="5"/>
  <c r="N4419" i="5"/>
  <c r="N4418" i="5"/>
  <c r="N4417" i="5"/>
  <c r="N4416" i="5"/>
  <c r="N4415" i="5"/>
  <c r="N4414" i="5"/>
  <c r="N4413" i="5"/>
  <c r="N4412" i="5"/>
  <c r="N4411" i="5"/>
  <c r="N4410" i="5"/>
  <c r="N4409" i="5"/>
  <c r="N4408" i="5"/>
  <c r="N4407" i="5"/>
  <c r="N4406" i="5"/>
  <c r="N4405" i="5"/>
  <c r="N4404" i="5"/>
  <c r="N4403" i="5"/>
  <c r="N4402" i="5"/>
  <c r="N4401" i="5"/>
  <c r="N4400" i="5"/>
  <c r="N4399" i="5"/>
  <c r="N4398" i="5"/>
  <c r="N4397" i="5"/>
  <c r="N4396" i="5"/>
  <c r="N4395" i="5"/>
  <c r="N4394" i="5"/>
  <c r="N4393" i="5"/>
  <c r="N4392" i="5"/>
  <c r="N4391" i="5"/>
  <c r="N4390" i="5"/>
  <c r="N4389" i="5"/>
  <c r="N4388" i="5"/>
  <c r="N4387" i="5"/>
  <c r="N4386" i="5"/>
  <c r="N4385" i="5"/>
  <c r="N4384" i="5"/>
  <c r="N4383" i="5"/>
  <c r="N4382" i="5"/>
  <c r="N4381" i="5"/>
  <c r="N4380" i="5"/>
  <c r="N4379" i="5"/>
  <c r="N4378" i="5"/>
  <c r="N4377" i="5"/>
  <c r="N4376" i="5"/>
  <c r="N4375" i="5"/>
  <c r="N4374" i="5"/>
  <c r="N4373" i="5"/>
  <c r="N4372" i="5"/>
  <c r="N4371" i="5"/>
  <c r="N4370" i="5"/>
  <c r="N4369" i="5"/>
  <c r="N4368" i="5"/>
  <c r="N4367" i="5"/>
  <c r="N4366" i="5"/>
  <c r="N4365" i="5"/>
  <c r="N4364" i="5"/>
  <c r="N4363" i="5"/>
  <c r="N4362" i="5"/>
  <c r="N4361" i="5"/>
  <c r="N4360" i="5"/>
  <c r="N4359" i="5"/>
  <c r="N4358" i="5"/>
  <c r="N4357" i="5"/>
  <c r="N4356" i="5"/>
  <c r="N4355" i="5"/>
  <c r="N4354" i="5"/>
  <c r="N4353" i="5"/>
  <c r="N4352" i="5"/>
  <c r="N4351" i="5"/>
  <c r="N4350" i="5"/>
  <c r="N4349" i="5"/>
  <c r="N4348" i="5"/>
  <c r="N4347" i="5"/>
  <c r="N4346" i="5"/>
  <c r="N4345" i="5"/>
  <c r="N4344" i="5"/>
  <c r="N4343" i="5"/>
  <c r="N4342" i="5"/>
  <c r="N4341" i="5"/>
  <c r="N4340" i="5"/>
  <c r="N4339" i="5"/>
  <c r="N4338" i="5"/>
  <c r="N4337" i="5"/>
  <c r="N4336" i="5"/>
  <c r="N4335" i="5"/>
  <c r="N4334" i="5"/>
  <c r="N4333" i="5"/>
  <c r="N4332" i="5"/>
  <c r="N4331" i="5"/>
  <c r="N4330" i="5"/>
  <c r="N4329" i="5"/>
  <c r="N4328" i="5"/>
  <c r="N4327" i="5"/>
  <c r="N4326" i="5"/>
  <c r="N4325" i="5"/>
  <c r="N4324" i="5"/>
  <c r="N4323" i="5"/>
  <c r="N4322" i="5"/>
  <c r="N4321" i="5"/>
  <c r="N4320" i="5"/>
  <c r="N4319" i="5"/>
  <c r="N4318" i="5"/>
  <c r="N4317" i="5"/>
  <c r="N4316" i="5"/>
  <c r="N4315" i="5"/>
  <c r="N4314" i="5"/>
  <c r="N4313" i="5"/>
  <c r="N4312" i="5"/>
  <c r="N4311" i="5"/>
  <c r="N4310" i="5"/>
  <c r="N4309" i="5"/>
  <c r="N4308" i="5"/>
  <c r="N4307" i="5"/>
  <c r="N4306" i="5"/>
  <c r="N4305" i="5"/>
  <c r="N4304" i="5"/>
  <c r="N4303" i="5"/>
  <c r="N4302" i="5"/>
  <c r="N4301" i="5"/>
  <c r="N4300" i="5"/>
  <c r="N4299" i="5"/>
  <c r="N4298" i="5"/>
  <c r="N4297" i="5"/>
  <c r="N4296" i="5"/>
  <c r="N4295" i="5"/>
  <c r="N4294" i="5"/>
  <c r="N4293" i="5"/>
  <c r="N4292" i="5"/>
  <c r="N4291" i="5"/>
  <c r="N4290" i="5"/>
  <c r="N4289" i="5"/>
  <c r="N4288" i="5"/>
  <c r="N4287" i="5"/>
  <c r="N4286" i="5"/>
  <c r="N4285" i="5"/>
  <c r="N4284" i="5"/>
  <c r="N4283" i="5"/>
  <c r="N4282" i="5"/>
  <c r="N4281" i="5"/>
  <c r="N4280" i="5"/>
  <c r="N4279" i="5"/>
  <c r="N4278" i="5"/>
  <c r="N4277" i="5"/>
  <c r="N4276" i="5"/>
  <c r="N4275" i="5"/>
  <c r="N4274" i="5"/>
  <c r="N4273" i="5"/>
  <c r="N4272" i="5"/>
  <c r="N4271" i="5"/>
  <c r="N4270" i="5"/>
  <c r="N4269" i="5"/>
  <c r="N4268" i="5"/>
  <c r="N4267" i="5"/>
  <c r="N4266" i="5"/>
  <c r="N4265" i="5"/>
  <c r="N4264" i="5"/>
  <c r="N4263" i="5"/>
  <c r="N4262" i="5"/>
  <c r="N4261" i="5"/>
  <c r="N4260" i="5"/>
  <c r="N4259" i="5"/>
  <c r="N4258" i="5"/>
  <c r="N4257" i="5"/>
  <c r="N4256" i="5"/>
  <c r="N4255" i="5"/>
  <c r="N4254" i="5"/>
  <c r="N4253" i="5"/>
  <c r="N4252" i="5"/>
  <c r="N4251" i="5"/>
  <c r="N4250" i="5"/>
  <c r="N4249" i="5"/>
  <c r="N4248" i="5"/>
  <c r="N4247" i="5"/>
  <c r="N4246" i="5"/>
  <c r="N4245" i="5"/>
  <c r="N4244" i="5"/>
  <c r="N4243" i="5"/>
  <c r="N4242" i="5"/>
  <c r="N4241" i="5"/>
  <c r="N4240" i="5"/>
  <c r="N4239" i="5"/>
  <c r="N4238" i="5"/>
  <c r="N4237" i="5"/>
  <c r="N4236" i="5"/>
  <c r="N4235" i="5"/>
  <c r="N4234" i="5"/>
  <c r="N4233" i="5"/>
  <c r="N4232" i="5"/>
  <c r="N4231" i="5"/>
  <c r="N4230" i="5"/>
  <c r="N4229" i="5"/>
  <c r="N4228" i="5"/>
  <c r="N4227" i="5"/>
  <c r="N4226" i="5"/>
  <c r="N4225" i="5"/>
  <c r="N4224" i="5"/>
  <c r="N4223" i="5"/>
  <c r="N4222" i="5"/>
  <c r="N4221" i="5"/>
  <c r="N4220" i="5"/>
  <c r="N4219" i="5"/>
  <c r="N4218" i="5"/>
  <c r="N4217" i="5"/>
  <c r="N4216" i="5"/>
  <c r="N4215" i="5"/>
  <c r="N4214" i="5"/>
  <c r="N4213" i="5"/>
  <c r="N4212" i="5"/>
  <c r="N4211" i="5"/>
  <c r="N4210" i="5"/>
  <c r="N4209" i="5"/>
  <c r="N4208" i="5"/>
  <c r="N4207" i="5"/>
  <c r="N4206" i="5"/>
  <c r="N4205" i="5"/>
  <c r="N4204" i="5"/>
  <c r="N4203" i="5"/>
  <c r="N4202" i="5"/>
  <c r="N4201" i="5"/>
  <c r="N4200" i="5"/>
  <c r="N4199" i="5"/>
  <c r="N4198" i="5"/>
  <c r="N4197" i="5"/>
  <c r="N4196" i="5"/>
  <c r="N4195" i="5"/>
  <c r="N4194" i="5"/>
  <c r="N4193" i="5"/>
  <c r="N4192" i="5"/>
  <c r="N4191" i="5"/>
  <c r="N4190" i="5"/>
  <c r="N4189" i="5"/>
  <c r="N4188" i="5"/>
  <c r="N4187" i="5"/>
  <c r="N4186" i="5"/>
  <c r="N4185" i="5"/>
  <c r="N4184" i="5"/>
  <c r="N4183" i="5"/>
  <c r="N4182" i="5"/>
  <c r="N4181" i="5"/>
  <c r="N4180" i="5"/>
  <c r="N4179" i="5"/>
  <c r="O4179" i="5" s="1"/>
  <c r="N4178" i="5"/>
  <c r="N4177" i="5"/>
  <c r="N4176" i="5"/>
  <c r="N4175" i="5"/>
  <c r="N4174" i="5"/>
  <c r="N4173" i="5"/>
  <c r="N4172" i="5"/>
  <c r="N4171" i="5"/>
  <c r="N4170" i="5"/>
  <c r="N4169" i="5"/>
  <c r="N4168" i="5"/>
  <c r="N4167" i="5"/>
  <c r="N4166" i="5"/>
  <c r="N4165" i="5"/>
  <c r="N4161" i="5"/>
  <c r="N4160" i="5"/>
  <c r="N4159" i="5"/>
  <c r="N4158" i="5"/>
  <c r="N4157" i="5"/>
  <c r="N4156" i="5"/>
  <c r="N4155" i="5"/>
  <c r="N4154" i="5"/>
  <c r="N4153" i="5"/>
  <c r="N4152" i="5"/>
  <c r="N4151" i="5"/>
  <c r="N4150" i="5"/>
  <c r="N4149" i="5"/>
  <c r="N4148" i="5"/>
  <c r="N4147" i="5"/>
  <c r="N4146" i="5"/>
  <c r="N4145" i="5"/>
  <c r="O4145" i="5" s="1"/>
  <c r="N4144" i="5"/>
  <c r="N4143" i="5"/>
  <c r="N4142" i="5"/>
  <c r="N4141" i="5"/>
  <c r="N4140" i="5"/>
  <c r="N4139" i="5"/>
  <c r="N4138" i="5"/>
  <c r="N4137" i="5"/>
  <c r="N4136" i="5"/>
  <c r="N4135" i="5"/>
  <c r="N4134" i="5"/>
  <c r="N4133" i="5"/>
  <c r="N4132" i="5"/>
  <c r="N4131" i="5"/>
  <c r="N4130" i="5"/>
  <c r="N4129" i="5"/>
  <c r="N4128" i="5"/>
  <c r="N4127" i="5"/>
  <c r="N4126" i="5"/>
  <c r="N4125" i="5"/>
  <c r="N4124" i="5"/>
  <c r="N4123" i="5"/>
  <c r="N4122" i="5"/>
  <c r="N4121" i="5"/>
  <c r="N4120" i="5"/>
  <c r="N4119" i="5"/>
  <c r="N4118" i="5"/>
  <c r="N4117" i="5"/>
  <c r="N4116" i="5"/>
  <c r="N4115" i="5"/>
  <c r="N4114" i="5"/>
  <c r="N4113" i="5"/>
  <c r="N4112" i="5"/>
  <c r="N4111" i="5"/>
  <c r="N4110" i="5"/>
  <c r="O4110" i="5" s="1"/>
  <c r="N4109" i="5"/>
  <c r="N4108" i="5"/>
  <c r="N4107" i="5"/>
  <c r="N4106" i="5"/>
  <c r="N4105" i="5"/>
  <c r="N4104" i="5"/>
  <c r="O4104" i="5" s="1"/>
  <c r="N4103" i="5"/>
  <c r="N4102" i="5"/>
  <c r="N4101" i="5"/>
  <c r="N4100" i="5"/>
  <c r="N4099" i="5"/>
  <c r="N4098" i="5"/>
  <c r="N4097" i="5"/>
  <c r="N4096" i="5"/>
  <c r="N4095" i="5"/>
  <c r="N4094" i="5"/>
  <c r="N4093" i="5"/>
  <c r="N4092" i="5"/>
  <c r="N4091" i="5"/>
  <c r="N4090" i="5"/>
  <c r="N4089" i="5"/>
  <c r="N4088" i="5"/>
  <c r="N4087" i="5"/>
  <c r="N4086" i="5"/>
  <c r="N4085" i="5"/>
  <c r="N4084" i="5"/>
  <c r="N4083" i="5"/>
  <c r="N4082" i="5"/>
  <c r="N4081" i="5"/>
  <c r="N4080" i="5"/>
  <c r="N4079" i="5"/>
  <c r="N4078" i="5"/>
  <c r="N4077" i="5"/>
  <c r="N4076" i="5"/>
  <c r="N4075" i="5"/>
  <c r="N4074" i="5"/>
  <c r="N4073" i="5"/>
  <c r="N4072" i="5"/>
  <c r="N4071" i="5"/>
  <c r="N4070" i="5"/>
  <c r="N4069" i="5"/>
  <c r="N4068" i="5"/>
  <c r="N4067" i="5"/>
  <c r="N4066" i="5"/>
  <c r="N4065" i="5"/>
  <c r="N4064" i="5"/>
  <c r="N4063" i="5"/>
  <c r="N4062" i="5"/>
  <c r="N4061" i="5"/>
  <c r="N4060" i="5"/>
  <c r="N4059" i="5"/>
  <c r="N4058" i="5"/>
  <c r="N4057" i="5"/>
  <c r="N4056" i="5"/>
  <c r="N4055" i="5"/>
  <c r="N4054" i="5"/>
  <c r="N4053" i="5"/>
  <c r="N4052" i="5"/>
  <c r="N4051" i="5"/>
  <c r="N4050" i="5"/>
  <c r="N4049" i="5"/>
  <c r="N4048" i="5"/>
  <c r="N4047" i="5"/>
  <c r="N4046" i="5"/>
  <c r="N4045" i="5"/>
  <c r="N4044" i="5"/>
  <c r="N4043" i="5"/>
  <c r="N4042" i="5"/>
  <c r="N4041" i="5"/>
  <c r="N4040" i="5"/>
  <c r="N4039" i="5"/>
  <c r="N4038" i="5"/>
  <c r="N4037" i="5"/>
  <c r="N4036" i="5"/>
  <c r="N4035" i="5"/>
  <c r="N4034" i="5"/>
  <c r="N4033" i="5"/>
  <c r="N4032" i="5"/>
  <c r="N4031" i="5"/>
  <c r="N4030" i="5"/>
  <c r="N4029" i="5"/>
  <c r="N4028" i="5"/>
  <c r="N4027" i="5"/>
  <c r="O4027" i="5" s="1"/>
  <c r="N4026" i="5"/>
  <c r="N4025" i="5"/>
  <c r="N4024" i="5"/>
  <c r="N4023" i="5"/>
  <c r="O4023" i="5" s="1"/>
  <c r="N4022" i="5"/>
  <c r="N4021" i="5"/>
  <c r="N4020" i="5"/>
  <c r="N4019" i="5"/>
  <c r="N4018" i="5"/>
  <c r="N4017" i="5"/>
  <c r="N4016" i="5"/>
  <c r="N4015" i="5"/>
  <c r="N4014" i="5"/>
  <c r="N4013" i="5"/>
  <c r="N4012" i="5"/>
  <c r="N4011" i="5"/>
  <c r="N4010" i="5"/>
  <c r="N4009" i="5"/>
  <c r="N4008" i="5"/>
  <c r="N4007" i="5"/>
  <c r="N4006" i="5"/>
  <c r="N4005" i="5"/>
  <c r="N4004" i="5"/>
  <c r="N4003" i="5"/>
  <c r="N4002" i="5"/>
  <c r="N4001" i="5"/>
  <c r="N4000" i="5"/>
  <c r="N3999" i="5"/>
  <c r="N3998" i="5"/>
  <c r="N3997" i="5"/>
  <c r="N3996" i="5"/>
  <c r="N3995" i="5"/>
  <c r="N3994" i="5"/>
  <c r="N3993" i="5"/>
  <c r="N3992" i="5"/>
  <c r="N3991" i="5"/>
  <c r="N3990" i="5"/>
  <c r="N3989" i="5"/>
  <c r="N3988" i="5"/>
  <c r="N3987" i="5"/>
  <c r="N3986" i="5"/>
  <c r="N3985" i="5"/>
  <c r="N3984" i="5"/>
  <c r="N3983" i="5"/>
  <c r="N3982" i="5"/>
  <c r="N3981" i="5"/>
  <c r="N3980" i="5"/>
  <c r="N3979" i="5"/>
  <c r="N3978" i="5"/>
  <c r="N3977" i="5"/>
  <c r="N3976" i="5"/>
  <c r="N3975" i="5"/>
  <c r="N3974" i="5"/>
  <c r="N3973" i="5"/>
  <c r="N3972" i="5"/>
  <c r="N3971" i="5"/>
  <c r="N3970" i="5"/>
  <c r="N3969" i="5"/>
  <c r="N3968" i="5"/>
  <c r="N3967" i="5"/>
  <c r="N3966" i="5"/>
  <c r="N3965" i="5"/>
  <c r="N3964" i="5"/>
  <c r="N3963" i="5"/>
  <c r="N3962" i="5"/>
  <c r="N3961" i="5"/>
  <c r="N3960" i="5"/>
  <c r="N3959" i="5"/>
  <c r="N3958" i="5"/>
  <c r="N3957" i="5"/>
  <c r="N3956" i="5"/>
  <c r="N3955" i="5"/>
  <c r="N3954" i="5"/>
  <c r="N3953" i="5"/>
  <c r="N3952" i="5"/>
  <c r="N3951" i="5"/>
  <c r="N3950" i="5"/>
  <c r="N3949" i="5"/>
  <c r="N3948" i="5"/>
  <c r="N3947" i="5"/>
  <c r="N3946" i="5"/>
  <c r="N3945" i="5"/>
  <c r="N3944" i="5"/>
  <c r="N3943" i="5"/>
  <c r="N3942" i="5"/>
  <c r="N3941" i="5"/>
  <c r="N3940" i="5"/>
  <c r="N3939" i="5"/>
  <c r="N3938" i="5"/>
  <c r="N3937" i="5"/>
  <c r="N3936" i="5"/>
  <c r="N3935" i="5"/>
  <c r="N3934" i="5"/>
  <c r="N3933" i="5"/>
  <c r="N3932" i="5"/>
  <c r="N3931" i="5"/>
  <c r="N3930" i="5"/>
  <c r="N3929" i="5"/>
  <c r="N3928" i="5"/>
  <c r="N3927" i="5"/>
  <c r="N3926" i="5"/>
  <c r="N3925" i="5"/>
  <c r="N3924" i="5"/>
  <c r="N3923" i="5"/>
  <c r="N3922" i="5"/>
  <c r="N3921" i="5"/>
  <c r="N3920" i="5"/>
  <c r="N3919" i="5"/>
  <c r="N3918" i="5"/>
  <c r="N3917" i="5"/>
  <c r="N3916" i="5"/>
  <c r="N3915" i="5"/>
  <c r="N3914" i="5"/>
  <c r="N3913" i="5"/>
  <c r="N3912" i="5"/>
  <c r="N3911" i="5"/>
  <c r="N3910" i="5"/>
  <c r="N3909" i="5"/>
  <c r="N3908" i="5"/>
  <c r="N3907" i="5"/>
  <c r="N3906" i="5"/>
  <c r="N3905" i="5"/>
  <c r="N3904" i="5"/>
  <c r="N3903" i="5"/>
  <c r="N3902" i="5"/>
  <c r="N3901" i="5"/>
  <c r="N3900" i="5"/>
  <c r="N3899" i="5"/>
  <c r="N3898" i="5"/>
  <c r="N3897" i="5"/>
  <c r="N3896" i="5"/>
  <c r="N3895" i="5"/>
  <c r="N3894" i="5"/>
  <c r="N3893" i="5"/>
  <c r="N3892" i="5"/>
  <c r="N3891" i="5"/>
  <c r="N3890" i="5"/>
  <c r="N3889" i="5"/>
  <c r="N3888" i="5"/>
  <c r="N3887" i="5"/>
  <c r="N3886" i="5"/>
  <c r="N3885" i="5"/>
  <c r="N3884" i="5"/>
  <c r="N3883" i="5"/>
  <c r="N3882" i="5"/>
  <c r="N3881" i="5"/>
  <c r="N3880" i="5"/>
  <c r="N3879" i="5"/>
  <c r="N3878" i="5"/>
  <c r="N3877" i="5"/>
  <c r="N3876" i="5"/>
  <c r="N3875" i="5"/>
  <c r="N3874" i="5"/>
  <c r="N3873" i="5"/>
  <c r="N3872" i="5"/>
  <c r="N3871" i="5"/>
  <c r="N3870" i="5"/>
  <c r="N3869" i="5"/>
  <c r="N3868" i="5"/>
  <c r="N3867" i="5"/>
  <c r="N3866" i="5"/>
  <c r="N3865" i="5"/>
  <c r="N3864" i="5"/>
  <c r="N3863" i="5"/>
  <c r="N3862" i="5"/>
  <c r="N3861" i="5"/>
  <c r="N3860" i="5"/>
  <c r="N3859" i="5"/>
  <c r="N3858" i="5"/>
  <c r="N3857" i="5"/>
  <c r="N3856" i="5"/>
  <c r="N3855" i="5"/>
  <c r="N3854" i="5"/>
  <c r="N3853" i="5"/>
  <c r="N3852" i="5"/>
  <c r="N3851" i="5"/>
  <c r="N3850" i="5"/>
  <c r="N3849" i="5"/>
  <c r="N3848" i="5"/>
  <c r="N3847" i="5"/>
  <c r="N3846" i="5"/>
  <c r="N3845" i="5"/>
  <c r="N3844" i="5"/>
  <c r="N3843" i="5"/>
  <c r="N3842" i="5"/>
  <c r="N3841" i="5"/>
  <c r="N3840" i="5"/>
  <c r="N3839" i="5"/>
  <c r="N3838" i="5"/>
  <c r="N3837" i="5"/>
  <c r="N3836" i="5"/>
  <c r="N3835" i="5"/>
  <c r="N3834" i="5"/>
  <c r="N3833" i="5"/>
  <c r="N3832" i="5"/>
  <c r="N3831" i="5"/>
  <c r="N3830" i="5"/>
  <c r="N3829" i="5"/>
  <c r="N3828" i="5"/>
  <c r="N3827" i="5"/>
  <c r="N3826" i="5"/>
  <c r="N3825" i="5"/>
  <c r="N3824" i="5"/>
  <c r="N3823" i="5"/>
  <c r="N3822" i="5"/>
  <c r="N3821" i="5"/>
  <c r="N3820" i="5"/>
  <c r="N3819" i="5"/>
  <c r="N3818" i="5"/>
  <c r="N3817" i="5"/>
  <c r="N3816" i="5"/>
  <c r="N3815" i="5"/>
  <c r="N3814" i="5"/>
  <c r="N3813" i="5"/>
  <c r="N3812" i="5"/>
  <c r="N3811" i="5"/>
  <c r="N3810" i="5"/>
  <c r="N3809" i="5"/>
  <c r="N3808" i="5"/>
  <c r="N3807" i="5"/>
  <c r="N3806" i="5"/>
  <c r="N3805" i="5"/>
  <c r="N3804" i="5"/>
  <c r="N3803" i="5"/>
  <c r="N3802" i="5"/>
  <c r="N3801" i="5"/>
  <c r="N3800" i="5"/>
  <c r="N3799" i="5"/>
  <c r="N3798" i="5"/>
  <c r="N3797" i="5"/>
  <c r="N3796" i="5"/>
  <c r="N3795" i="5"/>
  <c r="N3794" i="5"/>
  <c r="N3793" i="5"/>
  <c r="N3792" i="5"/>
  <c r="N3791" i="5"/>
  <c r="N3790" i="5"/>
  <c r="N3789" i="5"/>
  <c r="N3788" i="5"/>
  <c r="N3787" i="5"/>
  <c r="N3786" i="5"/>
  <c r="N3785" i="5"/>
  <c r="N3784" i="5"/>
  <c r="N3783" i="5"/>
  <c r="N3782" i="5"/>
  <c r="N3781" i="5"/>
  <c r="N3780" i="5"/>
  <c r="N3779" i="5"/>
  <c r="N3778" i="5"/>
  <c r="N3777" i="5"/>
  <c r="N3776" i="5"/>
  <c r="N3775" i="5"/>
  <c r="N3774" i="5"/>
  <c r="N3773" i="5"/>
  <c r="N3772" i="5"/>
  <c r="N3771" i="5"/>
  <c r="N3770" i="5"/>
  <c r="N3769" i="5"/>
  <c r="N3768" i="5"/>
  <c r="N3767" i="5"/>
  <c r="N3766" i="5"/>
  <c r="N3765" i="5"/>
  <c r="N3764" i="5"/>
  <c r="N3763" i="5"/>
  <c r="N3762" i="5"/>
  <c r="O3762" i="5" s="1"/>
  <c r="N3761" i="5"/>
  <c r="N3760" i="5"/>
  <c r="N3759" i="5"/>
  <c r="N3758" i="5"/>
  <c r="O3758" i="5" s="1"/>
  <c r="N3757" i="5"/>
  <c r="N3756" i="5"/>
  <c r="N3755" i="5"/>
  <c r="N3754" i="5"/>
  <c r="N3753" i="5"/>
  <c r="N3752" i="5"/>
  <c r="N3751" i="5"/>
  <c r="N3750" i="5"/>
  <c r="N3749" i="5"/>
  <c r="N3748" i="5"/>
  <c r="N3747" i="5"/>
  <c r="N3746" i="5"/>
  <c r="N3745" i="5"/>
  <c r="N3744" i="5"/>
  <c r="N3743" i="5"/>
  <c r="N3742" i="5"/>
  <c r="N3741" i="5"/>
  <c r="N3740" i="5"/>
  <c r="N3739" i="5"/>
  <c r="N3738" i="5"/>
  <c r="N3737" i="5"/>
  <c r="N3736" i="5"/>
  <c r="N3735" i="5"/>
  <c r="N3734" i="5"/>
  <c r="N3733" i="5"/>
  <c r="N3732" i="5"/>
  <c r="N3731" i="5"/>
  <c r="N3730" i="5"/>
  <c r="N3729" i="5"/>
  <c r="N3728" i="5"/>
  <c r="N3727" i="5"/>
  <c r="N3726" i="5"/>
  <c r="N3725" i="5"/>
  <c r="N3724" i="5"/>
  <c r="N3723" i="5"/>
  <c r="O3723" i="5" s="1"/>
  <c r="N3722" i="5"/>
  <c r="N3721" i="5"/>
  <c r="N3720" i="5"/>
  <c r="N3719" i="5"/>
  <c r="N3718" i="5"/>
  <c r="N3717" i="5"/>
  <c r="N3716" i="5"/>
  <c r="N3715" i="5"/>
  <c r="N3714" i="5"/>
  <c r="N3713" i="5"/>
  <c r="N3712" i="5"/>
  <c r="N3711" i="5"/>
  <c r="N3710" i="5"/>
  <c r="N3709" i="5"/>
  <c r="N3708" i="5"/>
  <c r="N3707" i="5"/>
  <c r="N3706" i="5"/>
  <c r="N3705" i="5"/>
  <c r="N3704" i="5"/>
  <c r="N3703" i="5"/>
  <c r="N3702" i="5"/>
  <c r="N3701" i="5"/>
  <c r="N3700" i="5"/>
  <c r="N3699" i="5"/>
  <c r="N3698" i="5"/>
  <c r="N3697" i="5"/>
  <c r="N3696" i="5"/>
  <c r="N3695" i="5"/>
  <c r="N3694" i="5"/>
  <c r="N3693" i="5"/>
  <c r="N3692" i="5"/>
  <c r="N3691" i="5"/>
  <c r="N3690" i="5"/>
  <c r="N3689" i="5"/>
  <c r="N3688" i="5"/>
  <c r="N3687" i="5"/>
  <c r="N3686" i="5"/>
  <c r="N3685" i="5"/>
  <c r="N3684" i="5"/>
  <c r="N3683" i="5"/>
  <c r="N3682" i="5"/>
  <c r="N3681" i="5"/>
  <c r="N3680" i="5"/>
  <c r="N3679" i="5"/>
  <c r="N3678" i="5"/>
  <c r="N3677" i="5"/>
  <c r="N3676" i="5"/>
  <c r="N3675" i="5"/>
  <c r="N3674" i="5"/>
  <c r="N3671" i="5"/>
  <c r="N3670" i="5"/>
  <c r="N3669" i="5"/>
  <c r="N3673" i="5"/>
  <c r="N3667" i="5"/>
  <c r="N3666" i="5"/>
  <c r="N3665" i="5"/>
  <c r="N3664" i="5"/>
  <c r="N3663" i="5"/>
  <c r="N3662" i="5"/>
  <c r="N3661" i="5"/>
  <c r="N3660" i="5"/>
  <c r="N3659" i="5"/>
  <c r="N3658" i="5"/>
  <c r="N3657" i="5"/>
  <c r="N3656" i="5"/>
  <c r="N3655" i="5"/>
  <c r="N3654" i="5"/>
  <c r="O3654" i="5" s="1"/>
  <c r="N3653" i="5"/>
  <c r="N3652" i="5"/>
  <c r="N3651" i="5"/>
  <c r="N3650" i="5"/>
  <c r="N3649" i="5"/>
  <c r="N3648" i="5"/>
  <c r="N3647" i="5"/>
  <c r="N3646" i="5"/>
  <c r="N3645" i="5"/>
  <c r="N3644" i="5"/>
  <c r="N3643" i="5"/>
  <c r="N3642" i="5"/>
  <c r="N3641" i="5"/>
  <c r="N3640" i="5"/>
  <c r="N3639" i="5"/>
  <c r="N3638" i="5"/>
  <c r="N3637" i="5"/>
  <c r="N3636" i="5"/>
  <c r="N3635" i="5"/>
  <c r="N3634" i="5"/>
  <c r="N3633" i="5"/>
  <c r="N3632" i="5"/>
  <c r="N3631" i="5"/>
  <c r="N3630" i="5"/>
  <c r="N3629" i="5"/>
  <c r="N3628" i="5"/>
  <c r="N3627" i="5"/>
  <c r="N3626" i="5"/>
  <c r="N3625" i="5"/>
  <c r="N3624" i="5"/>
  <c r="N3623" i="5"/>
  <c r="N3622" i="5"/>
  <c r="N3621" i="5"/>
  <c r="N3620" i="5"/>
  <c r="N3619" i="5"/>
  <c r="N3618" i="5"/>
  <c r="N3617" i="5"/>
  <c r="N3616" i="5"/>
  <c r="N3615" i="5"/>
  <c r="N3614" i="5"/>
  <c r="N3613" i="5"/>
  <c r="N3612" i="5"/>
  <c r="N3611" i="5"/>
  <c r="N3610" i="5"/>
  <c r="N3609" i="5"/>
  <c r="N3608" i="5"/>
  <c r="N3607" i="5"/>
  <c r="N3606" i="5"/>
  <c r="N3605" i="5"/>
  <c r="N3604" i="5"/>
  <c r="N3603" i="5"/>
  <c r="N3602" i="5"/>
  <c r="N3601" i="5"/>
  <c r="N3600" i="5"/>
  <c r="N3599" i="5"/>
  <c r="N3598" i="5"/>
  <c r="N3597" i="5"/>
  <c r="N3596" i="5"/>
  <c r="N3595" i="5"/>
  <c r="N3594" i="5"/>
  <c r="N3593" i="5"/>
  <c r="N3592" i="5"/>
  <c r="N3591" i="5"/>
  <c r="N3590" i="5"/>
  <c r="N3589" i="5"/>
  <c r="N3588" i="5"/>
  <c r="N3587" i="5"/>
  <c r="N3586" i="5"/>
  <c r="N3585" i="5"/>
  <c r="N3584" i="5"/>
  <c r="N3583" i="5"/>
  <c r="N3582" i="5"/>
  <c r="N3581" i="5"/>
  <c r="N3580" i="5"/>
  <c r="N3579" i="5"/>
  <c r="N3578" i="5"/>
  <c r="N3577" i="5"/>
  <c r="N3576" i="5"/>
  <c r="N3575" i="5"/>
  <c r="N3574" i="5"/>
  <c r="N3573" i="5"/>
  <c r="N3572" i="5"/>
  <c r="N3571" i="5"/>
  <c r="N3570" i="5"/>
  <c r="N3569" i="5"/>
  <c r="N3568" i="5"/>
  <c r="N3567" i="5"/>
  <c r="N3566" i="5"/>
  <c r="N3565" i="5"/>
  <c r="N3564" i="5"/>
  <c r="N3563" i="5"/>
  <c r="N3562" i="5"/>
  <c r="N3561" i="5"/>
  <c r="N3560" i="5"/>
  <c r="N3559" i="5"/>
  <c r="N3558" i="5"/>
  <c r="N3557" i="5"/>
  <c r="N3556" i="5"/>
  <c r="N3555" i="5"/>
  <c r="N3554" i="5"/>
  <c r="N3553" i="5"/>
  <c r="N3552" i="5"/>
  <c r="N3551" i="5"/>
  <c r="N3550" i="5"/>
  <c r="N3549" i="5"/>
  <c r="N3548" i="5"/>
  <c r="N3547" i="5"/>
  <c r="N3546" i="5"/>
  <c r="N3545" i="5"/>
  <c r="N3544" i="5"/>
  <c r="N3543" i="5"/>
  <c r="N3542" i="5"/>
  <c r="N3541" i="5"/>
  <c r="N3540" i="5"/>
  <c r="N3539" i="5"/>
  <c r="N3538" i="5"/>
  <c r="N3537" i="5"/>
  <c r="N3536" i="5"/>
  <c r="N3535" i="5"/>
  <c r="N3534" i="5"/>
  <c r="N3533" i="5"/>
  <c r="N3532" i="5"/>
  <c r="N3531" i="5"/>
  <c r="N3530" i="5"/>
  <c r="N3529" i="5"/>
  <c r="N3528" i="5"/>
  <c r="N3527" i="5"/>
  <c r="N3526" i="5"/>
  <c r="N3525" i="5"/>
  <c r="N3524" i="5"/>
  <c r="N3523" i="5"/>
  <c r="N3522" i="5"/>
  <c r="N3521" i="5"/>
  <c r="N3520" i="5"/>
  <c r="N3519" i="5"/>
  <c r="N3518" i="5"/>
  <c r="N3517" i="5"/>
  <c r="N3516" i="5"/>
  <c r="N3515" i="5"/>
  <c r="N3514" i="5"/>
  <c r="N3513" i="5"/>
  <c r="N3512" i="5"/>
  <c r="N3511" i="5"/>
  <c r="N3510" i="5"/>
  <c r="N3509" i="5"/>
  <c r="N3508" i="5"/>
  <c r="N3507" i="5"/>
  <c r="N3506" i="5"/>
  <c r="N3505" i="5"/>
  <c r="N3504" i="5"/>
  <c r="N3503" i="5"/>
  <c r="N3502" i="5"/>
  <c r="N3501" i="5"/>
  <c r="N3500" i="5"/>
  <c r="N3499" i="5"/>
  <c r="N3498" i="5"/>
  <c r="N3497" i="5"/>
  <c r="N3496" i="5"/>
  <c r="N3495" i="5"/>
  <c r="N3494" i="5"/>
  <c r="N3493" i="5"/>
  <c r="N3492" i="5"/>
  <c r="N3491" i="5"/>
  <c r="N3490" i="5"/>
  <c r="N3489" i="5"/>
  <c r="N3488" i="5"/>
  <c r="N3487" i="5"/>
  <c r="N3486" i="5"/>
  <c r="N3485" i="5"/>
  <c r="N3484" i="5"/>
  <c r="N3483" i="5"/>
  <c r="N3482" i="5"/>
  <c r="N3481" i="5"/>
  <c r="N3480" i="5"/>
  <c r="N3479" i="5"/>
  <c r="N3478" i="5"/>
  <c r="N3477" i="5"/>
  <c r="N3476" i="5"/>
  <c r="N3475" i="5"/>
  <c r="N3474" i="5"/>
  <c r="N3473" i="5"/>
  <c r="N3472" i="5"/>
  <c r="N3471" i="5"/>
  <c r="N3470" i="5"/>
  <c r="N3469" i="5"/>
  <c r="N3468" i="5"/>
  <c r="N3467" i="5"/>
  <c r="N3466" i="5"/>
  <c r="N3465" i="5"/>
  <c r="N3464" i="5"/>
  <c r="N3463" i="5"/>
  <c r="N3462" i="5"/>
  <c r="N3461" i="5"/>
  <c r="N3460" i="5"/>
  <c r="N3459" i="5"/>
  <c r="N3458" i="5"/>
  <c r="N3457" i="5"/>
  <c r="N3456" i="5"/>
  <c r="N3455" i="5"/>
  <c r="N3454" i="5"/>
  <c r="N3453" i="5"/>
  <c r="N3452" i="5"/>
  <c r="N3451" i="5"/>
  <c r="N3450" i="5"/>
  <c r="N3449" i="5"/>
  <c r="N3448" i="5"/>
  <c r="N3447" i="5"/>
  <c r="N3446" i="5"/>
  <c r="N3445" i="5"/>
  <c r="N3444" i="5"/>
  <c r="N3443" i="5"/>
  <c r="N3442" i="5"/>
  <c r="N3441" i="5"/>
  <c r="N3440" i="5"/>
  <c r="N3439" i="5"/>
  <c r="O3439" i="5" s="1"/>
  <c r="N3438" i="5"/>
  <c r="N3437" i="5"/>
  <c r="N3436" i="5"/>
  <c r="N3435" i="5"/>
  <c r="O3435" i="5" s="1"/>
  <c r="N3434" i="5"/>
  <c r="N3433" i="5"/>
  <c r="N3432" i="5"/>
  <c r="N3431" i="5"/>
  <c r="N3430" i="5"/>
  <c r="N3429" i="5"/>
  <c r="N3428" i="5"/>
  <c r="N3427" i="5"/>
  <c r="N3426" i="5"/>
  <c r="N3425" i="5"/>
  <c r="N3424" i="5"/>
  <c r="N3423" i="5"/>
  <c r="N3422" i="5"/>
  <c r="N3421" i="5"/>
  <c r="N3420" i="5"/>
  <c r="N3419" i="5"/>
  <c r="N3418" i="5"/>
  <c r="N3417" i="5"/>
  <c r="N3416" i="5"/>
  <c r="N3415" i="5"/>
  <c r="N3414" i="5"/>
  <c r="N3413" i="5"/>
  <c r="N3412" i="5"/>
  <c r="N3411" i="5"/>
  <c r="N3410" i="5"/>
  <c r="N3409" i="5"/>
  <c r="N3408" i="5"/>
  <c r="N3407" i="5"/>
  <c r="N3406" i="5"/>
  <c r="N3405" i="5"/>
  <c r="N3404" i="5"/>
  <c r="N3403" i="5"/>
  <c r="N3402" i="5"/>
  <c r="N3401" i="5"/>
  <c r="N3400" i="5"/>
  <c r="N3399" i="5"/>
  <c r="N3398" i="5"/>
  <c r="N3397" i="5"/>
  <c r="N3396" i="5"/>
  <c r="N3395" i="5"/>
  <c r="O3395" i="5" s="1"/>
  <c r="N3394" i="5"/>
  <c r="N3393" i="5"/>
  <c r="N3392" i="5"/>
  <c r="N3391" i="5"/>
  <c r="N3390" i="5"/>
  <c r="N3389" i="5"/>
  <c r="N3388" i="5"/>
  <c r="N3387" i="5"/>
  <c r="N3386" i="5"/>
  <c r="N3385" i="5"/>
  <c r="N3384" i="5"/>
  <c r="N3383" i="5"/>
  <c r="N3382" i="5"/>
  <c r="O3382" i="5" s="1"/>
  <c r="N3381" i="5"/>
  <c r="N3380" i="5"/>
  <c r="N3379" i="5"/>
  <c r="N3378" i="5"/>
  <c r="O3378" i="5" s="1"/>
  <c r="N3377" i="5"/>
  <c r="N3376" i="5"/>
  <c r="N3375" i="5"/>
  <c r="N3374" i="5"/>
  <c r="N3373" i="5"/>
  <c r="N3372" i="5"/>
  <c r="N3371" i="5"/>
  <c r="N3370" i="5"/>
  <c r="N3369" i="5"/>
  <c r="N3368" i="5"/>
  <c r="N3367" i="5"/>
  <c r="N3366" i="5"/>
  <c r="N3365" i="5"/>
  <c r="N3364" i="5"/>
  <c r="N3363" i="5"/>
  <c r="N3362" i="5"/>
  <c r="N3361" i="5"/>
  <c r="N3360" i="5"/>
  <c r="N3359" i="5"/>
  <c r="N3358" i="5"/>
  <c r="N3357" i="5"/>
  <c r="N3356" i="5"/>
  <c r="N3355" i="5"/>
  <c r="N3354" i="5"/>
  <c r="N3353" i="5"/>
  <c r="N3352" i="5"/>
  <c r="N3351" i="5"/>
  <c r="N3350" i="5"/>
  <c r="N3349" i="5"/>
  <c r="N3348" i="5"/>
  <c r="N3347" i="5"/>
  <c r="N3346" i="5"/>
  <c r="N3345" i="5"/>
  <c r="N3344" i="5"/>
  <c r="N3343" i="5"/>
  <c r="N3342" i="5"/>
  <c r="N3341" i="5"/>
  <c r="N3340" i="5"/>
  <c r="N3339" i="5"/>
  <c r="N3338" i="5"/>
  <c r="N3337" i="5"/>
  <c r="N3336" i="5"/>
  <c r="N3335" i="5"/>
  <c r="N3334" i="5"/>
  <c r="N3333" i="5"/>
  <c r="N3332" i="5"/>
  <c r="N3331" i="5"/>
  <c r="N3330" i="5"/>
  <c r="N3329" i="5"/>
  <c r="N3328" i="5"/>
  <c r="N3327" i="5"/>
  <c r="N3326" i="5"/>
  <c r="N3325" i="5"/>
  <c r="N3324" i="5"/>
  <c r="N3323" i="5"/>
  <c r="N3322" i="5"/>
  <c r="N3321" i="5"/>
  <c r="N3320" i="5"/>
  <c r="N3319" i="5"/>
  <c r="N3318" i="5"/>
  <c r="N3317" i="5"/>
  <c r="N3316" i="5"/>
  <c r="N3315" i="5"/>
  <c r="N3314" i="5"/>
  <c r="N3313" i="5"/>
  <c r="N3312" i="5"/>
  <c r="N3311" i="5"/>
  <c r="N3310" i="5"/>
  <c r="N3309" i="5"/>
  <c r="N3308" i="5"/>
  <c r="N3307" i="5"/>
  <c r="N3306" i="5"/>
  <c r="N3305" i="5"/>
  <c r="N3304" i="5"/>
  <c r="N3303" i="5"/>
  <c r="N3302" i="5"/>
  <c r="N3301" i="5"/>
  <c r="N3300" i="5"/>
  <c r="N3299" i="5"/>
  <c r="N3298" i="5"/>
  <c r="N3297" i="5"/>
  <c r="N3296" i="5"/>
  <c r="N3295" i="5"/>
  <c r="N3294" i="5"/>
  <c r="N3293" i="5"/>
  <c r="N3292" i="5"/>
  <c r="N3291" i="5"/>
  <c r="N3290" i="5"/>
  <c r="N3289" i="5"/>
  <c r="N3288" i="5"/>
  <c r="N3287" i="5"/>
  <c r="N3286" i="5"/>
  <c r="N3285" i="5"/>
  <c r="N3284" i="5"/>
  <c r="N3283" i="5"/>
  <c r="N3282" i="5"/>
  <c r="N3281" i="5"/>
  <c r="N3280" i="5"/>
  <c r="N3279" i="5"/>
  <c r="N3278" i="5"/>
  <c r="N3277" i="5"/>
  <c r="N3276" i="5"/>
  <c r="N3275" i="5"/>
  <c r="N3274" i="5"/>
  <c r="N3273" i="5"/>
  <c r="N3272" i="5"/>
  <c r="N3271" i="5"/>
  <c r="N3270" i="5"/>
  <c r="N3269" i="5"/>
  <c r="N3268" i="5"/>
  <c r="N3267" i="5"/>
  <c r="N3266" i="5"/>
  <c r="N3265" i="5"/>
  <c r="N3264" i="5"/>
  <c r="N3263" i="5"/>
  <c r="N3262" i="5"/>
  <c r="N3261" i="5"/>
  <c r="N3260" i="5"/>
  <c r="N3259" i="5"/>
  <c r="N3258" i="5"/>
  <c r="N3257" i="5"/>
  <c r="N3256" i="5"/>
  <c r="N3255" i="5"/>
  <c r="N3254" i="5"/>
  <c r="N3253" i="5"/>
  <c r="N3252" i="5"/>
  <c r="N3251" i="5"/>
  <c r="N3250" i="5"/>
  <c r="N3249" i="5"/>
  <c r="N3248" i="5"/>
  <c r="N3247" i="5"/>
  <c r="N3246" i="5"/>
  <c r="N3245" i="5"/>
  <c r="N3244" i="5"/>
  <c r="N3243" i="5"/>
  <c r="N3242" i="5"/>
  <c r="N3241" i="5"/>
  <c r="N3240" i="5"/>
  <c r="N3239" i="5"/>
  <c r="N3238" i="5"/>
  <c r="N3237" i="5"/>
  <c r="N3236" i="5"/>
  <c r="N3235" i="5"/>
  <c r="N3234" i="5"/>
  <c r="N3233" i="5"/>
  <c r="N3232" i="5"/>
  <c r="N3231" i="5"/>
  <c r="N3230" i="5"/>
  <c r="N3229" i="5"/>
  <c r="N3228" i="5"/>
  <c r="N3227" i="5"/>
  <c r="N3226" i="5"/>
  <c r="N3225" i="5"/>
  <c r="N3224" i="5"/>
  <c r="N3223" i="5"/>
  <c r="N3222" i="5"/>
  <c r="N3221" i="5"/>
  <c r="N3220" i="5"/>
  <c r="N3219" i="5"/>
  <c r="N3218" i="5"/>
  <c r="N3217" i="5"/>
  <c r="N3216" i="5"/>
  <c r="N3215" i="5"/>
  <c r="N3214" i="5"/>
  <c r="N3213" i="5"/>
  <c r="N3212" i="5"/>
  <c r="N3211" i="5"/>
  <c r="N3210" i="5"/>
  <c r="N3209" i="5"/>
  <c r="N3208" i="5"/>
  <c r="N3207" i="5"/>
  <c r="N3206" i="5"/>
  <c r="N3205" i="5"/>
  <c r="N3204" i="5"/>
  <c r="O3204" i="5" s="1"/>
  <c r="N3203" i="5"/>
  <c r="N3202" i="5"/>
  <c r="N3201" i="5"/>
  <c r="N3200" i="5"/>
  <c r="N3199" i="5"/>
  <c r="N3198" i="5"/>
  <c r="N3197" i="5"/>
  <c r="N3196" i="5"/>
  <c r="N3195" i="5"/>
  <c r="N3194" i="5"/>
  <c r="N3193" i="5"/>
  <c r="N3192" i="5"/>
  <c r="N3191" i="5"/>
  <c r="N3190" i="5"/>
  <c r="N3189" i="5"/>
  <c r="N3188" i="5"/>
  <c r="N3187" i="5"/>
  <c r="N3186" i="5"/>
  <c r="N3185" i="5"/>
  <c r="N3184" i="5"/>
  <c r="N3183" i="5"/>
  <c r="N3182" i="5"/>
  <c r="N3181" i="5"/>
  <c r="N3180" i="5"/>
  <c r="N3176" i="5"/>
  <c r="N3175" i="5"/>
  <c r="N3174" i="5"/>
  <c r="N3173" i="5"/>
  <c r="N3172" i="5"/>
  <c r="N3171" i="5"/>
  <c r="N3170" i="5"/>
  <c r="N3169" i="5"/>
  <c r="N3168" i="5"/>
  <c r="N3167" i="5"/>
  <c r="N3166" i="5"/>
  <c r="N3165" i="5"/>
  <c r="N3164" i="5"/>
  <c r="N3163" i="5"/>
  <c r="N3162" i="5"/>
  <c r="N3161" i="5"/>
  <c r="N3160" i="5"/>
  <c r="N3159" i="5"/>
  <c r="N3158" i="5"/>
  <c r="N3157" i="5"/>
  <c r="N3156" i="5"/>
  <c r="N3155" i="5"/>
  <c r="N3154" i="5"/>
  <c r="N3153" i="5"/>
  <c r="N3152" i="5"/>
  <c r="N3151" i="5"/>
  <c r="N3150" i="5"/>
  <c r="N3149" i="5"/>
  <c r="N3148" i="5"/>
  <c r="N3147" i="5"/>
  <c r="N3146" i="5"/>
  <c r="N3145" i="5"/>
  <c r="N3144" i="5"/>
  <c r="N3143" i="5"/>
  <c r="N3142" i="5"/>
  <c r="N3141" i="5"/>
  <c r="N3140" i="5"/>
  <c r="N3139" i="5"/>
  <c r="N3138" i="5"/>
  <c r="N3137" i="5"/>
  <c r="N3136" i="5"/>
  <c r="N3135" i="5"/>
  <c r="N3134" i="5"/>
  <c r="O3134" i="5" s="1"/>
  <c r="N3133" i="5"/>
  <c r="N3132" i="5"/>
  <c r="N3131" i="5"/>
  <c r="N3130" i="5"/>
  <c r="N3129" i="5"/>
  <c r="N3128" i="5"/>
  <c r="N3127" i="5"/>
  <c r="N3126" i="5"/>
  <c r="N3125" i="5"/>
  <c r="N3124" i="5"/>
  <c r="N3123" i="5"/>
  <c r="N3122" i="5"/>
  <c r="N3121" i="5"/>
  <c r="N3120" i="5"/>
  <c r="N3119" i="5"/>
  <c r="N3118" i="5"/>
  <c r="N3117" i="5"/>
  <c r="N3116" i="5"/>
  <c r="N3115" i="5"/>
  <c r="N3114" i="5"/>
  <c r="N3113" i="5"/>
  <c r="N3112" i="5"/>
  <c r="N3111" i="5"/>
  <c r="N3110" i="5"/>
  <c r="N3109" i="5"/>
  <c r="N3108" i="5"/>
  <c r="N3107" i="5"/>
  <c r="N3106" i="5"/>
  <c r="N3105" i="5"/>
  <c r="N3104" i="5"/>
  <c r="N3103" i="5"/>
  <c r="N3102" i="5"/>
  <c r="N3101" i="5"/>
  <c r="N3100" i="5"/>
  <c r="N3099" i="5"/>
  <c r="N3098" i="5"/>
  <c r="N3097" i="5"/>
  <c r="N3096" i="5"/>
  <c r="N3095" i="5"/>
  <c r="N3094" i="5"/>
  <c r="N3093" i="5"/>
  <c r="N3092" i="5"/>
  <c r="N3091" i="5"/>
  <c r="N3090" i="5"/>
  <c r="N3089" i="5"/>
  <c r="N3088" i="5"/>
  <c r="N3087" i="5"/>
  <c r="N3086" i="5"/>
  <c r="N3085" i="5"/>
  <c r="N3084" i="5"/>
  <c r="N3083" i="5"/>
  <c r="N3082" i="5"/>
  <c r="N3081" i="5"/>
  <c r="N3080" i="5"/>
  <c r="N3079" i="5"/>
  <c r="N3078" i="5"/>
  <c r="N3077" i="5"/>
  <c r="N3076" i="5"/>
  <c r="N3075" i="5"/>
  <c r="N3074" i="5"/>
  <c r="N3073" i="5"/>
  <c r="N3072" i="5"/>
  <c r="N3071" i="5"/>
  <c r="N3070" i="5"/>
  <c r="N3069" i="5"/>
  <c r="N3068" i="5"/>
  <c r="N3067" i="5"/>
  <c r="N3066" i="5"/>
  <c r="N3065" i="5"/>
  <c r="N3064" i="5"/>
  <c r="O3064" i="5" s="1"/>
  <c r="N3063" i="5"/>
  <c r="N3062" i="5"/>
  <c r="N3061" i="5"/>
  <c r="N3060" i="5"/>
  <c r="N3059" i="5"/>
  <c r="N3058" i="5"/>
  <c r="N3057" i="5"/>
  <c r="N3056" i="5"/>
  <c r="N3055" i="5"/>
  <c r="N3054" i="5"/>
  <c r="N3053" i="5"/>
  <c r="N3052" i="5"/>
  <c r="N3051" i="5"/>
  <c r="N3050" i="5"/>
  <c r="N3049" i="5"/>
  <c r="N3048" i="5"/>
  <c r="N3047" i="5"/>
  <c r="N3046" i="5"/>
  <c r="N3045" i="5"/>
  <c r="N3044" i="5"/>
  <c r="N3043" i="5"/>
  <c r="N3042" i="5"/>
  <c r="N3041" i="5"/>
  <c r="N3040" i="5"/>
  <c r="N3039" i="5"/>
  <c r="N3038" i="5"/>
  <c r="N3037" i="5"/>
  <c r="N3036" i="5"/>
  <c r="N3035" i="5"/>
  <c r="N3034" i="5"/>
  <c r="N3033" i="5"/>
  <c r="N3032" i="5"/>
  <c r="N3031" i="5"/>
  <c r="N3030" i="5"/>
  <c r="N3029" i="5"/>
  <c r="N3028" i="5"/>
  <c r="N3027" i="5"/>
  <c r="N3026" i="5"/>
  <c r="N3025" i="5"/>
  <c r="N3024" i="5"/>
  <c r="N3023" i="5"/>
  <c r="N3022" i="5"/>
  <c r="N3021" i="5"/>
  <c r="N3020" i="5"/>
  <c r="N3019" i="5"/>
  <c r="N3018" i="5"/>
  <c r="N3017" i="5"/>
  <c r="N3016" i="5"/>
  <c r="N3015" i="5"/>
  <c r="N3014" i="5"/>
  <c r="N3013" i="5"/>
  <c r="N3012" i="5"/>
  <c r="N3011" i="5"/>
  <c r="N3010" i="5"/>
  <c r="N3009" i="5"/>
  <c r="N3008" i="5"/>
  <c r="N3007" i="5"/>
  <c r="N3006" i="5"/>
  <c r="N3005" i="5"/>
  <c r="N3004" i="5"/>
  <c r="N3003" i="5"/>
  <c r="N3002" i="5"/>
  <c r="N3001" i="5"/>
  <c r="N3000" i="5"/>
  <c r="N2999" i="5"/>
  <c r="N2998" i="5"/>
  <c r="N2997" i="5"/>
  <c r="N2996" i="5"/>
  <c r="N2995" i="5"/>
  <c r="N2994" i="5"/>
  <c r="N2993" i="5"/>
  <c r="N2992" i="5"/>
  <c r="N2991" i="5"/>
  <c r="N2990" i="5"/>
  <c r="N2989" i="5"/>
  <c r="N2988" i="5"/>
  <c r="N2987" i="5"/>
  <c r="N2986" i="5"/>
  <c r="N2985" i="5"/>
  <c r="N2984" i="5"/>
  <c r="N2983" i="5"/>
  <c r="N2982" i="5"/>
  <c r="N2981" i="5"/>
  <c r="N2980" i="5"/>
  <c r="N2979" i="5"/>
  <c r="N2978" i="5"/>
  <c r="N2977" i="5"/>
  <c r="N2976" i="5"/>
  <c r="N2975" i="5"/>
  <c r="N2974" i="5"/>
  <c r="N2973" i="5"/>
  <c r="N2972" i="5"/>
  <c r="N2971" i="5"/>
  <c r="N2970" i="5"/>
  <c r="N2969" i="5"/>
  <c r="N2968" i="5"/>
  <c r="N2967" i="5"/>
  <c r="N2966" i="5"/>
  <c r="N2965" i="5"/>
  <c r="N2964" i="5"/>
  <c r="N2963" i="5"/>
  <c r="N2962" i="5"/>
  <c r="N2961" i="5"/>
  <c r="N2960" i="5"/>
  <c r="N2959" i="5"/>
  <c r="N2958" i="5"/>
  <c r="N2957" i="5"/>
  <c r="N2956" i="5"/>
  <c r="N2955" i="5"/>
  <c r="N2954" i="5"/>
  <c r="N2953" i="5"/>
  <c r="N2952" i="5"/>
  <c r="N2951" i="5"/>
  <c r="N2950" i="5"/>
  <c r="N2949" i="5"/>
  <c r="N2948" i="5"/>
  <c r="N2947" i="5"/>
  <c r="N2946" i="5"/>
  <c r="N2945" i="5"/>
  <c r="N2944" i="5"/>
  <c r="N2943" i="5"/>
  <c r="N2942" i="5"/>
  <c r="N2941" i="5"/>
  <c r="N2940" i="5"/>
  <c r="N2939" i="5"/>
  <c r="N2938" i="5"/>
  <c r="N2937" i="5"/>
  <c r="N2936" i="5"/>
  <c r="N2935" i="5"/>
  <c r="N2934" i="5"/>
  <c r="N2933" i="5"/>
  <c r="N2932" i="5"/>
  <c r="N2931" i="5"/>
  <c r="N2930" i="5"/>
  <c r="N2929" i="5"/>
  <c r="N2928" i="5"/>
  <c r="N2927" i="5"/>
  <c r="N2926" i="5"/>
  <c r="N2925" i="5"/>
  <c r="N2924" i="5"/>
  <c r="N2923" i="5"/>
  <c r="N2922" i="5"/>
  <c r="N2921" i="5"/>
  <c r="N2920" i="5"/>
  <c r="N2919" i="5"/>
  <c r="N2918" i="5"/>
  <c r="N2917" i="5"/>
  <c r="N2916" i="5"/>
  <c r="N2915" i="5"/>
  <c r="N2914" i="5"/>
  <c r="N2913" i="5"/>
  <c r="N2912" i="5"/>
  <c r="N2911" i="5"/>
  <c r="N2910" i="5"/>
  <c r="N2909" i="5"/>
  <c r="N2908" i="5"/>
  <c r="N2907" i="5"/>
  <c r="N2906" i="5"/>
  <c r="N2905" i="5"/>
  <c r="N2904" i="5"/>
  <c r="N2903" i="5"/>
  <c r="N2902" i="5"/>
  <c r="N2901" i="5"/>
  <c r="N2900" i="5"/>
  <c r="N2899" i="5"/>
  <c r="N2898" i="5"/>
  <c r="N2897" i="5"/>
  <c r="N2896" i="5"/>
  <c r="N2895" i="5"/>
  <c r="N2894" i="5"/>
  <c r="N2893" i="5"/>
  <c r="N2892" i="5"/>
  <c r="N2891" i="5"/>
  <c r="N2890" i="5"/>
  <c r="N2889" i="5"/>
  <c r="N2888" i="5"/>
  <c r="N2887" i="5"/>
  <c r="N2886" i="5"/>
  <c r="N2885" i="5"/>
  <c r="N2884" i="5"/>
  <c r="N2883" i="5"/>
  <c r="N2882" i="5"/>
  <c r="N2881" i="5"/>
  <c r="N2880" i="5"/>
  <c r="N2879" i="5"/>
  <c r="N2878" i="5"/>
  <c r="N2877" i="5"/>
  <c r="N2876" i="5"/>
  <c r="N2875" i="5"/>
  <c r="N2874" i="5"/>
  <c r="N2873" i="5"/>
  <c r="N2872" i="5"/>
  <c r="N2871" i="5"/>
  <c r="N2870" i="5"/>
  <c r="N2869" i="5"/>
  <c r="N2868" i="5"/>
  <c r="N2867" i="5"/>
  <c r="N2866" i="5"/>
  <c r="N2865" i="5"/>
  <c r="N2864" i="5"/>
  <c r="N2863" i="5"/>
  <c r="N2862" i="5"/>
  <c r="N2861" i="5"/>
  <c r="N2860" i="5"/>
  <c r="N2859" i="5"/>
  <c r="N2858" i="5"/>
  <c r="N2857" i="5"/>
  <c r="N2856" i="5"/>
  <c r="N2855" i="5"/>
  <c r="N2854" i="5"/>
  <c r="N2853" i="5"/>
  <c r="N2852" i="5"/>
  <c r="N2851" i="5"/>
  <c r="N2850" i="5"/>
  <c r="N2849" i="5"/>
  <c r="N2848" i="5"/>
  <c r="N2847" i="5"/>
  <c r="N2846" i="5"/>
  <c r="N2845" i="5"/>
  <c r="N2844" i="5"/>
  <c r="N2843" i="5"/>
  <c r="N2842" i="5"/>
  <c r="N2841" i="5"/>
  <c r="N2840" i="5"/>
  <c r="N2839" i="5"/>
  <c r="N2838" i="5"/>
  <c r="N2837" i="5"/>
  <c r="N2836" i="5"/>
  <c r="N2835" i="5"/>
  <c r="N2834" i="5"/>
  <c r="N2833" i="5"/>
  <c r="N2832" i="5"/>
  <c r="N2831" i="5"/>
  <c r="N2830" i="5"/>
  <c r="N2829" i="5"/>
  <c r="N2828" i="5"/>
  <c r="N2827" i="5"/>
  <c r="N2826" i="5"/>
  <c r="N2825" i="5"/>
  <c r="N2824" i="5"/>
  <c r="N2823" i="5"/>
  <c r="N2822" i="5"/>
  <c r="N2821" i="5"/>
  <c r="N2820" i="5"/>
  <c r="N2819" i="5"/>
  <c r="N2818" i="5"/>
  <c r="N2817" i="5"/>
  <c r="N2816" i="5"/>
  <c r="N2815" i="5"/>
  <c r="N2814" i="5"/>
  <c r="N2813" i="5"/>
  <c r="N2812" i="5"/>
  <c r="N2811" i="5"/>
  <c r="N2810" i="5"/>
  <c r="N2809" i="5"/>
  <c r="N2808" i="5"/>
  <c r="N2807" i="5"/>
  <c r="N2806" i="5"/>
  <c r="N2805" i="5"/>
  <c r="N2804" i="5"/>
  <c r="N2803" i="5"/>
  <c r="N2802" i="5"/>
  <c r="N2801" i="5"/>
  <c r="N2800" i="5"/>
  <c r="N2799" i="5"/>
  <c r="N2798" i="5"/>
  <c r="N2797" i="5"/>
  <c r="N2796" i="5"/>
  <c r="N2795" i="5"/>
  <c r="N2794" i="5"/>
  <c r="N2793" i="5"/>
  <c r="N2792" i="5"/>
  <c r="N2791" i="5"/>
  <c r="N2790" i="5"/>
  <c r="N2789" i="5"/>
  <c r="N2788" i="5"/>
  <c r="N2787" i="5"/>
  <c r="N2786" i="5"/>
  <c r="N2785" i="5"/>
  <c r="N2784" i="5"/>
  <c r="N2783" i="5"/>
  <c r="N2782" i="5"/>
  <c r="N2781" i="5"/>
  <c r="N2780" i="5"/>
  <c r="N2779" i="5"/>
  <c r="N2778" i="5"/>
  <c r="N2777" i="5"/>
  <c r="N2776" i="5"/>
  <c r="N2775" i="5"/>
  <c r="N2774" i="5"/>
  <c r="N2773" i="5"/>
  <c r="N2772" i="5"/>
  <c r="N2771" i="5"/>
  <c r="N2770" i="5"/>
  <c r="N2769" i="5"/>
  <c r="O2769" i="5" s="1"/>
  <c r="N2768" i="5"/>
  <c r="N2767" i="5"/>
  <c r="N2766" i="5"/>
  <c r="N2765" i="5"/>
  <c r="O2765" i="5" s="1"/>
  <c r="N2764" i="5"/>
  <c r="N2763" i="5"/>
  <c r="N2762" i="5"/>
  <c r="N2761" i="5"/>
  <c r="O2761" i="5" s="1"/>
  <c r="N2760" i="5"/>
  <c r="N2759" i="5"/>
  <c r="N2758" i="5"/>
  <c r="N2757" i="5"/>
  <c r="O2757" i="5" s="1"/>
  <c r="N2756" i="5"/>
  <c r="N2755" i="5"/>
  <c r="N2754" i="5"/>
  <c r="N2753" i="5"/>
  <c r="O2753" i="5" s="1"/>
  <c r="N2752" i="5"/>
  <c r="N2751" i="5"/>
  <c r="N2750" i="5"/>
  <c r="N2749" i="5"/>
  <c r="O2749" i="5" s="1"/>
  <c r="N2748" i="5"/>
  <c r="N2747" i="5"/>
  <c r="N2746" i="5"/>
  <c r="N2745" i="5"/>
  <c r="O2745" i="5" s="1"/>
  <c r="N2744" i="5"/>
  <c r="N2743" i="5"/>
  <c r="N2742" i="5"/>
  <c r="N2741" i="5"/>
  <c r="O2741" i="5" s="1"/>
  <c r="N2740" i="5"/>
  <c r="N2739" i="5"/>
  <c r="N2738" i="5"/>
  <c r="N2737" i="5"/>
  <c r="O2737" i="5" s="1"/>
  <c r="N2736" i="5"/>
  <c r="N2735" i="5"/>
  <c r="N2734" i="5"/>
  <c r="N2733" i="5"/>
  <c r="O2733" i="5" s="1"/>
  <c r="N2732" i="5"/>
  <c r="N2731" i="5"/>
  <c r="N2730" i="5"/>
  <c r="N2729" i="5"/>
  <c r="O2729" i="5" s="1"/>
  <c r="N2728" i="5"/>
  <c r="N2727" i="5"/>
  <c r="N2726" i="5"/>
  <c r="N2725" i="5"/>
  <c r="O2725" i="5" s="1"/>
  <c r="N2724" i="5"/>
  <c r="N2723" i="5"/>
  <c r="N2722" i="5"/>
  <c r="N2721" i="5"/>
  <c r="O2721" i="5" s="1"/>
  <c r="N2720" i="5"/>
  <c r="N2719" i="5"/>
  <c r="N2718" i="5"/>
  <c r="N2717" i="5"/>
  <c r="O2717" i="5" s="1"/>
  <c r="N2716" i="5"/>
  <c r="N2715" i="5"/>
  <c r="N2714" i="5"/>
  <c r="N2713" i="5"/>
  <c r="N2712" i="5"/>
  <c r="N2711" i="5"/>
  <c r="O2711" i="5" s="1"/>
  <c r="N2710" i="5"/>
  <c r="N2709" i="5"/>
  <c r="N2708" i="5"/>
  <c r="N2707" i="5"/>
  <c r="N2706" i="5"/>
  <c r="N2705" i="5"/>
  <c r="O2705" i="5" s="1"/>
  <c r="N2704" i="5"/>
  <c r="N2703" i="5"/>
  <c r="N2702" i="5"/>
  <c r="N2701" i="5"/>
  <c r="N2700" i="5"/>
  <c r="N2699" i="5"/>
  <c r="O2699" i="5" s="1"/>
  <c r="N2698" i="5"/>
  <c r="N2697" i="5"/>
  <c r="N2696" i="5"/>
  <c r="N2695" i="5"/>
  <c r="N2694" i="5"/>
  <c r="N2693" i="5"/>
  <c r="O2693" i="5" s="1"/>
  <c r="N2692" i="5"/>
  <c r="N2691" i="5"/>
  <c r="N2690" i="5"/>
  <c r="N2689" i="5"/>
  <c r="N2688" i="5"/>
  <c r="N2687" i="5"/>
  <c r="O2687" i="5" s="1"/>
  <c r="N2686" i="5"/>
  <c r="N2685" i="5"/>
  <c r="N2684" i="5"/>
  <c r="N2683" i="5"/>
  <c r="N2682" i="5"/>
  <c r="N2681" i="5"/>
  <c r="O2681" i="5" s="1"/>
  <c r="N2680" i="5"/>
  <c r="N2679" i="5"/>
  <c r="N2678" i="5"/>
  <c r="N2677" i="5"/>
  <c r="N2676" i="5"/>
  <c r="N2675" i="5"/>
  <c r="O2675" i="5" s="1"/>
  <c r="N2674" i="5"/>
  <c r="N2673" i="5"/>
  <c r="N2672" i="5"/>
  <c r="N2671" i="5"/>
  <c r="N2670" i="5"/>
  <c r="N2669" i="5"/>
  <c r="O2669" i="5" s="1"/>
  <c r="N2668" i="5"/>
  <c r="N2667" i="5"/>
  <c r="N2666" i="5"/>
  <c r="N2665" i="5"/>
  <c r="N2664" i="5"/>
  <c r="N2663" i="5"/>
  <c r="O2663" i="5" s="1"/>
  <c r="N2662" i="5"/>
  <c r="N2661" i="5"/>
  <c r="N2660" i="5"/>
  <c r="N2659" i="5"/>
  <c r="N2658" i="5"/>
  <c r="N2657" i="5"/>
  <c r="O2657" i="5" s="1"/>
  <c r="N2656" i="5"/>
  <c r="N2655" i="5"/>
  <c r="N2654" i="5"/>
  <c r="N2653" i="5"/>
  <c r="O2653" i="5" s="1"/>
  <c r="N2652" i="5"/>
  <c r="N2651" i="5"/>
  <c r="N2650" i="5"/>
  <c r="N2649" i="5"/>
  <c r="O2649" i="5" s="1"/>
  <c r="N2648" i="5"/>
  <c r="N2647" i="5"/>
  <c r="N2646" i="5"/>
  <c r="N2645" i="5"/>
  <c r="O2645" i="5" s="1"/>
  <c r="N2644" i="5"/>
  <c r="N2643" i="5"/>
  <c r="N2642" i="5"/>
  <c r="N2641" i="5"/>
  <c r="O2641" i="5" s="1"/>
  <c r="N2640" i="5"/>
  <c r="N2639" i="5"/>
  <c r="N2638" i="5"/>
  <c r="N2637" i="5"/>
  <c r="O2637" i="5" s="1"/>
  <c r="N2636" i="5"/>
  <c r="N2635" i="5"/>
  <c r="N2634" i="5"/>
  <c r="N2633" i="5"/>
  <c r="O2633" i="5" s="1"/>
  <c r="N2632" i="5"/>
  <c r="N2631" i="5"/>
  <c r="N2630" i="5"/>
  <c r="N2629" i="5"/>
  <c r="O2629" i="5" s="1"/>
  <c r="N2628" i="5"/>
  <c r="N2627" i="5"/>
  <c r="N2626" i="5"/>
  <c r="N2625" i="5"/>
  <c r="O2625" i="5" s="1"/>
  <c r="N2624" i="5"/>
  <c r="N2623" i="5"/>
  <c r="N2622" i="5"/>
  <c r="N2621" i="5"/>
  <c r="O2621" i="5" s="1"/>
  <c r="N2620" i="5"/>
  <c r="N2619" i="5"/>
  <c r="N2618" i="5"/>
  <c r="N2617" i="5"/>
  <c r="O2617" i="5" s="1"/>
  <c r="N2616" i="5"/>
  <c r="N2615" i="5"/>
  <c r="N2614" i="5"/>
  <c r="N2613" i="5"/>
  <c r="O2613" i="5" s="1"/>
  <c r="N2612" i="5"/>
  <c r="N2611" i="5"/>
  <c r="N2610" i="5"/>
  <c r="N2609" i="5"/>
  <c r="O2609" i="5" s="1"/>
  <c r="N2608" i="5"/>
  <c r="N2607" i="5"/>
  <c r="N2606" i="5"/>
  <c r="N2605" i="5"/>
  <c r="O2605" i="5" s="1"/>
  <c r="N2604" i="5"/>
  <c r="N2603" i="5"/>
  <c r="N2602" i="5"/>
  <c r="N2601" i="5"/>
  <c r="O2601" i="5" s="1"/>
  <c r="N2600" i="5"/>
  <c r="N2599" i="5"/>
  <c r="N2598" i="5"/>
  <c r="N2597" i="5"/>
  <c r="O2597" i="5" s="1"/>
  <c r="N2596" i="5"/>
  <c r="N2595" i="5"/>
  <c r="N2594" i="5"/>
  <c r="N2593" i="5"/>
  <c r="N2592" i="5"/>
  <c r="N2591" i="5"/>
  <c r="N2590" i="5"/>
  <c r="N2589" i="5"/>
  <c r="N2588" i="5"/>
  <c r="N2587" i="5"/>
  <c r="N2586" i="5"/>
  <c r="N2585" i="5"/>
  <c r="N2584" i="5"/>
  <c r="N2583" i="5"/>
  <c r="N2582" i="5"/>
  <c r="N2581" i="5"/>
  <c r="N2580" i="5"/>
  <c r="N2579" i="5"/>
  <c r="N2578" i="5"/>
  <c r="N2577" i="5"/>
  <c r="N2576" i="5"/>
  <c r="N2575" i="5"/>
  <c r="N2574" i="5"/>
  <c r="N2573" i="5"/>
  <c r="N2572" i="5"/>
  <c r="N2571" i="5"/>
  <c r="N2570" i="5"/>
  <c r="N2569" i="5"/>
  <c r="O2569" i="5" s="1"/>
  <c r="N2568" i="5"/>
  <c r="N2567" i="5"/>
  <c r="N2566" i="5"/>
  <c r="N2565" i="5"/>
  <c r="O2565" i="5" s="1"/>
  <c r="N2564" i="5"/>
  <c r="N2563" i="5"/>
  <c r="N2562" i="5"/>
  <c r="N2561" i="5"/>
  <c r="O2561" i="5" s="1"/>
  <c r="N2560" i="5"/>
  <c r="N2559" i="5"/>
  <c r="N2558" i="5"/>
  <c r="N2557" i="5"/>
  <c r="O2557" i="5" s="1"/>
  <c r="N2556" i="5"/>
  <c r="N2555" i="5"/>
  <c r="N2554" i="5"/>
  <c r="N2553" i="5"/>
  <c r="O2553" i="5" s="1"/>
  <c r="N2552" i="5"/>
  <c r="N2551" i="5"/>
  <c r="N2550" i="5"/>
  <c r="N2549" i="5"/>
  <c r="O2549" i="5" s="1"/>
  <c r="N2548" i="5"/>
  <c r="N2547" i="5"/>
  <c r="N2546" i="5"/>
  <c r="N2545" i="5"/>
  <c r="O2545" i="5" s="1"/>
  <c r="N2544" i="5"/>
  <c r="N2543" i="5"/>
  <c r="N2542" i="5"/>
  <c r="N2541" i="5"/>
  <c r="O2541" i="5" s="1"/>
  <c r="N2540" i="5"/>
  <c r="N2539" i="5"/>
  <c r="N2538" i="5"/>
  <c r="N2537" i="5"/>
  <c r="O2537" i="5" s="1"/>
  <c r="N2536" i="5"/>
  <c r="N2535" i="5"/>
  <c r="N2534" i="5"/>
  <c r="N2533" i="5"/>
  <c r="O2533" i="5" s="1"/>
  <c r="N2532" i="5"/>
  <c r="N2531" i="5"/>
  <c r="N2530" i="5"/>
  <c r="N2529" i="5"/>
  <c r="O2529" i="5" s="1"/>
  <c r="N2528" i="5"/>
  <c r="N2527" i="5"/>
  <c r="N2526" i="5"/>
  <c r="N2525" i="5"/>
  <c r="O2525" i="5" s="1"/>
  <c r="N2524" i="5"/>
  <c r="N2523" i="5"/>
  <c r="N2522" i="5"/>
  <c r="N2521" i="5"/>
  <c r="O2521" i="5" s="1"/>
  <c r="N2520" i="5"/>
  <c r="N2519" i="5"/>
  <c r="N2518" i="5"/>
  <c r="N2517" i="5"/>
  <c r="O2517" i="5" s="1"/>
  <c r="N2516" i="5"/>
  <c r="N2515" i="5"/>
  <c r="N2514" i="5"/>
  <c r="N2513" i="5"/>
  <c r="O2513" i="5" s="1"/>
  <c r="N2512" i="5"/>
  <c r="N2511" i="5"/>
  <c r="N2510" i="5"/>
  <c r="N2509" i="5"/>
  <c r="O2509" i="5" s="1"/>
  <c r="N2508" i="5"/>
  <c r="N2507" i="5"/>
  <c r="N2506" i="5"/>
  <c r="N2505" i="5"/>
  <c r="O2505" i="5" s="1"/>
  <c r="N2504" i="5"/>
  <c r="N2503" i="5"/>
  <c r="N2502" i="5"/>
  <c r="N2501" i="5"/>
  <c r="O2501" i="5" s="1"/>
  <c r="N2500" i="5"/>
  <c r="N2499" i="5"/>
  <c r="N2498" i="5"/>
  <c r="N2497" i="5"/>
  <c r="O2497" i="5" s="1"/>
  <c r="N2496" i="5"/>
  <c r="N2495" i="5"/>
  <c r="N2494" i="5"/>
  <c r="N2493" i="5"/>
  <c r="O2493" i="5" s="1"/>
  <c r="N2492" i="5"/>
  <c r="N2491" i="5"/>
  <c r="N2490" i="5"/>
  <c r="N2489" i="5"/>
  <c r="O2489" i="5" s="1"/>
  <c r="N2488" i="5"/>
  <c r="N2487" i="5"/>
  <c r="N2486" i="5"/>
  <c r="N2485" i="5"/>
  <c r="O2485" i="5" s="1"/>
  <c r="N2484" i="5"/>
  <c r="N2483" i="5"/>
  <c r="N2482" i="5"/>
  <c r="N2481" i="5"/>
  <c r="O2481" i="5" s="1"/>
  <c r="N2480" i="5"/>
  <c r="N2479" i="5"/>
  <c r="N2478" i="5"/>
  <c r="N2477" i="5"/>
  <c r="O2477" i="5" s="1"/>
  <c r="N2476" i="5"/>
  <c r="N2475" i="5"/>
  <c r="N2474" i="5"/>
  <c r="N2473" i="5"/>
  <c r="O2473" i="5" s="1"/>
  <c r="N2472" i="5"/>
  <c r="N2471" i="5"/>
  <c r="N2470" i="5"/>
  <c r="N2469" i="5"/>
  <c r="O2469" i="5" s="1"/>
  <c r="N2468" i="5"/>
  <c r="N2467" i="5"/>
  <c r="N2466" i="5"/>
  <c r="N2465" i="5"/>
  <c r="O2465" i="5" s="1"/>
  <c r="N2464" i="5"/>
  <c r="N2463" i="5"/>
  <c r="N2462" i="5"/>
  <c r="N2461" i="5"/>
  <c r="O2461" i="5" s="1"/>
  <c r="N2460" i="5"/>
  <c r="N2459" i="5"/>
  <c r="N2458" i="5"/>
  <c r="N2457" i="5"/>
  <c r="O2457" i="5" s="1"/>
  <c r="N2456" i="5"/>
  <c r="N2455" i="5"/>
  <c r="N2454" i="5"/>
  <c r="N2453" i="5"/>
  <c r="O2453" i="5" s="1"/>
  <c r="N2452" i="5"/>
  <c r="N2451" i="5"/>
  <c r="N2450" i="5"/>
  <c r="N2449" i="5"/>
  <c r="O2449" i="5" s="1"/>
  <c r="N2448" i="5"/>
  <c r="N2447" i="5"/>
  <c r="N2446" i="5"/>
  <c r="N2445" i="5"/>
  <c r="O2445" i="5" s="1"/>
  <c r="N2444" i="5"/>
  <c r="N2443" i="5"/>
  <c r="N2442" i="5"/>
  <c r="N2441" i="5"/>
  <c r="O2441" i="5" s="1"/>
  <c r="N2440" i="5"/>
  <c r="N2439" i="5"/>
  <c r="N2438" i="5"/>
  <c r="N2437" i="5"/>
  <c r="O2437" i="5" s="1"/>
  <c r="N2436" i="5"/>
  <c r="N2435" i="5"/>
  <c r="N2434" i="5"/>
  <c r="N2433" i="5"/>
  <c r="O2433" i="5" s="1"/>
  <c r="N2432" i="5"/>
  <c r="N2431" i="5"/>
  <c r="N2430" i="5"/>
  <c r="N2429" i="5"/>
  <c r="O2429" i="5" s="1"/>
  <c r="N2428" i="5"/>
  <c r="N2427" i="5"/>
  <c r="N2426" i="5"/>
  <c r="N2425" i="5"/>
  <c r="O2425" i="5" s="1"/>
  <c r="N2424" i="5"/>
  <c r="N2423" i="5"/>
  <c r="N2422" i="5"/>
  <c r="N2421" i="5"/>
  <c r="O2421" i="5" s="1"/>
  <c r="N2420" i="5"/>
  <c r="N2419" i="5"/>
  <c r="N2418" i="5"/>
  <c r="N2417" i="5"/>
  <c r="O2417" i="5" s="1"/>
  <c r="N2416" i="5"/>
  <c r="N2415" i="5"/>
  <c r="N2414" i="5"/>
  <c r="N2413" i="5"/>
  <c r="O2413" i="5" s="1"/>
  <c r="N2412" i="5"/>
  <c r="N2411" i="5"/>
  <c r="N2410" i="5"/>
  <c r="N2409" i="5"/>
  <c r="O2409" i="5" s="1"/>
  <c r="N2408" i="5"/>
  <c r="N2407" i="5"/>
  <c r="N2406" i="5"/>
  <c r="N2405" i="5"/>
  <c r="O2405" i="5" s="1"/>
  <c r="N2404" i="5"/>
  <c r="N2403" i="5"/>
  <c r="N2402" i="5"/>
  <c r="N2401" i="5"/>
  <c r="O2401" i="5" s="1"/>
  <c r="N2400" i="5"/>
  <c r="N2399" i="5"/>
  <c r="N2398" i="5"/>
  <c r="N2397" i="5"/>
  <c r="O2397" i="5" s="1"/>
  <c r="N2396" i="5"/>
  <c r="N2395" i="5"/>
  <c r="N2394" i="5"/>
  <c r="N2393" i="5"/>
  <c r="N2392" i="5"/>
  <c r="N2391" i="5"/>
  <c r="N2390" i="5"/>
  <c r="N2389" i="5"/>
  <c r="N2388" i="5"/>
  <c r="N2387" i="5"/>
  <c r="N2386" i="5"/>
  <c r="N2385" i="5"/>
  <c r="N2384" i="5"/>
  <c r="N2383" i="5"/>
  <c r="N2382" i="5"/>
  <c r="N2381" i="5"/>
  <c r="N2380" i="5"/>
  <c r="N2379" i="5"/>
  <c r="N2378" i="5"/>
  <c r="N2377" i="5"/>
  <c r="N2376" i="5"/>
  <c r="N2375" i="5"/>
  <c r="N2374" i="5"/>
  <c r="N2373" i="5"/>
  <c r="N2372" i="5"/>
  <c r="N2371" i="5"/>
  <c r="N2370" i="5"/>
  <c r="N2369" i="5"/>
  <c r="N2368" i="5"/>
  <c r="N2367" i="5"/>
  <c r="N2366" i="5"/>
  <c r="N2365" i="5"/>
  <c r="N2364" i="5"/>
  <c r="N2363" i="5"/>
  <c r="N2362" i="5"/>
  <c r="N2361" i="5"/>
  <c r="N2360" i="5"/>
  <c r="N2359" i="5"/>
  <c r="N2358" i="5"/>
  <c r="N2357" i="5"/>
  <c r="N2356" i="5"/>
  <c r="N2355" i="5"/>
  <c r="N2354" i="5"/>
  <c r="N2353" i="5"/>
  <c r="N2352" i="5"/>
  <c r="N2351" i="5"/>
  <c r="N2350" i="5"/>
  <c r="N2349" i="5"/>
  <c r="N2348" i="5"/>
  <c r="N2347" i="5"/>
  <c r="O2347" i="5" s="1"/>
  <c r="N2346" i="5"/>
  <c r="N2345" i="5"/>
  <c r="N2344" i="5"/>
  <c r="N2343" i="5"/>
  <c r="N2342" i="5"/>
  <c r="N2341" i="5"/>
  <c r="N2340" i="5"/>
  <c r="N2339" i="5"/>
  <c r="N2338" i="5"/>
  <c r="N2337" i="5"/>
  <c r="N2336" i="5"/>
  <c r="N2335" i="5"/>
  <c r="N2334" i="5"/>
  <c r="N2333" i="5"/>
  <c r="N2332" i="5"/>
  <c r="N2331" i="5"/>
  <c r="N2330" i="5"/>
  <c r="N2329" i="5"/>
  <c r="N2328" i="5"/>
  <c r="N2327" i="5"/>
  <c r="N2326" i="5"/>
  <c r="N2325" i="5"/>
  <c r="N2324" i="5"/>
  <c r="N2323" i="5"/>
  <c r="N2322" i="5"/>
  <c r="N2321" i="5"/>
  <c r="N2320" i="5"/>
  <c r="N2319" i="5"/>
  <c r="N2318" i="5"/>
  <c r="N2317" i="5"/>
  <c r="N2316" i="5"/>
  <c r="N2315" i="5"/>
  <c r="N2314" i="5"/>
  <c r="N2313" i="5"/>
  <c r="N2312" i="5"/>
  <c r="N2311" i="5"/>
  <c r="N2310" i="5"/>
  <c r="N2309" i="5"/>
  <c r="N2308" i="5"/>
  <c r="N2307" i="5"/>
  <c r="N2306" i="5"/>
  <c r="N2305" i="5"/>
  <c r="N2304" i="5"/>
  <c r="N2303" i="5"/>
  <c r="N2302" i="5"/>
  <c r="N2301" i="5"/>
  <c r="N2298" i="5"/>
  <c r="N2297" i="5"/>
  <c r="N2296" i="5"/>
  <c r="N2295" i="5"/>
  <c r="N2294" i="5"/>
  <c r="N2293" i="5"/>
  <c r="N2292" i="5"/>
  <c r="N2291" i="5"/>
  <c r="N2288" i="5"/>
  <c r="N2287" i="5"/>
  <c r="N2286" i="5"/>
  <c r="N2285" i="5"/>
  <c r="N2284" i="5"/>
  <c r="N2283" i="5"/>
  <c r="N2282" i="5"/>
  <c r="N2281" i="5"/>
  <c r="N2278" i="5"/>
  <c r="N2277" i="5"/>
  <c r="N2276" i="5"/>
  <c r="N2275" i="5"/>
  <c r="N2274" i="5"/>
  <c r="N2273" i="5"/>
  <c r="N2272" i="5"/>
  <c r="N2271" i="5"/>
  <c r="N2268" i="5"/>
  <c r="N2267" i="5"/>
  <c r="N2266" i="5"/>
  <c r="N2265" i="5"/>
  <c r="N2264" i="5"/>
  <c r="N2263" i="5"/>
  <c r="N2262" i="5"/>
  <c r="N2261" i="5"/>
  <c r="N2258" i="5"/>
  <c r="N2257" i="5"/>
  <c r="N2256" i="5"/>
  <c r="N2255" i="5"/>
  <c r="N2254" i="5"/>
  <c r="N2253" i="5"/>
  <c r="N2252" i="5"/>
  <c r="N2251" i="5"/>
  <c r="N2250" i="5"/>
  <c r="N2249" i="5"/>
  <c r="N2248" i="5"/>
  <c r="N2247" i="5"/>
  <c r="N2246" i="5"/>
  <c r="N2245" i="5"/>
  <c r="N2242" i="5"/>
  <c r="N2241" i="5"/>
  <c r="N2240" i="5"/>
  <c r="N2239" i="5"/>
  <c r="N2238" i="5"/>
  <c r="N2237" i="5"/>
  <c r="N2236" i="5"/>
  <c r="N2235" i="5"/>
  <c r="N2234" i="5"/>
  <c r="N2233" i="5"/>
  <c r="N2232" i="5"/>
  <c r="N2231" i="5"/>
  <c r="N2230" i="5"/>
  <c r="N2229" i="5"/>
  <c r="N2228" i="5"/>
  <c r="N2227" i="5"/>
  <c r="N2226" i="5"/>
  <c r="N2225" i="5"/>
  <c r="N2224" i="5"/>
  <c r="N2223" i="5"/>
  <c r="N2222" i="5"/>
  <c r="N2221" i="5"/>
  <c r="N2220" i="5"/>
  <c r="N2219" i="5"/>
  <c r="N2218" i="5"/>
  <c r="N2217" i="5"/>
  <c r="N2216" i="5"/>
  <c r="N2215" i="5"/>
  <c r="N2214" i="5"/>
  <c r="N2213" i="5"/>
  <c r="N2212" i="5"/>
  <c r="N2211" i="5"/>
  <c r="N2210" i="5"/>
  <c r="N2209" i="5"/>
  <c r="N2208" i="5"/>
  <c r="N2207" i="5"/>
  <c r="N2206" i="5"/>
  <c r="N2205" i="5"/>
  <c r="N2204" i="5"/>
  <c r="N2203" i="5"/>
  <c r="N2202" i="5"/>
  <c r="N2201" i="5"/>
  <c r="N2200" i="5"/>
  <c r="N2199" i="5"/>
  <c r="N2198" i="5"/>
  <c r="N2197" i="5"/>
  <c r="N2196" i="5"/>
  <c r="N2195" i="5"/>
  <c r="N2194" i="5"/>
  <c r="N2193" i="5"/>
  <c r="N2192" i="5"/>
  <c r="N2191" i="5"/>
  <c r="N2190" i="5"/>
  <c r="N2189" i="5"/>
  <c r="N2188" i="5"/>
  <c r="N2187" i="5"/>
  <c r="N2186" i="5"/>
  <c r="N2185" i="5"/>
  <c r="N2184" i="5"/>
  <c r="N2183" i="5"/>
  <c r="N2182" i="5"/>
  <c r="N2181" i="5"/>
  <c r="N2180" i="5"/>
  <c r="N2179" i="5"/>
  <c r="N2178" i="5"/>
  <c r="N2177" i="5"/>
  <c r="N2176" i="5"/>
  <c r="N2175" i="5"/>
  <c r="N2174" i="5"/>
  <c r="N2173" i="5"/>
  <c r="N2172" i="5"/>
  <c r="N2171" i="5"/>
  <c r="N2170" i="5"/>
  <c r="N2169" i="5"/>
  <c r="N2168" i="5"/>
  <c r="N2167" i="5"/>
  <c r="N2166" i="5"/>
  <c r="N2165" i="5"/>
  <c r="N2164" i="5"/>
  <c r="N2163" i="5"/>
  <c r="N2162" i="5"/>
  <c r="N2161" i="5"/>
  <c r="N2160" i="5"/>
  <c r="N2159" i="5"/>
  <c r="N2158" i="5"/>
  <c r="N2157" i="5"/>
  <c r="N2156" i="5"/>
  <c r="N2155" i="5"/>
  <c r="N2154" i="5"/>
  <c r="N2153" i="5"/>
  <c r="N2152" i="5"/>
  <c r="N2151" i="5"/>
  <c r="N2150" i="5"/>
  <c r="N2149" i="5"/>
  <c r="N2148" i="5"/>
  <c r="N2147" i="5"/>
  <c r="N2146" i="5"/>
  <c r="N2145" i="5"/>
  <c r="N2144" i="5"/>
  <c r="N2143" i="5"/>
  <c r="N2142" i="5"/>
  <c r="N2141" i="5"/>
  <c r="N2140" i="5"/>
  <c r="N2139" i="5"/>
  <c r="N2138" i="5"/>
  <c r="N2137" i="5"/>
  <c r="N2136" i="5"/>
  <c r="N2135" i="5"/>
  <c r="N2134" i="5"/>
  <c r="N2133" i="5"/>
  <c r="N2132" i="5"/>
  <c r="N2131" i="5"/>
  <c r="N2130" i="5"/>
  <c r="N2129" i="5"/>
  <c r="N2128" i="5"/>
  <c r="N2127" i="5"/>
  <c r="N2126" i="5"/>
  <c r="N2125" i="5"/>
  <c r="N2124" i="5"/>
  <c r="N2123" i="5"/>
  <c r="N2122" i="5"/>
  <c r="N2121" i="5"/>
  <c r="N2120" i="5"/>
  <c r="N2119" i="5"/>
  <c r="N2118" i="5"/>
  <c r="N2117" i="5"/>
  <c r="N2116" i="5"/>
  <c r="N2115" i="5"/>
  <c r="N2114" i="5"/>
  <c r="N2113" i="5"/>
  <c r="N2112" i="5"/>
  <c r="N2111" i="5"/>
  <c r="N2110" i="5"/>
  <c r="N2109" i="5"/>
  <c r="N2108" i="5"/>
  <c r="N2107" i="5"/>
  <c r="N2106" i="5"/>
  <c r="N2105" i="5"/>
  <c r="N2104" i="5"/>
  <c r="N2103" i="5"/>
  <c r="N2102" i="5"/>
  <c r="N2101" i="5"/>
  <c r="N2100" i="5"/>
  <c r="N2099" i="5"/>
  <c r="N2098" i="5"/>
  <c r="N2097" i="5"/>
  <c r="N2096" i="5"/>
  <c r="N2095" i="5"/>
  <c r="N2094" i="5"/>
  <c r="N2093" i="5"/>
  <c r="N2092" i="5"/>
  <c r="N2091" i="5"/>
  <c r="N2090" i="5"/>
  <c r="N2089" i="5"/>
  <c r="N2088" i="5"/>
  <c r="N2087" i="5"/>
  <c r="N2086" i="5"/>
  <c r="N2085" i="5"/>
  <c r="N2084" i="5"/>
  <c r="N2083" i="5"/>
  <c r="N2082" i="5"/>
  <c r="N2081" i="5"/>
  <c r="N2080" i="5"/>
  <c r="N2079" i="5"/>
  <c r="N2078" i="5"/>
  <c r="N2077" i="5"/>
  <c r="N2076" i="5"/>
  <c r="N2075" i="5"/>
  <c r="N2074" i="5"/>
  <c r="N2073" i="5"/>
  <c r="N2072" i="5"/>
  <c r="N2071" i="5"/>
  <c r="N2070" i="5"/>
  <c r="N2069" i="5"/>
  <c r="N2068" i="5"/>
  <c r="N2067" i="5"/>
  <c r="N2066" i="5"/>
  <c r="N2065" i="5"/>
  <c r="N2064" i="5"/>
  <c r="N2063" i="5"/>
  <c r="N2062" i="5"/>
  <c r="N2061" i="5"/>
  <c r="N2060" i="5"/>
  <c r="N2059" i="5"/>
  <c r="N2058" i="5"/>
  <c r="N2057" i="5"/>
  <c r="N2056" i="5"/>
  <c r="N2055" i="5"/>
  <c r="N2054" i="5"/>
  <c r="N2053" i="5"/>
  <c r="N2052" i="5"/>
  <c r="N2051" i="5"/>
  <c r="N2050" i="5"/>
  <c r="N2049" i="5"/>
  <c r="N2048" i="5"/>
  <c r="N2047" i="5"/>
  <c r="N2046" i="5"/>
  <c r="N2045" i="5"/>
  <c r="N2044" i="5"/>
  <c r="N2043" i="5"/>
  <c r="N2042" i="5"/>
  <c r="N2041" i="5"/>
  <c r="N2040" i="5"/>
  <c r="N2039" i="5"/>
  <c r="N2038" i="5"/>
  <c r="N2037" i="5"/>
  <c r="N2036" i="5"/>
  <c r="N2035" i="5"/>
  <c r="N2034" i="5"/>
  <c r="N2033" i="5"/>
  <c r="N2032" i="5"/>
  <c r="N2031" i="5"/>
  <c r="N2030" i="5"/>
  <c r="N2029" i="5"/>
  <c r="N2028" i="5"/>
  <c r="N2027" i="5"/>
  <c r="N2026" i="5"/>
  <c r="N2025" i="5"/>
  <c r="N2024" i="5"/>
  <c r="N2023" i="5"/>
  <c r="N2022" i="5"/>
  <c r="N2021" i="5"/>
  <c r="N2020" i="5"/>
  <c r="N2019" i="5"/>
  <c r="N2018" i="5"/>
  <c r="N2017" i="5"/>
  <c r="N2016" i="5"/>
  <c r="N2015" i="5"/>
  <c r="N2014" i="5"/>
  <c r="N2013" i="5"/>
  <c r="N2012" i="5"/>
  <c r="N2011" i="5"/>
  <c r="N2010" i="5"/>
  <c r="N2009" i="5"/>
  <c r="N2008" i="5"/>
  <c r="N2007" i="5"/>
  <c r="N2006" i="5"/>
  <c r="N2005" i="5"/>
  <c r="N2004" i="5"/>
  <c r="N2003" i="5"/>
  <c r="N2002" i="5"/>
  <c r="N2001" i="5"/>
  <c r="N2000" i="5"/>
  <c r="N1999" i="5"/>
  <c r="N1998" i="5"/>
  <c r="N1997" i="5"/>
  <c r="N1996" i="5"/>
  <c r="N1995" i="5"/>
  <c r="N1994" i="5"/>
  <c r="N1993" i="5"/>
  <c r="N1992" i="5"/>
  <c r="N1991" i="5"/>
  <c r="N1990" i="5"/>
  <c r="N1989" i="5"/>
  <c r="N1988" i="5"/>
  <c r="N1987" i="5"/>
  <c r="N1986" i="5"/>
  <c r="N1985" i="5"/>
  <c r="N1984" i="5"/>
  <c r="N1983" i="5"/>
  <c r="N1982" i="5"/>
  <c r="N1981" i="5"/>
  <c r="N1980" i="5"/>
  <c r="N1979" i="5"/>
  <c r="N1978" i="5"/>
  <c r="N1977" i="5"/>
  <c r="N1976" i="5"/>
  <c r="N1975" i="5"/>
  <c r="N1974" i="5"/>
  <c r="N1973" i="5"/>
  <c r="N1972" i="5"/>
  <c r="N1971" i="5"/>
  <c r="N1970" i="5"/>
  <c r="N1969" i="5"/>
  <c r="N1968" i="5"/>
  <c r="N1967" i="5"/>
  <c r="N1966" i="5"/>
  <c r="N1965" i="5"/>
  <c r="N1964" i="5"/>
  <c r="N1963" i="5"/>
  <c r="N1962" i="5"/>
  <c r="N1961" i="5"/>
  <c r="N1960" i="5"/>
  <c r="N1959" i="5"/>
  <c r="N1958" i="5"/>
  <c r="N1957" i="5"/>
  <c r="N1956" i="5"/>
  <c r="N1955" i="5"/>
  <c r="N1954" i="5"/>
  <c r="N1953" i="5"/>
  <c r="N1952" i="5"/>
  <c r="N1951" i="5"/>
  <c r="N1950" i="5"/>
  <c r="N1949" i="5"/>
  <c r="N1948" i="5"/>
  <c r="N1947" i="5"/>
  <c r="N1946" i="5"/>
  <c r="N1945" i="5"/>
  <c r="N1944" i="5"/>
  <c r="N1943" i="5"/>
  <c r="N1942" i="5"/>
  <c r="N1941" i="5"/>
  <c r="N1940" i="5"/>
  <c r="N1939" i="5"/>
  <c r="N1938" i="5"/>
  <c r="N1937" i="5"/>
  <c r="N1936" i="5"/>
  <c r="N1935" i="5"/>
  <c r="N1934" i="5"/>
  <c r="N1933" i="5"/>
  <c r="N1932" i="5"/>
  <c r="N1931" i="5"/>
  <c r="N1930" i="5"/>
  <c r="N1929" i="5"/>
  <c r="N1928" i="5"/>
  <c r="N1927" i="5"/>
  <c r="N1926" i="5"/>
  <c r="N1925" i="5"/>
  <c r="N1924" i="5"/>
  <c r="N1923" i="5"/>
  <c r="N1922" i="5"/>
  <c r="N1921" i="5"/>
  <c r="N1920" i="5"/>
  <c r="N1919" i="5"/>
  <c r="N1918" i="5"/>
  <c r="N1917" i="5"/>
  <c r="N1916" i="5"/>
  <c r="N1915" i="5"/>
  <c r="N1914" i="5"/>
  <c r="N1913" i="5"/>
  <c r="N1912" i="5"/>
  <c r="N1911" i="5"/>
  <c r="N1910" i="5"/>
  <c r="N1909" i="5"/>
  <c r="N1908" i="5"/>
  <c r="N1907" i="5"/>
  <c r="N1906" i="5"/>
  <c r="N1905" i="5"/>
  <c r="N1904" i="5"/>
  <c r="N1903" i="5"/>
  <c r="N1902" i="5"/>
  <c r="N1901" i="5"/>
  <c r="N1900" i="5"/>
  <c r="N1899" i="5"/>
  <c r="N1898" i="5"/>
  <c r="N1897" i="5"/>
  <c r="N1896" i="5"/>
  <c r="N1895" i="5"/>
  <c r="N1894" i="5"/>
  <c r="N1893" i="5"/>
  <c r="N1892" i="5"/>
  <c r="N1891" i="5"/>
  <c r="N1890" i="5"/>
  <c r="N1889" i="5"/>
  <c r="N1888" i="5"/>
  <c r="N1887" i="5"/>
  <c r="N1886" i="5"/>
  <c r="N1885" i="5"/>
  <c r="N1884" i="5"/>
  <c r="N1883" i="5"/>
  <c r="N1882" i="5"/>
  <c r="N1881" i="5"/>
  <c r="N1880" i="5"/>
  <c r="N1879" i="5"/>
  <c r="N1878" i="5"/>
  <c r="N1877" i="5"/>
  <c r="N1876" i="5"/>
  <c r="N1875" i="5"/>
  <c r="N1874" i="5"/>
  <c r="N1873" i="5"/>
  <c r="N1872" i="5"/>
  <c r="N1871" i="5"/>
  <c r="N1870" i="5"/>
  <c r="N1869" i="5"/>
  <c r="N1868" i="5"/>
  <c r="N1867" i="5"/>
  <c r="N1866" i="5"/>
  <c r="N1865" i="5"/>
  <c r="N1864" i="5"/>
  <c r="N1863" i="5"/>
  <c r="N1862" i="5"/>
  <c r="N1861" i="5"/>
  <c r="N1860" i="5"/>
  <c r="N1859" i="5"/>
  <c r="N1858" i="5"/>
  <c r="N1857" i="5"/>
  <c r="N1856" i="5"/>
  <c r="N1855" i="5"/>
  <c r="N1854" i="5"/>
  <c r="N1853" i="5"/>
  <c r="N1852" i="5"/>
  <c r="N1851" i="5"/>
  <c r="N1850" i="5"/>
  <c r="N1849" i="5"/>
  <c r="N1848" i="5"/>
  <c r="N1847" i="5"/>
  <c r="N1846" i="5"/>
  <c r="N1845" i="5"/>
  <c r="N1844" i="5"/>
  <c r="N1843" i="5"/>
  <c r="N1842" i="5"/>
  <c r="N1841" i="5"/>
  <c r="N1840" i="5"/>
  <c r="N1839" i="5"/>
  <c r="N1838" i="5"/>
  <c r="N1837" i="5"/>
  <c r="N1836" i="5"/>
  <c r="N1835" i="5"/>
  <c r="N1834" i="5"/>
  <c r="N1833" i="5"/>
  <c r="N1832" i="5"/>
  <c r="N1831" i="5"/>
  <c r="N1830" i="5"/>
  <c r="N1829" i="5"/>
  <c r="N1828" i="5"/>
  <c r="N1827" i="5"/>
  <c r="N1826" i="5"/>
  <c r="N1825" i="5"/>
  <c r="N1824" i="5"/>
  <c r="N1823" i="5"/>
  <c r="N1822" i="5"/>
  <c r="N1821" i="5"/>
  <c r="N1820" i="5"/>
  <c r="N1819" i="5"/>
  <c r="N1818" i="5"/>
  <c r="N1817" i="5"/>
  <c r="N1816" i="5"/>
  <c r="N1815" i="5"/>
  <c r="N1814" i="5"/>
  <c r="N1813" i="5"/>
  <c r="N1812" i="5"/>
  <c r="N1811" i="5"/>
  <c r="N1810" i="5"/>
  <c r="N1809" i="5"/>
  <c r="N1808" i="5"/>
  <c r="N1807" i="5"/>
  <c r="N1806" i="5"/>
  <c r="N1805" i="5"/>
  <c r="N1804" i="5"/>
  <c r="N1803" i="5"/>
  <c r="N1802" i="5"/>
  <c r="N1801" i="5"/>
  <c r="N1800" i="5"/>
  <c r="N1799" i="5"/>
  <c r="N1798" i="5"/>
  <c r="N1797" i="5"/>
  <c r="N1796" i="5"/>
  <c r="N1795" i="5"/>
  <c r="N1794" i="5"/>
  <c r="N1793" i="5"/>
  <c r="N1792" i="5"/>
  <c r="N1791" i="5"/>
  <c r="N1790" i="5"/>
  <c r="N1789" i="5"/>
  <c r="N1788" i="5"/>
  <c r="N1787" i="5"/>
  <c r="N1786" i="5"/>
  <c r="N1785" i="5"/>
  <c r="N1784" i="5"/>
  <c r="N1783" i="5"/>
  <c r="N1782" i="5"/>
  <c r="N1781" i="5"/>
  <c r="N1780" i="5"/>
  <c r="N1779" i="5"/>
  <c r="N1778" i="5"/>
  <c r="N1777" i="5"/>
  <c r="N1776" i="5"/>
  <c r="N1775" i="5"/>
  <c r="N1774" i="5"/>
  <c r="N1773" i="5"/>
  <c r="N1772" i="5"/>
  <c r="N1771" i="5"/>
  <c r="N1770" i="5"/>
  <c r="N1769" i="5"/>
  <c r="N1768" i="5"/>
  <c r="N1767" i="5"/>
  <c r="N1766" i="5"/>
  <c r="N1765" i="5"/>
  <c r="N1764" i="5"/>
  <c r="N1763" i="5"/>
  <c r="N1762" i="5"/>
  <c r="N1761" i="5"/>
  <c r="N1760" i="5"/>
  <c r="N1759" i="5"/>
  <c r="N1758" i="5"/>
  <c r="N1757" i="5"/>
  <c r="N1756" i="5"/>
  <c r="N1755" i="5"/>
  <c r="N1754" i="5"/>
  <c r="N1753" i="5"/>
  <c r="N1752" i="5"/>
  <c r="N1751" i="5"/>
  <c r="N1750" i="5"/>
  <c r="N1749" i="5"/>
  <c r="N1748" i="5"/>
  <c r="N1747" i="5"/>
  <c r="N1746" i="5"/>
  <c r="N1745" i="5"/>
  <c r="N1744" i="5"/>
  <c r="N1743" i="5"/>
  <c r="N1742" i="5"/>
  <c r="N1741" i="5"/>
  <c r="N1740" i="5"/>
  <c r="N1739" i="5"/>
  <c r="N1738" i="5"/>
  <c r="N1737" i="5"/>
  <c r="N1736" i="5"/>
  <c r="N1735" i="5"/>
  <c r="N1734" i="5"/>
  <c r="N1733" i="5"/>
  <c r="N1732" i="5"/>
  <c r="N1731" i="5"/>
  <c r="N1730" i="5"/>
  <c r="N1729" i="5"/>
  <c r="N1728" i="5"/>
  <c r="N1727" i="5"/>
  <c r="N1726" i="5"/>
  <c r="N1725" i="5"/>
  <c r="N1724" i="5"/>
  <c r="N1723" i="5"/>
  <c r="N1722" i="5"/>
  <c r="N1721" i="5"/>
  <c r="N1720" i="5"/>
  <c r="N1719" i="5"/>
  <c r="N1718" i="5"/>
  <c r="N1717" i="5"/>
  <c r="N1716" i="5"/>
  <c r="N1715" i="5"/>
  <c r="N1714" i="5"/>
  <c r="N1713" i="5"/>
  <c r="N1712" i="5"/>
  <c r="N1711" i="5"/>
  <c r="N1710" i="5"/>
  <c r="N1709" i="5"/>
  <c r="N1708" i="5"/>
  <c r="N1707" i="5"/>
  <c r="N1706" i="5"/>
  <c r="N1705" i="5"/>
  <c r="N1704" i="5"/>
  <c r="N1703" i="5"/>
  <c r="N1702" i="5"/>
  <c r="N1701" i="5"/>
  <c r="N1700" i="5"/>
  <c r="N1699" i="5"/>
  <c r="N1698" i="5"/>
  <c r="N1697" i="5"/>
  <c r="N1696" i="5"/>
  <c r="N1695" i="5"/>
  <c r="N1694" i="5"/>
  <c r="N1693" i="5"/>
  <c r="N1692" i="5"/>
  <c r="N1691" i="5"/>
  <c r="N1690" i="5"/>
  <c r="N1689" i="5"/>
  <c r="N1688" i="5"/>
  <c r="N1687" i="5"/>
  <c r="N1686" i="5"/>
  <c r="N1685" i="5"/>
  <c r="N1684" i="5"/>
  <c r="N1683" i="5"/>
  <c r="N1682" i="5"/>
  <c r="N1681" i="5"/>
  <c r="N1680" i="5"/>
  <c r="N1679" i="5"/>
  <c r="N1678" i="5"/>
  <c r="N1677" i="5"/>
  <c r="N1676" i="5"/>
  <c r="N1675" i="5"/>
  <c r="N1674" i="5"/>
  <c r="N1673" i="5"/>
  <c r="N1672" i="5"/>
  <c r="N1671" i="5"/>
  <c r="N1670" i="5"/>
  <c r="N1669" i="5"/>
  <c r="N1668" i="5"/>
  <c r="N1667" i="5"/>
  <c r="N1666" i="5"/>
  <c r="N1665" i="5"/>
  <c r="N1664" i="5"/>
  <c r="N1663" i="5"/>
  <c r="N1662" i="5"/>
  <c r="N1661" i="5"/>
  <c r="N1660" i="5"/>
  <c r="N1659" i="5"/>
  <c r="N1658" i="5"/>
  <c r="N1657" i="5"/>
  <c r="N1656" i="5"/>
  <c r="N1655" i="5"/>
  <c r="N1654" i="5"/>
  <c r="N1653" i="5"/>
  <c r="N1652" i="5"/>
  <c r="N1651" i="5"/>
  <c r="N1650" i="5"/>
  <c r="N1649" i="5"/>
  <c r="N1648" i="5"/>
  <c r="N1647" i="5"/>
  <c r="N1646" i="5"/>
  <c r="N1645" i="5"/>
  <c r="N1644" i="5"/>
  <c r="N1643" i="5"/>
  <c r="N1642" i="5"/>
  <c r="N1641" i="5"/>
  <c r="N1640" i="5"/>
  <c r="N1639" i="5"/>
  <c r="N1638" i="5"/>
  <c r="N1637" i="5"/>
  <c r="N1636" i="5"/>
  <c r="N1635" i="5"/>
  <c r="N1634" i="5"/>
  <c r="N1633" i="5"/>
  <c r="N1632" i="5"/>
  <c r="N1631" i="5"/>
  <c r="N1630" i="5"/>
  <c r="N1629" i="5"/>
  <c r="N1628" i="5"/>
  <c r="N1627" i="5"/>
  <c r="N1626" i="5"/>
  <c r="N1625" i="5"/>
  <c r="N1624" i="5"/>
  <c r="N1623" i="5"/>
  <c r="N1622" i="5"/>
  <c r="N1621" i="5"/>
  <c r="N1620" i="5"/>
  <c r="N1619" i="5"/>
  <c r="N1618" i="5"/>
  <c r="N1617" i="5"/>
  <c r="N1616" i="5"/>
  <c r="N1615" i="5"/>
  <c r="N1614" i="5"/>
  <c r="N1613" i="5"/>
  <c r="N1612" i="5"/>
  <c r="N1611" i="5"/>
  <c r="N1610" i="5"/>
  <c r="N1609" i="5"/>
  <c r="N1608" i="5"/>
  <c r="N1607" i="5"/>
  <c r="N1606" i="5"/>
  <c r="N1605" i="5"/>
  <c r="N1604" i="5"/>
  <c r="N1603" i="5"/>
  <c r="N1602" i="5"/>
  <c r="N1601" i="5"/>
  <c r="N1600" i="5"/>
  <c r="N1599" i="5"/>
  <c r="N1598" i="5"/>
  <c r="N1597" i="5"/>
  <c r="N1596" i="5"/>
  <c r="N1595" i="5"/>
  <c r="N1594" i="5"/>
  <c r="N1593" i="5"/>
  <c r="N1592" i="5"/>
  <c r="N1591" i="5"/>
  <c r="N1590" i="5"/>
  <c r="N1589" i="5"/>
  <c r="N1588" i="5"/>
  <c r="N1587" i="5"/>
  <c r="N1586" i="5"/>
  <c r="N1585" i="5"/>
  <c r="N1584" i="5"/>
  <c r="N1583" i="5"/>
  <c r="N1582" i="5"/>
  <c r="N1581" i="5"/>
  <c r="N1580" i="5"/>
  <c r="N1579" i="5"/>
  <c r="N1578" i="5"/>
  <c r="N1577" i="5"/>
  <c r="N1576" i="5"/>
  <c r="N1575" i="5"/>
  <c r="N1574" i="5"/>
  <c r="N1573" i="5"/>
  <c r="N1572" i="5"/>
  <c r="N1571" i="5"/>
  <c r="N1570" i="5"/>
  <c r="N1569" i="5"/>
  <c r="N1568" i="5"/>
  <c r="N1567" i="5"/>
  <c r="N1566" i="5"/>
  <c r="N1565" i="5"/>
  <c r="N1564" i="5"/>
  <c r="N1563" i="5"/>
  <c r="N1562" i="5"/>
  <c r="N1561" i="5"/>
  <c r="N1560" i="5"/>
  <c r="N1559" i="5"/>
  <c r="N1558" i="5"/>
  <c r="N1557" i="5"/>
  <c r="N1556" i="5"/>
  <c r="N1555" i="5"/>
  <c r="N1554" i="5"/>
  <c r="N1553" i="5"/>
  <c r="N1552" i="5"/>
  <c r="N1551" i="5"/>
  <c r="N1550" i="5"/>
  <c r="N1549" i="5"/>
  <c r="N1548" i="5"/>
  <c r="N1547" i="5"/>
  <c r="N1546" i="5"/>
  <c r="N1545" i="5"/>
  <c r="N1544" i="5"/>
  <c r="N1543" i="5"/>
  <c r="N1542" i="5"/>
  <c r="N1541" i="5"/>
  <c r="N1540" i="5"/>
  <c r="N1539" i="5"/>
  <c r="N1538" i="5"/>
  <c r="N1537" i="5"/>
  <c r="N1536" i="5"/>
  <c r="N1535" i="5"/>
  <c r="N1534" i="5"/>
  <c r="N1533" i="5"/>
  <c r="N1532" i="5"/>
  <c r="N1531" i="5"/>
  <c r="N1530" i="5"/>
  <c r="N1529" i="5"/>
  <c r="N1528" i="5"/>
  <c r="N1527" i="5"/>
  <c r="N1526" i="5"/>
  <c r="N1525" i="5"/>
  <c r="N1524" i="5"/>
  <c r="N1523" i="5"/>
  <c r="N1522" i="5"/>
  <c r="N1521" i="5"/>
  <c r="N1520" i="5"/>
  <c r="N1519" i="5"/>
  <c r="N1518" i="5"/>
  <c r="N1517" i="5"/>
  <c r="N1516" i="5"/>
  <c r="N1515" i="5"/>
  <c r="N1514" i="5"/>
  <c r="N1513" i="5"/>
  <c r="N1512" i="5"/>
  <c r="N1511" i="5"/>
  <c r="N1510" i="5"/>
  <c r="N1509" i="5"/>
  <c r="N1508" i="5"/>
  <c r="N1507" i="5"/>
  <c r="N1506" i="5"/>
  <c r="N1505" i="5"/>
  <c r="N1504" i="5"/>
  <c r="N1503" i="5"/>
  <c r="N1502" i="5"/>
  <c r="N1501" i="5"/>
  <c r="N1500" i="5"/>
  <c r="N1499" i="5"/>
  <c r="N1498" i="5"/>
  <c r="N1497" i="5"/>
  <c r="N1496" i="5"/>
  <c r="N1495" i="5"/>
  <c r="N1494" i="5"/>
  <c r="N1493" i="5"/>
  <c r="N1492" i="5"/>
  <c r="N1491" i="5"/>
  <c r="N1490" i="5"/>
  <c r="N1489" i="5"/>
  <c r="N1488" i="5"/>
  <c r="N1487" i="5"/>
  <c r="N1486" i="5"/>
  <c r="N1485" i="5"/>
  <c r="N1484" i="5"/>
  <c r="N1483" i="5"/>
  <c r="N1482" i="5"/>
  <c r="N1481" i="5"/>
  <c r="N1480" i="5"/>
  <c r="N1479" i="5"/>
  <c r="N1478" i="5"/>
  <c r="N1477" i="5"/>
  <c r="N1476" i="5"/>
  <c r="N1475" i="5"/>
  <c r="N1474" i="5"/>
  <c r="N1473" i="5"/>
  <c r="N1472" i="5"/>
  <c r="N1471" i="5"/>
  <c r="N1470" i="5"/>
  <c r="N1469" i="5"/>
  <c r="N1468" i="5"/>
  <c r="N1467" i="5"/>
  <c r="N1466" i="5"/>
  <c r="N1465" i="5"/>
  <c r="N1464" i="5"/>
  <c r="N1463" i="5"/>
  <c r="N1462" i="5"/>
  <c r="N1461" i="5"/>
  <c r="N1460" i="5"/>
  <c r="N1459" i="5"/>
  <c r="N1458" i="5"/>
  <c r="N1457" i="5"/>
  <c r="N1456" i="5"/>
  <c r="N1455" i="5"/>
  <c r="N1454" i="5"/>
  <c r="N1453" i="5"/>
  <c r="N1452" i="5"/>
  <c r="N1451" i="5"/>
  <c r="N1450" i="5"/>
  <c r="N1449" i="5"/>
  <c r="N1448" i="5"/>
  <c r="N1447" i="5"/>
  <c r="N1446" i="5"/>
  <c r="N1445" i="5"/>
  <c r="N1444" i="5"/>
  <c r="N1443" i="5"/>
  <c r="N1442" i="5"/>
  <c r="N1441" i="5"/>
  <c r="N1440" i="5"/>
  <c r="N1439" i="5"/>
  <c r="N1438" i="5"/>
  <c r="N1437" i="5"/>
  <c r="N1436" i="5"/>
  <c r="N1435" i="5"/>
  <c r="N1434" i="5"/>
  <c r="N1433" i="5"/>
  <c r="N1432" i="5"/>
  <c r="N1431" i="5"/>
  <c r="N1430" i="5"/>
  <c r="N1429" i="5"/>
  <c r="N1428" i="5"/>
  <c r="N1427" i="5"/>
  <c r="N1426" i="5"/>
  <c r="N1425" i="5"/>
  <c r="N1424" i="5"/>
  <c r="N1423" i="5"/>
  <c r="N1422" i="5"/>
  <c r="N1421" i="5"/>
  <c r="N1420" i="5"/>
  <c r="N1419" i="5"/>
  <c r="N1418" i="5"/>
  <c r="N1417" i="5"/>
  <c r="N1416" i="5"/>
  <c r="N1415" i="5"/>
  <c r="N1414" i="5"/>
  <c r="N1413" i="5"/>
  <c r="N1412" i="5"/>
  <c r="N1411" i="5"/>
  <c r="N1410" i="5"/>
  <c r="N1409" i="5"/>
  <c r="N1408" i="5"/>
  <c r="N1407" i="5"/>
  <c r="N1406" i="5"/>
  <c r="N1405" i="5"/>
  <c r="N1404" i="5"/>
  <c r="N1403" i="5"/>
  <c r="N1402" i="5"/>
  <c r="N1401" i="5"/>
  <c r="N1400" i="5"/>
  <c r="N1399" i="5"/>
  <c r="N1398" i="5"/>
  <c r="N1397" i="5"/>
  <c r="N1396" i="5"/>
  <c r="N1395" i="5"/>
  <c r="N1394" i="5"/>
  <c r="N1393" i="5"/>
  <c r="N1392" i="5"/>
  <c r="N1391" i="5"/>
  <c r="N1390" i="5"/>
  <c r="N1389" i="5"/>
  <c r="N1388" i="5"/>
  <c r="N1387" i="5"/>
  <c r="N1386" i="5"/>
  <c r="N1385" i="5"/>
  <c r="N1384" i="5"/>
  <c r="N1383" i="5"/>
  <c r="N1382" i="5"/>
  <c r="N1381" i="5"/>
  <c r="N1380" i="5"/>
  <c r="N1379" i="5"/>
  <c r="N1378" i="5"/>
  <c r="N1377" i="5"/>
  <c r="N1376" i="5"/>
  <c r="N1375" i="5"/>
  <c r="N1374" i="5"/>
  <c r="N1373" i="5"/>
  <c r="N1372" i="5"/>
  <c r="N1371" i="5"/>
  <c r="N1370" i="5"/>
  <c r="N1369" i="5"/>
  <c r="N1368" i="5"/>
  <c r="N1367" i="5"/>
  <c r="N1366" i="5"/>
  <c r="N1365" i="5"/>
  <c r="N1364" i="5"/>
  <c r="N1363" i="5"/>
  <c r="N1362" i="5"/>
  <c r="N1361" i="5"/>
  <c r="N1360" i="5"/>
  <c r="N1359" i="5"/>
  <c r="N1358" i="5"/>
  <c r="N1357" i="5"/>
  <c r="N1356" i="5"/>
  <c r="N1355" i="5"/>
  <c r="N1354" i="5"/>
  <c r="N1353" i="5"/>
  <c r="N1352" i="5"/>
  <c r="N1351" i="5"/>
  <c r="N1350" i="5"/>
  <c r="N1349" i="5"/>
  <c r="N1348" i="5"/>
  <c r="N1347" i="5"/>
  <c r="N1346" i="5"/>
  <c r="N1345" i="5"/>
  <c r="N1344" i="5"/>
  <c r="N1343" i="5"/>
  <c r="N1342" i="5"/>
  <c r="N1341" i="5"/>
  <c r="N1340" i="5"/>
  <c r="N1339" i="5"/>
  <c r="N1338" i="5"/>
  <c r="N1337" i="5"/>
  <c r="N1336" i="5"/>
  <c r="N1335" i="5"/>
  <c r="N1334" i="5"/>
  <c r="N1333" i="5"/>
  <c r="N1332" i="5"/>
  <c r="N1331" i="5"/>
  <c r="N1330" i="5"/>
  <c r="N1329" i="5"/>
  <c r="N1328" i="5"/>
  <c r="N1327" i="5"/>
  <c r="N1326" i="5"/>
  <c r="N1325" i="5"/>
  <c r="N1324" i="5"/>
  <c r="N1323" i="5"/>
  <c r="N1322" i="5"/>
  <c r="N1321" i="5"/>
  <c r="N1320" i="5"/>
  <c r="N1319" i="5"/>
  <c r="N1318" i="5"/>
  <c r="N1317" i="5"/>
  <c r="N1316" i="5"/>
  <c r="N1315" i="5"/>
  <c r="N1314" i="5"/>
  <c r="N1313" i="5"/>
  <c r="N1312" i="5"/>
  <c r="N1311" i="5"/>
  <c r="N1310" i="5"/>
  <c r="N1309" i="5"/>
  <c r="N1308" i="5"/>
  <c r="N1307" i="5"/>
  <c r="N1306" i="5"/>
  <c r="N1305" i="5"/>
  <c r="N1304" i="5"/>
  <c r="N1303" i="5"/>
  <c r="N1302" i="5"/>
  <c r="N1301" i="5"/>
  <c r="N1300" i="5"/>
  <c r="N1299" i="5"/>
  <c r="N1298" i="5"/>
  <c r="N1297" i="5"/>
  <c r="N1296" i="5"/>
  <c r="N1295" i="5"/>
  <c r="N1294" i="5"/>
  <c r="N1293" i="5"/>
  <c r="N1292" i="5"/>
  <c r="N1291" i="5"/>
  <c r="N1290" i="5"/>
  <c r="N1289" i="5"/>
  <c r="N1288" i="5"/>
  <c r="N1287" i="5"/>
  <c r="N1286" i="5"/>
  <c r="N1285" i="5"/>
  <c r="N1284" i="5"/>
  <c r="N1283" i="5"/>
  <c r="N1282" i="5"/>
  <c r="N1281" i="5"/>
  <c r="N1280" i="5"/>
  <c r="N1279" i="5"/>
  <c r="N1278" i="5"/>
  <c r="N1277" i="5"/>
  <c r="N1276" i="5"/>
  <c r="N1275" i="5"/>
  <c r="N1274" i="5"/>
  <c r="N1273" i="5"/>
  <c r="N1272" i="5"/>
  <c r="N1271" i="5"/>
  <c r="N1270" i="5"/>
  <c r="N1269" i="5"/>
  <c r="N1268" i="5"/>
  <c r="N1267" i="5"/>
  <c r="N1266" i="5"/>
  <c r="N1265" i="5"/>
  <c r="N1264" i="5"/>
  <c r="N1263" i="5"/>
  <c r="N1262" i="5"/>
  <c r="N1261" i="5"/>
  <c r="N1260" i="5"/>
  <c r="N1259" i="5"/>
  <c r="N1258" i="5"/>
  <c r="N1257" i="5"/>
  <c r="N1256" i="5"/>
  <c r="N1255" i="5"/>
  <c r="N1254" i="5"/>
  <c r="N1253" i="5"/>
  <c r="N1252" i="5"/>
  <c r="N1251" i="5"/>
  <c r="N1250" i="5"/>
  <c r="N1249" i="5"/>
  <c r="N1248" i="5"/>
  <c r="N1247" i="5"/>
  <c r="N1246" i="5"/>
  <c r="N1245" i="5"/>
  <c r="N1244" i="5"/>
  <c r="N1243" i="5"/>
  <c r="N1242" i="5"/>
  <c r="N1241" i="5"/>
  <c r="N1240" i="5"/>
  <c r="N1239" i="5"/>
  <c r="N1238" i="5"/>
  <c r="N1237" i="5"/>
  <c r="N1236" i="5"/>
  <c r="N1235" i="5"/>
  <c r="N1234" i="5"/>
  <c r="N1233" i="5"/>
  <c r="N1232" i="5"/>
  <c r="N1231" i="5"/>
  <c r="N1230" i="5"/>
  <c r="N1229" i="5"/>
  <c r="N1228" i="5"/>
  <c r="N1227" i="5"/>
  <c r="N1226" i="5"/>
  <c r="N1225" i="5"/>
  <c r="N1224" i="5"/>
  <c r="N1223" i="5"/>
  <c r="N1222" i="5"/>
  <c r="N1221" i="5"/>
  <c r="N1220" i="5"/>
  <c r="N1219" i="5"/>
  <c r="N1218" i="5"/>
  <c r="N1217" i="5"/>
  <c r="N1216" i="5"/>
  <c r="N1215" i="5"/>
  <c r="N1214" i="5"/>
  <c r="N1213" i="5"/>
  <c r="N1212" i="5"/>
  <c r="N1211" i="5"/>
  <c r="N1210" i="5"/>
  <c r="N1209" i="5"/>
  <c r="N1208" i="5"/>
  <c r="N1207" i="5"/>
  <c r="N1206" i="5"/>
  <c r="N1205" i="5"/>
  <c r="N1204" i="5"/>
  <c r="N1203" i="5"/>
  <c r="N1202" i="5"/>
  <c r="N1201" i="5"/>
  <c r="N1200" i="5"/>
  <c r="N1199" i="5"/>
  <c r="N1198" i="5"/>
  <c r="N1197" i="5"/>
  <c r="N1196" i="5"/>
  <c r="N1195" i="5"/>
  <c r="N1194" i="5"/>
  <c r="N1193" i="5"/>
  <c r="N1192" i="5"/>
  <c r="N1191" i="5"/>
  <c r="N1190" i="5"/>
  <c r="N1189" i="5"/>
  <c r="N1188" i="5"/>
  <c r="N1187" i="5"/>
  <c r="N1186" i="5"/>
  <c r="N1185" i="5"/>
  <c r="N1184" i="5"/>
  <c r="N1183" i="5"/>
  <c r="N1182" i="5"/>
  <c r="N1181" i="5"/>
  <c r="N1180" i="5"/>
  <c r="N1179" i="5"/>
  <c r="N1178" i="5"/>
  <c r="N1177" i="5"/>
  <c r="N1176" i="5"/>
  <c r="N1175" i="5"/>
  <c r="N1174" i="5"/>
  <c r="N1173" i="5"/>
  <c r="N1172" i="5"/>
  <c r="N1171" i="5"/>
  <c r="N1170" i="5"/>
  <c r="N1169" i="5"/>
  <c r="N1168" i="5"/>
  <c r="N1167" i="5"/>
  <c r="N1166" i="5"/>
  <c r="N1165" i="5"/>
  <c r="N1164" i="5"/>
  <c r="N1163" i="5"/>
  <c r="N1162" i="5"/>
  <c r="N1161" i="5"/>
  <c r="N1160" i="5"/>
  <c r="N1159" i="5"/>
  <c r="N1158" i="5"/>
  <c r="N1157" i="5"/>
  <c r="N1156" i="5"/>
  <c r="N1155" i="5"/>
  <c r="N1154" i="5"/>
  <c r="N1153" i="5"/>
  <c r="N1152" i="5"/>
  <c r="N1151" i="5"/>
  <c r="N1150" i="5"/>
  <c r="N1149" i="5"/>
  <c r="N1148" i="5"/>
  <c r="N1147" i="5"/>
  <c r="N1146" i="5"/>
  <c r="N1145" i="5"/>
  <c r="N1144" i="5"/>
  <c r="N1143" i="5"/>
  <c r="N1142" i="5"/>
  <c r="N1141" i="5"/>
  <c r="N1140" i="5"/>
  <c r="N1139" i="5"/>
  <c r="N1138" i="5"/>
  <c r="N1137" i="5"/>
  <c r="N1136" i="5"/>
  <c r="N1135" i="5"/>
  <c r="N1134" i="5"/>
  <c r="N1133" i="5"/>
  <c r="N1132" i="5"/>
  <c r="N1131" i="5"/>
  <c r="N1130" i="5"/>
  <c r="N1129" i="5"/>
  <c r="N1128" i="5"/>
  <c r="N1127" i="5"/>
  <c r="N1126" i="5"/>
  <c r="N1125" i="5"/>
  <c r="N1124" i="5"/>
  <c r="O1124" i="5" s="1"/>
  <c r="N1123" i="5"/>
  <c r="N1122" i="5"/>
  <c r="N1121" i="5"/>
  <c r="N1120" i="5"/>
  <c r="N1119" i="5"/>
  <c r="N1118" i="5"/>
  <c r="N1117" i="5"/>
  <c r="N1116" i="5"/>
  <c r="N1115" i="5"/>
  <c r="N1114" i="5"/>
  <c r="N1113" i="5"/>
  <c r="N1112" i="5"/>
  <c r="N1111" i="5"/>
  <c r="N1110" i="5"/>
  <c r="N1109" i="5"/>
  <c r="N1108" i="5"/>
  <c r="N1107" i="5"/>
  <c r="N1106" i="5"/>
  <c r="N1105" i="5"/>
  <c r="N1104" i="5"/>
  <c r="N1103" i="5"/>
  <c r="N1102" i="5"/>
  <c r="N1101" i="5"/>
  <c r="N1100" i="5"/>
  <c r="N1099" i="5"/>
  <c r="N1098" i="5"/>
  <c r="N1097" i="5"/>
  <c r="N1096" i="5"/>
  <c r="N1095" i="5"/>
  <c r="N1094" i="5"/>
  <c r="N1093" i="5"/>
  <c r="N1092" i="5"/>
  <c r="N1091" i="5"/>
  <c r="N1090" i="5"/>
  <c r="N1089" i="5"/>
  <c r="N1088" i="5"/>
  <c r="N1087" i="5"/>
  <c r="N1086" i="5"/>
  <c r="N1085" i="5"/>
  <c r="N1084" i="5"/>
  <c r="N1083" i="5"/>
  <c r="N1082" i="5"/>
  <c r="N1081" i="5"/>
  <c r="N1080" i="5"/>
  <c r="N1079" i="5"/>
  <c r="N1078" i="5"/>
  <c r="N1077" i="5"/>
  <c r="N1076" i="5"/>
  <c r="N1075" i="5"/>
  <c r="N1074" i="5"/>
  <c r="N1073" i="5"/>
  <c r="N1072" i="5"/>
  <c r="N1071" i="5"/>
  <c r="N1070" i="5"/>
  <c r="N1069" i="5"/>
  <c r="N1068" i="5"/>
  <c r="N1067" i="5"/>
  <c r="N1066" i="5"/>
  <c r="N1065" i="5"/>
  <c r="N1064" i="5"/>
  <c r="N1063" i="5"/>
  <c r="N1062" i="5"/>
  <c r="N1061" i="5"/>
  <c r="N1060" i="5"/>
  <c r="N1059" i="5"/>
  <c r="N1058" i="5"/>
  <c r="N1057" i="5"/>
  <c r="N1056" i="5"/>
  <c r="N1055" i="5"/>
  <c r="N1054" i="5"/>
  <c r="N1053" i="5"/>
  <c r="N1052" i="5"/>
  <c r="N1051" i="5"/>
  <c r="N1050" i="5"/>
  <c r="N1049" i="5"/>
  <c r="N1048" i="5"/>
  <c r="N1047" i="5"/>
  <c r="N1046" i="5"/>
  <c r="N1045" i="5"/>
  <c r="N1044" i="5"/>
  <c r="N1043" i="5"/>
  <c r="N1042" i="5"/>
  <c r="N1041" i="5"/>
  <c r="N1040" i="5"/>
  <c r="N1039" i="5"/>
  <c r="N1038" i="5"/>
  <c r="N1037" i="5"/>
  <c r="N1036" i="5"/>
  <c r="N1035" i="5"/>
  <c r="N1034" i="5"/>
  <c r="N1033" i="5"/>
  <c r="N1032" i="5"/>
  <c r="N1031" i="5"/>
  <c r="N1030" i="5"/>
  <c r="N1029" i="5"/>
  <c r="N1028" i="5"/>
  <c r="N1027" i="5"/>
  <c r="N1026" i="5"/>
  <c r="N1025" i="5"/>
  <c r="N1024" i="5"/>
  <c r="N1023" i="5"/>
  <c r="N1022" i="5"/>
  <c r="N1021" i="5"/>
  <c r="N1020" i="5"/>
  <c r="N1019" i="5"/>
  <c r="N1018" i="5"/>
  <c r="N1017" i="5"/>
  <c r="N1016" i="5"/>
  <c r="N1015" i="5"/>
  <c r="N1014" i="5"/>
  <c r="N1013" i="5"/>
  <c r="N1012" i="5"/>
  <c r="N1011" i="5"/>
  <c r="N1010" i="5"/>
  <c r="N1009" i="5"/>
  <c r="N1008" i="5"/>
  <c r="N1007" i="5"/>
  <c r="N1006" i="5"/>
  <c r="N1005" i="5"/>
  <c r="N1004" i="5"/>
  <c r="N1003" i="5"/>
  <c r="N1002" i="5"/>
  <c r="N1001" i="5"/>
  <c r="N1000" i="5"/>
  <c r="N999" i="5"/>
  <c r="N998" i="5"/>
  <c r="N997" i="5"/>
  <c r="N996" i="5"/>
  <c r="N995" i="5"/>
  <c r="N994" i="5"/>
  <c r="N993" i="5"/>
  <c r="N992" i="5"/>
  <c r="N991" i="5"/>
  <c r="N990" i="5"/>
  <c r="N989" i="5"/>
  <c r="N988" i="5"/>
  <c r="N987" i="5"/>
  <c r="N986" i="5"/>
  <c r="N985" i="5"/>
  <c r="N984" i="5"/>
  <c r="N983" i="5"/>
  <c r="N982" i="5"/>
  <c r="N981" i="5"/>
  <c r="N980" i="5"/>
  <c r="N979" i="5"/>
  <c r="N978" i="5"/>
  <c r="N977" i="5"/>
  <c r="N976" i="5"/>
  <c r="N975" i="5"/>
  <c r="N974" i="5"/>
  <c r="N973" i="5"/>
  <c r="N972" i="5"/>
  <c r="N971" i="5"/>
  <c r="N970" i="5"/>
  <c r="N969" i="5"/>
  <c r="N968" i="5"/>
  <c r="N967" i="5"/>
  <c r="N966" i="5"/>
  <c r="N965" i="5"/>
  <c r="N964" i="5"/>
  <c r="N963" i="5"/>
  <c r="N962" i="5"/>
  <c r="N961" i="5"/>
  <c r="N960" i="5"/>
  <c r="N959" i="5"/>
  <c r="N958" i="5"/>
  <c r="N957" i="5"/>
  <c r="N956" i="5"/>
  <c r="N955" i="5"/>
  <c r="N954" i="5"/>
  <c r="N953" i="5"/>
  <c r="N952" i="5"/>
  <c r="N951" i="5"/>
  <c r="N950" i="5"/>
  <c r="N949" i="5"/>
  <c r="N948" i="5"/>
  <c r="N947" i="5"/>
  <c r="N946" i="5"/>
  <c r="N945" i="5"/>
  <c r="N944" i="5"/>
  <c r="N943" i="5"/>
  <c r="N942" i="5"/>
  <c r="N941" i="5"/>
  <c r="N940" i="5"/>
  <c r="N939" i="5"/>
  <c r="N938" i="5"/>
  <c r="N937" i="5"/>
  <c r="N936" i="5"/>
  <c r="N935" i="5"/>
  <c r="N934" i="5"/>
  <c r="N933" i="5"/>
  <c r="N932" i="5"/>
  <c r="N931" i="5"/>
  <c r="N930" i="5"/>
  <c r="N929" i="5"/>
  <c r="N928" i="5"/>
  <c r="N927" i="5"/>
  <c r="N926" i="5"/>
  <c r="N925" i="5"/>
  <c r="N924" i="5"/>
  <c r="N923" i="5"/>
  <c r="N922" i="5"/>
  <c r="N921" i="5"/>
  <c r="N920" i="5"/>
  <c r="N919" i="5"/>
  <c r="N918" i="5"/>
  <c r="N917" i="5"/>
  <c r="N916" i="5"/>
  <c r="N915" i="5"/>
  <c r="N914" i="5"/>
  <c r="N913" i="5"/>
  <c r="N912" i="5"/>
  <c r="N911" i="5"/>
  <c r="N910" i="5"/>
  <c r="N909" i="5"/>
  <c r="N908" i="5"/>
  <c r="N907" i="5"/>
  <c r="N906" i="5"/>
  <c r="O906" i="5" s="1"/>
  <c r="N905" i="5"/>
  <c r="N904" i="5"/>
  <c r="N903" i="5"/>
  <c r="N902" i="5"/>
  <c r="N901" i="5"/>
  <c r="N900" i="5"/>
  <c r="N899" i="5"/>
  <c r="N898" i="5"/>
  <c r="N897" i="5"/>
  <c r="N896" i="5"/>
  <c r="N895" i="5"/>
  <c r="N894" i="5"/>
  <c r="N893" i="5"/>
  <c r="N892" i="5"/>
  <c r="N891" i="5"/>
  <c r="N890" i="5"/>
  <c r="N889" i="5"/>
  <c r="N888" i="5"/>
  <c r="N887" i="5"/>
  <c r="N886" i="5"/>
  <c r="N885" i="5"/>
  <c r="N884" i="5"/>
  <c r="N883" i="5"/>
  <c r="N882" i="5"/>
  <c r="N881" i="5"/>
  <c r="N880" i="5"/>
  <c r="N879" i="5"/>
  <c r="N878" i="5"/>
  <c r="N877" i="5"/>
  <c r="N876" i="5"/>
  <c r="N875" i="5"/>
  <c r="N874" i="5"/>
  <c r="N873" i="5"/>
  <c r="N872" i="5"/>
  <c r="N871" i="5"/>
  <c r="N870" i="5"/>
  <c r="N869" i="5"/>
  <c r="N868" i="5"/>
  <c r="N867" i="5"/>
  <c r="N866" i="5"/>
  <c r="N865" i="5"/>
  <c r="N864" i="5"/>
  <c r="N863" i="5"/>
  <c r="N862" i="5"/>
  <c r="N861" i="5"/>
  <c r="N860" i="5"/>
  <c r="N859" i="5"/>
  <c r="N858" i="5"/>
  <c r="N857" i="5"/>
  <c r="N856" i="5"/>
  <c r="N855" i="5"/>
  <c r="N854" i="5"/>
  <c r="N853" i="5"/>
  <c r="N852" i="5"/>
  <c r="N851" i="5"/>
  <c r="N850" i="5"/>
  <c r="N849" i="5"/>
  <c r="N848" i="5"/>
  <c r="N847" i="5"/>
  <c r="N846" i="5"/>
  <c r="N845" i="5"/>
  <c r="N844" i="5"/>
  <c r="N843" i="5"/>
  <c r="N842" i="5"/>
  <c r="N841" i="5"/>
  <c r="N840" i="5"/>
  <c r="N839" i="5"/>
  <c r="N838" i="5"/>
  <c r="N837" i="5"/>
  <c r="N836" i="5"/>
  <c r="N835" i="5"/>
  <c r="N834" i="5"/>
  <c r="N833" i="5"/>
  <c r="N832" i="5"/>
  <c r="N831" i="5"/>
  <c r="N830" i="5"/>
  <c r="N829" i="5"/>
  <c r="N828" i="5"/>
  <c r="N827" i="5"/>
  <c r="N826" i="5"/>
  <c r="O826" i="5" s="1"/>
  <c r="N825" i="5"/>
  <c r="N824" i="5"/>
  <c r="N823" i="5"/>
  <c r="N822" i="5"/>
  <c r="N821" i="5"/>
  <c r="N820" i="5"/>
  <c r="N819" i="5"/>
  <c r="N818" i="5"/>
  <c r="N817" i="5"/>
  <c r="O817" i="5" s="1"/>
  <c r="N816" i="5"/>
  <c r="N815" i="5"/>
  <c r="N814" i="5"/>
  <c r="N813" i="5"/>
  <c r="N812" i="5"/>
  <c r="N811" i="5"/>
  <c r="N810" i="5"/>
  <c r="N809" i="5"/>
  <c r="N808" i="5"/>
  <c r="N807" i="5"/>
  <c r="N806" i="5"/>
  <c r="N805" i="5"/>
  <c r="N804" i="5"/>
  <c r="N803" i="5"/>
  <c r="N802" i="5"/>
  <c r="N801" i="5"/>
  <c r="N800" i="5"/>
  <c r="N799" i="5"/>
  <c r="N798" i="5"/>
  <c r="N797" i="5"/>
  <c r="N796" i="5"/>
  <c r="N795" i="5"/>
  <c r="N794" i="5"/>
  <c r="N793" i="5"/>
  <c r="N792" i="5"/>
  <c r="N791" i="5"/>
  <c r="N790" i="5"/>
  <c r="N789" i="5"/>
  <c r="N788" i="5"/>
  <c r="N787" i="5"/>
  <c r="N786" i="5"/>
  <c r="N785" i="5"/>
  <c r="N784" i="5"/>
  <c r="N783" i="5"/>
  <c r="N782" i="5"/>
  <c r="N781" i="5"/>
  <c r="N780" i="5"/>
  <c r="N779" i="5"/>
  <c r="N778" i="5"/>
  <c r="N777" i="5"/>
  <c r="N776" i="5"/>
  <c r="N775" i="5"/>
  <c r="N774" i="5"/>
  <c r="N773" i="5"/>
  <c r="N772" i="5"/>
  <c r="N771" i="5"/>
  <c r="N770" i="5"/>
  <c r="N769" i="5"/>
  <c r="N768" i="5"/>
  <c r="N767" i="5"/>
  <c r="N766" i="5"/>
  <c r="N765" i="5"/>
  <c r="N764" i="5"/>
  <c r="N763" i="5"/>
  <c r="N762" i="5"/>
  <c r="N761" i="5"/>
  <c r="N760" i="5"/>
  <c r="N759" i="5"/>
  <c r="N758" i="5"/>
  <c r="N757" i="5"/>
  <c r="N756" i="5"/>
  <c r="N755" i="5"/>
  <c r="N754" i="5"/>
  <c r="N753" i="5"/>
  <c r="N752" i="5"/>
  <c r="N751" i="5"/>
  <c r="N750" i="5"/>
  <c r="N749" i="5"/>
  <c r="N748" i="5"/>
  <c r="N747" i="5"/>
  <c r="O747" i="5" s="1"/>
  <c r="N746" i="5"/>
  <c r="N745" i="5"/>
  <c r="N744" i="5"/>
  <c r="N743" i="5"/>
  <c r="N742" i="5"/>
  <c r="N741" i="5"/>
  <c r="N740" i="5"/>
  <c r="N739" i="5"/>
  <c r="N738" i="5"/>
  <c r="N737" i="5"/>
  <c r="N736" i="5"/>
  <c r="N735" i="5"/>
  <c r="N734" i="5"/>
  <c r="N733" i="5"/>
  <c r="N732" i="5"/>
  <c r="N731" i="5"/>
  <c r="N730" i="5"/>
  <c r="N729" i="5"/>
  <c r="N728" i="5"/>
  <c r="N727" i="5"/>
  <c r="N726" i="5"/>
  <c r="N725" i="5"/>
  <c r="N724" i="5"/>
  <c r="N723" i="5"/>
  <c r="N722" i="5"/>
  <c r="N721" i="5"/>
  <c r="N720" i="5"/>
  <c r="N719" i="5"/>
  <c r="N718" i="5"/>
  <c r="N717" i="5"/>
  <c r="N716" i="5"/>
  <c r="N715" i="5"/>
  <c r="N714" i="5"/>
  <c r="N713" i="5"/>
  <c r="N712" i="5"/>
  <c r="N711" i="5"/>
  <c r="N710" i="5"/>
  <c r="N709" i="5"/>
  <c r="N708" i="5"/>
  <c r="N707" i="5"/>
  <c r="N706" i="5"/>
  <c r="N705" i="5"/>
  <c r="N704" i="5"/>
  <c r="N703" i="5"/>
  <c r="N702" i="5"/>
  <c r="N701" i="5"/>
  <c r="N700" i="5"/>
  <c r="N699" i="5"/>
  <c r="N698" i="5"/>
  <c r="N697" i="5"/>
  <c r="N696" i="5"/>
  <c r="N695" i="5"/>
  <c r="N694" i="5"/>
  <c r="N693" i="5"/>
  <c r="N692" i="5"/>
  <c r="N691" i="5"/>
  <c r="N690" i="5"/>
  <c r="N689" i="5"/>
  <c r="N688" i="5"/>
  <c r="N687" i="5"/>
  <c r="N686" i="5"/>
  <c r="N685" i="5"/>
  <c r="N684" i="5"/>
  <c r="N683" i="5"/>
  <c r="N682" i="5"/>
  <c r="N681" i="5"/>
  <c r="N680" i="5"/>
  <c r="N679" i="5"/>
  <c r="N678" i="5"/>
  <c r="N677" i="5"/>
  <c r="N676" i="5"/>
  <c r="N675" i="5"/>
  <c r="N674" i="5"/>
  <c r="N673" i="5"/>
  <c r="N672" i="5"/>
  <c r="N671" i="5"/>
  <c r="N670" i="5"/>
  <c r="N669" i="5"/>
  <c r="N668" i="5"/>
  <c r="N667" i="5"/>
  <c r="O667" i="5" s="1"/>
  <c r="N666" i="5"/>
  <c r="N665" i="5"/>
  <c r="N664" i="5"/>
  <c r="N663" i="5"/>
  <c r="O663" i="5" s="1"/>
  <c r="N662" i="5"/>
  <c r="N661" i="5"/>
  <c r="N660" i="5"/>
  <c r="N659" i="5"/>
  <c r="O659" i="5" s="1"/>
  <c r="N658" i="5"/>
  <c r="N657" i="5"/>
  <c r="N656" i="5"/>
  <c r="N655" i="5"/>
  <c r="O655" i="5" s="1"/>
  <c r="N654" i="5"/>
  <c r="N653" i="5"/>
  <c r="N652" i="5"/>
  <c r="N651" i="5"/>
  <c r="O651" i="5" s="1"/>
  <c r="N650" i="5"/>
  <c r="N649" i="5"/>
  <c r="N648" i="5"/>
  <c r="N647" i="5"/>
  <c r="O647" i="5" s="1"/>
  <c r="N646" i="5"/>
  <c r="N645" i="5"/>
  <c r="N644" i="5"/>
  <c r="N643" i="5"/>
  <c r="N642" i="5"/>
  <c r="N641" i="5"/>
  <c r="N640" i="5"/>
  <c r="N639" i="5"/>
  <c r="N638" i="5"/>
  <c r="N637" i="5"/>
  <c r="N636" i="5"/>
  <c r="N635" i="5"/>
  <c r="N634" i="5"/>
  <c r="N633" i="5"/>
  <c r="N632" i="5"/>
  <c r="N631" i="5"/>
  <c r="N630" i="5"/>
  <c r="N629" i="5"/>
  <c r="N628" i="5"/>
  <c r="N627" i="5"/>
  <c r="N626" i="5"/>
  <c r="N625" i="5"/>
  <c r="N624" i="5"/>
  <c r="N623" i="5"/>
  <c r="N622" i="5"/>
  <c r="N621" i="5"/>
  <c r="N620" i="5"/>
  <c r="N619" i="5"/>
  <c r="N618" i="5"/>
  <c r="N617" i="5"/>
  <c r="N616" i="5"/>
  <c r="N615" i="5"/>
  <c r="N614" i="5"/>
  <c r="N613" i="5"/>
  <c r="N612" i="5"/>
  <c r="N611" i="5"/>
  <c r="N610" i="5"/>
  <c r="N609" i="5"/>
  <c r="N608" i="5"/>
  <c r="N607" i="5"/>
  <c r="N606" i="5"/>
  <c r="N605" i="5"/>
  <c r="N604" i="5"/>
  <c r="N603" i="5"/>
  <c r="N602" i="5"/>
  <c r="N601" i="5"/>
  <c r="N600" i="5"/>
  <c r="N599" i="5"/>
  <c r="N598" i="5"/>
  <c r="N597" i="5"/>
  <c r="N596" i="5"/>
  <c r="N595" i="5"/>
  <c r="N594" i="5"/>
  <c r="N593" i="5"/>
  <c r="N592" i="5"/>
  <c r="N591" i="5"/>
  <c r="N590" i="5"/>
  <c r="N589" i="5"/>
  <c r="N588" i="5"/>
  <c r="N587" i="5"/>
  <c r="N586" i="5"/>
  <c r="N585" i="5"/>
  <c r="N584" i="5"/>
  <c r="N583" i="5"/>
  <c r="N582" i="5"/>
  <c r="N581" i="5"/>
  <c r="N580" i="5"/>
  <c r="N579" i="5"/>
  <c r="N578" i="5"/>
  <c r="N577" i="5"/>
  <c r="N576" i="5"/>
  <c r="N575" i="5"/>
  <c r="N574" i="5"/>
  <c r="N573" i="5"/>
  <c r="N572" i="5"/>
  <c r="N571" i="5"/>
  <c r="N570" i="5"/>
  <c r="N569" i="5"/>
  <c r="N568" i="5"/>
  <c r="N567" i="5"/>
  <c r="N566" i="5"/>
  <c r="N565" i="5"/>
  <c r="N564" i="5"/>
  <c r="N563" i="5"/>
  <c r="N562" i="5"/>
  <c r="N561" i="5"/>
  <c r="N560" i="5"/>
  <c r="N559" i="5"/>
  <c r="N558" i="5"/>
  <c r="N557" i="5"/>
  <c r="N556" i="5"/>
  <c r="N555" i="5"/>
  <c r="N554" i="5"/>
  <c r="N553" i="5"/>
  <c r="N552" i="5"/>
  <c r="N551" i="5"/>
  <c r="N550" i="5"/>
  <c r="N549" i="5"/>
  <c r="N548" i="5"/>
  <c r="N547" i="5"/>
  <c r="N546" i="5"/>
  <c r="N545" i="5"/>
  <c r="N544" i="5"/>
  <c r="N543" i="5"/>
  <c r="N542" i="5"/>
  <c r="N541" i="5"/>
  <c r="N540" i="5"/>
  <c r="N539" i="5"/>
  <c r="N538" i="5"/>
  <c r="N537" i="5"/>
  <c r="N536" i="5"/>
  <c r="N535" i="5"/>
  <c r="N534" i="5"/>
  <c r="N533" i="5"/>
  <c r="N532" i="5"/>
  <c r="N531" i="5"/>
  <c r="N528" i="5"/>
  <c r="N527" i="5"/>
  <c r="N526" i="5"/>
  <c r="N525" i="5"/>
  <c r="N524" i="5"/>
  <c r="N521" i="5"/>
  <c r="N520" i="5"/>
  <c r="N519" i="5"/>
  <c r="N518" i="5"/>
  <c r="N517" i="5"/>
  <c r="N516" i="5"/>
  <c r="N515" i="5"/>
  <c r="N514" i="5"/>
  <c r="N513" i="5"/>
  <c r="N512" i="5"/>
  <c r="N511" i="5"/>
  <c r="N510" i="5"/>
  <c r="N509" i="5"/>
  <c r="N508" i="5"/>
  <c r="N507" i="5"/>
  <c r="N506" i="5"/>
  <c r="N505" i="5"/>
  <c r="N504" i="5"/>
  <c r="N503" i="5"/>
  <c r="N502" i="5"/>
  <c r="N501" i="5"/>
  <c r="N500" i="5"/>
  <c r="N499" i="5"/>
  <c r="N498" i="5"/>
  <c r="N497" i="5"/>
  <c r="N496" i="5"/>
  <c r="N495" i="5"/>
  <c r="N494" i="5"/>
  <c r="N493" i="5"/>
  <c r="N492" i="5"/>
  <c r="N491" i="5"/>
  <c r="N490" i="5"/>
  <c r="N489" i="5"/>
  <c r="N488" i="5"/>
  <c r="N487" i="5"/>
  <c r="N486" i="5"/>
  <c r="N485" i="5"/>
  <c r="N484" i="5"/>
  <c r="N483" i="5"/>
  <c r="N482" i="5"/>
  <c r="N481" i="5"/>
  <c r="N480" i="5"/>
  <c r="N479" i="5"/>
  <c r="N478" i="5"/>
  <c r="N477" i="5"/>
  <c r="N476" i="5"/>
  <c r="N475" i="5"/>
  <c r="N474" i="5"/>
  <c r="N473" i="5"/>
  <c r="N472" i="5"/>
  <c r="N471" i="5"/>
  <c r="N470" i="5"/>
  <c r="N469" i="5"/>
  <c r="N468" i="5"/>
  <c r="N467" i="5"/>
  <c r="N466" i="5"/>
  <c r="N465" i="5"/>
  <c r="N464" i="5"/>
  <c r="N463" i="5"/>
  <c r="N462" i="5"/>
  <c r="N461" i="5"/>
  <c r="N460" i="5"/>
  <c r="N459" i="5"/>
  <c r="N458" i="5"/>
  <c r="N457" i="5"/>
  <c r="N456" i="5"/>
  <c r="N455" i="5"/>
  <c r="N454" i="5"/>
  <c r="N453" i="5"/>
  <c r="N452" i="5"/>
  <c r="N451" i="5"/>
  <c r="N450" i="5"/>
  <c r="N449" i="5"/>
  <c r="N448" i="5"/>
  <c r="N447" i="5"/>
  <c r="N446" i="5"/>
  <c r="N445" i="5"/>
  <c r="N444" i="5"/>
  <c r="N443" i="5"/>
  <c r="N442" i="5"/>
  <c r="N441" i="5"/>
  <c r="N440" i="5"/>
  <c r="N439" i="5"/>
  <c r="N438" i="5"/>
  <c r="N437" i="5"/>
  <c r="N436" i="5"/>
  <c r="N435" i="5"/>
  <c r="N434" i="5"/>
  <c r="N433" i="5"/>
  <c r="N432" i="5"/>
  <c r="N431" i="5"/>
  <c r="N430" i="5"/>
  <c r="N429" i="5"/>
  <c r="N428" i="5"/>
  <c r="N427" i="5"/>
  <c r="N426" i="5"/>
  <c r="N425" i="5"/>
  <c r="N424" i="5"/>
  <c r="N423" i="5"/>
  <c r="N422" i="5"/>
  <c r="N421" i="5"/>
  <c r="N420" i="5"/>
  <c r="N419" i="5"/>
  <c r="N418" i="5"/>
  <c r="N417" i="5"/>
  <c r="N416" i="5"/>
  <c r="N415" i="5"/>
  <c r="N414" i="5"/>
  <c r="N413" i="5"/>
  <c r="N412" i="5"/>
  <c r="N411" i="5"/>
  <c r="N410" i="5"/>
  <c r="N409" i="5"/>
  <c r="N408" i="5"/>
  <c r="N407" i="5"/>
  <c r="N406" i="5"/>
  <c r="N405" i="5"/>
  <c r="N404" i="5"/>
  <c r="N403" i="5"/>
  <c r="N402" i="5"/>
  <c r="N401" i="5"/>
  <c r="N400" i="5"/>
  <c r="N399" i="5"/>
  <c r="N398" i="5"/>
  <c r="N397" i="5"/>
  <c r="N396" i="5"/>
  <c r="N395" i="5"/>
  <c r="N394" i="5"/>
  <c r="N393" i="5"/>
  <c r="N392" i="5"/>
  <c r="N391" i="5"/>
  <c r="N390" i="5"/>
  <c r="N389" i="5"/>
  <c r="N388" i="5"/>
  <c r="N387" i="5"/>
  <c r="N386" i="5"/>
  <c r="N385" i="5"/>
  <c r="N384" i="5"/>
  <c r="N383" i="5"/>
  <c r="N382" i="5"/>
  <c r="N381" i="5"/>
  <c r="N380" i="5"/>
  <c r="N379" i="5"/>
  <c r="N378" i="5"/>
  <c r="N377" i="5"/>
  <c r="N376" i="5"/>
  <c r="N375" i="5"/>
  <c r="N374" i="5"/>
  <c r="N373" i="5"/>
  <c r="N372" i="5"/>
  <c r="N371" i="5"/>
  <c r="N370" i="5"/>
  <c r="N369" i="5"/>
  <c r="N368" i="5"/>
  <c r="N367" i="5"/>
  <c r="N366" i="5"/>
  <c r="N365" i="5"/>
  <c r="N364" i="5"/>
  <c r="N363" i="5"/>
  <c r="N362" i="5"/>
  <c r="N361" i="5"/>
  <c r="N360" i="5"/>
  <c r="N359" i="5"/>
  <c r="N358" i="5"/>
  <c r="N357" i="5"/>
  <c r="N356" i="5"/>
  <c r="N355" i="5"/>
  <c r="N354" i="5"/>
  <c r="N353" i="5"/>
  <c r="N352" i="5"/>
  <c r="N351" i="5"/>
  <c r="N350" i="5"/>
  <c r="N349" i="5"/>
  <c r="N348" i="5"/>
  <c r="N347" i="5"/>
  <c r="N346" i="5"/>
  <c r="N345" i="5"/>
  <c r="N344" i="5"/>
  <c r="N343" i="5"/>
  <c r="N342" i="5"/>
  <c r="N341" i="5"/>
  <c r="N340" i="5"/>
  <c r="N339" i="5"/>
  <c r="N338" i="5"/>
  <c r="N337" i="5"/>
  <c r="N336" i="5"/>
  <c r="N335" i="5"/>
  <c r="N334" i="5"/>
  <c r="N333" i="5"/>
  <c r="N332" i="5"/>
  <c r="N331" i="5"/>
  <c r="N330" i="5"/>
  <c r="N329" i="5"/>
  <c r="N328" i="5"/>
  <c r="N327" i="5"/>
  <c r="N326" i="5"/>
  <c r="N325" i="5"/>
  <c r="N324" i="5"/>
  <c r="N323" i="5"/>
  <c r="N322" i="5"/>
  <c r="N321" i="5"/>
  <c r="N320" i="5"/>
  <c r="N319" i="5"/>
  <c r="N318" i="5"/>
  <c r="N317" i="5"/>
  <c r="N316" i="5"/>
  <c r="N315" i="5"/>
  <c r="N314" i="5"/>
  <c r="N313" i="5"/>
  <c r="N312" i="5"/>
  <c r="N311" i="5"/>
  <c r="N310" i="5"/>
  <c r="N309" i="5"/>
  <c r="N308" i="5"/>
  <c r="N307" i="5"/>
  <c r="N306" i="5"/>
  <c r="N305" i="5"/>
  <c r="N304" i="5"/>
  <c r="N303" i="5"/>
  <c r="N302" i="5"/>
  <c r="N301" i="5"/>
  <c r="N300" i="5"/>
  <c r="N299" i="5"/>
  <c r="N298" i="5"/>
  <c r="N297" i="5"/>
  <c r="N296" i="5"/>
  <c r="N295" i="5"/>
  <c r="N294" i="5"/>
  <c r="N293" i="5"/>
  <c r="N292" i="5"/>
  <c r="N291" i="5"/>
  <c r="N290" i="5"/>
  <c r="N289" i="5"/>
  <c r="N288" i="5"/>
  <c r="N287" i="5"/>
  <c r="N286" i="5"/>
  <c r="N285" i="5"/>
  <c r="N284" i="5"/>
  <c r="N283" i="5"/>
  <c r="N282" i="5"/>
  <c r="N281" i="5"/>
  <c r="N280" i="5"/>
  <c r="N279" i="5"/>
  <c r="N278" i="5"/>
  <c r="N277" i="5"/>
  <c r="N276" i="5"/>
  <c r="N275" i="5"/>
  <c r="N274" i="5"/>
  <c r="N273" i="5"/>
  <c r="N272" i="5"/>
  <c r="N271" i="5"/>
  <c r="N270" i="5"/>
  <c r="N269" i="5"/>
  <c r="N268" i="5"/>
  <c r="N267" i="5"/>
  <c r="N266" i="5"/>
  <c r="N265" i="5"/>
  <c r="N264" i="5"/>
  <c r="N263" i="5"/>
  <c r="N262" i="5"/>
  <c r="N261" i="5"/>
  <c r="N260" i="5"/>
  <c r="N259" i="5"/>
  <c r="N258" i="5"/>
  <c r="N257" i="5"/>
  <c r="N256" i="5"/>
  <c r="N255" i="5"/>
  <c r="N254" i="5"/>
  <c r="N253" i="5"/>
  <c r="N252" i="5"/>
  <c r="N251" i="5"/>
  <c r="N250" i="5"/>
  <c r="N249" i="5"/>
  <c r="N248" i="5"/>
  <c r="N247" i="5"/>
  <c r="N246" i="5"/>
  <c r="N245" i="5"/>
  <c r="N244" i="5"/>
  <c r="N243" i="5"/>
  <c r="N242" i="5"/>
  <c r="N241" i="5"/>
  <c r="N240" i="5"/>
  <c r="N239" i="5"/>
  <c r="O239" i="5" s="1"/>
  <c r="N238" i="5"/>
  <c r="N237" i="5"/>
  <c r="N236" i="5"/>
  <c r="N235" i="5"/>
  <c r="O235" i="5" s="1"/>
  <c r="N234" i="5"/>
  <c r="N233" i="5"/>
  <c r="N232" i="5"/>
  <c r="N231" i="5"/>
  <c r="O231" i="5" s="1"/>
  <c r="N230" i="5"/>
  <c r="N229" i="5"/>
  <c r="N228" i="5"/>
  <c r="N227" i="5"/>
  <c r="O227" i="5" s="1"/>
  <c r="N226" i="5"/>
  <c r="N225" i="5"/>
  <c r="N224" i="5"/>
  <c r="N223" i="5"/>
  <c r="N222" i="5"/>
  <c r="N221" i="5"/>
  <c r="N220" i="5"/>
  <c r="N219" i="5"/>
  <c r="N218" i="5"/>
  <c r="N217" i="5"/>
  <c r="N216" i="5"/>
  <c r="N215" i="5"/>
  <c r="N214" i="5"/>
  <c r="N213" i="5"/>
  <c r="O213" i="5" s="1"/>
  <c r="N212" i="5"/>
  <c r="N211" i="5"/>
  <c r="N210" i="5"/>
  <c r="N209" i="5"/>
  <c r="N208" i="5"/>
  <c r="N207" i="5"/>
  <c r="N206" i="5"/>
  <c r="N205" i="5"/>
  <c r="N204" i="5"/>
  <c r="O204" i="5" s="1"/>
  <c r="N203" i="5"/>
  <c r="N202" i="5"/>
  <c r="N201" i="5"/>
  <c r="N200" i="5"/>
  <c r="O200" i="5" s="1"/>
  <c r="N199" i="5"/>
  <c r="N198" i="5"/>
  <c r="N197" i="5"/>
  <c r="N196" i="5"/>
  <c r="N195" i="5"/>
  <c r="N194" i="5"/>
  <c r="N193" i="5"/>
  <c r="N192" i="5"/>
  <c r="N191" i="5"/>
  <c r="N190" i="5"/>
  <c r="N189" i="5"/>
  <c r="N188" i="5"/>
  <c r="N187" i="5"/>
  <c r="N186" i="5"/>
  <c r="N185" i="5"/>
  <c r="N184" i="5"/>
  <c r="N183" i="5"/>
  <c r="N182" i="5"/>
  <c r="O182" i="5" s="1"/>
  <c r="N181" i="5"/>
  <c r="N180" i="5"/>
  <c r="N179" i="5"/>
  <c r="N178" i="5"/>
  <c r="O178" i="5" s="1"/>
  <c r="N177" i="5"/>
  <c r="N176" i="5"/>
  <c r="N175" i="5"/>
  <c r="N174" i="5"/>
  <c r="O174" i="5" s="1"/>
  <c r="N173" i="5"/>
  <c r="N172" i="5"/>
  <c r="N171" i="5"/>
  <c r="N170" i="5"/>
  <c r="N169" i="5"/>
  <c r="N168" i="5"/>
  <c r="N167" i="5"/>
  <c r="N166" i="5"/>
  <c r="N165" i="5"/>
  <c r="N164" i="5"/>
  <c r="N163" i="5"/>
  <c r="N162" i="5"/>
  <c r="N161" i="5"/>
  <c r="N160" i="5"/>
  <c r="N159" i="5"/>
  <c r="N158" i="5"/>
  <c r="N157" i="5"/>
  <c r="N156" i="5"/>
  <c r="N155" i="5"/>
  <c r="N154" i="5"/>
  <c r="N153" i="5"/>
  <c r="N152" i="5"/>
  <c r="N151" i="5"/>
  <c r="N150" i="5"/>
  <c r="N149" i="5"/>
  <c r="N148" i="5"/>
  <c r="N147" i="5"/>
  <c r="N146" i="5"/>
  <c r="N145" i="5"/>
  <c r="N144" i="5"/>
  <c r="N143" i="5"/>
  <c r="N142" i="5"/>
  <c r="N141" i="5"/>
  <c r="N140" i="5"/>
  <c r="N139" i="5"/>
  <c r="N138" i="5"/>
  <c r="O138" i="5" s="1"/>
  <c r="N137" i="5"/>
  <c r="N136" i="5"/>
  <c r="N135" i="5"/>
  <c r="N134" i="5"/>
  <c r="O134" i="5" s="1"/>
  <c r="N133" i="5"/>
  <c r="N132" i="5"/>
  <c r="N131" i="5"/>
  <c r="N130" i="5"/>
  <c r="N129" i="5"/>
  <c r="N128" i="5"/>
  <c r="N127" i="5"/>
  <c r="N126" i="5"/>
  <c r="N125" i="5"/>
  <c r="N124" i="5"/>
  <c r="N123" i="5"/>
  <c r="N122" i="5"/>
  <c r="N121" i="5"/>
  <c r="N120" i="5"/>
  <c r="N119" i="5"/>
  <c r="N118" i="5"/>
  <c r="N117" i="5"/>
  <c r="N116" i="5"/>
  <c r="N115" i="5"/>
  <c r="N114" i="5"/>
  <c r="N113" i="5"/>
  <c r="N112" i="5"/>
  <c r="N111" i="5"/>
  <c r="N110" i="5"/>
  <c r="N109" i="5"/>
  <c r="N108" i="5"/>
  <c r="N107" i="5"/>
  <c r="N106" i="5"/>
  <c r="N105" i="5"/>
  <c r="O105" i="5" s="1"/>
  <c r="N104" i="5"/>
  <c r="N103" i="5"/>
  <c r="N102" i="5"/>
  <c r="N101" i="5"/>
  <c r="N100" i="5"/>
  <c r="N99" i="5"/>
  <c r="N98" i="5"/>
  <c r="N97" i="5"/>
  <c r="N96" i="5"/>
  <c r="N95" i="5"/>
  <c r="N94" i="5"/>
  <c r="N93" i="5"/>
  <c r="N92" i="5"/>
  <c r="N91" i="5"/>
  <c r="N90" i="5"/>
  <c r="N89" i="5"/>
  <c r="N88" i="5"/>
  <c r="N87" i="5"/>
  <c r="N86" i="5"/>
  <c r="N85" i="5"/>
  <c r="N84" i="5"/>
  <c r="N83" i="5"/>
  <c r="N82" i="5"/>
  <c r="N81" i="5"/>
  <c r="N80" i="5"/>
  <c r="N79" i="5"/>
  <c r="N78" i="5"/>
  <c r="N77" i="5"/>
  <c r="N76" i="5"/>
  <c r="N75" i="5"/>
  <c r="N74" i="5"/>
  <c r="N73" i="5"/>
  <c r="N72" i="5"/>
  <c r="N71" i="5"/>
  <c r="N70" i="5"/>
  <c r="N69" i="5"/>
  <c r="N68" i="5"/>
  <c r="N67" i="5"/>
  <c r="N66" i="5"/>
  <c r="N65" i="5"/>
  <c r="N64" i="5"/>
  <c r="N63" i="5"/>
  <c r="N62" i="5"/>
  <c r="N61" i="5"/>
  <c r="N60" i="5"/>
  <c r="N59" i="5"/>
  <c r="N58" i="5"/>
  <c r="N57" i="5"/>
  <c r="N56" i="5"/>
  <c r="N55" i="5"/>
  <c r="N54" i="5"/>
  <c r="N53" i="5"/>
  <c r="N52" i="5"/>
  <c r="N51" i="5"/>
  <c r="N50" i="5"/>
  <c r="N49" i="5"/>
  <c r="N48" i="5"/>
  <c r="N47" i="5"/>
  <c r="N46" i="5"/>
  <c r="N45" i="5"/>
  <c r="N44" i="5"/>
  <c r="N43" i="5"/>
  <c r="N42" i="5"/>
  <c r="N41" i="5"/>
  <c r="N40" i="5"/>
  <c r="N39" i="5"/>
  <c r="N38" i="5"/>
  <c r="N37" i="5"/>
  <c r="N36" i="5"/>
  <c r="N35" i="5"/>
  <c r="N34" i="5"/>
  <c r="N33" i="5"/>
  <c r="N32" i="5"/>
  <c r="N31" i="5"/>
  <c r="N30" i="5"/>
  <c r="N29" i="5"/>
  <c r="N28" i="5"/>
  <c r="N27" i="5"/>
  <c r="N26" i="5"/>
  <c r="N25" i="5"/>
  <c r="N24" i="5"/>
  <c r="N23" i="5"/>
  <c r="N22" i="5"/>
  <c r="N21" i="5"/>
  <c r="N20" i="5"/>
  <c r="N19" i="5"/>
  <c r="N18" i="5"/>
  <c r="N17" i="5"/>
  <c r="N16" i="5"/>
  <c r="O16" i="5" s="1"/>
  <c r="N15" i="5"/>
  <c r="N14" i="5"/>
  <c r="N13" i="5"/>
  <c r="N12" i="5"/>
  <c r="O12" i="5" s="1"/>
  <c r="N11" i="5"/>
  <c r="N10" i="5"/>
  <c r="N9" i="5"/>
  <c r="N8" i="5"/>
  <c r="O8" i="5" s="1"/>
  <c r="N7" i="5"/>
  <c r="N6" i="5"/>
  <c r="O1912" i="5" l="1"/>
  <c r="O1907" i="5"/>
  <c r="O4781" i="5"/>
  <c r="O3094" i="5"/>
  <c r="O534" i="5"/>
  <c r="O1628" i="5"/>
  <c r="O6193" i="5"/>
  <c r="O20" i="5"/>
  <c r="O124" i="5"/>
  <c r="O3352" i="5"/>
  <c r="O5388" i="5"/>
  <c r="O8217" i="5"/>
  <c r="O848" i="5"/>
  <c r="O520" i="5"/>
  <c r="O733" i="5"/>
  <c r="O1332" i="5"/>
  <c r="O2115" i="5"/>
  <c r="O2171" i="5"/>
  <c r="O4641" i="5"/>
  <c r="O4829" i="5"/>
  <c r="O2352" i="5"/>
  <c r="O4821" i="5"/>
  <c r="O4615" i="5"/>
  <c r="O4623" i="5"/>
  <c r="O2788" i="5"/>
  <c r="O2836" i="5"/>
  <c r="O3124" i="5"/>
  <c r="O3199" i="5"/>
  <c r="O3303" i="5"/>
  <c r="O3391" i="5"/>
  <c r="O3937" i="5"/>
  <c r="O3977" i="5"/>
  <c r="O4097" i="5"/>
  <c r="O4121" i="5"/>
  <c r="O4129" i="5"/>
  <c r="O4137" i="5"/>
  <c r="O95" i="5"/>
  <c r="O271" i="5"/>
  <c r="O3169" i="5"/>
  <c r="O5248" i="5"/>
  <c r="O5472" i="5"/>
  <c r="O2357" i="5"/>
  <c r="O2866" i="5"/>
  <c r="O2898" i="5"/>
  <c r="O2906" i="5"/>
  <c r="O2914" i="5"/>
  <c r="O2922" i="5"/>
  <c r="O2930" i="5"/>
  <c r="O2938" i="5"/>
  <c r="O4861" i="5"/>
  <c r="O5369" i="5"/>
  <c r="O8191" i="5"/>
  <c r="O5324" i="5"/>
  <c r="O374" i="5"/>
  <c r="O6230" i="5"/>
  <c r="O368" i="5"/>
  <c r="O1010" i="5"/>
  <c r="O2846" i="5"/>
  <c r="O3240" i="5"/>
  <c r="O4655" i="5"/>
  <c r="O4687" i="5"/>
  <c r="O7248" i="5"/>
  <c r="O7455" i="5"/>
  <c r="O5021" i="5"/>
  <c r="O5478" i="5"/>
  <c r="O25" i="5"/>
  <c r="O1129" i="5"/>
  <c r="O1154" i="5"/>
  <c r="O1210" i="5"/>
  <c r="O1242" i="5"/>
  <c r="O1370" i="5"/>
  <c r="O1376" i="5"/>
  <c r="O1698" i="5"/>
  <c r="O1728" i="5"/>
  <c r="O1792" i="5"/>
  <c r="O1945" i="5"/>
  <c r="O2001" i="5"/>
  <c r="O2121" i="5"/>
  <c r="O2127" i="5"/>
  <c r="O2871" i="5"/>
  <c r="O3174" i="5"/>
  <c r="O3425" i="5"/>
  <c r="O6388" i="5"/>
  <c r="O6412" i="5"/>
  <c r="O6489" i="5"/>
  <c r="O7416" i="5"/>
  <c r="O609" i="5"/>
  <c r="O2824" i="5"/>
  <c r="O2856" i="5"/>
  <c r="O3056" i="5"/>
  <c r="O3104" i="5"/>
  <c r="O4231" i="5"/>
  <c r="O4263" i="5"/>
  <c r="O4523" i="5"/>
  <c r="O5073" i="5"/>
  <c r="O5300" i="5"/>
  <c r="O5402" i="5"/>
  <c r="O5459" i="5"/>
  <c r="O6170" i="5"/>
  <c r="O2053" i="5"/>
  <c r="O2222" i="5"/>
  <c r="O3191" i="5"/>
  <c r="O5293" i="5"/>
  <c r="O8233" i="5"/>
  <c r="O527" i="5"/>
  <c r="O1550" i="5"/>
  <c r="O2248" i="5"/>
  <c r="O1828" i="5"/>
  <c r="O1971" i="5"/>
  <c r="O1269" i="5"/>
  <c r="O1326" i="5"/>
  <c r="O2085" i="5"/>
  <c r="O507" i="5"/>
  <c r="O1987" i="5"/>
  <c r="O45" i="5"/>
  <c r="O109" i="5"/>
  <c r="O1119" i="5"/>
  <c r="O1598" i="5"/>
  <c r="O1806" i="5"/>
  <c r="O3228" i="5"/>
  <c r="O4518" i="5"/>
  <c r="O4845" i="5"/>
  <c r="O4972" i="5"/>
  <c r="O5254" i="5"/>
  <c r="O5279" i="5"/>
  <c r="O5287" i="5"/>
  <c r="O7427" i="5"/>
  <c r="O55" i="5"/>
  <c r="O80" i="5"/>
  <c r="O119" i="5"/>
  <c r="O142" i="5"/>
  <c r="O443" i="5"/>
  <c r="O492" i="5"/>
  <c r="O500" i="5"/>
  <c r="O1076" i="5"/>
  <c r="O1093" i="5"/>
  <c r="O1101" i="5"/>
  <c r="O1531" i="5"/>
  <c r="O1811" i="5"/>
  <c r="O1835" i="5"/>
  <c r="O1883" i="5"/>
  <c r="O1994" i="5"/>
  <c r="O2773" i="5"/>
  <c r="O2829" i="5"/>
  <c r="O2973" i="5"/>
  <c r="O2988" i="5"/>
  <c r="O3013" i="5"/>
  <c r="O3076" i="5"/>
  <c r="O3109" i="5"/>
  <c r="O3310" i="5"/>
  <c r="O3646" i="5"/>
  <c r="O3712" i="5"/>
  <c r="O3727" i="5"/>
  <c r="O3776" i="5"/>
  <c r="O3800" i="5"/>
  <c r="O3824" i="5"/>
  <c r="O3856" i="5"/>
  <c r="O3967" i="5"/>
  <c r="O3984" i="5"/>
  <c r="O3992" i="5"/>
  <c r="O4885" i="5"/>
  <c r="O4932" i="5"/>
  <c r="O5085" i="5"/>
  <c r="O5318" i="5"/>
  <c r="O6139" i="5"/>
  <c r="O6214" i="5"/>
  <c r="O6236" i="5"/>
  <c r="O6482" i="5"/>
  <c r="O7448" i="5"/>
  <c r="O1586" i="5"/>
  <c r="O4806" i="5"/>
  <c r="O4925" i="5"/>
  <c r="O5160" i="5"/>
  <c r="O5453" i="5"/>
  <c r="O6188" i="5"/>
  <c r="O6198" i="5"/>
  <c r="O6430" i="5"/>
  <c r="O7441" i="5"/>
  <c r="O129" i="5"/>
  <c r="O279" i="5"/>
  <c r="O437" i="5"/>
  <c r="O1275" i="5"/>
  <c r="O1395" i="5"/>
  <c r="O1468" i="5"/>
  <c r="O1525" i="5"/>
  <c r="O1859" i="5"/>
  <c r="O1877" i="5"/>
  <c r="O1922" i="5"/>
  <c r="O2203" i="5"/>
  <c r="O2311" i="5"/>
  <c r="O2336" i="5"/>
  <c r="O2799" i="5"/>
  <c r="O2958" i="5"/>
  <c r="O2983" i="5"/>
  <c r="O3038" i="5"/>
  <c r="O3119" i="5"/>
  <c r="O3158" i="5"/>
  <c r="O4114" i="5"/>
  <c r="O4197" i="5"/>
  <c r="O4536" i="5"/>
  <c r="O4837" i="5"/>
  <c r="O4911" i="5"/>
  <c r="O4918" i="5"/>
  <c r="O4951" i="5"/>
  <c r="O4965" i="5"/>
  <c r="O5079" i="5"/>
  <c r="O5336" i="5"/>
  <c r="O5375" i="5"/>
  <c r="O7236" i="5"/>
  <c r="O7435" i="5"/>
  <c r="O618" i="5"/>
  <c r="O1024" i="5"/>
  <c r="O1182" i="5"/>
  <c r="O1364" i="5"/>
  <c r="O1604" i="5"/>
  <c r="O1692" i="5"/>
  <c r="O1764" i="5"/>
  <c r="O1917" i="5"/>
  <c r="O2139" i="5"/>
  <c r="O2384" i="5"/>
  <c r="O2943" i="5"/>
  <c r="O4382" i="5"/>
  <c r="O4446" i="5"/>
  <c r="O4496" i="5"/>
  <c r="O4816" i="5"/>
  <c r="O4877" i="5"/>
  <c r="O4904" i="5"/>
  <c r="O4944" i="5"/>
  <c r="O5008" i="5"/>
  <c r="O5447" i="5"/>
  <c r="O6249" i="5"/>
  <c r="O6345" i="5"/>
  <c r="O6440" i="5"/>
  <c r="O7358" i="5"/>
  <c r="O7398" i="5"/>
  <c r="O8227" i="5"/>
  <c r="O100" i="5"/>
  <c r="O186" i="5"/>
  <c r="O266" i="5"/>
  <c r="O865" i="5"/>
  <c r="O1039" i="5"/>
  <c r="O1048" i="5"/>
  <c r="O1357" i="5"/>
  <c r="O2037" i="5"/>
  <c r="O2330" i="5"/>
  <c r="O2841" i="5"/>
  <c r="O2888" i="5"/>
  <c r="O2953" i="5"/>
  <c r="O2968" i="5"/>
  <c r="O3033" i="5"/>
  <c r="O3089" i="5"/>
  <c r="O3386" i="5"/>
  <c r="O3594" i="5"/>
  <c r="O3788" i="5"/>
  <c r="O3812" i="5"/>
  <c r="O3900" i="5"/>
  <c r="O4215" i="5"/>
  <c r="O4239" i="5"/>
  <c r="O4335" i="5"/>
  <c r="O4355" i="5"/>
  <c r="O4649" i="5"/>
  <c r="O4681" i="5"/>
  <c r="O5488" i="5"/>
  <c r="O6425" i="5"/>
  <c r="O7422" i="5"/>
  <c r="O707" i="5"/>
  <c r="O786" i="5"/>
  <c r="O962" i="5"/>
  <c r="O1344" i="5"/>
  <c r="O1592" i="5"/>
  <c r="O3275" i="5"/>
  <c r="O3331" i="5"/>
  <c r="O3371" i="5"/>
  <c r="O4005" i="5"/>
  <c r="O4256" i="5"/>
  <c r="O5058" i="5"/>
  <c r="O5234" i="5"/>
  <c r="O5363" i="5"/>
  <c r="O7469" i="5"/>
  <c r="O7493" i="5"/>
  <c r="O7502" i="5"/>
  <c r="O323" i="5"/>
  <c r="O514" i="5"/>
  <c r="O899" i="5"/>
  <c r="O1303" i="5"/>
  <c r="O1401" i="5"/>
  <c r="O2008" i="5"/>
  <c r="O2573" i="5"/>
  <c r="O2581" i="5"/>
  <c r="O2794" i="5"/>
  <c r="O2819" i="5"/>
  <c r="O2963" i="5"/>
  <c r="O2978" i="5"/>
  <c r="O3114" i="5"/>
  <c r="O3146" i="5"/>
  <c r="O3268" i="5"/>
  <c r="O3324" i="5"/>
  <c r="O3420" i="5"/>
  <c r="O3830" i="5"/>
  <c r="O4085" i="5"/>
  <c r="O4209" i="5"/>
  <c r="O4549" i="5"/>
  <c r="O4811" i="5"/>
  <c r="O4869" i="5"/>
  <c r="O4939" i="5"/>
  <c r="O5466" i="5"/>
  <c r="O7224" i="5"/>
  <c r="O7353" i="5"/>
  <c r="O7462" i="5"/>
  <c r="O35" i="5"/>
  <c r="O50" i="5"/>
  <c r="O67" i="5"/>
  <c r="O90" i="5"/>
  <c r="O147" i="5"/>
  <c r="O164" i="5"/>
  <c r="O217" i="5"/>
  <c r="O286" i="5"/>
  <c r="O397" i="5"/>
  <c r="O418" i="5"/>
  <c r="O474" i="5"/>
  <c r="O556" i="5"/>
  <c r="O564" i="5"/>
  <c r="O689" i="5"/>
  <c r="O775" i="5"/>
  <c r="O807" i="5"/>
  <c r="O830" i="5"/>
  <c r="O886" i="5"/>
  <c r="O894" i="5"/>
  <c r="O925" i="5"/>
  <c r="O941" i="5"/>
  <c r="O956" i="5"/>
  <c r="O1005" i="5"/>
  <c r="O1029" i="5"/>
  <c r="O1161" i="5"/>
  <c r="O1217" i="5"/>
  <c r="O1248" i="5"/>
  <c r="O1320" i="5"/>
  <c r="O1351" i="5"/>
  <c r="O1389" i="5"/>
  <c r="O1483" i="5"/>
  <c r="O1616" i="5"/>
  <c r="O1633" i="5"/>
  <c r="O1639" i="5"/>
  <c r="O1657" i="5"/>
  <c r="O1799" i="5"/>
  <c r="O1853" i="5"/>
  <c r="O2948" i="5"/>
  <c r="O157" i="5"/>
  <c r="O344" i="5"/>
  <c r="O383" i="5"/>
  <c r="O486" i="5"/>
  <c r="O758" i="5"/>
  <c r="O870" i="5"/>
  <c r="O878" i="5"/>
  <c r="O950" i="5"/>
  <c r="O983" i="5"/>
  <c r="O1015" i="5"/>
  <c r="O1069" i="5"/>
  <c r="O1147" i="5"/>
  <c r="O1203" i="5"/>
  <c r="O1296" i="5"/>
  <c r="O1453" i="5"/>
  <c r="O1571" i="5"/>
  <c r="O1611" i="5"/>
  <c r="O1667" i="5"/>
  <c r="O1785" i="5"/>
  <c r="O1816" i="5"/>
  <c r="O1901" i="5"/>
  <c r="O114" i="5"/>
  <c r="O329" i="5"/>
  <c r="O591" i="5"/>
  <c r="O599" i="5"/>
  <c r="O624" i="5"/>
  <c r="O632" i="5"/>
  <c r="O842" i="5"/>
  <c r="O910" i="5"/>
  <c r="O976" i="5"/>
  <c r="O1062" i="5"/>
  <c r="O1085" i="5"/>
  <c r="O1140" i="5"/>
  <c r="O1196" i="5"/>
  <c r="O1236" i="5"/>
  <c r="O1289" i="5"/>
  <c r="O1423" i="5"/>
  <c r="O1438" i="5"/>
  <c r="O1564" i="5"/>
  <c r="O1706" i="5"/>
  <c r="O1739" i="5"/>
  <c r="O1778" i="5"/>
  <c r="O4373" i="5"/>
  <c r="O30" i="5"/>
  <c r="O62" i="5"/>
  <c r="O85" i="5"/>
  <c r="O152" i="5"/>
  <c r="O243" i="5"/>
  <c r="O251" i="5"/>
  <c r="O354" i="5"/>
  <c r="O425" i="5"/>
  <c r="O449" i="5"/>
  <c r="O640" i="5"/>
  <c r="O835" i="5"/>
  <c r="O859" i="5"/>
  <c r="O969" i="5"/>
  <c r="O1055" i="5"/>
  <c r="O1111" i="5"/>
  <c r="O1189" i="5"/>
  <c r="O1282" i="5"/>
  <c r="O1338" i="5"/>
  <c r="O1383" i="5"/>
  <c r="O1408" i="5"/>
  <c r="O1519" i="5"/>
  <c r="O1557" i="5"/>
  <c r="O1645" i="5"/>
  <c r="O1771" i="5"/>
  <c r="O1841" i="5"/>
  <c r="O1847" i="5"/>
  <c r="O1871" i="5"/>
  <c r="O3337" i="5"/>
  <c r="O994" i="5"/>
  <c r="O1717" i="5"/>
  <c r="O40" i="5"/>
  <c r="O72" i="5"/>
  <c r="O169" i="5"/>
  <c r="O222" i="5"/>
  <c r="O671" i="5"/>
  <c r="O726" i="5"/>
  <c r="O793" i="5"/>
  <c r="O821" i="5"/>
  <c r="O1135" i="5"/>
  <c r="O1175" i="5"/>
  <c r="O1262" i="5"/>
  <c r="O1513" i="5"/>
  <c r="O1537" i="5"/>
  <c r="O1543" i="5"/>
  <c r="O1622" i="5"/>
  <c r="O1662" i="5"/>
  <c r="O1685" i="5"/>
  <c r="O1757" i="5"/>
  <c r="O1865" i="5"/>
  <c r="O1889" i="5"/>
  <c r="O1895" i="5"/>
  <c r="O1951" i="5"/>
  <c r="O193" i="5"/>
  <c r="O208" i="5"/>
  <c r="O404" i="5"/>
  <c r="O540" i="5"/>
  <c r="O548" i="5"/>
  <c r="O739" i="5"/>
  <c r="O751" i="5"/>
  <c r="O916" i="5"/>
  <c r="O932" i="5"/>
  <c r="O1168" i="5"/>
  <c r="O1224" i="5"/>
  <c r="O1230" i="5"/>
  <c r="O1255" i="5"/>
  <c r="O1311" i="5"/>
  <c r="O1498" i="5"/>
  <c r="O1672" i="5"/>
  <c r="O1678" i="5"/>
  <c r="O1750" i="5"/>
  <c r="O1822" i="5"/>
  <c r="O1938" i="5"/>
  <c r="O2228" i="5"/>
  <c r="O2254" i="5"/>
  <c r="O2294" i="5"/>
  <c r="O2304" i="5"/>
  <c r="O2391" i="5"/>
  <c r="O2998" i="5"/>
  <c r="O3475" i="5"/>
  <c r="O3551" i="5"/>
  <c r="O3599" i="5"/>
  <c r="O3687" i="5"/>
  <c r="O3737" i="5"/>
  <c r="O3865" i="5"/>
  <c r="O4031" i="5"/>
  <c r="O4268" i="5"/>
  <c r="O4328" i="5"/>
  <c r="O4470" i="5"/>
  <c r="O5031" i="5"/>
  <c r="O5128" i="5"/>
  <c r="O6206" i="5"/>
  <c r="O6291" i="5"/>
  <c r="O7243" i="5"/>
  <c r="O7542" i="5"/>
  <c r="O2274" i="5"/>
  <c r="O3023" i="5"/>
  <c r="O3163" i="5"/>
  <c r="O3261" i="5"/>
  <c r="O3317" i="5"/>
  <c r="O3364" i="5"/>
  <c r="O3567" i="5"/>
  <c r="O3770" i="5"/>
  <c r="O3794" i="5"/>
  <c r="O3818" i="5"/>
  <c r="O3873" i="5"/>
  <c r="O4040" i="5"/>
  <c r="O4225" i="5"/>
  <c r="O4408" i="5"/>
  <c r="O4663" i="5"/>
  <c r="O4671" i="5"/>
  <c r="O4770" i="5"/>
  <c r="O4786" i="5"/>
  <c r="O4895" i="5"/>
  <c r="O5111" i="5"/>
  <c r="O5356" i="5"/>
  <c r="O6283" i="5"/>
  <c r="O7253" i="5"/>
  <c r="O7391" i="5"/>
  <c r="O2778" i="5"/>
  <c r="O3008" i="5"/>
  <c r="O3140" i="5"/>
  <c r="O3183" i="5"/>
  <c r="O3246" i="5"/>
  <c r="O3357" i="5"/>
  <c r="O3544" i="5"/>
  <c r="O3641" i="5"/>
  <c r="O3699" i="5"/>
  <c r="O3907" i="5"/>
  <c r="O3931" i="5"/>
  <c r="O4018" i="5"/>
  <c r="O4203" i="5"/>
  <c r="O4346" i="5"/>
  <c r="O4555" i="5"/>
  <c r="O4853" i="5"/>
  <c r="O5065" i="5"/>
  <c r="O5122" i="5"/>
  <c r="O5136" i="5"/>
  <c r="O5349" i="5"/>
  <c r="O6275" i="5"/>
  <c r="O1964" i="5"/>
  <c r="O2215" i="5"/>
  <c r="O3081" i="5"/>
  <c r="O3215" i="5"/>
  <c r="O3626" i="5"/>
  <c r="O4247" i="5"/>
  <c r="O4418" i="5"/>
  <c r="O4438" i="5"/>
  <c r="O4458" i="5"/>
  <c r="O4704" i="5"/>
  <c r="O4995" i="5"/>
  <c r="O5097" i="5"/>
  <c r="O5219" i="5"/>
  <c r="O5241" i="5"/>
  <c r="O5342" i="5"/>
  <c r="O5410" i="5"/>
  <c r="O5425" i="5"/>
  <c r="O6159" i="5"/>
  <c r="O6354" i="5"/>
  <c r="O7331" i="5"/>
  <c r="O7347" i="5"/>
  <c r="O7377" i="5"/>
  <c r="O1933" i="5"/>
  <c r="O1957" i="5"/>
  <c r="O2147" i="5"/>
  <c r="O2208" i="5"/>
  <c r="O2324" i="5"/>
  <c r="O2804" i="5"/>
  <c r="O2851" i="5"/>
  <c r="O2883" i="5"/>
  <c r="O3018" i="5"/>
  <c r="O3208" i="5"/>
  <c r="O3296" i="5"/>
  <c r="O3413" i="5"/>
  <c r="O3587" i="5"/>
  <c r="O3658" i="5"/>
  <c r="O3885" i="5"/>
  <c r="O4049" i="5"/>
  <c r="O4058" i="5"/>
  <c r="O4067" i="5"/>
  <c r="O4091" i="5"/>
  <c r="O4276" i="5"/>
  <c r="O4364" i="5"/>
  <c r="O5043" i="5"/>
  <c r="O5051" i="5"/>
  <c r="O5180" i="5"/>
  <c r="O5204" i="5"/>
  <c r="O5260" i="5"/>
  <c r="O6223" i="5"/>
  <c r="O6373" i="5"/>
  <c r="O7370" i="5"/>
  <c r="O2061" i="5"/>
  <c r="O2109" i="5"/>
  <c r="O2155" i="5"/>
  <c r="O2195" i="5"/>
  <c r="O2378" i="5"/>
  <c r="O2876" i="5"/>
  <c r="O3003" i="5"/>
  <c r="O3043" i="5"/>
  <c r="O3051" i="5"/>
  <c r="O3129" i="5"/>
  <c r="O3152" i="5"/>
  <c r="O3256" i="5"/>
  <c r="O3289" i="5"/>
  <c r="O3343" i="5"/>
  <c r="O3406" i="5"/>
  <c r="O3500" i="5"/>
  <c r="O3508" i="5"/>
  <c r="O3620" i="5"/>
  <c r="O3636" i="5"/>
  <c r="O3742" i="5"/>
  <c r="O3782" i="5"/>
  <c r="O3806" i="5"/>
  <c r="O3925" i="5"/>
  <c r="O3950" i="5"/>
  <c r="O4076" i="5"/>
  <c r="O4190" i="5"/>
  <c r="O4285" i="5"/>
  <c r="O4428" i="5"/>
  <c r="O4476" i="5"/>
  <c r="O4504" i="5"/>
  <c r="O4528" i="5"/>
  <c r="O4606" i="5"/>
  <c r="O4695" i="5"/>
  <c r="O5091" i="5"/>
  <c r="O5382" i="5"/>
  <c r="O6243" i="5"/>
  <c r="O6300" i="5"/>
  <c r="O7325" i="5"/>
  <c r="O1928" i="5"/>
  <c r="O1979" i="5"/>
  <c r="O2015" i="5"/>
  <c r="O2021" i="5"/>
  <c r="O2069" i="5"/>
  <c r="O2101" i="5"/>
  <c r="O2133" i="5"/>
  <c r="O2179" i="5"/>
  <c r="O2187" i="5"/>
  <c r="O2318" i="5"/>
  <c r="O2342" i="5"/>
  <c r="O2814" i="5"/>
  <c r="O2861" i="5"/>
  <c r="O2893" i="5"/>
  <c r="O3028" i="5"/>
  <c r="O3068" i="5"/>
  <c r="O3099" i="5"/>
  <c r="O3234" i="5"/>
  <c r="O3282" i="5"/>
  <c r="O3399" i="5"/>
  <c r="O3430" i="5"/>
  <c r="O3525" i="5"/>
  <c r="O3573" i="5"/>
  <c r="O3613" i="5"/>
  <c r="O3751" i="5"/>
  <c r="O3766" i="5"/>
  <c r="O3959" i="5"/>
  <c r="O4149" i="5"/>
  <c r="O4157" i="5"/>
  <c r="O4183" i="5"/>
  <c r="O4512" i="5"/>
  <c r="O4544" i="5"/>
  <c r="O4958" i="5"/>
  <c r="O5013" i="5"/>
  <c r="O5037" i="5"/>
  <c r="O5330" i="5"/>
  <c r="O6447" i="5"/>
  <c r="O7318" i="5"/>
  <c r="O7339" i="5"/>
  <c r="O7410" i="5"/>
  <c r="O7477" i="5"/>
  <c r="O7485" i="5"/>
  <c r="O7508" i="5"/>
  <c r="O8181" i="5"/>
  <c r="O8222" i="5"/>
  <c r="O293" i="5"/>
  <c r="O308" i="5"/>
  <c r="O582" i="5"/>
  <c r="O699" i="5"/>
  <c r="O853" i="5"/>
  <c r="O2284" i="5"/>
  <c r="O717" i="5"/>
  <c r="O2234" i="5"/>
  <c r="O2029" i="5"/>
  <c r="O2077" i="5"/>
  <c r="O2163" i="5"/>
  <c r="O2264" i="5"/>
  <c r="O457" i="5"/>
  <c r="O572" i="5"/>
  <c r="O2045" i="5"/>
  <c r="O467" i="5"/>
  <c r="O769" i="5"/>
  <c r="O1651" i="5"/>
  <c r="O2363" i="5"/>
  <c r="O2093" i="5"/>
  <c r="O2371" i="5"/>
  <c r="O679" i="5"/>
  <c r="O3846" i="5"/>
  <c r="O4168" i="5"/>
  <c r="O4392" i="5"/>
  <c r="O4579" i="5"/>
  <c r="O4796" i="5"/>
  <c r="O4977" i="5"/>
  <c r="O3579" i="5"/>
  <c r="O4400" i="5"/>
  <c r="O4567" i="5"/>
  <c r="O2589" i="5"/>
  <c r="O3443" i="5"/>
  <c r="O4301" i="5"/>
  <c r="O5001" i="5"/>
  <c r="O5144" i="5"/>
  <c r="O3464" i="5"/>
  <c r="O3679" i="5"/>
  <c r="O3835" i="5"/>
  <c r="O3943" i="5"/>
  <c r="O4598" i="5"/>
  <c r="O4726" i="5"/>
  <c r="O4989" i="5"/>
  <c r="O5152" i="5"/>
  <c r="O5188" i="5"/>
  <c r="O3453" i="5"/>
  <c r="O3535" i="5"/>
  <c r="O3607" i="5"/>
  <c r="O4983" i="5"/>
  <c r="O5166" i="5"/>
  <c r="O5196" i="5"/>
  <c r="O4629" i="5"/>
  <c r="O5104" i="5"/>
  <c r="O5174" i="5"/>
  <c r="O5267" i="5"/>
  <c r="O3483" i="5"/>
  <c r="O6311" i="5"/>
  <c r="O5306" i="5"/>
  <c r="N3672" i="5"/>
  <c r="O5418" i="5"/>
  <c r="O6435" i="5"/>
  <c r="O6475" i="5"/>
  <c r="O7528" i="5"/>
  <c r="N3668" i="5"/>
  <c r="O6452" i="5"/>
  <c r="O6468" i="5"/>
  <c r="O7230" i="5"/>
  <c r="O7385" i="5"/>
  <c r="O8201" i="5"/>
  <c r="O5435" i="5"/>
  <c r="O6359" i="5"/>
  <c r="O6401" i="5"/>
  <c r="O6461" i="5"/>
  <c r="O6255" i="5"/>
  <c r="O6264" i="5"/>
  <c r="O7363" i="5"/>
  <c r="O7514" i="5"/>
  <c r="O5312" i="5"/>
  <c r="O5394" i="5"/>
  <c r="O6181" i="5"/>
  <c r="O6335" i="5"/>
  <c r="O6395" i="5"/>
  <c r="O3664" i="5" l="1"/>
  <c r="P8" i="5" l="1"/>
  <c r="Q8" i="5"/>
  <c r="R9" i="5"/>
  <c r="P9" i="5"/>
  <c r="Q9" i="5"/>
  <c r="S9" i="5"/>
  <c r="R10" i="5"/>
  <c r="P10" i="5"/>
  <c r="Q10" i="5"/>
  <c r="S10" i="5"/>
  <c r="R11" i="5"/>
  <c r="P11" i="5"/>
  <c r="Q11" i="5"/>
  <c r="S11" i="5"/>
  <c r="P12" i="5"/>
  <c r="Q12" i="5"/>
  <c r="R13" i="5"/>
  <c r="P13" i="5"/>
  <c r="Q13" i="5"/>
  <c r="S13" i="5"/>
  <c r="R14" i="5"/>
  <c r="P14" i="5"/>
  <c r="Q14" i="5"/>
  <c r="S14" i="5"/>
  <c r="R15" i="5"/>
  <c r="P15" i="5"/>
  <c r="Q15" i="5"/>
  <c r="S15" i="5"/>
  <c r="P16" i="5"/>
  <c r="Q16" i="5"/>
  <c r="R17" i="5"/>
  <c r="P17" i="5"/>
  <c r="Q17" i="5"/>
  <c r="S17" i="5"/>
  <c r="R18" i="5"/>
  <c r="P18" i="5"/>
  <c r="Q18" i="5"/>
  <c r="S18" i="5"/>
  <c r="R19" i="5"/>
  <c r="P19" i="5"/>
  <c r="Q19" i="5"/>
  <c r="S19" i="5"/>
  <c r="P20" i="5"/>
  <c r="Q20" i="5"/>
  <c r="P21" i="5"/>
  <c r="Q21" i="5"/>
  <c r="S21" i="5"/>
  <c r="R22" i="5"/>
  <c r="P22" i="5"/>
  <c r="Q22" i="5"/>
  <c r="S22" i="5"/>
  <c r="R23" i="5"/>
  <c r="P23" i="5"/>
  <c r="Q23" i="5"/>
  <c r="S23" i="5"/>
  <c r="R24" i="5"/>
  <c r="P24" i="5"/>
  <c r="Q24" i="5"/>
  <c r="S24" i="5"/>
  <c r="P25" i="5"/>
  <c r="Q25" i="5"/>
  <c r="P26" i="5"/>
  <c r="Q26" i="5"/>
  <c r="S26" i="5"/>
  <c r="R27" i="5"/>
  <c r="P27" i="5"/>
  <c r="Q27" i="5"/>
  <c r="S27" i="5"/>
  <c r="R28" i="5"/>
  <c r="P28" i="5"/>
  <c r="Q28" i="5"/>
  <c r="S28" i="5"/>
  <c r="R29" i="5"/>
  <c r="P29" i="5"/>
  <c r="Q29" i="5"/>
  <c r="S29" i="5"/>
  <c r="P30" i="5"/>
  <c r="Q30" i="5"/>
  <c r="P31" i="5"/>
  <c r="Q31" i="5"/>
  <c r="S31" i="5"/>
  <c r="R32" i="5"/>
  <c r="P32" i="5"/>
  <c r="Q32" i="5"/>
  <c r="S32" i="5"/>
  <c r="R33" i="5"/>
  <c r="P33" i="5"/>
  <c r="Q33" i="5"/>
  <c r="S33" i="5"/>
  <c r="R34" i="5"/>
  <c r="P34" i="5"/>
  <c r="Q34" i="5"/>
  <c r="S34" i="5"/>
  <c r="P35" i="5"/>
  <c r="Q35" i="5"/>
  <c r="P36" i="5"/>
  <c r="Q36" i="5"/>
  <c r="S36" i="5"/>
  <c r="R37" i="5"/>
  <c r="P37" i="5"/>
  <c r="Q37" i="5"/>
  <c r="S37" i="5"/>
  <c r="R38" i="5"/>
  <c r="P38" i="5"/>
  <c r="Q38" i="5"/>
  <c r="S38" i="5"/>
  <c r="R39" i="5"/>
  <c r="P39" i="5"/>
  <c r="Q39" i="5"/>
  <c r="S39" i="5"/>
  <c r="P40" i="5"/>
  <c r="Q40" i="5"/>
  <c r="P41" i="5"/>
  <c r="Q41" i="5"/>
  <c r="S41" i="5"/>
  <c r="R42" i="5"/>
  <c r="P42" i="5"/>
  <c r="Q42" i="5"/>
  <c r="S42" i="5"/>
  <c r="R43" i="5"/>
  <c r="P43" i="5"/>
  <c r="Q43" i="5"/>
  <c r="S43" i="5"/>
  <c r="R44" i="5"/>
  <c r="P44" i="5"/>
  <c r="Q44" i="5"/>
  <c r="S44" i="5"/>
  <c r="P45" i="5"/>
  <c r="Q45" i="5"/>
  <c r="P46" i="5"/>
  <c r="Q46" i="5"/>
  <c r="S46" i="5"/>
  <c r="R47" i="5"/>
  <c r="P47" i="5"/>
  <c r="Q47" i="5"/>
  <c r="S47" i="5"/>
  <c r="R48" i="5"/>
  <c r="P48" i="5"/>
  <c r="Q48" i="5"/>
  <c r="S48" i="5"/>
  <c r="R49" i="5"/>
  <c r="P49" i="5"/>
  <c r="Q49" i="5"/>
  <c r="S49" i="5"/>
  <c r="Q50" i="5"/>
  <c r="Q51" i="5"/>
  <c r="S51" i="5"/>
  <c r="R52" i="5"/>
  <c r="P52" i="5"/>
  <c r="Q52" i="5"/>
  <c r="S52" i="5"/>
  <c r="R53" i="5"/>
  <c r="P53" i="5"/>
  <c r="Q53" i="5"/>
  <c r="S53" i="5"/>
  <c r="R54" i="5"/>
  <c r="P54" i="5"/>
  <c r="Q54" i="5"/>
  <c r="S54" i="5"/>
  <c r="P55" i="5"/>
  <c r="Q55" i="5"/>
  <c r="P56" i="5"/>
  <c r="Q56" i="5"/>
  <c r="S56" i="5"/>
  <c r="P57" i="5"/>
  <c r="Q57" i="5"/>
  <c r="S57" i="5"/>
  <c r="P58" i="5"/>
  <c r="Q58" i="5"/>
  <c r="S58" i="5"/>
  <c r="R59" i="5"/>
  <c r="P59" i="5"/>
  <c r="Q59" i="5"/>
  <c r="S59" i="5"/>
  <c r="R60" i="5"/>
  <c r="P60" i="5"/>
  <c r="Q60" i="5"/>
  <c r="S60" i="5"/>
  <c r="R61" i="5"/>
  <c r="P61" i="5"/>
  <c r="Q61" i="5"/>
  <c r="S61" i="5"/>
  <c r="P62" i="5"/>
  <c r="Q62" i="5"/>
  <c r="P63" i="5"/>
  <c r="Q63" i="5"/>
  <c r="S63" i="5"/>
  <c r="R64" i="5"/>
  <c r="P64" i="5"/>
  <c r="Q64" i="5"/>
  <c r="S64" i="5"/>
  <c r="R65" i="5"/>
  <c r="P65" i="5"/>
  <c r="Q65" i="5"/>
  <c r="S65" i="5"/>
  <c r="R66" i="5"/>
  <c r="P66" i="5"/>
  <c r="Q66" i="5"/>
  <c r="S66" i="5"/>
  <c r="P67" i="5"/>
  <c r="Q67" i="5"/>
  <c r="P68" i="5"/>
  <c r="Q68" i="5"/>
  <c r="S68" i="5"/>
  <c r="R69" i="5"/>
  <c r="P69" i="5"/>
  <c r="Q69" i="5"/>
  <c r="S69" i="5"/>
  <c r="R70" i="5"/>
  <c r="P70" i="5"/>
  <c r="Q70" i="5"/>
  <c r="S70" i="5"/>
  <c r="R71" i="5"/>
  <c r="P71" i="5"/>
  <c r="Q71" i="5"/>
  <c r="S71" i="5"/>
  <c r="P72" i="5"/>
  <c r="Q72" i="5"/>
  <c r="P73" i="5"/>
  <c r="Q73" i="5"/>
  <c r="S73" i="5"/>
  <c r="P74" i="5"/>
  <c r="Q74" i="5"/>
  <c r="S74" i="5"/>
  <c r="P75" i="5"/>
  <c r="Q75" i="5"/>
  <c r="S75" i="5"/>
  <c r="P76" i="5"/>
  <c r="Q76" i="5"/>
  <c r="S76" i="5"/>
  <c r="R77" i="5"/>
  <c r="P77" i="5"/>
  <c r="Q77" i="5"/>
  <c r="S77" i="5"/>
  <c r="R78" i="5"/>
  <c r="P78" i="5"/>
  <c r="Q78" i="5"/>
  <c r="S78" i="5"/>
  <c r="P79" i="5"/>
  <c r="Q79" i="5"/>
  <c r="R79" i="5"/>
  <c r="S79" i="5"/>
  <c r="P80" i="5"/>
  <c r="Q80" i="5"/>
  <c r="P81" i="5"/>
  <c r="Q81" i="5"/>
  <c r="S81" i="5"/>
  <c r="R82" i="5"/>
  <c r="P82" i="5"/>
  <c r="Q82" i="5"/>
  <c r="S82" i="5"/>
  <c r="R83" i="5"/>
  <c r="P83" i="5"/>
  <c r="Q83" i="5"/>
  <c r="S83" i="5"/>
  <c r="R84" i="5"/>
  <c r="P84" i="5"/>
  <c r="Q84" i="5"/>
  <c r="S84" i="5"/>
  <c r="P85" i="5"/>
  <c r="Q85" i="5"/>
  <c r="P86" i="5"/>
  <c r="Q86" i="5"/>
  <c r="S86" i="5"/>
  <c r="R87" i="5"/>
  <c r="P87" i="5"/>
  <c r="Q87" i="5"/>
  <c r="S87" i="5"/>
  <c r="R88" i="5"/>
  <c r="P88" i="5"/>
  <c r="Q88" i="5"/>
  <c r="S88" i="5"/>
  <c r="R89" i="5"/>
  <c r="P89" i="5"/>
  <c r="Q89" i="5"/>
  <c r="S89" i="5"/>
  <c r="Q90" i="5"/>
  <c r="Q91" i="5"/>
  <c r="S91" i="5"/>
  <c r="R92" i="5"/>
  <c r="P92" i="5"/>
  <c r="Q92" i="5"/>
  <c r="S92" i="5"/>
  <c r="R93" i="5"/>
  <c r="P93" i="5"/>
  <c r="Q93" i="5"/>
  <c r="S93" i="5"/>
  <c r="R94" i="5"/>
  <c r="P94" i="5"/>
  <c r="Q94" i="5"/>
  <c r="S94" i="5"/>
  <c r="Q95" i="5"/>
  <c r="Q96" i="5"/>
  <c r="S96" i="5"/>
  <c r="R97" i="5"/>
  <c r="P97" i="5"/>
  <c r="Q97" i="5"/>
  <c r="S97" i="5"/>
  <c r="R98" i="5"/>
  <c r="P98" i="5"/>
  <c r="Q98" i="5"/>
  <c r="S98" i="5"/>
  <c r="R99" i="5"/>
  <c r="P99" i="5"/>
  <c r="Q99" i="5"/>
  <c r="S99" i="5"/>
  <c r="P100" i="5"/>
  <c r="Q100" i="5"/>
  <c r="P101" i="5"/>
  <c r="Q101" i="5"/>
  <c r="S101" i="5"/>
  <c r="R102" i="5"/>
  <c r="P102" i="5"/>
  <c r="Q102" i="5"/>
  <c r="S102" i="5"/>
  <c r="R103" i="5"/>
  <c r="P103" i="5"/>
  <c r="Q103" i="5"/>
  <c r="S103" i="5"/>
  <c r="R104" i="5"/>
  <c r="P104" i="5"/>
  <c r="Q104" i="5"/>
  <c r="S104" i="5"/>
  <c r="Q105" i="5"/>
  <c r="R106" i="5"/>
  <c r="P106" i="5"/>
  <c r="Q106" i="5"/>
  <c r="S106" i="5"/>
  <c r="R107" i="5"/>
  <c r="P107" i="5"/>
  <c r="Q107" i="5"/>
  <c r="S107" i="5"/>
  <c r="R108" i="5"/>
  <c r="P108" i="5"/>
  <c r="Q108" i="5"/>
  <c r="S108" i="5"/>
  <c r="P109" i="5"/>
  <c r="Q109" i="5"/>
  <c r="P110" i="5"/>
  <c r="Q110" i="5"/>
  <c r="S110" i="5"/>
  <c r="R111" i="5"/>
  <c r="P111" i="5"/>
  <c r="Q111" i="5"/>
  <c r="S111" i="5"/>
  <c r="R112" i="5"/>
  <c r="P112" i="5"/>
  <c r="Q112" i="5"/>
  <c r="S112" i="5"/>
  <c r="R113" i="5"/>
  <c r="P113" i="5"/>
  <c r="Q113" i="5"/>
  <c r="S113" i="5"/>
  <c r="P114" i="5"/>
  <c r="Q114" i="5"/>
  <c r="P115" i="5"/>
  <c r="Q115" i="5"/>
  <c r="S115" i="5"/>
  <c r="R116" i="5"/>
  <c r="P116" i="5"/>
  <c r="Q116" i="5"/>
  <c r="S116" i="5"/>
  <c r="R117" i="5"/>
  <c r="P117" i="5"/>
  <c r="Q117" i="5"/>
  <c r="S117" i="5"/>
  <c r="R118" i="5"/>
  <c r="P118" i="5"/>
  <c r="Q118" i="5"/>
  <c r="S118" i="5"/>
  <c r="P119" i="5"/>
  <c r="Q119" i="5"/>
  <c r="P120" i="5"/>
  <c r="Q120" i="5"/>
  <c r="S120" i="5"/>
  <c r="R121" i="5"/>
  <c r="P121" i="5"/>
  <c r="Q121" i="5"/>
  <c r="S121" i="5"/>
  <c r="R122" i="5"/>
  <c r="P122" i="5"/>
  <c r="Q122" i="5"/>
  <c r="S122" i="5"/>
  <c r="R123" i="5"/>
  <c r="P123" i="5"/>
  <c r="Q123" i="5"/>
  <c r="S123" i="5"/>
  <c r="P124" i="5"/>
  <c r="Q124" i="5"/>
  <c r="P125" i="5"/>
  <c r="Q125" i="5"/>
  <c r="S125" i="5"/>
  <c r="R126" i="5"/>
  <c r="P126" i="5"/>
  <c r="Q126" i="5"/>
  <c r="S126" i="5"/>
  <c r="R127" i="5"/>
  <c r="P127" i="5"/>
  <c r="Q127" i="5"/>
  <c r="S127" i="5"/>
  <c r="R128" i="5"/>
  <c r="P128" i="5"/>
  <c r="Q128" i="5"/>
  <c r="S128" i="5"/>
  <c r="P129" i="5"/>
  <c r="Q129" i="5"/>
  <c r="P130" i="5"/>
  <c r="Q130" i="5"/>
  <c r="S130" i="5"/>
  <c r="R131" i="5"/>
  <c r="P131" i="5"/>
  <c r="Q131" i="5"/>
  <c r="S131" i="5"/>
  <c r="R132" i="5"/>
  <c r="P132" i="5"/>
  <c r="Q132" i="5"/>
  <c r="S132" i="5"/>
  <c r="R133" i="5"/>
  <c r="P133" i="5"/>
  <c r="Q133" i="5"/>
  <c r="S133" i="5"/>
  <c r="P134" i="5"/>
  <c r="Q134" i="5"/>
  <c r="P135" i="5"/>
  <c r="Q135" i="5"/>
  <c r="R135" i="5"/>
  <c r="S135" i="5"/>
  <c r="R136" i="5"/>
  <c r="P136" i="5"/>
  <c r="Q136" i="5"/>
  <c r="S136" i="5"/>
  <c r="R137" i="5"/>
  <c r="P137" i="5"/>
  <c r="Q137" i="5"/>
  <c r="S137" i="5"/>
  <c r="Q138" i="5"/>
  <c r="R139" i="5"/>
  <c r="P139" i="5"/>
  <c r="Q139" i="5"/>
  <c r="S139" i="5"/>
  <c r="R140" i="5"/>
  <c r="P140" i="5"/>
  <c r="Q140" i="5"/>
  <c r="S140" i="5"/>
  <c r="R141" i="5"/>
  <c r="P141" i="5"/>
  <c r="Q141" i="5"/>
  <c r="S141" i="5"/>
  <c r="P142" i="5"/>
  <c r="Q142" i="5"/>
  <c r="P143" i="5"/>
  <c r="Q143" i="5"/>
  <c r="S143" i="5"/>
  <c r="R144" i="5"/>
  <c r="P144" i="5"/>
  <c r="Q144" i="5"/>
  <c r="S144" i="5"/>
  <c r="R145" i="5"/>
  <c r="P145" i="5"/>
  <c r="Q145" i="5"/>
  <c r="S145" i="5"/>
  <c r="R146" i="5"/>
  <c r="P146" i="5"/>
  <c r="Q146" i="5"/>
  <c r="S146" i="5"/>
  <c r="P147" i="5"/>
  <c r="Q147" i="5"/>
  <c r="P148" i="5"/>
  <c r="Q148" i="5"/>
  <c r="S148" i="5"/>
  <c r="R149" i="5"/>
  <c r="P149" i="5"/>
  <c r="Q149" i="5"/>
  <c r="S149" i="5"/>
  <c r="R150" i="5"/>
  <c r="P150" i="5"/>
  <c r="Q150" i="5"/>
  <c r="S150" i="5"/>
  <c r="R151" i="5"/>
  <c r="P151" i="5"/>
  <c r="Q151" i="5"/>
  <c r="S151" i="5"/>
  <c r="P152" i="5"/>
  <c r="Q152" i="5"/>
  <c r="P153" i="5"/>
  <c r="Q153" i="5"/>
  <c r="S153" i="5"/>
  <c r="R154" i="5"/>
  <c r="P154" i="5"/>
  <c r="Q154" i="5"/>
  <c r="S154" i="5"/>
  <c r="R155" i="5"/>
  <c r="P155" i="5"/>
  <c r="Q155" i="5"/>
  <c r="S155" i="5"/>
  <c r="R156" i="5"/>
  <c r="P156" i="5"/>
  <c r="Q156" i="5"/>
  <c r="S156" i="5"/>
  <c r="Q157" i="5"/>
  <c r="Q158" i="5"/>
  <c r="S158" i="5"/>
  <c r="R159" i="5"/>
  <c r="P159" i="5"/>
  <c r="Q159" i="5"/>
  <c r="S159" i="5"/>
  <c r="P160" i="5"/>
  <c r="Q160" i="5"/>
  <c r="R160" i="5"/>
  <c r="S160" i="5"/>
  <c r="R161" i="5"/>
  <c r="P161" i="5"/>
  <c r="Q161" i="5"/>
  <c r="S161" i="5"/>
  <c r="R162" i="5"/>
  <c r="P162" i="5"/>
  <c r="Q162" i="5"/>
  <c r="S162" i="5"/>
  <c r="R163" i="5"/>
  <c r="P163" i="5"/>
  <c r="Q163" i="5"/>
  <c r="S163" i="5"/>
  <c r="P164" i="5"/>
  <c r="Q164" i="5"/>
  <c r="P165" i="5"/>
  <c r="Q165" i="5"/>
  <c r="S165" i="5"/>
  <c r="R166" i="5"/>
  <c r="P166" i="5"/>
  <c r="Q166" i="5"/>
  <c r="S166" i="5"/>
  <c r="R167" i="5"/>
  <c r="P167" i="5"/>
  <c r="Q167" i="5"/>
  <c r="S167" i="5"/>
  <c r="P168" i="5"/>
  <c r="Q168" i="5"/>
  <c r="R168" i="5"/>
  <c r="S168" i="5"/>
  <c r="P169" i="5"/>
  <c r="Q169" i="5"/>
  <c r="P170" i="5"/>
  <c r="Q170" i="5"/>
  <c r="S170" i="5"/>
  <c r="R171" i="5"/>
  <c r="P171" i="5"/>
  <c r="Q171" i="5"/>
  <c r="S171" i="5"/>
  <c r="R172" i="5"/>
  <c r="P172" i="5"/>
  <c r="Q172" i="5"/>
  <c r="S172" i="5"/>
  <c r="R173" i="5"/>
  <c r="P173" i="5"/>
  <c r="Q173" i="5"/>
  <c r="S173" i="5"/>
  <c r="P174" i="5"/>
  <c r="Q174" i="5"/>
  <c r="R175" i="5"/>
  <c r="P175" i="5"/>
  <c r="Q175" i="5"/>
  <c r="S175" i="5"/>
  <c r="R176" i="5"/>
  <c r="P176" i="5"/>
  <c r="Q176" i="5"/>
  <c r="S176" i="5"/>
  <c r="R177" i="5"/>
  <c r="P177" i="5"/>
  <c r="Q177" i="5"/>
  <c r="S177" i="5"/>
  <c r="Q178" i="5"/>
  <c r="R179" i="5"/>
  <c r="P179" i="5"/>
  <c r="Q179" i="5"/>
  <c r="S179" i="5"/>
  <c r="R180" i="5"/>
  <c r="P180" i="5"/>
  <c r="Q180" i="5"/>
  <c r="S180" i="5"/>
  <c r="R181" i="5"/>
  <c r="P181" i="5"/>
  <c r="Q181" i="5"/>
  <c r="S181" i="5"/>
  <c r="P182" i="5"/>
  <c r="Q182" i="5"/>
  <c r="R183" i="5"/>
  <c r="P183" i="5"/>
  <c r="Q183" i="5"/>
  <c r="S183" i="5"/>
  <c r="P184" i="5"/>
  <c r="Q184" i="5"/>
  <c r="R184" i="5"/>
  <c r="S184" i="5"/>
  <c r="R185" i="5"/>
  <c r="P185" i="5"/>
  <c r="Q185" i="5"/>
  <c r="S185" i="5"/>
  <c r="Q186" i="5"/>
  <c r="Q187" i="5"/>
  <c r="S187" i="5"/>
  <c r="R188" i="5"/>
  <c r="P188" i="5"/>
  <c r="Q188" i="5"/>
  <c r="S188" i="5"/>
  <c r="R189" i="5"/>
  <c r="P189" i="5"/>
  <c r="Q189" i="5"/>
  <c r="S189" i="5"/>
  <c r="R190" i="5"/>
  <c r="P190" i="5"/>
  <c r="Q190" i="5"/>
  <c r="S190" i="5"/>
  <c r="R191" i="5"/>
  <c r="P191" i="5"/>
  <c r="Q191" i="5"/>
  <c r="S191" i="5"/>
  <c r="R192" i="5"/>
  <c r="P192" i="5"/>
  <c r="Q192" i="5"/>
  <c r="S192" i="5"/>
  <c r="P193" i="5"/>
  <c r="Q193" i="5"/>
  <c r="P194" i="5"/>
  <c r="Q194" i="5"/>
  <c r="S194" i="5"/>
  <c r="P195" i="5"/>
  <c r="Q195" i="5"/>
  <c r="S195" i="5"/>
  <c r="P196" i="5"/>
  <c r="Q196" i="5"/>
  <c r="S196" i="5"/>
  <c r="R197" i="5"/>
  <c r="P197" i="5"/>
  <c r="Q197" i="5"/>
  <c r="S197" i="5"/>
  <c r="R198" i="5"/>
  <c r="P198" i="5"/>
  <c r="Q198" i="5"/>
  <c r="S198" i="5"/>
  <c r="R199" i="5"/>
  <c r="P199" i="5"/>
  <c r="Q199" i="5"/>
  <c r="S199" i="5"/>
  <c r="P200" i="5"/>
  <c r="Q200" i="5"/>
  <c r="R201" i="5"/>
  <c r="P201" i="5"/>
  <c r="Q201" i="5"/>
  <c r="S201" i="5"/>
  <c r="R202" i="5"/>
  <c r="P202" i="5"/>
  <c r="Q202" i="5"/>
  <c r="S202" i="5"/>
  <c r="R203" i="5"/>
  <c r="P203" i="5"/>
  <c r="Q203" i="5"/>
  <c r="S203" i="5"/>
  <c r="Q204" i="5"/>
  <c r="R205" i="5"/>
  <c r="P205" i="5"/>
  <c r="Q205" i="5"/>
  <c r="S205" i="5"/>
  <c r="R206" i="5"/>
  <c r="P206" i="5"/>
  <c r="Q206" i="5"/>
  <c r="S206" i="5"/>
  <c r="R207" i="5"/>
  <c r="P207" i="5"/>
  <c r="Q207" i="5"/>
  <c r="S207" i="5"/>
  <c r="P208" i="5"/>
  <c r="Q208" i="5"/>
  <c r="P209" i="5"/>
  <c r="Q209" i="5"/>
  <c r="S209" i="5"/>
  <c r="R210" i="5"/>
  <c r="P210" i="5"/>
  <c r="Q210" i="5"/>
  <c r="S210" i="5"/>
  <c r="R211" i="5"/>
  <c r="P211" i="5"/>
  <c r="Q211" i="5"/>
  <c r="S211" i="5"/>
  <c r="R212" i="5"/>
  <c r="P212" i="5"/>
  <c r="Q212" i="5"/>
  <c r="S212" i="5"/>
  <c r="P213" i="5"/>
  <c r="Q213" i="5"/>
  <c r="R214" i="5"/>
  <c r="P214" i="5"/>
  <c r="Q214" i="5"/>
  <c r="S214" i="5"/>
  <c r="R215" i="5"/>
  <c r="P215" i="5"/>
  <c r="Q215" i="5"/>
  <c r="S215" i="5"/>
  <c r="R216" i="5"/>
  <c r="P216" i="5"/>
  <c r="Q216" i="5"/>
  <c r="S216" i="5"/>
  <c r="P217" i="5"/>
  <c r="Q217" i="5"/>
  <c r="P218" i="5"/>
  <c r="Q218" i="5"/>
  <c r="S218" i="5"/>
  <c r="R219" i="5"/>
  <c r="P219" i="5"/>
  <c r="Q219" i="5"/>
  <c r="S219" i="5"/>
  <c r="R220" i="5"/>
  <c r="P220" i="5"/>
  <c r="Q220" i="5"/>
  <c r="S220" i="5"/>
  <c r="R221" i="5"/>
  <c r="P221" i="5"/>
  <c r="Q221" i="5"/>
  <c r="S221" i="5"/>
  <c r="P222" i="5"/>
  <c r="Q222" i="5"/>
  <c r="P223" i="5"/>
  <c r="Q223" i="5"/>
  <c r="S223" i="5"/>
  <c r="R224" i="5"/>
  <c r="P224" i="5"/>
  <c r="Q224" i="5"/>
  <c r="S224" i="5"/>
  <c r="R225" i="5"/>
  <c r="P225" i="5"/>
  <c r="Q225" i="5"/>
  <c r="S225" i="5"/>
  <c r="P226" i="5"/>
  <c r="Q226" i="5"/>
  <c r="R226" i="5"/>
  <c r="S226" i="5"/>
  <c r="P227" i="5"/>
  <c r="Q227" i="5"/>
  <c r="R228" i="5"/>
  <c r="P228" i="5"/>
  <c r="Q228" i="5"/>
  <c r="S228" i="5"/>
  <c r="R229" i="5"/>
  <c r="P229" i="5"/>
  <c r="Q229" i="5"/>
  <c r="S229" i="5"/>
  <c r="R230" i="5"/>
  <c r="P230" i="5"/>
  <c r="Q230" i="5"/>
  <c r="S230" i="5"/>
  <c r="P231" i="5"/>
  <c r="Q231" i="5"/>
  <c r="R232" i="5"/>
  <c r="P232" i="5"/>
  <c r="Q232" i="5"/>
  <c r="S232" i="5"/>
  <c r="R233" i="5"/>
  <c r="P233" i="5"/>
  <c r="Q233" i="5"/>
  <c r="S233" i="5"/>
  <c r="R234" i="5"/>
  <c r="P234" i="5"/>
  <c r="Q234" i="5"/>
  <c r="S234" i="5"/>
  <c r="P235" i="5"/>
  <c r="Q235" i="5"/>
  <c r="R236" i="5"/>
  <c r="P236" i="5"/>
  <c r="Q236" i="5"/>
  <c r="S236" i="5"/>
  <c r="R237" i="5"/>
  <c r="P237" i="5"/>
  <c r="Q237" i="5"/>
  <c r="S237" i="5"/>
  <c r="R238" i="5"/>
  <c r="P238" i="5"/>
  <c r="Q238" i="5"/>
  <c r="S238" i="5"/>
  <c r="P239" i="5"/>
  <c r="Q239" i="5"/>
  <c r="P240" i="5"/>
  <c r="Q240" i="5"/>
  <c r="R240" i="5"/>
  <c r="S240" i="5"/>
  <c r="R241" i="5"/>
  <c r="P241" i="5"/>
  <c r="Q241" i="5"/>
  <c r="S241" i="5"/>
  <c r="R242" i="5"/>
  <c r="P242" i="5"/>
  <c r="Q242" i="5"/>
  <c r="S242" i="5"/>
  <c r="P243" i="5"/>
  <c r="Q243" i="5"/>
  <c r="P244" i="5"/>
  <c r="Q244" i="5"/>
  <c r="S244" i="5"/>
  <c r="P245" i="5"/>
  <c r="Q245" i="5"/>
  <c r="S245" i="5"/>
  <c r="P246" i="5"/>
  <c r="Q246" i="5"/>
  <c r="S246" i="5"/>
  <c r="P247" i="5"/>
  <c r="Q247" i="5"/>
  <c r="S247" i="5"/>
  <c r="R248" i="5"/>
  <c r="P248" i="5"/>
  <c r="Q248" i="5"/>
  <c r="S248" i="5"/>
  <c r="R249" i="5"/>
  <c r="P249" i="5"/>
  <c r="Q249" i="5"/>
  <c r="S249" i="5"/>
  <c r="R250" i="5"/>
  <c r="P250" i="5"/>
  <c r="Q250" i="5"/>
  <c r="S250" i="5"/>
  <c r="P251" i="5"/>
  <c r="Q251" i="5"/>
  <c r="P252" i="5"/>
  <c r="Q252" i="5"/>
  <c r="S252" i="5"/>
  <c r="P253" i="5"/>
  <c r="Q253" i="5"/>
  <c r="S253" i="5"/>
  <c r="P254" i="5"/>
  <c r="Q254" i="5"/>
  <c r="S254" i="5"/>
  <c r="P255" i="5"/>
  <c r="Q255" i="5"/>
  <c r="S255" i="5"/>
  <c r="P256" i="5"/>
  <c r="Q256" i="5"/>
  <c r="S256" i="5"/>
  <c r="P257" i="5"/>
  <c r="Q257" i="5"/>
  <c r="S257" i="5"/>
  <c r="P258" i="5"/>
  <c r="Q258" i="5"/>
  <c r="S258" i="5"/>
  <c r="P259" i="5"/>
  <c r="Q259" i="5"/>
  <c r="S259" i="5"/>
  <c r="P260" i="5"/>
  <c r="Q260" i="5"/>
  <c r="S260" i="5"/>
  <c r="P261" i="5"/>
  <c r="Q261" i="5"/>
  <c r="S261" i="5"/>
  <c r="P262" i="5"/>
  <c r="Q262" i="5"/>
  <c r="S262" i="5"/>
  <c r="R263" i="5"/>
  <c r="P263" i="5"/>
  <c r="Q263" i="5"/>
  <c r="S263" i="5"/>
  <c r="R264" i="5"/>
  <c r="P264" i="5"/>
  <c r="Q264" i="5"/>
  <c r="S264" i="5"/>
  <c r="R265" i="5"/>
  <c r="P265" i="5"/>
  <c r="Q265" i="5"/>
  <c r="S265" i="5"/>
  <c r="P266" i="5"/>
  <c r="Q266" i="5"/>
  <c r="P267" i="5"/>
  <c r="Q267" i="5"/>
  <c r="S267" i="5"/>
  <c r="R268" i="5"/>
  <c r="P268" i="5"/>
  <c r="Q268" i="5"/>
  <c r="S268" i="5"/>
  <c r="R269" i="5"/>
  <c r="P269" i="5"/>
  <c r="Q269" i="5"/>
  <c r="S269" i="5"/>
  <c r="R270" i="5"/>
  <c r="P270" i="5"/>
  <c r="Q270" i="5"/>
  <c r="S270" i="5"/>
  <c r="P271" i="5"/>
  <c r="Q271" i="5"/>
  <c r="P272" i="5"/>
  <c r="Q272" i="5"/>
  <c r="S272" i="5"/>
  <c r="P273" i="5"/>
  <c r="Q273" i="5"/>
  <c r="S273" i="5"/>
  <c r="P274" i="5"/>
  <c r="Q274" i="5"/>
  <c r="S274" i="5"/>
  <c r="P275" i="5"/>
  <c r="Q275" i="5"/>
  <c r="S275" i="5"/>
  <c r="R276" i="5"/>
  <c r="P276" i="5"/>
  <c r="Q276" i="5"/>
  <c r="S276" i="5"/>
  <c r="P277" i="5"/>
  <c r="Q277" i="5"/>
  <c r="R277" i="5"/>
  <c r="S277" i="5"/>
  <c r="R278" i="5"/>
  <c r="P278" i="5"/>
  <c r="Q278" i="5"/>
  <c r="S278" i="5"/>
  <c r="P279" i="5"/>
  <c r="Q279" i="5"/>
  <c r="P280" i="5"/>
  <c r="Q280" i="5"/>
  <c r="S280" i="5"/>
  <c r="P281" i="5"/>
  <c r="Q281" i="5"/>
  <c r="S281" i="5"/>
  <c r="P282" i="5"/>
  <c r="Q282" i="5"/>
  <c r="S282" i="5"/>
  <c r="R283" i="5"/>
  <c r="P283" i="5"/>
  <c r="Q283" i="5"/>
  <c r="S283" i="5"/>
  <c r="R284" i="5"/>
  <c r="P284" i="5"/>
  <c r="Q284" i="5"/>
  <c r="S284" i="5"/>
  <c r="P285" i="5"/>
  <c r="Q285" i="5"/>
  <c r="R285" i="5"/>
  <c r="S285" i="5"/>
  <c r="P286" i="5"/>
  <c r="Q286" i="5"/>
  <c r="P287" i="5"/>
  <c r="Q287" i="5"/>
  <c r="S287" i="5"/>
  <c r="P288" i="5"/>
  <c r="Q288" i="5"/>
  <c r="S288" i="5"/>
  <c r="P289" i="5"/>
  <c r="Q289" i="5"/>
  <c r="S289" i="5"/>
  <c r="R290" i="5"/>
  <c r="P290" i="5"/>
  <c r="Q290" i="5"/>
  <c r="S290" i="5"/>
  <c r="R291" i="5"/>
  <c r="P291" i="5"/>
  <c r="Q291" i="5"/>
  <c r="S291" i="5"/>
  <c r="R292" i="5"/>
  <c r="P292" i="5"/>
  <c r="Q292" i="5"/>
  <c r="S292" i="5"/>
  <c r="P293" i="5"/>
  <c r="Q293" i="5"/>
  <c r="P294" i="5"/>
  <c r="Q294" i="5"/>
  <c r="S294" i="5"/>
  <c r="P295" i="5"/>
  <c r="Q295" i="5"/>
  <c r="S295" i="5"/>
  <c r="P296" i="5"/>
  <c r="Q296" i="5"/>
  <c r="S296" i="5"/>
  <c r="P297" i="5"/>
  <c r="Q297" i="5"/>
  <c r="S297" i="5"/>
  <c r="P298" i="5"/>
  <c r="Q298" i="5"/>
  <c r="S298" i="5"/>
  <c r="P299" i="5"/>
  <c r="Q299" i="5"/>
  <c r="S299" i="5"/>
  <c r="P300" i="5"/>
  <c r="Q300" i="5"/>
  <c r="S300" i="5"/>
  <c r="Q301" i="5"/>
  <c r="S301" i="5"/>
  <c r="Q302" i="5"/>
  <c r="S302" i="5"/>
  <c r="R303" i="5"/>
  <c r="P303" i="5"/>
  <c r="Q303" i="5"/>
  <c r="S303" i="5"/>
  <c r="P304" i="5"/>
  <c r="Q304" i="5"/>
  <c r="R304" i="5"/>
  <c r="S304" i="5"/>
  <c r="R305" i="5"/>
  <c r="P305" i="5"/>
  <c r="Q305" i="5"/>
  <c r="S305" i="5"/>
  <c r="R306" i="5"/>
  <c r="P306" i="5"/>
  <c r="Q306" i="5"/>
  <c r="S306" i="5"/>
  <c r="R307" i="5"/>
  <c r="P307" i="5"/>
  <c r="Q307" i="5"/>
  <c r="S307" i="5"/>
  <c r="P308" i="5"/>
  <c r="Q308" i="5"/>
  <c r="P309" i="5"/>
  <c r="Q309" i="5"/>
  <c r="S309" i="5"/>
  <c r="P310" i="5"/>
  <c r="Q310" i="5"/>
  <c r="S310" i="5"/>
  <c r="P311" i="5"/>
  <c r="Q311" i="5"/>
  <c r="S311" i="5"/>
  <c r="P312" i="5"/>
  <c r="Q312" i="5"/>
  <c r="S312" i="5"/>
  <c r="P313" i="5"/>
  <c r="Q313" i="5"/>
  <c r="S313" i="5"/>
  <c r="P314" i="5"/>
  <c r="Q314" i="5"/>
  <c r="S314" i="5"/>
  <c r="P315" i="5"/>
  <c r="Q315" i="5"/>
  <c r="S315" i="5"/>
  <c r="Q316" i="5"/>
  <c r="S316" i="5"/>
  <c r="Q317" i="5"/>
  <c r="S317" i="5"/>
  <c r="R318" i="5"/>
  <c r="P318" i="5"/>
  <c r="Q318" i="5"/>
  <c r="S318" i="5"/>
  <c r="R319" i="5"/>
  <c r="P319" i="5"/>
  <c r="Q319" i="5"/>
  <c r="S319" i="5"/>
  <c r="R320" i="5"/>
  <c r="P320" i="5"/>
  <c r="Q320" i="5"/>
  <c r="S320" i="5"/>
  <c r="R321" i="5"/>
  <c r="P321" i="5"/>
  <c r="Q321" i="5"/>
  <c r="S321" i="5"/>
  <c r="R322" i="5"/>
  <c r="P322" i="5"/>
  <c r="Q322" i="5"/>
  <c r="S322" i="5"/>
  <c r="P323" i="5"/>
  <c r="Q323" i="5"/>
  <c r="P324" i="5"/>
  <c r="Q324" i="5"/>
  <c r="S324" i="5"/>
  <c r="P325" i="5"/>
  <c r="Q325" i="5"/>
  <c r="S325" i="5"/>
  <c r="R326" i="5"/>
  <c r="P326" i="5"/>
  <c r="Q326" i="5"/>
  <c r="S326" i="5"/>
  <c r="R327" i="5"/>
  <c r="P327" i="5"/>
  <c r="Q327" i="5"/>
  <c r="S327" i="5"/>
  <c r="R328" i="5"/>
  <c r="P328" i="5"/>
  <c r="Q328" i="5"/>
  <c r="S328" i="5"/>
  <c r="P329" i="5"/>
  <c r="Q329" i="5"/>
  <c r="P330" i="5"/>
  <c r="Q330" i="5"/>
  <c r="S330" i="5"/>
  <c r="P331" i="5"/>
  <c r="Q331" i="5"/>
  <c r="S331" i="5"/>
  <c r="P332" i="5"/>
  <c r="Q332" i="5"/>
  <c r="S332" i="5"/>
  <c r="P333" i="5"/>
  <c r="Q333" i="5"/>
  <c r="S333" i="5"/>
  <c r="P334" i="5"/>
  <c r="Q334" i="5"/>
  <c r="S334" i="5"/>
  <c r="Q335" i="5"/>
  <c r="S335" i="5"/>
  <c r="P336" i="5"/>
  <c r="Q336" i="5"/>
  <c r="S336" i="5"/>
  <c r="P337" i="5"/>
  <c r="Q337" i="5"/>
  <c r="S337" i="5"/>
  <c r="P338" i="5"/>
  <c r="Q338" i="5"/>
  <c r="S338" i="5"/>
  <c r="P339" i="5"/>
  <c r="Q339" i="5"/>
  <c r="S339" i="5"/>
  <c r="P340" i="5"/>
  <c r="Q340" i="5"/>
  <c r="S340" i="5"/>
  <c r="R341" i="5"/>
  <c r="P341" i="5"/>
  <c r="Q341" i="5"/>
  <c r="S341" i="5"/>
  <c r="R342" i="5"/>
  <c r="P342" i="5"/>
  <c r="Q342" i="5"/>
  <c r="S342" i="5"/>
  <c r="R343" i="5"/>
  <c r="P343" i="5"/>
  <c r="Q343" i="5"/>
  <c r="S343" i="5"/>
  <c r="P344" i="5"/>
  <c r="Q344" i="5"/>
  <c r="P345" i="5"/>
  <c r="Q345" i="5"/>
  <c r="S345" i="5"/>
  <c r="P346" i="5"/>
  <c r="Q346" i="5"/>
  <c r="S346" i="5"/>
  <c r="P347" i="5"/>
  <c r="Q347" i="5"/>
  <c r="S347" i="5"/>
  <c r="P348" i="5"/>
  <c r="Q348" i="5"/>
  <c r="S348" i="5"/>
  <c r="P349" i="5"/>
  <c r="Q349" i="5"/>
  <c r="S349" i="5"/>
  <c r="P350" i="5"/>
  <c r="Q350" i="5"/>
  <c r="S350" i="5"/>
  <c r="R351" i="5"/>
  <c r="P351" i="5"/>
  <c r="Q351" i="5"/>
  <c r="S351" i="5"/>
  <c r="R352" i="5"/>
  <c r="P352" i="5"/>
  <c r="Q352" i="5"/>
  <c r="S352" i="5"/>
  <c r="R353" i="5"/>
  <c r="P353" i="5"/>
  <c r="Q353" i="5"/>
  <c r="S353" i="5"/>
  <c r="P354" i="5"/>
  <c r="Q354" i="5"/>
  <c r="P355" i="5"/>
  <c r="Q355" i="5"/>
  <c r="S355" i="5"/>
  <c r="P356" i="5"/>
  <c r="Q356" i="5"/>
  <c r="S356" i="5"/>
  <c r="P357" i="5"/>
  <c r="Q357" i="5"/>
  <c r="S357" i="5"/>
  <c r="P358" i="5"/>
  <c r="Q358" i="5"/>
  <c r="S358" i="5"/>
  <c r="P359" i="5"/>
  <c r="Q359" i="5"/>
  <c r="S359" i="5"/>
  <c r="P360" i="5"/>
  <c r="Q360" i="5"/>
  <c r="S360" i="5"/>
  <c r="Q361" i="5"/>
  <c r="S361" i="5"/>
  <c r="Q362" i="5"/>
  <c r="S362" i="5"/>
  <c r="R363" i="5"/>
  <c r="P363" i="5"/>
  <c r="Q363" i="5"/>
  <c r="S363" i="5"/>
  <c r="R364" i="5"/>
  <c r="P364" i="5"/>
  <c r="Q364" i="5"/>
  <c r="S364" i="5"/>
  <c r="R365" i="5"/>
  <c r="P365" i="5"/>
  <c r="Q365" i="5"/>
  <c r="S365" i="5"/>
  <c r="R366" i="5"/>
  <c r="P366" i="5"/>
  <c r="Q366" i="5"/>
  <c r="S366" i="5"/>
  <c r="P367" i="5"/>
  <c r="Q367" i="5"/>
  <c r="R367" i="5"/>
  <c r="S367" i="5"/>
  <c r="P368" i="5"/>
  <c r="Q368" i="5"/>
  <c r="P369" i="5"/>
  <c r="Q369" i="5"/>
  <c r="S369" i="5"/>
  <c r="P370" i="5"/>
  <c r="Q370" i="5"/>
  <c r="S370" i="5"/>
  <c r="R371" i="5"/>
  <c r="P371" i="5"/>
  <c r="Q371" i="5"/>
  <c r="S371" i="5"/>
  <c r="R372" i="5"/>
  <c r="P372" i="5"/>
  <c r="Q372" i="5"/>
  <c r="S372" i="5"/>
  <c r="R373" i="5"/>
  <c r="P373" i="5"/>
  <c r="Q373" i="5"/>
  <c r="S373" i="5"/>
  <c r="P374" i="5"/>
  <c r="Q374" i="5"/>
  <c r="P375" i="5"/>
  <c r="Q375" i="5"/>
  <c r="S375" i="5"/>
  <c r="P376" i="5"/>
  <c r="Q376" i="5"/>
  <c r="S376" i="5"/>
  <c r="P377" i="5"/>
  <c r="Q377" i="5"/>
  <c r="S377" i="5"/>
  <c r="P378" i="5"/>
  <c r="Q378" i="5"/>
  <c r="S378" i="5"/>
  <c r="P379" i="5"/>
  <c r="Q379" i="5"/>
  <c r="S379" i="5"/>
  <c r="R380" i="5"/>
  <c r="P380" i="5"/>
  <c r="Q380" i="5"/>
  <c r="S380" i="5"/>
  <c r="R381" i="5"/>
  <c r="P381" i="5"/>
  <c r="Q381" i="5"/>
  <c r="S381" i="5"/>
  <c r="R382" i="5"/>
  <c r="P382" i="5"/>
  <c r="Q382" i="5"/>
  <c r="S382" i="5"/>
  <c r="P383" i="5"/>
  <c r="Q383" i="5"/>
  <c r="P384" i="5"/>
  <c r="Q384" i="5"/>
  <c r="S384" i="5"/>
  <c r="P385" i="5"/>
  <c r="Q385" i="5"/>
  <c r="S385" i="5"/>
  <c r="P386" i="5"/>
  <c r="Q386" i="5"/>
  <c r="S386" i="5"/>
  <c r="P387" i="5"/>
  <c r="Q387" i="5"/>
  <c r="S387" i="5"/>
  <c r="P388" i="5"/>
  <c r="Q388" i="5"/>
  <c r="S388" i="5"/>
  <c r="P389" i="5"/>
  <c r="Q389" i="5"/>
  <c r="S389" i="5"/>
  <c r="P390" i="5"/>
  <c r="Q390" i="5"/>
  <c r="S390" i="5"/>
  <c r="P391" i="5"/>
  <c r="Q391" i="5"/>
  <c r="S391" i="5"/>
  <c r="P392" i="5"/>
  <c r="Q392" i="5"/>
  <c r="S392" i="5"/>
  <c r="P393" i="5"/>
  <c r="Q393" i="5"/>
  <c r="S393" i="5"/>
  <c r="R394" i="5"/>
  <c r="P394" i="5"/>
  <c r="Q394" i="5"/>
  <c r="S394" i="5"/>
  <c r="R395" i="5"/>
  <c r="P395" i="5"/>
  <c r="Q395" i="5"/>
  <c r="S395" i="5"/>
  <c r="R396" i="5"/>
  <c r="P396" i="5"/>
  <c r="Q396" i="5"/>
  <c r="S396" i="5"/>
  <c r="P397" i="5"/>
  <c r="Q397" i="5"/>
  <c r="P398" i="5"/>
  <c r="Q398" i="5"/>
  <c r="S398" i="5"/>
  <c r="P399" i="5"/>
  <c r="Q399" i="5"/>
  <c r="S399" i="5"/>
  <c r="P400" i="5"/>
  <c r="Q400" i="5"/>
  <c r="S400" i="5"/>
  <c r="R401" i="5"/>
  <c r="P401" i="5"/>
  <c r="Q401" i="5"/>
  <c r="S401" i="5"/>
  <c r="R402" i="5"/>
  <c r="P402" i="5"/>
  <c r="Q402" i="5"/>
  <c r="S402" i="5"/>
  <c r="R403" i="5"/>
  <c r="P403" i="5"/>
  <c r="Q403" i="5"/>
  <c r="S403" i="5"/>
  <c r="P404" i="5"/>
  <c r="Q404" i="5"/>
  <c r="P405" i="5"/>
  <c r="Q405" i="5"/>
  <c r="S405" i="5"/>
  <c r="P406" i="5"/>
  <c r="Q406" i="5"/>
  <c r="S406" i="5"/>
  <c r="P407" i="5"/>
  <c r="Q407" i="5"/>
  <c r="S407" i="5"/>
  <c r="P408" i="5"/>
  <c r="Q408" i="5"/>
  <c r="S408" i="5"/>
  <c r="P409" i="5"/>
  <c r="Q409" i="5"/>
  <c r="S409" i="5"/>
  <c r="P410" i="5"/>
  <c r="Q410" i="5"/>
  <c r="S410" i="5"/>
  <c r="P411" i="5"/>
  <c r="Q411" i="5"/>
  <c r="S411" i="5"/>
  <c r="P412" i="5"/>
  <c r="Q412" i="5"/>
  <c r="S412" i="5"/>
  <c r="P413" i="5"/>
  <c r="Q413" i="5"/>
  <c r="S413" i="5"/>
  <c r="P414" i="5"/>
  <c r="Q414" i="5"/>
  <c r="S414" i="5"/>
  <c r="R415" i="5"/>
  <c r="P415" i="5"/>
  <c r="Q415" i="5"/>
  <c r="S415" i="5"/>
  <c r="R416" i="5"/>
  <c r="P416" i="5"/>
  <c r="Q416" i="5"/>
  <c r="S416" i="5"/>
  <c r="R417" i="5"/>
  <c r="P417" i="5"/>
  <c r="Q417" i="5"/>
  <c r="S417" i="5"/>
  <c r="P418" i="5"/>
  <c r="Q418" i="5"/>
  <c r="P419" i="5"/>
  <c r="Q419" i="5"/>
  <c r="S419" i="5"/>
  <c r="Q420" i="5"/>
  <c r="S420" i="5"/>
  <c r="Q421" i="5"/>
  <c r="S421" i="5"/>
  <c r="R422" i="5"/>
  <c r="P422" i="5"/>
  <c r="Q422" i="5"/>
  <c r="S422" i="5"/>
  <c r="P423" i="5"/>
  <c r="Q423" i="5"/>
  <c r="R423" i="5"/>
  <c r="S423" i="5"/>
  <c r="R424" i="5"/>
  <c r="P424" i="5"/>
  <c r="Q424" i="5"/>
  <c r="S424" i="5"/>
  <c r="P425" i="5"/>
  <c r="Q425" i="5"/>
  <c r="P426" i="5"/>
  <c r="Q426" i="5"/>
  <c r="S426" i="5"/>
  <c r="P427" i="5"/>
  <c r="Q427" i="5"/>
  <c r="S427" i="5"/>
  <c r="P428" i="5"/>
  <c r="Q428" i="5"/>
  <c r="S428" i="5"/>
  <c r="P429" i="5"/>
  <c r="Q429" i="5"/>
  <c r="S429" i="5"/>
  <c r="P430" i="5"/>
  <c r="Q430" i="5"/>
  <c r="S430" i="5"/>
  <c r="P431" i="5"/>
  <c r="Q431" i="5"/>
  <c r="S431" i="5"/>
  <c r="P432" i="5"/>
  <c r="Q432" i="5"/>
  <c r="S432" i="5"/>
  <c r="P433" i="5"/>
  <c r="Q433" i="5"/>
  <c r="S433" i="5"/>
  <c r="R434" i="5"/>
  <c r="P434" i="5"/>
  <c r="Q434" i="5"/>
  <c r="S434" i="5"/>
  <c r="R435" i="5"/>
  <c r="P435" i="5"/>
  <c r="Q435" i="5"/>
  <c r="S435" i="5"/>
  <c r="R436" i="5"/>
  <c r="P436" i="5"/>
  <c r="Q436" i="5"/>
  <c r="S436" i="5"/>
  <c r="P437" i="5"/>
  <c r="Q437" i="5"/>
  <c r="P438" i="5"/>
  <c r="Q438" i="5"/>
  <c r="S438" i="5"/>
  <c r="P439" i="5"/>
  <c r="Q439" i="5"/>
  <c r="S439" i="5"/>
  <c r="R440" i="5"/>
  <c r="P440" i="5"/>
  <c r="Q440" i="5"/>
  <c r="S440" i="5"/>
  <c r="R441" i="5"/>
  <c r="P441" i="5"/>
  <c r="Q441" i="5"/>
  <c r="S441" i="5"/>
  <c r="P442" i="5"/>
  <c r="Q442" i="5"/>
  <c r="R442" i="5"/>
  <c r="S442" i="5"/>
  <c r="P443" i="5"/>
  <c r="Q443" i="5"/>
  <c r="P444" i="5"/>
  <c r="Q444" i="5"/>
  <c r="S444" i="5"/>
  <c r="P445" i="5"/>
  <c r="Q445" i="5"/>
  <c r="S445" i="5"/>
  <c r="R446" i="5"/>
  <c r="P446" i="5"/>
  <c r="Q446" i="5"/>
  <c r="S446" i="5"/>
  <c r="R447" i="5"/>
  <c r="P447" i="5"/>
  <c r="Q447" i="5"/>
  <c r="S447" i="5"/>
  <c r="R448" i="5"/>
  <c r="P448" i="5"/>
  <c r="Q448" i="5"/>
  <c r="S448" i="5"/>
  <c r="P449" i="5"/>
  <c r="Q449" i="5"/>
  <c r="P450" i="5"/>
  <c r="Q450" i="5"/>
  <c r="S450" i="5"/>
  <c r="R451" i="5"/>
  <c r="P451" i="5"/>
  <c r="Q451" i="5"/>
  <c r="S451" i="5"/>
  <c r="R452" i="5"/>
  <c r="P452" i="5"/>
  <c r="Q452" i="5"/>
  <c r="S452" i="5"/>
  <c r="R453" i="5"/>
  <c r="P453" i="5"/>
  <c r="Q453" i="5"/>
  <c r="S453" i="5"/>
  <c r="R454" i="5"/>
  <c r="P454" i="5"/>
  <c r="Q454" i="5"/>
  <c r="S454" i="5"/>
  <c r="R455" i="5"/>
  <c r="P455" i="5"/>
  <c r="Q455" i="5"/>
  <c r="S455" i="5"/>
  <c r="R456" i="5"/>
  <c r="P456" i="5"/>
  <c r="Q456" i="5"/>
  <c r="S456" i="5"/>
  <c r="Q457" i="5"/>
  <c r="Q458" i="5"/>
  <c r="S458" i="5"/>
  <c r="P459" i="5"/>
  <c r="Q459" i="5"/>
  <c r="S459" i="5"/>
  <c r="Q460" i="5"/>
  <c r="S460" i="5"/>
  <c r="R461" i="5"/>
  <c r="P461" i="5"/>
  <c r="Q461" i="5"/>
  <c r="S461" i="5"/>
  <c r="R462" i="5"/>
  <c r="P462" i="5"/>
  <c r="Q462" i="5"/>
  <c r="S462" i="5"/>
  <c r="R463" i="5"/>
  <c r="P463" i="5"/>
  <c r="Q463" i="5"/>
  <c r="S463" i="5"/>
  <c r="R464" i="5"/>
  <c r="P464" i="5"/>
  <c r="Q464" i="5"/>
  <c r="S464" i="5"/>
  <c r="R465" i="5"/>
  <c r="P465" i="5"/>
  <c r="Q465" i="5"/>
  <c r="S465" i="5"/>
  <c r="P466" i="5"/>
  <c r="Q466" i="5"/>
  <c r="R466" i="5"/>
  <c r="S466" i="5"/>
  <c r="Q467" i="5"/>
  <c r="Q468" i="5"/>
  <c r="S468" i="5"/>
  <c r="Q469" i="5"/>
  <c r="S469" i="5"/>
  <c r="Q470" i="5"/>
  <c r="S470" i="5"/>
  <c r="R471" i="5"/>
  <c r="P471" i="5"/>
  <c r="Q471" i="5"/>
  <c r="S471" i="5"/>
  <c r="R472" i="5"/>
  <c r="P472" i="5"/>
  <c r="Q472" i="5"/>
  <c r="S472" i="5"/>
  <c r="R473" i="5"/>
  <c r="P473" i="5"/>
  <c r="Q473" i="5"/>
  <c r="S473" i="5"/>
  <c r="P474" i="5"/>
  <c r="Q474" i="5"/>
  <c r="P475" i="5"/>
  <c r="Q475" i="5"/>
  <c r="S475" i="5"/>
  <c r="P476" i="5"/>
  <c r="Q476" i="5"/>
  <c r="S476" i="5"/>
  <c r="Q477" i="5"/>
  <c r="S477" i="5"/>
  <c r="R478" i="5"/>
  <c r="P478" i="5"/>
  <c r="Q478" i="5"/>
  <c r="S478" i="5"/>
  <c r="R479" i="5"/>
  <c r="P479" i="5"/>
  <c r="Q479" i="5"/>
  <c r="S479" i="5"/>
  <c r="R480" i="5"/>
  <c r="P480" i="5"/>
  <c r="Q480" i="5"/>
  <c r="S480" i="5"/>
  <c r="R481" i="5"/>
  <c r="P481" i="5"/>
  <c r="Q481" i="5"/>
  <c r="S481" i="5"/>
  <c r="P482" i="5"/>
  <c r="Q482" i="5"/>
  <c r="R482" i="5"/>
  <c r="S482" i="5"/>
  <c r="R483" i="5"/>
  <c r="P483" i="5"/>
  <c r="Q483" i="5"/>
  <c r="S483" i="5"/>
  <c r="R484" i="5"/>
  <c r="P484" i="5"/>
  <c r="Q484" i="5"/>
  <c r="S484" i="5"/>
  <c r="R485" i="5"/>
  <c r="P485" i="5"/>
  <c r="Q485" i="5"/>
  <c r="S485" i="5"/>
  <c r="P486" i="5"/>
  <c r="Q486" i="5"/>
  <c r="P487" i="5"/>
  <c r="Q487" i="5"/>
  <c r="S487" i="5"/>
  <c r="R488" i="5"/>
  <c r="P488" i="5"/>
  <c r="Q488" i="5"/>
  <c r="S488" i="5"/>
  <c r="R489" i="5"/>
  <c r="P489" i="5"/>
  <c r="Q489" i="5"/>
  <c r="S489" i="5"/>
  <c r="P490" i="5"/>
  <c r="Q490" i="5"/>
  <c r="R490" i="5"/>
  <c r="S490" i="5"/>
  <c r="R491" i="5"/>
  <c r="P491" i="5"/>
  <c r="Q491" i="5"/>
  <c r="S491" i="5"/>
  <c r="Q492" i="5"/>
  <c r="R493" i="5"/>
  <c r="Q493" i="5"/>
  <c r="S493" i="5"/>
  <c r="R494" i="5"/>
  <c r="P494" i="5"/>
  <c r="Q494" i="5"/>
  <c r="S494" i="5"/>
  <c r="R495" i="5"/>
  <c r="P495" i="5"/>
  <c r="Q495" i="5"/>
  <c r="S495" i="5"/>
  <c r="R496" i="5"/>
  <c r="P496" i="5"/>
  <c r="Q496" i="5"/>
  <c r="S496" i="5"/>
  <c r="R497" i="5"/>
  <c r="P497" i="5"/>
  <c r="Q497" i="5"/>
  <c r="S497" i="5"/>
  <c r="P498" i="5"/>
  <c r="Q498" i="5"/>
  <c r="R498" i="5"/>
  <c r="S498" i="5"/>
  <c r="R499" i="5"/>
  <c r="P499" i="5"/>
  <c r="Q499" i="5"/>
  <c r="S499" i="5"/>
  <c r="P500" i="5"/>
  <c r="Q500" i="5"/>
  <c r="P501" i="5"/>
  <c r="Q501" i="5"/>
  <c r="S501" i="5"/>
  <c r="P502" i="5"/>
  <c r="Q502" i="5"/>
  <c r="S502" i="5"/>
  <c r="P503" i="5"/>
  <c r="Q503" i="5"/>
  <c r="S503" i="5"/>
  <c r="R504" i="5"/>
  <c r="P504" i="5"/>
  <c r="Q504" i="5"/>
  <c r="S504" i="5"/>
  <c r="R505" i="5"/>
  <c r="P505" i="5"/>
  <c r="Q505" i="5"/>
  <c r="S505" i="5"/>
  <c r="P506" i="5"/>
  <c r="Q506" i="5"/>
  <c r="R506" i="5"/>
  <c r="S506" i="5"/>
  <c r="P507" i="5"/>
  <c r="Q507" i="5"/>
  <c r="P508" i="5"/>
  <c r="Q508" i="5"/>
  <c r="S508" i="5"/>
  <c r="P509" i="5"/>
  <c r="Q509" i="5"/>
  <c r="S509" i="5"/>
  <c r="P510" i="5"/>
  <c r="Q510" i="5"/>
  <c r="S510" i="5"/>
  <c r="R511" i="5"/>
  <c r="P511" i="5"/>
  <c r="Q511" i="5"/>
  <c r="S511" i="5"/>
  <c r="P512" i="5"/>
  <c r="Q512" i="5"/>
  <c r="R512" i="5"/>
  <c r="S512" i="5"/>
  <c r="R513" i="5"/>
  <c r="P513" i="5"/>
  <c r="Q513" i="5"/>
  <c r="S513" i="5"/>
  <c r="P514" i="5"/>
  <c r="Q514" i="5"/>
  <c r="P515" i="5"/>
  <c r="Q515" i="5"/>
  <c r="S515" i="5"/>
  <c r="P516" i="5"/>
  <c r="Q516" i="5"/>
  <c r="S516" i="5"/>
  <c r="R517" i="5"/>
  <c r="P517" i="5"/>
  <c r="Q517" i="5"/>
  <c r="S517" i="5"/>
  <c r="R518" i="5"/>
  <c r="P518" i="5"/>
  <c r="Q518" i="5"/>
  <c r="S518" i="5"/>
  <c r="P519" i="5"/>
  <c r="Q519" i="5"/>
  <c r="R519" i="5"/>
  <c r="S519" i="5"/>
  <c r="R520" i="5"/>
  <c r="Q520" i="5"/>
  <c r="P521" i="5"/>
  <c r="Q521" i="5"/>
  <c r="S521" i="5"/>
  <c r="R522" i="5"/>
  <c r="P522" i="5"/>
  <c r="Q522" i="5"/>
  <c r="S522" i="5"/>
  <c r="R523" i="5"/>
  <c r="P523" i="5"/>
  <c r="Q523" i="5"/>
  <c r="S523" i="5"/>
  <c r="R524" i="5"/>
  <c r="P524" i="5"/>
  <c r="Q524" i="5"/>
  <c r="S524" i="5"/>
  <c r="R525" i="5"/>
  <c r="P525" i="5"/>
  <c r="Q525" i="5"/>
  <c r="S525" i="5"/>
  <c r="P526" i="5"/>
  <c r="Q526" i="5"/>
  <c r="R526" i="5"/>
  <c r="S526" i="5"/>
  <c r="P527" i="5"/>
  <c r="Q527" i="5"/>
  <c r="R528" i="5"/>
  <c r="Q528" i="5"/>
  <c r="S528" i="5"/>
  <c r="R529" i="5"/>
  <c r="P529" i="5"/>
  <c r="Q529" i="5"/>
  <c r="S529" i="5"/>
  <c r="R530" i="5"/>
  <c r="P530" i="5"/>
  <c r="Q530" i="5"/>
  <c r="S530" i="5"/>
  <c r="R531" i="5"/>
  <c r="P531" i="5"/>
  <c r="Q531" i="5"/>
  <c r="S531" i="5"/>
  <c r="R532" i="5"/>
  <c r="P532" i="5"/>
  <c r="Q532" i="5"/>
  <c r="S532" i="5"/>
  <c r="R533" i="5"/>
  <c r="P533" i="5"/>
  <c r="Q533" i="5"/>
  <c r="S533" i="5"/>
  <c r="P534" i="5"/>
  <c r="Q534" i="5"/>
  <c r="P535" i="5"/>
  <c r="Q535" i="5"/>
  <c r="S535" i="5"/>
  <c r="P536" i="5"/>
  <c r="Q536" i="5"/>
  <c r="S536" i="5"/>
  <c r="R537" i="5"/>
  <c r="P537" i="5"/>
  <c r="Q537" i="5"/>
  <c r="S537" i="5"/>
  <c r="R538" i="5"/>
  <c r="P538" i="5"/>
  <c r="Q538" i="5"/>
  <c r="S538" i="5"/>
  <c r="R539" i="5"/>
  <c r="P539" i="5"/>
  <c r="Q539" i="5"/>
  <c r="S539" i="5"/>
  <c r="P540" i="5"/>
  <c r="Q540" i="5"/>
  <c r="P541" i="5"/>
  <c r="Q541" i="5"/>
  <c r="S541" i="5"/>
  <c r="P542" i="5"/>
  <c r="Q542" i="5"/>
  <c r="S542" i="5"/>
  <c r="P543" i="5"/>
  <c r="Q543" i="5"/>
  <c r="S543" i="5"/>
  <c r="P544" i="5"/>
  <c r="Q544" i="5"/>
  <c r="S544" i="5"/>
  <c r="R545" i="5"/>
  <c r="P545" i="5"/>
  <c r="Q545" i="5"/>
  <c r="S545" i="5"/>
  <c r="R546" i="5"/>
  <c r="P546" i="5"/>
  <c r="Q546" i="5"/>
  <c r="S546" i="5"/>
  <c r="R547" i="5"/>
  <c r="P547" i="5"/>
  <c r="Q547" i="5"/>
  <c r="S547" i="5"/>
  <c r="P548" i="5"/>
  <c r="Q548" i="5"/>
  <c r="P549" i="5"/>
  <c r="Q549" i="5"/>
  <c r="S549" i="5"/>
  <c r="P550" i="5"/>
  <c r="Q550" i="5"/>
  <c r="S550" i="5"/>
  <c r="P551" i="5"/>
  <c r="Q551" i="5"/>
  <c r="S551" i="5"/>
  <c r="P552" i="5"/>
  <c r="Q552" i="5"/>
  <c r="S552" i="5"/>
  <c r="R553" i="5"/>
  <c r="P553" i="5"/>
  <c r="Q553" i="5"/>
  <c r="S553" i="5"/>
  <c r="R554" i="5"/>
  <c r="P554" i="5"/>
  <c r="Q554" i="5"/>
  <c r="S554" i="5"/>
  <c r="R555" i="5"/>
  <c r="P555" i="5"/>
  <c r="Q555" i="5"/>
  <c r="S555" i="5"/>
  <c r="P556" i="5"/>
  <c r="Q556" i="5"/>
  <c r="P557" i="5"/>
  <c r="Q557" i="5"/>
  <c r="S557" i="5"/>
  <c r="P558" i="5"/>
  <c r="Q558" i="5"/>
  <c r="S558" i="5"/>
  <c r="P559" i="5"/>
  <c r="Q559" i="5"/>
  <c r="S559" i="5"/>
  <c r="P560" i="5"/>
  <c r="Q560" i="5"/>
  <c r="S560" i="5"/>
  <c r="R561" i="5"/>
  <c r="P561" i="5"/>
  <c r="Q561" i="5"/>
  <c r="S561" i="5"/>
  <c r="R562" i="5"/>
  <c r="P562" i="5"/>
  <c r="Q562" i="5"/>
  <c r="S562" i="5"/>
  <c r="R563" i="5"/>
  <c r="P563" i="5"/>
  <c r="Q563" i="5"/>
  <c r="S563" i="5"/>
  <c r="P564" i="5"/>
  <c r="Q564" i="5"/>
  <c r="P565" i="5"/>
  <c r="Q565" i="5"/>
  <c r="S565" i="5"/>
  <c r="P566" i="5"/>
  <c r="Q566" i="5"/>
  <c r="S566" i="5"/>
  <c r="P567" i="5"/>
  <c r="Q567" i="5"/>
  <c r="S567" i="5"/>
  <c r="P568" i="5"/>
  <c r="Q568" i="5"/>
  <c r="R568" i="5"/>
  <c r="S568" i="5"/>
  <c r="R569" i="5"/>
  <c r="P569" i="5"/>
  <c r="Q569" i="5"/>
  <c r="S569" i="5"/>
  <c r="R570" i="5"/>
  <c r="P570" i="5"/>
  <c r="Q570" i="5"/>
  <c r="S570" i="5"/>
  <c r="R571" i="5"/>
  <c r="P571" i="5"/>
  <c r="Q571" i="5"/>
  <c r="S571" i="5"/>
  <c r="R572" i="5"/>
  <c r="Q572" i="5"/>
  <c r="Q573" i="5"/>
  <c r="S573" i="5"/>
  <c r="Q574" i="5"/>
  <c r="S574" i="5"/>
  <c r="Q575" i="5"/>
  <c r="S575" i="5"/>
  <c r="Q576" i="5"/>
  <c r="S576" i="5"/>
  <c r="R577" i="5"/>
  <c r="P577" i="5"/>
  <c r="Q577" i="5"/>
  <c r="S577" i="5"/>
  <c r="R578" i="5"/>
  <c r="P578" i="5"/>
  <c r="Q578" i="5"/>
  <c r="S578" i="5"/>
  <c r="R579" i="5"/>
  <c r="P579" i="5"/>
  <c r="Q579" i="5"/>
  <c r="S579" i="5"/>
  <c r="R580" i="5"/>
  <c r="P580" i="5"/>
  <c r="Q580" i="5"/>
  <c r="S580" i="5"/>
  <c r="R581" i="5"/>
  <c r="P581" i="5"/>
  <c r="Q581" i="5"/>
  <c r="S581" i="5"/>
  <c r="R582" i="5"/>
  <c r="Q582" i="5"/>
  <c r="Q583" i="5"/>
  <c r="S583" i="5"/>
  <c r="Q584" i="5"/>
  <c r="S584" i="5"/>
  <c r="Q585" i="5"/>
  <c r="S585" i="5"/>
  <c r="P586" i="5"/>
  <c r="Q586" i="5"/>
  <c r="R586" i="5"/>
  <c r="S586" i="5"/>
  <c r="R587" i="5"/>
  <c r="P587" i="5"/>
  <c r="Q587" i="5"/>
  <c r="S587" i="5"/>
  <c r="R588" i="5"/>
  <c r="P588" i="5"/>
  <c r="Q588" i="5"/>
  <c r="S588" i="5"/>
  <c r="R589" i="5"/>
  <c r="P589" i="5"/>
  <c r="Q589" i="5"/>
  <c r="S589" i="5"/>
  <c r="R590" i="5"/>
  <c r="P590" i="5"/>
  <c r="Q590" i="5"/>
  <c r="S590" i="5"/>
  <c r="P591" i="5"/>
  <c r="Q591" i="5"/>
  <c r="P592" i="5"/>
  <c r="Q592" i="5"/>
  <c r="S592" i="5"/>
  <c r="P593" i="5"/>
  <c r="Q593" i="5"/>
  <c r="S593" i="5"/>
  <c r="P594" i="5"/>
  <c r="Q594" i="5"/>
  <c r="S594" i="5"/>
  <c r="R595" i="5"/>
  <c r="P595" i="5"/>
  <c r="Q595" i="5"/>
  <c r="S595" i="5"/>
  <c r="R596" i="5"/>
  <c r="P596" i="5"/>
  <c r="Q596" i="5"/>
  <c r="S596" i="5"/>
  <c r="R597" i="5"/>
  <c r="P597" i="5"/>
  <c r="Q597" i="5"/>
  <c r="S597" i="5"/>
  <c r="R598" i="5"/>
  <c r="P598" i="5"/>
  <c r="Q598" i="5"/>
  <c r="S598" i="5"/>
  <c r="R599" i="5"/>
  <c r="Q599" i="5"/>
  <c r="Q600" i="5"/>
  <c r="S600" i="5"/>
  <c r="Q601" i="5"/>
  <c r="S601" i="5"/>
  <c r="Q602" i="5"/>
  <c r="S602" i="5"/>
  <c r="Q603" i="5"/>
  <c r="S603" i="5"/>
  <c r="R604" i="5"/>
  <c r="P604" i="5"/>
  <c r="Q604" i="5"/>
  <c r="S604" i="5"/>
  <c r="R605" i="5"/>
  <c r="P605" i="5"/>
  <c r="Q605" i="5"/>
  <c r="S605" i="5"/>
  <c r="R606" i="5"/>
  <c r="P606" i="5"/>
  <c r="Q606" i="5"/>
  <c r="S606" i="5"/>
  <c r="R607" i="5"/>
  <c r="P607" i="5"/>
  <c r="Q607" i="5"/>
  <c r="S607" i="5"/>
  <c r="R608" i="5"/>
  <c r="P608" i="5"/>
  <c r="Q608" i="5"/>
  <c r="S608" i="5"/>
  <c r="R609" i="5"/>
  <c r="Q609" i="5"/>
  <c r="Q610" i="5"/>
  <c r="S610" i="5"/>
  <c r="Q611" i="5"/>
  <c r="S611" i="5"/>
  <c r="Q612" i="5"/>
  <c r="S612" i="5"/>
  <c r="R613" i="5"/>
  <c r="P613" i="5"/>
  <c r="Q613" i="5"/>
  <c r="S613" i="5"/>
  <c r="R614" i="5"/>
  <c r="P614" i="5"/>
  <c r="Q614" i="5"/>
  <c r="S614" i="5"/>
  <c r="R615" i="5"/>
  <c r="P615" i="5"/>
  <c r="Q615" i="5"/>
  <c r="S615" i="5"/>
  <c r="R616" i="5"/>
  <c r="P616" i="5"/>
  <c r="Q616" i="5"/>
  <c r="S616" i="5"/>
  <c r="R617" i="5"/>
  <c r="P617" i="5"/>
  <c r="Q617" i="5"/>
  <c r="S617" i="5"/>
  <c r="P618" i="5"/>
  <c r="Q618" i="5"/>
  <c r="P619" i="5"/>
  <c r="Q619" i="5"/>
  <c r="S619" i="5"/>
  <c r="P620" i="5"/>
  <c r="Q620" i="5"/>
  <c r="S620" i="5"/>
  <c r="R621" i="5"/>
  <c r="P621" i="5"/>
  <c r="Q621" i="5"/>
  <c r="S621" i="5"/>
  <c r="R622" i="5"/>
  <c r="P622" i="5"/>
  <c r="Q622" i="5"/>
  <c r="S622" i="5"/>
  <c r="R623" i="5"/>
  <c r="P623" i="5"/>
  <c r="Q623" i="5"/>
  <c r="S623" i="5"/>
  <c r="P624" i="5"/>
  <c r="Q624" i="5"/>
  <c r="P625" i="5"/>
  <c r="Q625" i="5"/>
  <c r="S625" i="5"/>
  <c r="P626" i="5"/>
  <c r="Q626" i="5"/>
  <c r="S626" i="5"/>
  <c r="P627" i="5"/>
  <c r="Q627" i="5"/>
  <c r="S627" i="5"/>
  <c r="R628" i="5"/>
  <c r="P628" i="5"/>
  <c r="Q628" i="5"/>
  <c r="S628" i="5"/>
  <c r="R629" i="5"/>
  <c r="P629" i="5"/>
  <c r="Q629" i="5"/>
  <c r="S629" i="5"/>
  <c r="P630" i="5"/>
  <c r="Q630" i="5"/>
  <c r="R630" i="5"/>
  <c r="S630" i="5"/>
  <c r="R631" i="5"/>
  <c r="P631" i="5"/>
  <c r="Q631" i="5"/>
  <c r="S631" i="5"/>
  <c r="P632" i="5"/>
  <c r="Q632" i="5"/>
  <c r="P633" i="5"/>
  <c r="Q633" i="5"/>
  <c r="S633" i="5"/>
  <c r="P634" i="5"/>
  <c r="Q634" i="5"/>
  <c r="S634" i="5"/>
  <c r="P635" i="5"/>
  <c r="Q635" i="5"/>
  <c r="S635" i="5"/>
  <c r="R636" i="5"/>
  <c r="P636" i="5"/>
  <c r="Q636" i="5"/>
  <c r="S636" i="5"/>
  <c r="R637" i="5"/>
  <c r="P637" i="5"/>
  <c r="Q637" i="5"/>
  <c r="S637" i="5"/>
  <c r="R638" i="5"/>
  <c r="P638" i="5"/>
  <c r="Q638" i="5"/>
  <c r="S638" i="5"/>
  <c r="R639" i="5"/>
  <c r="P639" i="5"/>
  <c r="Q639" i="5"/>
  <c r="S639" i="5"/>
  <c r="P640" i="5"/>
  <c r="Q640" i="5"/>
  <c r="P641" i="5"/>
  <c r="Q641" i="5"/>
  <c r="S641" i="5"/>
  <c r="P642" i="5"/>
  <c r="Q642" i="5"/>
  <c r="S642" i="5"/>
  <c r="P643" i="5"/>
  <c r="Q643" i="5"/>
  <c r="S643" i="5"/>
  <c r="R644" i="5"/>
  <c r="P644" i="5"/>
  <c r="Q644" i="5"/>
  <c r="S644" i="5"/>
  <c r="R645" i="5"/>
  <c r="P645" i="5"/>
  <c r="Q645" i="5"/>
  <c r="S645" i="5"/>
  <c r="P646" i="5"/>
  <c r="Q646" i="5"/>
  <c r="R646" i="5"/>
  <c r="S646" i="5"/>
  <c r="P647" i="5"/>
  <c r="Q647" i="5"/>
  <c r="R648" i="5"/>
  <c r="P648" i="5"/>
  <c r="Q648" i="5"/>
  <c r="S648" i="5"/>
  <c r="R649" i="5"/>
  <c r="P649" i="5"/>
  <c r="Q649" i="5"/>
  <c r="S649" i="5"/>
  <c r="P650" i="5"/>
  <c r="Q650" i="5"/>
  <c r="R650" i="5"/>
  <c r="S650" i="5"/>
  <c r="P651" i="5"/>
  <c r="Q651" i="5"/>
  <c r="R652" i="5"/>
  <c r="P652" i="5"/>
  <c r="Q652" i="5"/>
  <c r="S652" i="5"/>
  <c r="R653" i="5"/>
  <c r="P653" i="5"/>
  <c r="Q653" i="5"/>
  <c r="S653" i="5"/>
  <c r="R654" i="5"/>
  <c r="P654" i="5"/>
  <c r="Q654" i="5"/>
  <c r="S654" i="5"/>
  <c r="P655" i="5"/>
  <c r="Q655" i="5"/>
  <c r="R656" i="5"/>
  <c r="P656" i="5"/>
  <c r="Q656" i="5"/>
  <c r="S656" i="5"/>
  <c r="R657" i="5"/>
  <c r="P657" i="5"/>
  <c r="Q657" i="5"/>
  <c r="S657" i="5"/>
  <c r="R658" i="5"/>
  <c r="P658" i="5"/>
  <c r="Q658" i="5"/>
  <c r="S658" i="5"/>
  <c r="P659" i="5"/>
  <c r="Q659" i="5"/>
  <c r="R660" i="5"/>
  <c r="P660" i="5"/>
  <c r="Q660" i="5"/>
  <c r="S660" i="5"/>
  <c r="R661" i="5"/>
  <c r="P661" i="5"/>
  <c r="Q661" i="5"/>
  <c r="S661" i="5"/>
  <c r="R662" i="5"/>
  <c r="P662" i="5"/>
  <c r="Q662" i="5"/>
  <c r="S662" i="5"/>
  <c r="P663" i="5"/>
  <c r="Q663" i="5"/>
  <c r="R664" i="5"/>
  <c r="P664" i="5"/>
  <c r="Q664" i="5"/>
  <c r="S664" i="5"/>
  <c r="R665" i="5"/>
  <c r="P665" i="5"/>
  <c r="Q665" i="5"/>
  <c r="S665" i="5"/>
  <c r="P666" i="5"/>
  <c r="Q666" i="5"/>
  <c r="R666" i="5"/>
  <c r="S666" i="5"/>
  <c r="P667" i="5"/>
  <c r="Q667" i="5"/>
  <c r="R668" i="5"/>
  <c r="P668" i="5"/>
  <c r="Q668" i="5"/>
  <c r="S668" i="5"/>
  <c r="R669" i="5"/>
  <c r="P669" i="5"/>
  <c r="Q669" i="5"/>
  <c r="S669" i="5"/>
  <c r="R670" i="5"/>
  <c r="P670" i="5"/>
  <c r="Q670" i="5"/>
  <c r="S670" i="5"/>
  <c r="Q671" i="5"/>
  <c r="R671" i="5"/>
  <c r="Q672" i="5"/>
  <c r="S672" i="5"/>
  <c r="Q673" i="5"/>
  <c r="S673" i="5"/>
  <c r="Q674" i="5"/>
  <c r="S674" i="5"/>
  <c r="Q675" i="5"/>
  <c r="S675" i="5"/>
  <c r="R676" i="5"/>
  <c r="P676" i="5"/>
  <c r="Q676" i="5"/>
  <c r="S676" i="5"/>
  <c r="R677" i="5"/>
  <c r="P677" i="5"/>
  <c r="Q677" i="5"/>
  <c r="S677" i="5"/>
  <c r="R678" i="5"/>
  <c r="P678" i="5"/>
  <c r="Q678" i="5"/>
  <c r="S678" i="5"/>
  <c r="Q679" i="5"/>
  <c r="Q680" i="5"/>
  <c r="S680" i="5"/>
  <c r="R681" i="5"/>
  <c r="Q681" i="5"/>
  <c r="S681" i="5"/>
  <c r="Q682" i="5"/>
  <c r="S682" i="5"/>
  <c r="Q683" i="5"/>
  <c r="S683" i="5"/>
  <c r="Q684" i="5"/>
  <c r="S684" i="5"/>
  <c r="Q685" i="5"/>
  <c r="S685" i="5"/>
  <c r="R686" i="5"/>
  <c r="P686" i="5"/>
  <c r="Q686" i="5"/>
  <c r="S686" i="5"/>
  <c r="R687" i="5"/>
  <c r="P687" i="5"/>
  <c r="Q687" i="5"/>
  <c r="S687" i="5"/>
  <c r="R688" i="5"/>
  <c r="P688" i="5"/>
  <c r="Q688" i="5"/>
  <c r="S688" i="5"/>
  <c r="P689" i="5"/>
  <c r="Q689" i="5"/>
  <c r="R690" i="5"/>
  <c r="P690" i="5"/>
  <c r="Q690" i="5"/>
  <c r="S690" i="5"/>
  <c r="P691" i="5"/>
  <c r="Q691" i="5"/>
  <c r="S691" i="5"/>
  <c r="P692" i="5"/>
  <c r="Q692" i="5"/>
  <c r="S692" i="5"/>
  <c r="P693" i="5"/>
  <c r="Q693" i="5"/>
  <c r="S693" i="5"/>
  <c r="P694" i="5"/>
  <c r="Q694" i="5"/>
  <c r="S694" i="5"/>
  <c r="P695" i="5"/>
  <c r="Q695" i="5"/>
  <c r="S695" i="5"/>
  <c r="R696" i="5"/>
  <c r="P696" i="5"/>
  <c r="Q696" i="5"/>
  <c r="S696" i="5"/>
  <c r="R697" i="5"/>
  <c r="P697" i="5"/>
  <c r="Q697" i="5"/>
  <c r="S697" i="5"/>
  <c r="R698" i="5"/>
  <c r="P698" i="5"/>
  <c r="Q698" i="5"/>
  <c r="S698" i="5"/>
  <c r="R699" i="5"/>
  <c r="Q699" i="5"/>
  <c r="Q700" i="5"/>
  <c r="S700" i="5"/>
  <c r="Q701" i="5"/>
  <c r="S701" i="5"/>
  <c r="Q702" i="5"/>
  <c r="S702" i="5"/>
  <c r="Q703" i="5"/>
  <c r="S703" i="5"/>
  <c r="P704" i="5"/>
  <c r="Q704" i="5"/>
  <c r="R704" i="5"/>
  <c r="S704" i="5"/>
  <c r="R705" i="5"/>
  <c r="P705" i="5"/>
  <c r="Q705" i="5"/>
  <c r="S705" i="5"/>
  <c r="R706" i="5"/>
  <c r="P706" i="5"/>
  <c r="Q706" i="5"/>
  <c r="S706" i="5"/>
  <c r="Q707" i="5"/>
  <c r="Q708" i="5"/>
  <c r="S708" i="5"/>
  <c r="R709" i="5"/>
  <c r="Q709" i="5"/>
  <c r="S709" i="5"/>
  <c r="Q710" i="5"/>
  <c r="S710" i="5"/>
  <c r="Q711" i="5"/>
  <c r="S711" i="5"/>
  <c r="Q712" i="5"/>
  <c r="S712" i="5"/>
  <c r="Q713" i="5"/>
  <c r="S713" i="5"/>
  <c r="R714" i="5"/>
  <c r="P714" i="5"/>
  <c r="Q714" i="5"/>
  <c r="S714" i="5"/>
  <c r="R715" i="5"/>
  <c r="P715" i="5"/>
  <c r="Q715" i="5"/>
  <c r="S715" i="5"/>
  <c r="R716" i="5"/>
  <c r="P716" i="5"/>
  <c r="Q716" i="5"/>
  <c r="S716" i="5"/>
  <c r="Q717" i="5"/>
  <c r="Q718" i="5"/>
  <c r="S718" i="5"/>
  <c r="Q719" i="5"/>
  <c r="S719" i="5"/>
  <c r="Q720" i="5"/>
  <c r="S720" i="5"/>
  <c r="Q721" i="5"/>
  <c r="S721" i="5"/>
  <c r="Q722" i="5"/>
  <c r="S722" i="5"/>
  <c r="R723" i="5"/>
  <c r="P723" i="5"/>
  <c r="Q723" i="5"/>
  <c r="S723" i="5"/>
  <c r="R724" i="5"/>
  <c r="P724" i="5"/>
  <c r="Q724" i="5"/>
  <c r="S724" i="5"/>
  <c r="R725" i="5"/>
  <c r="P725" i="5"/>
  <c r="Q725" i="5"/>
  <c r="S725" i="5"/>
  <c r="Q726" i="5"/>
  <c r="Q727" i="5"/>
  <c r="S727" i="5"/>
  <c r="Q728" i="5"/>
  <c r="S728" i="5"/>
  <c r="Q729" i="5"/>
  <c r="S729" i="5"/>
  <c r="R730" i="5"/>
  <c r="P730" i="5"/>
  <c r="Q730" i="5"/>
  <c r="S730" i="5"/>
  <c r="R731" i="5"/>
  <c r="P731" i="5"/>
  <c r="Q731" i="5"/>
  <c r="S731" i="5"/>
  <c r="R732" i="5"/>
  <c r="P732" i="5"/>
  <c r="Q732" i="5"/>
  <c r="S732" i="5"/>
  <c r="P733" i="5"/>
  <c r="Q733" i="5"/>
  <c r="P734" i="5"/>
  <c r="Q734" i="5"/>
  <c r="S734" i="5"/>
  <c r="P735" i="5"/>
  <c r="Q735" i="5"/>
  <c r="S735" i="5"/>
  <c r="P736" i="5"/>
  <c r="Q736" i="5"/>
  <c r="R736" i="5"/>
  <c r="S736" i="5"/>
  <c r="R737" i="5"/>
  <c r="P737" i="5"/>
  <c r="Q737" i="5"/>
  <c r="S737" i="5"/>
  <c r="R738" i="5"/>
  <c r="P738" i="5"/>
  <c r="Q738" i="5"/>
  <c r="S738" i="5"/>
  <c r="R739" i="5"/>
  <c r="Q739" i="5"/>
  <c r="P740" i="5"/>
  <c r="Q740" i="5"/>
  <c r="S740" i="5"/>
  <c r="P741" i="5"/>
  <c r="Q741" i="5"/>
  <c r="S741" i="5"/>
  <c r="P742" i="5"/>
  <c r="Q742" i="5"/>
  <c r="S742" i="5"/>
  <c r="P743" i="5"/>
  <c r="Q743" i="5"/>
  <c r="S743" i="5"/>
  <c r="R744" i="5"/>
  <c r="P744" i="5"/>
  <c r="Q744" i="5"/>
  <c r="S744" i="5"/>
  <c r="R745" i="5"/>
  <c r="P745" i="5"/>
  <c r="Q745" i="5"/>
  <c r="S745" i="5"/>
  <c r="R746" i="5"/>
  <c r="P746" i="5"/>
  <c r="Q746" i="5"/>
  <c r="S746" i="5"/>
  <c r="P747" i="5"/>
  <c r="Q747" i="5"/>
  <c r="R748" i="5"/>
  <c r="P748" i="5"/>
  <c r="Q748" i="5"/>
  <c r="S748" i="5"/>
  <c r="P749" i="5"/>
  <c r="Q749" i="5"/>
  <c r="R749" i="5"/>
  <c r="S749" i="5"/>
  <c r="R750" i="5"/>
  <c r="P750" i="5"/>
  <c r="Q750" i="5"/>
  <c r="S750" i="5"/>
  <c r="Q751" i="5"/>
  <c r="R752" i="5"/>
  <c r="Q752" i="5"/>
  <c r="S752" i="5"/>
  <c r="P753" i="5"/>
  <c r="Q753" i="5"/>
  <c r="S753" i="5"/>
  <c r="P754" i="5"/>
  <c r="Q754" i="5"/>
  <c r="S754" i="5"/>
  <c r="R755" i="5"/>
  <c r="P755" i="5"/>
  <c r="Q755" i="5"/>
  <c r="S755" i="5"/>
  <c r="R756" i="5"/>
  <c r="P756" i="5"/>
  <c r="Q756" i="5"/>
  <c r="S756" i="5"/>
  <c r="R757" i="5"/>
  <c r="P757" i="5"/>
  <c r="Q757" i="5"/>
  <c r="S757" i="5"/>
  <c r="P758" i="5"/>
  <c r="Q758" i="5"/>
  <c r="P759" i="5"/>
  <c r="Q759" i="5"/>
  <c r="S759" i="5"/>
  <c r="P760" i="5"/>
  <c r="Q760" i="5"/>
  <c r="S760" i="5"/>
  <c r="P761" i="5"/>
  <c r="Q761" i="5"/>
  <c r="S761" i="5"/>
  <c r="P762" i="5"/>
  <c r="Q762" i="5"/>
  <c r="S762" i="5"/>
  <c r="P763" i="5"/>
  <c r="Q763" i="5"/>
  <c r="S763" i="5"/>
  <c r="P764" i="5"/>
  <c r="Q764" i="5"/>
  <c r="S764" i="5"/>
  <c r="P765" i="5"/>
  <c r="Q765" i="5"/>
  <c r="S765" i="5"/>
  <c r="R766" i="5"/>
  <c r="P766" i="5"/>
  <c r="Q766" i="5"/>
  <c r="S766" i="5"/>
  <c r="R767" i="5"/>
  <c r="P767" i="5"/>
  <c r="Q767" i="5"/>
  <c r="S767" i="5"/>
  <c r="P768" i="5"/>
  <c r="Q768" i="5"/>
  <c r="R768" i="5"/>
  <c r="S768" i="5"/>
  <c r="P769" i="5"/>
  <c r="Q769" i="5"/>
  <c r="P770" i="5"/>
  <c r="Q770" i="5"/>
  <c r="S770" i="5"/>
  <c r="Q771" i="5"/>
  <c r="S771" i="5"/>
  <c r="R772" i="5"/>
  <c r="P772" i="5"/>
  <c r="Q772" i="5"/>
  <c r="S772" i="5"/>
  <c r="P773" i="5"/>
  <c r="Q773" i="5"/>
  <c r="R773" i="5"/>
  <c r="S773" i="5"/>
  <c r="R774" i="5"/>
  <c r="P774" i="5"/>
  <c r="Q774" i="5"/>
  <c r="S774" i="5"/>
  <c r="P775" i="5"/>
  <c r="Q775" i="5"/>
  <c r="R776" i="5"/>
  <c r="P776" i="5"/>
  <c r="Q776" i="5"/>
  <c r="S776" i="5"/>
  <c r="P777" i="5"/>
  <c r="Q777" i="5"/>
  <c r="S777" i="5"/>
  <c r="P778" i="5"/>
  <c r="Q778" i="5"/>
  <c r="S778" i="5"/>
  <c r="P779" i="5"/>
  <c r="Q779" i="5"/>
  <c r="S779" i="5"/>
  <c r="P780" i="5"/>
  <c r="Q780" i="5"/>
  <c r="S780" i="5"/>
  <c r="P781" i="5"/>
  <c r="Q781" i="5"/>
  <c r="S781" i="5"/>
  <c r="P782" i="5"/>
  <c r="Q782" i="5"/>
  <c r="S782" i="5"/>
  <c r="R783" i="5"/>
  <c r="P783" i="5"/>
  <c r="Q783" i="5"/>
  <c r="S783" i="5"/>
  <c r="P784" i="5"/>
  <c r="Q784" i="5"/>
  <c r="R784" i="5"/>
  <c r="S784" i="5"/>
  <c r="R785" i="5"/>
  <c r="P785" i="5"/>
  <c r="Q785" i="5"/>
  <c r="S785" i="5"/>
  <c r="P786" i="5"/>
  <c r="Q786" i="5"/>
  <c r="P787" i="5"/>
  <c r="Q787" i="5"/>
  <c r="S787" i="5"/>
  <c r="R788" i="5"/>
  <c r="P788" i="5"/>
  <c r="Q788" i="5"/>
  <c r="S788" i="5"/>
  <c r="P789" i="5"/>
  <c r="Q789" i="5"/>
  <c r="R789" i="5"/>
  <c r="S789" i="5"/>
  <c r="R790" i="5"/>
  <c r="P790" i="5"/>
  <c r="Q790" i="5"/>
  <c r="S790" i="5"/>
  <c r="R791" i="5"/>
  <c r="P791" i="5"/>
  <c r="Q791" i="5"/>
  <c r="S791" i="5"/>
  <c r="R792" i="5"/>
  <c r="P792" i="5"/>
  <c r="Q792" i="5"/>
  <c r="S792" i="5"/>
  <c r="P793" i="5"/>
  <c r="Q793" i="5"/>
  <c r="P794" i="5"/>
  <c r="Q794" i="5"/>
  <c r="S794" i="5"/>
  <c r="P795" i="5"/>
  <c r="Q795" i="5"/>
  <c r="S795" i="5"/>
  <c r="P796" i="5"/>
  <c r="Q796" i="5"/>
  <c r="S796" i="5"/>
  <c r="P797" i="5"/>
  <c r="Q797" i="5"/>
  <c r="S797" i="5"/>
  <c r="P798" i="5"/>
  <c r="Q798" i="5"/>
  <c r="S798" i="5"/>
  <c r="P799" i="5"/>
  <c r="Q799" i="5"/>
  <c r="S799" i="5"/>
  <c r="P800" i="5"/>
  <c r="Q800" i="5"/>
  <c r="S800" i="5"/>
  <c r="P801" i="5"/>
  <c r="Q801" i="5"/>
  <c r="S801" i="5"/>
  <c r="P802" i="5"/>
  <c r="Q802" i="5"/>
  <c r="S802" i="5"/>
  <c r="P803" i="5"/>
  <c r="Q803" i="5"/>
  <c r="S803" i="5"/>
  <c r="R804" i="5"/>
  <c r="P804" i="5"/>
  <c r="Q804" i="5"/>
  <c r="S804" i="5"/>
  <c r="P805" i="5"/>
  <c r="Q805" i="5"/>
  <c r="R805" i="5"/>
  <c r="S805" i="5"/>
  <c r="R806" i="5"/>
  <c r="P806" i="5"/>
  <c r="Q806" i="5"/>
  <c r="S806" i="5"/>
  <c r="P807" i="5"/>
  <c r="Q807" i="5"/>
  <c r="P808" i="5"/>
  <c r="Q808" i="5"/>
  <c r="S808" i="5"/>
  <c r="P809" i="5"/>
  <c r="Q809" i="5"/>
  <c r="S809" i="5"/>
  <c r="P810" i="5"/>
  <c r="Q810" i="5"/>
  <c r="S810" i="5"/>
  <c r="P811" i="5"/>
  <c r="Q811" i="5"/>
  <c r="S811" i="5"/>
  <c r="P812" i="5"/>
  <c r="Q812" i="5"/>
  <c r="S812" i="5"/>
  <c r="P813" i="5"/>
  <c r="Q813" i="5"/>
  <c r="S813" i="5"/>
  <c r="R814" i="5"/>
  <c r="P814" i="5"/>
  <c r="Q814" i="5"/>
  <c r="S814" i="5"/>
  <c r="R815" i="5"/>
  <c r="P815" i="5"/>
  <c r="Q815" i="5"/>
  <c r="S815" i="5"/>
  <c r="P816" i="5"/>
  <c r="Q816" i="5"/>
  <c r="R816" i="5"/>
  <c r="S816" i="5"/>
  <c r="P817" i="5"/>
  <c r="Q817" i="5"/>
  <c r="R818" i="5"/>
  <c r="P818" i="5"/>
  <c r="Q818" i="5"/>
  <c r="S818" i="5"/>
  <c r="R819" i="5"/>
  <c r="P819" i="5"/>
  <c r="Q819" i="5"/>
  <c r="S819" i="5"/>
  <c r="R820" i="5"/>
  <c r="P820" i="5"/>
  <c r="Q820" i="5"/>
  <c r="S820" i="5"/>
  <c r="Q821" i="5"/>
  <c r="P822" i="5"/>
  <c r="Q822" i="5"/>
  <c r="S822" i="5"/>
  <c r="R823" i="5"/>
  <c r="P823" i="5"/>
  <c r="Q823" i="5"/>
  <c r="S823" i="5"/>
  <c r="P824" i="5"/>
  <c r="Q824" i="5"/>
  <c r="R824" i="5"/>
  <c r="S824" i="5"/>
  <c r="R825" i="5"/>
  <c r="P825" i="5"/>
  <c r="Q825" i="5"/>
  <c r="S825" i="5"/>
  <c r="Q826" i="5"/>
  <c r="R827" i="5"/>
  <c r="P827" i="5"/>
  <c r="Q827" i="5"/>
  <c r="S827" i="5"/>
  <c r="R828" i="5"/>
  <c r="P828" i="5"/>
  <c r="Q828" i="5"/>
  <c r="S828" i="5"/>
  <c r="R829" i="5"/>
  <c r="P829" i="5"/>
  <c r="Q829" i="5"/>
  <c r="S829" i="5"/>
  <c r="P830" i="5"/>
  <c r="Q830" i="5"/>
  <c r="P831" i="5"/>
  <c r="Q831" i="5"/>
  <c r="S831" i="5"/>
  <c r="P832" i="5"/>
  <c r="Q832" i="5"/>
  <c r="R832" i="5"/>
  <c r="S832" i="5"/>
  <c r="R833" i="5"/>
  <c r="P833" i="5"/>
  <c r="Q833" i="5"/>
  <c r="S833" i="5"/>
  <c r="R834" i="5"/>
  <c r="P834" i="5"/>
  <c r="Q834" i="5"/>
  <c r="S834" i="5"/>
  <c r="P835" i="5"/>
  <c r="Q835" i="5"/>
  <c r="P836" i="5"/>
  <c r="Q836" i="5"/>
  <c r="S836" i="5"/>
  <c r="P837" i="5"/>
  <c r="Q837" i="5"/>
  <c r="S837" i="5"/>
  <c r="P838" i="5"/>
  <c r="Q838" i="5"/>
  <c r="S838" i="5"/>
  <c r="R839" i="5"/>
  <c r="P839" i="5"/>
  <c r="Q839" i="5"/>
  <c r="S839" i="5"/>
  <c r="P840" i="5"/>
  <c r="Q840" i="5"/>
  <c r="R840" i="5"/>
  <c r="S840" i="5"/>
  <c r="R841" i="5"/>
  <c r="P841" i="5"/>
  <c r="Q841" i="5"/>
  <c r="S841" i="5"/>
  <c r="P842" i="5"/>
  <c r="Q842" i="5"/>
  <c r="P843" i="5"/>
  <c r="Q843" i="5"/>
  <c r="S843" i="5"/>
  <c r="P844" i="5"/>
  <c r="Q844" i="5"/>
  <c r="S844" i="5"/>
  <c r="R845" i="5"/>
  <c r="P845" i="5"/>
  <c r="Q845" i="5"/>
  <c r="S845" i="5"/>
  <c r="R846" i="5"/>
  <c r="P846" i="5"/>
  <c r="Q846" i="5"/>
  <c r="S846" i="5"/>
  <c r="R847" i="5"/>
  <c r="P847" i="5"/>
  <c r="Q847" i="5"/>
  <c r="S847" i="5"/>
  <c r="P848" i="5"/>
  <c r="Q848" i="5"/>
  <c r="R849" i="5"/>
  <c r="P849" i="5"/>
  <c r="Q849" i="5"/>
  <c r="S849" i="5"/>
  <c r="R850" i="5"/>
  <c r="P850" i="5"/>
  <c r="Q850" i="5"/>
  <c r="S850" i="5"/>
  <c r="R851" i="5"/>
  <c r="P851" i="5"/>
  <c r="Q851" i="5"/>
  <c r="S851" i="5"/>
  <c r="R852" i="5"/>
  <c r="P852" i="5"/>
  <c r="Q852" i="5"/>
  <c r="S852" i="5"/>
  <c r="P853" i="5"/>
  <c r="Q853" i="5"/>
  <c r="Q854" i="5"/>
  <c r="S854" i="5"/>
  <c r="P855" i="5"/>
  <c r="Q855" i="5"/>
  <c r="S855" i="5"/>
  <c r="R856" i="5"/>
  <c r="P856" i="5"/>
  <c r="Q856" i="5"/>
  <c r="S856" i="5"/>
  <c r="R857" i="5"/>
  <c r="P857" i="5"/>
  <c r="Q857" i="5"/>
  <c r="S857" i="5"/>
  <c r="R858" i="5"/>
  <c r="P858" i="5"/>
  <c r="Q858" i="5"/>
  <c r="S858" i="5"/>
  <c r="P859" i="5"/>
  <c r="Q859" i="5"/>
  <c r="P860" i="5"/>
  <c r="Q860" i="5"/>
  <c r="S860" i="5"/>
  <c r="P861" i="5"/>
  <c r="Q861" i="5"/>
  <c r="S861" i="5"/>
  <c r="R862" i="5"/>
  <c r="P862" i="5"/>
  <c r="Q862" i="5"/>
  <c r="S862" i="5"/>
  <c r="R863" i="5"/>
  <c r="P863" i="5"/>
  <c r="Q863" i="5"/>
  <c r="S863" i="5"/>
  <c r="P864" i="5"/>
  <c r="Q864" i="5"/>
  <c r="R864" i="5"/>
  <c r="S864" i="5"/>
  <c r="P865" i="5"/>
  <c r="Q865" i="5"/>
  <c r="P866" i="5"/>
  <c r="Q866" i="5"/>
  <c r="S866" i="5"/>
  <c r="R867" i="5"/>
  <c r="P867" i="5"/>
  <c r="Q867" i="5"/>
  <c r="S867" i="5"/>
  <c r="R868" i="5"/>
  <c r="P868" i="5"/>
  <c r="Q868" i="5"/>
  <c r="S868" i="5"/>
  <c r="R869" i="5"/>
  <c r="P869" i="5"/>
  <c r="Q869" i="5"/>
  <c r="S869" i="5"/>
  <c r="P870" i="5"/>
  <c r="Q870" i="5"/>
  <c r="P871" i="5"/>
  <c r="Q871" i="5"/>
  <c r="S871" i="5"/>
  <c r="Q872" i="5"/>
  <c r="S872" i="5"/>
  <c r="R873" i="5"/>
  <c r="P873" i="5"/>
  <c r="Q873" i="5"/>
  <c r="S873" i="5"/>
  <c r="R874" i="5"/>
  <c r="P874" i="5"/>
  <c r="Q874" i="5"/>
  <c r="S874" i="5"/>
  <c r="R875" i="5"/>
  <c r="P875" i="5"/>
  <c r="Q875" i="5"/>
  <c r="S875" i="5"/>
  <c r="R876" i="5"/>
  <c r="P876" i="5"/>
  <c r="Q876" i="5"/>
  <c r="S876" i="5"/>
  <c r="R877" i="5"/>
  <c r="P877" i="5"/>
  <c r="Q877" i="5"/>
  <c r="S877" i="5"/>
  <c r="P878" i="5"/>
  <c r="Q878" i="5"/>
  <c r="P879" i="5"/>
  <c r="Q879" i="5"/>
  <c r="S879" i="5"/>
  <c r="P880" i="5"/>
  <c r="Q880" i="5"/>
  <c r="S880" i="5"/>
  <c r="P881" i="5"/>
  <c r="Q881" i="5"/>
  <c r="S881" i="5"/>
  <c r="P882" i="5"/>
  <c r="Q882" i="5"/>
  <c r="S882" i="5"/>
  <c r="R883" i="5"/>
  <c r="P883" i="5"/>
  <c r="Q883" i="5"/>
  <c r="S883" i="5"/>
  <c r="R884" i="5"/>
  <c r="P884" i="5"/>
  <c r="Q884" i="5"/>
  <c r="S884" i="5"/>
  <c r="P885" i="5"/>
  <c r="Q885" i="5"/>
  <c r="R885" i="5"/>
  <c r="S885" i="5"/>
  <c r="P886" i="5"/>
  <c r="Q886" i="5"/>
  <c r="P887" i="5"/>
  <c r="Q887" i="5"/>
  <c r="S887" i="5"/>
  <c r="P888" i="5"/>
  <c r="Q888" i="5"/>
  <c r="S888" i="5"/>
  <c r="P889" i="5"/>
  <c r="Q889" i="5"/>
  <c r="S889" i="5"/>
  <c r="P890" i="5"/>
  <c r="Q890" i="5"/>
  <c r="S890" i="5"/>
  <c r="R891" i="5"/>
  <c r="P891" i="5"/>
  <c r="Q891" i="5"/>
  <c r="S891" i="5"/>
  <c r="R892" i="5"/>
  <c r="P892" i="5"/>
  <c r="Q892" i="5"/>
  <c r="S892" i="5"/>
  <c r="R893" i="5"/>
  <c r="P893" i="5"/>
  <c r="Q893" i="5"/>
  <c r="S893" i="5"/>
  <c r="Q894" i="5"/>
  <c r="Q895" i="5"/>
  <c r="S895" i="5"/>
  <c r="P896" i="5"/>
  <c r="Q896" i="5"/>
  <c r="R896" i="5"/>
  <c r="S896" i="5"/>
  <c r="R897" i="5"/>
  <c r="P897" i="5"/>
  <c r="Q897" i="5"/>
  <c r="S897" i="5"/>
  <c r="R898" i="5"/>
  <c r="P898" i="5"/>
  <c r="Q898" i="5"/>
  <c r="S898" i="5"/>
  <c r="P899" i="5"/>
  <c r="Q899" i="5"/>
  <c r="P900" i="5"/>
  <c r="Q900" i="5"/>
  <c r="S900" i="5"/>
  <c r="R901" i="5"/>
  <c r="P901" i="5"/>
  <c r="Q901" i="5"/>
  <c r="S901" i="5"/>
  <c r="R902" i="5"/>
  <c r="P902" i="5"/>
  <c r="Q902" i="5"/>
  <c r="S902" i="5"/>
  <c r="R903" i="5"/>
  <c r="P903" i="5"/>
  <c r="Q903" i="5"/>
  <c r="S903" i="5"/>
  <c r="P904" i="5"/>
  <c r="Q904" i="5"/>
  <c r="R904" i="5"/>
  <c r="S904" i="5"/>
  <c r="R905" i="5"/>
  <c r="P905" i="5"/>
  <c r="Q905" i="5"/>
  <c r="S905" i="5"/>
  <c r="Q906" i="5"/>
  <c r="R907" i="5"/>
  <c r="P907" i="5"/>
  <c r="Q907" i="5"/>
  <c r="S907" i="5"/>
  <c r="R908" i="5"/>
  <c r="P908" i="5"/>
  <c r="Q908" i="5"/>
  <c r="S908" i="5"/>
  <c r="R909" i="5"/>
  <c r="P909" i="5"/>
  <c r="Q909" i="5"/>
  <c r="S909" i="5"/>
  <c r="P910" i="5"/>
  <c r="Q910" i="5"/>
  <c r="P911" i="5"/>
  <c r="Q911" i="5"/>
  <c r="S911" i="5"/>
  <c r="R912" i="5"/>
  <c r="P912" i="5"/>
  <c r="Q912" i="5"/>
  <c r="S912" i="5"/>
  <c r="P913" i="5"/>
  <c r="Q913" i="5"/>
  <c r="R913" i="5"/>
  <c r="S913" i="5"/>
  <c r="R914" i="5"/>
  <c r="P914" i="5"/>
  <c r="Q914" i="5"/>
  <c r="S914" i="5"/>
  <c r="R915" i="5"/>
  <c r="P915" i="5"/>
  <c r="Q915" i="5"/>
  <c r="S915" i="5"/>
  <c r="P916" i="5"/>
  <c r="Q916" i="5"/>
  <c r="P917" i="5"/>
  <c r="Q917" i="5"/>
  <c r="S917" i="5"/>
  <c r="P918" i="5"/>
  <c r="Q918" i="5"/>
  <c r="S918" i="5"/>
  <c r="P919" i="5"/>
  <c r="Q919" i="5"/>
  <c r="S919" i="5"/>
  <c r="P920" i="5"/>
  <c r="Q920" i="5"/>
  <c r="S920" i="5"/>
  <c r="P921" i="5"/>
  <c r="Q921" i="5"/>
  <c r="S921" i="5"/>
  <c r="R922" i="5"/>
  <c r="P922" i="5"/>
  <c r="Q922" i="5"/>
  <c r="S922" i="5"/>
  <c r="R923" i="5"/>
  <c r="P923" i="5"/>
  <c r="Q923" i="5"/>
  <c r="S923" i="5"/>
  <c r="R924" i="5"/>
  <c r="P924" i="5"/>
  <c r="Q924" i="5"/>
  <c r="S924" i="5"/>
  <c r="P925" i="5"/>
  <c r="Q925" i="5"/>
  <c r="P926" i="5"/>
  <c r="Q926" i="5"/>
  <c r="S926" i="5"/>
  <c r="P927" i="5"/>
  <c r="Q927" i="5"/>
  <c r="S927" i="5"/>
  <c r="P928" i="5"/>
  <c r="Q928" i="5"/>
  <c r="S928" i="5"/>
  <c r="R929" i="5"/>
  <c r="P929" i="5"/>
  <c r="Q929" i="5"/>
  <c r="S929" i="5"/>
  <c r="R930" i="5"/>
  <c r="P930" i="5"/>
  <c r="Q930" i="5"/>
  <c r="S930" i="5"/>
  <c r="P931" i="5"/>
  <c r="Q931" i="5"/>
  <c r="R931" i="5"/>
  <c r="S931" i="5"/>
  <c r="P932" i="5"/>
  <c r="Q932" i="5"/>
  <c r="P933" i="5"/>
  <c r="Q933" i="5"/>
  <c r="S933" i="5"/>
  <c r="P934" i="5"/>
  <c r="Q934" i="5"/>
  <c r="S934" i="5"/>
  <c r="P935" i="5"/>
  <c r="Q935" i="5"/>
  <c r="S935" i="5"/>
  <c r="P936" i="5"/>
  <c r="Q936" i="5"/>
  <c r="S936" i="5"/>
  <c r="P937" i="5"/>
  <c r="Q937" i="5"/>
  <c r="S937" i="5"/>
  <c r="R938" i="5"/>
  <c r="P938" i="5"/>
  <c r="Q938" i="5"/>
  <c r="S938" i="5"/>
  <c r="P939" i="5"/>
  <c r="Q939" i="5"/>
  <c r="R939" i="5"/>
  <c r="S939" i="5"/>
  <c r="R940" i="5"/>
  <c r="P940" i="5"/>
  <c r="Q940" i="5"/>
  <c r="S940" i="5"/>
  <c r="P941" i="5"/>
  <c r="Q941" i="5"/>
  <c r="P942" i="5"/>
  <c r="Q942" i="5"/>
  <c r="S942" i="5"/>
  <c r="P943" i="5"/>
  <c r="Q943" i="5"/>
  <c r="S943" i="5"/>
  <c r="P944" i="5"/>
  <c r="Q944" i="5"/>
  <c r="S944" i="5"/>
  <c r="P945" i="5"/>
  <c r="Q945" i="5"/>
  <c r="S945" i="5"/>
  <c r="P946" i="5"/>
  <c r="Q946" i="5"/>
  <c r="S946" i="5"/>
  <c r="R947" i="5"/>
  <c r="P947" i="5"/>
  <c r="Q947" i="5"/>
  <c r="S947" i="5"/>
  <c r="R948" i="5"/>
  <c r="P948" i="5"/>
  <c r="Q948" i="5"/>
  <c r="S948" i="5"/>
  <c r="R949" i="5"/>
  <c r="P949" i="5"/>
  <c r="Q949" i="5"/>
  <c r="S949" i="5"/>
  <c r="P950" i="5"/>
  <c r="Q950" i="5"/>
  <c r="P951" i="5"/>
  <c r="Q951" i="5"/>
  <c r="S951" i="5"/>
  <c r="P952" i="5"/>
  <c r="Q952" i="5"/>
  <c r="S952" i="5"/>
  <c r="R953" i="5"/>
  <c r="P953" i="5"/>
  <c r="Q953" i="5"/>
  <c r="S953" i="5"/>
  <c r="R954" i="5"/>
  <c r="P954" i="5"/>
  <c r="Q954" i="5"/>
  <c r="S954" i="5"/>
  <c r="R955" i="5"/>
  <c r="P955" i="5"/>
  <c r="Q955" i="5"/>
  <c r="S955" i="5"/>
  <c r="P956" i="5"/>
  <c r="Q956" i="5"/>
  <c r="P957" i="5"/>
  <c r="Q957" i="5"/>
  <c r="S957" i="5"/>
  <c r="P958" i="5"/>
  <c r="Q958" i="5"/>
  <c r="S958" i="5"/>
  <c r="R959" i="5"/>
  <c r="P959" i="5"/>
  <c r="Q959" i="5"/>
  <c r="S959" i="5"/>
  <c r="R960" i="5"/>
  <c r="P960" i="5"/>
  <c r="Q960" i="5"/>
  <c r="S960" i="5"/>
  <c r="R961" i="5"/>
  <c r="P961" i="5"/>
  <c r="Q961" i="5"/>
  <c r="S961" i="5"/>
  <c r="P962" i="5"/>
  <c r="Q962" i="5"/>
  <c r="P963" i="5"/>
  <c r="Q963" i="5"/>
  <c r="S963" i="5"/>
  <c r="P964" i="5"/>
  <c r="Q964" i="5"/>
  <c r="S964" i="5"/>
  <c r="P965" i="5"/>
  <c r="Q965" i="5"/>
  <c r="S965" i="5"/>
  <c r="P966" i="5"/>
  <c r="Q966" i="5"/>
  <c r="R966" i="5"/>
  <c r="S966" i="5"/>
  <c r="R967" i="5"/>
  <c r="P967" i="5"/>
  <c r="Q967" i="5"/>
  <c r="S967" i="5"/>
  <c r="R968" i="5"/>
  <c r="P968" i="5"/>
  <c r="Q968" i="5"/>
  <c r="S968" i="5"/>
  <c r="P969" i="5"/>
  <c r="Q969" i="5"/>
  <c r="P970" i="5"/>
  <c r="Q970" i="5"/>
  <c r="S970" i="5"/>
  <c r="P971" i="5"/>
  <c r="Q971" i="5"/>
  <c r="S971" i="5"/>
  <c r="P972" i="5"/>
  <c r="Q972" i="5"/>
  <c r="S972" i="5"/>
  <c r="P973" i="5"/>
  <c r="Q973" i="5"/>
  <c r="R973" i="5"/>
  <c r="S973" i="5"/>
  <c r="R974" i="5"/>
  <c r="P974" i="5"/>
  <c r="Q974" i="5"/>
  <c r="S974" i="5"/>
  <c r="R975" i="5"/>
  <c r="P975" i="5"/>
  <c r="Q975" i="5"/>
  <c r="S975" i="5"/>
  <c r="R976" i="5"/>
  <c r="P976" i="5"/>
  <c r="Q976" i="5"/>
  <c r="P977" i="5"/>
  <c r="Q977" i="5"/>
  <c r="S977" i="5"/>
  <c r="P978" i="5"/>
  <c r="Q978" i="5"/>
  <c r="S978" i="5"/>
  <c r="P979" i="5"/>
  <c r="Q979" i="5"/>
  <c r="S979" i="5"/>
  <c r="R980" i="5"/>
  <c r="P980" i="5"/>
  <c r="Q980" i="5"/>
  <c r="S980" i="5"/>
  <c r="R981" i="5"/>
  <c r="P981" i="5"/>
  <c r="Q981" i="5"/>
  <c r="S981" i="5"/>
  <c r="P982" i="5"/>
  <c r="Q982" i="5"/>
  <c r="R982" i="5"/>
  <c r="S982" i="5"/>
  <c r="P983" i="5"/>
  <c r="Q983" i="5"/>
  <c r="P984" i="5"/>
  <c r="Q984" i="5"/>
  <c r="S984" i="5"/>
  <c r="P985" i="5"/>
  <c r="Q985" i="5"/>
  <c r="S985" i="5"/>
  <c r="P986" i="5"/>
  <c r="Q986" i="5"/>
  <c r="S986" i="5"/>
  <c r="P987" i="5"/>
  <c r="Q987" i="5"/>
  <c r="S987" i="5"/>
  <c r="P988" i="5"/>
  <c r="Q988" i="5"/>
  <c r="S988" i="5"/>
  <c r="P989" i="5"/>
  <c r="Q989" i="5"/>
  <c r="S989" i="5"/>
  <c r="P990" i="5"/>
  <c r="Q990" i="5"/>
  <c r="S990" i="5"/>
  <c r="R991" i="5"/>
  <c r="P991" i="5"/>
  <c r="Q991" i="5"/>
  <c r="S991" i="5"/>
  <c r="P992" i="5"/>
  <c r="Q992" i="5"/>
  <c r="R992" i="5"/>
  <c r="S992" i="5"/>
  <c r="R993" i="5"/>
  <c r="P993" i="5"/>
  <c r="Q993" i="5"/>
  <c r="S993" i="5"/>
  <c r="P994" i="5"/>
  <c r="Q994" i="5"/>
  <c r="P995" i="5"/>
  <c r="Q995" i="5"/>
  <c r="S995" i="5"/>
  <c r="P996" i="5"/>
  <c r="Q996" i="5"/>
  <c r="S996" i="5"/>
  <c r="P997" i="5"/>
  <c r="Q997" i="5"/>
  <c r="S997" i="5"/>
  <c r="P998" i="5"/>
  <c r="Q998" i="5"/>
  <c r="S998" i="5"/>
  <c r="P999" i="5"/>
  <c r="Q999" i="5"/>
  <c r="S999" i="5"/>
  <c r="P1000" i="5"/>
  <c r="Q1000" i="5"/>
  <c r="S1000" i="5"/>
  <c r="P1001" i="5"/>
  <c r="Q1001" i="5"/>
  <c r="S1001" i="5"/>
  <c r="R1002" i="5"/>
  <c r="P1002" i="5"/>
  <c r="Q1002" i="5"/>
  <c r="S1002" i="5"/>
  <c r="R1003" i="5"/>
  <c r="P1003" i="5"/>
  <c r="Q1003" i="5"/>
  <c r="S1003" i="5"/>
  <c r="R1004" i="5"/>
  <c r="P1004" i="5"/>
  <c r="Q1004" i="5"/>
  <c r="S1004" i="5"/>
  <c r="R1005" i="5"/>
  <c r="P1005" i="5"/>
  <c r="Q1005" i="5"/>
  <c r="P1006" i="5"/>
  <c r="Q1006" i="5"/>
  <c r="S1006" i="5"/>
  <c r="R1007" i="5"/>
  <c r="P1007" i="5"/>
  <c r="Q1007" i="5"/>
  <c r="S1007" i="5"/>
  <c r="R1008" i="5"/>
  <c r="P1008" i="5"/>
  <c r="Q1008" i="5"/>
  <c r="S1008" i="5"/>
  <c r="R1009" i="5"/>
  <c r="P1009" i="5"/>
  <c r="Q1009" i="5"/>
  <c r="S1009" i="5"/>
  <c r="R1010" i="5"/>
  <c r="P1010" i="5"/>
  <c r="Q1010" i="5"/>
  <c r="P1011" i="5"/>
  <c r="Q1011" i="5"/>
  <c r="S1011" i="5"/>
  <c r="R1012" i="5"/>
  <c r="P1012" i="5"/>
  <c r="Q1012" i="5"/>
  <c r="S1012" i="5"/>
  <c r="R1013" i="5"/>
  <c r="P1013" i="5"/>
  <c r="Q1013" i="5"/>
  <c r="S1013" i="5"/>
  <c r="R1014" i="5"/>
  <c r="P1014" i="5"/>
  <c r="Q1014" i="5"/>
  <c r="S1014" i="5"/>
  <c r="P1015" i="5"/>
  <c r="Q1015" i="5"/>
  <c r="P1016" i="5"/>
  <c r="Q1016" i="5"/>
  <c r="S1016" i="5"/>
  <c r="P1017" i="5"/>
  <c r="Q1017" i="5"/>
  <c r="S1017" i="5"/>
  <c r="P1018" i="5"/>
  <c r="Q1018" i="5"/>
  <c r="S1018" i="5"/>
  <c r="P1019" i="5"/>
  <c r="Q1019" i="5"/>
  <c r="S1019" i="5"/>
  <c r="P1020" i="5"/>
  <c r="Q1020" i="5"/>
  <c r="S1020" i="5"/>
  <c r="R1021" i="5"/>
  <c r="P1021" i="5"/>
  <c r="Q1021" i="5"/>
  <c r="S1021" i="5"/>
  <c r="R1022" i="5"/>
  <c r="P1022" i="5"/>
  <c r="Q1022" i="5"/>
  <c r="S1022" i="5"/>
  <c r="R1023" i="5"/>
  <c r="P1023" i="5"/>
  <c r="Q1023" i="5"/>
  <c r="S1023" i="5"/>
  <c r="R1024" i="5"/>
  <c r="P1024" i="5"/>
  <c r="Q1024" i="5"/>
  <c r="P1025" i="5"/>
  <c r="Q1025" i="5"/>
  <c r="S1025" i="5"/>
  <c r="R1026" i="5"/>
  <c r="P1026" i="5"/>
  <c r="Q1026" i="5"/>
  <c r="S1026" i="5"/>
  <c r="R1027" i="5"/>
  <c r="P1027" i="5"/>
  <c r="Q1027" i="5"/>
  <c r="S1027" i="5"/>
  <c r="R1028" i="5"/>
  <c r="P1028" i="5"/>
  <c r="Q1028" i="5"/>
  <c r="S1028" i="5"/>
  <c r="P1029" i="5"/>
  <c r="Q1029" i="5"/>
  <c r="P1030" i="5"/>
  <c r="Q1030" i="5"/>
  <c r="R1030" i="5"/>
  <c r="S1030" i="5"/>
  <c r="P1031" i="5"/>
  <c r="Q1031" i="5"/>
  <c r="S1031" i="5"/>
  <c r="P1032" i="5"/>
  <c r="Q1032" i="5"/>
  <c r="S1032" i="5"/>
  <c r="P1033" i="5"/>
  <c r="Q1033" i="5"/>
  <c r="S1033" i="5"/>
  <c r="P1034" i="5"/>
  <c r="Q1034" i="5"/>
  <c r="S1034" i="5"/>
  <c r="P1035" i="5"/>
  <c r="Q1035" i="5"/>
  <c r="S1035" i="5"/>
  <c r="R1036" i="5"/>
  <c r="P1036" i="5"/>
  <c r="Q1036" i="5"/>
  <c r="S1036" i="5"/>
  <c r="P1037" i="5"/>
  <c r="Q1037" i="5"/>
  <c r="R1037" i="5"/>
  <c r="S1037" i="5"/>
  <c r="R1038" i="5"/>
  <c r="P1038" i="5"/>
  <c r="Q1038" i="5"/>
  <c r="S1038" i="5"/>
  <c r="R1039" i="5"/>
  <c r="P1039" i="5"/>
  <c r="Q1039" i="5"/>
  <c r="P1040" i="5"/>
  <c r="Q1040" i="5"/>
  <c r="S1040" i="5"/>
  <c r="P1041" i="5"/>
  <c r="Q1041" i="5"/>
  <c r="S1041" i="5"/>
  <c r="P1042" i="5"/>
  <c r="Q1042" i="5"/>
  <c r="S1042" i="5"/>
  <c r="P1043" i="5"/>
  <c r="Q1043" i="5"/>
  <c r="S1043" i="5"/>
  <c r="P1044" i="5"/>
  <c r="Q1044" i="5"/>
  <c r="S1044" i="5"/>
  <c r="R1045" i="5"/>
  <c r="P1045" i="5"/>
  <c r="Q1045" i="5"/>
  <c r="S1045" i="5"/>
  <c r="R1046" i="5"/>
  <c r="P1046" i="5"/>
  <c r="Q1046" i="5"/>
  <c r="S1046" i="5"/>
  <c r="R1047" i="5"/>
  <c r="P1047" i="5"/>
  <c r="Q1047" i="5"/>
  <c r="S1047" i="5"/>
  <c r="R1048" i="5"/>
  <c r="P1048" i="5"/>
  <c r="Q1048" i="5"/>
  <c r="P1049" i="5"/>
  <c r="Q1049" i="5"/>
  <c r="S1049" i="5"/>
  <c r="P1050" i="5"/>
  <c r="Q1050" i="5"/>
  <c r="S1050" i="5"/>
  <c r="P1051" i="5"/>
  <c r="Q1051" i="5"/>
  <c r="S1051" i="5"/>
  <c r="R1052" i="5"/>
  <c r="P1052" i="5"/>
  <c r="Q1052" i="5"/>
  <c r="S1052" i="5"/>
  <c r="P1053" i="5"/>
  <c r="Q1053" i="5"/>
  <c r="R1053" i="5"/>
  <c r="S1053" i="5"/>
  <c r="R1054" i="5"/>
  <c r="P1054" i="5"/>
  <c r="Q1054" i="5"/>
  <c r="S1054" i="5"/>
  <c r="R1055" i="5"/>
  <c r="P1055" i="5"/>
  <c r="Q1055" i="5"/>
  <c r="P1056" i="5"/>
  <c r="Q1056" i="5"/>
  <c r="S1056" i="5"/>
  <c r="P1057" i="5"/>
  <c r="Q1057" i="5"/>
  <c r="S1057" i="5"/>
  <c r="P1058" i="5"/>
  <c r="Q1058" i="5"/>
  <c r="S1058" i="5"/>
  <c r="R1059" i="5"/>
  <c r="P1059" i="5"/>
  <c r="Q1059" i="5"/>
  <c r="S1059" i="5"/>
  <c r="R1060" i="5"/>
  <c r="P1060" i="5"/>
  <c r="Q1060" i="5"/>
  <c r="S1060" i="5"/>
  <c r="R1061" i="5"/>
  <c r="P1061" i="5"/>
  <c r="Q1061" i="5"/>
  <c r="S1061" i="5"/>
  <c r="R1062" i="5"/>
  <c r="P1062" i="5"/>
  <c r="Q1062" i="5"/>
  <c r="P1063" i="5"/>
  <c r="Q1063" i="5"/>
  <c r="S1063" i="5"/>
  <c r="P1064" i="5"/>
  <c r="Q1064" i="5"/>
  <c r="S1064" i="5"/>
  <c r="P1065" i="5"/>
  <c r="Q1065" i="5"/>
  <c r="S1065" i="5"/>
  <c r="R1066" i="5"/>
  <c r="P1066" i="5"/>
  <c r="Q1066" i="5"/>
  <c r="S1066" i="5"/>
  <c r="P1067" i="5"/>
  <c r="Q1067" i="5"/>
  <c r="R1067" i="5"/>
  <c r="S1067" i="5"/>
  <c r="R1068" i="5"/>
  <c r="P1068" i="5"/>
  <c r="Q1068" i="5"/>
  <c r="S1068" i="5"/>
  <c r="P1069" i="5"/>
  <c r="Q1069" i="5"/>
  <c r="P1070" i="5"/>
  <c r="Q1070" i="5"/>
  <c r="S1070" i="5"/>
  <c r="P1071" i="5"/>
  <c r="Q1071" i="5"/>
  <c r="S1071" i="5"/>
  <c r="P1072" i="5"/>
  <c r="Q1072" i="5"/>
  <c r="S1072" i="5"/>
  <c r="R1073" i="5"/>
  <c r="P1073" i="5"/>
  <c r="Q1073" i="5"/>
  <c r="S1073" i="5"/>
  <c r="R1074" i="5"/>
  <c r="P1074" i="5"/>
  <c r="Q1074" i="5"/>
  <c r="S1074" i="5"/>
  <c r="R1075" i="5"/>
  <c r="P1075" i="5"/>
  <c r="Q1075" i="5"/>
  <c r="S1075" i="5"/>
  <c r="P1076" i="5"/>
  <c r="Q1076" i="5"/>
  <c r="P1077" i="5"/>
  <c r="Q1077" i="5"/>
  <c r="S1077" i="5"/>
  <c r="Q1078" i="5"/>
  <c r="S1078" i="5"/>
  <c r="Q1079" i="5"/>
  <c r="S1079" i="5"/>
  <c r="R1080" i="5"/>
  <c r="P1080" i="5"/>
  <c r="Q1080" i="5"/>
  <c r="S1080" i="5"/>
  <c r="R1081" i="5"/>
  <c r="P1081" i="5"/>
  <c r="Q1081" i="5"/>
  <c r="S1081" i="5"/>
  <c r="R1082" i="5"/>
  <c r="P1082" i="5"/>
  <c r="Q1082" i="5"/>
  <c r="S1082" i="5"/>
  <c r="P1083" i="5"/>
  <c r="Q1083" i="5"/>
  <c r="R1083" i="5"/>
  <c r="S1083" i="5"/>
  <c r="R1084" i="5"/>
  <c r="P1084" i="5"/>
  <c r="Q1084" i="5"/>
  <c r="S1084" i="5"/>
  <c r="P1085" i="5"/>
  <c r="Q1085" i="5"/>
  <c r="P1086" i="5"/>
  <c r="Q1086" i="5"/>
  <c r="S1086" i="5"/>
  <c r="P1087" i="5"/>
  <c r="Q1087" i="5"/>
  <c r="S1087" i="5"/>
  <c r="P1088" i="5"/>
  <c r="Q1088" i="5"/>
  <c r="S1088" i="5"/>
  <c r="P1089" i="5"/>
  <c r="Q1089" i="5"/>
  <c r="S1089" i="5"/>
  <c r="R1090" i="5"/>
  <c r="P1090" i="5"/>
  <c r="Q1090" i="5"/>
  <c r="S1090" i="5"/>
  <c r="R1091" i="5"/>
  <c r="P1091" i="5"/>
  <c r="Q1091" i="5"/>
  <c r="S1091" i="5"/>
  <c r="R1092" i="5"/>
  <c r="P1092" i="5"/>
  <c r="Q1092" i="5"/>
  <c r="S1092" i="5"/>
  <c r="P1093" i="5"/>
  <c r="Q1093" i="5"/>
  <c r="P1094" i="5"/>
  <c r="Q1094" i="5"/>
  <c r="S1094" i="5"/>
  <c r="P1095" i="5"/>
  <c r="Q1095" i="5"/>
  <c r="S1095" i="5"/>
  <c r="P1096" i="5"/>
  <c r="Q1096" i="5"/>
  <c r="S1096" i="5"/>
  <c r="P1097" i="5"/>
  <c r="Q1097" i="5"/>
  <c r="S1097" i="5"/>
  <c r="R1098" i="5"/>
  <c r="P1098" i="5"/>
  <c r="Q1098" i="5"/>
  <c r="S1098" i="5"/>
  <c r="R1099" i="5"/>
  <c r="P1099" i="5"/>
  <c r="Q1099" i="5"/>
  <c r="S1099" i="5"/>
  <c r="R1100" i="5"/>
  <c r="P1100" i="5"/>
  <c r="Q1100" i="5"/>
  <c r="S1100" i="5"/>
  <c r="P1101" i="5"/>
  <c r="Q1101" i="5"/>
  <c r="P1102" i="5"/>
  <c r="Q1102" i="5"/>
  <c r="S1102" i="5"/>
  <c r="P1103" i="5"/>
  <c r="Q1103" i="5"/>
  <c r="S1103" i="5"/>
  <c r="Q1104" i="5"/>
  <c r="S1104" i="5"/>
  <c r="Q1105" i="5"/>
  <c r="S1105" i="5"/>
  <c r="R1106" i="5"/>
  <c r="P1106" i="5"/>
  <c r="Q1106" i="5"/>
  <c r="S1106" i="5"/>
  <c r="R1107" i="5"/>
  <c r="P1107" i="5"/>
  <c r="Q1107" i="5"/>
  <c r="S1107" i="5"/>
  <c r="R1108" i="5"/>
  <c r="P1108" i="5"/>
  <c r="Q1108" i="5"/>
  <c r="S1108" i="5"/>
  <c r="P1109" i="5"/>
  <c r="Q1109" i="5"/>
  <c r="R1109" i="5"/>
  <c r="S1109" i="5"/>
  <c r="R1110" i="5"/>
  <c r="P1110" i="5"/>
  <c r="Q1110" i="5"/>
  <c r="S1110" i="5"/>
  <c r="R1111" i="5"/>
  <c r="P1111" i="5"/>
  <c r="Q1111" i="5"/>
  <c r="P1112" i="5"/>
  <c r="Q1112" i="5"/>
  <c r="S1112" i="5"/>
  <c r="P1113" i="5"/>
  <c r="Q1113" i="5"/>
  <c r="S1113" i="5"/>
  <c r="P1114" i="5"/>
  <c r="Q1114" i="5"/>
  <c r="S1114" i="5"/>
  <c r="P1115" i="5"/>
  <c r="Q1115" i="5"/>
  <c r="S1115" i="5"/>
  <c r="R1116" i="5"/>
  <c r="P1116" i="5"/>
  <c r="Q1116" i="5"/>
  <c r="S1116" i="5"/>
  <c r="R1117" i="5"/>
  <c r="P1117" i="5"/>
  <c r="Q1117" i="5"/>
  <c r="S1117" i="5"/>
  <c r="P1118" i="5"/>
  <c r="Q1118" i="5"/>
  <c r="R1118" i="5"/>
  <c r="S1118" i="5"/>
  <c r="R1119" i="5"/>
  <c r="P1119" i="5"/>
  <c r="Q1119" i="5"/>
  <c r="P1120" i="5"/>
  <c r="Q1120" i="5"/>
  <c r="S1120" i="5"/>
  <c r="R1121" i="5"/>
  <c r="P1121" i="5"/>
  <c r="Q1121" i="5"/>
  <c r="S1121" i="5"/>
  <c r="R1122" i="5"/>
  <c r="P1122" i="5"/>
  <c r="Q1122" i="5"/>
  <c r="S1122" i="5"/>
  <c r="R1123" i="5"/>
  <c r="P1123" i="5"/>
  <c r="Q1123" i="5"/>
  <c r="S1123" i="5"/>
  <c r="R1124" i="5"/>
  <c r="P1124" i="5"/>
  <c r="Q1124" i="5"/>
  <c r="P1125" i="5"/>
  <c r="Q1125" i="5"/>
  <c r="S1125" i="5"/>
  <c r="R1126" i="5"/>
  <c r="P1126" i="5"/>
  <c r="Q1126" i="5"/>
  <c r="S1126" i="5"/>
  <c r="R1127" i="5"/>
  <c r="P1127" i="5"/>
  <c r="Q1127" i="5"/>
  <c r="S1127" i="5"/>
  <c r="R1128" i="5"/>
  <c r="P1128" i="5"/>
  <c r="Q1128" i="5"/>
  <c r="S1128" i="5"/>
  <c r="R1129" i="5"/>
  <c r="P1129" i="5"/>
  <c r="Q1129" i="5"/>
  <c r="P1130" i="5"/>
  <c r="Q1130" i="5"/>
  <c r="S1130" i="5"/>
  <c r="P1131" i="5"/>
  <c r="Q1131" i="5"/>
  <c r="S1131" i="5"/>
  <c r="R1132" i="5"/>
  <c r="P1132" i="5"/>
  <c r="Q1132" i="5"/>
  <c r="S1132" i="5"/>
  <c r="R1133" i="5"/>
  <c r="P1133" i="5"/>
  <c r="Q1133" i="5"/>
  <c r="S1133" i="5"/>
  <c r="P1134" i="5"/>
  <c r="Q1134" i="5"/>
  <c r="R1134" i="5"/>
  <c r="S1134" i="5"/>
  <c r="P1135" i="5"/>
  <c r="Q1135" i="5"/>
  <c r="P1136" i="5"/>
  <c r="Q1136" i="5"/>
  <c r="S1136" i="5"/>
  <c r="R1137" i="5"/>
  <c r="P1137" i="5"/>
  <c r="Q1137" i="5"/>
  <c r="S1137" i="5"/>
  <c r="R1138" i="5"/>
  <c r="P1138" i="5"/>
  <c r="Q1138" i="5"/>
  <c r="S1138" i="5"/>
  <c r="R1139" i="5"/>
  <c r="P1139" i="5"/>
  <c r="Q1139" i="5"/>
  <c r="S1139" i="5"/>
  <c r="P1140" i="5"/>
  <c r="Q1140" i="5"/>
  <c r="P1141" i="5"/>
  <c r="Q1141" i="5"/>
  <c r="S1141" i="5"/>
  <c r="P1142" i="5"/>
  <c r="Q1142" i="5"/>
  <c r="S1142" i="5"/>
  <c r="P1143" i="5"/>
  <c r="Q1143" i="5"/>
  <c r="S1143" i="5"/>
  <c r="R1144" i="5"/>
  <c r="P1144" i="5"/>
  <c r="Q1144" i="5"/>
  <c r="S1144" i="5"/>
  <c r="R1145" i="5"/>
  <c r="P1145" i="5"/>
  <c r="Q1145" i="5"/>
  <c r="S1145" i="5"/>
  <c r="R1146" i="5"/>
  <c r="P1146" i="5"/>
  <c r="Q1146" i="5"/>
  <c r="S1146" i="5"/>
  <c r="R1147" i="5"/>
  <c r="P1147" i="5"/>
  <c r="Q1147" i="5"/>
  <c r="P1148" i="5"/>
  <c r="Q1148" i="5"/>
  <c r="S1148" i="5"/>
  <c r="P1149" i="5"/>
  <c r="Q1149" i="5"/>
  <c r="S1149" i="5"/>
  <c r="P1150" i="5"/>
  <c r="Q1150" i="5"/>
  <c r="S1150" i="5"/>
  <c r="R1151" i="5"/>
  <c r="P1151" i="5"/>
  <c r="Q1151" i="5"/>
  <c r="S1151" i="5"/>
  <c r="R1152" i="5"/>
  <c r="P1152" i="5"/>
  <c r="Q1152" i="5"/>
  <c r="S1152" i="5"/>
  <c r="R1153" i="5"/>
  <c r="P1153" i="5"/>
  <c r="Q1153" i="5"/>
  <c r="S1153" i="5"/>
  <c r="P1154" i="5"/>
  <c r="Q1154" i="5"/>
  <c r="P1155" i="5"/>
  <c r="Q1155" i="5"/>
  <c r="S1155" i="5"/>
  <c r="P1156" i="5"/>
  <c r="Q1156" i="5"/>
  <c r="S1156" i="5"/>
  <c r="P1157" i="5"/>
  <c r="Q1157" i="5"/>
  <c r="S1157" i="5"/>
  <c r="R1158" i="5"/>
  <c r="P1158" i="5"/>
  <c r="Q1158" i="5"/>
  <c r="S1158" i="5"/>
  <c r="R1159" i="5"/>
  <c r="P1159" i="5"/>
  <c r="Q1159" i="5"/>
  <c r="S1159" i="5"/>
  <c r="R1160" i="5"/>
  <c r="P1160" i="5"/>
  <c r="Q1160" i="5"/>
  <c r="S1160" i="5"/>
  <c r="P1161" i="5"/>
  <c r="Q1161" i="5"/>
  <c r="P1162" i="5"/>
  <c r="Q1162" i="5"/>
  <c r="S1162" i="5"/>
  <c r="P1163" i="5"/>
  <c r="Q1163" i="5"/>
  <c r="S1163" i="5"/>
  <c r="P1164" i="5"/>
  <c r="Q1164" i="5"/>
  <c r="S1164" i="5"/>
  <c r="R1165" i="5"/>
  <c r="P1165" i="5"/>
  <c r="Q1165" i="5"/>
  <c r="S1165" i="5"/>
  <c r="P1166" i="5"/>
  <c r="Q1166" i="5"/>
  <c r="R1166" i="5"/>
  <c r="S1166" i="5"/>
  <c r="R1167" i="5"/>
  <c r="P1167" i="5"/>
  <c r="Q1167" i="5"/>
  <c r="S1167" i="5"/>
  <c r="R1168" i="5"/>
  <c r="P1168" i="5"/>
  <c r="Q1168" i="5"/>
  <c r="P1169" i="5"/>
  <c r="Q1169" i="5"/>
  <c r="S1169" i="5"/>
  <c r="P1170" i="5"/>
  <c r="Q1170" i="5"/>
  <c r="S1170" i="5"/>
  <c r="P1171" i="5"/>
  <c r="Q1171" i="5"/>
  <c r="S1171" i="5"/>
  <c r="R1172" i="5"/>
  <c r="P1172" i="5"/>
  <c r="Q1172" i="5"/>
  <c r="S1172" i="5"/>
  <c r="P1173" i="5"/>
  <c r="Q1173" i="5"/>
  <c r="R1173" i="5"/>
  <c r="S1173" i="5"/>
  <c r="R1174" i="5"/>
  <c r="P1174" i="5"/>
  <c r="Q1174" i="5"/>
  <c r="S1174" i="5"/>
  <c r="R1175" i="5"/>
  <c r="P1175" i="5"/>
  <c r="Q1175" i="5"/>
  <c r="P1176" i="5"/>
  <c r="Q1176" i="5"/>
  <c r="S1176" i="5"/>
  <c r="P1177" i="5"/>
  <c r="Q1177" i="5"/>
  <c r="S1177" i="5"/>
  <c r="P1178" i="5"/>
  <c r="Q1178" i="5"/>
  <c r="S1178" i="5"/>
  <c r="P1179" i="5"/>
  <c r="Q1179" i="5"/>
  <c r="R1179" i="5"/>
  <c r="S1179" i="5"/>
  <c r="R1180" i="5"/>
  <c r="P1180" i="5"/>
  <c r="Q1180" i="5"/>
  <c r="S1180" i="5"/>
  <c r="R1181" i="5"/>
  <c r="P1181" i="5"/>
  <c r="Q1181" i="5"/>
  <c r="S1181" i="5"/>
  <c r="R1182" i="5"/>
  <c r="P1182" i="5"/>
  <c r="Q1182" i="5"/>
  <c r="P1183" i="5"/>
  <c r="Q1183" i="5"/>
  <c r="S1183" i="5"/>
  <c r="P1184" i="5"/>
  <c r="Q1184" i="5"/>
  <c r="S1184" i="5"/>
  <c r="P1185" i="5"/>
  <c r="Q1185" i="5"/>
  <c r="S1185" i="5"/>
  <c r="R1186" i="5"/>
  <c r="P1186" i="5"/>
  <c r="Q1186" i="5"/>
  <c r="S1186" i="5"/>
  <c r="R1187" i="5"/>
  <c r="P1187" i="5"/>
  <c r="Q1187" i="5"/>
  <c r="S1187" i="5"/>
  <c r="R1188" i="5"/>
  <c r="P1188" i="5"/>
  <c r="Q1188" i="5"/>
  <c r="S1188" i="5"/>
  <c r="P1189" i="5"/>
  <c r="Q1189" i="5"/>
  <c r="R1189" i="5"/>
  <c r="P1190" i="5"/>
  <c r="Q1190" i="5"/>
  <c r="S1190" i="5"/>
  <c r="P1191" i="5"/>
  <c r="Q1191" i="5"/>
  <c r="S1191" i="5"/>
  <c r="P1192" i="5"/>
  <c r="Q1192" i="5"/>
  <c r="S1192" i="5"/>
  <c r="R1193" i="5"/>
  <c r="P1193" i="5"/>
  <c r="Q1193" i="5"/>
  <c r="S1193" i="5"/>
  <c r="R1194" i="5"/>
  <c r="P1194" i="5"/>
  <c r="Q1194" i="5"/>
  <c r="S1194" i="5"/>
  <c r="P1195" i="5"/>
  <c r="Q1195" i="5"/>
  <c r="R1195" i="5"/>
  <c r="S1195" i="5"/>
  <c r="R1196" i="5"/>
  <c r="P1196" i="5"/>
  <c r="Q1196" i="5"/>
  <c r="P1197" i="5"/>
  <c r="Q1197" i="5"/>
  <c r="S1197" i="5"/>
  <c r="P1198" i="5"/>
  <c r="Q1198" i="5"/>
  <c r="S1198" i="5"/>
  <c r="P1199" i="5"/>
  <c r="Q1199" i="5"/>
  <c r="S1199" i="5"/>
  <c r="R1200" i="5"/>
  <c r="P1200" i="5"/>
  <c r="Q1200" i="5"/>
  <c r="S1200" i="5"/>
  <c r="P1201" i="5"/>
  <c r="Q1201" i="5"/>
  <c r="R1201" i="5"/>
  <c r="S1201" i="5"/>
  <c r="R1202" i="5"/>
  <c r="P1202" i="5"/>
  <c r="Q1202" i="5"/>
  <c r="S1202" i="5"/>
  <c r="P1203" i="5"/>
  <c r="Q1203" i="5"/>
  <c r="P1204" i="5"/>
  <c r="Q1204" i="5"/>
  <c r="S1204" i="5"/>
  <c r="P1205" i="5"/>
  <c r="Q1205" i="5"/>
  <c r="S1205" i="5"/>
  <c r="P1206" i="5"/>
  <c r="Q1206" i="5"/>
  <c r="S1206" i="5"/>
  <c r="R1207" i="5"/>
  <c r="P1207" i="5"/>
  <c r="Q1207" i="5"/>
  <c r="S1207" i="5"/>
  <c r="R1208" i="5"/>
  <c r="P1208" i="5"/>
  <c r="Q1208" i="5"/>
  <c r="S1208" i="5"/>
  <c r="R1209" i="5"/>
  <c r="P1209" i="5"/>
  <c r="Q1209" i="5"/>
  <c r="S1209" i="5"/>
  <c r="R1210" i="5"/>
  <c r="P1210" i="5"/>
  <c r="Q1210" i="5"/>
  <c r="P1211" i="5"/>
  <c r="Q1211" i="5"/>
  <c r="S1211" i="5"/>
  <c r="P1212" i="5"/>
  <c r="Q1212" i="5"/>
  <c r="S1212" i="5"/>
  <c r="P1213" i="5"/>
  <c r="Q1213" i="5"/>
  <c r="S1213" i="5"/>
  <c r="R1214" i="5"/>
  <c r="P1214" i="5"/>
  <c r="Q1214" i="5"/>
  <c r="S1214" i="5"/>
  <c r="R1215" i="5"/>
  <c r="P1215" i="5"/>
  <c r="Q1215" i="5"/>
  <c r="S1215" i="5"/>
  <c r="R1216" i="5"/>
  <c r="P1216" i="5"/>
  <c r="Q1216" i="5"/>
  <c r="S1216" i="5"/>
  <c r="P1217" i="5"/>
  <c r="Q1217" i="5"/>
  <c r="P1218" i="5"/>
  <c r="Q1218" i="5"/>
  <c r="S1218" i="5"/>
  <c r="P1219" i="5"/>
  <c r="Q1219" i="5"/>
  <c r="S1219" i="5"/>
  <c r="P1220" i="5"/>
  <c r="Q1220" i="5"/>
  <c r="S1220" i="5"/>
  <c r="R1221" i="5"/>
  <c r="P1221" i="5"/>
  <c r="Q1221" i="5"/>
  <c r="S1221" i="5"/>
  <c r="R1222" i="5"/>
  <c r="P1222" i="5"/>
  <c r="Q1222" i="5"/>
  <c r="S1222" i="5"/>
  <c r="R1223" i="5"/>
  <c r="P1223" i="5"/>
  <c r="Q1223" i="5"/>
  <c r="S1223" i="5"/>
  <c r="R1224" i="5"/>
  <c r="P1224" i="5"/>
  <c r="Q1224" i="5"/>
  <c r="P1225" i="5"/>
  <c r="Q1225" i="5"/>
  <c r="S1225" i="5"/>
  <c r="P1226" i="5"/>
  <c r="Q1226" i="5"/>
  <c r="S1226" i="5"/>
  <c r="R1227" i="5"/>
  <c r="P1227" i="5"/>
  <c r="Q1227" i="5"/>
  <c r="S1227" i="5"/>
  <c r="R1228" i="5"/>
  <c r="P1228" i="5"/>
  <c r="Q1228" i="5"/>
  <c r="S1228" i="5"/>
  <c r="R1229" i="5"/>
  <c r="P1229" i="5"/>
  <c r="Q1229" i="5"/>
  <c r="S1229" i="5"/>
  <c r="P1230" i="5"/>
  <c r="Q1230" i="5"/>
  <c r="R1230" i="5"/>
  <c r="P1231" i="5"/>
  <c r="Q1231" i="5"/>
  <c r="S1231" i="5"/>
  <c r="P1232" i="5"/>
  <c r="Q1232" i="5"/>
  <c r="S1232" i="5"/>
  <c r="R1233" i="5"/>
  <c r="P1233" i="5"/>
  <c r="Q1233" i="5"/>
  <c r="S1233" i="5"/>
  <c r="R1234" i="5"/>
  <c r="P1234" i="5"/>
  <c r="Q1234" i="5"/>
  <c r="S1234" i="5"/>
  <c r="R1235" i="5"/>
  <c r="P1235" i="5"/>
  <c r="Q1235" i="5"/>
  <c r="S1235" i="5"/>
  <c r="R1236" i="5"/>
  <c r="P1236" i="5"/>
  <c r="Q1236" i="5"/>
  <c r="P1237" i="5"/>
  <c r="Q1237" i="5"/>
  <c r="S1237" i="5"/>
  <c r="P1238" i="5"/>
  <c r="Q1238" i="5"/>
  <c r="S1238" i="5"/>
  <c r="R1239" i="5"/>
  <c r="P1239" i="5"/>
  <c r="Q1239" i="5"/>
  <c r="S1239" i="5"/>
  <c r="R1240" i="5"/>
  <c r="P1240" i="5"/>
  <c r="Q1240" i="5"/>
  <c r="S1240" i="5"/>
  <c r="R1241" i="5"/>
  <c r="P1241" i="5"/>
  <c r="Q1241" i="5"/>
  <c r="S1241" i="5"/>
  <c r="R1242" i="5"/>
  <c r="P1242" i="5"/>
  <c r="Q1242" i="5"/>
  <c r="P1243" i="5"/>
  <c r="Q1243" i="5"/>
  <c r="S1243" i="5"/>
  <c r="P1244" i="5"/>
  <c r="Q1244" i="5"/>
  <c r="S1244" i="5"/>
  <c r="R1245" i="5"/>
  <c r="P1245" i="5"/>
  <c r="Q1245" i="5"/>
  <c r="S1245" i="5"/>
  <c r="P1246" i="5"/>
  <c r="Q1246" i="5"/>
  <c r="R1246" i="5"/>
  <c r="S1246" i="5"/>
  <c r="R1247" i="5"/>
  <c r="P1247" i="5"/>
  <c r="Q1247" i="5"/>
  <c r="S1247" i="5"/>
  <c r="P1248" i="5"/>
  <c r="Q1248" i="5"/>
  <c r="P1249" i="5"/>
  <c r="Q1249" i="5"/>
  <c r="S1249" i="5"/>
  <c r="P1250" i="5"/>
  <c r="Q1250" i="5"/>
  <c r="S1250" i="5"/>
  <c r="P1251" i="5"/>
  <c r="Q1251" i="5"/>
  <c r="S1251" i="5"/>
  <c r="R1252" i="5"/>
  <c r="P1252" i="5"/>
  <c r="Q1252" i="5"/>
  <c r="S1252" i="5"/>
  <c r="R1253" i="5"/>
  <c r="P1253" i="5"/>
  <c r="Q1253" i="5"/>
  <c r="S1253" i="5"/>
  <c r="R1254" i="5"/>
  <c r="P1254" i="5"/>
  <c r="Q1254" i="5"/>
  <c r="S1254" i="5"/>
  <c r="P1255" i="5"/>
  <c r="Q1255" i="5"/>
  <c r="P1256" i="5"/>
  <c r="Q1256" i="5"/>
  <c r="S1256" i="5"/>
  <c r="P1257" i="5"/>
  <c r="Q1257" i="5"/>
  <c r="S1257" i="5"/>
  <c r="P1258" i="5"/>
  <c r="Q1258" i="5"/>
  <c r="S1258" i="5"/>
  <c r="R1259" i="5"/>
  <c r="P1259" i="5"/>
  <c r="Q1259" i="5"/>
  <c r="S1259" i="5"/>
  <c r="R1260" i="5"/>
  <c r="P1260" i="5"/>
  <c r="Q1260" i="5"/>
  <c r="S1260" i="5"/>
  <c r="R1261" i="5"/>
  <c r="P1261" i="5"/>
  <c r="Q1261" i="5"/>
  <c r="S1261" i="5"/>
  <c r="P1262" i="5"/>
  <c r="Q1262" i="5"/>
  <c r="P1263" i="5"/>
  <c r="Q1263" i="5"/>
  <c r="S1263" i="5"/>
  <c r="P1264" i="5"/>
  <c r="Q1264" i="5"/>
  <c r="S1264" i="5"/>
  <c r="P1265" i="5"/>
  <c r="Q1265" i="5"/>
  <c r="S1265" i="5"/>
  <c r="R1266" i="5"/>
  <c r="P1266" i="5"/>
  <c r="Q1266" i="5"/>
  <c r="S1266" i="5"/>
  <c r="R1267" i="5"/>
  <c r="P1267" i="5"/>
  <c r="Q1267" i="5"/>
  <c r="S1267" i="5"/>
  <c r="R1268" i="5"/>
  <c r="P1268" i="5"/>
  <c r="Q1268" i="5"/>
  <c r="S1268" i="5"/>
  <c r="P1269" i="5"/>
  <c r="Q1269" i="5"/>
  <c r="P1270" i="5"/>
  <c r="Q1270" i="5"/>
  <c r="S1270" i="5"/>
  <c r="R1271" i="5"/>
  <c r="P1271" i="5"/>
  <c r="Q1271" i="5"/>
  <c r="S1271" i="5"/>
  <c r="R1272" i="5"/>
  <c r="P1272" i="5"/>
  <c r="Q1272" i="5"/>
  <c r="S1272" i="5"/>
  <c r="R1273" i="5"/>
  <c r="P1273" i="5"/>
  <c r="Q1273" i="5"/>
  <c r="S1273" i="5"/>
  <c r="R1274" i="5"/>
  <c r="P1274" i="5"/>
  <c r="Q1274" i="5"/>
  <c r="S1274" i="5"/>
  <c r="R1275" i="5"/>
  <c r="P1275" i="5"/>
  <c r="Q1275" i="5"/>
  <c r="P1276" i="5"/>
  <c r="Q1276" i="5"/>
  <c r="S1276" i="5"/>
  <c r="P1277" i="5"/>
  <c r="Q1277" i="5"/>
  <c r="S1277" i="5"/>
  <c r="P1278" i="5"/>
  <c r="Q1278" i="5"/>
  <c r="S1278" i="5"/>
  <c r="R1279" i="5"/>
  <c r="P1279" i="5"/>
  <c r="Q1279" i="5"/>
  <c r="S1279" i="5"/>
  <c r="R1280" i="5"/>
  <c r="P1280" i="5"/>
  <c r="Q1280" i="5"/>
  <c r="S1280" i="5"/>
  <c r="R1281" i="5"/>
  <c r="P1281" i="5"/>
  <c r="Q1281" i="5"/>
  <c r="S1281" i="5"/>
  <c r="R1282" i="5"/>
  <c r="P1282" i="5"/>
  <c r="Q1282" i="5"/>
  <c r="P1283" i="5"/>
  <c r="Q1283" i="5"/>
  <c r="S1283" i="5"/>
  <c r="P1284" i="5"/>
  <c r="Q1284" i="5"/>
  <c r="S1284" i="5"/>
  <c r="P1285" i="5"/>
  <c r="Q1285" i="5"/>
  <c r="S1285" i="5"/>
  <c r="P1286" i="5"/>
  <c r="Q1286" i="5"/>
  <c r="R1286" i="5"/>
  <c r="S1286" i="5"/>
  <c r="R1287" i="5"/>
  <c r="P1287" i="5"/>
  <c r="Q1287" i="5"/>
  <c r="S1287" i="5"/>
  <c r="R1288" i="5"/>
  <c r="P1288" i="5"/>
  <c r="Q1288" i="5"/>
  <c r="S1288" i="5"/>
  <c r="R1289" i="5"/>
  <c r="P1289" i="5"/>
  <c r="Q1289" i="5"/>
  <c r="P1290" i="5"/>
  <c r="Q1290" i="5"/>
  <c r="S1290" i="5"/>
  <c r="P1291" i="5"/>
  <c r="Q1291" i="5"/>
  <c r="S1291" i="5"/>
  <c r="P1292" i="5"/>
  <c r="Q1292" i="5"/>
  <c r="S1292" i="5"/>
  <c r="P1293" i="5"/>
  <c r="Q1293" i="5"/>
  <c r="R1293" i="5"/>
  <c r="S1293" i="5"/>
  <c r="R1294" i="5"/>
  <c r="P1294" i="5"/>
  <c r="Q1294" i="5"/>
  <c r="S1294" i="5"/>
  <c r="R1295" i="5"/>
  <c r="P1295" i="5"/>
  <c r="Q1295" i="5"/>
  <c r="S1295" i="5"/>
  <c r="P1296" i="5"/>
  <c r="Q1296" i="5"/>
  <c r="P1297" i="5"/>
  <c r="Q1297" i="5"/>
  <c r="S1297" i="5"/>
  <c r="R1298" i="5"/>
  <c r="P1298" i="5"/>
  <c r="Q1298" i="5"/>
  <c r="S1298" i="5"/>
  <c r="P1299" i="5"/>
  <c r="Q1299" i="5"/>
  <c r="S1299" i="5"/>
  <c r="R1300" i="5"/>
  <c r="P1300" i="5"/>
  <c r="Q1300" i="5"/>
  <c r="S1300" i="5"/>
  <c r="P1301" i="5"/>
  <c r="Q1301" i="5"/>
  <c r="R1301" i="5"/>
  <c r="S1301" i="5"/>
  <c r="R1302" i="5"/>
  <c r="P1302" i="5"/>
  <c r="Q1302" i="5"/>
  <c r="S1302" i="5"/>
  <c r="R1303" i="5"/>
  <c r="P1303" i="5"/>
  <c r="Q1303" i="5"/>
  <c r="P1304" i="5"/>
  <c r="Q1304" i="5"/>
  <c r="S1304" i="5"/>
  <c r="P1305" i="5"/>
  <c r="Q1305" i="5"/>
  <c r="S1305" i="5"/>
  <c r="P1306" i="5"/>
  <c r="Q1306" i="5"/>
  <c r="S1306" i="5"/>
  <c r="P1307" i="5"/>
  <c r="Q1307" i="5"/>
  <c r="S1307" i="5"/>
  <c r="R1308" i="5"/>
  <c r="P1308" i="5"/>
  <c r="Q1308" i="5"/>
  <c r="S1308" i="5"/>
  <c r="R1309" i="5"/>
  <c r="P1309" i="5"/>
  <c r="Q1309" i="5"/>
  <c r="S1309" i="5"/>
  <c r="R1310" i="5"/>
  <c r="P1310" i="5"/>
  <c r="Q1310" i="5"/>
  <c r="S1310" i="5"/>
  <c r="P1311" i="5"/>
  <c r="Q1311" i="5"/>
  <c r="P1312" i="5"/>
  <c r="Q1312" i="5"/>
  <c r="S1312" i="5"/>
  <c r="R1313" i="5"/>
  <c r="P1313" i="5"/>
  <c r="Q1313" i="5"/>
  <c r="S1313" i="5"/>
  <c r="P1314" i="5"/>
  <c r="Q1314" i="5"/>
  <c r="S1314" i="5"/>
  <c r="P1315" i="5"/>
  <c r="Q1315" i="5"/>
  <c r="S1315" i="5"/>
  <c r="R1316" i="5"/>
  <c r="P1316" i="5"/>
  <c r="Q1316" i="5"/>
  <c r="S1316" i="5"/>
  <c r="P1317" i="5"/>
  <c r="Q1317" i="5"/>
  <c r="R1317" i="5"/>
  <c r="S1317" i="5"/>
  <c r="R1318" i="5"/>
  <c r="P1318" i="5"/>
  <c r="Q1318" i="5"/>
  <c r="S1318" i="5"/>
  <c r="R1319" i="5"/>
  <c r="P1319" i="5"/>
  <c r="Q1319" i="5"/>
  <c r="S1319" i="5"/>
  <c r="P1320" i="5"/>
  <c r="Q1320" i="5"/>
  <c r="R1320" i="5"/>
  <c r="P1321" i="5"/>
  <c r="Q1321" i="5"/>
  <c r="S1321" i="5"/>
  <c r="P1322" i="5"/>
  <c r="Q1322" i="5"/>
  <c r="S1322" i="5"/>
  <c r="R1323" i="5"/>
  <c r="P1323" i="5"/>
  <c r="Q1323" i="5"/>
  <c r="S1323" i="5"/>
  <c r="R1324" i="5"/>
  <c r="P1324" i="5"/>
  <c r="Q1324" i="5"/>
  <c r="S1324" i="5"/>
  <c r="R1325" i="5"/>
  <c r="P1325" i="5"/>
  <c r="Q1325" i="5"/>
  <c r="S1325" i="5"/>
  <c r="R1326" i="5"/>
  <c r="P1326" i="5"/>
  <c r="Q1326" i="5"/>
  <c r="P1327" i="5"/>
  <c r="Q1327" i="5"/>
  <c r="S1327" i="5"/>
  <c r="P1328" i="5"/>
  <c r="Q1328" i="5"/>
  <c r="S1328" i="5"/>
  <c r="R1329" i="5"/>
  <c r="P1329" i="5"/>
  <c r="Q1329" i="5"/>
  <c r="S1329" i="5"/>
  <c r="R1330" i="5"/>
  <c r="P1330" i="5"/>
  <c r="Q1330" i="5"/>
  <c r="S1330" i="5"/>
  <c r="R1331" i="5"/>
  <c r="P1331" i="5"/>
  <c r="Q1331" i="5"/>
  <c r="S1331" i="5"/>
  <c r="R1332" i="5"/>
  <c r="P1332" i="5"/>
  <c r="Q1332" i="5"/>
  <c r="P1333" i="5"/>
  <c r="Q1333" i="5"/>
  <c r="S1333" i="5"/>
  <c r="P1334" i="5"/>
  <c r="Q1334" i="5"/>
  <c r="S1334" i="5"/>
  <c r="R1335" i="5"/>
  <c r="P1335" i="5"/>
  <c r="Q1335" i="5"/>
  <c r="S1335" i="5"/>
  <c r="R1336" i="5"/>
  <c r="P1336" i="5"/>
  <c r="Q1336" i="5"/>
  <c r="S1336" i="5"/>
  <c r="R1337" i="5"/>
  <c r="P1337" i="5"/>
  <c r="Q1337" i="5"/>
  <c r="S1337" i="5"/>
  <c r="R1338" i="5"/>
  <c r="P1338" i="5"/>
  <c r="Q1338" i="5"/>
  <c r="P1339" i="5"/>
  <c r="Q1339" i="5"/>
  <c r="S1339" i="5"/>
  <c r="P1340" i="5"/>
  <c r="Q1340" i="5"/>
  <c r="S1340" i="5"/>
  <c r="R1341" i="5"/>
  <c r="P1341" i="5"/>
  <c r="Q1341" i="5"/>
  <c r="S1341" i="5"/>
  <c r="R1342" i="5"/>
  <c r="P1342" i="5"/>
  <c r="Q1342" i="5"/>
  <c r="S1342" i="5"/>
  <c r="R1343" i="5"/>
  <c r="P1343" i="5"/>
  <c r="Q1343" i="5"/>
  <c r="S1343" i="5"/>
  <c r="P1344" i="5"/>
  <c r="Q1344" i="5"/>
  <c r="P1345" i="5"/>
  <c r="Q1345" i="5"/>
  <c r="S1345" i="5"/>
  <c r="P1346" i="5"/>
  <c r="Q1346" i="5"/>
  <c r="S1346" i="5"/>
  <c r="P1347" i="5"/>
  <c r="Q1347" i="5"/>
  <c r="S1347" i="5"/>
  <c r="R1348" i="5"/>
  <c r="P1348" i="5"/>
  <c r="Q1348" i="5"/>
  <c r="S1348" i="5"/>
  <c r="P1349" i="5"/>
  <c r="Q1349" i="5"/>
  <c r="R1349" i="5"/>
  <c r="S1349" i="5"/>
  <c r="R1350" i="5"/>
  <c r="P1350" i="5"/>
  <c r="Q1350" i="5"/>
  <c r="S1350" i="5"/>
  <c r="P1351" i="5"/>
  <c r="Q1351" i="5"/>
  <c r="P1352" i="5"/>
  <c r="Q1352" i="5"/>
  <c r="S1352" i="5"/>
  <c r="R1353" i="5"/>
  <c r="P1353" i="5"/>
  <c r="Q1353" i="5"/>
  <c r="S1353" i="5"/>
  <c r="R1354" i="5"/>
  <c r="P1354" i="5"/>
  <c r="Q1354" i="5"/>
  <c r="S1354" i="5"/>
  <c r="R1355" i="5"/>
  <c r="P1355" i="5"/>
  <c r="Q1355" i="5"/>
  <c r="S1355" i="5"/>
  <c r="R1356" i="5"/>
  <c r="P1356" i="5"/>
  <c r="Q1356" i="5"/>
  <c r="S1356" i="5"/>
  <c r="P1357" i="5"/>
  <c r="Q1357" i="5"/>
  <c r="P1358" i="5"/>
  <c r="Q1358" i="5"/>
  <c r="S1358" i="5"/>
  <c r="P1359" i="5"/>
  <c r="Q1359" i="5"/>
  <c r="S1359" i="5"/>
  <c r="P1360" i="5"/>
  <c r="Q1360" i="5"/>
  <c r="S1360" i="5"/>
  <c r="R1361" i="5"/>
  <c r="P1361" i="5"/>
  <c r="Q1361" i="5"/>
  <c r="S1361" i="5"/>
  <c r="R1362" i="5"/>
  <c r="P1362" i="5"/>
  <c r="Q1362" i="5"/>
  <c r="S1362" i="5"/>
  <c r="R1363" i="5"/>
  <c r="P1363" i="5"/>
  <c r="Q1363" i="5"/>
  <c r="S1363" i="5"/>
  <c r="P1364" i="5"/>
  <c r="Q1364" i="5"/>
  <c r="P1365" i="5"/>
  <c r="Q1365" i="5"/>
  <c r="S1365" i="5"/>
  <c r="R1366" i="5"/>
  <c r="P1366" i="5"/>
  <c r="Q1366" i="5"/>
  <c r="S1366" i="5"/>
  <c r="R1367" i="5"/>
  <c r="P1367" i="5"/>
  <c r="Q1367" i="5"/>
  <c r="S1367" i="5"/>
  <c r="R1368" i="5"/>
  <c r="P1368" i="5"/>
  <c r="Q1368" i="5"/>
  <c r="S1368" i="5"/>
  <c r="R1369" i="5"/>
  <c r="P1369" i="5"/>
  <c r="Q1369" i="5"/>
  <c r="S1369" i="5"/>
  <c r="P1370" i="5"/>
  <c r="Q1370" i="5"/>
  <c r="P1371" i="5"/>
  <c r="Q1371" i="5"/>
  <c r="S1371" i="5"/>
  <c r="R1372" i="5"/>
  <c r="P1372" i="5"/>
  <c r="Q1372" i="5"/>
  <c r="S1372" i="5"/>
  <c r="R1373" i="5"/>
  <c r="P1373" i="5"/>
  <c r="Q1373" i="5"/>
  <c r="S1373" i="5"/>
  <c r="P1374" i="5"/>
  <c r="Q1374" i="5"/>
  <c r="R1374" i="5"/>
  <c r="S1374" i="5"/>
  <c r="R1375" i="5"/>
  <c r="P1375" i="5"/>
  <c r="Q1375" i="5"/>
  <c r="S1375" i="5"/>
  <c r="P1376" i="5"/>
  <c r="Q1376" i="5"/>
  <c r="P1377" i="5"/>
  <c r="Q1377" i="5"/>
  <c r="S1377" i="5"/>
  <c r="R1378" i="5"/>
  <c r="P1378" i="5"/>
  <c r="Q1378" i="5"/>
  <c r="S1378" i="5"/>
  <c r="R1379" i="5"/>
  <c r="P1379" i="5"/>
  <c r="Q1379" i="5"/>
  <c r="S1379" i="5"/>
  <c r="R1380" i="5"/>
  <c r="P1380" i="5"/>
  <c r="Q1380" i="5"/>
  <c r="S1380" i="5"/>
  <c r="R1381" i="5"/>
  <c r="P1381" i="5"/>
  <c r="Q1381" i="5"/>
  <c r="S1381" i="5"/>
  <c r="R1382" i="5"/>
  <c r="P1382" i="5"/>
  <c r="Q1382" i="5"/>
  <c r="S1382" i="5"/>
  <c r="P1383" i="5"/>
  <c r="Q1383" i="5"/>
  <c r="P1384" i="5"/>
  <c r="Q1384" i="5"/>
  <c r="S1384" i="5"/>
  <c r="P1385" i="5"/>
  <c r="Q1385" i="5"/>
  <c r="S1385" i="5"/>
  <c r="P1386" i="5"/>
  <c r="Q1386" i="5"/>
  <c r="R1386" i="5"/>
  <c r="S1386" i="5"/>
  <c r="R1387" i="5"/>
  <c r="P1387" i="5"/>
  <c r="Q1387" i="5"/>
  <c r="S1387" i="5"/>
  <c r="R1388" i="5"/>
  <c r="P1388" i="5"/>
  <c r="Q1388" i="5"/>
  <c r="S1388" i="5"/>
  <c r="P1389" i="5"/>
  <c r="Q1389" i="5"/>
  <c r="P1390" i="5"/>
  <c r="Q1390" i="5"/>
  <c r="S1390" i="5"/>
  <c r="R1391" i="5"/>
  <c r="P1391" i="5"/>
  <c r="Q1391" i="5"/>
  <c r="S1391" i="5"/>
  <c r="R1392" i="5"/>
  <c r="P1392" i="5"/>
  <c r="Q1392" i="5"/>
  <c r="S1392" i="5"/>
  <c r="R1393" i="5"/>
  <c r="P1393" i="5"/>
  <c r="Q1393" i="5"/>
  <c r="S1393" i="5"/>
  <c r="R1394" i="5"/>
  <c r="P1394" i="5"/>
  <c r="Q1394" i="5"/>
  <c r="S1394" i="5"/>
  <c r="R1395" i="5"/>
  <c r="P1395" i="5"/>
  <c r="Q1395" i="5"/>
  <c r="P1396" i="5"/>
  <c r="Q1396" i="5"/>
  <c r="S1396" i="5"/>
  <c r="P1397" i="5"/>
  <c r="Q1397" i="5"/>
  <c r="S1397" i="5"/>
  <c r="P1398" i="5"/>
  <c r="Q1398" i="5"/>
  <c r="R1398" i="5"/>
  <c r="S1398" i="5"/>
  <c r="R1399" i="5"/>
  <c r="P1399" i="5"/>
  <c r="Q1399" i="5"/>
  <c r="S1399" i="5"/>
  <c r="R1400" i="5"/>
  <c r="P1400" i="5"/>
  <c r="Q1400" i="5"/>
  <c r="S1400" i="5"/>
  <c r="P1401" i="5"/>
  <c r="Q1401" i="5"/>
  <c r="P1402" i="5"/>
  <c r="Q1402" i="5"/>
  <c r="S1402" i="5"/>
  <c r="P1403" i="5"/>
  <c r="Q1403" i="5"/>
  <c r="S1403" i="5"/>
  <c r="P1404" i="5"/>
  <c r="Q1404" i="5"/>
  <c r="S1404" i="5"/>
  <c r="P1405" i="5"/>
  <c r="Q1405" i="5"/>
  <c r="R1405" i="5"/>
  <c r="S1405" i="5"/>
  <c r="R1406" i="5"/>
  <c r="P1406" i="5"/>
  <c r="Q1406" i="5"/>
  <c r="S1406" i="5"/>
  <c r="R1407" i="5"/>
  <c r="P1407" i="5"/>
  <c r="Q1407" i="5"/>
  <c r="S1407" i="5"/>
  <c r="P1408" i="5"/>
  <c r="Q1408" i="5"/>
  <c r="P1409" i="5"/>
  <c r="Q1409" i="5"/>
  <c r="S1409" i="5"/>
  <c r="P1410" i="5"/>
  <c r="Q1410" i="5"/>
  <c r="S1410" i="5"/>
  <c r="R1411" i="5"/>
  <c r="P1411" i="5"/>
  <c r="Q1411" i="5"/>
  <c r="S1411" i="5"/>
  <c r="P1412" i="5"/>
  <c r="Q1412" i="5"/>
  <c r="S1412" i="5"/>
  <c r="P1413" i="5"/>
  <c r="Q1413" i="5"/>
  <c r="S1413" i="5"/>
  <c r="P1414" i="5"/>
  <c r="Q1414" i="5"/>
  <c r="S1414" i="5"/>
  <c r="P1415" i="5"/>
  <c r="Q1415" i="5"/>
  <c r="S1415" i="5"/>
  <c r="P1416" i="5"/>
  <c r="Q1416" i="5"/>
  <c r="S1416" i="5"/>
  <c r="P1417" i="5"/>
  <c r="Q1417" i="5"/>
  <c r="S1417" i="5"/>
  <c r="P1418" i="5"/>
  <c r="Q1418" i="5"/>
  <c r="S1418" i="5"/>
  <c r="R1419" i="5"/>
  <c r="P1419" i="5"/>
  <c r="Q1419" i="5"/>
  <c r="S1419" i="5"/>
  <c r="R1420" i="5"/>
  <c r="P1420" i="5"/>
  <c r="Q1420" i="5"/>
  <c r="S1420" i="5"/>
  <c r="R1421" i="5"/>
  <c r="P1421" i="5"/>
  <c r="Q1421" i="5"/>
  <c r="S1421" i="5"/>
  <c r="R1422" i="5"/>
  <c r="P1422" i="5"/>
  <c r="Q1422" i="5"/>
  <c r="S1422" i="5"/>
  <c r="P1423" i="5"/>
  <c r="Q1423" i="5"/>
  <c r="P1424" i="5"/>
  <c r="Q1424" i="5"/>
  <c r="S1424" i="5"/>
  <c r="P1425" i="5"/>
  <c r="Q1425" i="5"/>
  <c r="S1425" i="5"/>
  <c r="R1426" i="5"/>
  <c r="P1426" i="5"/>
  <c r="Q1426" i="5"/>
  <c r="S1426" i="5"/>
  <c r="P1427" i="5"/>
  <c r="Q1427" i="5"/>
  <c r="S1427" i="5"/>
  <c r="P1428" i="5"/>
  <c r="Q1428" i="5"/>
  <c r="S1428" i="5"/>
  <c r="P1429" i="5"/>
  <c r="Q1429" i="5"/>
  <c r="S1429" i="5"/>
  <c r="P1430" i="5"/>
  <c r="Q1430" i="5"/>
  <c r="S1430" i="5"/>
  <c r="P1431" i="5"/>
  <c r="Q1431" i="5"/>
  <c r="S1431" i="5"/>
  <c r="P1432" i="5"/>
  <c r="Q1432" i="5"/>
  <c r="S1432" i="5"/>
  <c r="P1433" i="5"/>
  <c r="Q1433" i="5"/>
  <c r="S1433" i="5"/>
  <c r="R1434" i="5"/>
  <c r="P1434" i="5"/>
  <c r="Q1434" i="5"/>
  <c r="S1434" i="5"/>
  <c r="R1435" i="5"/>
  <c r="P1435" i="5"/>
  <c r="Q1435" i="5"/>
  <c r="S1435" i="5"/>
  <c r="R1436" i="5"/>
  <c r="P1436" i="5"/>
  <c r="Q1436" i="5"/>
  <c r="S1436" i="5"/>
  <c r="R1437" i="5"/>
  <c r="P1437" i="5"/>
  <c r="Q1437" i="5"/>
  <c r="S1437" i="5"/>
  <c r="P1438" i="5"/>
  <c r="Q1438" i="5"/>
  <c r="P1439" i="5"/>
  <c r="Q1439" i="5"/>
  <c r="S1439" i="5"/>
  <c r="P1440" i="5"/>
  <c r="Q1440" i="5"/>
  <c r="S1440" i="5"/>
  <c r="R1441" i="5"/>
  <c r="P1441" i="5"/>
  <c r="Q1441" i="5"/>
  <c r="S1441" i="5"/>
  <c r="P1442" i="5"/>
  <c r="Q1442" i="5"/>
  <c r="S1442" i="5"/>
  <c r="P1443" i="5"/>
  <c r="Q1443" i="5"/>
  <c r="S1443" i="5"/>
  <c r="P1444" i="5"/>
  <c r="Q1444" i="5"/>
  <c r="S1444" i="5"/>
  <c r="P1445" i="5"/>
  <c r="Q1445" i="5"/>
  <c r="S1445" i="5"/>
  <c r="P1446" i="5"/>
  <c r="Q1446" i="5"/>
  <c r="S1446" i="5"/>
  <c r="P1447" i="5"/>
  <c r="Q1447" i="5"/>
  <c r="S1447" i="5"/>
  <c r="P1448" i="5"/>
  <c r="Q1448" i="5"/>
  <c r="S1448" i="5"/>
  <c r="R1449" i="5"/>
  <c r="P1449" i="5"/>
  <c r="Q1449" i="5"/>
  <c r="S1449" i="5"/>
  <c r="R1450" i="5"/>
  <c r="P1450" i="5"/>
  <c r="Q1450" i="5"/>
  <c r="S1450" i="5"/>
  <c r="R1451" i="5"/>
  <c r="P1451" i="5"/>
  <c r="Q1451" i="5"/>
  <c r="S1451" i="5"/>
  <c r="R1452" i="5"/>
  <c r="P1452" i="5"/>
  <c r="Q1452" i="5"/>
  <c r="S1452" i="5"/>
  <c r="P1453" i="5"/>
  <c r="Q1453" i="5"/>
  <c r="P1454" i="5"/>
  <c r="Q1454" i="5"/>
  <c r="S1454" i="5"/>
  <c r="P1455" i="5"/>
  <c r="Q1455" i="5"/>
  <c r="S1455" i="5"/>
  <c r="R1456" i="5"/>
  <c r="P1456" i="5"/>
  <c r="Q1456" i="5"/>
  <c r="S1456" i="5"/>
  <c r="P1457" i="5"/>
  <c r="Q1457" i="5"/>
  <c r="S1457" i="5"/>
  <c r="P1458" i="5"/>
  <c r="Q1458" i="5"/>
  <c r="S1458" i="5"/>
  <c r="P1459" i="5"/>
  <c r="Q1459" i="5"/>
  <c r="S1459" i="5"/>
  <c r="P1460" i="5"/>
  <c r="Q1460" i="5"/>
  <c r="S1460" i="5"/>
  <c r="P1461" i="5"/>
  <c r="Q1461" i="5"/>
  <c r="S1461" i="5"/>
  <c r="P1462" i="5"/>
  <c r="Q1462" i="5"/>
  <c r="S1462" i="5"/>
  <c r="P1463" i="5"/>
  <c r="Q1463" i="5"/>
  <c r="S1463" i="5"/>
  <c r="R1464" i="5"/>
  <c r="P1464" i="5"/>
  <c r="Q1464" i="5"/>
  <c r="S1464" i="5"/>
  <c r="R1465" i="5"/>
  <c r="P1465" i="5"/>
  <c r="Q1465" i="5"/>
  <c r="S1465" i="5"/>
  <c r="R1466" i="5"/>
  <c r="P1466" i="5"/>
  <c r="Q1466" i="5"/>
  <c r="S1466" i="5"/>
  <c r="R1467" i="5"/>
  <c r="P1467" i="5"/>
  <c r="Q1467" i="5"/>
  <c r="S1467" i="5"/>
  <c r="P1468" i="5"/>
  <c r="Q1468" i="5"/>
  <c r="P1469" i="5"/>
  <c r="Q1469" i="5"/>
  <c r="S1469" i="5"/>
  <c r="P1470" i="5"/>
  <c r="Q1470" i="5"/>
  <c r="S1470" i="5"/>
  <c r="R1471" i="5"/>
  <c r="P1471" i="5"/>
  <c r="Q1471" i="5"/>
  <c r="S1471" i="5"/>
  <c r="P1472" i="5"/>
  <c r="Q1472" i="5"/>
  <c r="S1472" i="5"/>
  <c r="P1473" i="5"/>
  <c r="Q1473" i="5"/>
  <c r="S1473" i="5"/>
  <c r="P1474" i="5"/>
  <c r="Q1474" i="5"/>
  <c r="S1474" i="5"/>
  <c r="P1475" i="5"/>
  <c r="Q1475" i="5"/>
  <c r="S1475" i="5"/>
  <c r="P1476" i="5"/>
  <c r="Q1476" i="5"/>
  <c r="S1476" i="5"/>
  <c r="P1477" i="5"/>
  <c r="Q1477" i="5"/>
  <c r="S1477" i="5"/>
  <c r="P1478" i="5"/>
  <c r="Q1478" i="5"/>
  <c r="S1478" i="5"/>
  <c r="R1479" i="5"/>
  <c r="P1479" i="5"/>
  <c r="Q1479" i="5"/>
  <c r="S1479" i="5"/>
  <c r="R1480" i="5"/>
  <c r="P1480" i="5"/>
  <c r="Q1480" i="5"/>
  <c r="S1480" i="5"/>
  <c r="R1481" i="5"/>
  <c r="P1481" i="5"/>
  <c r="Q1481" i="5"/>
  <c r="S1481" i="5"/>
  <c r="R1482" i="5"/>
  <c r="P1482" i="5"/>
  <c r="Q1482" i="5"/>
  <c r="S1482" i="5"/>
  <c r="P1483" i="5"/>
  <c r="Q1483" i="5"/>
  <c r="P1484" i="5"/>
  <c r="Q1484" i="5"/>
  <c r="S1484" i="5"/>
  <c r="P1485" i="5"/>
  <c r="Q1485" i="5"/>
  <c r="S1485" i="5"/>
  <c r="R1486" i="5"/>
  <c r="P1486" i="5"/>
  <c r="Q1486" i="5"/>
  <c r="S1486" i="5"/>
  <c r="P1487" i="5"/>
  <c r="Q1487" i="5"/>
  <c r="S1487" i="5"/>
  <c r="P1488" i="5"/>
  <c r="Q1488" i="5"/>
  <c r="S1488" i="5"/>
  <c r="P1489" i="5"/>
  <c r="Q1489" i="5"/>
  <c r="S1489" i="5"/>
  <c r="P1490" i="5"/>
  <c r="Q1490" i="5"/>
  <c r="S1490" i="5"/>
  <c r="P1491" i="5"/>
  <c r="Q1491" i="5"/>
  <c r="S1491" i="5"/>
  <c r="P1492" i="5"/>
  <c r="Q1492" i="5"/>
  <c r="S1492" i="5"/>
  <c r="P1493" i="5"/>
  <c r="Q1493" i="5"/>
  <c r="S1493" i="5"/>
  <c r="R1494" i="5"/>
  <c r="P1494" i="5"/>
  <c r="Q1494" i="5"/>
  <c r="S1494" i="5"/>
  <c r="R1495" i="5"/>
  <c r="P1495" i="5"/>
  <c r="Q1495" i="5"/>
  <c r="S1495" i="5"/>
  <c r="R1496" i="5"/>
  <c r="P1496" i="5"/>
  <c r="Q1496" i="5"/>
  <c r="S1496" i="5"/>
  <c r="R1497" i="5"/>
  <c r="P1497" i="5"/>
  <c r="Q1497" i="5"/>
  <c r="S1497" i="5"/>
  <c r="P1498" i="5"/>
  <c r="Q1498" i="5"/>
  <c r="P1499" i="5"/>
  <c r="Q1499" i="5"/>
  <c r="S1499" i="5"/>
  <c r="P1500" i="5"/>
  <c r="Q1500" i="5"/>
  <c r="S1500" i="5"/>
  <c r="R1501" i="5"/>
  <c r="P1501" i="5"/>
  <c r="Q1501" i="5"/>
  <c r="S1501" i="5"/>
  <c r="P1502" i="5"/>
  <c r="Q1502" i="5"/>
  <c r="S1502" i="5"/>
  <c r="P1503" i="5"/>
  <c r="Q1503" i="5"/>
  <c r="S1503" i="5"/>
  <c r="P1504" i="5"/>
  <c r="Q1504" i="5"/>
  <c r="S1504" i="5"/>
  <c r="P1505" i="5"/>
  <c r="Q1505" i="5"/>
  <c r="S1505" i="5"/>
  <c r="P1506" i="5"/>
  <c r="Q1506" i="5"/>
  <c r="S1506" i="5"/>
  <c r="P1507" i="5"/>
  <c r="Q1507" i="5"/>
  <c r="S1507" i="5"/>
  <c r="P1508" i="5"/>
  <c r="Q1508" i="5"/>
  <c r="S1508" i="5"/>
  <c r="R1509" i="5"/>
  <c r="P1509" i="5"/>
  <c r="Q1509" i="5"/>
  <c r="S1509" i="5"/>
  <c r="R1510" i="5"/>
  <c r="P1510" i="5"/>
  <c r="Q1510" i="5"/>
  <c r="S1510" i="5"/>
  <c r="R1511" i="5"/>
  <c r="P1511" i="5"/>
  <c r="Q1511" i="5"/>
  <c r="S1511" i="5"/>
  <c r="R1512" i="5"/>
  <c r="P1512" i="5"/>
  <c r="Q1512" i="5"/>
  <c r="S1512" i="5"/>
  <c r="P1513" i="5"/>
  <c r="Q1513" i="5"/>
  <c r="P1514" i="5"/>
  <c r="Q1514" i="5"/>
  <c r="S1514" i="5"/>
  <c r="P1515" i="5"/>
  <c r="Q1515" i="5"/>
  <c r="S1515" i="5"/>
  <c r="R1516" i="5"/>
  <c r="P1516" i="5"/>
  <c r="Q1516" i="5"/>
  <c r="S1516" i="5"/>
  <c r="P1517" i="5"/>
  <c r="Q1517" i="5"/>
  <c r="R1517" i="5"/>
  <c r="S1517" i="5"/>
  <c r="R1518" i="5"/>
  <c r="P1518" i="5"/>
  <c r="Q1518" i="5"/>
  <c r="S1518" i="5"/>
  <c r="P1519" i="5"/>
  <c r="Q1519" i="5"/>
  <c r="P1520" i="5"/>
  <c r="Q1520" i="5"/>
  <c r="S1520" i="5"/>
  <c r="P1521" i="5"/>
  <c r="Q1521" i="5"/>
  <c r="S1521" i="5"/>
  <c r="R1522" i="5"/>
  <c r="P1522" i="5"/>
  <c r="Q1522" i="5"/>
  <c r="S1522" i="5"/>
  <c r="R1523" i="5"/>
  <c r="P1523" i="5"/>
  <c r="Q1523" i="5"/>
  <c r="S1523" i="5"/>
  <c r="R1524" i="5"/>
  <c r="P1524" i="5"/>
  <c r="Q1524" i="5"/>
  <c r="S1524" i="5"/>
  <c r="P1525" i="5"/>
  <c r="Q1525" i="5"/>
  <c r="P1526" i="5"/>
  <c r="Q1526" i="5"/>
  <c r="S1526" i="5"/>
  <c r="P1527" i="5"/>
  <c r="Q1527" i="5"/>
  <c r="S1527" i="5"/>
  <c r="R1528" i="5"/>
  <c r="P1528" i="5"/>
  <c r="Q1528" i="5"/>
  <c r="S1528" i="5"/>
  <c r="R1529" i="5"/>
  <c r="P1529" i="5"/>
  <c r="Q1529" i="5"/>
  <c r="S1529" i="5"/>
  <c r="R1530" i="5"/>
  <c r="P1530" i="5"/>
  <c r="Q1530" i="5"/>
  <c r="S1530" i="5"/>
  <c r="P1531" i="5"/>
  <c r="Q1531" i="5"/>
  <c r="P1532" i="5"/>
  <c r="Q1532" i="5"/>
  <c r="S1532" i="5"/>
  <c r="P1533" i="5"/>
  <c r="Q1533" i="5"/>
  <c r="S1533" i="5"/>
  <c r="R1534" i="5"/>
  <c r="P1534" i="5"/>
  <c r="Q1534" i="5"/>
  <c r="S1534" i="5"/>
  <c r="R1535" i="5"/>
  <c r="P1535" i="5"/>
  <c r="Q1535" i="5"/>
  <c r="S1535" i="5"/>
  <c r="R1536" i="5"/>
  <c r="P1536" i="5"/>
  <c r="Q1536" i="5"/>
  <c r="S1536" i="5"/>
  <c r="P1537" i="5"/>
  <c r="Q1537" i="5"/>
  <c r="P1538" i="5"/>
  <c r="Q1538" i="5"/>
  <c r="S1538" i="5"/>
  <c r="P1539" i="5"/>
  <c r="Q1539" i="5"/>
  <c r="S1539" i="5"/>
  <c r="R1540" i="5"/>
  <c r="P1540" i="5"/>
  <c r="Q1540" i="5"/>
  <c r="S1540" i="5"/>
  <c r="R1541" i="5"/>
  <c r="P1541" i="5"/>
  <c r="Q1541" i="5"/>
  <c r="S1541" i="5"/>
  <c r="P1542" i="5"/>
  <c r="Q1542" i="5"/>
  <c r="R1542" i="5"/>
  <c r="S1542" i="5"/>
  <c r="P1543" i="5"/>
  <c r="Q1543" i="5"/>
  <c r="P1544" i="5"/>
  <c r="Q1544" i="5"/>
  <c r="S1544" i="5"/>
  <c r="P1545" i="5"/>
  <c r="Q1545" i="5"/>
  <c r="S1545" i="5"/>
  <c r="P1546" i="5"/>
  <c r="Q1546" i="5"/>
  <c r="S1546" i="5"/>
  <c r="R1547" i="5"/>
  <c r="P1547" i="5"/>
  <c r="Q1547" i="5"/>
  <c r="S1547" i="5"/>
  <c r="R1548" i="5"/>
  <c r="P1548" i="5"/>
  <c r="Q1548" i="5"/>
  <c r="S1548" i="5"/>
  <c r="R1549" i="5"/>
  <c r="P1549" i="5"/>
  <c r="Q1549" i="5"/>
  <c r="S1549" i="5"/>
  <c r="P1550" i="5"/>
  <c r="Q1550" i="5"/>
  <c r="P1551" i="5"/>
  <c r="Q1551" i="5"/>
  <c r="S1551" i="5"/>
  <c r="P1552" i="5"/>
  <c r="Q1552" i="5"/>
  <c r="S1552" i="5"/>
  <c r="P1553" i="5"/>
  <c r="Q1553" i="5"/>
  <c r="S1553" i="5"/>
  <c r="R1554" i="5"/>
  <c r="P1554" i="5"/>
  <c r="Q1554" i="5"/>
  <c r="S1554" i="5"/>
  <c r="R1555" i="5"/>
  <c r="P1555" i="5"/>
  <c r="Q1555" i="5"/>
  <c r="S1555" i="5"/>
  <c r="R1556" i="5"/>
  <c r="P1556" i="5"/>
  <c r="Q1556" i="5"/>
  <c r="S1556" i="5"/>
  <c r="P1557" i="5"/>
  <c r="Q1557" i="5"/>
  <c r="P1558" i="5"/>
  <c r="Q1558" i="5"/>
  <c r="S1558" i="5"/>
  <c r="P1559" i="5"/>
  <c r="Q1559" i="5"/>
  <c r="S1559" i="5"/>
  <c r="P1560" i="5"/>
  <c r="Q1560" i="5"/>
  <c r="S1560" i="5"/>
  <c r="R1561" i="5"/>
  <c r="P1561" i="5"/>
  <c r="Q1561" i="5"/>
  <c r="S1561" i="5"/>
  <c r="R1562" i="5"/>
  <c r="P1562" i="5"/>
  <c r="Q1562" i="5"/>
  <c r="S1562" i="5"/>
  <c r="R1563" i="5"/>
  <c r="P1563" i="5"/>
  <c r="Q1563" i="5"/>
  <c r="S1563" i="5"/>
  <c r="P1564" i="5"/>
  <c r="Q1564" i="5"/>
  <c r="P1565" i="5"/>
  <c r="Q1565" i="5"/>
  <c r="S1565" i="5"/>
  <c r="P1566" i="5"/>
  <c r="Q1566" i="5"/>
  <c r="S1566" i="5"/>
  <c r="P1567" i="5"/>
  <c r="Q1567" i="5"/>
  <c r="S1567" i="5"/>
  <c r="R1568" i="5"/>
  <c r="P1568" i="5"/>
  <c r="Q1568" i="5"/>
  <c r="S1568" i="5"/>
  <c r="R1569" i="5"/>
  <c r="P1569" i="5"/>
  <c r="Q1569" i="5"/>
  <c r="S1569" i="5"/>
  <c r="P1570" i="5"/>
  <c r="Q1570" i="5"/>
  <c r="R1570" i="5"/>
  <c r="S1570" i="5"/>
  <c r="P1571" i="5"/>
  <c r="Q1571" i="5"/>
  <c r="P1572" i="5"/>
  <c r="Q1572" i="5"/>
  <c r="S1572" i="5"/>
  <c r="P1573" i="5"/>
  <c r="Q1573" i="5"/>
  <c r="S1573" i="5"/>
  <c r="P1574" i="5"/>
  <c r="Q1574" i="5"/>
  <c r="S1574" i="5"/>
  <c r="P1575" i="5"/>
  <c r="Q1575" i="5"/>
  <c r="S1575" i="5"/>
  <c r="P1576" i="5"/>
  <c r="Q1576" i="5"/>
  <c r="S1576" i="5"/>
  <c r="P1577" i="5"/>
  <c r="Q1577" i="5"/>
  <c r="S1577" i="5"/>
  <c r="P1578" i="5"/>
  <c r="Q1578" i="5"/>
  <c r="S1578" i="5"/>
  <c r="P1579" i="5"/>
  <c r="Q1579" i="5"/>
  <c r="S1579" i="5"/>
  <c r="P1580" i="5"/>
  <c r="Q1580" i="5"/>
  <c r="S1580" i="5"/>
  <c r="P1581" i="5"/>
  <c r="Q1581" i="5"/>
  <c r="S1581" i="5"/>
  <c r="P1582" i="5"/>
  <c r="Q1582" i="5"/>
  <c r="S1582" i="5"/>
  <c r="R1583" i="5"/>
  <c r="P1583" i="5"/>
  <c r="Q1583" i="5"/>
  <c r="S1583" i="5"/>
  <c r="R1584" i="5"/>
  <c r="P1584" i="5"/>
  <c r="Q1584" i="5"/>
  <c r="S1584" i="5"/>
  <c r="R1585" i="5"/>
  <c r="P1585" i="5"/>
  <c r="Q1585" i="5"/>
  <c r="S1585" i="5"/>
  <c r="P1586" i="5"/>
  <c r="Q1586" i="5"/>
  <c r="P1587" i="5"/>
  <c r="Q1587" i="5"/>
  <c r="S1587" i="5"/>
  <c r="P1588" i="5"/>
  <c r="Q1588" i="5"/>
  <c r="S1588" i="5"/>
  <c r="R1589" i="5"/>
  <c r="P1589" i="5"/>
  <c r="Q1589" i="5"/>
  <c r="S1589" i="5"/>
  <c r="R1590" i="5"/>
  <c r="P1590" i="5"/>
  <c r="Q1590" i="5"/>
  <c r="S1590" i="5"/>
  <c r="R1591" i="5"/>
  <c r="P1591" i="5"/>
  <c r="Q1591" i="5"/>
  <c r="S1591" i="5"/>
  <c r="P1592" i="5"/>
  <c r="Q1592" i="5"/>
  <c r="P1593" i="5"/>
  <c r="Q1593" i="5"/>
  <c r="S1593" i="5"/>
  <c r="P1594" i="5"/>
  <c r="Q1594" i="5"/>
  <c r="S1594" i="5"/>
  <c r="R1595" i="5"/>
  <c r="P1595" i="5"/>
  <c r="Q1595" i="5"/>
  <c r="S1595" i="5"/>
  <c r="R1596" i="5"/>
  <c r="P1596" i="5"/>
  <c r="Q1596" i="5"/>
  <c r="S1596" i="5"/>
  <c r="P1597" i="5"/>
  <c r="Q1597" i="5"/>
  <c r="R1597" i="5"/>
  <c r="S1597" i="5"/>
  <c r="R1598" i="5"/>
  <c r="P1598" i="5"/>
  <c r="Q1598" i="5"/>
  <c r="P1599" i="5"/>
  <c r="Q1599" i="5"/>
  <c r="S1599" i="5"/>
  <c r="P1600" i="5"/>
  <c r="Q1600" i="5"/>
  <c r="S1600" i="5"/>
  <c r="R1601" i="5"/>
  <c r="P1601" i="5"/>
  <c r="Q1601" i="5"/>
  <c r="S1601" i="5"/>
  <c r="R1602" i="5"/>
  <c r="P1602" i="5"/>
  <c r="Q1602" i="5"/>
  <c r="S1602" i="5"/>
  <c r="R1603" i="5"/>
  <c r="P1603" i="5"/>
  <c r="Q1603" i="5"/>
  <c r="S1603" i="5"/>
  <c r="Q1604" i="5"/>
  <c r="Q1605" i="5"/>
  <c r="S1605" i="5"/>
  <c r="P1606" i="5"/>
  <c r="Q1606" i="5"/>
  <c r="S1606" i="5"/>
  <c r="P1607" i="5"/>
  <c r="Q1607" i="5"/>
  <c r="S1607" i="5"/>
  <c r="R1608" i="5"/>
  <c r="P1608" i="5"/>
  <c r="Q1608" i="5"/>
  <c r="S1608" i="5"/>
  <c r="R1609" i="5"/>
  <c r="P1609" i="5"/>
  <c r="Q1609" i="5"/>
  <c r="S1609" i="5"/>
  <c r="R1610" i="5"/>
  <c r="P1610" i="5"/>
  <c r="Q1610" i="5"/>
  <c r="S1610" i="5"/>
  <c r="P1611" i="5"/>
  <c r="Q1611" i="5"/>
  <c r="R1612" i="5"/>
  <c r="P1612" i="5"/>
  <c r="Q1612" i="5"/>
  <c r="S1612" i="5"/>
  <c r="R1613" i="5"/>
  <c r="P1613" i="5"/>
  <c r="Q1613" i="5"/>
  <c r="S1613" i="5"/>
  <c r="R1614" i="5"/>
  <c r="P1614" i="5"/>
  <c r="Q1614" i="5"/>
  <c r="S1614" i="5"/>
  <c r="R1615" i="5"/>
  <c r="P1615" i="5"/>
  <c r="Q1615" i="5"/>
  <c r="S1615" i="5"/>
  <c r="P1616" i="5"/>
  <c r="Q1616" i="5"/>
  <c r="P1617" i="5"/>
  <c r="Q1617" i="5"/>
  <c r="S1617" i="5"/>
  <c r="P1618" i="5"/>
  <c r="Q1618" i="5"/>
  <c r="S1618" i="5"/>
  <c r="R1619" i="5"/>
  <c r="P1619" i="5"/>
  <c r="Q1619" i="5"/>
  <c r="S1619" i="5"/>
  <c r="R1620" i="5"/>
  <c r="P1620" i="5"/>
  <c r="Q1620" i="5"/>
  <c r="S1620" i="5"/>
  <c r="R1621" i="5"/>
  <c r="P1621" i="5"/>
  <c r="Q1621" i="5"/>
  <c r="S1621" i="5"/>
  <c r="P1622" i="5"/>
  <c r="Q1622" i="5"/>
  <c r="P1623" i="5"/>
  <c r="Q1623" i="5"/>
  <c r="S1623" i="5"/>
  <c r="P1624" i="5"/>
  <c r="Q1624" i="5"/>
  <c r="S1624" i="5"/>
  <c r="R1625" i="5"/>
  <c r="P1625" i="5"/>
  <c r="Q1625" i="5"/>
  <c r="S1625" i="5"/>
  <c r="R1626" i="5"/>
  <c r="P1626" i="5"/>
  <c r="Q1626" i="5"/>
  <c r="S1626" i="5"/>
  <c r="R1627" i="5"/>
  <c r="P1627" i="5"/>
  <c r="Q1627" i="5"/>
  <c r="S1627" i="5"/>
  <c r="P1628" i="5"/>
  <c r="Q1628" i="5"/>
  <c r="P1629" i="5"/>
  <c r="Q1629" i="5"/>
  <c r="S1629" i="5"/>
  <c r="R1630" i="5"/>
  <c r="P1630" i="5"/>
  <c r="Q1630" i="5"/>
  <c r="S1630" i="5"/>
  <c r="R1631" i="5"/>
  <c r="P1631" i="5"/>
  <c r="Q1631" i="5"/>
  <c r="S1631" i="5"/>
  <c r="R1632" i="5"/>
  <c r="P1632" i="5"/>
  <c r="Q1632" i="5"/>
  <c r="S1632" i="5"/>
  <c r="P1633" i="5"/>
  <c r="Q1633" i="5"/>
  <c r="P1634" i="5"/>
  <c r="Q1634" i="5"/>
  <c r="S1634" i="5"/>
  <c r="R1635" i="5"/>
  <c r="P1635" i="5"/>
  <c r="Q1635" i="5"/>
  <c r="S1635" i="5"/>
  <c r="R1636" i="5"/>
  <c r="P1636" i="5"/>
  <c r="Q1636" i="5"/>
  <c r="S1636" i="5"/>
  <c r="R1637" i="5"/>
  <c r="P1637" i="5"/>
  <c r="Q1637" i="5"/>
  <c r="S1637" i="5"/>
  <c r="R1638" i="5"/>
  <c r="P1638" i="5"/>
  <c r="Q1638" i="5"/>
  <c r="S1638" i="5"/>
  <c r="P1639" i="5"/>
  <c r="Q1639" i="5"/>
  <c r="P1640" i="5"/>
  <c r="Q1640" i="5"/>
  <c r="S1640" i="5"/>
  <c r="P1641" i="5"/>
  <c r="Q1641" i="5"/>
  <c r="S1641" i="5"/>
  <c r="R1642" i="5"/>
  <c r="P1642" i="5"/>
  <c r="Q1642" i="5"/>
  <c r="S1642" i="5"/>
  <c r="R1643" i="5"/>
  <c r="P1643" i="5"/>
  <c r="Q1643" i="5"/>
  <c r="S1643" i="5"/>
  <c r="R1644" i="5"/>
  <c r="P1644" i="5"/>
  <c r="Q1644" i="5"/>
  <c r="S1644" i="5"/>
  <c r="P1645" i="5"/>
  <c r="Q1645" i="5"/>
  <c r="P1646" i="5"/>
  <c r="Q1646" i="5"/>
  <c r="S1646" i="5"/>
  <c r="P1647" i="5"/>
  <c r="Q1647" i="5"/>
  <c r="S1647" i="5"/>
  <c r="R1648" i="5"/>
  <c r="P1648" i="5"/>
  <c r="Q1648" i="5"/>
  <c r="S1648" i="5"/>
  <c r="R1649" i="5"/>
  <c r="P1649" i="5"/>
  <c r="Q1649" i="5"/>
  <c r="S1649" i="5"/>
  <c r="P1650" i="5"/>
  <c r="Q1650" i="5"/>
  <c r="R1650" i="5"/>
  <c r="S1650" i="5"/>
  <c r="Q1651" i="5"/>
  <c r="Q1652" i="5"/>
  <c r="S1652" i="5"/>
  <c r="R1653" i="5"/>
  <c r="P1653" i="5"/>
  <c r="Q1653" i="5"/>
  <c r="S1653" i="5"/>
  <c r="R1654" i="5"/>
  <c r="P1654" i="5"/>
  <c r="Q1654" i="5"/>
  <c r="S1654" i="5"/>
  <c r="R1655" i="5"/>
  <c r="P1655" i="5"/>
  <c r="Q1655" i="5"/>
  <c r="S1655" i="5"/>
  <c r="R1656" i="5"/>
  <c r="P1656" i="5"/>
  <c r="Q1656" i="5"/>
  <c r="S1656" i="5"/>
  <c r="P1657" i="5"/>
  <c r="Q1657" i="5"/>
  <c r="R1658" i="5"/>
  <c r="P1658" i="5"/>
  <c r="Q1658" i="5"/>
  <c r="S1658" i="5"/>
  <c r="R1659" i="5"/>
  <c r="P1659" i="5"/>
  <c r="Q1659" i="5"/>
  <c r="S1659" i="5"/>
  <c r="R1660" i="5"/>
  <c r="P1660" i="5"/>
  <c r="Q1660" i="5"/>
  <c r="S1660" i="5"/>
  <c r="R1661" i="5"/>
  <c r="P1661" i="5"/>
  <c r="Q1661" i="5"/>
  <c r="S1661" i="5"/>
  <c r="P1662" i="5"/>
  <c r="Q1662" i="5"/>
  <c r="R1663" i="5"/>
  <c r="P1663" i="5"/>
  <c r="Q1663" i="5"/>
  <c r="S1663" i="5"/>
  <c r="R1664" i="5"/>
  <c r="P1664" i="5"/>
  <c r="Q1664" i="5"/>
  <c r="S1664" i="5"/>
  <c r="R1665" i="5"/>
  <c r="P1665" i="5"/>
  <c r="Q1665" i="5"/>
  <c r="S1665" i="5"/>
  <c r="P1666" i="5"/>
  <c r="Q1666" i="5"/>
  <c r="R1666" i="5"/>
  <c r="S1666" i="5"/>
  <c r="P1667" i="5"/>
  <c r="Q1667" i="5"/>
  <c r="R1668" i="5"/>
  <c r="P1668" i="5"/>
  <c r="Q1668" i="5"/>
  <c r="S1668" i="5"/>
  <c r="R1669" i="5"/>
  <c r="P1669" i="5"/>
  <c r="Q1669" i="5"/>
  <c r="S1669" i="5"/>
  <c r="R1670" i="5"/>
  <c r="P1670" i="5"/>
  <c r="Q1670" i="5"/>
  <c r="S1670" i="5"/>
  <c r="R1671" i="5"/>
  <c r="P1671" i="5"/>
  <c r="Q1671" i="5"/>
  <c r="S1671" i="5"/>
  <c r="P1672" i="5"/>
  <c r="Q1672" i="5"/>
  <c r="P1673" i="5"/>
  <c r="Q1673" i="5"/>
  <c r="S1673" i="5"/>
  <c r="R1674" i="5"/>
  <c r="P1674" i="5"/>
  <c r="Q1674" i="5"/>
  <c r="S1674" i="5"/>
  <c r="R1675" i="5"/>
  <c r="P1675" i="5"/>
  <c r="Q1675" i="5"/>
  <c r="S1675" i="5"/>
  <c r="R1676" i="5"/>
  <c r="P1676" i="5"/>
  <c r="Q1676" i="5"/>
  <c r="S1676" i="5"/>
  <c r="P1677" i="5"/>
  <c r="Q1677" i="5"/>
  <c r="R1677" i="5"/>
  <c r="S1677" i="5"/>
  <c r="P1678" i="5"/>
  <c r="Q1678" i="5"/>
  <c r="P1679" i="5"/>
  <c r="Q1679" i="5"/>
  <c r="S1679" i="5"/>
  <c r="P1680" i="5"/>
  <c r="Q1680" i="5"/>
  <c r="S1680" i="5"/>
  <c r="R1681" i="5"/>
  <c r="P1681" i="5"/>
  <c r="Q1681" i="5"/>
  <c r="S1681" i="5"/>
  <c r="R1682" i="5"/>
  <c r="P1682" i="5"/>
  <c r="Q1682" i="5"/>
  <c r="S1682" i="5"/>
  <c r="R1683" i="5"/>
  <c r="P1683" i="5"/>
  <c r="Q1683" i="5"/>
  <c r="S1683" i="5"/>
  <c r="R1684" i="5"/>
  <c r="P1684" i="5"/>
  <c r="Q1684" i="5"/>
  <c r="S1684" i="5"/>
  <c r="P1685" i="5"/>
  <c r="Q1685" i="5"/>
  <c r="P1686" i="5"/>
  <c r="Q1686" i="5"/>
  <c r="S1686" i="5"/>
  <c r="P1687" i="5"/>
  <c r="Q1687" i="5"/>
  <c r="S1687" i="5"/>
  <c r="P1688" i="5"/>
  <c r="Q1688" i="5"/>
  <c r="S1688" i="5"/>
  <c r="R1689" i="5"/>
  <c r="P1689" i="5"/>
  <c r="Q1689" i="5"/>
  <c r="S1689" i="5"/>
  <c r="R1690" i="5"/>
  <c r="P1690" i="5"/>
  <c r="Q1690" i="5"/>
  <c r="S1690" i="5"/>
  <c r="R1691" i="5"/>
  <c r="P1691" i="5"/>
  <c r="Q1691" i="5"/>
  <c r="S1691" i="5"/>
  <c r="R1692" i="5"/>
  <c r="P1692" i="5"/>
  <c r="Q1692" i="5"/>
  <c r="P1693" i="5"/>
  <c r="Q1693" i="5"/>
  <c r="S1693" i="5"/>
  <c r="P1694" i="5"/>
  <c r="Q1694" i="5"/>
  <c r="S1694" i="5"/>
  <c r="R1695" i="5"/>
  <c r="P1695" i="5"/>
  <c r="Q1695" i="5"/>
  <c r="S1695" i="5"/>
  <c r="R1696" i="5"/>
  <c r="P1696" i="5"/>
  <c r="Q1696" i="5"/>
  <c r="S1696" i="5"/>
  <c r="R1697" i="5"/>
  <c r="P1697" i="5"/>
  <c r="Q1697" i="5"/>
  <c r="S1697" i="5"/>
  <c r="P1698" i="5"/>
  <c r="Q1698" i="5"/>
  <c r="P1699" i="5"/>
  <c r="Q1699" i="5"/>
  <c r="S1699" i="5"/>
  <c r="R1700" i="5"/>
  <c r="P1700" i="5"/>
  <c r="Q1700" i="5"/>
  <c r="S1700" i="5"/>
  <c r="R1701" i="5"/>
  <c r="P1701" i="5"/>
  <c r="Q1701" i="5"/>
  <c r="S1701" i="5"/>
  <c r="P1702" i="5"/>
  <c r="Q1702" i="5"/>
  <c r="R1702" i="5"/>
  <c r="S1702" i="5"/>
  <c r="R1703" i="5"/>
  <c r="P1703" i="5"/>
  <c r="Q1703" i="5"/>
  <c r="S1703" i="5"/>
  <c r="R1704" i="5"/>
  <c r="P1704" i="5"/>
  <c r="Q1704" i="5"/>
  <c r="S1704" i="5"/>
  <c r="R1705" i="5"/>
  <c r="P1705" i="5"/>
  <c r="Q1705" i="5"/>
  <c r="S1705" i="5"/>
  <c r="R1706" i="5"/>
  <c r="P1706" i="5"/>
  <c r="Q1706" i="5"/>
  <c r="R1707" i="5"/>
  <c r="P1707" i="5"/>
  <c r="Q1707" i="5"/>
  <c r="S1707" i="5"/>
  <c r="R1708" i="5"/>
  <c r="P1708" i="5"/>
  <c r="Q1708" i="5"/>
  <c r="S1708" i="5"/>
  <c r="R1709" i="5"/>
  <c r="P1709" i="5"/>
  <c r="Q1709" i="5"/>
  <c r="S1709" i="5"/>
  <c r="R1710" i="5"/>
  <c r="P1710" i="5"/>
  <c r="Q1710" i="5"/>
  <c r="S1710" i="5"/>
  <c r="R1711" i="5"/>
  <c r="P1711" i="5"/>
  <c r="Q1711" i="5"/>
  <c r="S1711" i="5"/>
  <c r="P1712" i="5"/>
  <c r="Q1712" i="5"/>
  <c r="S1712" i="5"/>
  <c r="P1713" i="5"/>
  <c r="Q1713" i="5"/>
  <c r="S1713" i="5"/>
  <c r="R1714" i="5"/>
  <c r="P1714" i="5"/>
  <c r="Q1714" i="5"/>
  <c r="S1714" i="5"/>
  <c r="R1715" i="5"/>
  <c r="P1715" i="5"/>
  <c r="Q1715" i="5"/>
  <c r="S1715" i="5"/>
  <c r="R1716" i="5"/>
  <c r="P1716" i="5"/>
  <c r="Q1716" i="5"/>
  <c r="S1716" i="5"/>
  <c r="R1717" i="5"/>
  <c r="P1717" i="5"/>
  <c r="Q1717" i="5"/>
  <c r="R1718" i="5"/>
  <c r="P1718" i="5"/>
  <c r="Q1718" i="5"/>
  <c r="S1718" i="5"/>
  <c r="R1719" i="5"/>
  <c r="P1719" i="5"/>
  <c r="Q1719" i="5"/>
  <c r="S1719" i="5"/>
  <c r="R1720" i="5"/>
  <c r="P1720" i="5"/>
  <c r="Q1720" i="5"/>
  <c r="S1720" i="5"/>
  <c r="R1721" i="5"/>
  <c r="P1721" i="5"/>
  <c r="Q1721" i="5"/>
  <c r="S1721" i="5"/>
  <c r="R1722" i="5"/>
  <c r="P1722" i="5"/>
  <c r="Q1722" i="5"/>
  <c r="S1722" i="5"/>
  <c r="P1723" i="5"/>
  <c r="Q1723" i="5"/>
  <c r="S1723" i="5"/>
  <c r="P1724" i="5"/>
  <c r="Q1724" i="5"/>
  <c r="S1724" i="5"/>
  <c r="P1725" i="5"/>
  <c r="Q1725" i="5"/>
  <c r="R1725" i="5"/>
  <c r="S1725" i="5"/>
  <c r="R1726" i="5"/>
  <c r="P1726" i="5"/>
  <c r="Q1726" i="5"/>
  <c r="S1726" i="5"/>
  <c r="R1727" i="5"/>
  <c r="P1727" i="5"/>
  <c r="Q1727" i="5"/>
  <c r="S1727" i="5"/>
  <c r="R1728" i="5"/>
  <c r="P1728" i="5"/>
  <c r="Q1728" i="5"/>
  <c r="R1729" i="5"/>
  <c r="P1729" i="5"/>
  <c r="Q1729" i="5"/>
  <c r="S1729" i="5"/>
  <c r="R1730" i="5"/>
  <c r="P1730" i="5"/>
  <c r="Q1730" i="5"/>
  <c r="S1730" i="5"/>
  <c r="R1731" i="5"/>
  <c r="P1731" i="5"/>
  <c r="Q1731" i="5"/>
  <c r="S1731" i="5"/>
  <c r="R1732" i="5"/>
  <c r="P1732" i="5"/>
  <c r="Q1732" i="5"/>
  <c r="S1732" i="5"/>
  <c r="R1733" i="5"/>
  <c r="P1733" i="5"/>
  <c r="Q1733" i="5"/>
  <c r="S1733" i="5"/>
  <c r="P1734" i="5"/>
  <c r="Q1734" i="5"/>
  <c r="S1734" i="5"/>
  <c r="P1735" i="5"/>
  <c r="Q1735" i="5"/>
  <c r="S1735" i="5"/>
  <c r="R1736" i="5"/>
  <c r="P1736" i="5"/>
  <c r="Q1736" i="5"/>
  <c r="S1736" i="5"/>
  <c r="R1737" i="5"/>
  <c r="P1737" i="5"/>
  <c r="Q1737" i="5"/>
  <c r="S1737" i="5"/>
  <c r="R1738" i="5"/>
  <c r="P1738" i="5"/>
  <c r="Q1738" i="5"/>
  <c r="S1738" i="5"/>
  <c r="R1739" i="5"/>
  <c r="P1739" i="5"/>
  <c r="Q1739" i="5"/>
  <c r="R1740" i="5"/>
  <c r="P1740" i="5"/>
  <c r="Q1740" i="5"/>
  <c r="S1740" i="5"/>
  <c r="R1741" i="5"/>
  <c r="P1741" i="5"/>
  <c r="Q1741" i="5"/>
  <c r="S1741" i="5"/>
  <c r="R1742" i="5"/>
  <c r="P1742" i="5"/>
  <c r="Q1742" i="5"/>
  <c r="S1742" i="5"/>
  <c r="R1743" i="5"/>
  <c r="P1743" i="5"/>
  <c r="Q1743" i="5"/>
  <c r="S1743" i="5"/>
  <c r="R1744" i="5"/>
  <c r="P1744" i="5"/>
  <c r="Q1744" i="5"/>
  <c r="S1744" i="5"/>
  <c r="P1745" i="5"/>
  <c r="Q1745" i="5"/>
  <c r="S1745" i="5"/>
  <c r="P1746" i="5"/>
  <c r="Q1746" i="5"/>
  <c r="S1746" i="5"/>
  <c r="R1747" i="5"/>
  <c r="P1747" i="5"/>
  <c r="Q1747" i="5"/>
  <c r="S1747" i="5"/>
  <c r="R1748" i="5"/>
  <c r="P1748" i="5"/>
  <c r="Q1748" i="5"/>
  <c r="S1748" i="5"/>
  <c r="R1749" i="5"/>
  <c r="P1749" i="5"/>
  <c r="Q1749" i="5"/>
  <c r="S1749" i="5"/>
  <c r="P1750" i="5"/>
  <c r="Q1750" i="5"/>
  <c r="P1751" i="5"/>
  <c r="Q1751" i="5"/>
  <c r="S1751" i="5"/>
  <c r="P1752" i="5"/>
  <c r="Q1752" i="5"/>
  <c r="S1752" i="5"/>
  <c r="P1753" i="5"/>
  <c r="Q1753" i="5"/>
  <c r="S1753" i="5"/>
  <c r="R1754" i="5"/>
  <c r="P1754" i="5"/>
  <c r="Q1754" i="5"/>
  <c r="S1754" i="5"/>
  <c r="R1755" i="5"/>
  <c r="P1755" i="5"/>
  <c r="Q1755" i="5"/>
  <c r="S1755" i="5"/>
  <c r="R1756" i="5"/>
  <c r="P1756" i="5"/>
  <c r="Q1756" i="5"/>
  <c r="S1756" i="5"/>
  <c r="P1757" i="5"/>
  <c r="Q1757" i="5"/>
  <c r="P1758" i="5"/>
  <c r="Q1758" i="5"/>
  <c r="S1758" i="5"/>
  <c r="P1759" i="5"/>
  <c r="Q1759" i="5"/>
  <c r="S1759" i="5"/>
  <c r="P1760" i="5"/>
  <c r="Q1760" i="5"/>
  <c r="S1760" i="5"/>
  <c r="R1761" i="5"/>
  <c r="P1761" i="5"/>
  <c r="Q1761" i="5"/>
  <c r="S1761" i="5"/>
  <c r="R1762" i="5"/>
  <c r="P1762" i="5"/>
  <c r="Q1762" i="5"/>
  <c r="S1762" i="5"/>
  <c r="R1763" i="5"/>
  <c r="P1763" i="5"/>
  <c r="Q1763" i="5"/>
  <c r="S1763" i="5"/>
  <c r="P1764" i="5"/>
  <c r="Q1764" i="5"/>
  <c r="P1765" i="5"/>
  <c r="Q1765" i="5"/>
  <c r="S1765" i="5"/>
  <c r="P1766" i="5"/>
  <c r="Q1766" i="5"/>
  <c r="S1766" i="5"/>
  <c r="P1767" i="5"/>
  <c r="Q1767" i="5"/>
  <c r="S1767" i="5"/>
  <c r="R1768" i="5"/>
  <c r="P1768" i="5"/>
  <c r="Q1768" i="5"/>
  <c r="S1768" i="5"/>
  <c r="R1769" i="5"/>
  <c r="P1769" i="5"/>
  <c r="Q1769" i="5"/>
  <c r="S1769" i="5"/>
  <c r="R1770" i="5"/>
  <c r="P1770" i="5"/>
  <c r="Q1770" i="5"/>
  <c r="S1770" i="5"/>
  <c r="P1771" i="5"/>
  <c r="Q1771" i="5"/>
  <c r="P1772" i="5"/>
  <c r="Q1772" i="5"/>
  <c r="S1772" i="5"/>
  <c r="P1773" i="5"/>
  <c r="Q1773" i="5"/>
  <c r="S1773" i="5"/>
  <c r="P1774" i="5"/>
  <c r="Q1774" i="5"/>
  <c r="S1774" i="5"/>
  <c r="R1775" i="5"/>
  <c r="P1775" i="5"/>
  <c r="Q1775" i="5"/>
  <c r="S1775" i="5"/>
  <c r="R1776" i="5"/>
  <c r="P1776" i="5"/>
  <c r="Q1776" i="5"/>
  <c r="S1776" i="5"/>
  <c r="R1777" i="5"/>
  <c r="P1777" i="5"/>
  <c r="Q1777" i="5"/>
  <c r="S1777" i="5"/>
  <c r="P1778" i="5"/>
  <c r="Q1778" i="5"/>
  <c r="P1779" i="5"/>
  <c r="Q1779" i="5"/>
  <c r="S1779" i="5"/>
  <c r="R1780" i="5"/>
  <c r="P1780" i="5"/>
  <c r="Q1780" i="5"/>
  <c r="S1780" i="5"/>
  <c r="P1781" i="5"/>
  <c r="Q1781" i="5"/>
  <c r="S1781" i="5"/>
  <c r="R1782" i="5"/>
  <c r="P1782" i="5"/>
  <c r="Q1782" i="5"/>
  <c r="S1782" i="5"/>
  <c r="R1783" i="5"/>
  <c r="P1783" i="5"/>
  <c r="Q1783" i="5"/>
  <c r="S1783" i="5"/>
  <c r="R1784" i="5"/>
  <c r="P1784" i="5"/>
  <c r="Q1784" i="5"/>
  <c r="S1784" i="5"/>
  <c r="P1785" i="5"/>
  <c r="Q1785" i="5"/>
  <c r="P1786" i="5"/>
  <c r="Q1786" i="5"/>
  <c r="S1786" i="5"/>
  <c r="P1787" i="5"/>
  <c r="Q1787" i="5"/>
  <c r="S1787" i="5"/>
  <c r="P1788" i="5"/>
  <c r="Q1788" i="5"/>
  <c r="S1788" i="5"/>
  <c r="R1789" i="5"/>
  <c r="P1789" i="5"/>
  <c r="Q1789" i="5"/>
  <c r="S1789" i="5"/>
  <c r="R1790" i="5"/>
  <c r="P1790" i="5"/>
  <c r="Q1790" i="5"/>
  <c r="S1790" i="5"/>
  <c r="R1791" i="5"/>
  <c r="P1791" i="5"/>
  <c r="Q1791" i="5"/>
  <c r="S1791" i="5"/>
  <c r="P1792" i="5"/>
  <c r="Q1792" i="5"/>
  <c r="P1793" i="5"/>
  <c r="Q1793" i="5"/>
  <c r="S1793" i="5"/>
  <c r="P1794" i="5"/>
  <c r="Q1794" i="5"/>
  <c r="S1794" i="5"/>
  <c r="P1795" i="5"/>
  <c r="Q1795" i="5"/>
  <c r="S1795" i="5"/>
  <c r="R1796" i="5"/>
  <c r="P1796" i="5"/>
  <c r="Q1796" i="5"/>
  <c r="S1796" i="5"/>
  <c r="R1797" i="5"/>
  <c r="P1797" i="5"/>
  <c r="Q1797" i="5"/>
  <c r="S1797" i="5"/>
  <c r="R1798" i="5"/>
  <c r="P1798" i="5"/>
  <c r="Q1798" i="5"/>
  <c r="S1798" i="5"/>
  <c r="P1799" i="5"/>
  <c r="Q1799" i="5"/>
  <c r="P1800" i="5"/>
  <c r="Q1800" i="5"/>
  <c r="S1800" i="5"/>
  <c r="P1801" i="5"/>
  <c r="Q1801" i="5"/>
  <c r="S1801" i="5"/>
  <c r="P1802" i="5"/>
  <c r="Q1802" i="5"/>
  <c r="S1802" i="5"/>
  <c r="R1803" i="5"/>
  <c r="P1803" i="5"/>
  <c r="Q1803" i="5"/>
  <c r="S1803" i="5"/>
  <c r="R1804" i="5"/>
  <c r="P1804" i="5"/>
  <c r="Q1804" i="5"/>
  <c r="S1804" i="5"/>
  <c r="P1805" i="5"/>
  <c r="Q1805" i="5"/>
  <c r="R1805" i="5"/>
  <c r="S1805" i="5"/>
  <c r="P1806" i="5"/>
  <c r="Q1806" i="5"/>
  <c r="P1807" i="5"/>
  <c r="Q1807" i="5"/>
  <c r="S1807" i="5"/>
  <c r="R1808" i="5"/>
  <c r="P1808" i="5"/>
  <c r="Q1808" i="5"/>
  <c r="S1808" i="5"/>
  <c r="R1809" i="5"/>
  <c r="P1809" i="5"/>
  <c r="Q1809" i="5"/>
  <c r="S1809" i="5"/>
  <c r="R1810" i="5"/>
  <c r="P1810" i="5"/>
  <c r="Q1810" i="5"/>
  <c r="S1810" i="5"/>
  <c r="P1811" i="5"/>
  <c r="Q1811" i="5"/>
  <c r="P1812" i="5"/>
  <c r="Q1812" i="5"/>
  <c r="S1812" i="5"/>
  <c r="R1813" i="5"/>
  <c r="P1813" i="5"/>
  <c r="Q1813" i="5"/>
  <c r="S1813" i="5"/>
  <c r="P1814" i="5"/>
  <c r="Q1814" i="5"/>
  <c r="R1814" i="5"/>
  <c r="S1814" i="5"/>
  <c r="R1815" i="5"/>
  <c r="P1815" i="5"/>
  <c r="Q1815" i="5"/>
  <c r="S1815" i="5"/>
  <c r="P1816" i="5"/>
  <c r="Q1816" i="5"/>
  <c r="P1817" i="5"/>
  <c r="Q1817" i="5"/>
  <c r="S1817" i="5"/>
  <c r="R1818" i="5"/>
  <c r="P1818" i="5"/>
  <c r="Q1818" i="5"/>
  <c r="S1818" i="5"/>
  <c r="R1819" i="5"/>
  <c r="P1819" i="5"/>
  <c r="Q1819" i="5"/>
  <c r="S1819" i="5"/>
  <c r="R1820" i="5"/>
  <c r="P1820" i="5"/>
  <c r="Q1820" i="5"/>
  <c r="S1820" i="5"/>
  <c r="R1821" i="5"/>
  <c r="P1821" i="5"/>
  <c r="Q1821" i="5"/>
  <c r="S1821" i="5"/>
  <c r="P1822" i="5"/>
  <c r="Q1822" i="5"/>
  <c r="P1823" i="5"/>
  <c r="Q1823" i="5"/>
  <c r="S1823" i="5"/>
  <c r="R1824" i="5"/>
  <c r="P1824" i="5"/>
  <c r="Q1824" i="5"/>
  <c r="S1824" i="5"/>
  <c r="R1825" i="5"/>
  <c r="P1825" i="5"/>
  <c r="Q1825" i="5"/>
  <c r="S1825" i="5"/>
  <c r="R1826" i="5"/>
  <c r="P1826" i="5"/>
  <c r="Q1826" i="5"/>
  <c r="S1826" i="5"/>
  <c r="R1827" i="5"/>
  <c r="P1827" i="5"/>
  <c r="Q1827" i="5"/>
  <c r="S1827" i="5"/>
  <c r="P1828" i="5"/>
  <c r="Q1828" i="5"/>
  <c r="P1829" i="5"/>
  <c r="Q1829" i="5"/>
  <c r="S1829" i="5"/>
  <c r="P1830" i="5"/>
  <c r="Q1830" i="5"/>
  <c r="S1830" i="5"/>
  <c r="P1831" i="5"/>
  <c r="Q1831" i="5"/>
  <c r="S1831" i="5"/>
  <c r="R1832" i="5"/>
  <c r="P1832" i="5"/>
  <c r="Q1832" i="5"/>
  <c r="S1832" i="5"/>
  <c r="R1833" i="5"/>
  <c r="P1833" i="5"/>
  <c r="Q1833" i="5"/>
  <c r="S1833" i="5"/>
  <c r="R1834" i="5"/>
  <c r="P1834" i="5"/>
  <c r="Q1834" i="5"/>
  <c r="S1834" i="5"/>
  <c r="P1835" i="5"/>
  <c r="Q1835" i="5"/>
  <c r="P1836" i="5"/>
  <c r="Q1836" i="5"/>
  <c r="S1836" i="5"/>
  <c r="R1837" i="5"/>
  <c r="P1837" i="5"/>
  <c r="Q1837" i="5"/>
  <c r="S1837" i="5"/>
  <c r="P1838" i="5"/>
  <c r="Q1838" i="5"/>
  <c r="R1838" i="5"/>
  <c r="S1838" i="5"/>
  <c r="R1839" i="5"/>
  <c r="P1839" i="5"/>
  <c r="Q1839" i="5"/>
  <c r="S1839" i="5"/>
  <c r="R1840" i="5"/>
  <c r="P1840" i="5"/>
  <c r="Q1840" i="5"/>
  <c r="S1840" i="5"/>
  <c r="P1841" i="5"/>
  <c r="Q1841" i="5"/>
  <c r="P1842" i="5"/>
  <c r="Q1842" i="5"/>
  <c r="S1842" i="5"/>
  <c r="R1843" i="5"/>
  <c r="P1843" i="5"/>
  <c r="Q1843" i="5"/>
  <c r="S1843" i="5"/>
  <c r="R1844" i="5"/>
  <c r="P1844" i="5"/>
  <c r="Q1844" i="5"/>
  <c r="S1844" i="5"/>
  <c r="R1845" i="5"/>
  <c r="P1845" i="5"/>
  <c r="Q1845" i="5"/>
  <c r="S1845" i="5"/>
  <c r="P1846" i="5"/>
  <c r="Q1846" i="5"/>
  <c r="R1846" i="5"/>
  <c r="S1846" i="5"/>
  <c r="P1847" i="5"/>
  <c r="Q1847" i="5"/>
  <c r="P1848" i="5"/>
  <c r="Q1848" i="5"/>
  <c r="S1848" i="5"/>
  <c r="R1849" i="5"/>
  <c r="P1849" i="5"/>
  <c r="Q1849" i="5"/>
  <c r="S1849" i="5"/>
  <c r="R1850" i="5"/>
  <c r="P1850" i="5"/>
  <c r="Q1850" i="5"/>
  <c r="S1850" i="5"/>
  <c r="R1851" i="5"/>
  <c r="P1851" i="5"/>
  <c r="Q1851" i="5"/>
  <c r="S1851" i="5"/>
  <c r="R1852" i="5"/>
  <c r="P1852" i="5"/>
  <c r="Q1852" i="5"/>
  <c r="S1852" i="5"/>
  <c r="P1853" i="5"/>
  <c r="Q1853" i="5"/>
  <c r="P1854" i="5"/>
  <c r="Q1854" i="5"/>
  <c r="S1854" i="5"/>
  <c r="R1855" i="5"/>
  <c r="P1855" i="5"/>
  <c r="Q1855" i="5"/>
  <c r="S1855" i="5"/>
  <c r="R1856" i="5"/>
  <c r="P1856" i="5"/>
  <c r="Q1856" i="5"/>
  <c r="S1856" i="5"/>
  <c r="R1857" i="5"/>
  <c r="P1857" i="5"/>
  <c r="Q1857" i="5"/>
  <c r="S1857" i="5"/>
  <c r="R1858" i="5"/>
  <c r="P1858" i="5"/>
  <c r="Q1858" i="5"/>
  <c r="S1858" i="5"/>
  <c r="P1859" i="5"/>
  <c r="Q1859" i="5"/>
  <c r="P1860" i="5"/>
  <c r="Q1860" i="5"/>
  <c r="S1860" i="5"/>
  <c r="R1861" i="5"/>
  <c r="P1861" i="5"/>
  <c r="Q1861" i="5"/>
  <c r="S1861" i="5"/>
  <c r="P1862" i="5"/>
  <c r="Q1862" i="5"/>
  <c r="R1862" i="5"/>
  <c r="S1862" i="5"/>
  <c r="R1863" i="5"/>
  <c r="P1863" i="5"/>
  <c r="Q1863" i="5"/>
  <c r="S1863" i="5"/>
  <c r="R1864" i="5"/>
  <c r="P1864" i="5"/>
  <c r="Q1864" i="5"/>
  <c r="S1864" i="5"/>
  <c r="P1865" i="5"/>
  <c r="Q1865" i="5"/>
  <c r="P1866" i="5"/>
  <c r="Q1866" i="5"/>
  <c r="S1866" i="5"/>
  <c r="R1867" i="5"/>
  <c r="P1867" i="5"/>
  <c r="Q1867" i="5"/>
  <c r="S1867" i="5"/>
  <c r="R1868" i="5"/>
  <c r="P1868" i="5"/>
  <c r="Q1868" i="5"/>
  <c r="S1868" i="5"/>
  <c r="R1869" i="5"/>
  <c r="P1869" i="5"/>
  <c r="Q1869" i="5"/>
  <c r="S1869" i="5"/>
  <c r="P1870" i="5"/>
  <c r="Q1870" i="5"/>
  <c r="R1870" i="5"/>
  <c r="S1870" i="5"/>
  <c r="P1871" i="5"/>
  <c r="Q1871" i="5"/>
  <c r="P1872" i="5"/>
  <c r="Q1872" i="5"/>
  <c r="S1872" i="5"/>
  <c r="R1873" i="5"/>
  <c r="P1873" i="5"/>
  <c r="Q1873" i="5"/>
  <c r="S1873" i="5"/>
  <c r="R1874" i="5"/>
  <c r="P1874" i="5"/>
  <c r="Q1874" i="5"/>
  <c r="S1874" i="5"/>
  <c r="R1875" i="5"/>
  <c r="P1875" i="5"/>
  <c r="Q1875" i="5"/>
  <c r="S1875" i="5"/>
  <c r="R1876" i="5"/>
  <c r="P1876" i="5"/>
  <c r="Q1876" i="5"/>
  <c r="S1876" i="5"/>
  <c r="P1877" i="5"/>
  <c r="Q1877" i="5"/>
  <c r="P1878" i="5"/>
  <c r="Q1878" i="5"/>
  <c r="S1878" i="5"/>
  <c r="R1879" i="5"/>
  <c r="P1879" i="5"/>
  <c r="Q1879" i="5"/>
  <c r="S1879" i="5"/>
  <c r="R1880" i="5"/>
  <c r="P1880" i="5"/>
  <c r="Q1880" i="5"/>
  <c r="S1880" i="5"/>
  <c r="R1881" i="5"/>
  <c r="P1881" i="5"/>
  <c r="Q1881" i="5"/>
  <c r="S1881" i="5"/>
  <c r="R1882" i="5"/>
  <c r="P1882" i="5"/>
  <c r="Q1882" i="5"/>
  <c r="S1882" i="5"/>
  <c r="P1883" i="5"/>
  <c r="Q1883" i="5"/>
  <c r="P1884" i="5"/>
  <c r="Q1884" i="5"/>
  <c r="S1884" i="5"/>
  <c r="R1885" i="5"/>
  <c r="P1885" i="5"/>
  <c r="Q1885" i="5"/>
  <c r="S1885" i="5"/>
  <c r="P1886" i="5"/>
  <c r="Q1886" i="5"/>
  <c r="R1886" i="5"/>
  <c r="S1886" i="5"/>
  <c r="R1887" i="5"/>
  <c r="P1887" i="5"/>
  <c r="Q1887" i="5"/>
  <c r="S1887" i="5"/>
  <c r="R1888" i="5"/>
  <c r="P1888" i="5"/>
  <c r="Q1888" i="5"/>
  <c r="S1888" i="5"/>
  <c r="P1889" i="5"/>
  <c r="Q1889" i="5"/>
  <c r="P1890" i="5"/>
  <c r="Q1890" i="5"/>
  <c r="S1890" i="5"/>
  <c r="R1891" i="5"/>
  <c r="P1891" i="5"/>
  <c r="Q1891" i="5"/>
  <c r="S1891" i="5"/>
  <c r="R1892" i="5"/>
  <c r="P1892" i="5"/>
  <c r="Q1892" i="5"/>
  <c r="S1892" i="5"/>
  <c r="R1893" i="5"/>
  <c r="P1893" i="5"/>
  <c r="Q1893" i="5"/>
  <c r="S1893" i="5"/>
  <c r="P1894" i="5"/>
  <c r="Q1894" i="5"/>
  <c r="R1894" i="5"/>
  <c r="S1894" i="5"/>
  <c r="P1895" i="5"/>
  <c r="Q1895" i="5"/>
  <c r="P1896" i="5"/>
  <c r="Q1896" i="5"/>
  <c r="S1896" i="5"/>
  <c r="P1897" i="5"/>
  <c r="Q1897" i="5"/>
  <c r="S1897" i="5"/>
  <c r="R1898" i="5"/>
  <c r="P1898" i="5"/>
  <c r="Q1898" i="5"/>
  <c r="S1898" i="5"/>
  <c r="R1899" i="5"/>
  <c r="P1899" i="5"/>
  <c r="Q1899" i="5"/>
  <c r="S1899" i="5"/>
  <c r="R1900" i="5"/>
  <c r="P1900" i="5"/>
  <c r="Q1900" i="5"/>
  <c r="S1900" i="5"/>
  <c r="P1901" i="5"/>
  <c r="Q1901" i="5"/>
  <c r="P1902" i="5"/>
  <c r="Q1902" i="5"/>
  <c r="S1902" i="5"/>
  <c r="P1903" i="5"/>
  <c r="Q1903" i="5"/>
  <c r="S1903" i="5"/>
  <c r="R1904" i="5"/>
  <c r="P1904" i="5"/>
  <c r="Q1904" i="5"/>
  <c r="S1904" i="5"/>
  <c r="R1905" i="5"/>
  <c r="P1905" i="5"/>
  <c r="Q1905" i="5"/>
  <c r="S1905" i="5"/>
  <c r="R1906" i="5"/>
  <c r="P1906" i="5"/>
  <c r="Q1906" i="5"/>
  <c r="S1906" i="5"/>
  <c r="P1907" i="5"/>
  <c r="Q1907" i="5"/>
  <c r="P1908" i="5"/>
  <c r="Q1908" i="5"/>
  <c r="S1908" i="5"/>
  <c r="R1909" i="5"/>
  <c r="P1909" i="5"/>
  <c r="Q1909" i="5"/>
  <c r="S1909" i="5"/>
  <c r="P1910" i="5"/>
  <c r="Q1910" i="5"/>
  <c r="R1910" i="5"/>
  <c r="S1910" i="5"/>
  <c r="R1911" i="5"/>
  <c r="P1911" i="5"/>
  <c r="Q1911" i="5"/>
  <c r="S1911" i="5"/>
  <c r="P1912" i="5"/>
  <c r="Q1912" i="5"/>
  <c r="P1913" i="5"/>
  <c r="Q1913" i="5"/>
  <c r="S1913" i="5"/>
  <c r="R1914" i="5"/>
  <c r="P1914" i="5"/>
  <c r="Q1914" i="5"/>
  <c r="S1914" i="5"/>
  <c r="R1915" i="5"/>
  <c r="P1915" i="5"/>
  <c r="Q1915" i="5"/>
  <c r="S1915" i="5"/>
  <c r="R1916" i="5"/>
  <c r="P1916" i="5"/>
  <c r="Q1916" i="5"/>
  <c r="S1916" i="5"/>
  <c r="P1917" i="5"/>
  <c r="Q1917" i="5"/>
  <c r="P1918" i="5"/>
  <c r="Q1918" i="5"/>
  <c r="S1918" i="5"/>
  <c r="R1919" i="5"/>
  <c r="P1919" i="5"/>
  <c r="Q1919" i="5"/>
  <c r="S1919" i="5"/>
  <c r="R1920" i="5"/>
  <c r="P1920" i="5"/>
  <c r="Q1920" i="5"/>
  <c r="S1920" i="5"/>
  <c r="R1921" i="5"/>
  <c r="P1921" i="5"/>
  <c r="Q1921" i="5"/>
  <c r="S1921" i="5"/>
  <c r="P1922" i="5"/>
  <c r="Q1922" i="5"/>
  <c r="P1923" i="5"/>
  <c r="Q1923" i="5"/>
  <c r="S1923" i="5"/>
  <c r="R1924" i="5"/>
  <c r="P1924" i="5"/>
  <c r="Q1924" i="5"/>
  <c r="S1924" i="5"/>
  <c r="R1925" i="5"/>
  <c r="P1925" i="5"/>
  <c r="Q1925" i="5"/>
  <c r="S1925" i="5"/>
  <c r="P1926" i="5"/>
  <c r="Q1926" i="5"/>
  <c r="R1926" i="5"/>
  <c r="S1926" i="5"/>
  <c r="R1927" i="5"/>
  <c r="P1927" i="5"/>
  <c r="Q1927" i="5"/>
  <c r="S1927" i="5"/>
  <c r="P1928" i="5"/>
  <c r="Q1928" i="5"/>
  <c r="R1929" i="5"/>
  <c r="P1929" i="5"/>
  <c r="Q1929" i="5"/>
  <c r="S1929" i="5"/>
  <c r="R1930" i="5"/>
  <c r="P1930" i="5"/>
  <c r="Q1930" i="5"/>
  <c r="S1930" i="5"/>
  <c r="R1931" i="5"/>
  <c r="P1931" i="5"/>
  <c r="Q1931" i="5"/>
  <c r="S1931" i="5"/>
  <c r="R1932" i="5"/>
  <c r="P1932" i="5"/>
  <c r="Q1932" i="5"/>
  <c r="S1932" i="5"/>
  <c r="P1933" i="5"/>
  <c r="Q1933" i="5"/>
  <c r="P1934" i="5"/>
  <c r="Q1934" i="5"/>
  <c r="S1934" i="5"/>
  <c r="R1935" i="5"/>
  <c r="P1935" i="5"/>
  <c r="Q1935" i="5"/>
  <c r="S1935" i="5"/>
  <c r="R1936" i="5"/>
  <c r="P1936" i="5"/>
  <c r="Q1936" i="5"/>
  <c r="S1936" i="5"/>
  <c r="R1937" i="5"/>
  <c r="P1937" i="5"/>
  <c r="Q1937" i="5"/>
  <c r="S1937" i="5"/>
  <c r="P1938" i="5"/>
  <c r="Q1938" i="5"/>
  <c r="R1939" i="5"/>
  <c r="P1939" i="5"/>
  <c r="Q1939" i="5"/>
  <c r="S1939" i="5"/>
  <c r="R1940" i="5"/>
  <c r="P1940" i="5"/>
  <c r="Q1940" i="5"/>
  <c r="S1940" i="5"/>
  <c r="R1941" i="5"/>
  <c r="P1941" i="5"/>
  <c r="Q1941" i="5"/>
  <c r="S1941" i="5"/>
  <c r="P1942" i="5"/>
  <c r="Q1942" i="5"/>
  <c r="R1942" i="5"/>
  <c r="S1942" i="5"/>
  <c r="R1943" i="5"/>
  <c r="P1943" i="5"/>
  <c r="Q1943" i="5"/>
  <c r="S1943" i="5"/>
  <c r="R1944" i="5"/>
  <c r="P1944" i="5"/>
  <c r="Q1944" i="5"/>
  <c r="S1944" i="5"/>
  <c r="P1945" i="5"/>
  <c r="Q1945" i="5"/>
  <c r="P1946" i="5"/>
  <c r="Q1946" i="5"/>
  <c r="S1946" i="5"/>
  <c r="P1947" i="5"/>
  <c r="Q1947" i="5"/>
  <c r="S1947" i="5"/>
  <c r="R1948" i="5"/>
  <c r="P1948" i="5"/>
  <c r="Q1948" i="5"/>
  <c r="S1948" i="5"/>
  <c r="R1949" i="5"/>
  <c r="P1949" i="5"/>
  <c r="Q1949" i="5"/>
  <c r="S1949" i="5"/>
  <c r="P1950" i="5"/>
  <c r="Q1950" i="5"/>
  <c r="R1950" i="5"/>
  <c r="S1950" i="5"/>
  <c r="P1951" i="5"/>
  <c r="Q1951" i="5"/>
  <c r="P1952" i="5"/>
  <c r="Q1952" i="5"/>
  <c r="S1952" i="5"/>
  <c r="P1953" i="5"/>
  <c r="Q1953" i="5"/>
  <c r="S1953" i="5"/>
  <c r="R1954" i="5"/>
  <c r="P1954" i="5"/>
  <c r="Q1954" i="5"/>
  <c r="S1954" i="5"/>
  <c r="R1955" i="5"/>
  <c r="P1955" i="5"/>
  <c r="Q1955" i="5"/>
  <c r="S1955" i="5"/>
  <c r="R1956" i="5"/>
  <c r="P1956" i="5"/>
  <c r="Q1956" i="5"/>
  <c r="S1956" i="5"/>
  <c r="P1957" i="5"/>
  <c r="Q1957" i="5"/>
  <c r="P1958" i="5"/>
  <c r="Q1958" i="5"/>
  <c r="S1958" i="5"/>
  <c r="R1959" i="5"/>
  <c r="P1959" i="5"/>
  <c r="Q1959" i="5"/>
  <c r="S1959" i="5"/>
  <c r="P1960" i="5"/>
  <c r="Q1960" i="5"/>
  <c r="S1960" i="5"/>
  <c r="R1961" i="5"/>
  <c r="P1961" i="5"/>
  <c r="Q1961" i="5"/>
  <c r="S1961" i="5"/>
  <c r="R1962" i="5"/>
  <c r="P1962" i="5"/>
  <c r="Q1962" i="5"/>
  <c r="S1962" i="5"/>
  <c r="R1963" i="5"/>
  <c r="P1963" i="5"/>
  <c r="Q1963" i="5"/>
  <c r="S1963" i="5"/>
  <c r="P1964" i="5"/>
  <c r="Q1964" i="5"/>
  <c r="P1965" i="5"/>
  <c r="Q1965" i="5"/>
  <c r="S1965" i="5"/>
  <c r="P1966" i="5"/>
  <c r="Q1966" i="5"/>
  <c r="R1966" i="5"/>
  <c r="S1966" i="5"/>
  <c r="P1967" i="5"/>
  <c r="Q1967" i="5"/>
  <c r="S1967" i="5"/>
  <c r="R1968" i="5"/>
  <c r="P1968" i="5"/>
  <c r="Q1968" i="5"/>
  <c r="S1968" i="5"/>
  <c r="R1969" i="5"/>
  <c r="P1969" i="5"/>
  <c r="Q1969" i="5"/>
  <c r="S1969" i="5"/>
  <c r="R1970" i="5"/>
  <c r="P1970" i="5"/>
  <c r="Q1970" i="5"/>
  <c r="S1970" i="5"/>
  <c r="P1971" i="5"/>
  <c r="Q1971" i="5"/>
  <c r="P1972" i="5"/>
  <c r="Q1972" i="5"/>
  <c r="S1972" i="5"/>
  <c r="P1973" i="5"/>
  <c r="Q1973" i="5"/>
  <c r="S1973" i="5"/>
  <c r="P1974" i="5"/>
  <c r="Q1974" i="5"/>
  <c r="R1974" i="5"/>
  <c r="S1974" i="5"/>
  <c r="R1975" i="5"/>
  <c r="P1975" i="5"/>
  <c r="Q1975" i="5"/>
  <c r="S1975" i="5"/>
  <c r="R1976" i="5"/>
  <c r="P1976" i="5"/>
  <c r="Q1976" i="5"/>
  <c r="S1976" i="5"/>
  <c r="R1977" i="5"/>
  <c r="P1977" i="5"/>
  <c r="Q1977" i="5"/>
  <c r="S1977" i="5"/>
  <c r="R1978" i="5"/>
  <c r="P1978" i="5"/>
  <c r="Q1978" i="5"/>
  <c r="S1978" i="5"/>
  <c r="P1979" i="5"/>
  <c r="Q1979" i="5"/>
  <c r="P1980" i="5"/>
  <c r="Q1980" i="5"/>
  <c r="S1980" i="5"/>
  <c r="P1981" i="5"/>
  <c r="Q1981" i="5"/>
  <c r="S1981" i="5"/>
  <c r="R1982" i="5"/>
  <c r="P1982" i="5"/>
  <c r="Q1982" i="5"/>
  <c r="S1982" i="5"/>
  <c r="P1983" i="5"/>
  <c r="Q1983" i="5"/>
  <c r="R1983" i="5"/>
  <c r="S1983" i="5"/>
  <c r="R1984" i="5"/>
  <c r="P1984" i="5"/>
  <c r="Q1984" i="5"/>
  <c r="S1984" i="5"/>
  <c r="R1985" i="5"/>
  <c r="P1985" i="5"/>
  <c r="Q1985" i="5"/>
  <c r="S1985" i="5"/>
  <c r="R1986" i="5"/>
  <c r="P1986" i="5"/>
  <c r="Q1986" i="5"/>
  <c r="S1986" i="5"/>
  <c r="P1987" i="5"/>
  <c r="Q1987" i="5"/>
  <c r="P1988" i="5"/>
  <c r="Q1988" i="5"/>
  <c r="S1988" i="5"/>
  <c r="P1989" i="5"/>
  <c r="Q1989" i="5"/>
  <c r="S1989" i="5"/>
  <c r="P1990" i="5"/>
  <c r="Q1990" i="5"/>
  <c r="S1990" i="5"/>
  <c r="R1991" i="5"/>
  <c r="P1991" i="5"/>
  <c r="Q1991" i="5"/>
  <c r="S1991" i="5"/>
  <c r="R1992" i="5"/>
  <c r="P1992" i="5"/>
  <c r="Q1992" i="5"/>
  <c r="S1992" i="5"/>
  <c r="R1993" i="5"/>
  <c r="P1993" i="5"/>
  <c r="Q1993" i="5"/>
  <c r="S1993" i="5"/>
  <c r="P1994" i="5"/>
  <c r="Q1994" i="5"/>
  <c r="P1995" i="5"/>
  <c r="Q1995" i="5"/>
  <c r="S1995" i="5"/>
  <c r="P1996" i="5"/>
  <c r="Q1996" i="5"/>
  <c r="S1996" i="5"/>
  <c r="P1997" i="5"/>
  <c r="Q1997" i="5"/>
  <c r="S1997" i="5"/>
  <c r="R1998" i="5"/>
  <c r="P1998" i="5"/>
  <c r="Q1998" i="5"/>
  <c r="S1998" i="5"/>
  <c r="R1999" i="5"/>
  <c r="P1999" i="5"/>
  <c r="Q1999" i="5"/>
  <c r="S1999" i="5"/>
  <c r="R2000" i="5"/>
  <c r="P2000" i="5"/>
  <c r="Q2000" i="5"/>
  <c r="S2000" i="5"/>
  <c r="P2001" i="5"/>
  <c r="Q2001" i="5"/>
  <c r="P2002" i="5"/>
  <c r="Q2002" i="5"/>
  <c r="S2002" i="5"/>
  <c r="P2003" i="5"/>
  <c r="Q2003" i="5"/>
  <c r="S2003" i="5"/>
  <c r="P2004" i="5"/>
  <c r="Q2004" i="5"/>
  <c r="S2004" i="5"/>
  <c r="R2005" i="5"/>
  <c r="P2005" i="5"/>
  <c r="Q2005" i="5"/>
  <c r="S2005" i="5"/>
  <c r="R2006" i="5"/>
  <c r="P2006" i="5"/>
  <c r="Q2006" i="5"/>
  <c r="S2006" i="5"/>
  <c r="R2007" i="5"/>
  <c r="P2007" i="5"/>
  <c r="Q2007" i="5"/>
  <c r="S2007" i="5"/>
  <c r="P2008" i="5"/>
  <c r="Q2008" i="5"/>
  <c r="P2009" i="5"/>
  <c r="Q2009" i="5"/>
  <c r="S2009" i="5"/>
  <c r="P2010" i="5"/>
  <c r="Q2010" i="5"/>
  <c r="S2010" i="5"/>
  <c r="P2011" i="5"/>
  <c r="Q2011" i="5"/>
  <c r="S2011" i="5"/>
  <c r="P2012" i="5"/>
  <c r="Q2012" i="5"/>
  <c r="R2012" i="5"/>
  <c r="S2012" i="5"/>
  <c r="R2013" i="5"/>
  <c r="P2013" i="5"/>
  <c r="Q2013" i="5"/>
  <c r="S2013" i="5"/>
  <c r="R2014" i="5"/>
  <c r="P2014" i="5"/>
  <c r="Q2014" i="5"/>
  <c r="S2014" i="5"/>
  <c r="P2015" i="5"/>
  <c r="Q2015" i="5"/>
  <c r="P2016" i="5"/>
  <c r="Q2016" i="5"/>
  <c r="S2016" i="5"/>
  <c r="R2017" i="5"/>
  <c r="P2017" i="5"/>
  <c r="Q2017" i="5"/>
  <c r="S2017" i="5"/>
  <c r="R2018" i="5"/>
  <c r="P2018" i="5"/>
  <c r="Q2018" i="5"/>
  <c r="S2018" i="5"/>
  <c r="R2019" i="5"/>
  <c r="P2019" i="5"/>
  <c r="Q2019" i="5"/>
  <c r="S2019" i="5"/>
  <c r="R2020" i="5"/>
  <c r="P2020" i="5"/>
  <c r="Q2020" i="5"/>
  <c r="S2020" i="5"/>
  <c r="P2021" i="5"/>
  <c r="Q2021" i="5"/>
  <c r="R2021" i="5"/>
  <c r="Q2022" i="5"/>
  <c r="S2022" i="5"/>
  <c r="Q2023" i="5"/>
  <c r="S2023" i="5"/>
  <c r="R2024" i="5"/>
  <c r="P2024" i="5"/>
  <c r="Q2024" i="5"/>
  <c r="S2024" i="5"/>
  <c r="R2025" i="5"/>
  <c r="P2025" i="5"/>
  <c r="Q2025" i="5"/>
  <c r="S2025" i="5"/>
  <c r="R2026" i="5"/>
  <c r="P2026" i="5"/>
  <c r="Q2026" i="5"/>
  <c r="S2026" i="5"/>
  <c r="R2027" i="5"/>
  <c r="P2027" i="5"/>
  <c r="Q2027" i="5"/>
  <c r="S2027" i="5"/>
  <c r="P2028" i="5"/>
  <c r="Q2028" i="5"/>
  <c r="R2028" i="5"/>
  <c r="S2028" i="5"/>
  <c r="P2029" i="5"/>
  <c r="Q2029" i="5"/>
  <c r="Q2030" i="5"/>
  <c r="S2030" i="5"/>
  <c r="Q2031" i="5"/>
  <c r="S2031" i="5"/>
  <c r="R2032" i="5"/>
  <c r="P2032" i="5"/>
  <c r="Q2032" i="5"/>
  <c r="S2032" i="5"/>
  <c r="R2033" i="5"/>
  <c r="P2033" i="5"/>
  <c r="Q2033" i="5"/>
  <c r="S2033" i="5"/>
  <c r="R2034" i="5"/>
  <c r="P2034" i="5"/>
  <c r="Q2034" i="5"/>
  <c r="S2034" i="5"/>
  <c r="R2035" i="5"/>
  <c r="P2035" i="5"/>
  <c r="Q2035" i="5"/>
  <c r="S2035" i="5"/>
  <c r="R2036" i="5"/>
  <c r="P2036" i="5"/>
  <c r="Q2036" i="5"/>
  <c r="S2036" i="5"/>
  <c r="P2037" i="5"/>
  <c r="Q2037" i="5"/>
  <c r="Q2038" i="5"/>
  <c r="S2038" i="5"/>
  <c r="Q2039" i="5"/>
  <c r="S2039" i="5"/>
  <c r="R2040" i="5"/>
  <c r="P2040" i="5"/>
  <c r="Q2040" i="5"/>
  <c r="S2040" i="5"/>
  <c r="R2041" i="5"/>
  <c r="P2041" i="5"/>
  <c r="Q2041" i="5"/>
  <c r="S2041" i="5"/>
  <c r="R2042" i="5"/>
  <c r="P2042" i="5"/>
  <c r="Q2042" i="5"/>
  <c r="S2042" i="5"/>
  <c r="R2043" i="5"/>
  <c r="P2043" i="5"/>
  <c r="Q2043" i="5"/>
  <c r="S2043" i="5"/>
  <c r="P2044" i="5"/>
  <c r="Q2044" i="5"/>
  <c r="R2044" i="5"/>
  <c r="S2044" i="5"/>
  <c r="P2045" i="5"/>
  <c r="Q2045" i="5"/>
  <c r="Q2046" i="5"/>
  <c r="S2046" i="5"/>
  <c r="Q2047" i="5"/>
  <c r="S2047" i="5"/>
  <c r="R2048" i="5"/>
  <c r="P2048" i="5"/>
  <c r="Q2048" i="5"/>
  <c r="S2048" i="5"/>
  <c r="R2049" i="5"/>
  <c r="P2049" i="5"/>
  <c r="Q2049" i="5"/>
  <c r="S2049" i="5"/>
  <c r="R2050" i="5"/>
  <c r="P2050" i="5"/>
  <c r="Q2050" i="5"/>
  <c r="S2050" i="5"/>
  <c r="R2051" i="5"/>
  <c r="P2051" i="5"/>
  <c r="Q2051" i="5"/>
  <c r="S2051" i="5"/>
  <c r="R2052" i="5"/>
  <c r="P2052" i="5"/>
  <c r="Q2052" i="5"/>
  <c r="S2052" i="5"/>
  <c r="P2053" i="5"/>
  <c r="Q2053" i="5"/>
  <c r="Q2054" i="5"/>
  <c r="S2054" i="5"/>
  <c r="Q2055" i="5"/>
  <c r="S2055" i="5"/>
  <c r="R2056" i="5"/>
  <c r="P2056" i="5"/>
  <c r="Q2056" i="5"/>
  <c r="S2056" i="5"/>
  <c r="R2057" i="5"/>
  <c r="P2057" i="5"/>
  <c r="Q2057" i="5"/>
  <c r="S2057" i="5"/>
  <c r="R2058" i="5"/>
  <c r="P2058" i="5"/>
  <c r="Q2058" i="5"/>
  <c r="S2058" i="5"/>
  <c r="R2059" i="5"/>
  <c r="P2059" i="5"/>
  <c r="Q2059" i="5"/>
  <c r="S2059" i="5"/>
  <c r="P2060" i="5"/>
  <c r="Q2060" i="5"/>
  <c r="R2060" i="5"/>
  <c r="S2060" i="5"/>
  <c r="P2061" i="5"/>
  <c r="Q2061" i="5"/>
  <c r="Q2062" i="5"/>
  <c r="S2062" i="5"/>
  <c r="Q2063" i="5"/>
  <c r="S2063" i="5"/>
  <c r="R2064" i="5"/>
  <c r="P2064" i="5"/>
  <c r="Q2064" i="5"/>
  <c r="S2064" i="5"/>
  <c r="R2065" i="5"/>
  <c r="P2065" i="5"/>
  <c r="Q2065" i="5"/>
  <c r="S2065" i="5"/>
  <c r="R2066" i="5"/>
  <c r="P2066" i="5"/>
  <c r="Q2066" i="5"/>
  <c r="S2066" i="5"/>
  <c r="R2067" i="5"/>
  <c r="P2067" i="5"/>
  <c r="Q2067" i="5"/>
  <c r="S2067" i="5"/>
  <c r="R2068" i="5"/>
  <c r="P2068" i="5"/>
  <c r="Q2068" i="5"/>
  <c r="S2068" i="5"/>
  <c r="P2069" i="5"/>
  <c r="Q2069" i="5"/>
  <c r="Q2070" i="5"/>
  <c r="S2070" i="5"/>
  <c r="Q2071" i="5"/>
  <c r="S2071" i="5"/>
  <c r="R2072" i="5"/>
  <c r="P2072" i="5"/>
  <c r="Q2072" i="5"/>
  <c r="S2072" i="5"/>
  <c r="R2073" i="5"/>
  <c r="P2073" i="5"/>
  <c r="Q2073" i="5"/>
  <c r="S2073" i="5"/>
  <c r="R2074" i="5"/>
  <c r="P2074" i="5"/>
  <c r="Q2074" i="5"/>
  <c r="S2074" i="5"/>
  <c r="R2075" i="5"/>
  <c r="P2075" i="5"/>
  <c r="Q2075" i="5"/>
  <c r="S2075" i="5"/>
  <c r="P2076" i="5"/>
  <c r="Q2076" i="5"/>
  <c r="R2076" i="5"/>
  <c r="S2076" i="5"/>
  <c r="R2077" i="5"/>
  <c r="P2077" i="5"/>
  <c r="Q2077" i="5"/>
  <c r="Q2078" i="5"/>
  <c r="S2078" i="5"/>
  <c r="Q2079" i="5"/>
  <c r="S2079" i="5"/>
  <c r="R2080" i="5"/>
  <c r="P2080" i="5"/>
  <c r="Q2080" i="5"/>
  <c r="S2080" i="5"/>
  <c r="R2081" i="5"/>
  <c r="P2081" i="5"/>
  <c r="Q2081" i="5"/>
  <c r="S2081" i="5"/>
  <c r="R2082" i="5"/>
  <c r="P2082" i="5"/>
  <c r="Q2082" i="5"/>
  <c r="S2082" i="5"/>
  <c r="R2083" i="5"/>
  <c r="P2083" i="5"/>
  <c r="Q2083" i="5"/>
  <c r="S2083" i="5"/>
  <c r="R2084" i="5"/>
  <c r="P2084" i="5"/>
  <c r="Q2084" i="5"/>
  <c r="S2084" i="5"/>
  <c r="P2085" i="5"/>
  <c r="Q2085" i="5"/>
  <c r="R2085" i="5"/>
  <c r="Q2086" i="5"/>
  <c r="S2086" i="5"/>
  <c r="Q2087" i="5"/>
  <c r="S2087" i="5"/>
  <c r="R2088" i="5"/>
  <c r="P2088" i="5"/>
  <c r="Q2088" i="5"/>
  <c r="S2088" i="5"/>
  <c r="R2089" i="5"/>
  <c r="P2089" i="5"/>
  <c r="Q2089" i="5"/>
  <c r="S2089" i="5"/>
  <c r="R2090" i="5"/>
  <c r="P2090" i="5"/>
  <c r="Q2090" i="5"/>
  <c r="S2090" i="5"/>
  <c r="R2091" i="5"/>
  <c r="P2091" i="5"/>
  <c r="Q2091" i="5"/>
  <c r="S2091" i="5"/>
  <c r="P2092" i="5"/>
  <c r="Q2092" i="5"/>
  <c r="R2092" i="5"/>
  <c r="S2092" i="5"/>
  <c r="R2093" i="5"/>
  <c r="P2093" i="5"/>
  <c r="Q2093" i="5"/>
  <c r="Q2094" i="5"/>
  <c r="S2094" i="5"/>
  <c r="Q2095" i="5"/>
  <c r="S2095" i="5"/>
  <c r="R2096" i="5"/>
  <c r="P2096" i="5"/>
  <c r="Q2096" i="5"/>
  <c r="S2096" i="5"/>
  <c r="R2097" i="5"/>
  <c r="P2097" i="5"/>
  <c r="Q2097" i="5"/>
  <c r="S2097" i="5"/>
  <c r="R2098" i="5"/>
  <c r="P2098" i="5"/>
  <c r="Q2098" i="5"/>
  <c r="S2098" i="5"/>
  <c r="R2099" i="5"/>
  <c r="P2099" i="5"/>
  <c r="Q2099" i="5"/>
  <c r="S2099" i="5"/>
  <c r="R2100" i="5"/>
  <c r="P2100" i="5"/>
  <c r="Q2100" i="5"/>
  <c r="S2100" i="5"/>
  <c r="P2101" i="5"/>
  <c r="Q2101" i="5"/>
  <c r="R2101" i="5"/>
  <c r="Q2102" i="5"/>
  <c r="S2102" i="5"/>
  <c r="Q2103" i="5"/>
  <c r="S2103" i="5"/>
  <c r="R2104" i="5"/>
  <c r="P2104" i="5"/>
  <c r="Q2104" i="5"/>
  <c r="S2104" i="5"/>
  <c r="R2105" i="5"/>
  <c r="P2105" i="5"/>
  <c r="Q2105" i="5"/>
  <c r="S2105" i="5"/>
  <c r="R2106" i="5"/>
  <c r="P2106" i="5"/>
  <c r="Q2106" i="5"/>
  <c r="S2106" i="5"/>
  <c r="R2107" i="5"/>
  <c r="P2107" i="5"/>
  <c r="Q2107" i="5"/>
  <c r="S2107" i="5"/>
  <c r="P2108" i="5"/>
  <c r="Q2108" i="5"/>
  <c r="R2108" i="5"/>
  <c r="S2108" i="5"/>
  <c r="P2109" i="5"/>
  <c r="Q2109" i="5"/>
  <c r="P2110" i="5"/>
  <c r="Q2110" i="5"/>
  <c r="S2110" i="5"/>
  <c r="R2111" i="5"/>
  <c r="P2111" i="5"/>
  <c r="Q2111" i="5"/>
  <c r="S2111" i="5"/>
  <c r="R2112" i="5"/>
  <c r="P2112" i="5"/>
  <c r="Q2112" i="5"/>
  <c r="S2112" i="5"/>
  <c r="P2113" i="5"/>
  <c r="Q2113" i="5"/>
  <c r="R2113" i="5"/>
  <c r="S2113" i="5"/>
  <c r="R2114" i="5"/>
  <c r="P2114" i="5"/>
  <c r="Q2114" i="5"/>
  <c r="S2114" i="5"/>
  <c r="P2115" i="5"/>
  <c r="Q2115" i="5"/>
  <c r="P2116" i="5"/>
  <c r="Q2116" i="5"/>
  <c r="S2116" i="5"/>
  <c r="P2117" i="5"/>
  <c r="Q2117" i="5"/>
  <c r="S2117" i="5"/>
  <c r="R2118" i="5"/>
  <c r="P2118" i="5"/>
  <c r="Q2118" i="5"/>
  <c r="S2118" i="5"/>
  <c r="R2119" i="5"/>
  <c r="P2119" i="5"/>
  <c r="Q2119" i="5"/>
  <c r="S2119" i="5"/>
  <c r="R2120" i="5"/>
  <c r="P2120" i="5"/>
  <c r="Q2120" i="5"/>
  <c r="S2120" i="5"/>
  <c r="P2121" i="5"/>
  <c r="Q2121" i="5"/>
  <c r="P2122" i="5"/>
  <c r="Q2122" i="5"/>
  <c r="S2122" i="5"/>
  <c r="P2123" i="5"/>
  <c r="Q2123" i="5"/>
  <c r="S2123" i="5"/>
  <c r="R2124" i="5"/>
  <c r="P2124" i="5"/>
  <c r="Q2124" i="5"/>
  <c r="S2124" i="5"/>
  <c r="R2125" i="5"/>
  <c r="P2125" i="5"/>
  <c r="Q2125" i="5"/>
  <c r="S2125" i="5"/>
  <c r="R2126" i="5"/>
  <c r="P2126" i="5"/>
  <c r="Q2126" i="5"/>
  <c r="S2126" i="5"/>
  <c r="P2127" i="5"/>
  <c r="Q2127" i="5"/>
  <c r="P2128" i="5"/>
  <c r="Q2128" i="5"/>
  <c r="S2128" i="5"/>
  <c r="P2129" i="5"/>
  <c r="Q2129" i="5"/>
  <c r="S2129" i="5"/>
  <c r="R2130" i="5"/>
  <c r="P2130" i="5"/>
  <c r="Q2130" i="5"/>
  <c r="S2130" i="5"/>
  <c r="R2131" i="5"/>
  <c r="P2131" i="5"/>
  <c r="Q2131" i="5"/>
  <c r="S2131" i="5"/>
  <c r="R2132" i="5"/>
  <c r="P2132" i="5"/>
  <c r="Q2132" i="5"/>
  <c r="S2132" i="5"/>
  <c r="P2133" i="5"/>
  <c r="Q2133" i="5"/>
  <c r="P2134" i="5"/>
  <c r="Q2134" i="5"/>
  <c r="S2134" i="5"/>
  <c r="P2135" i="5"/>
  <c r="Q2135" i="5"/>
  <c r="S2135" i="5"/>
  <c r="R2136" i="5"/>
  <c r="P2136" i="5"/>
  <c r="Q2136" i="5"/>
  <c r="S2136" i="5"/>
  <c r="P2137" i="5"/>
  <c r="Q2137" i="5"/>
  <c r="R2137" i="5"/>
  <c r="S2137" i="5"/>
  <c r="R2138" i="5"/>
  <c r="P2138" i="5"/>
  <c r="Q2138" i="5"/>
  <c r="S2138" i="5"/>
  <c r="P2139" i="5"/>
  <c r="Q2139" i="5"/>
  <c r="Q2140" i="5"/>
  <c r="S2140" i="5"/>
  <c r="Q2141" i="5"/>
  <c r="S2141" i="5"/>
  <c r="R2142" i="5"/>
  <c r="P2142" i="5"/>
  <c r="Q2142" i="5"/>
  <c r="S2142" i="5"/>
  <c r="R2143" i="5"/>
  <c r="P2143" i="5"/>
  <c r="Q2143" i="5"/>
  <c r="S2143" i="5"/>
  <c r="R2144" i="5"/>
  <c r="P2144" i="5"/>
  <c r="Q2144" i="5"/>
  <c r="S2144" i="5"/>
  <c r="P2145" i="5"/>
  <c r="Q2145" i="5"/>
  <c r="R2145" i="5"/>
  <c r="S2145" i="5"/>
  <c r="R2146" i="5"/>
  <c r="P2146" i="5"/>
  <c r="Q2146" i="5"/>
  <c r="S2146" i="5"/>
  <c r="P2147" i="5"/>
  <c r="Q2147" i="5"/>
  <c r="Q2148" i="5"/>
  <c r="S2148" i="5"/>
  <c r="Q2149" i="5"/>
  <c r="S2149" i="5"/>
  <c r="R2150" i="5"/>
  <c r="P2150" i="5"/>
  <c r="Q2150" i="5"/>
  <c r="S2150" i="5"/>
  <c r="R2151" i="5"/>
  <c r="P2151" i="5"/>
  <c r="Q2151" i="5"/>
  <c r="S2151" i="5"/>
  <c r="R2152" i="5"/>
  <c r="P2152" i="5"/>
  <c r="Q2152" i="5"/>
  <c r="S2152" i="5"/>
  <c r="P2153" i="5"/>
  <c r="Q2153" i="5"/>
  <c r="R2153" i="5"/>
  <c r="S2153" i="5"/>
  <c r="R2154" i="5"/>
  <c r="P2154" i="5"/>
  <c r="Q2154" i="5"/>
  <c r="S2154" i="5"/>
  <c r="P2155" i="5"/>
  <c r="Q2155" i="5"/>
  <c r="Q2156" i="5"/>
  <c r="S2156" i="5"/>
  <c r="Q2157" i="5"/>
  <c r="S2157" i="5"/>
  <c r="R2158" i="5"/>
  <c r="P2158" i="5"/>
  <c r="Q2158" i="5"/>
  <c r="S2158" i="5"/>
  <c r="R2159" i="5"/>
  <c r="P2159" i="5"/>
  <c r="Q2159" i="5"/>
  <c r="S2159" i="5"/>
  <c r="R2160" i="5"/>
  <c r="P2160" i="5"/>
  <c r="Q2160" i="5"/>
  <c r="S2160" i="5"/>
  <c r="P2161" i="5"/>
  <c r="Q2161" i="5"/>
  <c r="R2161" i="5"/>
  <c r="S2161" i="5"/>
  <c r="R2162" i="5"/>
  <c r="P2162" i="5"/>
  <c r="Q2162" i="5"/>
  <c r="S2162" i="5"/>
  <c r="P2163" i="5"/>
  <c r="Q2163" i="5"/>
  <c r="Q2164" i="5"/>
  <c r="S2164" i="5"/>
  <c r="Q2165" i="5"/>
  <c r="S2165" i="5"/>
  <c r="R2166" i="5"/>
  <c r="P2166" i="5"/>
  <c r="Q2166" i="5"/>
  <c r="S2166" i="5"/>
  <c r="R2167" i="5"/>
  <c r="P2167" i="5"/>
  <c r="Q2167" i="5"/>
  <c r="S2167" i="5"/>
  <c r="R2168" i="5"/>
  <c r="P2168" i="5"/>
  <c r="Q2168" i="5"/>
  <c r="S2168" i="5"/>
  <c r="P2169" i="5"/>
  <c r="Q2169" i="5"/>
  <c r="R2169" i="5"/>
  <c r="S2169" i="5"/>
  <c r="R2170" i="5"/>
  <c r="P2170" i="5"/>
  <c r="Q2170" i="5"/>
  <c r="S2170" i="5"/>
  <c r="P2171" i="5"/>
  <c r="Q2171" i="5"/>
  <c r="Q2172" i="5"/>
  <c r="S2172" i="5"/>
  <c r="Q2173" i="5"/>
  <c r="S2173" i="5"/>
  <c r="R2174" i="5"/>
  <c r="P2174" i="5"/>
  <c r="Q2174" i="5"/>
  <c r="S2174" i="5"/>
  <c r="R2175" i="5"/>
  <c r="P2175" i="5"/>
  <c r="Q2175" i="5"/>
  <c r="S2175" i="5"/>
  <c r="R2176" i="5"/>
  <c r="P2176" i="5"/>
  <c r="Q2176" i="5"/>
  <c r="S2176" i="5"/>
  <c r="P2177" i="5"/>
  <c r="Q2177" i="5"/>
  <c r="R2177" i="5"/>
  <c r="S2177" i="5"/>
  <c r="R2178" i="5"/>
  <c r="P2178" i="5"/>
  <c r="Q2178" i="5"/>
  <c r="S2178" i="5"/>
  <c r="P2179" i="5"/>
  <c r="Q2179" i="5"/>
  <c r="Q2180" i="5"/>
  <c r="S2180" i="5"/>
  <c r="Q2181" i="5"/>
  <c r="S2181" i="5"/>
  <c r="R2182" i="5"/>
  <c r="P2182" i="5"/>
  <c r="Q2182" i="5"/>
  <c r="S2182" i="5"/>
  <c r="R2183" i="5"/>
  <c r="P2183" i="5"/>
  <c r="Q2183" i="5"/>
  <c r="S2183" i="5"/>
  <c r="R2184" i="5"/>
  <c r="P2184" i="5"/>
  <c r="Q2184" i="5"/>
  <c r="S2184" i="5"/>
  <c r="P2185" i="5"/>
  <c r="Q2185" i="5"/>
  <c r="R2185" i="5"/>
  <c r="S2185" i="5"/>
  <c r="R2186" i="5"/>
  <c r="P2186" i="5"/>
  <c r="Q2186" i="5"/>
  <c r="S2186" i="5"/>
  <c r="P2187" i="5"/>
  <c r="Q2187" i="5"/>
  <c r="Q2188" i="5"/>
  <c r="S2188" i="5"/>
  <c r="Q2189" i="5"/>
  <c r="S2189" i="5"/>
  <c r="R2190" i="5"/>
  <c r="P2190" i="5"/>
  <c r="Q2190" i="5"/>
  <c r="S2190" i="5"/>
  <c r="R2191" i="5"/>
  <c r="P2191" i="5"/>
  <c r="Q2191" i="5"/>
  <c r="S2191" i="5"/>
  <c r="R2192" i="5"/>
  <c r="P2192" i="5"/>
  <c r="Q2192" i="5"/>
  <c r="S2192" i="5"/>
  <c r="P2193" i="5"/>
  <c r="Q2193" i="5"/>
  <c r="R2193" i="5"/>
  <c r="S2193" i="5"/>
  <c r="R2194" i="5"/>
  <c r="P2194" i="5"/>
  <c r="Q2194" i="5"/>
  <c r="S2194" i="5"/>
  <c r="P2195" i="5"/>
  <c r="Q2195" i="5"/>
  <c r="Q2196" i="5"/>
  <c r="S2196" i="5"/>
  <c r="Q2197" i="5"/>
  <c r="S2197" i="5"/>
  <c r="R2198" i="5"/>
  <c r="P2198" i="5"/>
  <c r="Q2198" i="5"/>
  <c r="S2198" i="5"/>
  <c r="R2199" i="5"/>
  <c r="P2199" i="5"/>
  <c r="Q2199" i="5"/>
  <c r="S2199" i="5"/>
  <c r="R2200" i="5"/>
  <c r="P2200" i="5"/>
  <c r="Q2200" i="5"/>
  <c r="S2200" i="5"/>
  <c r="P2201" i="5"/>
  <c r="Q2201" i="5"/>
  <c r="R2201" i="5"/>
  <c r="S2201" i="5"/>
  <c r="R2202" i="5"/>
  <c r="P2202" i="5"/>
  <c r="Q2202" i="5"/>
  <c r="S2202" i="5"/>
  <c r="P2203" i="5"/>
  <c r="Q2203" i="5"/>
  <c r="P2204" i="5"/>
  <c r="Q2204" i="5"/>
  <c r="S2204" i="5"/>
  <c r="R2205" i="5"/>
  <c r="P2205" i="5"/>
  <c r="Q2205" i="5"/>
  <c r="S2205" i="5"/>
  <c r="R2206" i="5"/>
  <c r="P2206" i="5"/>
  <c r="Q2206" i="5"/>
  <c r="S2206" i="5"/>
  <c r="R2207" i="5"/>
  <c r="P2207" i="5"/>
  <c r="Q2207" i="5"/>
  <c r="S2207" i="5"/>
  <c r="P2208" i="5"/>
  <c r="Q2208" i="5"/>
  <c r="Q2209" i="5"/>
  <c r="S2209" i="5"/>
  <c r="P2210" i="5"/>
  <c r="Q2210" i="5"/>
  <c r="S2210" i="5"/>
  <c r="P2211" i="5"/>
  <c r="Q2211" i="5"/>
  <c r="S2211" i="5"/>
  <c r="R2212" i="5"/>
  <c r="P2212" i="5"/>
  <c r="Q2212" i="5"/>
  <c r="S2212" i="5"/>
  <c r="R2213" i="5"/>
  <c r="P2213" i="5"/>
  <c r="Q2213" i="5"/>
  <c r="S2213" i="5"/>
  <c r="R2214" i="5"/>
  <c r="P2214" i="5"/>
  <c r="Q2214" i="5"/>
  <c r="S2214" i="5"/>
  <c r="P2215" i="5"/>
  <c r="Q2215" i="5"/>
  <c r="P2216" i="5"/>
  <c r="Q2216" i="5"/>
  <c r="S2216" i="5"/>
  <c r="P2217" i="5"/>
  <c r="Q2217" i="5"/>
  <c r="S2217" i="5"/>
  <c r="R2218" i="5"/>
  <c r="P2218" i="5"/>
  <c r="Q2218" i="5"/>
  <c r="S2218" i="5"/>
  <c r="R2219" i="5"/>
  <c r="P2219" i="5"/>
  <c r="Q2219" i="5"/>
  <c r="S2219" i="5"/>
  <c r="R2220" i="5"/>
  <c r="P2220" i="5"/>
  <c r="Q2220" i="5"/>
  <c r="S2220" i="5"/>
  <c r="R2221" i="5"/>
  <c r="P2221" i="5"/>
  <c r="Q2221" i="5"/>
  <c r="S2221" i="5"/>
  <c r="P2222" i="5"/>
  <c r="Q2222" i="5"/>
  <c r="P2223" i="5"/>
  <c r="Q2223" i="5"/>
  <c r="S2223" i="5"/>
  <c r="P2224" i="5"/>
  <c r="Q2224" i="5"/>
  <c r="S2224" i="5"/>
  <c r="P2225" i="5"/>
  <c r="Q2225" i="5"/>
  <c r="R2225" i="5"/>
  <c r="S2225" i="5"/>
  <c r="R2226" i="5"/>
  <c r="P2226" i="5"/>
  <c r="Q2226" i="5"/>
  <c r="S2226" i="5"/>
  <c r="R2227" i="5"/>
  <c r="P2227" i="5"/>
  <c r="Q2227" i="5"/>
  <c r="S2227" i="5"/>
  <c r="P2228" i="5"/>
  <c r="Q2228" i="5"/>
  <c r="P2229" i="5"/>
  <c r="Q2229" i="5"/>
  <c r="S2229" i="5"/>
  <c r="R2230" i="5"/>
  <c r="P2230" i="5"/>
  <c r="Q2230" i="5"/>
  <c r="S2230" i="5"/>
  <c r="R2231" i="5"/>
  <c r="P2231" i="5"/>
  <c r="Q2231" i="5"/>
  <c r="S2231" i="5"/>
  <c r="R2232" i="5"/>
  <c r="P2232" i="5"/>
  <c r="Q2232" i="5"/>
  <c r="S2232" i="5"/>
  <c r="P2233" i="5"/>
  <c r="Q2233" i="5"/>
  <c r="R2233" i="5"/>
  <c r="S2233" i="5"/>
  <c r="P2234" i="5"/>
  <c r="Q2234" i="5"/>
  <c r="P2235" i="5"/>
  <c r="Q2235" i="5"/>
  <c r="S2235" i="5"/>
  <c r="P2236" i="5"/>
  <c r="Q2236" i="5"/>
  <c r="S2236" i="5"/>
  <c r="Q2237" i="5"/>
  <c r="S2237" i="5"/>
  <c r="Q2238" i="5"/>
  <c r="S2238" i="5"/>
  <c r="P2239" i="5"/>
  <c r="Q2239" i="5"/>
  <c r="S2239" i="5"/>
  <c r="Q2240" i="5"/>
  <c r="S2240" i="5"/>
  <c r="Q2241" i="5"/>
  <c r="R2241" i="5"/>
  <c r="S2241" i="5"/>
  <c r="Q2242" i="5"/>
  <c r="S2242" i="5"/>
  <c r="R2243" i="5"/>
  <c r="P2243" i="5"/>
  <c r="Q2243" i="5"/>
  <c r="S2243" i="5"/>
  <c r="R2244" i="5"/>
  <c r="P2244" i="5"/>
  <c r="Q2244" i="5"/>
  <c r="S2244" i="5"/>
  <c r="R2245" i="5"/>
  <c r="P2245" i="5"/>
  <c r="Q2245" i="5"/>
  <c r="S2245" i="5"/>
  <c r="R2246" i="5"/>
  <c r="P2246" i="5"/>
  <c r="Q2246" i="5"/>
  <c r="S2246" i="5"/>
  <c r="R2247" i="5"/>
  <c r="P2247" i="5"/>
  <c r="Q2247" i="5"/>
  <c r="S2247" i="5"/>
  <c r="P2248" i="5"/>
  <c r="Q2248" i="5"/>
  <c r="P2249" i="5"/>
  <c r="Q2249" i="5"/>
  <c r="S2249" i="5"/>
  <c r="R2250" i="5"/>
  <c r="P2250" i="5"/>
  <c r="Q2250" i="5"/>
  <c r="S2250" i="5"/>
  <c r="R2251" i="5"/>
  <c r="P2251" i="5"/>
  <c r="Q2251" i="5"/>
  <c r="S2251" i="5"/>
  <c r="R2252" i="5"/>
  <c r="P2252" i="5"/>
  <c r="Q2252" i="5"/>
  <c r="S2252" i="5"/>
  <c r="R2253" i="5"/>
  <c r="P2253" i="5"/>
  <c r="Q2253" i="5"/>
  <c r="S2253" i="5"/>
  <c r="P2254" i="5"/>
  <c r="Q2254" i="5"/>
  <c r="Q2255" i="5"/>
  <c r="S2255" i="5"/>
  <c r="Q2256" i="5"/>
  <c r="S2256" i="5"/>
  <c r="Q2257" i="5"/>
  <c r="R2257" i="5"/>
  <c r="S2257" i="5"/>
  <c r="Q2258" i="5"/>
  <c r="S2258" i="5"/>
  <c r="R2259" i="5"/>
  <c r="P2259" i="5"/>
  <c r="Q2259" i="5"/>
  <c r="S2259" i="5"/>
  <c r="R2260" i="5"/>
  <c r="P2260" i="5"/>
  <c r="Q2260" i="5"/>
  <c r="S2260" i="5"/>
  <c r="R2261" i="5"/>
  <c r="P2261" i="5"/>
  <c r="Q2261" i="5"/>
  <c r="S2261" i="5"/>
  <c r="R2262" i="5"/>
  <c r="P2262" i="5"/>
  <c r="Q2262" i="5"/>
  <c r="S2262" i="5"/>
  <c r="R2263" i="5"/>
  <c r="P2263" i="5"/>
  <c r="Q2263" i="5"/>
  <c r="S2263" i="5"/>
  <c r="P2264" i="5"/>
  <c r="Q2264" i="5"/>
  <c r="Q2265" i="5"/>
  <c r="S2265" i="5"/>
  <c r="Q2266" i="5"/>
  <c r="S2266" i="5"/>
  <c r="R2267" i="5"/>
  <c r="Q2267" i="5"/>
  <c r="S2267" i="5"/>
  <c r="Q2268" i="5"/>
  <c r="S2268" i="5"/>
  <c r="R2269" i="5"/>
  <c r="P2269" i="5"/>
  <c r="Q2269" i="5"/>
  <c r="S2269" i="5"/>
  <c r="R2270" i="5"/>
  <c r="P2270" i="5"/>
  <c r="Q2270" i="5"/>
  <c r="S2270" i="5"/>
  <c r="R2271" i="5"/>
  <c r="P2271" i="5"/>
  <c r="Q2271" i="5"/>
  <c r="S2271" i="5"/>
  <c r="R2272" i="5"/>
  <c r="P2272" i="5"/>
  <c r="Q2272" i="5"/>
  <c r="S2272" i="5"/>
  <c r="P2273" i="5"/>
  <c r="Q2273" i="5"/>
  <c r="R2273" i="5"/>
  <c r="S2273" i="5"/>
  <c r="P2274" i="5"/>
  <c r="Q2274" i="5"/>
  <c r="Q2275" i="5"/>
  <c r="S2275" i="5"/>
  <c r="Q2276" i="5"/>
  <c r="S2276" i="5"/>
  <c r="R2277" i="5"/>
  <c r="Q2277" i="5"/>
  <c r="S2277" i="5"/>
  <c r="Q2278" i="5"/>
  <c r="S2278" i="5"/>
  <c r="R2279" i="5"/>
  <c r="P2279" i="5"/>
  <c r="Q2279" i="5"/>
  <c r="S2279" i="5"/>
  <c r="R2280" i="5"/>
  <c r="P2280" i="5"/>
  <c r="Q2280" i="5"/>
  <c r="S2280" i="5"/>
  <c r="P2281" i="5"/>
  <c r="Q2281" i="5"/>
  <c r="R2281" i="5"/>
  <c r="S2281" i="5"/>
  <c r="R2282" i="5"/>
  <c r="P2282" i="5"/>
  <c r="Q2282" i="5"/>
  <c r="S2282" i="5"/>
  <c r="R2283" i="5"/>
  <c r="P2283" i="5"/>
  <c r="Q2283" i="5"/>
  <c r="S2283" i="5"/>
  <c r="P2284" i="5"/>
  <c r="Q2284" i="5"/>
  <c r="Q2285" i="5"/>
  <c r="S2285" i="5"/>
  <c r="Q2286" i="5"/>
  <c r="S2286" i="5"/>
  <c r="R2287" i="5"/>
  <c r="Q2287" i="5"/>
  <c r="S2287" i="5"/>
  <c r="Q2288" i="5"/>
  <c r="S2288" i="5"/>
  <c r="P2289" i="5"/>
  <c r="Q2289" i="5"/>
  <c r="R2289" i="5"/>
  <c r="S2289" i="5"/>
  <c r="R2290" i="5"/>
  <c r="P2290" i="5"/>
  <c r="Q2290" i="5"/>
  <c r="S2290" i="5"/>
  <c r="R2291" i="5"/>
  <c r="P2291" i="5"/>
  <c r="Q2291" i="5"/>
  <c r="S2291" i="5"/>
  <c r="R2292" i="5"/>
  <c r="P2292" i="5"/>
  <c r="Q2292" i="5"/>
  <c r="S2292" i="5"/>
  <c r="R2293" i="5"/>
  <c r="P2293" i="5"/>
  <c r="Q2293" i="5"/>
  <c r="S2293" i="5"/>
  <c r="P2294" i="5"/>
  <c r="Q2294" i="5"/>
  <c r="Q2295" i="5"/>
  <c r="S2295" i="5"/>
  <c r="Q2296" i="5"/>
  <c r="S2296" i="5"/>
  <c r="Q2297" i="5"/>
  <c r="R2297" i="5"/>
  <c r="S2297" i="5"/>
  <c r="Q2298" i="5"/>
  <c r="S2298" i="5"/>
  <c r="R2299" i="5"/>
  <c r="P2299" i="5"/>
  <c r="Q2299" i="5"/>
  <c r="S2299" i="5"/>
  <c r="R2300" i="5"/>
  <c r="P2300" i="5"/>
  <c r="Q2300" i="5"/>
  <c r="S2300" i="5"/>
  <c r="R2301" i="5"/>
  <c r="P2301" i="5"/>
  <c r="Q2301" i="5"/>
  <c r="S2301" i="5"/>
  <c r="R2302" i="5"/>
  <c r="P2302" i="5"/>
  <c r="Q2302" i="5"/>
  <c r="S2302" i="5"/>
  <c r="R2303" i="5"/>
  <c r="P2303" i="5"/>
  <c r="Q2303" i="5"/>
  <c r="S2303" i="5"/>
  <c r="P2304" i="5"/>
  <c r="Q2304" i="5"/>
  <c r="P2305" i="5"/>
  <c r="Q2305" i="5"/>
  <c r="S2305" i="5"/>
  <c r="P2306" i="5"/>
  <c r="Q2306" i="5"/>
  <c r="S2306" i="5"/>
  <c r="P2307" i="5"/>
  <c r="Q2307" i="5"/>
  <c r="S2307" i="5"/>
  <c r="R2308" i="5"/>
  <c r="P2308" i="5"/>
  <c r="Q2308" i="5"/>
  <c r="S2308" i="5"/>
  <c r="R2309" i="5"/>
  <c r="P2309" i="5"/>
  <c r="Q2309" i="5"/>
  <c r="S2309" i="5"/>
  <c r="R2310" i="5"/>
  <c r="P2310" i="5"/>
  <c r="Q2310" i="5"/>
  <c r="S2310" i="5"/>
  <c r="P2311" i="5"/>
  <c r="Q2311" i="5"/>
  <c r="P2312" i="5"/>
  <c r="Q2312" i="5"/>
  <c r="S2312" i="5"/>
  <c r="P2313" i="5"/>
  <c r="Q2313" i="5"/>
  <c r="S2313" i="5"/>
  <c r="P2314" i="5"/>
  <c r="Q2314" i="5"/>
  <c r="S2314" i="5"/>
  <c r="R2315" i="5"/>
  <c r="P2315" i="5"/>
  <c r="Q2315" i="5"/>
  <c r="S2315" i="5"/>
  <c r="R2316" i="5"/>
  <c r="P2316" i="5"/>
  <c r="Q2316" i="5"/>
  <c r="S2316" i="5"/>
  <c r="R2317" i="5"/>
  <c r="P2317" i="5"/>
  <c r="Q2317" i="5"/>
  <c r="S2317" i="5"/>
  <c r="P2318" i="5"/>
  <c r="Q2318" i="5"/>
  <c r="P2319" i="5"/>
  <c r="Q2319" i="5"/>
  <c r="S2319" i="5"/>
  <c r="P2320" i="5"/>
  <c r="Q2320" i="5"/>
  <c r="S2320" i="5"/>
  <c r="P2321" i="5"/>
  <c r="Q2321" i="5"/>
  <c r="R2321" i="5"/>
  <c r="S2321" i="5"/>
  <c r="R2322" i="5"/>
  <c r="P2322" i="5"/>
  <c r="Q2322" i="5"/>
  <c r="S2322" i="5"/>
  <c r="R2323" i="5"/>
  <c r="P2323" i="5"/>
  <c r="Q2323" i="5"/>
  <c r="S2323" i="5"/>
  <c r="R2324" i="5"/>
  <c r="P2324" i="5"/>
  <c r="Q2324" i="5"/>
  <c r="P2325" i="5"/>
  <c r="Q2325" i="5"/>
  <c r="S2325" i="5"/>
  <c r="P2326" i="5"/>
  <c r="Q2326" i="5"/>
  <c r="S2326" i="5"/>
  <c r="R2327" i="5"/>
  <c r="P2327" i="5"/>
  <c r="Q2327" i="5"/>
  <c r="S2327" i="5"/>
  <c r="R2328" i="5"/>
  <c r="P2328" i="5"/>
  <c r="Q2328" i="5"/>
  <c r="S2328" i="5"/>
  <c r="P2329" i="5"/>
  <c r="Q2329" i="5"/>
  <c r="R2329" i="5"/>
  <c r="S2329" i="5"/>
  <c r="R2330" i="5"/>
  <c r="P2330" i="5"/>
  <c r="Q2330" i="5"/>
  <c r="P2331" i="5"/>
  <c r="Q2331" i="5"/>
  <c r="S2331" i="5"/>
  <c r="P2332" i="5"/>
  <c r="Q2332" i="5"/>
  <c r="S2332" i="5"/>
  <c r="R2333" i="5"/>
  <c r="P2333" i="5"/>
  <c r="Q2333" i="5"/>
  <c r="S2333" i="5"/>
  <c r="R2334" i="5"/>
  <c r="P2334" i="5"/>
  <c r="Q2334" i="5"/>
  <c r="S2334" i="5"/>
  <c r="R2335" i="5"/>
  <c r="P2335" i="5"/>
  <c r="Q2335" i="5"/>
  <c r="S2335" i="5"/>
  <c r="R2336" i="5"/>
  <c r="P2336" i="5"/>
  <c r="Q2336" i="5"/>
  <c r="P2337" i="5"/>
  <c r="Q2337" i="5"/>
  <c r="S2337" i="5"/>
  <c r="P2338" i="5"/>
  <c r="Q2338" i="5"/>
  <c r="S2338" i="5"/>
  <c r="R2339" i="5"/>
  <c r="P2339" i="5"/>
  <c r="Q2339" i="5"/>
  <c r="S2339" i="5"/>
  <c r="R2340" i="5"/>
  <c r="P2340" i="5"/>
  <c r="Q2340" i="5"/>
  <c r="S2340" i="5"/>
  <c r="R2341" i="5"/>
  <c r="P2341" i="5"/>
  <c r="Q2341" i="5"/>
  <c r="S2341" i="5"/>
  <c r="P2342" i="5"/>
  <c r="Q2342" i="5"/>
  <c r="P2343" i="5"/>
  <c r="Q2343" i="5"/>
  <c r="S2343" i="5"/>
  <c r="R2344" i="5"/>
  <c r="P2344" i="5"/>
  <c r="Q2344" i="5"/>
  <c r="S2344" i="5"/>
  <c r="P2345" i="5"/>
  <c r="Q2345" i="5"/>
  <c r="R2345" i="5"/>
  <c r="S2345" i="5"/>
  <c r="R2346" i="5"/>
  <c r="P2346" i="5"/>
  <c r="Q2346" i="5"/>
  <c r="S2346" i="5"/>
  <c r="P2347" i="5"/>
  <c r="Q2347" i="5"/>
  <c r="R2348" i="5"/>
  <c r="P2348" i="5"/>
  <c r="Q2348" i="5"/>
  <c r="S2348" i="5"/>
  <c r="R2349" i="5"/>
  <c r="P2349" i="5"/>
  <c r="Q2349" i="5"/>
  <c r="S2349" i="5"/>
  <c r="R2350" i="5"/>
  <c r="P2350" i="5"/>
  <c r="Q2350" i="5"/>
  <c r="S2350" i="5"/>
  <c r="R2351" i="5"/>
  <c r="P2351" i="5"/>
  <c r="Q2351" i="5"/>
  <c r="S2351" i="5"/>
  <c r="Q2352" i="5"/>
  <c r="P2353" i="5"/>
  <c r="Q2353" i="5"/>
  <c r="R2353" i="5"/>
  <c r="S2353" i="5"/>
  <c r="R2354" i="5"/>
  <c r="P2354" i="5"/>
  <c r="Q2354" i="5"/>
  <c r="S2354" i="5"/>
  <c r="R2355" i="5"/>
  <c r="P2355" i="5"/>
  <c r="Q2355" i="5"/>
  <c r="S2355" i="5"/>
  <c r="R2356" i="5"/>
  <c r="P2356" i="5"/>
  <c r="Q2356" i="5"/>
  <c r="S2356" i="5"/>
  <c r="P2357" i="5"/>
  <c r="Q2357" i="5"/>
  <c r="P2358" i="5"/>
  <c r="Q2358" i="5"/>
  <c r="S2358" i="5"/>
  <c r="R2359" i="5"/>
  <c r="P2359" i="5"/>
  <c r="Q2359" i="5"/>
  <c r="S2359" i="5"/>
  <c r="R2360" i="5"/>
  <c r="P2360" i="5"/>
  <c r="Q2360" i="5"/>
  <c r="S2360" i="5"/>
  <c r="P2361" i="5"/>
  <c r="Q2361" i="5"/>
  <c r="R2361" i="5"/>
  <c r="S2361" i="5"/>
  <c r="R2362" i="5"/>
  <c r="P2362" i="5"/>
  <c r="Q2362" i="5"/>
  <c r="S2362" i="5"/>
  <c r="R2363" i="5"/>
  <c r="P2363" i="5"/>
  <c r="Q2363" i="5"/>
  <c r="R2364" i="5"/>
  <c r="P2364" i="5"/>
  <c r="Q2364" i="5"/>
  <c r="S2364" i="5"/>
  <c r="R2365" i="5"/>
  <c r="P2365" i="5"/>
  <c r="Q2365" i="5"/>
  <c r="S2365" i="5"/>
  <c r="Q2366" i="5"/>
  <c r="S2366" i="5"/>
  <c r="Q2367" i="5"/>
  <c r="S2367" i="5"/>
  <c r="R2368" i="5"/>
  <c r="P2368" i="5"/>
  <c r="Q2368" i="5"/>
  <c r="S2368" i="5"/>
  <c r="P2369" i="5"/>
  <c r="Q2369" i="5"/>
  <c r="R2369" i="5"/>
  <c r="S2369" i="5"/>
  <c r="R2370" i="5"/>
  <c r="P2370" i="5"/>
  <c r="Q2370" i="5"/>
  <c r="S2370" i="5"/>
  <c r="Q2371" i="5"/>
  <c r="Q2372" i="5"/>
  <c r="S2372" i="5"/>
  <c r="R2373" i="5"/>
  <c r="P2373" i="5"/>
  <c r="Q2373" i="5"/>
  <c r="S2373" i="5"/>
  <c r="R2374" i="5"/>
  <c r="P2374" i="5"/>
  <c r="Q2374" i="5"/>
  <c r="S2374" i="5"/>
  <c r="R2375" i="5"/>
  <c r="P2375" i="5"/>
  <c r="Q2375" i="5"/>
  <c r="S2375" i="5"/>
  <c r="P2376" i="5"/>
  <c r="Q2376" i="5"/>
  <c r="R2376" i="5"/>
  <c r="S2376" i="5"/>
  <c r="R2377" i="5"/>
  <c r="P2377" i="5"/>
  <c r="Q2377" i="5"/>
  <c r="S2377" i="5"/>
  <c r="P2378" i="5"/>
  <c r="Q2378" i="5"/>
  <c r="P2379" i="5"/>
  <c r="Q2379" i="5"/>
  <c r="S2379" i="5"/>
  <c r="P2380" i="5"/>
  <c r="Q2380" i="5"/>
  <c r="S2380" i="5"/>
  <c r="P2381" i="5"/>
  <c r="Q2381" i="5"/>
  <c r="R2381" i="5"/>
  <c r="S2381" i="5"/>
  <c r="R2382" i="5"/>
  <c r="P2382" i="5"/>
  <c r="Q2382" i="5"/>
  <c r="S2382" i="5"/>
  <c r="R2383" i="5"/>
  <c r="P2383" i="5"/>
  <c r="Q2383" i="5"/>
  <c r="S2383" i="5"/>
  <c r="R2384" i="5"/>
  <c r="P2384" i="5"/>
  <c r="Q2384" i="5"/>
  <c r="P2385" i="5"/>
  <c r="Q2385" i="5"/>
  <c r="S2385" i="5"/>
  <c r="P2386" i="5"/>
  <c r="Q2386" i="5"/>
  <c r="S2386" i="5"/>
  <c r="P2387" i="5"/>
  <c r="Q2387" i="5"/>
  <c r="S2387" i="5"/>
  <c r="R2388" i="5"/>
  <c r="P2388" i="5"/>
  <c r="Q2388" i="5"/>
  <c r="S2388" i="5"/>
  <c r="R2389" i="5"/>
  <c r="P2389" i="5"/>
  <c r="Q2389" i="5"/>
  <c r="S2389" i="5"/>
  <c r="R2390" i="5"/>
  <c r="P2390" i="5"/>
  <c r="Q2390" i="5"/>
  <c r="S2390" i="5"/>
  <c r="P2391" i="5"/>
  <c r="Q2391" i="5"/>
  <c r="P2392" i="5"/>
  <c r="Q2392" i="5"/>
  <c r="S2392" i="5"/>
  <c r="R2393" i="5"/>
  <c r="P2393" i="5"/>
  <c r="Q2393" i="5"/>
  <c r="S2393" i="5"/>
  <c r="R2394" i="5"/>
  <c r="P2394" i="5"/>
  <c r="Q2394" i="5"/>
  <c r="S2394" i="5"/>
  <c r="R2395" i="5"/>
  <c r="P2395" i="5"/>
  <c r="Q2395" i="5"/>
  <c r="S2395" i="5"/>
  <c r="R2396" i="5"/>
  <c r="P2396" i="5"/>
  <c r="Q2396" i="5"/>
  <c r="S2396" i="5"/>
  <c r="P2397" i="5"/>
  <c r="Q2397" i="5"/>
  <c r="R2398" i="5"/>
  <c r="P2398" i="5"/>
  <c r="Q2398" i="5"/>
  <c r="S2398" i="5"/>
  <c r="R2399" i="5"/>
  <c r="P2399" i="5"/>
  <c r="Q2399" i="5"/>
  <c r="S2399" i="5"/>
  <c r="R2400" i="5"/>
  <c r="P2400" i="5"/>
  <c r="Q2400" i="5"/>
  <c r="S2400" i="5"/>
  <c r="P2401" i="5"/>
  <c r="Q2401" i="5"/>
  <c r="R2402" i="5"/>
  <c r="P2402" i="5"/>
  <c r="Q2402" i="5"/>
  <c r="S2402" i="5"/>
  <c r="R2403" i="5"/>
  <c r="P2403" i="5"/>
  <c r="Q2403" i="5"/>
  <c r="S2403" i="5"/>
  <c r="R2404" i="5"/>
  <c r="P2404" i="5"/>
  <c r="Q2404" i="5"/>
  <c r="S2404" i="5"/>
  <c r="P2405" i="5"/>
  <c r="Q2405" i="5"/>
  <c r="R2406" i="5"/>
  <c r="P2406" i="5"/>
  <c r="Q2406" i="5"/>
  <c r="S2406" i="5"/>
  <c r="R2407" i="5"/>
  <c r="P2407" i="5"/>
  <c r="Q2407" i="5"/>
  <c r="S2407" i="5"/>
  <c r="P2408" i="5"/>
  <c r="Q2408" i="5"/>
  <c r="R2408" i="5"/>
  <c r="S2408" i="5"/>
  <c r="P2409" i="5"/>
  <c r="Q2409" i="5"/>
  <c r="R2410" i="5"/>
  <c r="P2410" i="5"/>
  <c r="Q2410" i="5"/>
  <c r="S2410" i="5"/>
  <c r="R2411" i="5"/>
  <c r="P2411" i="5"/>
  <c r="Q2411" i="5"/>
  <c r="S2411" i="5"/>
  <c r="R2412" i="5"/>
  <c r="P2412" i="5"/>
  <c r="Q2412" i="5"/>
  <c r="S2412" i="5"/>
  <c r="P2413" i="5"/>
  <c r="Q2413" i="5"/>
  <c r="R2414" i="5"/>
  <c r="P2414" i="5"/>
  <c r="Q2414" i="5"/>
  <c r="S2414" i="5"/>
  <c r="R2415" i="5"/>
  <c r="P2415" i="5"/>
  <c r="Q2415" i="5"/>
  <c r="S2415" i="5"/>
  <c r="R2416" i="5"/>
  <c r="P2416" i="5"/>
  <c r="Q2416" i="5"/>
  <c r="S2416" i="5"/>
  <c r="P2417" i="5"/>
  <c r="Q2417" i="5"/>
  <c r="R2418" i="5"/>
  <c r="P2418" i="5"/>
  <c r="Q2418" i="5"/>
  <c r="S2418" i="5"/>
  <c r="R2419" i="5"/>
  <c r="P2419" i="5"/>
  <c r="Q2419" i="5"/>
  <c r="S2419" i="5"/>
  <c r="R2420" i="5"/>
  <c r="P2420" i="5"/>
  <c r="Q2420" i="5"/>
  <c r="S2420" i="5"/>
  <c r="P2421" i="5"/>
  <c r="Q2421" i="5"/>
  <c r="R2422" i="5"/>
  <c r="P2422" i="5"/>
  <c r="Q2422" i="5"/>
  <c r="S2422" i="5"/>
  <c r="R2423" i="5"/>
  <c r="P2423" i="5"/>
  <c r="Q2423" i="5"/>
  <c r="S2423" i="5"/>
  <c r="P2424" i="5"/>
  <c r="Q2424" i="5"/>
  <c r="R2424" i="5"/>
  <c r="S2424" i="5"/>
  <c r="P2425" i="5"/>
  <c r="Q2425" i="5"/>
  <c r="R2426" i="5"/>
  <c r="P2426" i="5"/>
  <c r="Q2426" i="5"/>
  <c r="S2426" i="5"/>
  <c r="R2427" i="5"/>
  <c r="P2427" i="5"/>
  <c r="Q2427" i="5"/>
  <c r="S2427" i="5"/>
  <c r="R2428" i="5"/>
  <c r="P2428" i="5"/>
  <c r="Q2428" i="5"/>
  <c r="S2428" i="5"/>
  <c r="P2429" i="5"/>
  <c r="Q2429" i="5"/>
  <c r="R2430" i="5"/>
  <c r="P2430" i="5"/>
  <c r="Q2430" i="5"/>
  <c r="S2430" i="5"/>
  <c r="R2431" i="5"/>
  <c r="P2431" i="5"/>
  <c r="Q2431" i="5"/>
  <c r="S2431" i="5"/>
  <c r="R2432" i="5"/>
  <c r="P2432" i="5"/>
  <c r="Q2432" i="5"/>
  <c r="S2432" i="5"/>
  <c r="P2433" i="5"/>
  <c r="Q2433" i="5"/>
  <c r="R2434" i="5"/>
  <c r="P2434" i="5"/>
  <c r="Q2434" i="5"/>
  <c r="S2434" i="5"/>
  <c r="R2435" i="5"/>
  <c r="P2435" i="5"/>
  <c r="Q2435" i="5"/>
  <c r="S2435" i="5"/>
  <c r="R2436" i="5"/>
  <c r="P2436" i="5"/>
  <c r="Q2436" i="5"/>
  <c r="S2436" i="5"/>
  <c r="P2437" i="5"/>
  <c r="Q2437" i="5"/>
  <c r="R2438" i="5"/>
  <c r="P2438" i="5"/>
  <c r="Q2438" i="5"/>
  <c r="S2438" i="5"/>
  <c r="R2439" i="5"/>
  <c r="P2439" i="5"/>
  <c r="Q2439" i="5"/>
  <c r="S2439" i="5"/>
  <c r="P2440" i="5"/>
  <c r="Q2440" i="5"/>
  <c r="R2440" i="5"/>
  <c r="S2440" i="5"/>
  <c r="P2441" i="5"/>
  <c r="Q2441" i="5"/>
  <c r="R2442" i="5"/>
  <c r="P2442" i="5"/>
  <c r="Q2442" i="5"/>
  <c r="S2442" i="5"/>
  <c r="R2443" i="5"/>
  <c r="P2443" i="5"/>
  <c r="Q2443" i="5"/>
  <c r="S2443" i="5"/>
  <c r="R2444" i="5"/>
  <c r="P2444" i="5"/>
  <c r="Q2444" i="5"/>
  <c r="S2444" i="5"/>
  <c r="P2445" i="5"/>
  <c r="Q2445" i="5"/>
  <c r="R2446" i="5"/>
  <c r="P2446" i="5"/>
  <c r="Q2446" i="5"/>
  <c r="S2446" i="5"/>
  <c r="R2447" i="5"/>
  <c r="P2447" i="5"/>
  <c r="Q2447" i="5"/>
  <c r="S2447" i="5"/>
  <c r="R2448" i="5"/>
  <c r="P2448" i="5"/>
  <c r="Q2448" i="5"/>
  <c r="S2448" i="5"/>
  <c r="P2449" i="5"/>
  <c r="Q2449" i="5"/>
  <c r="R2450" i="5"/>
  <c r="P2450" i="5"/>
  <c r="Q2450" i="5"/>
  <c r="S2450" i="5"/>
  <c r="R2451" i="5"/>
  <c r="P2451" i="5"/>
  <c r="Q2451" i="5"/>
  <c r="S2451" i="5"/>
  <c r="R2452" i="5"/>
  <c r="P2452" i="5"/>
  <c r="Q2452" i="5"/>
  <c r="S2452" i="5"/>
  <c r="Q2453" i="5"/>
  <c r="R2454" i="5"/>
  <c r="P2454" i="5"/>
  <c r="Q2454" i="5"/>
  <c r="S2454" i="5"/>
  <c r="R2455" i="5"/>
  <c r="P2455" i="5"/>
  <c r="Q2455" i="5"/>
  <c r="S2455" i="5"/>
  <c r="P2456" i="5"/>
  <c r="Q2456" i="5"/>
  <c r="R2456" i="5"/>
  <c r="S2456" i="5"/>
  <c r="P2457" i="5"/>
  <c r="Q2457" i="5"/>
  <c r="R2458" i="5"/>
  <c r="P2458" i="5"/>
  <c r="Q2458" i="5"/>
  <c r="S2458" i="5"/>
  <c r="R2459" i="5"/>
  <c r="P2459" i="5"/>
  <c r="Q2459" i="5"/>
  <c r="S2459" i="5"/>
  <c r="R2460" i="5"/>
  <c r="P2460" i="5"/>
  <c r="Q2460" i="5"/>
  <c r="S2460" i="5"/>
  <c r="P2461" i="5"/>
  <c r="Q2461" i="5"/>
  <c r="R2462" i="5"/>
  <c r="P2462" i="5"/>
  <c r="Q2462" i="5"/>
  <c r="S2462" i="5"/>
  <c r="R2463" i="5"/>
  <c r="P2463" i="5"/>
  <c r="Q2463" i="5"/>
  <c r="S2463" i="5"/>
  <c r="R2464" i="5"/>
  <c r="P2464" i="5"/>
  <c r="Q2464" i="5"/>
  <c r="S2464" i="5"/>
  <c r="P2465" i="5"/>
  <c r="Q2465" i="5"/>
  <c r="R2466" i="5"/>
  <c r="P2466" i="5"/>
  <c r="Q2466" i="5"/>
  <c r="S2466" i="5"/>
  <c r="R2467" i="5"/>
  <c r="P2467" i="5"/>
  <c r="Q2467" i="5"/>
  <c r="S2467" i="5"/>
  <c r="R2468" i="5"/>
  <c r="P2468" i="5"/>
  <c r="Q2468" i="5"/>
  <c r="S2468" i="5"/>
  <c r="P2469" i="5"/>
  <c r="Q2469" i="5"/>
  <c r="R2470" i="5"/>
  <c r="P2470" i="5"/>
  <c r="Q2470" i="5"/>
  <c r="S2470" i="5"/>
  <c r="R2471" i="5"/>
  <c r="P2471" i="5"/>
  <c r="Q2471" i="5"/>
  <c r="S2471" i="5"/>
  <c r="P2472" i="5"/>
  <c r="Q2472" i="5"/>
  <c r="R2472" i="5"/>
  <c r="S2472" i="5"/>
  <c r="P2473" i="5"/>
  <c r="Q2473" i="5"/>
  <c r="R2474" i="5"/>
  <c r="P2474" i="5"/>
  <c r="Q2474" i="5"/>
  <c r="S2474" i="5"/>
  <c r="R2475" i="5"/>
  <c r="P2475" i="5"/>
  <c r="Q2475" i="5"/>
  <c r="S2475" i="5"/>
  <c r="R2476" i="5"/>
  <c r="P2476" i="5"/>
  <c r="Q2476" i="5"/>
  <c r="S2476" i="5"/>
  <c r="P2477" i="5"/>
  <c r="Q2477" i="5"/>
  <c r="R2478" i="5"/>
  <c r="P2478" i="5"/>
  <c r="Q2478" i="5"/>
  <c r="S2478" i="5"/>
  <c r="R2479" i="5"/>
  <c r="P2479" i="5"/>
  <c r="Q2479" i="5"/>
  <c r="S2479" i="5"/>
  <c r="R2480" i="5"/>
  <c r="P2480" i="5"/>
  <c r="Q2480" i="5"/>
  <c r="S2480" i="5"/>
  <c r="P2481" i="5"/>
  <c r="Q2481" i="5"/>
  <c r="R2482" i="5"/>
  <c r="P2482" i="5"/>
  <c r="Q2482" i="5"/>
  <c r="S2482" i="5"/>
  <c r="R2483" i="5"/>
  <c r="P2483" i="5"/>
  <c r="Q2483" i="5"/>
  <c r="S2483" i="5"/>
  <c r="R2484" i="5"/>
  <c r="P2484" i="5"/>
  <c r="Q2484" i="5"/>
  <c r="S2484" i="5"/>
  <c r="P2485" i="5"/>
  <c r="Q2485" i="5"/>
  <c r="R2486" i="5"/>
  <c r="P2486" i="5"/>
  <c r="Q2486" i="5"/>
  <c r="S2486" i="5"/>
  <c r="R2487" i="5"/>
  <c r="P2487" i="5"/>
  <c r="Q2487" i="5"/>
  <c r="S2487" i="5"/>
  <c r="P2488" i="5"/>
  <c r="Q2488" i="5"/>
  <c r="R2488" i="5"/>
  <c r="S2488" i="5"/>
  <c r="P2489" i="5"/>
  <c r="Q2489" i="5"/>
  <c r="R2490" i="5"/>
  <c r="P2490" i="5"/>
  <c r="Q2490" i="5"/>
  <c r="S2490" i="5"/>
  <c r="R2491" i="5"/>
  <c r="P2491" i="5"/>
  <c r="Q2491" i="5"/>
  <c r="S2491" i="5"/>
  <c r="R2492" i="5"/>
  <c r="P2492" i="5"/>
  <c r="Q2492" i="5"/>
  <c r="S2492" i="5"/>
  <c r="P2493" i="5"/>
  <c r="Q2493" i="5"/>
  <c r="R2494" i="5"/>
  <c r="P2494" i="5"/>
  <c r="Q2494" i="5"/>
  <c r="S2494" i="5"/>
  <c r="R2495" i="5"/>
  <c r="P2495" i="5"/>
  <c r="Q2495" i="5"/>
  <c r="S2495" i="5"/>
  <c r="R2496" i="5"/>
  <c r="P2496" i="5"/>
  <c r="Q2496" i="5"/>
  <c r="S2496" i="5"/>
  <c r="P2497" i="5"/>
  <c r="Q2497" i="5"/>
  <c r="R2498" i="5"/>
  <c r="P2498" i="5"/>
  <c r="Q2498" i="5"/>
  <c r="S2498" i="5"/>
  <c r="R2499" i="5"/>
  <c r="P2499" i="5"/>
  <c r="Q2499" i="5"/>
  <c r="S2499" i="5"/>
  <c r="R2500" i="5"/>
  <c r="P2500" i="5"/>
  <c r="Q2500" i="5"/>
  <c r="S2500" i="5"/>
  <c r="P2501" i="5"/>
  <c r="Q2501" i="5"/>
  <c r="R2502" i="5"/>
  <c r="P2502" i="5"/>
  <c r="Q2502" i="5"/>
  <c r="S2502" i="5"/>
  <c r="R2503" i="5"/>
  <c r="P2503" i="5"/>
  <c r="Q2503" i="5"/>
  <c r="S2503" i="5"/>
  <c r="P2504" i="5"/>
  <c r="Q2504" i="5"/>
  <c r="R2504" i="5"/>
  <c r="S2504" i="5"/>
  <c r="P2505" i="5"/>
  <c r="Q2505" i="5"/>
  <c r="R2506" i="5"/>
  <c r="P2506" i="5"/>
  <c r="Q2506" i="5"/>
  <c r="S2506" i="5"/>
  <c r="R2507" i="5"/>
  <c r="P2507" i="5"/>
  <c r="Q2507" i="5"/>
  <c r="S2507" i="5"/>
  <c r="R2508" i="5"/>
  <c r="P2508" i="5"/>
  <c r="Q2508" i="5"/>
  <c r="S2508" i="5"/>
  <c r="P2509" i="5"/>
  <c r="Q2509" i="5"/>
  <c r="R2510" i="5"/>
  <c r="P2510" i="5"/>
  <c r="Q2510" i="5"/>
  <c r="S2510" i="5"/>
  <c r="R2511" i="5"/>
  <c r="P2511" i="5"/>
  <c r="Q2511" i="5"/>
  <c r="S2511" i="5"/>
  <c r="R2512" i="5"/>
  <c r="P2512" i="5"/>
  <c r="Q2512" i="5"/>
  <c r="S2512" i="5"/>
  <c r="P2513" i="5"/>
  <c r="Q2513" i="5"/>
  <c r="R2514" i="5"/>
  <c r="P2514" i="5"/>
  <c r="Q2514" i="5"/>
  <c r="S2514" i="5"/>
  <c r="R2515" i="5"/>
  <c r="P2515" i="5"/>
  <c r="Q2515" i="5"/>
  <c r="S2515" i="5"/>
  <c r="R2516" i="5"/>
  <c r="P2516" i="5"/>
  <c r="Q2516" i="5"/>
  <c r="S2516" i="5"/>
  <c r="P2517" i="5"/>
  <c r="Q2517" i="5"/>
  <c r="R2518" i="5"/>
  <c r="P2518" i="5"/>
  <c r="Q2518" i="5"/>
  <c r="S2518" i="5"/>
  <c r="R2519" i="5"/>
  <c r="P2519" i="5"/>
  <c r="Q2519" i="5"/>
  <c r="S2519" i="5"/>
  <c r="P2520" i="5"/>
  <c r="Q2520" i="5"/>
  <c r="R2520" i="5"/>
  <c r="S2520" i="5"/>
  <c r="P2521" i="5"/>
  <c r="Q2521" i="5"/>
  <c r="R2522" i="5"/>
  <c r="P2522" i="5"/>
  <c r="Q2522" i="5"/>
  <c r="S2522" i="5"/>
  <c r="R2523" i="5"/>
  <c r="P2523" i="5"/>
  <c r="Q2523" i="5"/>
  <c r="S2523" i="5"/>
  <c r="R2524" i="5"/>
  <c r="P2524" i="5"/>
  <c r="Q2524" i="5"/>
  <c r="S2524" i="5"/>
  <c r="P2525" i="5"/>
  <c r="Q2525" i="5"/>
  <c r="R2526" i="5"/>
  <c r="P2526" i="5"/>
  <c r="Q2526" i="5"/>
  <c r="S2526" i="5"/>
  <c r="R2527" i="5"/>
  <c r="P2527" i="5"/>
  <c r="Q2527" i="5"/>
  <c r="S2527" i="5"/>
  <c r="R2528" i="5"/>
  <c r="P2528" i="5"/>
  <c r="Q2528" i="5"/>
  <c r="S2528" i="5"/>
  <c r="P2529" i="5"/>
  <c r="Q2529" i="5"/>
  <c r="R2530" i="5"/>
  <c r="P2530" i="5"/>
  <c r="Q2530" i="5"/>
  <c r="S2530" i="5"/>
  <c r="R2531" i="5"/>
  <c r="P2531" i="5"/>
  <c r="Q2531" i="5"/>
  <c r="S2531" i="5"/>
  <c r="R2532" i="5"/>
  <c r="P2532" i="5"/>
  <c r="Q2532" i="5"/>
  <c r="S2532" i="5"/>
  <c r="P2533" i="5"/>
  <c r="Q2533" i="5"/>
  <c r="R2534" i="5"/>
  <c r="P2534" i="5"/>
  <c r="Q2534" i="5"/>
  <c r="S2534" i="5"/>
  <c r="R2535" i="5"/>
  <c r="P2535" i="5"/>
  <c r="Q2535" i="5"/>
  <c r="S2535" i="5"/>
  <c r="P2536" i="5"/>
  <c r="Q2536" i="5"/>
  <c r="R2536" i="5"/>
  <c r="S2536" i="5"/>
  <c r="P2537" i="5"/>
  <c r="Q2537" i="5"/>
  <c r="R2538" i="5"/>
  <c r="P2538" i="5"/>
  <c r="Q2538" i="5"/>
  <c r="S2538" i="5"/>
  <c r="R2539" i="5"/>
  <c r="P2539" i="5"/>
  <c r="Q2539" i="5"/>
  <c r="S2539" i="5"/>
  <c r="R2540" i="5"/>
  <c r="P2540" i="5"/>
  <c r="Q2540" i="5"/>
  <c r="S2540" i="5"/>
  <c r="P2541" i="5"/>
  <c r="Q2541" i="5"/>
  <c r="R2542" i="5"/>
  <c r="P2542" i="5"/>
  <c r="Q2542" i="5"/>
  <c r="S2542" i="5"/>
  <c r="R2543" i="5"/>
  <c r="P2543" i="5"/>
  <c r="Q2543" i="5"/>
  <c r="S2543" i="5"/>
  <c r="R2544" i="5"/>
  <c r="P2544" i="5"/>
  <c r="Q2544" i="5"/>
  <c r="S2544" i="5"/>
  <c r="P2545" i="5"/>
  <c r="Q2545" i="5"/>
  <c r="R2546" i="5"/>
  <c r="P2546" i="5"/>
  <c r="Q2546" i="5"/>
  <c r="S2546" i="5"/>
  <c r="R2547" i="5"/>
  <c r="P2547" i="5"/>
  <c r="Q2547" i="5"/>
  <c r="S2547" i="5"/>
  <c r="R2548" i="5"/>
  <c r="P2548" i="5"/>
  <c r="Q2548" i="5"/>
  <c r="S2548" i="5"/>
  <c r="P2549" i="5"/>
  <c r="Q2549" i="5"/>
  <c r="R2550" i="5"/>
  <c r="P2550" i="5"/>
  <c r="Q2550" i="5"/>
  <c r="S2550" i="5"/>
  <c r="R2551" i="5"/>
  <c r="P2551" i="5"/>
  <c r="Q2551" i="5"/>
  <c r="S2551" i="5"/>
  <c r="P2552" i="5"/>
  <c r="Q2552" i="5"/>
  <c r="R2552" i="5"/>
  <c r="S2552" i="5"/>
  <c r="P2553" i="5"/>
  <c r="Q2553" i="5"/>
  <c r="R2554" i="5"/>
  <c r="P2554" i="5"/>
  <c r="Q2554" i="5"/>
  <c r="S2554" i="5"/>
  <c r="R2555" i="5"/>
  <c r="P2555" i="5"/>
  <c r="Q2555" i="5"/>
  <c r="S2555" i="5"/>
  <c r="R2556" i="5"/>
  <c r="P2556" i="5"/>
  <c r="Q2556" i="5"/>
  <c r="S2556" i="5"/>
  <c r="P2557" i="5"/>
  <c r="Q2557" i="5"/>
  <c r="R2558" i="5"/>
  <c r="P2558" i="5"/>
  <c r="Q2558" i="5"/>
  <c r="S2558" i="5"/>
  <c r="R2559" i="5"/>
  <c r="P2559" i="5"/>
  <c r="Q2559" i="5"/>
  <c r="S2559" i="5"/>
  <c r="R2560" i="5"/>
  <c r="P2560" i="5"/>
  <c r="Q2560" i="5"/>
  <c r="S2560" i="5"/>
  <c r="P2561" i="5"/>
  <c r="Q2561" i="5"/>
  <c r="R2562" i="5"/>
  <c r="P2562" i="5"/>
  <c r="Q2562" i="5"/>
  <c r="S2562" i="5"/>
  <c r="R2563" i="5"/>
  <c r="P2563" i="5"/>
  <c r="Q2563" i="5"/>
  <c r="S2563" i="5"/>
  <c r="R2564" i="5"/>
  <c r="P2564" i="5"/>
  <c r="Q2564" i="5"/>
  <c r="S2564" i="5"/>
  <c r="P2565" i="5"/>
  <c r="Q2565" i="5"/>
  <c r="R2566" i="5"/>
  <c r="P2566" i="5"/>
  <c r="Q2566" i="5"/>
  <c r="S2566" i="5"/>
  <c r="R2567" i="5"/>
  <c r="P2567" i="5"/>
  <c r="Q2567" i="5"/>
  <c r="S2567" i="5"/>
  <c r="P2568" i="5"/>
  <c r="Q2568" i="5"/>
  <c r="R2568" i="5"/>
  <c r="S2568" i="5"/>
  <c r="P2569" i="5"/>
  <c r="Q2569" i="5"/>
  <c r="R2570" i="5"/>
  <c r="P2570" i="5"/>
  <c r="Q2570" i="5"/>
  <c r="S2570" i="5"/>
  <c r="R2571" i="5"/>
  <c r="P2571" i="5"/>
  <c r="Q2571" i="5"/>
  <c r="S2571" i="5"/>
  <c r="R2572" i="5"/>
  <c r="P2572" i="5"/>
  <c r="Q2572" i="5"/>
  <c r="S2572" i="5"/>
  <c r="P2573" i="5"/>
  <c r="Q2573" i="5"/>
  <c r="Q2574" i="5"/>
  <c r="S2574" i="5"/>
  <c r="Q2575" i="5"/>
  <c r="S2575" i="5"/>
  <c r="R2576" i="5"/>
  <c r="P2576" i="5"/>
  <c r="Q2576" i="5"/>
  <c r="S2576" i="5"/>
  <c r="R2577" i="5"/>
  <c r="P2577" i="5"/>
  <c r="Q2577" i="5"/>
  <c r="S2577" i="5"/>
  <c r="R2578" i="5"/>
  <c r="P2578" i="5"/>
  <c r="Q2578" i="5"/>
  <c r="S2578" i="5"/>
  <c r="R2579" i="5"/>
  <c r="P2579" i="5"/>
  <c r="Q2579" i="5"/>
  <c r="S2579" i="5"/>
  <c r="R2580" i="5"/>
  <c r="P2580" i="5"/>
  <c r="Q2580" i="5"/>
  <c r="S2580" i="5"/>
  <c r="P2581" i="5"/>
  <c r="Q2581" i="5"/>
  <c r="Q2582" i="5"/>
  <c r="S2582" i="5"/>
  <c r="Q2583" i="5"/>
  <c r="S2583" i="5"/>
  <c r="P2584" i="5"/>
  <c r="Q2584" i="5"/>
  <c r="R2584" i="5"/>
  <c r="S2584" i="5"/>
  <c r="R2585" i="5"/>
  <c r="P2585" i="5"/>
  <c r="Q2585" i="5"/>
  <c r="S2585" i="5"/>
  <c r="R2586" i="5"/>
  <c r="P2586" i="5"/>
  <c r="Q2586" i="5"/>
  <c r="S2586" i="5"/>
  <c r="R2587" i="5"/>
  <c r="P2587" i="5"/>
  <c r="Q2587" i="5"/>
  <c r="S2587" i="5"/>
  <c r="R2588" i="5"/>
  <c r="P2588" i="5"/>
  <c r="Q2588" i="5"/>
  <c r="S2588" i="5"/>
  <c r="P2589" i="5"/>
  <c r="Q2589" i="5"/>
  <c r="Q2590" i="5"/>
  <c r="S2590" i="5"/>
  <c r="Q2591" i="5"/>
  <c r="S2591" i="5"/>
  <c r="R2592" i="5"/>
  <c r="P2592" i="5"/>
  <c r="Q2592" i="5"/>
  <c r="S2592" i="5"/>
  <c r="R2593" i="5"/>
  <c r="P2593" i="5"/>
  <c r="Q2593" i="5"/>
  <c r="S2593" i="5"/>
  <c r="R2594" i="5"/>
  <c r="P2594" i="5"/>
  <c r="Q2594" i="5"/>
  <c r="S2594" i="5"/>
  <c r="R2595" i="5"/>
  <c r="P2595" i="5"/>
  <c r="Q2595" i="5"/>
  <c r="S2595" i="5"/>
  <c r="R2596" i="5"/>
  <c r="P2596" i="5"/>
  <c r="Q2596" i="5"/>
  <c r="S2596" i="5"/>
  <c r="P2597" i="5"/>
  <c r="Q2597" i="5"/>
  <c r="R2598" i="5"/>
  <c r="P2598" i="5"/>
  <c r="Q2598" i="5"/>
  <c r="S2598" i="5"/>
  <c r="R2599" i="5"/>
  <c r="P2599" i="5"/>
  <c r="Q2599" i="5"/>
  <c r="S2599" i="5"/>
  <c r="P2600" i="5"/>
  <c r="Q2600" i="5"/>
  <c r="R2600" i="5"/>
  <c r="S2600" i="5"/>
  <c r="P2601" i="5"/>
  <c r="Q2601" i="5"/>
  <c r="R2602" i="5"/>
  <c r="P2602" i="5"/>
  <c r="Q2602" i="5"/>
  <c r="S2602" i="5"/>
  <c r="R2603" i="5"/>
  <c r="P2603" i="5"/>
  <c r="Q2603" i="5"/>
  <c r="S2603" i="5"/>
  <c r="R2604" i="5"/>
  <c r="P2604" i="5"/>
  <c r="Q2604" i="5"/>
  <c r="S2604" i="5"/>
  <c r="P2605" i="5"/>
  <c r="Q2605" i="5"/>
  <c r="R2606" i="5"/>
  <c r="P2606" i="5"/>
  <c r="Q2606" i="5"/>
  <c r="S2606" i="5"/>
  <c r="R2607" i="5"/>
  <c r="P2607" i="5"/>
  <c r="Q2607" i="5"/>
  <c r="S2607" i="5"/>
  <c r="R2608" i="5"/>
  <c r="P2608" i="5"/>
  <c r="Q2608" i="5"/>
  <c r="S2608" i="5"/>
  <c r="P2609" i="5"/>
  <c r="Q2609" i="5"/>
  <c r="R2610" i="5"/>
  <c r="P2610" i="5"/>
  <c r="Q2610" i="5"/>
  <c r="S2610" i="5"/>
  <c r="R2611" i="5"/>
  <c r="P2611" i="5"/>
  <c r="Q2611" i="5"/>
  <c r="S2611" i="5"/>
  <c r="R2612" i="5"/>
  <c r="P2612" i="5"/>
  <c r="Q2612" i="5"/>
  <c r="S2612" i="5"/>
  <c r="P2613" i="5"/>
  <c r="Q2613" i="5"/>
  <c r="R2614" i="5"/>
  <c r="P2614" i="5"/>
  <c r="Q2614" i="5"/>
  <c r="S2614" i="5"/>
  <c r="R2615" i="5"/>
  <c r="P2615" i="5"/>
  <c r="Q2615" i="5"/>
  <c r="S2615" i="5"/>
  <c r="R2616" i="5"/>
  <c r="P2616" i="5"/>
  <c r="Q2616" i="5"/>
  <c r="S2616" i="5"/>
  <c r="P2617" i="5"/>
  <c r="Q2617" i="5"/>
  <c r="R2618" i="5"/>
  <c r="P2618" i="5"/>
  <c r="Q2618" i="5"/>
  <c r="S2618" i="5"/>
  <c r="R2619" i="5"/>
  <c r="P2619" i="5"/>
  <c r="Q2619" i="5"/>
  <c r="S2619" i="5"/>
  <c r="R2620" i="5"/>
  <c r="P2620" i="5"/>
  <c r="Q2620" i="5"/>
  <c r="S2620" i="5"/>
  <c r="P2621" i="5"/>
  <c r="Q2621" i="5"/>
  <c r="R2622" i="5"/>
  <c r="P2622" i="5"/>
  <c r="Q2622" i="5"/>
  <c r="S2622" i="5"/>
  <c r="R2623" i="5"/>
  <c r="P2623" i="5"/>
  <c r="Q2623" i="5"/>
  <c r="S2623" i="5"/>
  <c r="R2624" i="5"/>
  <c r="P2624" i="5"/>
  <c r="Q2624" i="5"/>
  <c r="S2624" i="5"/>
  <c r="P2625" i="5"/>
  <c r="Q2625" i="5"/>
  <c r="R2626" i="5"/>
  <c r="P2626" i="5"/>
  <c r="Q2626" i="5"/>
  <c r="S2626" i="5"/>
  <c r="R2627" i="5"/>
  <c r="P2627" i="5"/>
  <c r="Q2627" i="5"/>
  <c r="S2627" i="5"/>
  <c r="R2628" i="5"/>
  <c r="P2628" i="5"/>
  <c r="Q2628" i="5"/>
  <c r="S2628" i="5"/>
  <c r="P2629" i="5"/>
  <c r="Q2629" i="5"/>
  <c r="R2630" i="5"/>
  <c r="P2630" i="5"/>
  <c r="Q2630" i="5"/>
  <c r="S2630" i="5"/>
  <c r="R2631" i="5"/>
  <c r="P2631" i="5"/>
  <c r="Q2631" i="5"/>
  <c r="S2631" i="5"/>
  <c r="R2632" i="5"/>
  <c r="P2632" i="5"/>
  <c r="Q2632" i="5"/>
  <c r="S2632" i="5"/>
  <c r="P2633" i="5"/>
  <c r="Q2633" i="5"/>
  <c r="R2634" i="5"/>
  <c r="P2634" i="5"/>
  <c r="Q2634" i="5"/>
  <c r="S2634" i="5"/>
  <c r="R2635" i="5"/>
  <c r="P2635" i="5"/>
  <c r="Q2635" i="5"/>
  <c r="S2635" i="5"/>
  <c r="P2636" i="5"/>
  <c r="Q2636" i="5"/>
  <c r="R2636" i="5"/>
  <c r="S2636" i="5"/>
  <c r="P2637" i="5"/>
  <c r="Q2637" i="5"/>
  <c r="R2638" i="5"/>
  <c r="P2638" i="5"/>
  <c r="Q2638" i="5"/>
  <c r="S2638" i="5"/>
  <c r="R2639" i="5"/>
  <c r="P2639" i="5"/>
  <c r="Q2639" i="5"/>
  <c r="S2639" i="5"/>
  <c r="R2640" i="5"/>
  <c r="P2640" i="5"/>
  <c r="Q2640" i="5"/>
  <c r="S2640" i="5"/>
  <c r="P2641" i="5"/>
  <c r="Q2641" i="5"/>
  <c r="R2642" i="5"/>
  <c r="P2642" i="5"/>
  <c r="Q2642" i="5"/>
  <c r="S2642" i="5"/>
  <c r="R2643" i="5"/>
  <c r="P2643" i="5"/>
  <c r="Q2643" i="5"/>
  <c r="S2643" i="5"/>
  <c r="R2644" i="5"/>
  <c r="P2644" i="5"/>
  <c r="Q2644" i="5"/>
  <c r="S2644" i="5"/>
  <c r="P2645" i="5"/>
  <c r="Q2645" i="5"/>
  <c r="R2646" i="5"/>
  <c r="P2646" i="5"/>
  <c r="Q2646" i="5"/>
  <c r="S2646" i="5"/>
  <c r="R2647" i="5"/>
  <c r="P2647" i="5"/>
  <c r="Q2647" i="5"/>
  <c r="S2647" i="5"/>
  <c r="R2648" i="5"/>
  <c r="P2648" i="5"/>
  <c r="Q2648" i="5"/>
  <c r="S2648" i="5"/>
  <c r="P2649" i="5"/>
  <c r="Q2649" i="5"/>
  <c r="R2650" i="5"/>
  <c r="P2650" i="5"/>
  <c r="Q2650" i="5"/>
  <c r="S2650" i="5"/>
  <c r="R2651" i="5"/>
  <c r="P2651" i="5"/>
  <c r="Q2651" i="5"/>
  <c r="S2651" i="5"/>
  <c r="R2652" i="5"/>
  <c r="P2652" i="5"/>
  <c r="Q2652" i="5"/>
  <c r="S2652" i="5"/>
  <c r="P2653" i="5"/>
  <c r="Q2653" i="5"/>
  <c r="R2654" i="5"/>
  <c r="P2654" i="5"/>
  <c r="Q2654" i="5"/>
  <c r="S2654" i="5"/>
  <c r="R2655" i="5"/>
  <c r="P2655" i="5"/>
  <c r="Q2655" i="5"/>
  <c r="S2655" i="5"/>
  <c r="R2656" i="5"/>
  <c r="P2656" i="5"/>
  <c r="Q2656" i="5"/>
  <c r="S2656" i="5"/>
  <c r="Q2657" i="5"/>
  <c r="R2658" i="5"/>
  <c r="P2658" i="5"/>
  <c r="Q2658" i="5"/>
  <c r="S2658" i="5"/>
  <c r="R2659" i="5"/>
  <c r="P2659" i="5"/>
  <c r="Q2659" i="5"/>
  <c r="S2659" i="5"/>
  <c r="R2660" i="5"/>
  <c r="P2660" i="5"/>
  <c r="Q2660" i="5"/>
  <c r="S2660" i="5"/>
  <c r="R2661" i="5"/>
  <c r="P2661" i="5"/>
  <c r="Q2661" i="5"/>
  <c r="S2661" i="5"/>
  <c r="R2662" i="5"/>
  <c r="P2662" i="5"/>
  <c r="Q2662" i="5"/>
  <c r="S2662" i="5"/>
  <c r="Q2663" i="5"/>
  <c r="R2664" i="5"/>
  <c r="P2664" i="5"/>
  <c r="Q2664" i="5"/>
  <c r="S2664" i="5"/>
  <c r="R2665" i="5"/>
  <c r="P2665" i="5"/>
  <c r="Q2665" i="5"/>
  <c r="S2665" i="5"/>
  <c r="R2666" i="5"/>
  <c r="P2666" i="5"/>
  <c r="Q2666" i="5"/>
  <c r="S2666" i="5"/>
  <c r="R2667" i="5"/>
  <c r="P2667" i="5"/>
  <c r="Q2667" i="5"/>
  <c r="S2667" i="5"/>
  <c r="P2668" i="5"/>
  <c r="Q2668" i="5"/>
  <c r="R2668" i="5"/>
  <c r="S2668" i="5"/>
  <c r="Q2669" i="5"/>
  <c r="R2670" i="5"/>
  <c r="P2670" i="5"/>
  <c r="Q2670" i="5"/>
  <c r="S2670" i="5"/>
  <c r="R2671" i="5"/>
  <c r="P2671" i="5"/>
  <c r="Q2671" i="5"/>
  <c r="S2671" i="5"/>
  <c r="R2672" i="5"/>
  <c r="P2672" i="5"/>
  <c r="Q2672" i="5"/>
  <c r="S2672" i="5"/>
  <c r="R2673" i="5"/>
  <c r="P2673" i="5"/>
  <c r="Q2673" i="5"/>
  <c r="S2673" i="5"/>
  <c r="R2674" i="5"/>
  <c r="P2674" i="5"/>
  <c r="Q2674" i="5"/>
  <c r="S2674" i="5"/>
  <c r="Q2675" i="5"/>
  <c r="R2676" i="5"/>
  <c r="P2676" i="5"/>
  <c r="Q2676" i="5"/>
  <c r="S2676" i="5"/>
  <c r="R2677" i="5"/>
  <c r="P2677" i="5"/>
  <c r="Q2677" i="5"/>
  <c r="S2677" i="5"/>
  <c r="R2678" i="5"/>
  <c r="P2678" i="5"/>
  <c r="Q2678" i="5"/>
  <c r="S2678" i="5"/>
  <c r="R2679" i="5"/>
  <c r="P2679" i="5"/>
  <c r="Q2679" i="5"/>
  <c r="S2679" i="5"/>
  <c r="R2680" i="5"/>
  <c r="P2680" i="5"/>
  <c r="Q2680" i="5"/>
  <c r="S2680" i="5"/>
  <c r="Q2681" i="5"/>
  <c r="P2682" i="5"/>
  <c r="Q2682" i="5"/>
  <c r="R2682" i="5"/>
  <c r="S2682" i="5"/>
  <c r="R2683" i="5"/>
  <c r="P2683" i="5"/>
  <c r="Q2683" i="5"/>
  <c r="S2683" i="5"/>
  <c r="R2684" i="5"/>
  <c r="P2684" i="5"/>
  <c r="Q2684" i="5"/>
  <c r="S2684" i="5"/>
  <c r="R2685" i="5"/>
  <c r="P2685" i="5"/>
  <c r="Q2685" i="5"/>
  <c r="S2685" i="5"/>
  <c r="R2686" i="5"/>
  <c r="P2686" i="5"/>
  <c r="Q2686" i="5"/>
  <c r="S2686" i="5"/>
  <c r="Q2687" i="5"/>
  <c r="R2688" i="5"/>
  <c r="P2688" i="5"/>
  <c r="Q2688" i="5"/>
  <c r="S2688" i="5"/>
  <c r="R2689" i="5"/>
  <c r="P2689" i="5"/>
  <c r="Q2689" i="5"/>
  <c r="S2689" i="5"/>
  <c r="R2690" i="5"/>
  <c r="P2690" i="5"/>
  <c r="Q2690" i="5"/>
  <c r="S2690" i="5"/>
  <c r="P2691" i="5"/>
  <c r="Q2691" i="5"/>
  <c r="R2691" i="5"/>
  <c r="S2691" i="5"/>
  <c r="R2692" i="5"/>
  <c r="P2692" i="5"/>
  <c r="Q2692" i="5"/>
  <c r="S2692" i="5"/>
  <c r="Q2693" i="5"/>
  <c r="P2694" i="5"/>
  <c r="Q2694" i="5"/>
  <c r="R2694" i="5"/>
  <c r="S2694" i="5"/>
  <c r="R2695" i="5"/>
  <c r="P2695" i="5"/>
  <c r="Q2695" i="5"/>
  <c r="S2695" i="5"/>
  <c r="R2696" i="5"/>
  <c r="P2696" i="5"/>
  <c r="Q2696" i="5"/>
  <c r="S2696" i="5"/>
  <c r="R2697" i="5"/>
  <c r="P2697" i="5"/>
  <c r="Q2697" i="5"/>
  <c r="S2697" i="5"/>
  <c r="P2698" i="5"/>
  <c r="Q2698" i="5"/>
  <c r="R2698" i="5"/>
  <c r="S2698" i="5"/>
  <c r="Q2699" i="5"/>
  <c r="R2700" i="5"/>
  <c r="P2700" i="5"/>
  <c r="Q2700" i="5"/>
  <c r="S2700" i="5"/>
  <c r="R2701" i="5"/>
  <c r="P2701" i="5"/>
  <c r="Q2701" i="5"/>
  <c r="S2701" i="5"/>
  <c r="R2702" i="5"/>
  <c r="P2702" i="5"/>
  <c r="Q2702" i="5"/>
  <c r="S2702" i="5"/>
  <c r="R2703" i="5"/>
  <c r="P2703" i="5"/>
  <c r="Q2703" i="5"/>
  <c r="S2703" i="5"/>
  <c r="R2704" i="5"/>
  <c r="P2704" i="5"/>
  <c r="Q2704" i="5"/>
  <c r="S2704" i="5"/>
  <c r="Q2705" i="5"/>
  <c r="P2706" i="5"/>
  <c r="Q2706" i="5"/>
  <c r="R2706" i="5"/>
  <c r="S2706" i="5"/>
  <c r="R2707" i="5"/>
  <c r="P2707" i="5"/>
  <c r="Q2707" i="5"/>
  <c r="S2707" i="5"/>
  <c r="R2708" i="5"/>
  <c r="P2708" i="5"/>
  <c r="Q2708" i="5"/>
  <c r="S2708" i="5"/>
  <c r="R2709" i="5"/>
  <c r="P2709" i="5"/>
  <c r="Q2709" i="5"/>
  <c r="S2709" i="5"/>
  <c r="R2710" i="5"/>
  <c r="P2710" i="5"/>
  <c r="Q2710" i="5"/>
  <c r="S2710" i="5"/>
  <c r="Q2711" i="5"/>
  <c r="R2712" i="5"/>
  <c r="P2712" i="5"/>
  <c r="Q2712" i="5"/>
  <c r="S2712" i="5"/>
  <c r="R2713" i="5"/>
  <c r="P2713" i="5"/>
  <c r="Q2713" i="5"/>
  <c r="S2713" i="5"/>
  <c r="R2714" i="5"/>
  <c r="P2714" i="5"/>
  <c r="Q2714" i="5"/>
  <c r="S2714" i="5"/>
  <c r="R2715" i="5"/>
  <c r="P2715" i="5"/>
  <c r="Q2715" i="5"/>
  <c r="S2715" i="5"/>
  <c r="R2716" i="5"/>
  <c r="P2716" i="5"/>
  <c r="Q2716" i="5"/>
  <c r="S2716" i="5"/>
  <c r="P2717" i="5"/>
  <c r="Q2717" i="5"/>
  <c r="R2718" i="5"/>
  <c r="P2718" i="5"/>
  <c r="Q2718" i="5"/>
  <c r="S2718" i="5"/>
  <c r="R2719" i="5"/>
  <c r="P2719" i="5"/>
  <c r="Q2719" i="5"/>
  <c r="S2719" i="5"/>
  <c r="P2720" i="5"/>
  <c r="Q2720" i="5"/>
  <c r="R2720" i="5"/>
  <c r="S2720" i="5"/>
  <c r="P2721" i="5"/>
  <c r="Q2721" i="5"/>
  <c r="R2722" i="5"/>
  <c r="P2722" i="5"/>
  <c r="Q2722" i="5"/>
  <c r="S2722" i="5"/>
  <c r="R2723" i="5"/>
  <c r="P2723" i="5"/>
  <c r="Q2723" i="5"/>
  <c r="S2723" i="5"/>
  <c r="R2724" i="5"/>
  <c r="P2724" i="5"/>
  <c r="Q2724" i="5"/>
  <c r="S2724" i="5"/>
  <c r="P2725" i="5"/>
  <c r="Q2725" i="5"/>
  <c r="R2726" i="5"/>
  <c r="P2726" i="5"/>
  <c r="Q2726" i="5"/>
  <c r="S2726" i="5"/>
  <c r="R2727" i="5"/>
  <c r="P2727" i="5"/>
  <c r="Q2727" i="5"/>
  <c r="S2727" i="5"/>
  <c r="R2728" i="5"/>
  <c r="P2728" i="5"/>
  <c r="Q2728" i="5"/>
  <c r="S2728" i="5"/>
  <c r="P2729" i="5"/>
  <c r="Q2729" i="5"/>
  <c r="R2730" i="5"/>
  <c r="P2730" i="5"/>
  <c r="Q2730" i="5"/>
  <c r="S2730" i="5"/>
  <c r="R2731" i="5"/>
  <c r="P2731" i="5"/>
  <c r="Q2731" i="5"/>
  <c r="S2731" i="5"/>
  <c r="R2732" i="5"/>
  <c r="P2732" i="5"/>
  <c r="Q2732" i="5"/>
  <c r="S2732" i="5"/>
  <c r="P2733" i="5"/>
  <c r="Q2733" i="5"/>
  <c r="P2734" i="5"/>
  <c r="Q2734" i="5"/>
  <c r="R2734" i="5"/>
  <c r="S2734" i="5"/>
  <c r="R2735" i="5"/>
  <c r="P2735" i="5"/>
  <c r="Q2735" i="5"/>
  <c r="S2735" i="5"/>
  <c r="R2736" i="5"/>
  <c r="P2736" i="5"/>
  <c r="Q2736" i="5"/>
  <c r="S2736" i="5"/>
  <c r="P2737" i="5"/>
  <c r="Q2737" i="5"/>
  <c r="R2738" i="5"/>
  <c r="P2738" i="5"/>
  <c r="Q2738" i="5"/>
  <c r="S2738" i="5"/>
  <c r="P2739" i="5"/>
  <c r="Q2739" i="5"/>
  <c r="R2739" i="5"/>
  <c r="S2739" i="5"/>
  <c r="R2740" i="5"/>
  <c r="P2740" i="5"/>
  <c r="Q2740" i="5"/>
  <c r="S2740" i="5"/>
  <c r="P2741" i="5"/>
  <c r="Q2741" i="5"/>
  <c r="R2742" i="5"/>
  <c r="P2742" i="5"/>
  <c r="Q2742" i="5"/>
  <c r="S2742" i="5"/>
  <c r="R2743" i="5"/>
  <c r="P2743" i="5"/>
  <c r="Q2743" i="5"/>
  <c r="S2743" i="5"/>
  <c r="R2744" i="5"/>
  <c r="P2744" i="5"/>
  <c r="Q2744" i="5"/>
  <c r="S2744" i="5"/>
  <c r="P2745" i="5"/>
  <c r="Q2745" i="5"/>
  <c r="P2746" i="5"/>
  <c r="Q2746" i="5"/>
  <c r="R2746" i="5"/>
  <c r="S2746" i="5"/>
  <c r="R2747" i="5"/>
  <c r="P2747" i="5"/>
  <c r="Q2747" i="5"/>
  <c r="S2747" i="5"/>
  <c r="R2748" i="5"/>
  <c r="P2748" i="5"/>
  <c r="Q2748" i="5"/>
  <c r="S2748" i="5"/>
  <c r="P2749" i="5"/>
  <c r="Q2749" i="5"/>
  <c r="R2750" i="5"/>
  <c r="P2750" i="5"/>
  <c r="Q2750" i="5"/>
  <c r="S2750" i="5"/>
  <c r="R2751" i="5"/>
  <c r="P2751" i="5"/>
  <c r="Q2751" i="5"/>
  <c r="S2751" i="5"/>
  <c r="R2752" i="5"/>
  <c r="P2752" i="5"/>
  <c r="Q2752" i="5"/>
  <c r="S2752" i="5"/>
  <c r="P2753" i="5"/>
  <c r="Q2753" i="5"/>
  <c r="R2754" i="5"/>
  <c r="P2754" i="5"/>
  <c r="Q2754" i="5"/>
  <c r="S2754" i="5"/>
  <c r="R2755" i="5"/>
  <c r="P2755" i="5"/>
  <c r="Q2755" i="5"/>
  <c r="S2755" i="5"/>
  <c r="R2756" i="5"/>
  <c r="P2756" i="5"/>
  <c r="Q2756" i="5"/>
  <c r="S2756" i="5"/>
  <c r="P2757" i="5"/>
  <c r="Q2757" i="5"/>
  <c r="P2758" i="5"/>
  <c r="Q2758" i="5"/>
  <c r="R2758" i="5"/>
  <c r="S2758" i="5"/>
  <c r="R2759" i="5"/>
  <c r="P2759" i="5"/>
  <c r="Q2759" i="5"/>
  <c r="S2759" i="5"/>
  <c r="P2760" i="5"/>
  <c r="Q2760" i="5"/>
  <c r="R2760" i="5"/>
  <c r="S2760" i="5"/>
  <c r="P2761" i="5"/>
  <c r="Q2761" i="5"/>
  <c r="R2762" i="5"/>
  <c r="P2762" i="5"/>
  <c r="Q2762" i="5"/>
  <c r="S2762" i="5"/>
  <c r="P2763" i="5"/>
  <c r="Q2763" i="5"/>
  <c r="R2763" i="5"/>
  <c r="S2763" i="5"/>
  <c r="R2764" i="5"/>
  <c r="P2764" i="5"/>
  <c r="Q2764" i="5"/>
  <c r="S2764" i="5"/>
  <c r="P2765" i="5"/>
  <c r="Q2765" i="5"/>
  <c r="R2766" i="5"/>
  <c r="P2766" i="5"/>
  <c r="Q2766" i="5"/>
  <c r="S2766" i="5"/>
  <c r="R2767" i="5"/>
  <c r="P2767" i="5"/>
  <c r="Q2767" i="5"/>
  <c r="S2767" i="5"/>
  <c r="R2768" i="5"/>
  <c r="P2768" i="5"/>
  <c r="Q2768" i="5"/>
  <c r="S2768" i="5"/>
  <c r="P2769" i="5"/>
  <c r="Q2769" i="5"/>
  <c r="R2770" i="5"/>
  <c r="P2770" i="5"/>
  <c r="Q2770" i="5"/>
  <c r="S2770" i="5"/>
  <c r="R2771" i="5"/>
  <c r="P2771" i="5"/>
  <c r="Q2771" i="5"/>
  <c r="S2771" i="5"/>
  <c r="P2772" i="5"/>
  <c r="Q2772" i="5"/>
  <c r="R2772" i="5"/>
  <c r="S2772" i="5"/>
  <c r="P2773" i="5"/>
  <c r="Q2773" i="5"/>
  <c r="P2774" i="5"/>
  <c r="Q2774" i="5"/>
  <c r="S2774" i="5"/>
  <c r="R2775" i="5"/>
  <c r="P2775" i="5"/>
  <c r="Q2775" i="5"/>
  <c r="S2775" i="5"/>
  <c r="R2776" i="5"/>
  <c r="P2776" i="5"/>
  <c r="Q2776" i="5"/>
  <c r="S2776" i="5"/>
  <c r="R2777" i="5"/>
  <c r="P2777" i="5"/>
  <c r="Q2777" i="5"/>
  <c r="S2777" i="5"/>
  <c r="P2778" i="5"/>
  <c r="Q2778" i="5"/>
  <c r="P2779" i="5"/>
  <c r="Q2779" i="5"/>
  <c r="S2779" i="5"/>
  <c r="P2780" i="5"/>
  <c r="Q2780" i="5"/>
  <c r="S2780" i="5"/>
  <c r="P2781" i="5"/>
  <c r="Q2781" i="5"/>
  <c r="S2781" i="5"/>
  <c r="P2782" i="5"/>
  <c r="Q2782" i="5"/>
  <c r="S2782" i="5"/>
  <c r="P2783" i="5"/>
  <c r="Q2783" i="5"/>
  <c r="S2783" i="5"/>
  <c r="P2784" i="5"/>
  <c r="Q2784" i="5"/>
  <c r="S2784" i="5"/>
  <c r="R2785" i="5"/>
  <c r="P2785" i="5"/>
  <c r="Q2785" i="5"/>
  <c r="S2785" i="5"/>
  <c r="R2786" i="5"/>
  <c r="P2786" i="5"/>
  <c r="Q2786" i="5"/>
  <c r="S2786" i="5"/>
  <c r="R2787" i="5"/>
  <c r="P2787" i="5"/>
  <c r="Q2787" i="5"/>
  <c r="S2787" i="5"/>
  <c r="P2788" i="5"/>
  <c r="Q2788" i="5"/>
  <c r="P2789" i="5"/>
  <c r="Q2789" i="5"/>
  <c r="S2789" i="5"/>
  <c r="P2790" i="5"/>
  <c r="Q2790" i="5"/>
  <c r="S2790" i="5"/>
  <c r="R2791" i="5"/>
  <c r="P2791" i="5"/>
  <c r="Q2791" i="5"/>
  <c r="S2791" i="5"/>
  <c r="R2792" i="5"/>
  <c r="P2792" i="5"/>
  <c r="Q2792" i="5"/>
  <c r="S2792" i="5"/>
  <c r="R2793" i="5"/>
  <c r="P2793" i="5"/>
  <c r="Q2793" i="5"/>
  <c r="S2793" i="5"/>
  <c r="P2794" i="5"/>
  <c r="Q2794" i="5"/>
  <c r="P2795" i="5"/>
  <c r="Q2795" i="5"/>
  <c r="S2795" i="5"/>
  <c r="R2796" i="5"/>
  <c r="P2796" i="5"/>
  <c r="Q2796" i="5"/>
  <c r="S2796" i="5"/>
  <c r="R2797" i="5"/>
  <c r="P2797" i="5"/>
  <c r="Q2797" i="5"/>
  <c r="S2797" i="5"/>
  <c r="P2798" i="5"/>
  <c r="Q2798" i="5"/>
  <c r="R2798" i="5"/>
  <c r="S2798" i="5"/>
  <c r="P2799" i="5"/>
  <c r="Q2799" i="5"/>
  <c r="P2800" i="5"/>
  <c r="Q2800" i="5"/>
  <c r="S2800" i="5"/>
  <c r="R2801" i="5"/>
  <c r="P2801" i="5"/>
  <c r="Q2801" i="5"/>
  <c r="S2801" i="5"/>
  <c r="R2802" i="5"/>
  <c r="P2802" i="5"/>
  <c r="Q2802" i="5"/>
  <c r="S2802" i="5"/>
  <c r="P2803" i="5"/>
  <c r="Q2803" i="5"/>
  <c r="R2803" i="5"/>
  <c r="S2803" i="5"/>
  <c r="P2804" i="5"/>
  <c r="Q2804" i="5"/>
  <c r="P2805" i="5"/>
  <c r="Q2805" i="5"/>
  <c r="S2805" i="5"/>
  <c r="P2806" i="5"/>
  <c r="Q2806" i="5"/>
  <c r="S2806" i="5"/>
  <c r="P2807" i="5"/>
  <c r="Q2807" i="5"/>
  <c r="S2807" i="5"/>
  <c r="P2808" i="5"/>
  <c r="Q2808" i="5"/>
  <c r="S2808" i="5"/>
  <c r="P2809" i="5"/>
  <c r="Q2809" i="5"/>
  <c r="S2809" i="5"/>
  <c r="P2810" i="5"/>
  <c r="Q2810" i="5"/>
  <c r="S2810" i="5"/>
  <c r="R2811" i="5"/>
  <c r="P2811" i="5"/>
  <c r="Q2811" i="5"/>
  <c r="S2811" i="5"/>
  <c r="P2812" i="5"/>
  <c r="Q2812" i="5"/>
  <c r="R2812" i="5"/>
  <c r="S2812" i="5"/>
  <c r="R2813" i="5"/>
  <c r="P2813" i="5"/>
  <c r="Q2813" i="5"/>
  <c r="S2813" i="5"/>
  <c r="P2814" i="5"/>
  <c r="Q2814" i="5"/>
  <c r="P2815" i="5"/>
  <c r="Q2815" i="5"/>
  <c r="S2815" i="5"/>
  <c r="R2816" i="5"/>
  <c r="P2816" i="5"/>
  <c r="Q2816" i="5"/>
  <c r="S2816" i="5"/>
  <c r="R2817" i="5"/>
  <c r="P2817" i="5"/>
  <c r="Q2817" i="5"/>
  <c r="S2817" i="5"/>
  <c r="P2818" i="5"/>
  <c r="Q2818" i="5"/>
  <c r="R2818" i="5"/>
  <c r="S2818" i="5"/>
  <c r="P2819" i="5"/>
  <c r="Q2819" i="5"/>
  <c r="P2820" i="5"/>
  <c r="Q2820" i="5"/>
  <c r="S2820" i="5"/>
  <c r="R2821" i="5"/>
  <c r="P2821" i="5"/>
  <c r="Q2821" i="5"/>
  <c r="S2821" i="5"/>
  <c r="R2822" i="5"/>
  <c r="P2822" i="5"/>
  <c r="Q2822" i="5"/>
  <c r="S2822" i="5"/>
  <c r="R2823" i="5"/>
  <c r="P2823" i="5"/>
  <c r="Q2823" i="5"/>
  <c r="S2823" i="5"/>
  <c r="P2824" i="5"/>
  <c r="Q2824" i="5"/>
  <c r="P2825" i="5"/>
  <c r="Q2825" i="5"/>
  <c r="S2825" i="5"/>
  <c r="P2826" i="5"/>
  <c r="Q2826" i="5"/>
  <c r="R2826" i="5"/>
  <c r="S2826" i="5"/>
  <c r="R2827" i="5"/>
  <c r="P2827" i="5"/>
  <c r="Q2827" i="5"/>
  <c r="S2827" i="5"/>
  <c r="R2828" i="5"/>
  <c r="P2828" i="5"/>
  <c r="Q2828" i="5"/>
  <c r="S2828" i="5"/>
  <c r="P2829" i="5"/>
  <c r="Q2829" i="5"/>
  <c r="P2830" i="5"/>
  <c r="Q2830" i="5"/>
  <c r="S2830" i="5"/>
  <c r="R2831" i="5"/>
  <c r="P2831" i="5"/>
  <c r="Q2831" i="5"/>
  <c r="S2831" i="5"/>
  <c r="R2832" i="5"/>
  <c r="P2832" i="5"/>
  <c r="Q2832" i="5"/>
  <c r="S2832" i="5"/>
  <c r="R2833" i="5"/>
  <c r="P2833" i="5"/>
  <c r="Q2833" i="5"/>
  <c r="S2833" i="5"/>
  <c r="R2834" i="5"/>
  <c r="P2834" i="5"/>
  <c r="Q2834" i="5"/>
  <c r="S2834" i="5"/>
  <c r="R2835" i="5"/>
  <c r="P2835" i="5"/>
  <c r="Q2835" i="5"/>
  <c r="S2835" i="5"/>
  <c r="P2836" i="5"/>
  <c r="Q2836" i="5"/>
  <c r="P2837" i="5"/>
  <c r="Q2837" i="5"/>
  <c r="S2837" i="5"/>
  <c r="R2838" i="5"/>
  <c r="P2838" i="5"/>
  <c r="Q2838" i="5"/>
  <c r="S2838" i="5"/>
  <c r="R2839" i="5"/>
  <c r="P2839" i="5"/>
  <c r="Q2839" i="5"/>
  <c r="S2839" i="5"/>
  <c r="R2840" i="5"/>
  <c r="P2840" i="5"/>
  <c r="Q2840" i="5"/>
  <c r="S2840" i="5"/>
  <c r="P2841" i="5"/>
  <c r="Q2841" i="5"/>
  <c r="R2842" i="5"/>
  <c r="P2842" i="5"/>
  <c r="Q2842" i="5"/>
  <c r="S2842" i="5"/>
  <c r="R2843" i="5"/>
  <c r="P2843" i="5"/>
  <c r="Q2843" i="5"/>
  <c r="S2843" i="5"/>
  <c r="R2844" i="5"/>
  <c r="P2844" i="5"/>
  <c r="Q2844" i="5"/>
  <c r="S2844" i="5"/>
  <c r="R2845" i="5"/>
  <c r="P2845" i="5"/>
  <c r="Q2845" i="5"/>
  <c r="S2845" i="5"/>
  <c r="P2846" i="5"/>
  <c r="Q2846" i="5"/>
  <c r="R2847" i="5"/>
  <c r="P2847" i="5"/>
  <c r="Q2847" i="5"/>
  <c r="S2847" i="5"/>
  <c r="P2848" i="5"/>
  <c r="Q2848" i="5"/>
  <c r="R2848" i="5"/>
  <c r="S2848" i="5"/>
  <c r="R2849" i="5"/>
  <c r="P2849" i="5"/>
  <c r="Q2849" i="5"/>
  <c r="S2849" i="5"/>
  <c r="P2850" i="5"/>
  <c r="Q2850" i="5"/>
  <c r="R2850" i="5"/>
  <c r="S2850" i="5"/>
  <c r="P2851" i="5"/>
  <c r="Q2851" i="5"/>
  <c r="R2852" i="5"/>
  <c r="P2852" i="5"/>
  <c r="Q2852" i="5"/>
  <c r="S2852" i="5"/>
  <c r="R2853" i="5"/>
  <c r="P2853" i="5"/>
  <c r="Q2853" i="5"/>
  <c r="S2853" i="5"/>
  <c r="R2854" i="5"/>
  <c r="P2854" i="5"/>
  <c r="Q2854" i="5"/>
  <c r="S2854" i="5"/>
  <c r="R2855" i="5"/>
  <c r="P2855" i="5"/>
  <c r="Q2855" i="5"/>
  <c r="S2855" i="5"/>
  <c r="P2856" i="5"/>
  <c r="Q2856" i="5"/>
  <c r="R2857" i="5"/>
  <c r="P2857" i="5"/>
  <c r="Q2857" i="5"/>
  <c r="S2857" i="5"/>
  <c r="R2858" i="5"/>
  <c r="P2858" i="5"/>
  <c r="Q2858" i="5"/>
  <c r="S2858" i="5"/>
  <c r="P2859" i="5"/>
  <c r="Q2859" i="5"/>
  <c r="R2859" i="5"/>
  <c r="S2859" i="5"/>
  <c r="R2860" i="5"/>
  <c r="P2860" i="5"/>
  <c r="Q2860" i="5"/>
  <c r="S2860" i="5"/>
  <c r="P2861" i="5"/>
  <c r="Q2861" i="5"/>
  <c r="P2862" i="5"/>
  <c r="Q2862" i="5"/>
  <c r="R2862" i="5"/>
  <c r="S2862" i="5"/>
  <c r="R2863" i="5"/>
  <c r="P2863" i="5"/>
  <c r="Q2863" i="5"/>
  <c r="S2863" i="5"/>
  <c r="R2864" i="5"/>
  <c r="P2864" i="5"/>
  <c r="Q2864" i="5"/>
  <c r="S2864" i="5"/>
  <c r="R2865" i="5"/>
  <c r="P2865" i="5"/>
  <c r="Q2865" i="5"/>
  <c r="S2865" i="5"/>
  <c r="P2866" i="5"/>
  <c r="Q2866" i="5"/>
  <c r="P2867" i="5"/>
  <c r="Q2867" i="5"/>
  <c r="R2867" i="5"/>
  <c r="S2867" i="5"/>
  <c r="R2868" i="5"/>
  <c r="P2868" i="5"/>
  <c r="Q2868" i="5"/>
  <c r="S2868" i="5"/>
  <c r="R2869" i="5"/>
  <c r="P2869" i="5"/>
  <c r="Q2869" i="5"/>
  <c r="S2869" i="5"/>
  <c r="R2870" i="5"/>
  <c r="P2870" i="5"/>
  <c r="Q2870" i="5"/>
  <c r="S2870" i="5"/>
  <c r="P2871" i="5"/>
  <c r="Q2871" i="5"/>
  <c r="P2872" i="5"/>
  <c r="Q2872" i="5"/>
  <c r="S2872" i="5"/>
  <c r="R2873" i="5"/>
  <c r="P2873" i="5"/>
  <c r="Q2873" i="5"/>
  <c r="S2873" i="5"/>
  <c r="R2874" i="5"/>
  <c r="P2874" i="5"/>
  <c r="Q2874" i="5"/>
  <c r="S2874" i="5"/>
  <c r="R2875" i="5"/>
  <c r="P2875" i="5"/>
  <c r="Q2875" i="5"/>
  <c r="S2875" i="5"/>
  <c r="P2876" i="5"/>
  <c r="Q2876" i="5"/>
  <c r="P2877" i="5"/>
  <c r="Q2877" i="5"/>
  <c r="S2877" i="5"/>
  <c r="R2878" i="5"/>
  <c r="P2878" i="5"/>
  <c r="Q2878" i="5"/>
  <c r="S2878" i="5"/>
  <c r="R2879" i="5"/>
  <c r="P2879" i="5"/>
  <c r="Q2879" i="5"/>
  <c r="S2879" i="5"/>
  <c r="R2880" i="5"/>
  <c r="P2880" i="5"/>
  <c r="Q2880" i="5"/>
  <c r="S2880" i="5"/>
  <c r="R2881" i="5"/>
  <c r="P2881" i="5"/>
  <c r="Q2881" i="5"/>
  <c r="S2881" i="5"/>
  <c r="R2882" i="5"/>
  <c r="P2882" i="5"/>
  <c r="Q2882" i="5"/>
  <c r="S2882" i="5"/>
  <c r="P2883" i="5"/>
  <c r="Q2883" i="5"/>
  <c r="R2884" i="5"/>
  <c r="P2884" i="5"/>
  <c r="Q2884" i="5"/>
  <c r="S2884" i="5"/>
  <c r="R2885" i="5"/>
  <c r="P2885" i="5"/>
  <c r="Q2885" i="5"/>
  <c r="S2885" i="5"/>
  <c r="R2886" i="5"/>
  <c r="P2886" i="5"/>
  <c r="Q2886" i="5"/>
  <c r="S2886" i="5"/>
  <c r="R2887" i="5"/>
  <c r="P2887" i="5"/>
  <c r="Q2887" i="5"/>
  <c r="S2887" i="5"/>
  <c r="P2888" i="5"/>
  <c r="Q2888" i="5"/>
  <c r="R2889" i="5"/>
  <c r="P2889" i="5"/>
  <c r="Q2889" i="5"/>
  <c r="S2889" i="5"/>
  <c r="P2890" i="5"/>
  <c r="Q2890" i="5"/>
  <c r="R2890" i="5"/>
  <c r="S2890" i="5"/>
  <c r="R2891" i="5"/>
  <c r="P2891" i="5"/>
  <c r="Q2891" i="5"/>
  <c r="S2891" i="5"/>
  <c r="R2892" i="5"/>
  <c r="P2892" i="5"/>
  <c r="Q2892" i="5"/>
  <c r="S2892" i="5"/>
  <c r="P2893" i="5"/>
  <c r="Q2893" i="5"/>
  <c r="P2894" i="5"/>
  <c r="Q2894" i="5"/>
  <c r="S2894" i="5"/>
  <c r="R2895" i="5"/>
  <c r="P2895" i="5"/>
  <c r="Q2895" i="5"/>
  <c r="S2895" i="5"/>
  <c r="R2896" i="5"/>
  <c r="P2896" i="5"/>
  <c r="Q2896" i="5"/>
  <c r="S2896" i="5"/>
  <c r="R2897" i="5"/>
  <c r="P2897" i="5"/>
  <c r="Q2897" i="5"/>
  <c r="S2897" i="5"/>
  <c r="P2898" i="5"/>
  <c r="Q2898" i="5"/>
  <c r="P2899" i="5"/>
  <c r="Q2899" i="5"/>
  <c r="S2899" i="5"/>
  <c r="R2900" i="5"/>
  <c r="P2900" i="5"/>
  <c r="Q2900" i="5"/>
  <c r="S2900" i="5"/>
  <c r="R2901" i="5"/>
  <c r="P2901" i="5"/>
  <c r="Q2901" i="5"/>
  <c r="S2901" i="5"/>
  <c r="P2902" i="5"/>
  <c r="Q2902" i="5"/>
  <c r="R2902" i="5"/>
  <c r="S2902" i="5"/>
  <c r="R2903" i="5"/>
  <c r="P2903" i="5"/>
  <c r="Q2903" i="5"/>
  <c r="S2903" i="5"/>
  <c r="R2904" i="5"/>
  <c r="P2904" i="5"/>
  <c r="Q2904" i="5"/>
  <c r="S2904" i="5"/>
  <c r="R2905" i="5"/>
  <c r="P2905" i="5"/>
  <c r="Q2905" i="5"/>
  <c r="S2905" i="5"/>
  <c r="P2906" i="5"/>
  <c r="Q2906" i="5"/>
  <c r="P2907" i="5"/>
  <c r="Q2907" i="5"/>
  <c r="S2907" i="5"/>
  <c r="R2908" i="5"/>
  <c r="P2908" i="5"/>
  <c r="Q2908" i="5"/>
  <c r="S2908" i="5"/>
  <c r="R2909" i="5"/>
  <c r="P2909" i="5"/>
  <c r="Q2909" i="5"/>
  <c r="S2909" i="5"/>
  <c r="P2910" i="5"/>
  <c r="Q2910" i="5"/>
  <c r="R2910" i="5"/>
  <c r="S2910" i="5"/>
  <c r="R2911" i="5"/>
  <c r="P2911" i="5"/>
  <c r="Q2911" i="5"/>
  <c r="S2911" i="5"/>
  <c r="P2912" i="5"/>
  <c r="Q2912" i="5"/>
  <c r="R2912" i="5"/>
  <c r="S2912" i="5"/>
  <c r="R2913" i="5"/>
  <c r="P2913" i="5"/>
  <c r="Q2913" i="5"/>
  <c r="S2913" i="5"/>
  <c r="P2914" i="5"/>
  <c r="Q2914" i="5"/>
  <c r="P2915" i="5"/>
  <c r="Q2915" i="5"/>
  <c r="S2915" i="5"/>
  <c r="P2916" i="5"/>
  <c r="Q2916" i="5"/>
  <c r="R2916" i="5"/>
  <c r="S2916" i="5"/>
  <c r="R2917" i="5"/>
  <c r="P2917" i="5"/>
  <c r="Q2917" i="5"/>
  <c r="S2917" i="5"/>
  <c r="R2918" i="5"/>
  <c r="P2918" i="5"/>
  <c r="Q2918" i="5"/>
  <c r="S2918" i="5"/>
  <c r="R2919" i="5"/>
  <c r="P2919" i="5"/>
  <c r="Q2919" i="5"/>
  <c r="S2919" i="5"/>
  <c r="R2920" i="5"/>
  <c r="P2920" i="5"/>
  <c r="Q2920" i="5"/>
  <c r="S2920" i="5"/>
  <c r="R2921" i="5"/>
  <c r="P2921" i="5"/>
  <c r="Q2921" i="5"/>
  <c r="S2921" i="5"/>
  <c r="P2922" i="5"/>
  <c r="Q2922" i="5"/>
  <c r="P2923" i="5"/>
  <c r="Q2923" i="5"/>
  <c r="S2923" i="5"/>
  <c r="P2924" i="5"/>
  <c r="Q2924" i="5"/>
  <c r="R2924" i="5"/>
  <c r="S2924" i="5"/>
  <c r="R2925" i="5"/>
  <c r="P2925" i="5"/>
  <c r="Q2925" i="5"/>
  <c r="S2925" i="5"/>
  <c r="R2926" i="5"/>
  <c r="P2926" i="5"/>
  <c r="Q2926" i="5"/>
  <c r="S2926" i="5"/>
  <c r="R2927" i="5"/>
  <c r="P2927" i="5"/>
  <c r="Q2927" i="5"/>
  <c r="S2927" i="5"/>
  <c r="P2928" i="5"/>
  <c r="Q2928" i="5"/>
  <c r="R2928" i="5"/>
  <c r="S2928" i="5"/>
  <c r="R2929" i="5"/>
  <c r="P2929" i="5"/>
  <c r="Q2929" i="5"/>
  <c r="S2929" i="5"/>
  <c r="P2930" i="5"/>
  <c r="Q2930" i="5"/>
  <c r="P2931" i="5"/>
  <c r="Q2931" i="5"/>
  <c r="S2931" i="5"/>
  <c r="R2932" i="5"/>
  <c r="P2932" i="5"/>
  <c r="Q2932" i="5"/>
  <c r="S2932" i="5"/>
  <c r="R2933" i="5"/>
  <c r="P2933" i="5"/>
  <c r="Q2933" i="5"/>
  <c r="S2933" i="5"/>
  <c r="R2934" i="5"/>
  <c r="P2934" i="5"/>
  <c r="Q2934" i="5"/>
  <c r="S2934" i="5"/>
  <c r="R2935" i="5"/>
  <c r="P2935" i="5"/>
  <c r="Q2935" i="5"/>
  <c r="S2935" i="5"/>
  <c r="R2936" i="5"/>
  <c r="P2936" i="5"/>
  <c r="Q2936" i="5"/>
  <c r="S2936" i="5"/>
  <c r="R2937" i="5"/>
  <c r="P2937" i="5"/>
  <c r="Q2937" i="5"/>
  <c r="S2937" i="5"/>
  <c r="P2938" i="5"/>
  <c r="Q2938" i="5"/>
  <c r="P2939" i="5"/>
  <c r="Q2939" i="5"/>
  <c r="S2939" i="5"/>
  <c r="R2940" i="5"/>
  <c r="P2940" i="5"/>
  <c r="Q2940" i="5"/>
  <c r="S2940" i="5"/>
  <c r="R2941" i="5"/>
  <c r="P2941" i="5"/>
  <c r="Q2941" i="5"/>
  <c r="S2941" i="5"/>
  <c r="P2942" i="5"/>
  <c r="Q2942" i="5"/>
  <c r="R2942" i="5"/>
  <c r="S2942" i="5"/>
  <c r="P2943" i="5"/>
  <c r="Q2943" i="5"/>
  <c r="R2944" i="5"/>
  <c r="P2944" i="5"/>
  <c r="Q2944" i="5"/>
  <c r="S2944" i="5"/>
  <c r="R2945" i="5"/>
  <c r="P2945" i="5"/>
  <c r="Q2945" i="5"/>
  <c r="S2945" i="5"/>
  <c r="R2946" i="5"/>
  <c r="P2946" i="5"/>
  <c r="Q2946" i="5"/>
  <c r="S2946" i="5"/>
  <c r="R2947" i="5"/>
  <c r="P2947" i="5"/>
  <c r="Q2947" i="5"/>
  <c r="S2947" i="5"/>
  <c r="P2948" i="5"/>
  <c r="Q2948" i="5"/>
  <c r="R2949" i="5"/>
  <c r="P2949" i="5"/>
  <c r="Q2949" i="5"/>
  <c r="S2949" i="5"/>
  <c r="R2950" i="5"/>
  <c r="P2950" i="5"/>
  <c r="Q2950" i="5"/>
  <c r="S2950" i="5"/>
  <c r="R2951" i="5"/>
  <c r="P2951" i="5"/>
  <c r="Q2951" i="5"/>
  <c r="S2951" i="5"/>
  <c r="P2952" i="5"/>
  <c r="Q2952" i="5"/>
  <c r="R2952" i="5"/>
  <c r="S2952" i="5"/>
  <c r="P2953" i="5"/>
  <c r="Q2953" i="5"/>
  <c r="R2954" i="5"/>
  <c r="P2954" i="5"/>
  <c r="Q2954" i="5"/>
  <c r="S2954" i="5"/>
  <c r="P2955" i="5"/>
  <c r="Q2955" i="5"/>
  <c r="R2955" i="5"/>
  <c r="S2955" i="5"/>
  <c r="R2956" i="5"/>
  <c r="P2956" i="5"/>
  <c r="Q2956" i="5"/>
  <c r="S2956" i="5"/>
  <c r="R2957" i="5"/>
  <c r="P2957" i="5"/>
  <c r="Q2957" i="5"/>
  <c r="S2957" i="5"/>
  <c r="P2958" i="5"/>
  <c r="Q2958" i="5"/>
  <c r="P2959" i="5"/>
  <c r="Q2959" i="5"/>
  <c r="S2959" i="5"/>
  <c r="R2960" i="5"/>
  <c r="P2960" i="5"/>
  <c r="Q2960" i="5"/>
  <c r="S2960" i="5"/>
  <c r="R2961" i="5"/>
  <c r="P2961" i="5"/>
  <c r="Q2961" i="5"/>
  <c r="S2961" i="5"/>
  <c r="R2962" i="5"/>
  <c r="P2962" i="5"/>
  <c r="Q2962" i="5"/>
  <c r="S2962" i="5"/>
  <c r="P2963" i="5"/>
  <c r="Q2963" i="5"/>
  <c r="P2964" i="5"/>
  <c r="Q2964" i="5"/>
  <c r="S2964" i="5"/>
  <c r="R2965" i="5"/>
  <c r="P2965" i="5"/>
  <c r="Q2965" i="5"/>
  <c r="S2965" i="5"/>
  <c r="R2966" i="5"/>
  <c r="P2966" i="5"/>
  <c r="Q2966" i="5"/>
  <c r="S2966" i="5"/>
  <c r="R2967" i="5"/>
  <c r="P2967" i="5"/>
  <c r="Q2967" i="5"/>
  <c r="S2967" i="5"/>
  <c r="P2968" i="5"/>
  <c r="Q2968" i="5"/>
  <c r="R2969" i="5"/>
  <c r="P2969" i="5"/>
  <c r="Q2969" i="5"/>
  <c r="S2969" i="5"/>
  <c r="R2970" i="5"/>
  <c r="P2970" i="5"/>
  <c r="Q2970" i="5"/>
  <c r="S2970" i="5"/>
  <c r="R2971" i="5"/>
  <c r="P2971" i="5"/>
  <c r="Q2971" i="5"/>
  <c r="S2971" i="5"/>
  <c r="R2972" i="5"/>
  <c r="P2972" i="5"/>
  <c r="Q2972" i="5"/>
  <c r="S2972" i="5"/>
  <c r="P2973" i="5"/>
  <c r="Q2973" i="5"/>
  <c r="P2974" i="5"/>
  <c r="Q2974" i="5"/>
  <c r="S2974" i="5"/>
  <c r="R2975" i="5"/>
  <c r="P2975" i="5"/>
  <c r="Q2975" i="5"/>
  <c r="S2975" i="5"/>
  <c r="R2976" i="5"/>
  <c r="P2976" i="5"/>
  <c r="Q2976" i="5"/>
  <c r="S2976" i="5"/>
  <c r="R2977" i="5"/>
  <c r="P2977" i="5"/>
  <c r="Q2977" i="5"/>
  <c r="S2977" i="5"/>
  <c r="P2978" i="5"/>
  <c r="Q2978" i="5"/>
  <c r="P2979" i="5"/>
  <c r="Q2979" i="5"/>
  <c r="S2979" i="5"/>
  <c r="R2980" i="5"/>
  <c r="P2980" i="5"/>
  <c r="Q2980" i="5"/>
  <c r="S2980" i="5"/>
  <c r="R2981" i="5"/>
  <c r="P2981" i="5"/>
  <c r="Q2981" i="5"/>
  <c r="S2981" i="5"/>
  <c r="R2982" i="5"/>
  <c r="P2982" i="5"/>
  <c r="Q2982" i="5"/>
  <c r="S2982" i="5"/>
  <c r="P2983" i="5"/>
  <c r="Q2983" i="5"/>
  <c r="P2984" i="5"/>
  <c r="Q2984" i="5"/>
  <c r="S2984" i="5"/>
  <c r="R2985" i="5"/>
  <c r="P2985" i="5"/>
  <c r="Q2985" i="5"/>
  <c r="S2985" i="5"/>
  <c r="R2986" i="5"/>
  <c r="P2986" i="5"/>
  <c r="Q2986" i="5"/>
  <c r="S2986" i="5"/>
  <c r="P2987" i="5"/>
  <c r="Q2987" i="5"/>
  <c r="R2987" i="5"/>
  <c r="S2987" i="5"/>
  <c r="P2988" i="5"/>
  <c r="Q2988" i="5"/>
  <c r="P2989" i="5"/>
  <c r="Q2989" i="5"/>
  <c r="S2989" i="5"/>
  <c r="P2990" i="5"/>
  <c r="Q2990" i="5"/>
  <c r="S2990" i="5"/>
  <c r="P2991" i="5"/>
  <c r="Q2991" i="5"/>
  <c r="S2991" i="5"/>
  <c r="P2992" i="5"/>
  <c r="Q2992" i="5"/>
  <c r="S2992" i="5"/>
  <c r="P2993" i="5"/>
  <c r="Q2993" i="5"/>
  <c r="S2993" i="5"/>
  <c r="P2994" i="5"/>
  <c r="Q2994" i="5"/>
  <c r="S2994" i="5"/>
  <c r="R2995" i="5"/>
  <c r="P2995" i="5"/>
  <c r="Q2995" i="5"/>
  <c r="S2995" i="5"/>
  <c r="P2996" i="5"/>
  <c r="Q2996" i="5"/>
  <c r="R2996" i="5"/>
  <c r="S2996" i="5"/>
  <c r="R2997" i="5"/>
  <c r="P2997" i="5"/>
  <c r="Q2997" i="5"/>
  <c r="S2997" i="5"/>
  <c r="P2998" i="5"/>
  <c r="Q2998" i="5"/>
  <c r="R2999" i="5"/>
  <c r="P2999" i="5"/>
  <c r="Q2999" i="5"/>
  <c r="S2999" i="5"/>
  <c r="R3000" i="5"/>
  <c r="P3000" i="5"/>
  <c r="Q3000" i="5"/>
  <c r="S3000" i="5"/>
  <c r="R3001" i="5"/>
  <c r="P3001" i="5"/>
  <c r="Q3001" i="5"/>
  <c r="S3001" i="5"/>
  <c r="R3002" i="5"/>
  <c r="P3002" i="5"/>
  <c r="Q3002" i="5"/>
  <c r="S3002" i="5"/>
  <c r="P3003" i="5"/>
  <c r="Q3003" i="5"/>
  <c r="R3004" i="5"/>
  <c r="P3004" i="5"/>
  <c r="Q3004" i="5"/>
  <c r="S3004" i="5"/>
  <c r="R3005" i="5"/>
  <c r="P3005" i="5"/>
  <c r="Q3005" i="5"/>
  <c r="S3005" i="5"/>
  <c r="R3006" i="5"/>
  <c r="P3006" i="5"/>
  <c r="Q3006" i="5"/>
  <c r="S3006" i="5"/>
  <c r="R3007" i="5"/>
  <c r="P3007" i="5"/>
  <c r="Q3007" i="5"/>
  <c r="S3007" i="5"/>
  <c r="P3008" i="5"/>
  <c r="Q3008" i="5"/>
  <c r="R3009" i="5"/>
  <c r="P3009" i="5"/>
  <c r="Q3009" i="5"/>
  <c r="S3009" i="5"/>
  <c r="R3010" i="5"/>
  <c r="P3010" i="5"/>
  <c r="Q3010" i="5"/>
  <c r="S3010" i="5"/>
  <c r="P3011" i="5"/>
  <c r="Q3011" i="5"/>
  <c r="R3011" i="5"/>
  <c r="S3011" i="5"/>
  <c r="R3012" i="5"/>
  <c r="P3012" i="5"/>
  <c r="Q3012" i="5"/>
  <c r="S3012" i="5"/>
  <c r="P3013" i="5"/>
  <c r="Q3013" i="5"/>
  <c r="R3014" i="5"/>
  <c r="P3014" i="5"/>
  <c r="Q3014" i="5"/>
  <c r="S3014" i="5"/>
  <c r="R3015" i="5"/>
  <c r="P3015" i="5"/>
  <c r="Q3015" i="5"/>
  <c r="S3015" i="5"/>
  <c r="R3016" i="5"/>
  <c r="P3016" i="5"/>
  <c r="Q3016" i="5"/>
  <c r="S3016" i="5"/>
  <c r="R3017" i="5"/>
  <c r="P3017" i="5"/>
  <c r="Q3017" i="5"/>
  <c r="S3017" i="5"/>
  <c r="P3018" i="5"/>
  <c r="Q3018" i="5"/>
  <c r="R3019" i="5"/>
  <c r="P3019" i="5"/>
  <c r="Q3019" i="5"/>
  <c r="S3019" i="5"/>
  <c r="R3020" i="5"/>
  <c r="P3020" i="5"/>
  <c r="Q3020" i="5"/>
  <c r="S3020" i="5"/>
  <c r="R3021" i="5"/>
  <c r="P3021" i="5"/>
  <c r="Q3021" i="5"/>
  <c r="S3021" i="5"/>
  <c r="P3022" i="5"/>
  <c r="Q3022" i="5"/>
  <c r="R3022" i="5"/>
  <c r="S3022" i="5"/>
  <c r="P3023" i="5"/>
  <c r="Q3023" i="5"/>
  <c r="R3024" i="5"/>
  <c r="P3024" i="5"/>
  <c r="Q3024" i="5"/>
  <c r="S3024" i="5"/>
  <c r="R3025" i="5"/>
  <c r="P3025" i="5"/>
  <c r="Q3025" i="5"/>
  <c r="S3025" i="5"/>
  <c r="P3026" i="5"/>
  <c r="Q3026" i="5"/>
  <c r="R3026" i="5"/>
  <c r="S3026" i="5"/>
  <c r="R3027" i="5"/>
  <c r="P3027" i="5"/>
  <c r="Q3027" i="5"/>
  <c r="S3027" i="5"/>
  <c r="P3028" i="5"/>
  <c r="Q3028" i="5"/>
  <c r="R3029" i="5"/>
  <c r="P3029" i="5"/>
  <c r="Q3029" i="5"/>
  <c r="S3029" i="5"/>
  <c r="R3030" i="5"/>
  <c r="P3030" i="5"/>
  <c r="Q3030" i="5"/>
  <c r="S3030" i="5"/>
  <c r="R3031" i="5"/>
  <c r="P3031" i="5"/>
  <c r="Q3031" i="5"/>
  <c r="S3031" i="5"/>
  <c r="R3032" i="5"/>
  <c r="P3032" i="5"/>
  <c r="Q3032" i="5"/>
  <c r="S3032" i="5"/>
  <c r="P3033" i="5"/>
  <c r="Q3033" i="5"/>
  <c r="P3034" i="5"/>
  <c r="Q3034" i="5"/>
  <c r="R3034" i="5"/>
  <c r="S3034" i="5"/>
  <c r="R3035" i="5"/>
  <c r="P3035" i="5"/>
  <c r="Q3035" i="5"/>
  <c r="S3035" i="5"/>
  <c r="R3036" i="5"/>
  <c r="P3036" i="5"/>
  <c r="Q3036" i="5"/>
  <c r="S3036" i="5"/>
  <c r="R3037" i="5"/>
  <c r="P3037" i="5"/>
  <c r="Q3037" i="5"/>
  <c r="S3037" i="5"/>
  <c r="P3038" i="5"/>
  <c r="Q3038" i="5"/>
  <c r="R3039" i="5"/>
  <c r="P3039" i="5"/>
  <c r="Q3039" i="5"/>
  <c r="S3039" i="5"/>
  <c r="P3040" i="5"/>
  <c r="Q3040" i="5"/>
  <c r="R3040" i="5"/>
  <c r="S3040" i="5"/>
  <c r="R3041" i="5"/>
  <c r="P3041" i="5"/>
  <c r="Q3041" i="5"/>
  <c r="S3041" i="5"/>
  <c r="R3042" i="5"/>
  <c r="P3042" i="5"/>
  <c r="Q3042" i="5"/>
  <c r="S3042" i="5"/>
  <c r="P3043" i="5"/>
  <c r="Q3043" i="5"/>
  <c r="P3044" i="5"/>
  <c r="Q3044" i="5"/>
  <c r="S3044" i="5"/>
  <c r="R3045" i="5"/>
  <c r="P3045" i="5"/>
  <c r="Q3045" i="5"/>
  <c r="S3045" i="5"/>
  <c r="R3046" i="5"/>
  <c r="P3046" i="5"/>
  <c r="Q3046" i="5"/>
  <c r="S3046" i="5"/>
  <c r="R3047" i="5"/>
  <c r="P3047" i="5"/>
  <c r="Q3047" i="5"/>
  <c r="S3047" i="5"/>
  <c r="R3048" i="5"/>
  <c r="P3048" i="5"/>
  <c r="Q3048" i="5"/>
  <c r="S3048" i="5"/>
  <c r="R3049" i="5"/>
  <c r="P3049" i="5"/>
  <c r="Q3049" i="5"/>
  <c r="S3049" i="5"/>
  <c r="R3050" i="5"/>
  <c r="P3050" i="5"/>
  <c r="Q3050" i="5"/>
  <c r="S3050" i="5"/>
  <c r="P3051" i="5"/>
  <c r="Q3051" i="5"/>
  <c r="R3052" i="5"/>
  <c r="P3052" i="5"/>
  <c r="Q3052" i="5"/>
  <c r="S3052" i="5"/>
  <c r="R3053" i="5"/>
  <c r="P3053" i="5"/>
  <c r="Q3053" i="5"/>
  <c r="S3053" i="5"/>
  <c r="R3054" i="5"/>
  <c r="P3054" i="5"/>
  <c r="Q3054" i="5"/>
  <c r="S3054" i="5"/>
  <c r="R3055" i="5"/>
  <c r="P3055" i="5"/>
  <c r="Q3055" i="5"/>
  <c r="S3055" i="5"/>
  <c r="P3056" i="5"/>
  <c r="Q3056" i="5"/>
  <c r="P3057" i="5"/>
  <c r="Q3057" i="5"/>
  <c r="S3057" i="5"/>
  <c r="R3058" i="5"/>
  <c r="P3058" i="5"/>
  <c r="Q3058" i="5"/>
  <c r="S3058" i="5"/>
  <c r="P3059" i="5"/>
  <c r="Q3059" i="5"/>
  <c r="R3059" i="5"/>
  <c r="S3059" i="5"/>
  <c r="R3060" i="5"/>
  <c r="P3060" i="5"/>
  <c r="Q3060" i="5"/>
  <c r="S3060" i="5"/>
  <c r="R3061" i="5"/>
  <c r="P3061" i="5"/>
  <c r="Q3061" i="5"/>
  <c r="S3061" i="5"/>
  <c r="R3062" i="5"/>
  <c r="P3062" i="5"/>
  <c r="Q3062" i="5"/>
  <c r="S3062" i="5"/>
  <c r="R3063" i="5"/>
  <c r="P3063" i="5"/>
  <c r="Q3063" i="5"/>
  <c r="S3063" i="5"/>
  <c r="P3064" i="5"/>
  <c r="Q3064" i="5"/>
  <c r="R3065" i="5"/>
  <c r="P3065" i="5"/>
  <c r="Q3065" i="5"/>
  <c r="S3065" i="5"/>
  <c r="R3066" i="5"/>
  <c r="P3066" i="5"/>
  <c r="Q3066" i="5"/>
  <c r="S3066" i="5"/>
  <c r="P3067" i="5"/>
  <c r="Q3067" i="5"/>
  <c r="R3067" i="5"/>
  <c r="S3067" i="5"/>
  <c r="P3068" i="5"/>
  <c r="Q3068" i="5"/>
  <c r="P3069" i="5"/>
  <c r="Q3069" i="5"/>
  <c r="S3069" i="5"/>
  <c r="P3070" i="5"/>
  <c r="Q3070" i="5"/>
  <c r="S3070" i="5"/>
  <c r="P3071" i="5"/>
  <c r="Q3071" i="5"/>
  <c r="S3071" i="5"/>
  <c r="R3072" i="5"/>
  <c r="P3072" i="5"/>
  <c r="Q3072" i="5"/>
  <c r="S3072" i="5"/>
  <c r="R3073" i="5"/>
  <c r="P3073" i="5"/>
  <c r="Q3073" i="5"/>
  <c r="S3073" i="5"/>
  <c r="R3074" i="5"/>
  <c r="P3074" i="5"/>
  <c r="Q3074" i="5"/>
  <c r="S3074" i="5"/>
  <c r="R3075" i="5"/>
  <c r="P3075" i="5"/>
  <c r="Q3075" i="5"/>
  <c r="S3075" i="5"/>
  <c r="P3076" i="5"/>
  <c r="Q3076" i="5"/>
  <c r="R3077" i="5"/>
  <c r="P3077" i="5"/>
  <c r="Q3077" i="5"/>
  <c r="S3077" i="5"/>
  <c r="R3078" i="5"/>
  <c r="P3078" i="5"/>
  <c r="Q3078" i="5"/>
  <c r="S3078" i="5"/>
  <c r="R3079" i="5"/>
  <c r="P3079" i="5"/>
  <c r="Q3079" i="5"/>
  <c r="S3079" i="5"/>
  <c r="R3080" i="5"/>
  <c r="P3080" i="5"/>
  <c r="Q3080" i="5"/>
  <c r="S3080" i="5"/>
  <c r="P3081" i="5"/>
  <c r="Q3081" i="5"/>
  <c r="P3082" i="5"/>
  <c r="Q3082" i="5"/>
  <c r="S3082" i="5"/>
  <c r="P3083" i="5"/>
  <c r="Q3083" i="5"/>
  <c r="S3083" i="5"/>
  <c r="P3084" i="5"/>
  <c r="Q3084" i="5"/>
  <c r="S3084" i="5"/>
  <c r="P3085" i="5"/>
  <c r="Q3085" i="5"/>
  <c r="S3085" i="5"/>
  <c r="R3086" i="5"/>
  <c r="P3086" i="5"/>
  <c r="Q3086" i="5"/>
  <c r="S3086" i="5"/>
  <c r="P3087" i="5"/>
  <c r="Q3087" i="5"/>
  <c r="R3087" i="5"/>
  <c r="S3087" i="5"/>
  <c r="R3088" i="5"/>
  <c r="P3088" i="5"/>
  <c r="Q3088" i="5"/>
  <c r="S3088" i="5"/>
  <c r="P3089" i="5"/>
  <c r="Q3089" i="5"/>
  <c r="R3090" i="5"/>
  <c r="P3090" i="5"/>
  <c r="Q3090" i="5"/>
  <c r="S3090" i="5"/>
  <c r="R3091" i="5"/>
  <c r="P3091" i="5"/>
  <c r="Q3091" i="5"/>
  <c r="S3091" i="5"/>
  <c r="R3092" i="5"/>
  <c r="P3092" i="5"/>
  <c r="Q3092" i="5"/>
  <c r="S3092" i="5"/>
  <c r="R3093" i="5"/>
  <c r="P3093" i="5"/>
  <c r="Q3093" i="5"/>
  <c r="S3093" i="5"/>
  <c r="P3094" i="5"/>
  <c r="Q3094" i="5"/>
  <c r="R3095" i="5"/>
  <c r="P3095" i="5"/>
  <c r="Q3095" i="5"/>
  <c r="S3095" i="5"/>
  <c r="R3096" i="5"/>
  <c r="P3096" i="5"/>
  <c r="Q3096" i="5"/>
  <c r="S3096" i="5"/>
  <c r="R3097" i="5"/>
  <c r="P3097" i="5"/>
  <c r="Q3097" i="5"/>
  <c r="S3097" i="5"/>
  <c r="P3098" i="5"/>
  <c r="Q3098" i="5"/>
  <c r="R3098" i="5"/>
  <c r="S3098" i="5"/>
  <c r="P3099" i="5"/>
  <c r="Q3099" i="5"/>
  <c r="R3100" i="5"/>
  <c r="P3100" i="5"/>
  <c r="Q3100" i="5"/>
  <c r="S3100" i="5"/>
  <c r="R3101" i="5"/>
  <c r="P3101" i="5"/>
  <c r="Q3101" i="5"/>
  <c r="S3101" i="5"/>
  <c r="R3102" i="5"/>
  <c r="P3102" i="5"/>
  <c r="Q3102" i="5"/>
  <c r="S3102" i="5"/>
  <c r="R3103" i="5"/>
  <c r="P3103" i="5"/>
  <c r="Q3103" i="5"/>
  <c r="S3103" i="5"/>
  <c r="P3104" i="5"/>
  <c r="Q3104" i="5"/>
  <c r="R3105" i="5"/>
  <c r="P3105" i="5"/>
  <c r="Q3105" i="5"/>
  <c r="S3105" i="5"/>
  <c r="R3106" i="5"/>
  <c r="P3106" i="5"/>
  <c r="Q3106" i="5"/>
  <c r="S3106" i="5"/>
  <c r="R3107" i="5"/>
  <c r="P3107" i="5"/>
  <c r="Q3107" i="5"/>
  <c r="S3107" i="5"/>
  <c r="R3108" i="5"/>
  <c r="P3108" i="5"/>
  <c r="Q3108" i="5"/>
  <c r="S3108" i="5"/>
  <c r="P3109" i="5"/>
  <c r="Q3109" i="5"/>
  <c r="R3110" i="5"/>
  <c r="P3110" i="5"/>
  <c r="Q3110" i="5"/>
  <c r="S3110" i="5"/>
  <c r="R3111" i="5"/>
  <c r="P3111" i="5"/>
  <c r="Q3111" i="5"/>
  <c r="S3111" i="5"/>
  <c r="R3112" i="5"/>
  <c r="P3112" i="5"/>
  <c r="Q3112" i="5"/>
  <c r="S3112" i="5"/>
  <c r="R3113" i="5"/>
  <c r="P3113" i="5"/>
  <c r="Q3113" i="5"/>
  <c r="S3113" i="5"/>
  <c r="P3114" i="5"/>
  <c r="Q3114" i="5"/>
  <c r="R3115" i="5"/>
  <c r="P3115" i="5"/>
  <c r="Q3115" i="5"/>
  <c r="S3115" i="5"/>
  <c r="R3116" i="5"/>
  <c r="P3116" i="5"/>
  <c r="Q3116" i="5"/>
  <c r="S3116" i="5"/>
  <c r="R3117" i="5"/>
  <c r="P3117" i="5"/>
  <c r="Q3117" i="5"/>
  <c r="S3117" i="5"/>
  <c r="R3118" i="5"/>
  <c r="P3118" i="5"/>
  <c r="Q3118" i="5"/>
  <c r="S3118" i="5"/>
  <c r="P3119" i="5"/>
  <c r="Q3119" i="5"/>
  <c r="R3120" i="5"/>
  <c r="P3120" i="5"/>
  <c r="Q3120" i="5"/>
  <c r="S3120" i="5"/>
  <c r="R3121" i="5"/>
  <c r="P3121" i="5"/>
  <c r="Q3121" i="5"/>
  <c r="S3121" i="5"/>
  <c r="R3122" i="5"/>
  <c r="P3122" i="5"/>
  <c r="Q3122" i="5"/>
  <c r="S3122" i="5"/>
  <c r="R3123" i="5"/>
  <c r="P3123" i="5"/>
  <c r="Q3123" i="5"/>
  <c r="S3123" i="5"/>
  <c r="P3124" i="5"/>
  <c r="Q3124" i="5"/>
  <c r="R3125" i="5"/>
  <c r="P3125" i="5"/>
  <c r="Q3125" i="5"/>
  <c r="S3125" i="5"/>
  <c r="R3126" i="5"/>
  <c r="P3126" i="5"/>
  <c r="Q3126" i="5"/>
  <c r="S3126" i="5"/>
  <c r="R3127" i="5"/>
  <c r="P3127" i="5"/>
  <c r="Q3127" i="5"/>
  <c r="S3127" i="5"/>
  <c r="R3128" i="5"/>
  <c r="P3128" i="5"/>
  <c r="Q3128" i="5"/>
  <c r="S3128" i="5"/>
  <c r="P3129" i="5"/>
  <c r="Q3129" i="5"/>
  <c r="R3130" i="5"/>
  <c r="P3130" i="5"/>
  <c r="Q3130" i="5"/>
  <c r="S3130" i="5"/>
  <c r="R3131" i="5"/>
  <c r="P3131" i="5"/>
  <c r="Q3131" i="5"/>
  <c r="S3131" i="5"/>
  <c r="P3132" i="5"/>
  <c r="Q3132" i="5"/>
  <c r="R3132" i="5"/>
  <c r="S3132" i="5"/>
  <c r="R3133" i="5"/>
  <c r="P3133" i="5"/>
  <c r="Q3133" i="5"/>
  <c r="S3133" i="5"/>
  <c r="P3134" i="5"/>
  <c r="Q3134" i="5"/>
  <c r="R3135" i="5"/>
  <c r="P3135" i="5"/>
  <c r="Q3135" i="5"/>
  <c r="S3135" i="5"/>
  <c r="R3136" i="5"/>
  <c r="P3136" i="5"/>
  <c r="Q3136" i="5"/>
  <c r="S3136" i="5"/>
  <c r="R3137" i="5"/>
  <c r="P3137" i="5"/>
  <c r="Q3137" i="5"/>
  <c r="S3137" i="5"/>
  <c r="R3138" i="5"/>
  <c r="P3138" i="5"/>
  <c r="Q3138" i="5"/>
  <c r="S3138" i="5"/>
  <c r="R3139" i="5"/>
  <c r="P3139" i="5"/>
  <c r="Q3139" i="5"/>
  <c r="S3139" i="5"/>
  <c r="P3140" i="5"/>
  <c r="Q3140" i="5"/>
  <c r="P3141" i="5"/>
  <c r="Q3141" i="5"/>
  <c r="S3141" i="5"/>
  <c r="P3142" i="5"/>
  <c r="Q3142" i="5"/>
  <c r="S3142" i="5"/>
  <c r="R3143" i="5"/>
  <c r="P3143" i="5"/>
  <c r="Q3143" i="5"/>
  <c r="S3143" i="5"/>
  <c r="R3144" i="5"/>
  <c r="P3144" i="5"/>
  <c r="Q3144" i="5"/>
  <c r="S3144" i="5"/>
  <c r="R3145" i="5"/>
  <c r="P3145" i="5"/>
  <c r="Q3145" i="5"/>
  <c r="S3145" i="5"/>
  <c r="P3146" i="5"/>
  <c r="Q3146" i="5"/>
  <c r="P3147" i="5"/>
  <c r="Q3147" i="5"/>
  <c r="S3147" i="5"/>
  <c r="P3148" i="5"/>
  <c r="Q3148" i="5"/>
  <c r="S3148" i="5"/>
  <c r="R3149" i="5"/>
  <c r="P3149" i="5"/>
  <c r="Q3149" i="5"/>
  <c r="S3149" i="5"/>
  <c r="R3150" i="5"/>
  <c r="P3150" i="5"/>
  <c r="Q3150" i="5"/>
  <c r="S3150" i="5"/>
  <c r="R3151" i="5"/>
  <c r="P3151" i="5"/>
  <c r="Q3151" i="5"/>
  <c r="S3151" i="5"/>
  <c r="P3152" i="5"/>
  <c r="Q3152" i="5"/>
  <c r="P3153" i="5"/>
  <c r="Q3153" i="5"/>
  <c r="S3153" i="5"/>
  <c r="P3154" i="5"/>
  <c r="Q3154" i="5"/>
  <c r="S3154" i="5"/>
  <c r="R3155" i="5"/>
  <c r="P3155" i="5"/>
  <c r="Q3155" i="5"/>
  <c r="S3155" i="5"/>
  <c r="R3156" i="5"/>
  <c r="P3156" i="5"/>
  <c r="Q3156" i="5"/>
  <c r="S3156" i="5"/>
  <c r="R3157" i="5"/>
  <c r="P3157" i="5"/>
  <c r="Q3157" i="5"/>
  <c r="S3157" i="5"/>
  <c r="P3158" i="5"/>
  <c r="Q3158" i="5"/>
  <c r="P3159" i="5"/>
  <c r="Q3159" i="5"/>
  <c r="S3159" i="5"/>
  <c r="R3160" i="5"/>
  <c r="P3160" i="5"/>
  <c r="Q3160" i="5"/>
  <c r="S3160" i="5"/>
  <c r="R3161" i="5"/>
  <c r="P3161" i="5"/>
  <c r="Q3161" i="5"/>
  <c r="S3161" i="5"/>
  <c r="R3162" i="5"/>
  <c r="P3162" i="5"/>
  <c r="Q3162" i="5"/>
  <c r="S3162" i="5"/>
  <c r="R3163" i="5"/>
  <c r="P3163" i="5"/>
  <c r="Q3163" i="5"/>
  <c r="P3164" i="5"/>
  <c r="Q3164" i="5"/>
  <c r="S3164" i="5"/>
  <c r="P3165" i="5"/>
  <c r="Q3165" i="5"/>
  <c r="S3165" i="5"/>
  <c r="R3166" i="5"/>
  <c r="P3166" i="5"/>
  <c r="Q3166" i="5"/>
  <c r="S3166" i="5"/>
  <c r="P3167" i="5"/>
  <c r="Q3167" i="5"/>
  <c r="R3167" i="5"/>
  <c r="S3167" i="5"/>
  <c r="R3168" i="5"/>
  <c r="P3168" i="5"/>
  <c r="Q3168" i="5"/>
  <c r="S3168" i="5"/>
  <c r="P3169" i="5"/>
  <c r="Q3169" i="5"/>
  <c r="P3170" i="5"/>
  <c r="Q3170" i="5"/>
  <c r="S3170" i="5"/>
  <c r="R3171" i="5"/>
  <c r="P3171" i="5"/>
  <c r="Q3171" i="5"/>
  <c r="S3171" i="5"/>
  <c r="R3172" i="5"/>
  <c r="P3172" i="5"/>
  <c r="Q3172" i="5"/>
  <c r="S3172" i="5"/>
  <c r="R3173" i="5"/>
  <c r="P3173" i="5"/>
  <c r="Q3173" i="5"/>
  <c r="S3173" i="5"/>
  <c r="P3174" i="5"/>
  <c r="Q3174" i="5"/>
  <c r="P3175" i="5"/>
  <c r="Q3175" i="5"/>
  <c r="S3175" i="5"/>
  <c r="P3176" i="5"/>
  <c r="Q3176" i="5"/>
  <c r="S3176" i="5"/>
  <c r="R3177" i="5"/>
  <c r="P3177" i="5"/>
  <c r="Q3177" i="5"/>
  <c r="S3177" i="5"/>
  <c r="P3178" i="5"/>
  <c r="Q3178" i="5"/>
  <c r="R3178" i="5"/>
  <c r="S3178" i="5"/>
  <c r="R3179" i="5"/>
  <c r="P3179" i="5"/>
  <c r="Q3179" i="5"/>
  <c r="S3179" i="5"/>
  <c r="R3180" i="5"/>
  <c r="P3180" i="5"/>
  <c r="Q3180" i="5"/>
  <c r="S3180" i="5"/>
  <c r="R3181" i="5"/>
  <c r="P3181" i="5"/>
  <c r="Q3181" i="5"/>
  <c r="S3181" i="5"/>
  <c r="R3182" i="5"/>
  <c r="P3182" i="5"/>
  <c r="Q3182" i="5"/>
  <c r="S3182" i="5"/>
  <c r="P3183" i="5"/>
  <c r="Q3183" i="5"/>
  <c r="P3184" i="5"/>
  <c r="Q3184" i="5"/>
  <c r="S3184" i="5"/>
  <c r="P3185" i="5"/>
  <c r="Q3185" i="5"/>
  <c r="S3185" i="5"/>
  <c r="P3186" i="5"/>
  <c r="Q3186" i="5"/>
  <c r="S3186" i="5"/>
  <c r="P3187" i="5"/>
  <c r="Q3187" i="5"/>
  <c r="S3187" i="5"/>
  <c r="R3188" i="5"/>
  <c r="P3188" i="5"/>
  <c r="Q3188" i="5"/>
  <c r="S3188" i="5"/>
  <c r="R3189" i="5"/>
  <c r="P3189" i="5"/>
  <c r="Q3189" i="5"/>
  <c r="S3189" i="5"/>
  <c r="R3190" i="5"/>
  <c r="P3190" i="5"/>
  <c r="Q3190" i="5"/>
  <c r="S3190" i="5"/>
  <c r="P3191" i="5"/>
  <c r="Q3191" i="5"/>
  <c r="P3192" i="5"/>
  <c r="Q3192" i="5"/>
  <c r="S3192" i="5"/>
  <c r="P3193" i="5"/>
  <c r="Q3193" i="5"/>
  <c r="S3193" i="5"/>
  <c r="P3194" i="5"/>
  <c r="Q3194" i="5"/>
  <c r="S3194" i="5"/>
  <c r="P3195" i="5"/>
  <c r="Q3195" i="5"/>
  <c r="S3195" i="5"/>
  <c r="R3196" i="5"/>
  <c r="P3196" i="5"/>
  <c r="Q3196" i="5"/>
  <c r="S3196" i="5"/>
  <c r="R3197" i="5"/>
  <c r="P3197" i="5"/>
  <c r="Q3197" i="5"/>
  <c r="S3197" i="5"/>
  <c r="R3198" i="5"/>
  <c r="P3198" i="5"/>
  <c r="Q3198" i="5"/>
  <c r="S3198" i="5"/>
  <c r="P3199" i="5"/>
  <c r="Q3199" i="5"/>
  <c r="P3200" i="5"/>
  <c r="Q3200" i="5"/>
  <c r="S3200" i="5"/>
  <c r="R3201" i="5"/>
  <c r="P3201" i="5"/>
  <c r="Q3201" i="5"/>
  <c r="S3201" i="5"/>
  <c r="R3202" i="5"/>
  <c r="P3202" i="5"/>
  <c r="Q3202" i="5"/>
  <c r="S3202" i="5"/>
  <c r="R3203" i="5"/>
  <c r="P3203" i="5"/>
  <c r="Q3203" i="5"/>
  <c r="S3203" i="5"/>
  <c r="P3204" i="5"/>
  <c r="Q3204" i="5"/>
  <c r="R3205" i="5"/>
  <c r="P3205" i="5"/>
  <c r="Q3205" i="5"/>
  <c r="S3205" i="5"/>
  <c r="R3206" i="5"/>
  <c r="P3206" i="5"/>
  <c r="Q3206" i="5"/>
  <c r="S3206" i="5"/>
  <c r="P3207" i="5"/>
  <c r="Q3207" i="5"/>
  <c r="R3207" i="5"/>
  <c r="S3207" i="5"/>
  <c r="P3208" i="5"/>
  <c r="Q3208" i="5"/>
  <c r="P3209" i="5"/>
  <c r="Q3209" i="5"/>
  <c r="S3209" i="5"/>
  <c r="P3210" i="5"/>
  <c r="Q3210" i="5"/>
  <c r="S3210" i="5"/>
  <c r="P3211" i="5"/>
  <c r="Q3211" i="5"/>
  <c r="S3211" i="5"/>
  <c r="R3212" i="5"/>
  <c r="P3212" i="5"/>
  <c r="Q3212" i="5"/>
  <c r="S3212" i="5"/>
  <c r="R3213" i="5"/>
  <c r="P3213" i="5"/>
  <c r="Q3213" i="5"/>
  <c r="S3213" i="5"/>
  <c r="R3214" i="5"/>
  <c r="P3214" i="5"/>
  <c r="Q3214" i="5"/>
  <c r="S3214" i="5"/>
  <c r="P3215" i="5"/>
  <c r="Q3215" i="5"/>
  <c r="P3216" i="5"/>
  <c r="Q3216" i="5"/>
  <c r="S3216" i="5"/>
  <c r="P3217" i="5"/>
  <c r="Q3217" i="5"/>
  <c r="S3217" i="5"/>
  <c r="P3218" i="5"/>
  <c r="Q3218" i="5"/>
  <c r="S3218" i="5"/>
  <c r="P3219" i="5"/>
  <c r="Q3219" i="5"/>
  <c r="S3219" i="5"/>
  <c r="P3220" i="5"/>
  <c r="Q3220" i="5"/>
  <c r="S3220" i="5"/>
  <c r="Q3221" i="5"/>
  <c r="S3221" i="5"/>
  <c r="Q3222" i="5"/>
  <c r="S3222" i="5"/>
  <c r="R3223" i="5"/>
  <c r="P3223" i="5"/>
  <c r="Q3223" i="5"/>
  <c r="S3223" i="5"/>
  <c r="R3224" i="5"/>
  <c r="P3224" i="5"/>
  <c r="Q3224" i="5"/>
  <c r="S3224" i="5"/>
  <c r="R3225" i="5"/>
  <c r="P3225" i="5"/>
  <c r="Q3225" i="5"/>
  <c r="S3225" i="5"/>
  <c r="R3226" i="5"/>
  <c r="P3226" i="5"/>
  <c r="Q3226" i="5"/>
  <c r="S3226" i="5"/>
  <c r="R3227" i="5"/>
  <c r="P3227" i="5"/>
  <c r="Q3227" i="5"/>
  <c r="S3227" i="5"/>
  <c r="P3228" i="5"/>
  <c r="Q3228" i="5"/>
  <c r="P3229" i="5"/>
  <c r="Q3229" i="5"/>
  <c r="S3229" i="5"/>
  <c r="P3230" i="5"/>
  <c r="Q3230" i="5"/>
  <c r="S3230" i="5"/>
  <c r="R3231" i="5"/>
  <c r="P3231" i="5"/>
  <c r="Q3231" i="5"/>
  <c r="S3231" i="5"/>
  <c r="R3232" i="5"/>
  <c r="P3232" i="5"/>
  <c r="Q3232" i="5"/>
  <c r="S3232" i="5"/>
  <c r="R3233" i="5"/>
  <c r="P3233" i="5"/>
  <c r="Q3233" i="5"/>
  <c r="S3233" i="5"/>
  <c r="P3234" i="5"/>
  <c r="Q3234" i="5"/>
  <c r="P3235" i="5"/>
  <c r="Q3235" i="5"/>
  <c r="S3235" i="5"/>
  <c r="P3236" i="5"/>
  <c r="Q3236" i="5"/>
  <c r="S3236" i="5"/>
  <c r="R3237" i="5"/>
  <c r="P3237" i="5"/>
  <c r="Q3237" i="5"/>
  <c r="S3237" i="5"/>
  <c r="R3238" i="5"/>
  <c r="P3238" i="5"/>
  <c r="Q3238" i="5"/>
  <c r="S3238" i="5"/>
  <c r="R3239" i="5"/>
  <c r="P3239" i="5"/>
  <c r="Q3239" i="5"/>
  <c r="S3239" i="5"/>
  <c r="P3240" i="5"/>
  <c r="Q3240" i="5"/>
  <c r="P3241" i="5"/>
  <c r="Q3241" i="5"/>
  <c r="S3241" i="5"/>
  <c r="P3242" i="5"/>
  <c r="Q3242" i="5"/>
  <c r="S3242" i="5"/>
  <c r="R3243" i="5"/>
  <c r="P3243" i="5"/>
  <c r="Q3243" i="5"/>
  <c r="S3243" i="5"/>
  <c r="R3244" i="5"/>
  <c r="P3244" i="5"/>
  <c r="Q3244" i="5"/>
  <c r="S3244" i="5"/>
  <c r="R3245" i="5"/>
  <c r="P3245" i="5"/>
  <c r="Q3245" i="5"/>
  <c r="S3245" i="5"/>
  <c r="P3246" i="5"/>
  <c r="Q3246" i="5"/>
  <c r="P3247" i="5"/>
  <c r="Q3247" i="5"/>
  <c r="S3247" i="5"/>
  <c r="P3248" i="5"/>
  <c r="Q3248" i="5"/>
  <c r="S3248" i="5"/>
  <c r="P3249" i="5"/>
  <c r="Q3249" i="5"/>
  <c r="S3249" i="5"/>
  <c r="P3250" i="5"/>
  <c r="Q3250" i="5"/>
  <c r="S3250" i="5"/>
  <c r="P3251" i="5"/>
  <c r="Q3251" i="5"/>
  <c r="S3251" i="5"/>
  <c r="R3252" i="5"/>
  <c r="P3252" i="5"/>
  <c r="Q3252" i="5"/>
  <c r="S3252" i="5"/>
  <c r="P3253" i="5"/>
  <c r="Q3253" i="5"/>
  <c r="R3253" i="5"/>
  <c r="S3253" i="5"/>
  <c r="R3254" i="5"/>
  <c r="P3254" i="5"/>
  <c r="Q3254" i="5"/>
  <c r="S3254" i="5"/>
  <c r="R3255" i="5"/>
  <c r="P3255" i="5"/>
  <c r="Q3255" i="5"/>
  <c r="S3255" i="5"/>
  <c r="R3256" i="5"/>
  <c r="P3256" i="5"/>
  <c r="Q3256" i="5"/>
  <c r="P3257" i="5"/>
  <c r="Q3257" i="5"/>
  <c r="S3257" i="5"/>
  <c r="R3258" i="5"/>
  <c r="P3258" i="5"/>
  <c r="Q3258" i="5"/>
  <c r="S3258" i="5"/>
  <c r="R3259" i="5"/>
  <c r="P3259" i="5"/>
  <c r="Q3259" i="5"/>
  <c r="S3259" i="5"/>
  <c r="R3260" i="5"/>
  <c r="P3260" i="5"/>
  <c r="Q3260" i="5"/>
  <c r="S3260" i="5"/>
  <c r="R3261" i="5"/>
  <c r="P3261" i="5"/>
  <c r="Q3261" i="5"/>
  <c r="P3262" i="5"/>
  <c r="Q3262" i="5"/>
  <c r="S3262" i="5"/>
  <c r="P3263" i="5"/>
  <c r="Q3263" i="5"/>
  <c r="S3263" i="5"/>
  <c r="P3264" i="5"/>
  <c r="Q3264" i="5"/>
  <c r="S3264" i="5"/>
  <c r="R3265" i="5"/>
  <c r="P3265" i="5"/>
  <c r="Q3265" i="5"/>
  <c r="S3265" i="5"/>
  <c r="R3266" i="5"/>
  <c r="P3266" i="5"/>
  <c r="Q3266" i="5"/>
  <c r="S3266" i="5"/>
  <c r="R3267" i="5"/>
  <c r="P3267" i="5"/>
  <c r="Q3267" i="5"/>
  <c r="S3267" i="5"/>
  <c r="P3268" i="5"/>
  <c r="Q3268" i="5"/>
  <c r="P3269" i="5"/>
  <c r="Q3269" i="5"/>
  <c r="S3269" i="5"/>
  <c r="P3270" i="5"/>
  <c r="Q3270" i="5"/>
  <c r="S3270" i="5"/>
  <c r="P3271" i="5"/>
  <c r="Q3271" i="5"/>
  <c r="S3271" i="5"/>
  <c r="R3272" i="5"/>
  <c r="P3272" i="5"/>
  <c r="Q3272" i="5"/>
  <c r="S3272" i="5"/>
  <c r="R3273" i="5"/>
  <c r="P3273" i="5"/>
  <c r="Q3273" i="5"/>
  <c r="S3273" i="5"/>
  <c r="R3274" i="5"/>
  <c r="P3274" i="5"/>
  <c r="Q3274" i="5"/>
  <c r="S3274" i="5"/>
  <c r="P3275" i="5"/>
  <c r="Q3275" i="5"/>
  <c r="P3276" i="5"/>
  <c r="Q3276" i="5"/>
  <c r="S3276" i="5"/>
  <c r="P3277" i="5"/>
  <c r="Q3277" i="5"/>
  <c r="S3277" i="5"/>
  <c r="P3278" i="5"/>
  <c r="Q3278" i="5"/>
  <c r="S3278" i="5"/>
  <c r="R3279" i="5"/>
  <c r="P3279" i="5"/>
  <c r="Q3279" i="5"/>
  <c r="S3279" i="5"/>
  <c r="R3280" i="5"/>
  <c r="P3280" i="5"/>
  <c r="Q3280" i="5"/>
  <c r="S3280" i="5"/>
  <c r="R3281" i="5"/>
  <c r="P3281" i="5"/>
  <c r="Q3281" i="5"/>
  <c r="S3281" i="5"/>
  <c r="P3282" i="5"/>
  <c r="Q3282" i="5"/>
  <c r="P3283" i="5"/>
  <c r="Q3283" i="5"/>
  <c r="S3283" i="5"/>
  <c r="P3284" i="5"/>
  <c r="Q3284" i="5"/>
  <c r="S3284" i="5"/>
  <c r="P3285" i="5"/>
  <c r="Q3285" i="5"/>
  <c r="S3285" i="5"/>
  <c r="R3286" i="5"/>
  <c r="P3286" i="5"/>
  <c r="Q3286" i="5"/>
  <c r="S3286" i="5"/>
  <c r="R3287" i="5"/>
  <c r="P3287" i="5"/>
  <c r="Q3287" i="5"/>
  <c r="S3287" i="5"/>
  <c r="R3288" i="5"/>
  <c r="P3288" i="5"/>
  <c r="Q3288" i="5"/>
  <c r="S3288" i="5"/>
  <c r="P3289" i="5"/>
  <c r="Q3289" i="5"/>
  <c r="P3290" i="5"/>
  <c r="Q3290" i="5"/>
  <c r="S3290" i="5"/>
  <c r="P3291" i="5"/>
  <c r="Q3291" i="5"/>
  <c r="S3291" i="5"/>
  <c r="P3292" i="5"/>
  <c r="Q3292" i="5"/>
  <c r="S3292" i="5"/>
  <c r="P3293" i="5"/>
  <c r="Q3293" i="5"/>
  <c r="R3293" i="5"/>
  <c r="S3293" i="5"/>
  <c r="R3294" i="5"/>
  <c r="P3294" i="5"/>
  <c r="Q3294" i="5"/>
  <c r="S3294" i="5"/>
  <c r="R3295" i="5"/>
  <c r="P3295" i="5"/>
  <c r="Q3295" i="5"/>
  <c r="S3295" i="5"/>
  <c r="P3296" i="5"/>
  <c r="Q3296" i="5"/>
  <c r="P3297" i="5"/>
  <c r="Q3297" i="5"/>
  <c r="S3297" i="5"/>
  <c r="P3298" i="5"/>
  <c r="Q3298" i="5"/>
  <c r="S3298" i="5"/>
  <c r="P3299" i="5"/>
  <c r="Q3299" i="5"/>
  <c r="S3299" i="5"/>
  <c r="R3300" i="5"/>
  <c r="P3300" i="5"/>
  <c r="Q3300" i="5"/>
  <c r="S3300" i="5"/>
  <c r="R3301" i="5"/>
  <c r="P3301" i="5"/>
  <c r="Q3301" i="5"/>
  <c r="S3301" i="5"/>
  <c r="R3302" i="5"/>
  <c r="P3302" i="5"/>
  <c r="Q3302" i="5"/>
  <c r="S3302" i="5"/>
  <c r="P3303" i="5"/>
  <c r="Q3303" i="5"/>
  <c r="P3304" i="5"/>
  <c r="Q3304" i="5"/>
  <c r="S3304" i="5"/>
  <c r="P3305" i="5"/>
  <c r="Q3305" i="5"/>
  <c r="S3305" i="5"/>
  <c r="P3306" i="5"/>
  <c r="Q3306" i="5"/>
  <c r="S3306" i="5"/>
  <c r="R3307" i="5"/>
  <c r="P3307" i="5"/>
  <c r="Q3307" i="5"/>
  <c r="S3307" i="5"/>
  <c r="R3308" i="5"/>
  <c r="P3308" i="5"/>
  <c r="Q3308" i="5"/>
  <c r="S3308" i="5"/>
  <c r="R3309" i="5"/>
  <c r="P3309" i="5"/>
  <c r="Q3309" i="5"/>
  <c r="S3309" i="5"/>
  <c r="P3310" i="5"/>
  <c r="Q3310" i="5"/>
  <c r="P3311" i="5"/>
  <c r="Q3311" i="5"/>
  <c r="S3311" i="5"/>
  <c r="P3312" i="5"/>
  <c r="Q3312" i="5"/>
  <c r="S3312" i="5"/>
  <c r="P3313" i="5"/>
  <c r="Q3313" i="5"/>
  <c r="S3313" i="5"/>
  <c r="R3314" i="5"/>
  <c r="P3314" i="5"/>
  <c r="Q3314" i="5"/>
  <c r="S3314" i="5"/>
  <c r="R3315" i="5"/>
  <c r="P3315" i="5"/>
  <c r="Q3315" i="5"/>
  <c r="S3315" i="5"/>
  <c r="R3316" i="5"/>
  <c r="P3316" i="5"/>
  <c r="Q3316" i="5"/>
  <c r="S3316" i="5"/>
  <c r="P3317" i="5"/>
  <c r="Q3317" i="5"/>
  <c r="P3318" i="5"/>
  <c r="Q3318" i="5"/>
  <c r="S3318" i="5"/>
  <c r="P3319" i="5"/>
  <c r="Q3319" i="5"/>
  <c r="S3319" i="5"/>
  <c r="P3320" i="5"/>
  <c r="Q3320" i="5"/>
  <c r="S3320" i="5"/>
  <c r="R3321" i="5"/>
  <c r="P3321" i="5"/>
  <c r="Q3321" i="5"/>
  <c r="S3321" i="5"/>
  <c r="R3322" i="5"/>
  <c r="P3322" i="5"/>
  <c r="Q3322" i="5"/>
  <c r="S3322" i="5"/>
  <c r="R3323" i="5"/>
  <c r="P3323" i="5"/>
  <c r="Q3323" i="5"/>
  <c r="S3323" i="5"/>
  <c r="P3324" i="5"/>
  <c r="Q3324" i="5"/>
  <c r="P3325" i="5"/>
  <c r="Q3325" i="5"/>
  <c r="S3325" i="5"/>
  <c r="P3326" i="5"/>
  <c r="Q3326" i="5"/>
  <c r="S3326" i="5"/>
  <c r="P3327" i="5"/>
  <c r="Q3327" i="5"/>
  <c r="S3327" i="5"/>
  <c r="R3328" i="5"/>
  <c r="P3328" i="5"/>
  <c r="Q3328" i="5"/>
  <c r="S3328" i="5"/>
  <c r="R3329" i="5"/>
  <c r="P3329" i="5"/>
  <c r="Q3329" i="5"/>
  <c r="S3329" i="5"/>
  <c r="R3330" i="5"/>
  <c r="P3330" i="5"/>
  <c r="Q3330" i="5"/>
  <c r="S3330" i="5"/>
  <c r="P3331" i="5"/>
  <c r="Q3331" i="5"/>
  <c r="P3332" i="5"/>
  <c r="Q3332" i="5"/>
  <c r="S3332" i="5"/>
  <c r="P3333" i="5"/>
  <c r="Q3333" i="5"/>
  <c r="S3333" i="5"/>
  <c r="R3334" i="5"/>
  <c r="P3334" i="5"/>
  <c r="Q3334" i="5"/>
  <c r="S3334" i="5"/>
  <c r="R3335" i="5"/>
  <c r="P3335" i="5"/>
  <c r="Q3335" i="5"/>
  <c r="S3335" i="5"/>
  <c r="R3336" i="5"/>
  <c r="P3336" i="5"/>
  <c r="Q3336" i="5"/>
  <c r="S3336" i="5"/>
  <c r="P3337" i="5"/>
  <c r="Q3337" i="5"/>
  <c r="P3338" i="5"/>
  <c r="Q3338" i="5"/>
  <c r="S3338" i="5"/>
  <c r="P3339" i="5"/>
  <c r="Q3339" i="5"/>
  <c r="S3339" i="5"/>
  <c r="R3340" i="5"/>
  <c r="P3340" i="5"/>
  <c r="Q3340" i="5"/>
  <c r="S3340" i="5"/>
  <c r="R3341" i="5"/>
  <c r="P3341" i="5"/>
  <c r="Q3341" i="5"/>
  <c r="S3341" i="5"/>
  <c r="R3342" i="5"/>
  <c r="P3342" i="5"/>
  <c r="Q3342" i="5"/>
  <c r="S3342" i="5"/>
  <c r="P3343" i="5"/>
  <c r="Q3343" i="5"/>
  <c r="Q3344" i="5"/>
  <c r="S3344" i="5"/>
  <c r="P3345" i="5"/>
  <c r="Q3345" i="5"/>
  <c r="S3345" i="5"/>
  <c r="P3346" i="5"/>
  <c r="Q3346" i="5"/>
  <c r="S3346" i="5"/>
  <c r="R3347" i="5"/>
  <c r="P3347" i="5"/>
  <c r="Q3347" i="5"/>
  <c r="S3347" i="5"/>
  <c r="R3348" i="5"/>
  <c r="P3348" i="5"/>
  <c r="Q3348" i="5"/>
  <c r="S3348" i="5"/>
  <c r="R3349" i="5"/>
  <c r="P3349" i="5"/>
  <c r="Q3349" i="5"/>
  <c r="S3349" i="5"/>
  <c r="R3350" i="5"/>
  <c r="P3350" i="5"/>
  <c r="Q3350" i="5"/>
  <c r="S3350" i="5"/>
  <c r="R3351" i="5"/>
  <c r="P3351" i="5"/>
  <c r="Q3351" i="5"/>
  <c r="S3351" i="5"/>
  <c r="P3352" i="5"/>
  <c r="Q3352" i="5"/>
  <c r="P3353" i="5"/>
  <c r="Q3353" i="5"/>
  <c r="S3353" i="5"/>
  <c r="R3354" i="5"/>
  <c r="P3354" i="5"/>
  <c r="Q3354" i="5"/>
  <c r="S3354" i="5"/>
  <c r="R3355" i="5"/>
  <c r="P3355" i="5"/>
  <c r="Q3355" i="5"/>
  <c r="S3355" i="5"/>
  <c r="R3356" i="5"/>
  <c r="P3356" i="5"/>
  <c r="Q3356" i="5"/>
  <c r="S3356" i="5"/>
  <c r="R3357" i="5"/>
  <c r="P3357" i="5"/>
  <c r="Q3357" i="5"/>
  <c r="P3358" i="5"/>
  <c r="Q3358" i="5"/>
  <c r="S3358" i="5"/>
  <c r="P3359" i="5"/>
  <c r="Q3359" i="5"/>
  <c r="S3359" i="5"/>
  <c r="P3360" i="5"/>
  <c r="Q3360" i="5"/>
  <c r="S3360" i="5"/>
  <c r="R3361" i="5"/>
  <c r="P3361" i="5"/>
  <c r="Q3361" i="5"/>
  <c r="S3361" i="5"/>
  <c r="R3362" i="5"/>
  <c r="P3362" i="5"/>
  <c r="Q3362" i="5"/>
  <c r="S3362" i="5"/>
  <c r="R3363" i="5"/>
  <c r="P3363" i="5"/>
  <c r="Q3363" i="5"/>
  <c r="S3363" i="5"/>
  <c r="P3364" i="5"/>
  <c r="Q3364" i="5"/>
  <c r="R3365" i="5"/>
  <c r="P3365" i="5"/>
  <c r="Q3365" i="5"/>
  <c r="S3365" i="5"/>
  <c r="P3366" i="5"/>
  <c r="Q3366" i="5"/>
  <c r="S3366" i="5"/>
  <c r="P3367" i="5"/>
  <c r="Q3367" i="5"/>
  <c r="S3367" i="5"/>
  <c r="R3368" i="5"/>
  <c r="P3368" i="5"/>
  <c r="Q3368" i="5"/>
  <c r="S3368" i="5"/>
  <c r="R3369" i="5"/>
  <c r="P3369" i="5"/>
  <c r="Q3369" i="5"/>
  <c r="S3369" i="5"/>
  <c r="R3370" i="5"/>
  <c r="P3370" i="5"/>
  <c r="Q3370" i="5"/>
  <c r="S3370" i="5"/>
  <c r="P3371" i="5"/>
  <c r="Q3371" i="5"/>
  <c r="P3372" i="5"/>
  <c r="Q3372" i="5"/>
  <c r="S3372" i="5"/>
  <c r="P3373" i="5"/>
  <c r="Q3373" i="5"/>
  <c r="S3373" i="5"/>
  <c r="P3374" i="5"/>
  <c r="Q3374" i="5"/>
  <c r="S3374" i="5"/>
  <c r="R3375" i="5"/>
  <c r="P3375" i="5"/>
  <c r="Q3375" i="5"/>
  <c r="S3375" i="5"/>
  <c r="R3376" i="5"/>
  <c r="P3376" i="5"/>
  <c r="Q3376" i="5"/>
  <c r="S3376" i="5"/>
  <c r="R3377" i="5"/>
  <c r="P3377" i="5"/>
  <c r="Q3377" i="5"/>
  <c r="S3377" i="5"/>
  <c r="P3378" i="5"/>
  <c r="Q3378" i="5"/>
  <c r="R3379" i="5"/>
  <c r="P3379" i="5"/>
  <c r="Q3379" i="5"/>
  <c r="S3379" i="5"/>
  <c r="R3380" i="5"/>
  <c r="P3380" i="5"/>
  <c r="Q3380" i="5"/>
  <c r="S3380" i="5"/>
  <c r="P3381" i="5"/>
  <c r="Q3381" i="5"/>
  <c r="R3381" i="5"/>
  <c r="S3381" i="5"/>
  <c r="P3382" i="5"/>
  <c r="Q3382" i="5"/>
  <c r="R3383" i="5"/>
  <c r="P3383" i="5"/>
  <c r="Q3383" i="5"/>
  <c r="S3383" i="5"/>
  <c r="R3384" i="5"/>
  <c r="P3384" i="5"/>
  <c r="Q3384" i="5"/>
  <c r="S3384" i="5"/>
  <c r="R3385" i="5"/>
  <c r="P3385" i="5"/>
  <c r="Q3385" i="5"/>
  <c r="S3385" i="5"/>
  <c r="P3386" i="5"/>
  <c r="Q3386" i="5"/>
  <c r="P3387" i="5"/>
  <c r="Q3387" i="5"/>
  <c r="S3387" i="5"/>
  <c r="R3388" i="5"/>
  <c r="P3388" i="5"/>
  <c r="Q3388" i="5"/>
  <c r="S3388" i="5"/>
  <c r="R3389" i="5"/>
  <c r="P3389" i="5"/>
  <c r="Q3389" i="5"/>
  <c r="S3389" i="5"/>
  <c r="R3390" i="5"/>
  <c r="P3390" i="5"/>
  <c r="Q3390" i="5"/>
  <c r="S3390" i="5"/>
  <c r="P3391" i="5"/>
  <c r="Q3391" i="5"/>
  <c r="R3392" i="5"/>
  <c r="P3392" i="5"/>
  <c r="Q3392" i="5"/>
  <c r="S3392" i="5"/>
  <c r="R3393" i="5"/>
  <c r="P3393" i="5"/>
  <c r="Q3393" i="5"/>
  <c r="S3393" i="5"/>
  <c r="R3394" i="5"/>
  <c r="P3394" i="5"/>
  <c r="Q3394" i="5"/>
  <c r="S3394" i="5"/>
  <c r="P3395" i="5"/>
  <c r="Q3395" i="5"/>
  <c r="R3396" i="5"/>
  <c r="P3396" i="5"/>
  <c r="Q3396" i="5"/>
  <c r="S3396" i="5"/>
  <c r="R3397" i="5"/>
  <c r="P3397" i="5"/>
  <c r="Q3397" i="5"/>
  <c r="S3397" i="5"/>
  <c r="R3398" i="5"/>
  <c r="P3398" i="5"/>
  <c r="Q3398" i="5"/>
  <c r="S3398" i="5"/>
  <c r="P3399" i="5"/>
  <c r="Q3399" i="5"/>
  <c r="P3400" i="5"/>
  <c r="Q3400" i="5"/>
  <c r="S3400" i="5"/>
  <c r="P3401" i="5"/>
  <c r="Q3401" i="5"/>
  <c r="S3401" i="5"/>
  <c r="P3402" i="5"/>
  <c r="Q3402" i="5"/>
  <c r="S3402" i="5"/>
  <c r="R3403" i="5"/>
  <c r="P3403" i="5"/>
  <c r="Q3403" i="5"/>
  <c r="S3403" i="5"/>
  <c r="R3404" i="5"/>
  <c r="P3404" i="5"/>
  <c r="Q3404" i="5"/>
  <c r="S3404" i="5"/>
  <c r="R3405" i="5"/>
  <c r="P3405" i="5"/>
  <c r="Q3405" i="5"/>
  <c r="S3405" i="5"/>
  <c r="P3406" i="5"/>
  <c r="Q3406" i="5"/>
  <c r="P3407" i="5"/>
  <c r="Q3407" i="5"/>
  <c r="S3407" i="5"/>
  <c r="P3408" i="5"/>
  <c r="Q3408" i="5"/>
  <c r="S3408" i="5"/>
  <c r="P3409" i="5"/>
  <c r="Q3409" i="5"/>
  <c r="S3409" i="5"/>
  <c r="R3410" i="5"/>
  <c r="P3410" i="5"/>
  <c r="Q3410" i="5"/>
  <c r="S3410" i="5"/>
  <c r="R3411" i="5"/>
  <c r="P3411" i="5"/>
  <c r="Q3411" i="5"/>
  <c r="S3411" i="5"/>
  <c r="R3412" i="5"/>
  <c r="P3412" i="5"/>
  <c r="Q3412" i="5"/>
  <c r="S3412" i="5"/>
  <c r="P3413" i="5"/>
  <c r="Q3413" i="5"/>
  <c r="P3414" i="5"/>
  <c r="Q3414" i="5"/>
  <c r="S3414" i="5"/>
  <c r="P3415" i="5"/>
  <c r="Q3415" i="5"/>
  <c r="S3415" i="5"/>
  <c r="P3416" i="5"/>
  <c r="Q3416" i="5"/>
  <c r="S3416" i="5"/>
  <c r="R3417" i="5"/>
  <c r="P3417" i="5"/>
  <c r="Q3417" i="5"/>
  <c r="S3417" i="5"/>
  <c r="R3418" i="5"/>
  <c r="P3418" i="5"/>
  <c r="Q3418" i="5"/>
  <c r="S3418" i="5"/>
  <c r="R3419" i="5"/>
  <c r="P3419" i="5"/>
  <c r="Q3419" i="5"/>
  <c r="S3419" i="5"/>
  <c r="P3420" i="5"/>
  <c r="Q3420" i="5"/>
  <c r="P3421" i="5"/>
  <c r="Q3421" i="5"/>
  <c r="S3421" i="5"/>
  <c r="R3422" i="5"/>
  <c r="P3422" i="5"/>
  <c r="Q3422" i="5"/>
  <c r="S3422" i="5"/>
  <c r="R3423" i="5"/>
  <c r="P3423" i="5"/>
  <c r="Q3423" i="5"/>
  <c r="S3423" i="5"/>
  <c r="R3424" i="5"/>
  <c r="P3424" i="5"/>
  <c r="Q3424" i="5"/>
  <c r="S3424" i="5"/>
  <c r="P3425" i="5"/>
  <c r="Q3425" i="5"/>
  <c r="P3426" i="5"/>
  <c r="Q3426" i="5"/>
  <c r="S3426" i="5"/>
  <c r="R3427" i="5"/>
  <c r="P3427" i="5"/>
  <c r="Q3427" i="5"/>
  <c r="S3427" i="5"/>
  <c r="R3428" i="5"/>
  <c r="P3428" i="5"/>
  <c r="Q3428" i="5"/>
  <c r="S3428" i="5"/>
  <c r="R3429" i="5"/>
  <c r="P3429" i="5"/>
  <c r="Q3429" i="5"/>
  <c r="S3429" i="5"/>
  <c r="P3430" i="5"/>
  <c r="Q3430" i="5"/>
  <c r="P3431" i="5"/>
  <c r="Q3431" i="5"/>
  <c r="S3431" i="5"/>
  <c r="R3432" i="5"/>
  <c r="P3432" i="5"/>
  <c r="Q3432" i="5"/>
  <c r="S3432" i="5"/>
  <c r="R3433" i="5"/>
  <c r="P3433" i="5"/>
  <c r="Q3433" i="5"/>
  <c r="S3433" i="5"/>
  <c r="P3434" i="5"/>
  <c r="Q3434" i="5"/>
  <c r="R3434" i="5"/>
  <c r="S3434" i="5"/>
  <c r="P3435" i="5"/>
  <c r="Q3435" i="5"/>
  <c r="R3436" i="5"/>
  <c r="P3436" i="5"/>
  <c r="Q3436" i="5"/>
  <c r="S3436" i="5"/>
  <c r="R3437" i="5"/>
  <c r="P3437" i="5"/>
  <c r="Q3437" i="5"/>
  <c r="S3437" i="5"/>
  <c r="R3438" i="5"/>
  <c r="P3438" i="5"/>
  <c r="Q3438" i="5"/>
  <c r="S3438" i="5"/>
  <c r="P3439" i="5"/>
  <c r="Q3439" i="5"/>
  <c r="R3440" i="5"/>
  <c r="P3440" i="5"/>
  <c r="Q3440" i="5"/>
  <c r="S3440" i="5"/>
  <c r="R3441" i="5"/>
  <c r="P3441" i="5"/>
  <c r="Q3441" i="5"/>
  <c r="S3441" i="5"/>
  <c r="R3442" i="5"/>
  <c r="P3442" i="5"/>
  <c r="Q3442" i="5"/>
  <c r="S3442" i="5"/>
  <c r="Q3443" i="5"/>
  <c r="Q3444" i="5"/>
  <c r="S3444" i="5"/>
  <c r="Q3445" i="5"/>
  <c r="S3445" i="5"/>
  <c r="Q3446" i="5"/>
  <c r="S3446" i="5"/>
  <c r="Q3447" i="5"/>
  <c r="S3447" i="5"/>
  <c r="R3448" i="5"/>
  <c r="P3448" i="5"/>
  <c r="Q3448" i="5"/>
  <c r="S3448" i="5"/>
  <c r="R3449" i="5"/>
  <c r="P3449" i="5"/>
  <c r="Q3449" i="5"/>
  <c r="S3449" i="5"/>
  <c r="R3450" i="5"/>
  <c r="P3450" i="5"/>
  <c r="Q3450" i="5"/>
  <c r="S3450" i="5"/>
  <c r="R3451" i="5"/>
  <c r="P3451" i="5"/>
  <c r="Q3451" i="5"/>
  <c r="S3451" i="5"/>
  <c r="R3452" i="5"/>
  <c r="P3452" i="5"/>
  <c r="Q3452" i="5"/>
  <c r="S3452" i="5"/>
  <c r="Q3453" i="5"/>
  <c r="Q3454" i="5"/>
  <c r="S3454" i="5"/>
  <c r="Q3455" i="5"/>
  <c r="S3455" i="5"/>
  <c r="Q3456" i="5"/>
  <c r="S3456" i="5"/>
  <c r="R3457" i="5"/>
  <c r="P3457" i="5"/>
  <c r="Q3457" i="5"/>
  <c r="S3457" i="5"/>
  <c r="Q3458" i="5"/>
  <c r="S3458" i="5"/>
  <c r="R3459" i="5"/>
  <c r="P3459" i="5"/>
  <c r="Q3459" i="5"/>
  <c r="S3459" i="5"/>
  <c r="R3460" i="5"/>
  <c r="P3460" i="5"/>
  <c r="Q3460" i="5"/>
  <c r="S3460" i="5"/>
  <c r="R3461" i="5"/>
  <c r="P3461" i="5"/>
  <c r="Q3461" i="5"/>
  <c r="S3461" i="5"/>
  <c r="R3462" i="5"/>
  <c r="P3462" i="5"/>
  <c r="Q3462" i="5"/>
  <c r="S3462" i="5"/>
  <c r="R3463" i="5"/>
  <c r="P3463" i="5"/>
  <c r="Q3463" i="5"/>
  <c r="S3463" i="5"/>
  <c r="Q3464" i="5"/>
  <c r="Q3465" i="5"/>
  <c r="S3465" i="5"/>
  <c r="Q3466" i="5"/>
  <c r="S3466" i="5"/>
  <c r="Q3467" i="5"/>
  <c r="S3467" i="5"/>
  <c r="R3468" i="5"/>
  <c r="P3468" i="5"/>
  <c r="Q3468" i="5"/>
  <c r="S3468" i="5"/>
  <c r="Q3469" i="5"/>
  <c r="S3469" i="5"/>
  <c r="R3470" i="5"/>
  <c r="P3470" i="5"/>
  <c r="Q3470" i="5"/>
  <c r="S3470" i="5"/>
  <c r="R3471" i="5"/>
  <c r="P3471" i="5"/>
  <c r="Q3471" i="5"/>
  <c r="S3471" i="5"/>
  <c r="R3472" i="5"/>
  <c r="P3472" i="5"/>
  <c r="Q3472" i="5"/>
  <c r="S3472" i="5"/>
  <c r="R3473" i="5"/>
  <c r="P3473" i="5"/>
  <c r="Q3473" i="5"/>
  <c r="S3473" i="5"/>
  <c r="R3474" i="5"/>
  <c r="P3474" i="5"/>
  <c r="Q3474" i="5"/>
  <c r="S3474" i="5"/>
  <c r="R3475" i="5"/>
  <c r="P3475" i="5"/>
  <c r="Q3475" i="5"/>
  <c r="P3476" i="5"/>
  <c r="Q3476" i="5"/>
  <c r="S3476" i="5"/>
  <c r="P3477" i="5"/>
  <c r="Q3477" i="5"/>
  <c r="S3477" i="5"/>
  <c r="P3478" i="5"/>
  <c r="Q3478" i="5"/>
  <c r="S3478" i="5"/>
  <c r="P3479" i="5"/>
  <c r="Q3479" i="5"/>
  <c r="S3479" i="5"/>
  <c r="R3480" i="5"/>
  <c r="P3480" i="5"/>
  <c r="Q3480" i="5"/>
  <c r="S3480" i="5"/>
  <c r="R3481" i="5"/>
  <c r="P3481" i="5"/>
  <c r="Q3481" i="5"/>
  <c r="S3481" i="5"/>
  <c r="R3482" i="5"/>
  <c r="P3482" i="5"/>
  <c r="Q3482" i="5"/>
  <c r="S3482" i="5"/>
  <c r="R3483" i="5"/>
  <c r="P3483" i="5"/>
  <c r="Q3483" i="5"/>
  <c r="Q3484" i="5"/>
  <c r="S3484" i="5"/>
  <c r="P3485" i="5"/>
  <c r="Q3485" i="5"/>
  <c r="S3485" i="5"/>
  <c r="Q3486" i="5"/>
  <c r="S3486" i="5"/>
  <c r="P3487" i="5"/>
  <c r="Q3487" i="5"/>
  <c r="S3487" i="5"/>
  <c r="P3488" i="5"/>
  <c r="Q3488" i="5"/>
  <c r="S3488" i="5"/>
  <c r="Q3489" i="5"/>
  <c r="S3489" i="5"/>
  <c r="Q3490" i="5"/>
  <c r="S3490" i="5"/>
  <c r="Q3491" i="5"/>
  <c r="S3491" i="5"/>
  <c r="R3492" i="5"/>
  <c r="Q3492" i="5"/>
  <c r="S3492" i="5"/>
  <c r="P3493" i="5"/>
  <c r="Q3493" i="5"/>
  <c r="S3493" i="5"/>
  <c r="R3494" i="5"/>
  <c r="P3494" i="5"/>
  <c r="Q3494" i="5"/>
  <c r="S3494" i="5"/>
  <c r="R3495" i="5"/>
  <c r="P3495" i="5"/>
  <c r="Q3495" i="5"/>
  <c r="S3495" i="5"/>
  <c r="R3496" i="5"/>
  <c r="P3496" i="5"/>
  <c r="Q3496" i="5"/>
  <c r="S3496" i="5"/>
  <c r="R3497" i="5"/>
  <c r="P3497" i="5"/>
  <c r="Q3497" i="5"/>
  <c r="S3497" i="5"/>
  <c r="R3498" i="5"/>
  <c r="P3498" i="5"/>
  <c r="Q3498" i="5"/>
  <c r="S3498" i="5"/>
  <c r="R3499" i="5"/>
  <c r="P3499" i="5"/>
  <c r="Q3499" i="5"/>
  <c r="S3499" i="5"/>
  <c r="R3500" i="5"/>
  <c r="P3500" i="5"/>
  <c r="Q3500" i="5"/>
  <c r="P3501" i="5"/>
  <c r="Q3501" i="5"/>
  <c r="S3501" i="5"/>
  <c r="P3502" i="5"/>
  <c r="Q3502" i="5"/>
  <c r="S3502" i="5"/>
  <c r="P3503" i="5"/>
  <c r="Q3503" i="5"/>
  <c r="S3503" i="5"/>
  <c r="P3504" i="5"/>
  <c r="Q3504" i="5"/>
  <c r="S3504" i="5"/>
  <c r="R3505" i="5"/>
  <c r="P3505" i="5"/>
  <c r="Q3505" i="5"/>
  <c r="S3505" i="5"/>
  <c r="R3506" i="5"/>
  <c r="P3506" i="5"/>
  <c r="Q3506" i="5"/>
  <c r="S3506" i="5"/>
  <c r="R3507" i="5"/>
  <c r="P3507" i="5"/>
  <c r="Q3507" i="5"/>
  <c r="S3507" i="5"/>
  <c r="R3508" i="5"/>
  <c r="P3508" i="5"/>
  <c r="Q3508" i="5"/>
  <c r="Q3509" i="5"/>
  <c r="S3509" i="5"/>
  <c r="P3510" i="5"/>
  <c r="Q3510" i="5"/>
  <c r="S3510" i="5"/>
  <c r="Q3511" i="5"/>
  <c r="S3511" i="5"/>
  <c r="P3512" i="5"/>
  <c r="Q3512" i="5"/>
  <c r="S3512" i="5"/>
  <c r="P3513" i="5"/>
  <c r="Q3513" i="5"/>
  <c r="S3513" i="5"/>
  <c r="Q3514" i="5"/>
  <c r="S3514" i="5"/>
  <c r="Q3515" i="5"/>
  <c r="S3515" i="5"/>
  <c r="Q3516" i="5"/>
  <c r="S3516" i="5"/>
  <c r="R3517" i="5"/>
  <c r="Q3517" i="5"/>
  <c r="S3517" i="5"/>
  <c r="P3518" i="5"/>
  <c r="Q3518" i="5"/>
  <c r="S3518" i="5"/>
  <c r="R3519" i="5"/>
  <c r="P3519" i="5"/>
  <c r="Q3519" i="5"/>
  <c r="S3519" i="5"/>
  <c r="R3520" i="5"/>
  <c r="P3520" i="5"/>
  <c r="Q3520" i="5"/>
  <c r="S3520" i="5"/>
  <c r="R3521" i="5"/>
  <c r="P3521" i="5"/>
  <c r="Q3521" i="5"/>
  <c r="S3521" i="5"/>
  <c r="R3522" i="5"/>
  <c r="P3522" i="5"/>
  <c r="Q3522" i="5"/>
  <c r="S3522" i="5"/>
  <c r="R3523" i="5"/>
  <c r="P3523" i="5"/>
  <c r="Q3523" i="5"/>
  <c r="S3523" i="5"/>
  <c r="R3524" i="5"/>
  <c r="P3524" i="5"/>
  <c r="Q3524" i="5"/>
  <c r="S3524" i="5"/>
  <c r="R3525" i="5"/>
  <c r="P3525" i="5"/>
  <c r="Q3525" i="5"/>
  <c r="P3526" i="5"/>
  <c r="Q3526" i="5"/>
  <c r="S3526" i="5"/>
  <c r="P3527" i="5"/>
  <c r="Q3527" i="5"/>
  <c r="S3527" i="5"/>
  <c r="Q3528" i="5"/>
  <c r="S3528" i="5"/>
  <c r="Q3529" i="5"/>
  <c r="S3529" i="5"/>
  <c r="R3530" i="5"/>
  <c r="P3530" i="5"/>
  <c r="Q3530" i="5"/>
  <c r="S3530" i="5"/>
  <c r="R3531" i="5"/>
  <c r="P3531" i="5"/>
  <c r="Q3531" i="5"/>
  <c r="S3531" i="5"/>
  <c r="R3532" i="5"/>
  <c r="P3532" i="5"/>
  <c r="Q3532" i="5"/>
  <c r="S3532" i="5"/>
  <c r="R3533" i="5"/>
  <c r="P3533" i="5"/>
  <c r="Q3533" i="5"/>
  <c r="S3533" i="5"/>
  <c r="R3534" i="5"/>
  <c r="P3534" i="5"/>
  <c r="Q3534" i="5"/>
  <c r="S3534" i="5"/>
  <c r="P3535" i="5"/>
  <c r="Q3535" i="5"/>
  <c r="P3536" i="5"/>
  <c r="Q3536" i="5"/>
  <c r="S3536" i="5"/>
  <c r="Q3537" i="5"/>
  <c r="S3537" i="5"/>
  <c r="Q3538" i="5"/>
  <c r="S3538" i="5"/>
  <c r="R3539" i="5"/>
  <c r="P3539" i="5"/>
  <c r="Q3539" i="5"/>
  <c r="S3539" i="5"/>
  <c r="R3540" i="5"/>
  <c r="P3540" i="5"/>
  <c r="Q3540" i="5"/>
  <c r="S3540" i="5"/>
  <c r="R3541" i="5"/>
  <c r="P3541" i="5"/>
  <c r="Q3541" i="5"/>
  <c r="S3541" i="5"/>
  <c r="R3542" i="5"/>
  <c r="P3542" i="5"/>
  <c r="Q3542" i="5"/>
  <c r="S3542" i="5"/>
  <c r="R3543" i="5"/>
  <c r="P3543" i="5"/>
  <c r="Q3543" i="5"/>
  <c r="S3543" i="5"/>
  <c r="P3544" i="5"/>
  <c r="Q3544" i="5"/>
  <c r="P3545" i="5"/>
  <c r="Q3545" i="5"/>
  <c r="S3545" i="5"/>
  <c r="P3546" i="5"/>
  <c r="Q3546" i="5"/>
  <c r="S3546" i="5"/>
  <c r="P3547" i="5"/>
  <c r="Q3547" i="5"/>
  <c r="S3547" i="5"/>
  <c r="R3548" i="5"/>
  <c r="P3548" i="5"/>
  <c r="Q3548" i="5"/>
  <c r="S3548" i="5"/>
  <c r="P3549" i="5"/>
  <c r="Q3549" i="5"/>
  <c r="R3549" i="5"/>
  <c r="S3549" i="5"/>
  <c r="R3550" i="5"/>
  <c r="P3550" i="5"/>
  <c r="Q3550" i="5"/>
  <c r="S3550" i="5"/>
  <c r="Q3551" i="5"/>
  <c r="P3552" i="5"/>
  <c r="Q3552" i="5"/>
  <c r="S3552" i="5"/>
  <c r="Q3553" i="5"/>
  <c r="S3553" i="5"/>
  <c r="P3554" i="5"/>
  <c r="Q3554" i="5"/>
  <c r="S3554" i="5"/>
  <c r="P3555" i="5"/>
  <c r="Q3555" i="5"/>
  <c r="S3555" i="5"/>
  <c r="Q3556" i="5"/>
  <c r="S3556" i="5"/>
  <c r="Q3557" i="5"/>
  <c r="S3557" i="5"/>
  <c r="Q3558" i="5"/>
  <c r="S3558" i="5"/>
  <c r="R3559" i="5"/>
  <c r="Q3559" i="5"/>
  <c r="S3559" i="5"/>
  <c r="P3560" i="5"/>
  <c r="Q3560" i="5"/>
  <c r="S3560" i="5"/>
  <c r="R3561" i="5"/>
  <c r="P3561" i="5"/>
  <c r="Q3561" i="5"/>
  <c r="S3561" i="5"/>
  <c r="P3562" i="5"/>
  <c r="Q3562" i="5"/>
  <c r="R3562" i="5"/>
  <c r="S3562" i="5"/>
  <c r="R3563" i="5"/>
  <c r="P3563" i="5"/>
  <c r="Q3563" i="5"/>
  <c r="S3563" i="5"/>
  <c r="R3564" i="5"/>
  <c r="P3564" i="5"/>
  <c r="Q3564" i="5"/>
  <c r="S3564" i="5"/>
  <c r="R3565" i="5"/>
  <c r="P3565" i="5"/>
  <c r="Q3565" i="5"/>
  <c r="S3565" i="5"/>
  <c r="R3566" i="5"/>
  <c r="P3566" i="5"/>
  <c r="Q3566" i="5"/>
  <c r="S3566" i="5"/>
  <c r="P3567" i="5"/>
  <c r="Q3567" i="5"/>
  <c r="P3568" i="5"/>
  <c r="Q3568" i="5"/>
  <c r="S3568" i="5"/>
  <c r="P3569" i="5"/>
  <c r="Q3569" i="5"/>
  <c r="S3569" i="5"/>
  <c r="R3570" i="5"/>
  <c r="P3570" i="5"/>
  <c r="Q3570" i="5"/>
  <c r="S3570" i="5"/>
  <c r="R3571" i="5"/>
  <c r="P3571" i="5"/>
  <c r="Q3571" i="5"/>
  <c r="S3571" i="5"/>
  <c r="R3572" i="5"/>
  <c r="P3572" i="5"/>
  <c r="Q3572" i="5"/>
  <c r="S3572" i="5"/>
  <c r="P3573" i="5"/>
  <c r="Q3573" i="5"/>
  <c r="P3574" i="5"/>
  <c r="Q3574" i="5"/>
  <c r="S3574" i="5"/>
  <c r="R3575" i="5"/>
  <c r="P3575" i="5"/>
  <c r="Q3575" i="5"/>
  <c r="S3575" i="5"/>
  <c r="R3576" i="5"/>
  <c r="P3576" i="5"/>
  <c r="Q3576" i="5"/>
  <c r="S3576" i="5"/>
  <c r="R3577" i="5"/>
  <c r="P3577" i="5"/>
  <c r="Q3577" i="5"/>
  <c r="S3577" i="5"/>
  <c r="P3578" i="5"/>
  <c r="Q3578" i="5"/>
  <c r="R3578" i="5"/>
  <c r="S3578" i="5"/>
  <c r="R3579" i="5"/>
  <c r="P3579" i="5"/>
  <c r="Q3579" i="5"/>
  <c r="Q3580" i="5"/>
  <c r="S3580" i="5"/>
  <c r="Q3581" i="5"/>
  <c r="S3581" i="5"/>
  <c r="Q3582" i="5"/>
  <c r="S3582" i="5"/>
  <c r="Q3583" i="5"/>
  <c r="S3583" i="5"/>
  <c r="R3584" i="5"/>
  <c r="P3584" i="5"/>
  <c r="Q3584" i="5"/>
  <c r="S3584" i="5"/>
  <c r="R3585" i="5"/>
  <c r="P3585" i="5"/>
  <c r="Q3585" i="5"/>
  <c r="S3585" i="5"/>
  <c r="R3586" i="5"/>
  <c r="P3586" i="5"/>
  <c r="Q3586" i="5"/>
  <c r="S3586" i="5"/>
  <c r="P3587" i="5"/>
  <c r="Q3587" i="5"/>
  <c r="Q3588" i="5"/>
  <c r="S3588" i="5"/>
  <c r="R3589" i="5"/>
  <c r="P3589" i="5"/>
  <c r="Q3589" i="5"/>
  <c r="S3589" i="5"/>
  <c r="P3590" i="5"/>
  <c r="Q3590" i="5"/>
  <c r="S3590" i="5"/>
  <c r="R3591" i="5"/>
  <c r="P3591" i="5"/>
  <c r="Q3591" i="5"/>
  <c r="S3591" i="5"/>
  <c r="R3592" i="5"/>
  <c r="P3592" i="5"/>
  <c r="Q3592" i="5"/>
  <c r="S3592" i="5"/>
  <c r="R3593" i="5"/>
  <c r="P3593" i="5"/>
  <c r="Q3593" i="5"/>
  <c r="S3593" i="5"/>
  <c r="P3594" i="5"/>
  <c r="Q3594" i="5"/>
  <c r="P3595" i="5"/>
  <c r="Q3595" i="5"/>
  <c r="S3595" i="5"/>
  <c r="R3596" i="5"/>
  <c r="P3596" i="5"/>
  <c r="Q3596" i="5"/>
  <c r="S3596" i="5"/>
  <c r="R3597" i="5"/>
  <c r="P3597" i="5"/>
  <c r="Q3597" i="5"/>
  <c r="S3597" i="5"/>
  <c r="R3598" i="5"/>
  <c r="P3598" i="5"/>
  <c r="Q3598" i="5"/>
  <c r="S3598" i="5"/>
  <c r="P3599" i="5"/>
  <c r="Q3599" i="5"/>
  <c r="P3600" i="5"/>
  <c r="Q3600" i="5"/>
  <c r="S3600" i="5"/>
  <c r="P3601" i="5"/>
  <c r="Q3601" i="5"/>
  <c r="S3601" i="5"/>
  <c r="P3602" i="5"/>
  <c r="Q3602" i="5"/>
  <c r="S3602" i="5"/>
  <c r="Q3603" i="5"/>
  <c r="S3603" i="5"/>
  <c r="R3604" i="5"/>
  <c r="P3604" i="5"/>
  <c r="Q3604" i="5"/>
  <c r="S3604" i="5"/>
  <c r="R3605" i="5"/>
  <c r="P3605" i="5"/>
  <c r="Q3605" i="5"/>
  <c r="S3605" i="5"/>
  <c r="R3606" i="5"/>
  <c r="P3606" i="5"/>
  <c r="Q3606" i="5"/>
  <c r="S3606" i="5"/>
  <c r="P3607" i="5"/>
  <c r="Q3607" i="5"/>
  <c r="P3608" i="5"/>
  <c r="Q3608" i="5"/>
  <c r="S3608" i="5"/>
  <c r="Q3609" i="5"/>
  <c r="S3609" i="5"/>
  <c r="R3610" i="5"/>
  <c r="P3610" i="5"/>
  <c r="Q3610" i="5"/>
  <c r="S3610" i="5"/>
  <c r="R3611" i="5"/>
  <c r="P3611" i="5"/>
  <c r="Q3611" i="5"/>
  <c r="S3611" i="5"/>
  <c r="R3612" i="5"/>
  <c r="P3612" i="5"/>
  <c r="Q3612" i="5"/>
  <c r="S3612" i="5"/>
  <c r="P3613" i="5"/>
  <c r="Q3613" i="5"/>
  <c r="P3614" i="5"/>
  <c r="Q3614" i="5"/>
  <c r="S3614" i="5"/>
  <c r="P3615" i="5"/>
  <c r="Q3615" i="5"/>
  <c r="S3615" i="5"/>
  <c r="P3616" i="5"/>
  <c r="Q3616" i="5"/>
  <c r="S3616" i="5"/>
  <c r="R3617" i="5"/>
  <c r="P3617" i="5"/>
  <c r="Q3617" i="5"/>
  <c r="S3617" i="5"/>
  <c r="R3618" i="5"/>
  <c r="P3618" i="5"/>
  <c r="Q3618" i="5"/>
  <c r="S3618" i="5"/>
  <c r="R3619" i="5"/>
  <c r="P3619" i="5"/>
  <c r="Q3619" i="5"/>
  <c r="S3619" i="5"/>
  <c r="P3620" i="5"/>
  <c r="Q3620" i="5"/>
  <c r="P3621" i="5"/>
  <c r="Q3621" i="5"/>
  <c r="S3621" i="5"/>
  <c r="P3622" i="5"/>
  <c r="Q3622" i="5"/>
  <c r="S3622" i="5"/>
  <c r="R3623" i="5"/>
  <c r="P3623" i="5"/>
  <c r="Q3623" i="5"/>
  <c r="S3623" i="5"/>
  <c r="R3624" i="5"/>
  <c r="P3624" i="5"/>
  <c r="Q3624" i="5"/>
  <c r="S3624" i="5"/>
  <c r="R3625" i="5"/>
  <c r="P3625" i="5"/>
  <c r="Q3625" i="5"/>
  <c r="S3625" i="5"/>
  <c r="P3626" i="5"/>
  <c r="Q3626" i="5"/>
  <c r="P3627" i="5"/>
  <c r="Q3627" i="5"/>
  <c r="S3627" i="5"/>
  <c r="P3628" i="5"/>
  <c r="Q3628" i="5"/>
  <c r="S3628" i="5"/>
  <c r="P3629" i="5"/>
  <c r="Q3629" i="5"/>
  <c r="S3629" i="5"/>
  <c r="P3630" i="5"/>
  <c r="Q3630" i="5"/>
  <c r="S3630" i="5"/>
  <c r="P3631" i="5"/>
  <c r="Q3631" i="5"/>
  <c r="S3631" i="5"/>
  <c r="P3632" i="5"/>
  <c r="Q3632" i="5"/>
  <c r="S3632" i="5"/>
  <c r="R3633" i="5"/>
  <c r="P3633" i="5"/>
  <c r="Q3633" i="5"/>
  <c r="S3633" i="5"/>
  <c r="R3634" i="5"/>
  <c r="P3634" i="5"/>
  <c r="Q3634" i="5"/>
  <c r="S3634" i="5"/>
  <c r="R3635" i="5"/>
  <c r="P3635" i="5"/>
  <c r="Q3635" i="5"/>
  <c r="S3635" i="5"/>
  <c r="P3636" i="5"/>
  <c r="Q3636" i="5"/>
  <c r="P3637" i="5"/>
  <c r="Q3637" i="5"/>
  <c r="S3637" i="5"/>
  <c r="R3638" i="5"/>
  <c r="P3638" i="5"/>
  <c r="Q3638" i="5"/>
  <c r="S3638" i="5"/>
  <c r="R3639" i="5"/>
  <c r="P3639" i="5"/>
  <c r="Q3639" i="5"/>
  <c r="S3639" i="5"/>
  <c r="R3640" i="5"/>
  <c r="P3640" i="5"/>
  <c r="Q3640" i="5"/>
  <c r="S3640" i="5"/>
  <c r="P3641" i="5"/>
  <c r="Q3641" i="5"/>
  <c r="P3642" i="5"/>
  <c r="Q3642" i="5"/>
  <c r="S3642" i="5"/>
  <c r="R3643" i="5"/>
  <c r="P3643" i="5"/>
  <c r="Q3643" i="5"/>
  <c r="S3643" i="5"/>
  <c r="R3644" i="5"/>
  <c r="P3644" i="5"/>
  <c r="Q3644" i="5"/>
  <c r="S3644" i="5"/>
  <c r="R3645" i="5"/>
  <c r="P3645" i="5"/>
  <c r="Q3645" i="5"/>
  <c r="S3645" i="5"/>
  <c r="P3646" i="5"/>
  <c r="Q3646" i="5"/>
  <c r="P3647" i="5"/>
  <c r="Q3647" i="5"/>
  <c r="S3647" i="5"/>
  <c r="Q3648" i="5"/>
  <c r="S3648" i="5"/>
  <c r="P3649" i="5"/>
  <c r="Q3649" i="5"/>
  <c r="S3649" i="5"/>
  <c r="P3650" i="5"/>
  <c r="Q3650" i="5"/>
  <c r="S3650" i="5"/>
  <c r="R3651" i="5"/>
  <c r="P3651" i="5"/>
  <c r="Q3651" i="5"/>
  <c r="S3651" i="5"/>
  <c r="R3652" i="5"/>
  <c r="P3652" i="5"/>
  <c r="Q3652" i="5"/>
  <c r="S3652" i="5"/>
  <c r="R3653" i="5"/>
  <c r="P3653" i="5"/>
  <c r="Q3653" i="5"/>
  <c r="S3653" i="5"/>
  <c r="P3654" i="5"/>
  <c r="Q3654" i="5"/>
  <c r="R3655" i="5"/>
  <c r="P3655" i="5"/>
  <c r="Q3655" i="5"/>
  <c r="S3655" i="5"/>
  <c r="P3656" i="5"/>
  <c r="Q3656" i="5"/>
  <c r="R3656" i="5"/>
  <c r="S3656" i="5"/>
  <c r="R3657" i="5"/>
  <c r="P3657" i="5"/>
  <c r="Q3657" i="5"/>
  <c r="S3657" i="5"/>
  <c r="P3658" i="5"/>
  <c r="Q3658" i="5"/>
  <c r="P3659" i="5"/>
  <c r="Q3659" i="5"/>
  <c r="S3659" i="5"/>
  <c r="P3660" i="5"/>
  <c r="Q3660" i="5"/>
  <c r="S3660" i="5"/>
  <c r="P3661" i="5"/>
  <c r="Q3661" i="5"/>
  <c r="R3661" i="5"/>
  <c r="S3661" i="5"/>
  <c r="R3662" i="5"/>
  <c r="P3662" i="5"/>
  <c r="Q3662" i="5"/>
  <c r="S3662" i="5"/>
  <c r="R3663" i="5"/>
  <c r="P3663" i="5"/>
  <c r="Q3663" i="5"/>
  <c r="S3663" i="5"/>
  <c r="P3664" i="5"/>
  <c r="Q3664" i="5"/>
  <c r="P3665" i="5"/>
  <c r="Q3665" i="5"/>
  <c r="S3665" i="5"/>
  <c r="P3666" i="5"/>
  <c r="Q3666" i="5"/>
  <c r="S3666" i="5"/>
  <c r="Q3667" i="5"/>
  <c r="S3667" i="5"/>
  <c r="Q3668" i="5"/>
  <c r="S3668" i="5"/>
  <c r="Q3669" i="5"/>
  <c r="S3669" i="5"/>
  <c r="Q3670" i="5"/>
  <c r="S3670" i="5"/>
  <c r="Q3671" i="5"/>
  <c r="S3671" i="5"/>
  <c r="Q3672" i="5"/>
  <c r="S3672" i="5"/>
  <c r="Q3673" i="5"/>
  <c r="S3673" i="5"/>
  <c r="P3674" i="5"/>
  <c r="Q3674" i="5"/>
  <c r="R3674" i="5"/>
  <c r="S3674" i="5"/>
  <c r="R3675" i="5"/>
  <c r="P3675" i="5"/>
  <c r="Q3675" i="5"/>
  <c r="S3675" i="5"/>
  <c r="R3676" i="5"/>
  <c r="P3676" i="5"/>
  <c r="Q3676" i="5"/>
  <c r="S3676" i="5"/>
  <c r="R3677" i="5"/>
  <c r="P3677" i="5"/>
  <c r="Q3677" i="5"/>
  <c r="S3677" i="5"/>
  <c r="R3678" i="5"/>
  <c r="P3678" i="5"/>
  <c r="Q3678" i="5"/>
  <c r="S3678" i="5"/>
  <c r="Q3679" i="5"/>
  <c r="Q3680" i="5"/>
  <c r="S3680" i="5"/>
  <c r="Q3681" i="5"/>
  <c r="S3681" i="5"/>
  <c r="P3682" i="5"/>
  <c r="Q3682" i="5"/>
  <c r="R3682" i="5"/>
  <c r="S3682" i="5"/>
  <c r="R3683" i="5"/>
  <c r="P3683" i="5"/>
  <c r="Q3683" i="5"/>
  <c r="S3683" i="5"/>
  <c r="R3684" i="5"/>
  <c r="P3684" i="5"/>
  <c r="Q3684" i="5"/>
  <c r="S3684" i="5"/>
  <c r="R3685" i="5"/>
  <c r="P3685" i="5"/>
  <c r="Q3685" i="5"/>
  <c r="S3685" i="5"/>
  <c r="R3686" i="5"/>
  <c r="P3686" i="5"/>
  <c r="Q3686" i="5"/>
  <c r="S3686" i="5"/>
  <c r="P3687" i="5"/>
  <c r="Q3687" i="5"/>
  <c r="P3688" i="5"/>
  <c r="Q3688" i="5"/>
  <c r="S3688" i="5"/>
  <c r="P3689" i="5"/>
  <c r="Q3689" i="5"/>
  <c r="S3689" i="5"/>
  <c r="P3690" i="5"/>
  <c r="Q3690" i="5"/>
  <c r="S3690" i="5"/>
  <c r="P3691" i="5"/>
  <c r="Q3691" i="5"/>
  <c r="S3691" i="5"/>
  <c r="Q3692" i="5"/>
  <c r="S3692" i="5"/>
  <c r="Q3693" i="5"/>
  <c r="S3693" i="5"/>
  <c r="R3694" i="5"/>
  <c r="P3694" i="5"/>
  <c r="Q3694" i="5"/>
  <c r="S3694" i="5"/>
  <c r="R3695" i="5"/>
  <c r="P3695" i="5"/>
  <c r="Q3695" i="5"/>
  <c r="S3695" i="5"/>
  <c r="R3696" i="5"/>
  <c r="P3696" i="5"/>
  <c r="Q3696" i="5"/>
  <c r="S3696" i="5"/>
  <c r="R3697" i="5"/>
  <c r="P3697" i="5"/>
  <c r="Q3697" i="5"/>
  <c r="S3697" i="5"/>
  <c r="P3698" i="5"/>
  <c r="Q3698" i="5"/>
  <c r="R3698" i="5"/>
  <c r="S3698" i="5"/>
  <c r="P3699" i="5"/>
  <c r="Q3699" i="5"/>
  <c r="P3700" i="5"/>
  <c r="Q3700" i="5"/>
  <c r="S3700" i="5"/>
  <c r="P3701" i="5"/>
  <c r="Q3701" i="5"/>
  <c r="S3701" i="5"/>
  <c r="P3702" i="5"/>
  <c r="Q3702" i="5"/>
  <c r="S3702" i="5"/>
  <c r="P3703" i="5"/>
  <c r="Q3703" i="5"/>
  <c r="S3703" i="5"/>
  <c r="P3704" i="5"/>
  <c r="Q3704" i="5"/>
  <c r="S3704" i="5"/>
  <c r="Q3705" i="5"/>
  <c r="S3705" i="5"/>
  <c r="Q3706" i="5"/>
  <c r="S3706" i="5"/>
  <c r="R3707" i="5"/>
  <c r="P3707" i="5"/>
  <c r="Q3707" i="5"/>
  <c r="S3707" i="5"/>
  <c r="R3708" i="5"/>
  <c r="P3708" i="5"/>
  <c r="Q3708" i="5"/>
  <c r="S3708" i="5"/>
  <c r="R3709" i="5"/>
  <c r="P3709" i="5"/>
  <c r="Q3709" i="5"/>
  <c r="S3709" i="5"/>
  <c r="R3710" i="5"/>
  <c r="P3710" i="5"/>
  <c r="Q3710" i="5"/>
  <c r="S3710" i="5"/>
  <c r="R3711" i="5"/>
  <c r="P3711" i="5"/>
  <c r="Q3711" i="5"/>
  <c r="S3711" i="5"/>
  <c r="Q3712" i="5"/>
  <c r="Q3713" i="5"/>
  <c r="S3713" i="5"/>
  <c r="Q3714" i="5"/>
  <c r="S3714" i="5"/>
  <c r="Q3715" i="5"/>
  <c r="S3715" i="5"/>
  <c r="R3716" i="5"/>
  <c r="P3716" i="5"/>
  <c r="Q3716" i="5"/>
  <c r="S3716" i="5"/>
  <c r="Q3717" i="5"/>
  <c r="S3717" i="5"/>
  <c r="R3718" i="5"/>
  <c r="P3718" i="5"/>
  <c r="Q3718" i="5"/>
  <c r="S3718" i="5"/>
  <c r="R3719" i="5"/>
  <c r="P3719" i="5"/>
  <c r="Q3719" i="5"/>
  <c r="S3719" i="5"/>
  <c r="R3720" i="5"/>
  <c r="P3720" i="5"/>
  <c r="Q3720" i="5"/>
  <c r="S3720" i="5"/>
  <c r="R3721" i="5"/>
  <c r="P3721" i="5"/>
  <c r="Q3721" i="5"/>
  <c r="S3721" i="5"/>
  <c r="P3722" i="5"/>
  <c r="Q3722" i="5"/>
  <c r="R3722" i="5"/>
  <c r="S3722" i="5"/>
  <c r="P3723" i="5"/>
  <c r="Q3723" i="5"/>
  <c r="R3724" i="5"/>
  <c r="P3724" i="5"/>
  <c r="Q3724" i="5"/>
  <c r="S3724" i="5"/>
  <c r="R3725" i="5"/>
  <c r="P3725" i="5"/>
  <c r="Q3725" i="5"/>
  <c r="S3725" i="5"/>
  <c r="R3726" i="5"/>
  <c r="P3726" i="5"/>
  <c r="Q3726" i="5"/>
  <c r="S3726" i="5"/>
  <c r="P3727" i="5"/>
  <c r="Q3727" i="5"/>
  <c r="P3728" i="5"/>
  <c r="Q3728" i="5"/>
  <c r="S3728" i="5"/>
  <c r="P3729" i="5"/>
  <c r="Q3729" i="5"/>
  <c r="S3729" i="5"/>
  <c r="P3730" i="5"/>
  <c r="Q3730" i="5"/>
  <c r="S3730" i="5"/>
  <c r="P3731" i="5"/>
  <c r="Q3731" i="5"/>
  <c r="S3731" i="5"/>
  <c r="P3732" i="5"/>
  <c r="Q3732" i="5"/>
  <c r="S3732" i="5"/>
  <c r="P3733" i="5"/>
  <c r="Q3733" i="5"/>
  <c r="S3733" i="5"/>
  <c r="R3734" i="5"/>
  <c r="P3734" i="5"/>
  <c r="Q3734" i="5"/>
  <c r="S3734" i="5"/>
  <c r="R3735" i="5"/>
  <c r="P3735" i="5"/>
  <c r="Q3735" i="5"/>
  <c r="S3735" i="5"/>
  <c r="R3736" i="5"/>
  <c r="P3736" i="5"/>
  <c r="Q3736" i="5"/>
  <c r="S3736" i="5"/>
  <c r="P3737" i="5"/>
  <c r="Q3737" i="5"/>
  <c r="Q3738" i="5"/>
  <c r="S3738" i="5"/>
  <c r="R3739" i="5"/>
  <c r="P3739" i="5"/>
  <c r="Q3739" i="5"/>
  <c r="S3739" i="5"/>
  <c r="R3740" i="5"/>
  <c r="P3740" i="5"/>
  <c r="Q3740" i="5"/>
  <c r="S3740" i="5"/>
  <c r="R3741" i="5"/>
  <c r="P3741" i="5"/>
  <c r="Q3741" i="5"/>
  <c r="S3741" i="5"/>
  <c r="R3742" i="5"/>
  <c r="Q3742" i="5"/>
  <c r="Q3743" i="5"/>
  <c r="S3743" i="5"/>
  <c r="Q3744" i="5"/>
  <c r="S3744" i="5"/>
  <c r="R3745" i="5"/>
  <c r="P3745" i="5"/>
  <c r="Q3745" i="5"/>
  <c r="S3745" i="5"/>
  <c r="P3746" i="5"/>
  <c r="Q3746" i="5"/>
  <c r="R3746" i="5"/>
  <c r="S3746" i="5"/>
  <c r="R3747" i="5"/>
  <c r="P3747" i="5"/>
  <c r="Q3747" i="5"/>
  <c r="S3747" i="5"/>
  <c r="R3748" i="5"/>
  <c r="P3748" i="5"/>
  <c r="Q3748" i="5"/>
  <c r="S3748" i="5"/>
  <c r="R3749" i="5"/>
  <c r="P3749" i="5"/>
  <c r="Q3749" i="5"/>
  <c r="S3749" i="5"/>
  <c r="R3750" i="5"/>
  <c r="P3750" i="5"/>
  <c r="Q3750" i="5"/>
  <c r="S3750" i="5"/>
  <c r="P3751" i="5"/>
  <c r="Q3751" i="5"/>
  <c r="P3752" i="5"/>
  <c r="Q3752" i="5"/>
  <c r="S3752" i="5"/>
  <c r="P3753" i="5"/>
  <c r="Q3753" i="5"/>
  <c r="S3753" i="5"/>
  <c r="P3754" i="5"/>
  <c r="Q3754" i="5"/>
  <c r="S3754" i="5"/>
  <c r="R3755" i="5"/>
  <c r="P3755" i="5"/>
  <c r="Q3755" i="5"/>
  <c r="S3755" i="5"/>
  <c r="R3756" i="5"/>
  <c r="P3756" i="5"/>
  <c r="Q3756" i="5"/>
  <c r="S3756" i="5"/>
  <c r="R3757" i="5"/>
  <c r="P3757" i="5"/>
  <c r="Q3757" i="5"/>
  <c r="S3757" i="5"/>
  <c r="P3758" i="5"/>
  <c r="Q3758" i="5"/>
  <c r="R3759" i="5"/>
  <c r="P3759" i="5"/>
  <c r="Q3759" i="5"/>
  <c r="S3759" i="5"/>
  <c r="R3760" i="5"/>
  <c r="P3760" i="5"/>
  <c r="Q3760" i="5"/>
  <c r="S3760" i="5"/>
  <c r="R3761" i="5"/>
  <c r="P3761" i="5"/>
  <c r="Q3761" i="5"/>
  <c r="S3761" i="5"/>
  <c r="P3762" i="5"/>
  <c r="Q3762" i="5"/>
  <c r="R3763" i="5"/>
  <c r="P3763" i="5"/>
  <c r="Q3763" i="5"/>
  <c r="S3763" i="5"/>
  <c r="R3764" i="5"/>
  <c r="P3764" i="5"/>
  <c r="Q3764" i="5"/>
  <c r="S3764" i="5"/>
  <c r="R3765" i="5"/>
  <c r="P3765" i="5"/>
  <c r="Q3765" i="5"/>
  <c r="S3765" i="5"/>
  <c r="P3766" i="5"/>
  <c r="Q3766" i="5"/>
  <c r="R3767" i="5"/>
  <c r="P3767" i="5"/>
  <c r="Q3767" i="5"/>
  <c r="S3767" i="5"/>
  <c r="P3768" i="5"/>
  <c r="Q3768" i="5"/>
  <c r="R3768" i="5"/>
  <c r="S3768" i="5"/>
  <c r="R3769" i="5"/>
  <c r="P3769" i="5"/>
  <c r="Q3769" i="5"/>
  <c r="S3769" i="5"/>
  <c r="Q3770" i="5"/>
  <c r="R3771" i="5"/>
  <c r="P3771" i="5"/>
  <c r="Q3771" i="5"/>
  <c r="S3771" i="5"/>
  <c r="R3772" i="5"/>
  <c r="P3772" i="5"/>
  <c r="Q3772" i="5"/>
  <c r="S3772" i="5"/>
  <c r="P3773" i="5"/>
  <c r="Q3773" i="5"/>
  <c r="R3773" i="5"/>
  <c r="S3773" i="5"/>
  <c r="R3774" i="5"/>
  <c r="P3774" i="5"/>
  <c r="Q3774" i="5"/>
  <c r="S3774" i="5"/>
  <c r="R3775" i="5"/>
  <c r="P3775" i="5"/>
  <c r="Q3775" i="5"/>
  <c r="S3775" i="5"/>
  <c r="Q3776" i="5"/>
  <c r="R3777" i="5"/>
  <c r="P3777" i="5"/>
  <c r="Q3777" i="5"/>
  <c r="S3777" i="5"/>
  <c r="R3778" i="5"/>
  <c r="P3778" i="5"/>
  <c r="Q3778" i="5"/>
  <c r="S3778" i="5"/>
  <c r="R3779" i="5"/>
  <c r="P3779" i="5"/>
  <c r="Q3779" i="5"/>
  <c r="S3779" i="5"/>
  <c r="P3780" i="5"/>
  <c r="Q3780" i="5"/>
  <c r="R3780" i="5"/>
  <c r="S3780" i="5"/>
  <c r="R3781" i="5"/>
  <c r="P3781" i="5"/>
  <c r="Q3781" i="5"/>
  <c r="S3781" i="5"/>
  <c r="Q3782" i="5"/>
  <c r="R3783" i="5"/>
  <c r="P3783" i="5"/>
  <c r="Q3783" i="5"/>
  <c r="S3783" i="5"/>
  <c r="R3784" i="5"/>
  <c r="P3784" i="5"/>
  <c r="Q3784" i="5"/>
  <c r="S3784" i="5"/>
  <c r="R3785" i="5"/>
  <c r="P3785" i="5"/>
  <c r="Q3785" i="5"/>
  <c r="S3785" i="5"/>
  <c r="P3786" i="5"/>
  <c r="Q3786" i="5"/>
  <c r="R3786" i="5"/>
  <c r="S3786" i="5"/>
  <c r="R3787" i="5"/>
  <c r="P3787" i="5"/>
  <c r="Q3787" i="5"/>
  <c r="S3787" i="5"/>
  <c r="Q3788" i="5"/>
  <c r="R3789" i="5"/>
  <c r="P3789" i="5"/>
  <c r="Q3789" i="5"/>
  <c r="S3789" i="5"/>
  <c r="R3790" i="5"/>
  <c r="P3790" i="5"/>
  <c r="Q3790" i="5"/>
  <c r="S3790" i="5"/>
  <c r="R3791" i="5"/>
  <c r="P3791" i="5"/>
  <c r="Q3791" i="5"/>
  <c r="S3791" i="5"/>
  <c r="R3792" i="5"/>
  <c r="P3792" i="5"/>
  <c r="Q3792" i="5"/>
  <c r="S3792" i="5"/>
  <c r="R3793" i="5"/>
  <c r="P3793" i="5"/>
  <c r="Q3793" i="5"/>
  <c r="S3793" i="5"/>
  <c r="Q3794" i="5"/>
  <c r="R3795" i="5"/>
  <c r="P3795" i="5"/>
  <c r="Q3795" i="5"/>
  <c r="S3795" i="5"/>
  <c r="R3796" i="5"/>
  <c r="P3796" i="5"/>
  <c r="Q3796" i="5"/>
  <c r="S3796" i="5"/>
  <c r="R3797" i="5"/>
  <c r="P3797" i="5"/>
  <c r="Q3797" i="5"/>
  <c r="S3797" i="5"/>
  <c r="R3798" i="5"/>
  <c r="P3798" i="5"/>
  <c r="Q3798" i="5"/>
  <c r="S3798" i="5"/>
  <c r="R3799" i="5"/>
  <c r="P3799" i="5"/>
  <c r="Q3799" i="5"/>
  <c r="S3799" i="5"/>
  <c r="Q3800" i="5"/>
  <c r="R3801" i="5"/>
  <c r="P3801" i="5"/>
  <c r="Q3801" i="5"/>
  <c r="S3801" i="5"/>
  <c r="R3802" i="5"/>
  <c r="P3802" i="5"/>
  <c r="Q3802" i="5"/>
  <c r="S3802" i="5"/>
  <c r="R3803" i="5"/>
  <c r="P3803" i="5"/>
  <c r="Q3803" i="5"/>
  <c r="S3803" i="5"/>
  <c r="R3804" i="5"/>
  <c r="P3804" i="5"/>
  <c r="Q3804" i="5"/>
  <c r="S3804" i="5"/>
  <c r="P3805" i="5"/>
  <c r="Q3805" i="5"/>
  <c r="R3805" i="5"/>
  <c r="S3805" i="5"/>
  <c r="Q3806" i="5"/>
  <c r="R3807" i="5"/>
  <c r="P3807" i="5"/>
  <c r="Q3807" i="5"/>
  <c r="S3807" i="5"/>
  <c r="R3808" i="5"/>
  <c r="P3808" i="5"/>
  <c r="Q3808" i="5"/>
  <c r="S3808" i="5"/>
  <c r="R3809" i="5"/>
  <c r="P3809" i="5"/>
  <c r="Q3809" i="5"/>
  <c r="S3809" i="5"/>
  <c r="R3810" i="5"/>
  <c r="P3810" i="5"/>
  <c r="Q3810" i="5"/>
  <c r="S3810" i="5"/>
  <c r="R3811" i="5"/>
  <c r="P3811" i="5"/>
  <c r="Q3811" i="5"/>
  <c r="S3811" i="5"/>
  <c r="Q3812" i="5"/>
  <c r="R3813" i="5"/>
  <c r="P3813" i="5"/>
  <c r="Q3813" i="5"/>
  <c r="S3813" i="5"/>
  <c r="R3814" i="5"/>
  <c r="P3814" i="5"/>
  <c r="Q3814" i="5"/>
  <c r="S3814" i="5"/>
  <c r="R3815" i="5"/>
  <c r="P3815" i="5"/>
  <c r="Q3815" i="5"/>
  <c r="S3815" i="5"/>
  <c r="R3816" i="5"/>
  <c r="P3816" i="5"/>
  <c r="Q3816" i="5"/>
  <c r="S3816" i="5"/>
  <c r="R3817" i="5"/>
  <c r="P3817" i="5"/>
  <c r="Q3817" i="5"/>
  <c r="S3817" i="5"/>
  <c r="Q3818" i="5"/>
  <c r="R3819" i="5"/>
  <c r="P3819" i="5"/>
  <c r="Q3819" i="5"/>
  <c r="S3819" i="5"/>
  <c r="R3820" i="5"/>
  <c r="P3820" i="5"/>
  <c r="Q3820" i="5"/>
  <c r="S3820" i="5"/>
  <c r="R3821" i="5"/>
  <c r="P3821" i="5"/>
  <c r="Q3821" i="5"/>
  <c r="S3821" i="5"/>
  <c r="R3822" i="5"/>
  <c r="P3822" i="5"/>
  <c r="Q3822" i="5"/>
  <c r="S3822" i="5"/>
  <c r="R3823" i="5"/>
  <c r="P3823" i="5"/>
  <c r="Q3823" i="5"/>
  <c r="S3823" i="5"/>
  <c r="Q3824" i="5"/>
  <c r="R3825" i="5"/>
  <c r="P3825" i="5"/>
  <c r="Q3825" i="5"/>
  <c r="S3825" i="5"/>
  <c r="P3826" i="5"/>
  <c r="Q3826" i="5"/>
  <c r="R3826" i="5"/>
  <c r="S3826" i="5"/>
  <c r="R3827" i="5"/>
  <c r="P3827" i="5"/>
  <c r="Q3827" i="5"/>
  <c r="S3827" i="5"/>
  <c r="R3828" i="5"/>
  <c r="P3828" i="5"/>
  <c r="Q3828" i="5"/>
  <c r="S3828" i="5"/>
  <c r="R3829" i="5"/>
  <c r="P3829" i="5"/>
  <c r="Q3829" i="5"/>
  <c r="S3829" i="5"/>
  <c r="Q3830" i="5"/>
  <c r="R3831" i="5"/>
  <c r="Q3831" i="5"/>
  <c r="S3831" i="5"/>
  <c r="P3832" i="5"/>
  <c r="Q3832" i="5"/>
  <c r="R3832" i="5"/>
  <c r="S3832" i="5"/>
  <c r="R3833" i="5"/>
  <c r="P3833" i="5"/>
  <c r="Q3833" i="5"/>
  <c r="S3833" i="5"/>
  <c r="R3834" i="5"/>
  <c r="P3834" i="5"/>
  <c r="Q3834" i="5"/>
  <c r="S3834" i="5"/>
  <c r="P3835" i="5"/>
  <c r="Q3835" i="5"/>
  <c r="P3836" i="5"/>
  <c r="Q3836" i="5"/>
  <c r="S3836" i="5"/>
  <c r="P3837" i="5"/>
  <c r="Q3837" i="5"/>
  <c r="S3837" i="5"/>
  <c r="R3838" i="5"/>
  <c r="P3838" i="5"/>
  <c r="Q3838" i="5"/>
  <c r="S3838" i="5"/>
  <c r="P3839" i="5"/>
  <c r="Q3839" i="5"/>
  <c r="S3839" i="5"/>
  <c r="Q3840" i="5"/>
  <c r="S3840" i="5"/>
  <c r="R3841" i="5"/>
  <c r="P3841" i="5"/>
  <c r="Q3841" i="5"/>
  <c r="S3841" i="5"/>
  <c r="R3842" i="5"/>
  <c r="P3842" i="5"/>
  <c r="Q3842" i="5"/>
  <c r="S3842" i="5"/>
  <c r="R3843" i="5"/>
  <c r="P3843" i="5"/>
  <c r="Q3843" i="5"/>
  <c r="S3843" i="5"/>
  <c r="P3844" i="5"/>
  <c r="Q3844" i="5"/>
  <c r="R3844" i="5"/>
  <c r="S3844" i="5"/>
  <c r="R3845" i="5"/>
  <c r="P3845" i="5"/>
  <c r="Q3845" i="5"/>
  <c r="S3845" i="5"/>
  <c r="Q3846" i="5"/>
  <c r="Q3847" i="5"/>
  <c r="S3847" i="5"/>
  <c r="R3848" i="5"/>
  <c r="Q3848" i="5"/>
  <c r="S3848" i="5"/>
  <c r="Q3849" i="5"/>
  <c r="S3849" i="5"/>
  <c r="Q3850" i="5"/>
  <c r="S3850" i="5"/>
  <c r="Q3851" i="5"/>
  <c r="S3851" i="5"/>
  <c r="Q3852" i="5"/>
  <c r="S3852" i="5"/>
  <c r="R3853" i="5"/>
  <c r="P3853" i="5"/>
  <c r="Q3853" i="5"/>
  <c r="S3853" i="5"/>
  <c r="R3854" i="5"/>
  <c r="P3854" i="5"/>
  <c r="Q3854" i="5"/>
  <c r="S3854" i="5"/>
  <c r="R3855" i="5"/>
  <c r="P3855" i="5"/>
  <c r="Q3855" i="5"/>
  <c r="S3855" i="5"/>
  <c r="P3856" i="5"/>
  <c r="Q3856" i="5"/>
  <c r="P3857" i="5"/>
  <c r="Q3857" i="5"/>
  <c r="S3857" i="5"/>
  <c r="P3858" i="5"/>
  <c r="Q3858" i="5"/>
  <c r="S3858" i="5"/>
  <c r="P3859" i="5"/>
  <c r="Q3859" i="5"/>
  <c r="S3859" i="5"/>
  <c r="P3860" i="5"/>
  <c r="Q3860" i="5"/>
  <c r="S3860" i="5"/>
  <c r="P3861" i="5"/>
  <c r="Q3861" i="5"/>
  <c r="S3861" i="5"/>
  <c r="R3862" i="5"/>
  <c r="P3862" i="5"/>
  <c r="Q3862" i="5"/>
  <c r="S3862" i="5"/>
  <c r="R3863" i="5"/>
  <c r="P3863" i="5"/>
  <c r="Q3863" i="5"/>
  <c r="S3863" i="5"/>
  <c r="P3864" i="5"/>
  <c r="Q3864" i="5"/>
  <c r="R3864" i="5"/>
  <c r="S3864" i="5"/>
  <c r="P3865" i="5"/>
  <c r="Q3865" i="5"/>
  <c r="P3866" i="5"/>
  <c r="Q3866" i="5"/>
  <c r="S3866" i="5"/>
  <c r="P3867" i="5"/>
  <c r="Q3867" i="5"/>
  <c r="S3867" i="5"/>
  <c r="P3868" i="5"/>
  <c r="Q3868" i="5"/>
  <c r="S3868" i="5"/>
  <c r="P3869" i="5"/>
  <c r="Q3869" i="5"/>
  <c r="S3869" i="5"/>
  <c r="R3870" i="5"/>
  <c r="P3870" i="5"/>
  <c r="Q3870" i="5"/>
  <c r="S3870" i="5"/>
  <c r="R3871" i="5"/>
  <c r="P3871" i="5"/>
  <c r="Q3871" i="5"/>
  <c r="S3871" i="5"/>
  <c r="R3872" i="5"/>
  <c r="P3872" i="5"/>
  <c r="Q3872" i="5"/>
  <c r="S3872" i="5"/>
  <c r="P3873" i="5"/>
  <c r="Q3873" i="5"/>
  <c r="P3874" i="5"/>
  <c r="Q3874" i="5"/>
  <c r="S3874" i="5"/>
  <c r="P3875" i="5"/>
  <c r="Q3875" i="5"/>
  <c r="S3875" i="5"/>
  <c r="P3876" i="5"/>
  <c r="Q3876" i="5"/>
  <c r="S3876" i="5"/>
  <c r="P3877" i="5"/>
  <c r="Q3877" i="5"/>
  <c r="S3877" i="5"/>
  <c r="Q3878" i="5"/>
  <c r="S3878" i="5"/>
  <c r="Q3879" i="5"/>
  <c r="S3879" i="5"/>
  <c r="R3880" i="5"/>
  <c r="P3880" i="5"/>
  <c r="Q3880" i="5"/>
  <c r="S3880" i="5"/>
  <c r="R3881" i="5"/>
  <c r="P3881" i="5"/>
  <c r="Q3881" i="5"/>
  <c r="S3881" i="5"/>
  <c r="P3882" i="5"/>
  <c r="Q3882" i="5"/>
  <c r="R3882" i="5"/>
  <c r="S3882" i="5"/>
  <c r="R3883" i="5"/>
  <c r="P3883" i="5"/>
  <c r="Q3883" i="5"/>
  <c r="S3883" i="5"/>
  <c r="R3884" i="5"/>
  <c r="P3884" i="5"/>
  <c r="Q3884" i="5"/>
  <c r="S3884" i="5"/>
  <c r="P3885" i="5"/>
  <c r="Q3885" i="5"/>
  <c r="P3886" i="5"/>
  <c r="Q3886" i="5"/>
  <c r="S3886" i="5"/>
  <c r="P3887" i="5"/>
  <c r="Q3887" i="5"/>
  <c r="S3887" i="5"/>
  <c r="P3888" i="5"/>
  <c r="Q3888" i="5"/>
  <c r="S3888" i="5"/>
  <c r="P3889" i="5"/>
  <c r="Q3889" i="5"/>
  <c r="S3889" i="5"/>
  <c r="P3890" i="5"/>
  <c r="Q3890" i="5"/>
  <c r="S3890" i="5"/>
  <c r="P3891" i="5"/>
  <c r="Q3891" i="5"/>
  <c r="S3891" i="5"/>
  <c r="P3892" i="5"/>
  <c r="Q3892" i="5"/>
  <c r="S3892" i="5"/>
  <c r="P3893" i="5"/>
  <c r="Q3893" i="5"/>
  <c r="S3893" i="5"/>
  <c r="P3894" i="5"/>
  <c r="Q3894" i="5"/>
  <c r="S3894" i="5"/>
  <c r="P3895" i="5"/>
  <c r="Q3895" i="5"/>
  <c r="S3895" i="5"/>
  <c r="P3896" i="5"/>
  <c r="Q3896" i="5"/>
  <c r="R3896" i="5"/>
  <c r="S3896" i="5"/>
  <c r="R3897" i="5"/>
  <c r="P3897" i="5"/>
  <c r="Q3897" i="5"/>
  <c r="S3897" i="5"/>
  <c r="R3898" i="5"/>
  <c r="P3898" i="5"/>
  <c r="Q3898" i="5"/>
  <c r="S3898" i="5"/>
  <c r="R3899" i="5"/>
  <c r="P3899" i="5"/>
  <c r="Q3899" i="5"/>
  <c r="S3899" i="5"/>
  <c r="P3900" i="5"/>
  <c r="Q3900" i="5"/>
  <c r="P3901" i="5"/>
  <c r="Q3901" i="5"/>
  <c r="R3901" i="5"/>
  <c r="S3901" i="5"/>
  <c r="P3902" i="5"/>
  <c r="Q3902" i="5"/>
  <c r="S3902" i="5"/>
  <c r="P3903" i="5"/>
  <c r="Q3903" i="5"/>
  <c r="S3903" i="5"/>
  <c r="R3904" i="5"/>
  <c r="P3904" i="5"/>
  <c r="Q3904" i="5"/>
  <c r="S3904" i="5"/>
  <c r="R3905" i="5"/>
  <c r="P3905" i="5"/>
  <c r="Q3905" i="5"/>
  <c r="S3905" i="5"/>
  <c r="R3906" i="5"/>
  <c r="P3906" i="5"/>
  <c r="Q3906" i="5"/>
  <c r="S3906" i="5"/>
  <c r="P3907" i="5"/>
  <c r="Q3907" i="5"/>
  <c r="P3908" i="5"/>
  <c r="Q3908" i="5"/>
  <c r="S3908" i="5"/>
  <c r="P3909" i="5"/>
  <c r="Q3909" i="5"/>
  <c r="S3909" i="5"/>
  <c r="P3910" i="5"/>
  <c r="Q3910" i="5"/>
  <c r="S3910" i="5"/>
  <c r="P3911" i="5"/>
  <c r="Q3911" i="5"/>
  <c r="S3911" i="5"/>
  <c r="P3912" i="5"/>
  <c r="Q3912" i="5"/>
  <c r="S3912" i="5"/>
  <c r="P3913" i="5"/>
  <c r="Q3913" i="5"/>
  <c r="S3913" i="5"/>
  <c r="P3914" i="5"/>
  <c r="Q3914" i="5"/>
  <c r="S3914" i="5"/>
  <c r="P3915" i="5"/>
  <c r="Q3915" i="5"/>
  <c r="S3915" i="5"/>
  <c r="P3916" i="5"/>
  <c r="Q3916" i="5"/>
  <c r="S3916" i="5"/>
  <c r="P3917" i="5"/>
  <c r="Q3917" i="5"/>
  <c r="S3917" i="5"/>
  <c r="P3918" i="5"/>
  <c r="Q3918" i="5"/>
  <c r="S3918" i="5"/>
  <c r="P3919" i="5"/>
  <c r="Q3919" i="5"/>
  <c r="S3919" i="5"/>
  <c r="P3920" i="5"/>
  <c r="Q3920" i="5"/>
  <c r="S3920" i="5"/>
  <c r="P3921" i="5"/>
  <c r="Q3921" i="5"/>
  <c r="S3921" i="5"/>
  <c r="P3922" i="5"/>
  <c r="Q3922" i="5"/>
  <c r="R3922" i="5"/>
  <c r="S3922" i="5"/>
  <c r="R3923" i="5"/>
  <c r="P3923" i="5"/>
  <c r="Q3923" i="5"/>
  <c r="S3923" i="5"/>
  <c r="R3924" i="5"/>
  <c r="P3924" i="5"/>
  <c r="Q3924" i="5"/>
  <c r="S3924" i="5"/>
  <c r="P3925" i="5"/>
  <c r="Q3925" i="5"/>
  <c r="P3926" i="5"/>
  <c r="Q3926" i="5"/>
  <c r="S3926" i="5"/>
  <c r="P3927" i="5"/>
  <c r="Q3927" i="5"/>
  <c r="S3927" i="5"/>
  <c r="P3928" i="5"/>
  <c r="Q3928" i="5"/>
  <c r="R3928" i="5"/>
  <c r="S3928" i="5"/>
  <c r="R3929" i="5"/>
  <c r="P3929" i="5"/>
  <c r="Q3929" i="5"/>
  <c r="S3929" i="5"/>
  <c r="R3930" i="5"/>
  <c r="P3930" i="5"/>
  <c r="Q3930" i="5"/>
  <c r="S3930" i="5"/>
  <c r="P3931" i="5"/>
  <c r="Q3931" i="5"/>
  <c r="P3932" i="5"/>
  <c r="Q3932" i="5"/>
  <c r="S3932" i="5"/>
  <c r="P3933" i="5"/>
  <c r="Q3933" i="5"/>
  <c r="S3933" i="5"/>
  <c r="R3934" i="5"/>
  <c r="P3934" i="5"/>
  <c r="Q3934" i="5"/>
  <c r="S3934" i="5"/>
  <c r="R3935" i="5"/>
  <c r="P3935" i="5"/>
  <c r="Q3935" i="5"/>
  <c r="S3935" i="5"/>
  <c r="R3936" i="5"/>
  <c r="P3936" i="5"/>
  <c r="Q3936" i="5"/>
  <c r="S3936" i="5"/>
  <c r="P3937" i="5"/>
  <c r="Q3937" i="5"/>
  <c r="P3938" i="5"/>
  <c r="Q3938" i="5"/>
  <c r="S3938" i="5"/>
  <c r="P3939" i="5"/>
  <c r="Q3939" i="5"/>
  <c r="S3939" i="5"/>
  <c r="R3940" i="5"/>
  <c r="P3940" i="5"/>
  <c r="Q3940" i="5"/>
  <c r="S3940" i="5"/>
  <c r="R3941" i="5"/>
  <c r="P3941" i="5"/>
  <c r="Q3941" i="5"/>
  <c r="S3941" i="5"/>
  <c r="R3942" i="5"/>
  <c r="P3942" i="5"/>
  <c r="Q3942" i="5"/>
  <c r="S3942" i="5"/>
  <c r="R3943" i="5"/>
  <c r="Q3943" i="5"/>
  <c r="Q3944" i="5"/>
  <c r="S3944" i="5"/>
  <c r="Q3945" i="5"/>
  <c r="S3945" i="5"/>
  <c r="Q3946" i="5"/>
  <c r="S3946" i="5"/>
  <c r="R3947" i="5"/>
  <c r="P3947" i="5"/>
  <c r="Q3947" i="5"/>
  <c r="S3947" i="5"/>
  <c r="R3948" i="5"/>
  <c r="P3948" i="5"/>
  <c r="Q3948" i="5"/>
  <c r="S3948" i="5"/>
  <c r="P3949" i="5"/>
  <c r="Q3949" i="5"/>
  <c r="R3949" i="5"/>
  <c r="S3949" i="5"/>
  <c r="R3950" i="5"/>
  <c r="P3950" i="5"/>
  <c r="Q3950" i="5"/>
  <c r="R3951" i="5"/>
  <c r="P3951" i="5"/>
  <c r="Q3951" i="5"/>
  <c r="S3951" i="5"/>
  <c r="R3952" i="5"/>
  <c r="P3952" i="5"/>
  <c r="Q3952" i="5"/>
  <c r="S3952" i="5"/>
  <c r="R3953" i="5"/>
  <c r="P3953" i="5"/>
  <c r="Q3953" i="5"/>
  <c r="S3953" i="5"/>
  <c r="P3954" i="5"/>
  <c r="Q3954" i="5"/>
  <c r="S3954" i="5"/>
  <c r="P3955" i="5"/>
  <c r="Q3955" i="5"/>
  <c r="S3955" i="5"/>
  <c r="R3956" i="5"/>
  <c r="P3956" i="5"/>
  <c r="Q3956" i="5"/>
  <c r="S3956" i="5"/>
  <c r="R3957" i="5"/>
  <c r="P3957" i="5"/>
  <c r="Q3957" i="5"/>
  <c r="S3957" i="5"/>
  <c r="R3958" i="5"/>
  <c r="P3958" i="5"/>
  <c r="Q3958" i="5"/>
  <c r="S3958" i="5"/>
  <c r="P3959" i="5"/>
  <c r="Q3959" i="5"/>
  <c r="P3960" i="5"/>
  <c r="Q3960" i="5"/>
  <c r="S3960" i="5"/>
  <c r="P3961" i="5"/>
  <c r="Q3961" i="5"/>
  <c r="S3961" i="5"/>
  <c r="P3962" i="5"/>
  <c r="Q3962" i="5"/>
  <c r="S3962" i="5"/>
  <c r="P3963" i="5"/>
  <c r="Q3963" i="5"/>
  <c r="S3963" i="5"/>
  <c r="R3964" i="5"/>
  <c r="P3964" i="5"/>
  <c r="Q3964" i="5"/>
  <c r="S3964" i="5"/>
  <c r="P3965" i="5"/>
  <c r="Q3965" i="5"/>
  <c r="R3965" i="5"/>
  <c r="S3965" i="5"/>
  <c r="R3966" i="5"/>
  <c r="P3966" i="5"/>
  <c r="Q3966" i="5"/>
  <c r="S3966" i="5"/>
  <c r="P3967" i="5"/>
  <c r="Q3967" i="5"/>
  <c r="R3968" i="5"/>
  <c r="P3968" i="5"/>
  <c r="Q3968" i="5"/>
  <c r="S3968" i="5"/>
  <c r="P3969" i="5"/>
  <c r="Q3969" i="5"/>
  <c r="S3969" i="5"/>
  <c r="P3970" i="5"/>
  <c r="Q3970" i="5"/>
  <c r="S3970" i="5"/>
  <c r="P3971" i="5"/>
  <c r="Q3971" i="5"/>
  <c r="S3971" i="5"/>
  <c r="P3972" i="5"/>
  <c r="Q3972" i="5"/>
  <c r="S3972" i="5"/>
  <c r="P3973" i="5"/>
  <c r="Q3973" i="5"/>
  <c r="S3973" i="5"/>
  <c r="R3974" i="5"/>
  <c r="P3974" i="5"/>
  <c r="Q3974" i="5"/>
  <c r="S3974" i="5"/>
  <c r="R3975" i="5"/>
  <c r="P3975" i="5"/>
  <c r="Q3975" i="5"/>
  <c r="S3975" i="5"/>
  <c r="P3976" i="5"/>
  <c r="Q3976" i="5"/>
  <c r="R3976" i="5"/>
  <c r="S3976" i="5"/>
  <c r="P3977" i="5"/>
  <c r="Q3977" i="5"/>
  <c r="P3978" i="5"/>
  <c r="Q3978" i="5"/>
  <c r="S3978" i="5"/>
  <c r="P3979" i="5"/>
  <c r="Q3979" i="5"/>
  <c r="S3979" i="5"/>
  <c r="P3980" i="5"/>
  <c r="Q3980" i="5"/>
  <c r="S3980" i="5"/>
  <c r="P3981" i="5"/>
  <c r="Q3981" i="5"/>
  <c r="R3981" i="5"/>
  <c r="S3981" i="5"/>
  <c r="R3982" i="5"/>
  <c r="P3982" i="5"/>
  <c r="Q3982" i="5"/>
  <c r="S3982" i="5"/>
  <c r="R3983" i="5"/>
  <c r="P3983" i="5"/>
  <c r="Q3983" i="5"/>
  <c r="S3983" i="5"/>
  <c r="R3984" i="5"/>
  <c r="P3984" i="5"/>
  <c r="Q3984" i="5"/>
  <c r="P3985" i="5"/>
  <c r="Q3985" i="5"/>
  <c r="S3985" i="5"/>
  <c r="P3986" i="5"/>
  <c r="Q3986" i="5"/>
  <c r="S3986" i="5"/>
  <c r="P3987" i="5"/>
  <c r="Q3987" i="5"/>
  <c r="S3987" i="5"/>
  <c r="P3988" i="5"/>
  <c r="Q3988" i="5"/>
  <c r="S3988" i="5"/>
  <c r="R3989" i="5"/>
  <c r="P3989" i="5"/>
  <c r="Q3989" i="5"/>
  <c r="S3989" i="5"/>
  <c r="R3990" i="5"/>
  <c r="P3990" i="5"/>
  <c r="Q3990" i="5"/>
  <c r="S3990" i="5"/>
  <c r="R3991" i="5"/>
  <c r="P3991" i="5"/>
  <c r="Q3991" i="5"/>
  <c r="S3991" i="5"/>
  <c r="P3992" i="5"/>
  <c r="Q3992" i="5"/>
  <c r="P3993" i="5"/>
  <c r="Q3993" i="5"/>
  <c r="S3993" i="5"/>
  <c r="P3994" i="5"/>
  <c r="Q3994" i="5"/>
  <c r="S3994" i="5"/>
  <c r="P3995" i="5"/>
  <c r="Q3995" i="5"/>
  <c r="S3995" i="5"/>
  <c r="P3996" i="5"/>
  <c r="Q3996" i="5"/>
  <c r="S3996" i="5"/>
  <c r="P3997" i="5"/>
  <c r="Q3997" i="5"/>
  <c r="S3997" i="5"/>
  <c r="Q3998" i="5"/>
  <c r="S3998" i="5"/>
  <c r="Q3999" i="5"/>
  <c r="S3999" i="5"/>
  <c r="R4000" i="5"/>
  <c r="P4000" i="5"/>
  <c r="Q4000" i="5"/>
  <c r="S4000" i="5"/>
  <c r="R4001" i="5"/>
  <c r="P4001" i="5"/>
  <c r="Q4001" i="5"/>
  <c r="S4001" i="5"/>
  <c r="R4002" i="5"/>
  <c r="P4002" i="5"/>
  <c r="Q4002" i="5"/>
  <c r="S4002" i="5"/>
  <c r="R4003" i="5"/>
  <c r="P4003" i="5"/>
  <c r="Q4003" i="5"/>
  <c r="S4003" i="5"/>
  <c r="R4004" i="5"/>
  <c r="P4004" i="5"/>
  <c r="Q4004" i="5"/>
  <c r="S4004" i="5"/>
  <c r="P4005" i="5"/>
  <c r="Q4005" i="5"/>
  <c r="P4006" i="5"/>
  <c r="Q4006" i="5"/>
  <c r="S4006" i="5"/>
  <c r="P4007" i="5"/>
  <c r="Q4007" i="5"/>
  <c r="S4007" i="5"/>
  <c r="P4008" i="5"/>
  <c r="Q4008" i="5"/>
  <c r="S4008" i="5"/>
  <c r="P4009" i="5"/>
  <c r="Q4009" i="5"/>
  <c r="S4009" i="5"/>
  <c r="P4010" i="5"/>
  <c r="Q4010" i="5"/>
  <c r="S4010" i="5"/>
  <c r="P4011" i="5"/>
  <c r="Q4011" i="5"/>
  <c r="S4011" i="5"/>
  <c r="P4012" i="5"/>
  <c r="Q4012" i="5"/>
  <c r="S4012" i="5"/>
  <c r="P4013" i="5"/>
  <c r="Q4013" i="5"/>
  <c r="S4013" i="5"/>
  <c r="P4014" i="5"/>
  <c r="Q4014" i="5"/>
  <c r="S4014" i="5"/>
  <c r="R4015" i="5"/>
  <c r="P4015" i="5"/>
  <c r="Q4015" i="5"/>
  <c r="S4015" i="5"/>
  <c r="R4016" i="5"/>
  <c r="P4016" i="5"/>
  <c r="Q4016" i="5"/>
  <c r="S4016" i="5"/>
  <c r="R4017" i="5"/>
  <c r="P4017" i="5"/>
  <c r="Q4017" i="5"/>
  <c r="S4017" i="5"/>
  <c r="Q4018" i="5"/>
  <c r="R4019" i="5"/>
  <c r="P4019" i="5"/>
  <c r="Q4019" i="5"/>
  <c r="S4019" i="5"/>
  <c r="R4020" i="5"/>
  <c r="P4020" i="5"/>
  <c r="Q4020" i="5"/>
  <c r="S4020" i="5"/>
  <c r="R4021" i="5"/>
  <c r="P4021" i="5"/>
  <c r="Q4021" i="5"/>
  <c r="S4021" i="5"/>
  <c r="R4022" i="5"/>
  <c r="P4022" i="5"/>
  <c r="Q4022" i="5"/>
  <c r="S4022" i="5"/>
  <c r="P4023" i="5"/>
  <c r="Q4023" i="5"/>
  <c r="P4024" i="5"/>
  <c r="Q4024" i="5"/>
  <c r="R4024" i="5"/>
  <c r="S4024" i="5"/>
  <c r="R4025" i="5"/>
  <c r="P4025" i="5"/>
  <c r="Q4025" i="5"/>
  <c r="S4025" i="5"/>
  <c r="R4026" i="5"/>
  <c r="P4026" i="5"/>
  <c r="Q4026" i="5"/>
  <c r="S4026" i="5"/>
  <c r="P4027" i="5"/>
  <c r="Q4027" i="5"/>
  <c r="R4028" i="5"/>
  <c r="P4028" i="5"/>
  <c r="Q4028" i="5"/>
  <c r="S4028" i="5"/>
  <c r="P4029" i="5"/>
  <c r="Q4029" i="5"/>
  <c r="R4029" i="5"/>
  <c r="S4029" i="5"/>
  <c r="R4030" i="5"/>
  <c r="P4030" i="5"/>
  <c r="Q4030" i="5"/>
  <c r="S4030" i="5"/>
  <c r="P4031" i="5"/>
  <c r="Q4031" i="5"/>
  <c r="P4032" i="5"/>
  <c r="Q4032" i="5"/>
  <c r="S4032" i="5"/>
  <c r="P4033" i="5"/>
  <c r="Q4033" i="5"/>
  <c r="S4033" i="5"/>
  <c r="P4034" i="5"/>
  <c r="Q4034" i="5"/>
  <c r="S4034" i="5"/>
  <c r="P4035" i="5"/>
  <c r="Q4035" i="5"/>
  <c r="S4035" i="5"/>
  <c r="P4036" i="5"/>
  <c r="Q4036" i="5"/>
  <c r="S4036" i="5"/>
  <c r="R4037" i="5"/>
  <c r="P4037" i="5"/>
  <c r="Q4037" i="5"/>
  <c r="S4037" i="5"/>
  <c r="R4038" i="5"/>
  <c r="P4038" i="5"/>
  <c r="Q4038" i="5"/>
  <c r="S4038" i="5"/>
  <c r="R4039" i="5"/>
  <c r="P4039" i="5"/>
  <c r="Q4039" i="5"/>
  <c r="S4039" i="5"/>
  <c r="P4040" i="5"/>
  <c r="Q4040" i="5"/>
  <c r="P4041" i="5"/>
  <c r="Q4041" i="5"/>
  <c r="S4041" i="5"/>
  <c r="P4042" i="5"/>
  <c r="Q4042" i="5"/>
  <c r="S4042" i="5"/>
  <c r="P4043" i="5"/>
  <c r="Q4043" i="5"/>
  <c r="S4043" i="5"/>
  <c r="P4044" i="5"/>
  <c r="Q4044" i="5"/>
  <c r="S4044" i="5"/>
  <c r="P4045" i="5"/>
  <c r="Q4045" i="5"/>
  <c r="S4045" i="5"/>
  <c r="R4046" i="5"/>
  <c r="P4046" i="5"/>
  <c r="Q4046" i="5"/>
  <c r="S4046" i="5"/>
  <c r="R4047" i="5"/>
  <c r="P4047" i="5"/>
  <c r="Q4047" i="5"/>
  <c r="S4047" i="5"/>
  <c r="R4048" i="5"/>
  <c r="P4048" i="5"/>
  <c r="Q4048" i="5"/>
  <c r="S4048" i="5"/>
  <c r="P4049" i="5"/>
  <c r="Q4049" i="5"/>
  <c r="P4050" i="5"/>
  <c r="Q4050" i="5"/>
  <c r="S4050" i="5"/>
  <c r="P4051" i="5"/>
  <c r="Q4051" i="5"/>
  <c r="S4051" i="5"/>
  <c r="P4052" i="5"/>
  <c r="Q4052" i="5"/>
  <c r="S4052" i="5"/>
  <c r="P4053" i="5"/>
  <c r="Q4053" i="5"/>
  <c r="S4053" i="5"/>
  <c r="P4054" i="5"/>
  <c r="Q4054" i="5"/>
  <c r="S4054" i="5"/>
  <c r="R4055" i="5"/>
  <c r="P4055" i="5"/>
  <c r="Q4055" i="5"/>
  <c r="S4055" i="5"/>
  <c r="R4056" i="5"/>
  <c r="P4056" i="5"/>
  <c r="Q4056" i="5"/>
  <c r="S4056" i="5"/>
  <c r="R4057" i="5"/>
  <c r="P4057" i="5"/>
  <c r="Q4057" i="5"/>
  <c r="S4057" i="5"/>
  <c r="P4058" i="5"/>
  <c r="Q4058" i="5"/>
  <c r="P4059" i="5"/>
  <c r="Q4059" i="5"/>
  <c r="S4059" i="5"/>
  <c r="P4060" i="5"/>
  <c r="Q4060" i="5"/>
  <c r="S4060" i="5"/>
  <c r="P4061" i="5"/>
  <c r="Q4061" i="5"/>
  <c r="S4061" i="5"/>
  <c r="P4062" i="5"/>
  <c r="Q4062" i="5"/>
  <c r="S4062" i="5"/>
  <c r="P4063" i="5"/>
  <c r="Q4063" i="5"/>
  <c r="S4063" i="5"/>
  <c r="R4064" i="5"/>
  <c r="P4064" i="5"/>
  <c r="Q4064" i="5"/>
  <c r="S4064" i="5"/>
  <c r="R4065" i="5"/>
  <c r="P4065" i="5"/>
  <c r="Q4065" i="5"/>
  <c r="S4065" i="5"/>
  <c r="P4066" i="5"/>
  <c r="Q4066" i="5"/>
  <c r="R4066" i="5"/>
  <c r="S4066" i="5"/>
  <c r="P4067" i="5"/>
  <c r="Q4067" i="5"/>
  <c r="P4068" i="5"/>
  <c r="Q4068" i="5"/>
  <c r="S4068" i="5"/>
  <c r="P4069" i="5"/>
  <c r="Q4069" i="5"/>
  <c r="S4069" i="5"/>
  <c r="P4070" i="5"/>
  <c r="Q4070" i="5"/>
  <c r="S4070" i="5"/>
  <c r="P4071" i="5"/>
  <c r="Q4071" i="5"/>
  <c r="S4071" i="5"/>
  <c r="P4072" i="5"/>
  <c r="Q4072" i="5"/>
  <c r="S4072" i="5"/>
  <c r="R4073" i="5"/>
  <c r="P4073" i="5"/>
  <c r="Q4073" i="5"/>
  <c r="S4073" i="5"/>
  <c r="R4074" i="5"/>
  <c r="P4074" i="5"/>
  <c r="Q4074" i="5"/>
  <c r="S4074" i="5"/>
  <c r="R4075" i="5"/>
  <c r="P4075" i="5"/>
  <c r="Q4075" i="5"/>
  <c r="S4075" i="5"/>
  <c r="P4076" i="5"/>
  <c r="Q4076" i="5"/>
  <c r="P4077" i="5"/>
  <c r="Q4077" i="5"/>
  <c r="S4077" i="5"/>
  <c r="P4078" i="5"/>
  <c r="Q4078" i="5"/>
  <c r="S4078" i="5"/>
  <c r="P4079" i="5"/>
  <c r="Q4079" i="5"/>
  <c r="S4079" i="5"/>
  <c r="P4080" i="5"/>
  <c r="Q4080" i="5"/>
  <c r="S4080" i="5"/>
  <c r="P4081" i="5"/>
  <c r="Q4081" i="5"/>
  <c r="S4081" i="5"/>
  <c r="R4082" i="5"/>
  <c r="P4082" i="5"/>
  <c r="Q4082" i="5"/>
  <c r="S4082" i="5"/>
  <c r="R4083" i="5"/>
  <c r="P4083" i="5"/>
  <c r="Q4083" i="5"/>
  <c r="S4083" i="5"/>
  <c r="R4084" i="5"/>
  <c r="P4084" i="5"/>
  <c r="Q4084" i="5"/>
  <c r="S4084" i="5"/>
  <c r="P4085" i="5"/>
  <c r="Q4085" i="5"/>
  <c r="P4086" i="5"/>
  <c r="Q4086" i="5"/>
  <c r="S4086" i="5"/>
  <c r="P4087" i="5"/>
  <c r="Q4087" i="5"/>
  <c r="S4087" i="5"/>
  <c r="P4088" i="5"/>
  <c r="Q4088" i="5"/>
  <c r="R4088" i="5"/>
  <c r="S4088" i="5"/>
  <c r="R4089" i="5"/>
  <c r="P4089" i="5"/>
  <c r="Q4089" i="5"/>
  <c r="S4089" i="5"/>
  <c r="R4090" i="5"/>
  <c r="P4090" i="5"/>
  <c r="Q4090" i="5"/>
  <c r="S4090" i="5"/>
  <c r="P4091" i="5"/>
  <c r="Q4091" i="5"/>
  <c r="P4092" i="5"/>
  <c r="Q4092" i="5"/>
  <c r="S4092" i="5"/>
  <c r="P4093" i="5"/>
  <c r="Q4093" i="5"/>
  <c r="S4093" i="5"/>
  <c r="R4094" i="5"/>
  <c r="P4094" i="5"/>
  <c r="Q4094" i="5"/>
  <c r="S4094" i="5"/>
  <c r="R4095" i="5"/>
  <c r="P4095" i="5"/>
  <c r="Q4095" i="5"/>
  <c r="S4095" i="5"/>
  <c r="R4096" i="5"/>
  <c r="P4096" i="5"/>
  <c r="Q4096" i="5"/>
  <c r="S4096" i="5"/>
  <c r="P4097" i="5"/>
  <c r="Q4097" i="5"/>
  <c r="P4098" i="5"/>
  <c r="Q4098" i="5"/>
  <c r="S4098" i="5"/>
  <c r="P4099" i="5"/>
  <c r="Q4099" i="5"/>
  <c r="S4099" i="5"/>
  <c r="P4100" i="5"/>
  <c r="Q4100" i="5"/>
  <c r="S4100" i="5"/>
  <c r="R4101" i="5"/>
  <c r="P4101" i="5"/>
  <c r="Q4101" i="5"/>
  <c r="S4101" i="5"/>
  <c r="R4102" i="5"/>
  <c r="P4102" i="5"/>
  <c r="Q4102" i="5"/>
  <c r="S4102" i="5"/>
  <c r="R4103" i="5"/>
  <c r="P4103" i="5"/>
  <c r="Q4103" i="5"/>
  <c r="S4103" i="5"/>
  <c r="Q4104" i="5"/>
  <c r="R4105" i="5"/>
  <c r="P4105" i="5"/>
  <c r="Q4105" i="5"/>
  <c r="S4105" i="5"/>
  <c r="R4106" i="5"/>
  <c r="P4106" i="5"/>
  <c r="Q4106" i="5"/>
  <c r="S4106" i="5"/>
  <c r="R4107" i="5"/>
  <c r="P4107" i="5"/>
  <c r="Q4107" i="5"/>
  <c r="S4107" i="5"/>
  <c r="R4108" i="5"/>
  <c r="P4108" i="5"/>
  <c r="Q4108" i="5"/>
  <c r="S4108" i="5"/>
  <c r="P4109" i="5"/>
  <c r="Q4109" i="5"/>
  <c r="R4109" i="5"/>
  <c r="S4109" i="5"/>
  <c r="Q4110" i="5"/>
  <c r="R4111" i="5"/>
  <c r="P4111" i="5"/>
  <c r="Q4111" i="5"/>
  <c r="S4111" i="5"/>
  <c r="R4112" i="5"/>
  <c r="P4112" i="5"/>
  <c r="Q4112" i="5"/>
  <c r="S4112" i="5"/>
  <c r="R4113" i="5"/>
  <c r="P4113" i="5"/>
  <c r="Q4113" i="5"/>
  <c r="S4113" i="5"/>
  <c r="P4114" i="5"/>
  <c r="Q4114" i="5"/>
  <c r="P4115" i="5"/>
  <c r="Q4115" i="5"/>
  <c r="S4115" i="5"/>
  <c r="P4116" i="5"/>
  <c r="Q4116" i="5"/>
  <c r="S4116" i="5"/>
  <c r="P4117" i="5"/>
  <c r="Q4117" i="5"/>
  <c r="S4117" i="5"/>
  <c r="R4118" i="5"/>
  <c r="P4118" i="5"/>
  <c r="Q4118" i="5"/>
  <c r="S4118" i="5"/>
  <c r="R4119" i="5"/>
  <c r="P4119" i="5"/>
  <c r="Q4119" i="5"/>
  <c r="S4119" i="5"/>
  <c r="R4120" i="5"/>
  <c r="P4120" i="5"/>
  <c r="Q4120" i="5"/>
  <c r="S4120" i="5"/>
  <c r="P4121" i="5"/>
  <c r="Q4121" i="5"/>
  <c r="P4122" i="5"/>
  <c r="Q4122" i="5"/>
  <c r="S4122" i="5"/>
  <c r="P4123" i="5"/>
  <c r="Q4123" i="5"/>
  <c r="S4123" i="5"/>
  <c r="P4124" i="5"/>
  <c r="Q4124" i="5"/>
  <c r="S4124" i="5"/>
  <c r="R4125" i="5"/>
  <c r="P4125" i="5"/>
  <c r="Q4125" i="5"/>
  <c r="S4125" i="5"/>
  <c r="R4126" i="5"/>
  <c r="P4126" i="5"/>
  <c r="Q4126" i="5"/>
  <c r="S4126" i="5"/>
  <c r="R4127" i="5"/>
  <c r="P4127" i="5"/>
  <c r="Q4127" i="5"/>
  <c r="S4127" i="5"/>
  <c r="R4128" i="5"/>
  <c r="P4128" i="5"/>
  <c r="Q4128" i="5"/>
  <c r="S4128" i="5"/>
  <c r="P4129" i="5"/>
  <c r="Q4129" i="5"/>
  <c r="P4130" i="5"/>
  <c r="Q4130" i="5"/>
  <c r="S4130" i="5"/>
  <c r="P4131" i="5"/>
  <c r="Q4131" i="5"/>
  <c r="S4131" i="5"/>
  <c r="P4132" i="5"/>
  <c r="Q4132" i="5"/>
  <c r="S4132" i="5"/>
  <c r="R4133" i="5"/>
  <c r="P4133" i="5"/>
  <c r="Q4133" i="5"/>
  <c r="S4133" i="5"/>
  <c r="R4134" i="5"/>
  <c r="P4134" i="5"/>
  <c r="Q4134" i="5"/>
  <c r="S4134" i="5"/>
  <c r="R4135" i="5"/>
  <c r="P4135" i="5"/>
  <c r="Q4135" i="5"/>
  <c r="S4135" i="5"/>
  <c r="R4136" i="5"/>
  <c r="P4136" i="5"/>
  <c r="Q4136" i="5"/>
  <c r="S4136" i="5"/>
  <c r="P4137" i="5"/>
  <c r="Q4137" i="5"/>
  <c r="P4138" i="5"/>
  <c r="Q4138" i="5"/>
  <c r="S4138" i="5"/>
  <c r="P4139" i="5"/>
  <c r="Q4139" i="5"/>
  <c r="S4139" i="5"/>
  <c r="P4140" i="5"/>
  <c r="Q4140" i="5"/>
  <c r="S4140" i="5"/>
  <c r="P4141" i="5"/>
  <c r="Q4141" i="5"/>
  <c r="S4141" i="5"/>
  <c r="R4142" i="5"/>
  <c r="P4142" i="5"/>
  <c r="Q4142" i="5"/>
  <c r="S4142" i="5"/>
  <c r="R4143" i="5"/>
  <c r="P4143" i="5"/>
  <c r="Q4143" i="5"/>
  <c r="S4143" i="5"/>
  <c r="R4144" i="5"/>
  <c r="P4144" i="5"/>
  <c r="Q4144" i="5"/>
  <c r="S4144" i="5"/>
  <c r="P4145" i="5"/>
  <c r="Q4145" i="5"/>
  <c r="P4146" i="5"/>
  <c r="Q4146" i="5"/>
  <c r="R4146" i="5"/>
  <c r="S4146" i="5"/>
  <c r="R4147" i="5"/>
  <c r="P4147" i="5"/>
  <c r="Q4147" i="5"/>
  <c r="S4147" i="5"/>
  <c r="R4148" i="5"/>
  <c r="P4148" i="5"/>
  <c r="Q4148" i="5"/>
  <c r="S4148" i="5"/>
  <c r="R4149" i="5"/>
  <c r="P4149" i="5"/>
  <c r="Q4149" i="5"/>
  <c r="R4150" i="5"/>
  <c r="P4150" i="5"/>
  <c r="Q4150" i="5"/>
  <c r="S4150" i="5"/>
  <c r="P4151" i="5"/>
  <c r="Q4151" i="5"/>
  <c r="S4151" i="5"/>
  <c r="Q4152" i="5"/>
  <c r="S4152" i="5"/>
  <c r="P4153" i="5"/>
  <c r="Q4153" i="5"/>
  <c r="S4153" i="5"/>
  <c r="R4154" i="5"/>
  <c r="P4154" i="5"/>
  <c r="Q4154" i="5"/>
  <c r="S4154" i="5"/>
  <c r="R4155" i="5"/>
  <c r="P4155" i="5"/>
  <c r="Q4155" i="5"/>
  <c r="S4155" i="5"/>
  <c r="R4156" i="5"/>
  <c r="P4156" i="5"/>
  <c r="Q4156" i="5"/>
  <c r="S4156" i="5"/>
  <c r="P4157" i="5"/>
  <c r="Q4157" i="5"/>
  <c r="P4158" i="5"/>
  <c r="Q4158" i="5"/>
  <c r="S4158" i="5"/>
  <c r="P4159" i="5"/>
  <c r="Q4159" i="5"/>
  <c r="S4159" i="5"/>
  <c r="P4160" i="5"/>
  <c r="Q4160" i="5"/>
  <c r="S4160" i="5"/>
  <c r="Q4161" i="5"/>
  <c r="S4161" i="5"/>
  <c r="R4162" i="5"/>
  <c r="P4162" i="5"/>
  <c r="Q4162" i="5"/>
  <c r="S4162" i="5"/>
  <c r="R4163" i="5"/>
  <c r="P4163" i="5"/>
  <c r="Q4163" i="5"/>
  <c r="S4163" i="5"/>
  <c r="R4164" i="5"/>
  <c r="P4164" i="5"/>
  <c r="Q4164" i="5"/>
  <c r="S4164" i="5"/>
  <c r="R4165" i="5"/>
  <c r="P4165" i="5"/>
  <c r="Q4165" i="5"/>
  <c r="S4165" i="5"/>
  <c r="R4166" i="5"/>
  <c r="P4166" i="5"/>
  <c r="Q4166" i="5"/>
  <c r="S4166" i="5"/>
  <c r="R4167" i="5"/>
  <c r="P4167" i="5"/>
  <c r="Q4167" i="5"/>
  <c r="S4167" i="5"/>
  <c r="P4168" i="5"/>
  <c r="Q4168" i="5"/>
  <c r="Q4169" i="5"/>
  <c r="S4169" i="5"/>
  <c r="R4170" i="5"/>
  <c r="P4170" i="5"/>
  <c r="Q4170" i="5"/>
  <c r="S4170" i="5"/>
  <c r="R4171" i="5"/>
  <c r="P4171" i="5"/>
  <c r="Q4171" i="5"/>
  <c r="S4171" i="5"/>
  <c r="R4172" i="5"/>
  <c r="P4172" i="5"/>
  <c r="Q4172" i="5"/>
  <c r="S4172" i="5"/>
  <c r="P4173" i="5"/>
  <c r="Q4173" i="5"/>
  <c r="S4173" i="5"/>
  <c r="R4174" i="5"/>
  <c r="P4174" i="5"/>
  <c r="Q4174" i="5"/>
  <c r="S4174" i="5"/>
  <c r="R4175" i="5"/>
  <c r="P4175" i="5"/>
  <c r="Q4175" i="5"/>
  <c r="S4175" i="5"/>
  <c r="R4176" i="5"/>
  <c r="P4176" i="5"/>
  <c r="Q4176" i="5"/>
  <c r="S4176" i="5"/>
  <c r="R4177" i="5"/>
  <c r="P4177" i="5"/>
  <c r="Q4177" i="5"/>
  <c r="S4177" i="5"/>
  <c r="R4178" i="5"/>
  <c r="P4178" i="5"/>
  <c r="Q4178" i="5"/>
  <c r="S4178" i="5"/>
  <c r="P4179" i="5"/>
  <c r="Q4179" i="5"/>
  <c r="R4180" i="5"/>
  <c r="P4180" i="5"/>
  <c r="Q4180" i="5"/>
  <c r="S4180" i="5"/>
  <c r="R4181" i="5"/>
  <c r="P4181" i="5"/>
  <c r="Q4181" i="5"/>
  <c r="S4181" i="5"/>
  <c r="R4182" i="5"/>
  <c r="P4182" i="5"/>
  <c r="Q4182" i="5"/>
  <c r="S4182" i="5"/>
  <c r="P4183" i="5"/>
  <c r="Q4183" i="5"/>
  <c r="P4184" i="5"/>
  <c r="Q4184" i="5"/>
  <c r="S4184" i="5"/>
  <c r="P4185" i="5"/>
  <c r="Q4185" i="5"/>
  <c r="S4185" i="5"/>
  <c r="P4186" i="5"/>
  <c r="Q4186" i="5"/>
  <c r="S4186" i="5"/>
  <c r="R4187" i="5"/>
  <c r="P4187" i="5"/>
  <c r="Q4187" i="5"/>
  <c r="S4187" i="5"/>
  <c r="R4188" i="5"/>
  <c r="P4188" i="5"/>
  <c r="Q4188" i="5"/>
  <c r="S4188" i="5"/>
  <c r="R4189" i="5"/>
  <c r="P4189" i="5"/>
  <c r="Q4189" i="5"/>
  <c r="S4189" i="5"/>
  <c r="P4190" i="5"/>
  <c r="Q4190" i="5"/>
  <c r="P4191" i="5"/>
  <c r="Q4191" i="5"/>
  <c r="S4191" i="5"/>
  <c r="P4192" i="5"/>
  <c r="Q4192" i="5"/>
  <c r="S4192" i="5"/>
  <c r="P4193" i="5"/>
  <c r="Q4193" i="5"/>
  <c r="S4193" i="5"/>
  <c r="R4194" i="5"/>
  <c r="P4194" i="5"/>
  <c r="Q4194" i="5"/>
  <c r="S4194" i="5"/>
  <c r="R4195" i="5"/>
  <c r="P4195" i="5"/>
  <c r="Q4195" i="5"/>
  <c r="S4195" i="5"/>
  <c r="P4196" i="5"/>
  <c r="Q4196" i="5"/>
  <c r="R4196" i="5"/>
  <c r="S4196" i="5"/>
  <c r="R4197" i="5"/>
  <c r="P4197" i="5"/>
  <c r="Q4197" i="5"/>
  <c r="P4198" i="5"/>
  <c r="Q4198" i="5"/>
  <c r="S4198" i="5"/>
  <c r="Q4199" i="5"/>
  <c r="S4199" i="5"/>
  <c r="R4200" i="5"/>
  <c r="P4200" i="5"/>
  <c r="Q4200" i="5"/>
  <c r="S4200" i="5"/>
  <c r="R4201" i="5"/>
  <c r="P4201" i="5"/>
  <c r="Q4201" i="5"/>
  <c r="S4201" i="5"/>
  <c r="R4202" i="5"/>
  <c r="P4202" i="5"/>
  <c r="Q4202" i="5"/>
  <c r="S4202" i="5"/>
  <c r="R4203" i="5"/>
  <c r="P4203" i="5"/>
  <c r="Q4203" i="5"/>
  <c r="P4204" i="5"/>
  <c r="Q4204" i="5"/>
  <c r="S4204" i="5"/>
  <c r="P4205" i="5"/>
  <c r="Q4205" i="5"/>
  <c r="S4205" i="5"/>
  <c r="R4206" i="5"/>
  <c r="P4206" i="5"/>
  <c r="Q4206" i="5"/>
  <c r="S4206" i="5"/>
  <c r="R4207" i="5"/>
  <c r="P4207" i="5"/>
  <c r="Q4207" i="5"/>
  <c r="S4207" i="5"/>
  <c r="P4208" i="5"/>
  <c r="Q4208" i="5"/>
  <c r="R4208" i="5"/>
  <c r="S4208" i="5"/>
  <c r="R4209" i="5"/>
  <c r="P4209" i="5"/>
  <c r="Q4209" i="5"/>
  <c r="P4210" i="5"/>
  <c r="Q4210" i="5"/>
  <c r="S4210" i="5"/>
  <c r="P4211" i="5"/>
  <c r="Q4211" i="5"/>
  <c r="S4211" i="5"/>
  <c r="R4212" i="5"/>
  <c r="P4212" i="5"/>
  <c r="Q4212" i="5"/>
  <c r="S4212" i="5"/>
  <c r="R4213" i="5"/>
  <c r="P4213" i="5"/>
  <c r="Q4213" i="5"/>
  <c r="S4213" i="5"/>
  <c r="R4214" i="5"/>
  <c r="P4214" i="5"/>
  <c r="Q4214" i="5"/>
  <c r="S4214" i="5"/>
  <c r="P4215" i="5"/>
  <c r="Q4215" i="5"/>
  <c r="P4216" i="5"/>
  <c r="Q4216" i="5"/>
  <c r="S4216" i="5"/>
  <c r="P4217" i="5"/>
  <c r="Q4217" i="5"/>
  <c r="S4217" i="5"/>
  <c r="P4218" i="5"/>
  <c r="Q4218" i="5"/>
  <c r="S4218" i="5"/>
  <c r="P4219" i="5"/>
  <c r="Q4219" i="5"/>
  <c r="S4219" i="5"/>
  <c r="P4220" i="5"/>
  <c r="Q4220" i="5"/>
  <c r="S4220" i="5"/>
  <c r="P4221" i="5"/>
  <c r="Q4221" i="5"/>
  <c r="S4221" i="5"/>
  <c r="R4222" i="5"/>
  <c r="P4222" i="5"/>
  <c r="Q4222" i="5"/>
  <c r="S4222" i="5"/>
  <c r="R4223" i="5"/>
  <c r="P4223" i="5"/>
  <c r="Q4223" i="5"/>
  <c r="S4223" i="5"/>
  <c r="R4224" i="5"/>
  <c r="P4224" i="5"/>
  <c r="Q4224" i="5"/>
  <c r="S4224" i="5"/>
  <c r="P4225" i="5"/>
  <c r="Q4225" i="5"/>
  <c r="P4226" i="5"/>
  <c r="Q4226" i="5"/>
  <c r="S4226" i="5"/>
  <c r="P4227" i="5"/>
  <c r="Q4227" i="5"/>
  <c r="S4227" i="5"/>
  <c r="R4228" i="5"/>
  <c r="P4228" i="5"/>
  <c r="Q4228" i="5"/>
  <c r="S4228" i="5"/>
  <c r="R4229" i="5"/>
  <c r="P4229" i="5"/>
  <c r="Q4229" i="5"/>
  <c r="S4229" i="5"/>
  <c r="R4230" i="5"/>
  <c r="P4230" i="5"/>
  <c r="Q4230" i="5"/>
  <c r="S4230" i="5"/>
  <c r="Q4231" i="5"/>
  <c r="P4232" i="5"/>
  <c r="Q4232" i="5"/>
  <c r="S4232" i="5"/>
  <c r="P4233" i="5"/>
  <c r="Q4233" i="5"/>
  <c r="S4233" i="5"/>
  <c r="R4234" i="5"/>
  <c r="P4234" i="5"/>
  <c r="Q4234" i="5"/>
  <c r="S4234" i="5"/>
  <c r="R4235" i="5"/>
  <c r="P4235" i="5"/>
  <c r="Q4235" i="5"/>
  <c r="S4235" i="5"/>
  <c r="R4236" i="5"/>
  <c r="P4236" i="5"/>
  <c r="Q4236" i="5"/>
  <c r="S4236" i="5"/>
  <c r="R4237" i="5"/>
  <c r="P4237" i="5"/>
  <c r="Q4237" i="5"/>
  <c r="S4237" i="5"/>
  <c r="R4238" i="5"/>
  <c r="P4238" i="5"/>
  <c r="Q4238" i="5"/>
  <c r="S4238" i="5"/>
  <c r="P4239" i="5"/>
  <c r="Q4239" i="5"/>
  <c r="P4240" i="5"/>
  <c r="Q4240" i="5"/>
  <c r="S4240" i="5"/>
  <c r="P4241" i="5"/>
  <c r="Q4241" i="5"/>
  <c r="S4241" i="5"/>
  <c r="P4242" i="5"/>
  <c r="Q4242" i="5"/>
  <c r="S4242" i="5"/>
  <c r="P4243" i="5"/>
  <c r="Q4243" i="5"/>
  <c r="S4243" i="5"/>
  <c r="R4244" i="5"/>
  <c r="P4244" i="5"/>
  <c r="Q4244" i="5"/>
  <c r="S4244" i="5"/>
  <c r="R4245" i="5"/>
  <c r="P4245" i="5"/>
  <c r="Q4245" i="5"/>
  <c r="S4245" i="5"/>
  <c r="R4246" i="5"/>
  <c r="P4246" i="5"/>
  <c r="Q4246" i="5"/>
  <c r="S4246" i="5"/>
  <c r="P4247" i="5"/>
  <c r="Q4247" i="5"/>
  <c r="P4248" i="5"/>
  <c r="Q4248" i="5"/>
  <c r="S4248" i="5"/>
  <c r="P4249" i="5"/>
  <c r="Q4249" i="5"/>
  <c r="S4249" i="5"/>
  <c r="P4250" i="5"/>
  <c r="Q4250" i="5"/>
  <c r="S4250" i="5"/>
  <c r="P4251" i="5"/>
  <c r="Q4251" i="5"/>
  <c r="S4251" i="5"/>
  <c r="P4252" i="5"/>
  <c r="Q4252" i="5"/>
  <c r="S4252" i="5"/>
  <c r="R4253" i="5"/>
  <c r="P4253" i="5"/>
  <c r="Q4253" i="5"/>
  <c r="S4253" i="5"/>
  <c r="R4254" i="5"/>
  <c r="P4254" i="5"/>
  <c r="Q4254" i="5"/>
  <c r="S4254" i="5"/>
  <c r="R4255" i="5"/>
  <c r="P4255" i="5"/>
  <c r="Q4255" i="5"/>
  <c r="S4255" i="5"/>
  <c r="P4256" i="5"/>
  <c r="Q4256" i="5"/>
  <c r="P4257" i="5"/>
  <c r="Q4257" i="5"/>
  <c r="S4257" i="5"/>
  <c r="P4258" i="5"/>
  <c r="Q4258" i="5"/>
  <c r="S4258" i="5"/>
  <c r="P4259" i="5"/>
  <c r="Q4259" i="5"/>
  <c r="S4259" i="5"/>
  <c r="R4260" i="5"/>
  <c r="P4260" i="5"/>
  <c r="Q4260" i="5"/>
  <c r="S4260" i="5"/>
  <c r="P4261" i="5"/>
  <c r="Q4261" i="5"/>
  <c r="R4261" i="5"/>
  <c r="S4261" i="5"/>
  <c r="R4262" i="5"/>
  <c r="P4262" i="5"/>
  <c r="Q4262" i="5"/>
  <c r="S4262" i="5"/>
  <c r="R4263" i="5"/>
  <c r="P4263" i="5"/>
  <c r="Q4263" i="5"/>
  <c r="P4264" i="5"/>
  <c r="Q4264" i="5"/>
  <c r="S4264" i="5"/>
  <c r="R4265" i="5"/>
  <c r="P4265" i="5"/>
  <c r="Q4265" i="5"/>
  <c r="S4265" i="5"/>
  <c r="R4266" i="5"/>
  <c r="P4266" i="5"/>
  <c r="Q4266" i="5"/>
  <c r="S4266" i="5"/>
  <c r="R4267" i="5"/>
  <c r="P4267" i="5"/>
  <c r="Q4267" i="5"/>
  <c r="S4267" i="5"/>
  <c r="P4268" i="5"/>
  <c r="Q4268" i="5"/>
  <c r="P4269" i="5"/>
  <c r="Q4269" i="5"/>
  <c r="S4269" i="5"/>
  <c r="P4270" i="5"/>
  <c r="Q4270" i="5"/>
  <c r="S4270" i="5"/>
  <c r="P4271" i="5"/>
  <c r="Q4271" i="5"/>
  <c r="S4271" i="5"/>
  <c r="P4272" i="5"/>
  <c r="Q4272" i="5"/>
  <c r="S4272" i="5"/>
  <c r="R4273" i="5"/>
  <c r="P4273" i="5"/>
  <c r="Q4273" i="5"/>
  <c r="S4273" i="5"/>
  <c r="R4274" i="5"/>
  <c r="P4274" i="5"/>
  <c r="Q4274" i="5"/>
  <c r="S4274" i="5"/>
  <c r="R4275" i="5"/>
  <c r="P4275" i="5"/>
  <c r="Q4275" i="5"/>
  <c r="S4275" i="5"/>
  <c r="Q4276" i="5"/>
  <c r="Q4277" i="5"/>
  <c r="S4277" i="5"/>
  <c r="Q4278" i="5"/>
  <c r="S4278" i="5"/>
  <c r="P4279" i="5"/>
  <c r="Q4279" i="5"/>
  <c r="S4279" i="5"/>
  <c r="P4280" i="5"/>
  <c r="Q4280" i="5"/>
  <c r="S4280" i="5"/>
  <c r="P4281" i="5"/>
  <c r="Q4281" i="5"/>
  <c r="S4281" i="5"/>
  <c r="R4282" i="5"/>
  <c r="P4282" i="5"/>
  <c r="Q4282" i="5"/>
  <c r="S4282" i="5"/>
  <c r="R4283" i="5"/>
  <c r="P4283" i="5"/>
  <c r="Q4283" i="5"/>
  <c r="S4283" i="5"/>
  <c r="P4284" i="5"/>
  <c r="Q4284" i="5"/>
  <c r="R4284" i="5"/>
  <c r="S4284" i="5"/>
  <c r="P4285" i="5"/>
  <c r="Q4285" i="5"/>
  <c r="P4286" i="5"/>
  <c r="Q4286" i="5"/>
  <c r="S4286" i="5"/>
  <c r="P4287" i="5"/>
  <c r="Q4287" i="5"/>
  <c r="S4287" i="5"/>
  <c r="P4288" i="5"/>
  <c r="Q4288" i="5"/>
  <c r="S4288" i="5"/>
  <c r="P4289" i="5"/>
  <c r="Q4289" i="5"/>
  <c r="S4289" i="5"/>
  <c r="P4290" i="5"/>
  <c r="Q4290" i="5"/>
  <c r="S4290" i="5"/>
  <c r="P4291" i="5"/>
  <c r="Q4291" i="5"/>
  <c r="S4291" i="5"/>
  <c r="P4292" i="5"/>
  <c r="Q4292" i="5"/>
  <c r="S4292" i="5"/>
  <c r="P4293" i="5"/>
  <c r="Q4293" i="5"/>
  <c r="S4293" i="5"/>
  <c r="Q4294" i="5"/>
  <c r="S4294" i="5"/>
  <c r="Q4295" i="5"/>
  <c r="S4295" i="5"/>
  <c r="P4296" i="5"/>
  <c r="Q4296" i="5"/>
  <c r="R4296" i="5"/>
  <c r="S4296" i="5"/>
  <c r="R4297" i="5"/>
  <c r="P4297" i="5"/>
  <c r="Q4297" i="5"/>
  <c r="S4297" i="5"/>
  <c r="R4298" i="5"/>
  <c r="P4298" i="5"/>
  <c r="Q4298" i="5"/>
  <c r="S4298" i="5"/>
  <c r="R4299" i="5"/>
  <c r="P4299" i="5"/>
  <c r="Q4299" i="5"/>
  <c r="S4299" i="5"/>
  <c r="R4300" i="5"/>
  <c r="P4300" i="5"/>
  <c r="Q4300" i="5"/>
  <c r="S4300" i="5"/>
  <c r="P4301" i="5"/>
  <c r="Q4301" i="5"/>
  <c r="P4302" i="5"/>
  <c r="Q4302" i="5"/>
  <c r="S4302" i="5"/>
  <c r="P4303" i="5"/>
  <c r="Q4303" i="5"/>
  <c r="S4303" i="5"/>
  <c r="P4304" i="5"/>
  <c r="Q4304" i="5"/>
  <c r="S4304" i="5"/>
  <c r="P4305" i="5"/>
  <c r="Q4305" i="5"/>
  <c r="S4305" i="5"/>
  <c r="P4306" i="5"/>
  <c r="Q4306" i="5"/>
  <c r="S4306" i="5"/>
  <c r="P4307" i="5"/>
  <c r="Q4307" i="5"/>
  <c r="S4307" i="5"/>
  <c r="P4308" i="5"/>
  <c r="Q4308" i="5"/>
  <c r="S4308" i="5"/>
  <c r="P4309" i="5"/>
  <c r="Q4309" i="5"/>
  <c r="S4309" i="5"/>
  <c r="P4310" i="5"/>
  <c r="Q4310" i="5"/>
  <c r="S4310" i="5"/>
  <c r="P4311" i="5"/>
  <c r="Q4311" i="5"/>
  <c r="S4311" i="5"/>
  <c r="P4312" i="5"/>
  <c r="Q4312" i="5"/>
  <c r="S4312" i="5"/>
  <c r="P4313" i="5"/>
  <c r="Q4313" i="5"/>
  <c r="S4313" i="5"/>
  <c r="P4314" i="5"/>
  <c r="Q4314" i="5"/>
  <c r="S4314" i="5"/>
  <c r="P4315" i="5"/>
  <c r="Q4315" i="5"/>
  <c r="S4315" i="5"/>
  <c r="P4316" i="5"/>
  <c r="Q4316" i="5"/>
  <c r="S4316" i="5"/>
  <c r="P4317" i="5"/>
  <c r="Q4317" i="5"/>
  <c r="S4317" i="5"/>
  <c r="P4318" i="5"/>
  <c r="Q4318" i="5"/>
  <c r="S4318" i="5"/>
  <c r="P4319" i="5"/>
  <c r="Q4319" i="5"/>
  <c r="S4319" i="5"/>
  <c r="P4320" i="5"/>
  <c r="Q4320" i="5"/>
  <c r="S4320" i="5"/>
  <c r="Q4321" i="5"/>
  <c r="S4321" i="5"/>
  <c r="Q4322" i="5"/>
  <c r="S4322" i="5"/>
  <c r="R4323" i="5"/>
  <c r="P4323" i="5"/>
  <c r="Q4323" i="5"/>
  <c r="S4323" i="5"/>
  <c r="P4324" i="5"/>
  <c r="Q4324" i="5"/>
  <c r="R4324" i="5"/>
  <c r="S4324" i="5"/>
  <c r="R4325" i="5"/>
  <c r="P4325" i="5"/>
  <c r="Q4325" i="5"/>
  <c r="S4325" i="5"/>
  <c r="R4326" i="5"/>
  <c r="P4326" i="5"/>
  <c r="Q4326" i="5"/>
  <c r="S4326" i="5"/>
  <c r="R4327" i="5"/>
  <c r="P4327" i="5"/>
  <c r="Q4327" i="5"/>
  <c r="S4327" i="5"/>
  <c r="Q4328" i="5"/>
  <c r="Q4329" i="5"/>
  <c r="S4329" i="5"/>
  <c r="Q4330" i="5"/>
  <c r="S4330" i="5"/>
  <c r="R4331" i="5"/>
  <c r="P4331" i="5"/>
  <c r="Q4331" i="5"/>
  <c r="S4331" i="5"/>
  <c r="R4332" i="5"/>
  <c r="P4332" i="5"/>
  <c r="Q4332" i="5"/>
  <c r="S4332" i="5"/>
  <c r="P4333" i="5"/>
  <c r="Q4333" i="5"/>
  <c r="R4333" i="5"/>
  <c r="S4333" i="5"/>
  <c r="R4334" i="5"/>
  <c r="P4334" i="5"/>
  <c r="Q4334" i="5"/>
  <c r="S4334" i="5"/>
  <c r="P4335" i="5"/>
  <c r="Q4335" i="5"/>
  <c r="P4336" i="5"/>
  <c r="Q4336" i="5"/>
  <c r="S4336" i="5"/>
  <c r="P4337" i="5"/>
  <c r="Q4337" i="5"/>
  <c r="S4337" i="5"/>
  <c r="P4338" i="5"/>
  <c r="Q4338" i="5"/>
  <c r="S4338" i="5"/>
  <c r="P4339" i="5"/>
  <c r="Q4339" i="5"/>
  <c r="S4339" i="5"/>
  <c r="P4340" i="5"/>
  <c r="Q4340" i="5"/>
  <c r="S4340" i="5"/>
  <c r="P4341" i="5"/>
  <c r="Q4341" i="5"/>
  <c r="S4341" i="5"/>
  <c r="P4342" i="5"/>
  <c r="Q4342" i="5"/>
  <c r="S4342" i="5"/>
  <c r="R4343" i="5"/>
  <c r="P4343" i="5"/>
  <c r="Q4343" i="5"/>
  <c r="S4343" i="5"/>
  <c r="R4344" i="5"/>
  <c r="P4344" i="5"/>
  <c r="Q4344" i="5"/>
  <c r="S4344" i="5"/>
  <c r="R4345" i="5"/>
  <c r="P4345" i="5"/>
  <c r="Q4345" i="5"/>
  <c r="S4345" i="5"/>
  <c r="P4346" i="5"/>
  <c r="Q4346" i="5"/>
  <c r="P4347" i="5"/>
  <c r="Q4347" i="5"/>
  <c r="S4347" i="5"/>
  <c r="P4348" i="5"/>
  <c r="Q4348" i="5"/>
  <c r="S4348" i="5"/>
  <c r="P4349" i="5"/>
  <c r="Q4349" i="5"/>
  <c r="S4349" i="5"/>
  <c r="P4350" i="5"/>
  <c r="Q4350" i="5"/>
  <c r="S4350" i="5"/>
  <c r="P4351" i="5"/>
  <c r="Q4351" i="5"/>
  <c r="S4351" i="5"/>
  <c r="R4352" i="5"/>
  <c r="P4352" i="5"/>
  <c r="Q4352" i="5"/>
  <c r="S4352" i="5"/>
  <c r="P4353" i="5"/>
  <c r="Q4353" i="5"/>
  <c r="R4353" i="5"/>
  <c r="S4353" i="5"/>
  <c r="R4354" i="5"/>
  <c r="P4354" i="5"/>
  <c r="Q4354" i="5"/>
  <c r="S4354" i="5"/>
  <c r="P4355" i="5"/>
  <c r="Q4355" i="5"/>
  <c r="R4356" i="5"/>
  <c r="P4356" i="5"/>
  <c r="Q4356" i="5"/>
  <c r="S4356" i="5"/>
  <c r="P4357" i="5"/>
  <c r="Q4357" i="5"/>
  <c r="S4357" i="5"/>
  <c r="P4358" i="5"/>
  <c r="Q4358" i="5"/>
  <c r="S4358" i="5"/>
  <c r="P4359" i="5"/>
  <c r="Q4359" i="5"/>
  <c r="S4359" i="5"/>
  <c r="P4360" i="5"/>
  <c r="Q4360" i="5"/>
  <c r="S4360" i="5"/>
  <c r="R4361" i="5"/>
  <c r="P4361" i="5"/>
  <c r="Q4361" i="5"/>
  <c r="S4361" i="5"/>
  <c r="R4362" i="5"/>
  <c r="P4362" i="5"/>
  <c r="Q4362" i="5"/>
  <c r="S4362" i="5"/>
  <c r="R4363" i="5"/>
  <c r="P4363" i="5"/>
  <c r="Q4363" i="5"/>
  <c r="S4363" i="5"/>
  <c r="R4364" i="5"/>
  <c r="P4364" i="5"/>
  <c r="Q4364" i="5"/>
  <c r="P4365" i="5"/>
  <c r="Q4365" i="5"/>
  <c r="S4365" i="5"/>
  <c r="P4366" i="5"/>
  <c r="Q4366" i="5"/>
  <c r="S4366" i="5"/>
  <c r="P4367" i="5"/>
  <c r="Q4367" i="5"/>
  <c r="S4367" i="5"/>
  <c r="P4368" i="5"/>
  <c r="Q4368" i="5"/>
  <c r="S4368" i="5"/>
  <c r="P4369" i="5"/>
  <c r="Q4369" i="5"/>
  <c r="S4369" i="5"/>
  <c r="P4370" i="5"/>
  <c r="Q4370" i="5"/>
  <c r="R4370" i="5"/>
  <c r="S4370" i="5"/>
  <c r="R4371" i="5"/>
  <c r="P4371" i="5"/>
  <c r="Q4371" i="5"/>
  <c r="S4371" i="5"/>
  <c r="R4372" i="5"/>
  <c r="P4372" i="5"/>
  <c r="Q4372" i="5"/>
  <c r="S4372" i="5"/>
  <c r="P4373" i="5"/>
  <c r="Q4373" i="5"/>
  <c r="R4374" i="5"/>
  <c r="P4374" i="5"/>
  <c r="Q4374" i="5"/>
  <c r="S4374" i="5"/>
  <c r="P4375" i="5"/>
  <c r="Q4375" i="5"/>
  <c r="S4375" i="5"/>
  <c r="P4376" i="5"/>
  <c r="Q4376" i="5"/>
  <c r="S4376" i="5"/>
  <c r="P4377" i="5"/>
  <c r="Q4377" i="5"/>
  <c r="S4377" i="5"/>
  <c r="P4378" i="5"/>
  <c r="Q4378" i="5"/>
  <c r="S4378" i="5"/>
  <c r="R4379" i="5"/>
  <c r="P4379" i="5"/>
  <c r="Q4379" i="5"/>
  <c r="S4379" i="5"/>
  <c r="R4380" i="5"/>
  <c r="P4380" i="5"/>
  <c r="Q4380" i="5"/>
  <c r="S4380" i="5"/>
  <c r="R4381" i="5"/>
  <c r="P4381" i="5"/>
  <c r="Q4381" i="5"/>
  <c r="S4381" i="5"/>
  <c r="P4382" i="5"/>
  <c r="Q4382" i="5"/>
  <c r="P4383" i="5"/>
  <c r="Q4383" i="5"/>
  <c r="S4383" i="5"/>
  <c r="P4384" i="5"/>
  <c r="Q4384" i="5"/>
  <c r="S4384" i="5"/>
  <c r="P4385" i="5"/>
  <c r="Q4385" i="5"/>
  <c r="S4385" i="5"/>
  <c r="P4386" i="5"/>
  <c r="Q4386" i="5"/>
  <c r="S4386" i="5"/>
  <c r="P4387" i="5"/>
  <c r="Q4387" i="5"/>
  <c r="S4387" i="5"/>
  <c r="P4388" i="5"/>
  <c r="Q4388" i="5"/>
  <c r="S4388" i="5"/>
  <c r="P4389" i="5"/>
  <c r="Q4389" i="5"/>
  <c r="R4389" i="5"/>
  <c r="S4389" i="5"/>
  <c r="R4390" i="5"/>
  <c r="P4390" i="5"/>
  <c r="Q4390" i="5"/>
  <c r="S4390" i="5"/>
  <c r="R4391" i="5"/>
  <c r="P4391" i="5"/>
  <c r="Q4391" i="5"/>
  <c r="S4391" i="5"/>
  <c r="Q4392" i="5"/>
  <c r="Q4393" i="5"/>
  <c r="S4393" i="5"/>
  <c r="Q4394" i="5"/>
  <c r="S4394" i="5"/>
  <c r="P4395" i="5"/>
  <c r="Q4395" i="5"/>
  <c r="S4395" i="5"/>
  <c r="Q4396" i="5"/>
  <c r="S4396" i="5"/>
  <c r="R4397" i="5"/>
  <c r="P4397" i="5"/>
  <c r="Q4397" i="5"/>
  <c r="S4397" i="5"/>
  <c r="P4398" i="5"/>
  <c r="Q4398" i="5"/>
  <c r="R4398" i="5"/>
  <c r="S4398" i="5"/>
  <c r="R4399" i="5"/>
  <c r="P4399" i="5"/>
  <c r="Q4399" i="5"/>
  <c r="S4399" i="5"/>
  <c r="Q4400" i="5"/>
  <c r="Q4401" i="5"/>
  <c r="S4401" i="5"/>
  <c r="Q4402" i="5"/>
  <c r="S4402" i="5"/>
  <c r="P4403" i="5"/>
  <c r="Q4403" i="5"/>
  <c r="S4403" i="5"/>
  <c r="Q4404" i="5"/>
  <c r="S4404" i="5"/>
  <c r="P4405" i="5"/>
  <c r="Q4405" i="5"/>
  <c r="R4405" i="5"/>
  <c r="S4405" i="5"/>
  <c r="R4406" i="5"/>
  <c r="P4406" i="5"/>
  <c r="Q4406" i="5"/>
  <c r="S4406" i="5"/>
  <c r="R4407" i="5"/>
  <c r="P4407" i="5"/>
  <c r="Q4407" i="5"/>
  <c r="S4407" i="5"/>
  <c r="P4408" i="5"/>
  <c r="Q4408" i="5"/>
  <c r="P4409" i="5"/>
  <c r="Q4409" i="5"/>
  <c r="S4409" i="5"/>
  <c r="P4410" i="5"/>
  <c r="Q4410" i="5"/>
  <c r="S4410" i="5"/>
  <c r="P4411" i="5"/>
  <c r="Q4411" i="5"/>
  <c r="S4411" i="5"/>
  <c r="P4412" i="5"/>
  <c r="Q4412" i="5"/>
  <c r="S4412" i="5"/>
  <c r="P4413" i="5"/>
  <c r="Q4413" i="5"/>
  <c r="S4413" i="5"/>
  <c r="P4414" i="5"/>
  <c r="Q4414" i="5"/>
  <c r="S4414" i="5"/>
  <c r="R4415" i="5"/>
  <c r="P4415" i="5"/>
  <c r="Q4415" i="5"/>
  <c r="S4415" i="5"/>
  <c r="R4416" i="5"/>
  <c r="P4416" i="5"/>
  <c r="Q4416" i="5"/>
  <c r="S4416" i="5"/>
  <c r="R4417" i="5"/>
  <c r="P4417" i="5"/>
  <c r="Q4417" i="5"/>
  <c r="S4417" i="5"/>
  <c r="P4418" i="5"/>
  <c r="Q4418" i="5"/>
  <c r="P4419" i="5"/>
  <c r="Q4419" i="5"/>
  <c r="S4419" i="5"/>
  <c r="P4420" i="5"/>
  <c r="Q4420" i="5"/>
  <c r="S4420" i="5"/>
  <c r="P4421" i="5"/>
  <c r="Q4421" i="5"/>
  <c r="S4421" i="5"/>
  <c r="P4422" i="5"/>
  <c r="Q4422" i="5"/>
  <c r="S4422" i="5"/>
  <c r="P4423" i="5"/>
  <c r="Q4423" i="5"/>
  <c r="S4423" i="5"/>
  <c r="P4424" i="5"/>
  <c r="Q4424" i="5"/>
  <c r="S4424" i="5"/>
  <c r="R4425" i="5"/>
  <c r="P4425" i="5"/>
  <c r="Q4425" i="5"/>
  <c r="S4425" i="5"/>
  <c r="R4426" i="5"/>
  <c r="P4426" i="5"/>
  <c r="Q4426" i="5"/>
  <c r="S4426" i="5"/>
  <c r="R4427" i="5"/>
  <c r="P4427" i="5"/>
  <c r="Q4427" i="5"/>
  <c r="S4427" i="5"/>
  <c r="P4428" i="5"/>
  <c r="Q4428" i="5"/>
  <c r="P4429" i="5"/>
  <c r="Q4429" i="5"/>
  <c r="S4429" i="5"/>
  <c r="P4430" i="5"/>
  <c r="Q4430" i="5"/>
  <c r="S4430" i="5"/>
  <c r="P4431" i="5"/>
  <c r="Q4431" i="5"/>
  <c r="S4431" i="5"/>
  <c r="P4432" i="5"/>
  <c r="Q4432" i="5"/>
  <c r="S4432" i="5"/>
  <c r="P4433" i="5"/>
  <c r="Q4433" i="5"/>
  <c r="S4433" i="5"/>
  <c r="P4434" i="5"/>
  <c r="Q4434" i="5"/>
  <c r="S4434" i="5"/>
  <c r="R4435" i="5"/>
  <c r="P4435" i="5"/>
  <c r="Q4435" i="5"/>
  <c r="S4435" i="5"/>
  <c r="R4436" i="5"/>
  <c r="P4436" i="5"/>
  <c r="Q4436" i="5"/>
  <c r="S4436" i="5"/>
  <c r="P4437" i="5"/>
  <c r="Q4437" i="5"/>
  <c r="R4437" i="5"/>
  <c r="S4437" i="5"/>
  <c r="P4438" i="5"/>
  <c r="Q4438" i="5"/>
  <c r="P4439" i="5"/>
  <c r="Q4439" i="5"/>
  <c r="S4439" i="5"/>
  <c r="P4440" i="5"/>
  <c r="Q4440" i="5"/>
  <c r="S4440" i="5"/>
  <c r="P4441" i="5"/>
  <c r="Q4441" i="5"/>
  <c r="S4441" i="5"/>
  <c r="P4442" i="5"/>
  <c r="Q4442" i="5"/>
  <c r="S4442" i="5"/>
  <c r="R4443" i="5"/>
  <c r="P4443" i="5"/>
  <c r="Q4443" i="5"/>
  <c r="S4443" i="5"/>
  <c r="P4444" i="5"/>
  <c r="Q4444" i="5"/>
  <c r="R4444" i="5"/>
  <c r="S4444" i="5"/>
  <c r="R4445" i="5"/>
  <c r="P4445" i="5"/>
  <c r="Q4445" i="5"/>
  <c r="S4445" i="5"/>
  <c r="P4446" i="5"/>
  <c r="Q4446" i="5"/>
  <c r="P4447" i="5"/>
  <c r="Q4447" i="5"/>
  <c r="S4447" i="5"/>
  <c r="P4448" i="5"/>
  <c r="Q4448" i="5"/>
  <c r="S4448" i="5"/>
  <c r="P4449" i="5"/>
  <c r="Q4449" i="5"/>
  <c r="S4449" i="5"/>
  <c r="P4450" i="5"/>
  <c r="Q4450" i="5"/>
  <c r="S4450" i="5"/>
  <c r="P4451" i="5"/>
  <c r="Q4451" i="5"/>
  <c r="S4451" i="5"/>
  <c r="P4452" i="5"/>
  <c r="Q4452" i="5"/>
  <c r="S4452" i="5"/>
  <c r="P4453" i="5"/>
  <c r="Q4453" i="5"/>
  <c r="S4453" i="5"/>
  <c r="P4454" i="5"/>
  <c r="Q4454" i="5"/>
  <c r="S4454" i="5"/>
  <c r="R4455" i="5"/>
  <c r="P4455" i="5"/>
  <c r="Q4455" i="5"/>
  <c r="S4455" i="5"/>
  <c r="P4456" i="5"/>
  <c r="Q4456" i="5"/>
  <c r="R4456" i="5"/>
  <c r="S4456" i="5"/>
  <c r="R4457" i="5"/>
  <c r="P4457" i="5"/>
  <c r="Q4457" i="5"/>
  <c r="S4457" i="5"/>
  <c r="P4458" i="5"/>
  <c r="Q4458" i="5"/>
  <c r="P4459" i="5"/>
  <c r="Q4459" i="5"/>
  <c r="S4459" i="5"/>
  <c r="P4460" i="5"/>
  <c r="Q4460" i="5"/>
  <c r="S4460" i="5"/>
  <c r="P4461" i="5"/>
  <c r="Q4461" i="5"/>
  <c r="S4461" i="5"/>
  <c r="P4462" i="5"/>
  <c r="Q4462" i="5"/>
  <c r="S4462" i="5"/>
  <c r="P4463" i="5"/>
  <c r="Q4463" i="5"/>
  <c r="S4463" i="5"/>
  <c r="P4464" i="5"/>
  <c r="Q4464" i="5"/>
  <c r="S4464" i="5"/>
  <c r="P4465" i="5"/>
  <c r="Q4465" i="5"/>
  <c r="S4465" i="5"/>
  <c r="P4466" i="5"/>
  <c r="Q4466" i="5"/>
  <c r="S4466" i="5"/>
  <c r="R4467" i="5"/>
  <c r="P4467" i="5"/>
  <c r="Q4467" i="5"/>
  <c r="S4467" i="5"/>
  <c r="R4468" i="5"/>
  <c r="P4468" i="5"/>
  <c r="Q4468" i="5"/>
  <c r="S4468" i="5"/>
  <c r="R4469" i="5"/>
  <c r="P4469" i="5"/>
  <c r="Q4469" i="5"/>
  <c r="S4469" i="5"/>
  <c r="P4470" i="5"/>
  <c r="Q4470" i="5"/>
  <c r="P4471" i="5"/>
  <c r="Q4471" i="5"/>
  <c r="S4471" i="5"/>
  <c r="P4472" i="5"/>
  <c r="Q4472" i="5"/>
  <c r="S4472" i="5"/>
  <c r="R4473" i="5"/>
  <c r="P4473" i="5"/>
  <c r="Q4473" i="5"/>
  <c r="S4473" i="5"/>
  <c r="R4474" i="5"/>
  <c r="P4474" i="5"/>
  <c r="Q4474" i="5"/>
  <c r="S4474" i="5"/>
  <c r="R4475" i="5"/>
  <c r="P4475" i="5"/>
  <c r="Q4475" i="5"/>
  <c r="S4475" i="5"/>
  <c r="P4476" i="5"/>
  <c r="Q4476" i="5"/>
  <c r="P4477" i="5"/>
  <c r="Q4477" i="5"/>
  <c r="S4477" i="5"/>
  <c r="P4478" i="5"/>
  <c r="Q4478" i="5"/>
  <c r="S4478" i="5"/>
  <c r="P4479" i="5"/>
  <c r="Q4479" i="5"/>
  <c r="S4479" i="5"/>
  <c r="P4480" i="5"/>
  <c r="Q4480" i="5"/>
  <c r="S4480" i="5"/>
  <c r="P4481" i="5"/>
  <c r="Q4481" i="5"/>
  <c r="S4481" i="5"/>
  <c r="Q4482" i="5"/>
  <c r="S4482" i="5"/>
  <c r="P4483" i="5"/>
  <c r="Q4483" i="5"/>
  <c r="S4483" i="5"/>
  <c r="P4484" i="5"/>
  <c r="Q4484" i="5"/>
  <c r="S4484" i="5"/>
  <c r="P4485" i="5"/>
  <c r="Q4485" i="5"/>
  <c r="S4485" i="5"/>
  <c r="P4486" i="5"/>
  <c r="Q4486" i="5"/>
  <c r="S4486" i="5"/>
  <c r="P4487" i="5"/>
  <c r="Q4487" i="5"/>
  <c r="S4487" i="5"/>
  <c r="Q4488" i="5"/>
  <c r="S4488" i="5"/>
  <c r="P4489" i="5"/>
  <c r="Q4489" i="5"/>
  <c r="S4489" i="5"/>
  <c r="P4490" i="5"/>
  <c r="Q4490" i="5"/>
  <c r="S4490" i="5"/>
  <c r="R4491" i="5"/>
  <c r="P4491" i="5"/>
  <c r="Q4491" i="5"/>
  <c r="S4491" i="5"/>
  <c r="R4492" i="5"/>
  <c r="P4492" i="5"/>
  <c r="Q4492" i="5"/>
  <c r="S4492" i="5"/>
  <c r="R4493" i="5"/>
  <c r="P4493" i="5"/>
  <c r="Q4493" i="5"/>
  <c r="S4493" i="5"/>
  <c r="P4494" i="5"/>
  <c r="Q4494" i="5"/>
  <c r="R4494" i="5"/>
  <c r="S4494" i="5"/>
  <c r="R4495" i="5"/>
  <c r="P4495" i="5"/>
  <c r="Q4495" i="5"/>
  <c r="S4495" i="5"/>
  <c r="P4496" i="5"/>
  <c r="Q4496" i="5"/>
  <c r="Q4497" i="5"/>
  <c r="S4497" i="5"/>
  <c r="P4498" i="5"/>
  <c r="Q4498" i="5"/>
  <c r="S4498" i="5"/>
  <c r="R4499" i="5"/>
  <c r="P4499" i="5"/>
  <c r="Q4499" i="5"/>
  <c r="S4499" i="5"/>
  <c r="R4500" i="5"/>
  <c r="P4500" i="5"/>
  <c r="Q4500" i="5"/>
  <c r="S4500" i="5"/>
  <c r="R4501" i="5"/>
  <c r="P4501" i="5"/>
  <c r="Q4501" i="5"/>
  <c r="S4501" i="5"/>
  <c r="R4502" i="5"/>
  <c r="P4502" i="5"/>
  <c r="Q4502" i="5"/>
  <c r="S4502" i="5"/>
  <c r="R4503" i="5"/>
  <c r="P4503" i="5"/>
  <c r="Q4503" i="5"/>
  <c r="S4503" i="5"/>
  <c r="P4504" i="5"/>
  <c r="Q4504" i="5"/>
  <c r="P4505" i="5"/>
  <c r="Q4505" i="5"/>
  <c r="S4505" i="5"/>
  <c r="P4506" i="5"/>
  <c r="Q4506" i="5"/>
  <c r="S4506" i="5"/>
  <c r="P4507" i="5"/>
  <c r="Q4507" i="5"/>
  <c r="S4507" i="5"/>
  <c r="P4508" i="5"/>
  <c r="Q4508" i="5"/>
  <c r="S4508" i="5"/>
  <c r="R4509" i="5"/>
  <c r="P4509" i="5"/>
  <c r="Q4509" i="5"/>
  <c r="S4509" i="5"/>
  <c r="P4510" i="5"/>
  <c r="Q4510" i="5"/>
  <c r="R4510" i="5"/>
  <c r="S4510" i="5"/>
  <c r="R4511" i="5"/>
  <c r="P4511" i="5"/>
  <c r="Q4511" i="5"/>
  <c r="S4511" i="5"/>
  <c r="P4512" i="5"/>
  <c r="Q4512" i="5"/>
  <c r="P4513" i="5"/>
  <c r="Q4513" i="5"/>
  <c r="S4513" i="5"/>
  <c r="P4514" i="5"/>
  <c r="Q4514" i="5"/>
  <c r="S4514" i="5"/>
  <c r="R4515" i="5"/>
  <c r="P4515" i="5"/>
  <c r="Q4515" i="5"/>
  <c r="S4515" i="5"/>
  <c r="R4516" i="5"/>
  <c r="P4516" i="5"/>
  <c r="Q4516" i="5"/>
  <c r="S4516" i="5"/>
  <c r="P4517" i="5"/>
  <c r="Q4517" i="5"/>
  <c r="R4517" i="5"/>
  <c r="S4517" i="5"/>
  <c r="P4518" i="5"/>
  <c r="Q4518" i="5"/>
  <c r="P4519" i="5"/>
  <c r="Q4519" i="5"/>
  <c r="S4519" i="5"/>
  <c r="R4520" i="5"/>
  <c r="P4520" i="5"/>
  <c r="Q4520" i="5"/>
  <c r="S4520" i="5"/>
  <c r="R4521" i="5"/>
  <c r="P4521" i="5"/>
  <c r="Q4521" i="5"/>
  <c r="S4521" i="5"/>
  <c r="P4522" i="5"/>
  <c r="Q4522" i="5"/>
  <c r="R4522" i="5"/>
  <c r="S4522" i="5"/>
  <c r="P4523" i="5"/>
  <c r="Q4523" i="5"/>
  <c r="P4524" i="5"/>
  <c r="Q4524" i="5"/>
  <c r="S4524" i="5"/>
  <c r="R4525" i="5"/>
  <c r="P4525" i="5"/>
  <c r="Q4525" i="5"/>
  <c r="S4525" i="5"/>
  <c r="P4526" i="5"/>
  <c r="Q4526" i="5"/>
  <c r="R4526" i="5"/>
  <c r="S4526" i="5"/>
  <c r="R4527" i="5"/>
  <c r="P4527" i="5"/>
  <c r="Q4527" i="5"/>
  <c r="S4527" i="5"/>
  <c r="P4528" i="5"/>
  <c r="Q4528" i="5"/>
  <c r="P4529" i="5"/>
  <c r="Q4529" i="5"/>
  <c r="S4529" i="5"/>
  <c r="P4530" i="5"/>
  <c r="Q4530" i="5"/>
  <c r="S4530" i="5"/>
  <c r="P4531" i="5"/>
  <c r="Q4531" i="5"/>
  <c r="S4531" i="5"/>
  <c r="P4532" i="5"/>
  <c r="Q4532" i="5"/>
  <c r="S4532" i="5"/>
  <c r="P4533" i="5"/>
  <c r="Q4533" i="5"/>
  <c r="R4533" i="5"/>
  <c r="S4533" i="5"/>
  <c r="R4534" i="5"/>
  <c r="P4534" i="5"/>
  <c r="Q4534" i="5"/>
  <c r="S4534" i="5"/>
  <c r="R4535" i="5"/>
  <c r="P4535" i="5"/>
  <c r="Q4535" i="5"/>
  <c r="S4535" i="5"/>
  <c r="P4536" i="5"/>
  <c r="Q4536" i="5"/>
  <c r="P4537" i="5"/>
  <c r="Q4537" i="5"/>
  <c r="S4537" i="5"/>
  <c r="P4538" i="5"/>
  <c r="Q4538" i="5"/>
  <c r="S4538" i="5"/>
  <c r="P4539" i="5"/>
  <c r="Q4539" i="5"/>
  <c r="S4539" i="5"/>
  <c r="Q4540" i="5"/>
  <c r="S4540" i="5"/>
  <c r="P4541" i="5"/>
  <c r="Q4541" i="5"/>
  <c r="R4541" i="5"/>
  <c r="S4541" i="5"/>
  <c r="R4542" i="5"/>
  <c r="P4542" i="5"/>
  <c r="Q4542" i="5"/>
  <c r="S4542" i="5"/>
  <c r="R4543" i="5"/>
  <c r="P4543" i="5"/>
  <c r="Q4543" i="5"/>
  <c r="S4543" i="5"/>
  <c r="R4544" i="5"/>
  <c r="P4544" i="5"/>
  <c r="Q4544" i="5"/>
  <c r="P4545" i="5"/>
  <c r="Q4545" i="5"/>
  <c r="S4545" i="5"/>
  <c r="P4546" i="5"/>
  <c r="Q4546" i="5"/>
  <c r="R4546" i="5"/>
  <c r="S4546" i="5"/>
  <c r="R4547" i="5"/>
  <c r="P4547" i="5"/>
  <c r="Q4547" i="5"/>
  <c r="S4547" i="5"/>
  <c r="R4548" i="5"/>
  <c r="P4548" i="5"/>
  <c r="Q4548" i="5"/>
  <c r="S4548" i="5"/>
  <c r="P4549" i="5"/>
  <c r="Q4549" i="5"/>
  <c r="R4550" i="5"/>
  <c r="P4550" i="5"/>
  <c r="Q4550" i="5"/>
  <c r="S4550" i="5"/>
  <c r="P4551" i="5"/>
  <c r="Q4551" i="5"/>
  <c r="S4551" i="5"/>
  <c r="R4552" i="5"/>
  <c r="P4552" i="5"/>
  <c r="Q4552" i="5"/>
  <c r="S4552" i="5"/>
  <c r="R4553" i="5"/>
  <c r="P4553" i="5"/>
  <c r="Q4553" i="5"/>
  <c r="S4553" i="5"/>
  <c r="R4554" i="5"/>
  <c r="P4554" i="5"/>
  <c r="Q4554" i="5"/>
  <c r="S4554" i="5"/>
  <c r="P4555" i="5"/>
  <c r="Q4555" i="5"/>
  <c r="P4556" i="5"/>
  <c r="Q4556" i="5"/>
  <c r="S4556" i="5"/>
  <c r="P4557" i="5"/>
  <c r="Q4557" i="5"/>
  <c r="S4557" i="5"/>
  <c r="P4558" i="5"/>
  <c r="Q4558" i="5"/>
  <c r="S4558" i="5"/>
  <c r="P4559" i="5"/>
  <c r="Q4559" i="5"/>
  <c r="S4559" i="5"/>
  <c r="P4560" i="5"/>
  <c r="Q4560" i="5"/>
  <c r="S4560" i="5"/>
  <c r="P4561" i="5"/>
  <c r="Q4561" i="5"/>
  <c r="S4561" i="5"/>
  <c r="P4562" i="5"/>
  <c r="Q4562" i="5"/>
  <c r="S4562" i="5"/>
  <c r="P4563" i="5"/>
  <c r="Q4563" i="5"/>
  <c r="S4563" i="5"/>
  <c r="R4564" i="5"/>
  <c r="P4564" i="5"/>
  <c r="Q4564" i="5"/>
  <c r="S4564" i="5"/>
  <c r="P4565" i="5"/>
  <c r="Q4565" i="5"/>
  <c r="R4565" i="5"/>
  <c r="S4565" i="5"/>
  <c r="R4566" i="5"/>
  <c r="P4566" i="5"/>
  <c r="Q4566" i="5"/>
  <c r="S4566" i="5"/>
  <c r="Q4567" i="5"/>
  <c r="Q4568" i="5"/>
  <c r="S4568" i="5"/>
  <c r="Q4569" i="5"/>
  <c r="S4569" i="5"/>
  <c r="Q4570" i="5"/>
  <c r="S4570" i="5"/>
  <c r="Q4571" i="5"/>
  <c r="S4571" i="5"/>
  <c r="Q4572" i="5"/>
  <c r="S4572" i="5"/>
  <c r="Q4573" i="5"/>
  <c r="S4573" i="5"/>
  <c r="Q4574" i="5"/>
  <c r="S4574" i="5"/>
  <c r="Q4575" i="5"/>
  <c r="S4575" i="5"/>
  <c r="R4576" i="5"/>
  <c r="P4576" i="5"/>
  <c r="Q4576" i="5"/>
  <c r="S4576" i="5"/>
  <c r="R4577" i="5"/>
  <c r="P4577" i="5"/>
  <c r="Q4577" i="5"/>
  <c r="S4577" i="5"/>
  <c r="P4578" i="5"/>
  <c r="Q4578" i="5"/>
  <c r="R4578" i="5"/>
  <c r="S4578" i="5"/>
  <c r="P4579" i="5"/>
  <c r="Q4579" i="5"/>
  <c r="P4580" i="5"/>
  <c r="Q4580" i="5"/>
  <c r="S4580" i="5"/>
  <c r="P4581" i="5"/>
  <c r="Q4581" i="5"/>
  <c r="S4581" i="5"/>
  <c r="P4582" i="5"/>
  <c r="Q4582" i="5"/>
  <c r="S4582" i="5"/>
  <c r="P4583" i="5"/>
  <c r="Q4583" i="5"/>
  <c r="S4583" i="5"/>
  <c r="P4584" i="5"/>
  <c r="Q4584" i="5"/>
  <c r="S4584" i="5"/>
  <c r="P4585" i="5"/>
  <c r="Q4585" i="5"/>
  <c r="S4585" i="5"/>
  <c r="P4586" i="5"/>
  <c r="Q4586" i="5"/>
  <c r="S4586" i="5"/>
  <c r="P4587" i="5"/>
  <c r="Q4587" i="5"/>
  <c r="S4587" i="5"/>
  <c r="P4588" i="5"/>
  <c r="Q4588" i="5"/>
  <c r="S4588" i="5"/>
  <c r="P4589" i="5"/>
  <c r="Q4589" i="5"/>
  <c r="S4589" i="5"/>
  <c r="P4590" i="5"/>
  <c r="Q4590" i="5"/>
  <c r="S4590" i="5"/>
  <c r="Q4591" i="5"/>
  <c r="S4591" i="5"/>
  <c r="Q4592" i="5"/>
  <c r="S4592" i="5"/>
  <c r="R4593" i="5"/>
  <c r="P4593" i="5"/>
  <c r="Q4593" i="5"/>
  <c r="S4593" i="5"/>
  <c r="P4594" i="5"/>
  <c r="Q4594" i="5"/>
  <c r="R4594" i="5"/>
  <c r="S4594" i="5"/>
  <c r="R4595" i="5"/>
  <c r="P4595" i="5"/>
  <c r="Q4595" i="5"/>
  <c r="S4595" i="5"/>
  <c r="R4596" i="5"/>
  <c r="P4596" i="5"/>
  <c r="Q4596" i="5"/>
  <c r="S4596" i="5"/>
  <c r="R4597" i="5"/>
  <c r="P4597" i="5"/>
  <c r="Q4597" i="5"/>
  <c r="S4597" i="5"/>
  <c r="Q4598" i="5"/>
  <c r="Q4599" i="5"/>
  <c r="S4599" i="5"/>
  <c r="Q4600" i="5"/>
  <c r="S4600" i="5"/>
  <c r="Q4601" i="5"/>
  <c r="S4601" i="5"/>
  <c r="Q4602" i="5"/>
  <c r="S4602" i="5"/>
  <c r="R4603" i="5"/>
  <c r="P4603" i="5"/>
  <c r="Q4603" i="5"/>
  <c r="S4603" i="5"/>
  <c r="P4604" i="5"/>
  <c r="Q4604" i="5"/>
  <c r="R4604" i="5"/>
  <c r="S4604" i="5"/>
  <c r="R4605" i="5"/>
  <c r="P4605" i="5"/>
  <c r="Q4605" i="5"/>
  <c r="S4605" i="5"/>
  <c r="P4606" i="5"/>
  <c r="Q4606" i="5"/>
  <c r="P4607" i="5"/>
  <c r="Q4607" i="5"/>
  <c r="S4607" i="5"/>
  <c r="P4608" i="5"/>
  <c r="Q4608" i="5"/>
  <c r="S4608" i="5"/>
  <c r="P4609" i="5"/>
  <c r="Q4609" i="5"/>
  <c r="S4609" i="5"/>
  <c r="P4610" i="5"/>
  <c r="Q4610" i="5"/>
  <c r="S4610" i="5"/>
  <c r="P4611" i="5"/>
  <c r="Q4611" i="5"/>
  <c r="S4611" i="5"/>
  <c r="P4612" i="5"/>
  <c r="Q4612" i="5"/>
  <c r="R4612" i="5"/>
  <c r="S4612" i="5"/>
  <c r="R4613" i="5"/>
  <c r="P4613" i="5"/>
  <c r="Q4613" i="5"/>
  <c r="S4613" i="5"/>
  <c r="R4614" i="5"/>
  <c r="P4614" i="5"/>
  <c r="Q4614" i="5"/>
  <c r="S4614" i="5"/>
  <c r="P4615" i="5"/>
  <c r="Q4615" i="5"/>
  <c r="P4616" i="5"/>
  <c r="Q4616" i="5"/>
  <c r="S4616" i="5"/>
  <c r="R4617" i="5"/>
  <c r="Q4617" i="5"/>
  <c r="S4617" i="5"/>
  <c r="R4618" i="5"/>
  <c r="P4618" i="5"/>
  <c r="Q4618" i="5"/>
  <c r="S4618" i="5"/>
  <c r="R4619" i="5"/>
  <c r="P4619" i="5"/>
  <c r="Q4619" i="5"/>
  <c r="S4619" i="5"/>
  <c r="R4620" i="5"/>
  <c r="P4620" i="5"/>
  <c r="Q4620" i="5"/>
  <c r="S4620" i="5"/>
  <c r="R4621" i="5"/>
  <c r="P4621" i="5"/>
  <c r="Q4621" i="5"/>
  <c r="S4621" i="5"/>
  <c r="P4622" i="5"/>
  <c r="Q4622" i="5"/>
  <c r="R4622" i="5"/>
  <c r="S4622" i="5"/>
  <c r="P4623" i="5"/>
  <c r="Q4623" i="5"/>
  <c r="P4624" i="5"/>
  <c r="Q4624" i="5"/>
  <c r="S4624" i="5"/>
  <c r="P4625" i="5"/>
  <c r="Q4625" i="5"/>
  <c r="S4625" i="5"/>
  <c r="R4626" i="5"/>
  <c r="P4626" i="5"/>
  <c r="Q4626" i="5"/>
  <c r="S4626" i="5"/>
  <c r="R4627" i="5"/>
  <c r="P4627" i="5"/>
  <c r="Q4627" i="5"/>
  <c r="S4627" i="5"/>
  <c r="R4628" i="5"/>
  <c r="P4628" i="5"/>
  <c r="Q4628" i="5"/>
  <c r="S4628" i="5"/>
  <c r="P4629" i="5"/>
  <c r="Q4629" i="5"/>
  <c r="P4630" i="5"/>
  <c r="Q4630" i="5"/>
  <c r="S4630" i="5"/>
  <c r="P4631" i="5"/>
  <c r="Q4631" i="5"/>
  <c r="S4631" i="5"/>
  <c r="P4632" i="5"/>
  <c r="Q4632" i="5"/>
  <c r="S4632" i="5"/>
  <c r="P4633" i="5"/>
  <c r="Q4633" i="5"/>
  <c r="S4633" i="5"/>
  <c r="Q4634" i="5"/>
  <c r="S4634" i="5"/>
  <c r="Q4635" i="5"/>
  <c r="S4635" i="5"/>
  <c r="P4636" i="5"/>
  <c r="Q4636" i="5"/>
  <c r="R4636" i="5"/>
  <c r="S4636" i="5"/>
  <c r="R4637" i="5"/>
  <c r="P4637" i="5"/>
  <c r="Q4637" i="5"/>
  <c r="S4637" i="5"/>
  <c r="R4638" i="5"/>
  <c r="P4638" i="5"/>
  <c r="Q4638" i="5"/>
  <c r="S4638" i="5"/>
  <c r="R4639" i="5"/>
  <c r="P4639" i="5"/>
  <c r="Q4639" i="5"/>
  <c r="S4639" i="5"/>
  <c r="R4640" i="5"/>
  <c r="P4640" i="5"/>
  <c r="Q4640" i="5"/>
  <c r="S4640" i="5"/>
  <c r="P4641" i="5"/>
  <c r="Q4641" i="5"/>
  <c r="P4642" i="5"/>
  <c r="Q4642" i="5"/>
  <c r="S4642" i="5"/>
  <c r="R4643" i="5"/>
  <c r="P4643" i="5"/>
  <c r="Q4643" i="5"/>
  <c r="S4643" i="5"/>
  <c r="R4644" i="5"/>
  <c r="P4644" i="5"/>
  <c r="Q4644" i="5"/>
  <c r="S4644" i="5"/>
  <c r="R4645" i="5"/>
  <c r="P4645" i="5"/>
  <c r="Q4645" i="5"/>
  <c r="S4645" i="5"/>
  <c r="R4646" i="5"/>
  <c r="P4646" i="5"/>
  <c r="Q4646" i="5"/>
  <c r="S4646" i="5"/>
  <c r="R4647" i="5"/>
  <c r="P4647" i="5"/>
  <c r="Q4647" i="5"/>
  <c r="S4647" i="5"/>
  <c r="P4648" i="5"/>
  <c r="Q4648" i="5"/>
  <c r="R4648" i="5"/>
  <c r="S4648" i="5"/>
  <c r="P4649" i="5"/>
  <c r="Q4649" i="5"/>
  <c r="P4650" i="5"/>
  <c r="Q4650" i="5"/>
  <c r="S4650" i="5"/>
  <c r="P4651" i="5"/>
  <c r="Q4651" i="5"/>
  <c r="S4651" i="5"/>
  <c r="R4652" i="5"/>
  <c r="P4652" i="5"/>
  <c r="Q4652" i="5"/>
  <c r="S4652" i="5"/>
  <c r="R4653" i="5"/>
  <c r="P4653" i="5"/>
  <c r="Q4653" i="5"/>
  <c r="S4653" i="5"/>
  <c r="P4654" i="5"/>
  <c r="Q4654" i="5"/>
  <c r="R4654" i="5"/>
  <c r="S4654" i="5"/>
  <c r="P4655" i="5"/>
  <c r="Q4655" i="5"/>
  <c r="P4656" i="5"/>
  <c r="Q4656" i="5"/>
  <c r="S4656" i="5"/>
  <c r="P4657" i="5"/>
  <c r="Q4657" i="5"/>
  <c r="S4657" i="5"/>
  <c r="P4658" i="5"/>
  <c r="Q4658" i="5"/>
  <c r="S4658" i="5"/>
  <c r="P4659" i="5"/>
  <c r="Q4659" i="5"/>
  <c r="S4659" i="5"/>
  <c r="R4660" i="5"/>
  <c r="P4660" i="5"/>
  <c r="Q4660" i="5"/>
  <c r="S4660" i="5"/>
  <c r="P4661" i="5"/>
  <c r="Q4661" i="5"/>
  <c r="R4661" i="5"/>
  <c r="S4661" i="5"/>
  <c r="R4662" i="5"/>
  <c r="P4662" i="5"/>
  <c r="Q4662" i="5"/>
  <c r="S4662" i="5"/>
  <c r="P4663" i="5"/>
  <c r="Q4663" i="5"/>
  <c r="P4664" i="5"/>
  <c r="Q4664" i="5"/>
  <c r="S4664" i="5"/>
  <c r="P4665" i="5"/>
  <c r="Q4665" i="5"/>
  <c r="S4665" i="5"/>
  <c r="P4666" i="5"/>
  <c r="Q4666" i="5"/>
  <c r="S4666" i="5"/>
  <c r="P4667" i="5"/>
  <c r="Q4667" i="5"/>
  <c r="S4667" i="5"/>
  <c r="P4668" i="5"/>
  <c r="Q4668" i="5"/>
  <c r="R4668" i="5"/>
  <c r="S4668" i="5"/>
  <c r="R4669" i="5"/>
  <c r="P4669" i="5"/>
  <c r="Q4669" i="5"/>
  <c r="S4669" i="5"/>
  <c r="R4670" i="5"/>
  <c r="P4670" i="5"/>
  <c r="Q4670" i="5"/>
  <c r="S4670" i="5"/>
  <c r="P4671" i="5"/>
  <c r="Q4671" i="5"/>
  <c r="P4672" i="5"/>
  <c r="Q4672" i="5"/>
  <c r="S4672" i="5"/>
  <c r="P4673" i="5"/>
  <c r="Q4673" i="5"/>
  <c r="S4673" i="5"/>
  <c r="P4674" i="5"/>
  <c r="Q4674" i="5"/>
  <c r="S4674" i="5"/>
  <c r="P4675" i="5"/>
  <c r="Q4675" i="5"/>
  <c r="S4675" i="5"/>
  <c r="P4676" i="5"/>
  <c r="Q4676" i="5"/>
  <c r="S4676" i="5"/>
  <c r="P4677" i="5"/>
  <c r="Q4677" i="5"/>
  <c r="S4677" i="5"/>
  <c r="R4678" i="5"/>
  <c r="P4678" i="5"/>
  <c r="Q4678" i="5"/>
  <c r="S4678" i="5"/>
  <c r="R4679" i="5"/>
  <c r="P4679" i="5"/>
  <c r="Q4679" i="5"/>
  <c r="S4679" i="5"/>
  <c r="P4680" i="5"/>
  <c r="Q4680" i="5"/>
  <c r="R4680" i="5"/>
  <c r="S4680" i="5"/>
  <c r="P4681" i="5"/>
  <c r="Q4681" i="5"/>
  <c r="P4682" i="5"/>
  <c r="Q4682" i="5"/>
  <c r="S4682" i="5"/>
  <c r="P4683" i="5"/>
  <c r="Q4683" i="5"/>
  <c r="S4683" i="5"/>
  <c r="R4684" i="5"/>
  <c r="P4684" i="5"/>
  <c r="Q4684" i="5"/>
  <c r="S4684" i="5"/>
  <c r="R4685" i="5"/>
  <c r="P4685" i="5"/>
  <c r="Q4685" i="5"/>
  <c r="S4685" i="5"/>
  <c r="P4686" i="5"/>
  <c r="Q4686" i="5"/>
  <c r="R4686" i="5"/>
  <c r="S4686" i="5"/>
  <c r="R4687" i="5"/>
  <c r="P4687" i="5"/>
  <c r="Q4687" i="5"/>
  <c r="P4688" i="5"/>
  <c r="Q4688" i="5"/>
  <c r="S4688" i="5"/>
  <c r="R4689" i="5"/>
  <c r="P4689" i="5"/>
  <c r="Q4689" i="5"/>
  <c r="S4689" i="5"/>
  <c r="R4690" i="5"/>
  <c r="P4690" i="5"/>
  <c r="Q4690" i="5"/>
  <c r="S4690" i="5"/>
  <c r="R4691" i="5"/>
  <c r="P4691" i="5"/>
  <c r="Q4691" i="5"/>
  <c r="S4691" i="5"/>
  <c r="R4692" i="5"/>
  <c r="P4692" i="5"/>
  <c r="Q4692" i="5"/>
  <c r="S4692" i="5"/>
  <c r="P4693" i="5"/>
  <c r="Q4693" i="5"/>
  <c r="R4693" i="5"/>
  <c r="S4693" i="5"/>
  <c r="R4694" i="5"/>
  <c r="P4694" i="5"/>
  <c r="Q4694" i="5"/>
  <c r="S4694" i="5"/>
  <c r="P4695" i="5"/>
  <c r="Q4695" i="5"/>
  <c r="P4696" i="5"/>
  <c r="Q4696" i="5"/>
  <c r="S4696" i="5"/>
  <c r="P4697" i="5"/>
  <c r="Q4697" i="5"/>
  <c r="S4697" i="5"/>
  <c r="P4698" i="5"/>
  <c r="Q4698" i="5"/>
  <c r="S4698" i="5"/>
  <c r="P4699" i="5"/>
  <c r="Q4699" i="5"/>
  <c r="S4699" i="5"/>
  <c r="P4700" i="5"/>
  <c r="Q4700" i="5"/>
  <c r="S4700" i="5"/>
  <c r="R4701" i="5"/>
  <c r="P4701" i="5"/>
  <c r="Q4701" i="5"/>
  <c r="S4701" i="5"/>
  <c r="R4702" i="5"/>
  <c r="P4702" i="5"/>
  <c r="Q4702" i="5"/>
  <c r="S4702" i="5"/>
  <c r="R4703" i="5"/>
  <c r="P4703" i="5"/>
  <c r="Q4703" i="5"/>
  <c r="S4703" i="5"/>
  <c r="P4704" i="5"/>
  <c r="Q4704" i="5"/>
  <c r="P4705" i="5"/>
  <c r="Q4705" i="5"/>
  <c r="S4705" i="5"/>
  <c r="P4706" i="5"/>
  <c r="Q4706" i="5"/>
  <c r="S4706" i="5"/>
  <c r="R4707" i="5"/>
  <c r="P4707" i="5"/>
  <c r="Q4707" i="5"/>
  <c r="S4707" i="5"/>
  <c r="Q4708" i="5"/>
  <c r="S4708" i="5"/>
  <c r="P4709" i="5"/>
  <c r="Q4709" i="5"/>
  <c r="S4709" i="5"/>
  <c r="R4710" i="5"/>
  <c r="P4710" i="5"/>
  <c r="Q4710" i="5"/>
  <c r="S4710" i="5"/>
  <c r="R4711" i="5"/>
  <c r="P4711" i="5"/>
  <c r="Q4711" i="5"/>
  <c r="S4711" i="5"/>
  <c r="P4712" i="5"/>
  <c r="Q4712" i="5"/>
  <c r="R4712" i="5"/>
  <c r="S4712" i="5"/>
  <c r="R4713" i="5"/>
  <c r="P4713" i="5"/>
  <c r="Q4713" i="5"/>
  <c r="S4713" i="5"/>
  <c r="R4714" i="5"/>
  <c r="P4714" i="5"/>
  <c r="Q4714" i="5"/>
  <c r="S4714" i="5"/>
  <c r="R4715" i="5"/>
  <c r="P4715" i="5"/>
  <c r="Q4715" i="5"/>
  <c r="S4715" i="5"/>
  <c r="P4716" i="5"/>
  <c r="Q4716" i="5"/>
  <c r="R4717" i="5"/>
  <c r="P4717" i="5"/>
  <c r="Q4717" i="5"/>
  <c r="S4717" i="5"/>
  <c r="P4718" i="5"/>
  <c r="Q4718" i="5"/>
  <c r="R4718" i="5"/>
  <c r="S4718" i="5"/>
  <c r="R4719" i="5"/>
  <c r="P4719" i="5"/>
  <c r="Q4719" i="5"/>
  <c r="S4719" i="5"/>
  <c r="P4720" i="5"/>
  <c r="Q4720" i="5"/>
  <c r="R4721" i="5"/>
  <c r="P4721" i="5"/>
  <c r="Q4721" i="5"/>
  <c r="S4721" i="5"/>
  <c r="R4722" i="5"/>
  <c r="P4722" i="5"/>
  <c r="Q4722" i="5"/>
  <c r="S4722" i="5"/>
  <c r="R4723" i="5"/>
  <c r="P4723" i="5"/>
  <c r="Q4723" i="5"/>
  <c r="S4723" i="5"/>
  <c r="R4724" i="5"/>
  <c r="P4724" i="5"/>
  <c r="Q4724" i="5"/>
  <c r="S4724" i="5"/>
  <c r="P4725" i="5"/>
  <c r="Q4725" i="5"/>
  <c r="R4725" i="5"/>
  <c r="S4725" i="5"/>
  <c r="P4726" i="5"/>
  <c r="Q4726" i="5"/>
  <c r="Q4727" i="5"/>
  <c r="S4727" i="5"/>
  <c r="Q4728" i="5"/>
  <c r="S4728" i="5"/>
  <c r="R4729" i="5"/>
  <c r="P4729" i="5"/>
  <c r="Q4729" i="5"/>
  <c r="S4729" i="5"/>
  <c r="R4730" i="5"/>
  <c r="P4730" i="5"/>
  <c r="Q4730" i="5"/>
  <c r="S4730" i="5"/>
  <c r="R4731" i="5"/>
  <c r="P4731" i="5"/>
  <c r="Q4731" i="5"/>
  <c r="S4731" i="5"/>
  <c r="P4732" i="5"/>
  <c r="Q4732" i="5"/>
  <c r="R4732" i="5"/>
  <c r="S4732" i="5"/>
  <c r="R4733" i="5"/>
  <c r="P4733" i="5"/>
  <c r="Q4733" i="5"/>
  <c r="S4733" i="5"/>
  <c r="Q4734" i="5"/>
  <c r="R4735" i="5"/>
  <c r="P4735" i="5"/>
  <c r="Q4735" i="5"/>
  <c r="S4735" i="5"/>
  <c r="R4736" i="5"/>
  <c r="P4736" i="5"/>
  <c r="Q4736" i="5"/>
  <c r="S4736" i="5"/>
  <c r="R4737" i="5"/>
  <c r="P4737" i="5"/>
  <c r="Q4737" i="5"/>
  <c r="S4737" i="5"/>
  <c r="P4738" i="5"/>
  <c r="Q4738" i="5"/>
  <c r="R4739" i="5"/>
  <c r="P4739" i="5"/>
  <c r="Q4739" i="5"/>
  <c r="S4739" i="5"/>
  <c r="R4740" i="5"/>
  <c r="P4740" i="5"/>
  <c r="Q4740" i="5"/>
  <c r="S4740" i="5"/>
  <c r="R4741" i="5"/>
  <c r="P4741" i="5"/>
  <c r="Q4741" i="5"/>
  <c r="S4741" i="5"/>
  <c r="P4742" i="5"/>
  <c r="Q4742" i="5"/>
  <c r="R4743" i="5"/>
  <c r="P4743" i="5"/>
  <c r="Q4743" i="5"/>
  <c r="S4743" i="5"/>
  <c r="P4744" i="5"/>
  <c r="Q4744" i="5"/>
  <c r="R4744" i="5"/>
  <c r="S4744" i="5"/>
  <c r="R4745" i="5"/>
  <c r="P4745" i="5"/>
  <c r="Q4745" i="5"/>
  <c r="S4745" i="5"/>
  <c r="P4746" i="5"/>
  <c r="Q4746" i="5"/>
  <c r="R4747" i="5"/>
  <c r="P4747" i="5"/>
  <c r="Q4747" i="5"/>
  <c r="S4747" i="5"/>
  <c r="R4748" i="5"/>
  <c r="P4748" i="5"/>
  <c r="Q4748" i="5"/>
  <c r="S4748" i="5"/>
  <c r="R4749" i="5"/>
  <c r="P4749" i="5"/>
  <c r="Q4749" i="5"/>
  <c r="S4749" i="5"/>
  <c r="P4750" i="5"/>
  <c r="Q4750" i="5"/>
  <c r="R4751" i="5"/>
  <c r="P4751" i="5"/>
  <c r="Q4751" i="5"/>
  <c r="S4751" i="5"/>
  <c r="R4752" i="5"/>
  <c r="P4752" i="5"/>
  <c r="Q4752" i="5"/>
  <c r="S4752" i="5"/>
  <c r="R4753" i="5"/>
  <c r="P4753" i="5"/>
  <c r="Q4753" i="5"/>
  <c r="S4753" i="5"/>
  <c r="P4754" i="5"/>
  <c r="Q4754" i="5"/>
  <c r="R4755" i="5"/>
  <c r="P4755" i="5"/>
  <c r="Q4755" i="5"/>
  <c r="S4755" i="5"/>
  <c r="R4756" i="5"/>
  <c r="P4756" i="5"/>
  <c r="Q4756" i="5"/>
  <c r="S4756" i="5"/>
  <c r="P4757" i="5"/>
  <c r="Q4757" i="5"/>
  <c r="R4757" i="5"/>
  <c r="S4757" i="5"/>
  <c r="P4758" i="5"/>
  <c r="Q4758" i="5"/>
  <c r="R4759" i="5"/>
  <c r="P4759" i="5"/>
  <c r="Q4759" i="5"/>
  <c r="S4759" i="5"/>
  <c r="R4760" i="5"/>
  <c r="P4760" i="5"/>
  <c r="Q4760" i="5"/>
  <c r="S4760" i="5"/>
  <c r="R4761" i="5"/>
  <c r="P4761" i="5"/>
  <c r="Q4761" i="5"/>
  <c r="S4761" i="5"/>
  <c r="P4762" i="5"/>
  <c r="Q4762" i="5"/>
  <c r="R4763" i="5"/>
  <c r="P4763" i="5"/>
  <c r="Q4763" i="5"/>
  <c r="S4763" i="5"/>
  <c r="P4764" i="5"/>
  <c r="Q4764" i="5"/>
  <c r="R4764" i="5"/>
  <c r="S4764" i="5"/>
  <c r="R4765" i="5"/>
  <c r="P4765" i="5"/>
  <c r="Q4765" i="5"/>
  <c r="S4765" i="5"/>
  <c r="P4766" i="5"/>
  <c r="Q4766" i="5"/>
  <c r="R4767" i="5"/>
  <c r="P4767" i="5"/>
  <c r="Q4767" i="5"/>
  <c r="S4767" i="5"/>
  <c r="R4768" i="5"/>
  <c r="P4768" i="5"/>
  <c r="Q4768" i="5"/>
  <c r="S4768" i="5"/>
  <c r="R4769" i="5"/>
  <c r="P4769" i="5"/>
  <c r="Q4769" i="5"/>
  <c r="S4769" i="5"/>
  <c r="P4770" i="5"/>
  <c r="Q4770" i="5"/>
  <c r="P4771" i="5"/>
  <c r="Q4771" i="5"/>
  <c r="S4771" i="5"/>
  <c r="R4772" i="5"/>
  <c r="P4772" i="5"/>
  <c r="Q4772" i="5"/>
  <c r="S4772" i="5"/>
  <c r="R4773" i="5"/>
  <c r="P4773" i="5"/>
  <c r="Q4773" i="5"/>
  <c r="S4773" i="5"/>
  <c r="P4774" i="5"/>
  <c r="Q4774" i="5"/>
  <c r="S4774" i="5"/>
  <c r="P4775" i="5"/>
  <c r="Q4775" i="5"/>
  <c r="S4775" i="5"/>
  <c r="P4776" i="5"/>
  <c r="Q4776" i="5"/>
  <c r="S4776" i="5"/>
  <c r="R4777" i="5"/>
  <c r="Q4777" i="5"/>
  <c r="S4777" i="5"/>
  <c r="R4778" i="5"/>
  <c r="P4778" i="5"/>
  <c r="Q4778" i="5"/>
  <c r="S4778" i="5"/>
  <c r="R4779" i="5"/>
  <c r="P4779" i="5"/>
  <c r="Q4779" i="5"/>
  <c r="S4779" i="5"/>
  <c r="R4780" i="5"/>
  <c r="P4780" i="5"/>
  <c r="Q4780" i="5"/>
  <c r="S4780" i="5"/>
  <c r="P4781" i="5"/>
  <c r="Q4781" i="5"/>
  <c r="P4782" i="5"/>
  <c r="Q4782" i="5"/>
  <c r="S4782" i="5"/>
  <c r="R4783" i="5"/>
  <c r="P4783" i="5"/>
  <c r="Q4783" i="5"/>
  <c r="S4783" i="5"/>
  <c r="R4784" i="5"/>
  <c r="P4784" i="5"/>
  <c r="Q4784" i="5"/>
  <c r="S4784" i="5"/>
  <c r="R4785" i="5"/>
  <c r="P4785" i="5"/>
  <c r="Q4785" i="5"/>
  <c r="S4785" i="5"/>
  <c r="Q4786" i="5"/>
  <c r="P4787" i="5"/>
  <c r="Q4787" i="5"/>
  <c r="S4787" i="5"/>
  <c r="Q4788" i="5"/>
  <c r="S4788" i="5"/>
  <c r="Q4789" i="5"/>
  <c r="S4789" i="5"/>
  <c r="P4790" i="5"/>
  <c r="Q4790" i="5"/>
  <c r="S4790" i="5"/>
  <c r="P4791" i="5"/>
  <c r="Q4791" i="5"/>
  <c r="S4791" i="5"/>
  <c r="P4792" i="5"/>
  <c r="Q4792" i="5"/>
  <c r="S4792" i="5"/>
  <c r="R4793" i="5"/>
  <c r="P4793" i="5"/>
  <c r="Q4793" i="5"/>
  <c r="S4793" i="5"/>
  <c r="R4794" i="5"/>
  <c r="P4794" i="5"/>
  <c r="Q4794" i="5"/>
  <c r="S4794" i="5"/>
  <c r="R4795" i="5"/>
  <c r="P4795" i="5"/>
  <c r="Q4795" i="5"/>
  <c r="S4795" i="5"/>
  <c r="Q4796" i="5"/>
  <c r="P4797" i="5"/>
  <c r="Q4797" i="5"/>
  <c r="S4797" i="5"/>
  <c r="Q4798" i="5"/>
  <c r="S4798" i="5"/>
  <c r="Q4799" i="5"/>
  <c r="S4799" i="5"/>
  <c r="P4800" i="5"/>
  <c r="Q4800" i="5"/>
  <c r="S4800" i="5"/>
  <c r="P4801" i="5"/>
  <c r="Q4801" i="5"/>
  <c r="S4801" i="5"/>
  <c r="P4802" i="5"/>
  <c r="Q4802" i="5"/>
  <c r="S4802" i="5"/>
  <c r="R4803" i="5"/>
  <c r="P4803" i="5"/>
  <c r="Q4803" i="5"/>
  <c r="S4803" i="5"/>
  <c r="R4804" i="5"/>
  <c r="P4804" i="5"/>
  <c r="Q4804" i="5"/>
  <c r="S4804" i="5"/>
  <c r="R4805" i="5"/>
  <c r="P4805" i="5"/>
  <c r="Q4805" i="5"/>
  <c r="S4805" i="5"/>
  <c r="P4806" i="5"/>
  <c r="Q4806" i="5"/>
  <c r="R4807" i="5"/>
  <c r="P4807" i="5"/>
  <c r="Q4807" i="5"/>
  <c r="S4807" i="5"/>
  <c r="P4808" i="5"/>
  <c r="Q4808" i="5"/>
  <c r="R4808" i="5"/>
  <c r="S4808" i="5"/>
  <c r="R4809" i="5"/>
  <c r="P4809" i="5"/>
  <c r="Q4809" i="5"/>
  <c r="S4809" i="5"/>
  <c r="R4810" i="5"/>
  <c r="P4810" i="5"/>
  <c r="Q4810" i="5"/>
  <c r="S4810" i="5"/>
  <c r="P4811" i="5"/>
  <c r="Q4811" i="5"/>
  <c r="R4812" i="5"/>
  <c r="P4812" i="5"/>
  <c r="Q4812" i="5"/>
  <c r="S4812" i="5"/>
  <c r="R4813" i="5"/>
  <c r="P4813" i="5"/>
  <c r="Q4813" i="5"/>
  <c r="S4813" i="5"/>
  <c r="P4814" i="5"/>
  <c r="Q4814" i="5"/>
  <c r="R4814" i="5"/>
  <c r="S4814" i="5"/>
  <c r="R4815" i="5"/>
  <c r="P4815" i="5"/>
  <c r="Q4815" i="5"/>
  <c r="S4815" i="5"/>
  <c r="P4816" i="5"/>
  <c r="Q4816" i="5"/>
  <c r="R4817" i="5"/>
  <c r="P4817" i="5"/>
  <c r="Q4817" i="5"/>
  <c r="S4817" i="5"/>
  <c r="R4818" i="5"/>
  <c r="P4818" i="5"/>
  <c r="Q4818" i="5"/>
  <c r="S4818" i="5"/>
  <c r="R4819" i="5"/>
  <c r="P4819" i="5"/>
  <c r="Q4819" i="5"/>
  <c r="S4819" i="5"/>
  <c r="R4820" i="5"/>
  <c r="P4820" i="5"/>
  <c r="Q4820" i="5"/>
  <c r="S4820" i="5"/>
  <c r="P4821" i="5"/>
  <c r="Q4821" i="5"/>
  <c r="P4822" i="5"/>
  <c r="Q4822" i="5"/>
  <c r="S4822" i="5"/>
  <c r="R4823" i="5"/>
  <c r="P4823" i="5"/>
  <c r="Q4823" i="5"/>
  <c r="S4823" i="5"/>
  <c r="R4824" i="5"/>
  <c r="P4824" i="5"/>
  <c r="Q4824" i="5"/>
  <c r="S4824" i="5"/>
  <c r="R4825" i="5"/>
  <c r="P4825" i="5"/>
  <c r="Q4825" i="5"/>
  <c r="S4825" i="5"/>
  <c r="R4826" i="5"/>
  <c r="P4826" i="5"/>
  <c r="Q4826" i="5"/>
  <c r="S4826" i="5"/>
  <c r="R4827" i="5"/>
  <c r="P4827" i="5"/>
  <c r="Q4827" i="5"/>
  <c r="S4827" i="5"/>
  <c r="P4828" i="5"/>
  <c r="Q4828" i="5"/>
  <c r="R4828" i="5"/>
  <c r="S4828" i="5"/>
  <c r="P4829" i="5"/>
  <c r="Q4829" i="5"/>
  <c r="P4830" i="5"/>
  <c r="Q4830" i="5"/>
  <c r="S4830" i="5"/>
  <c r="R4831" i="5"/>
  <c r="P4831" i="5"/>
  <c r="Q4831" i="5"/>
  <c r="S4831" i="5"/>
  <c r="R4832" i="5"/>
  <c r="P4832" i="5"/>
  <c r="Q4832" i="5"/>
  <c r="S4832" i="5"/>
  <c r="R4833" i="5"/>
  <c r="P4833" i="5"/>
  <c r="Q4833" i="5"/>
  <c r="S4833" i="5"/>
  <c r="P4834" i="5"/>
  <c r="Q4834" i="5"/>
  <c r="R4834" i="5"/>
  <c r="S4834" i="5"/>
  <c r="R4835" i="5"/>
  <c r="P4835" i="5"/>
  <c r="Q4835" i="5"/>
  <c r="S4835" i="5"/>
  <c r="R4836" i="5"/>
  <c r="P4836" i="5"/>
  <c r="Q4836" i="5"/>
  <c r="S4836" i="5"/>
  <c r="P4837" i="5"/>
  <c r="Q4837" i="5"/>
  <c r="P4838" i="5"/>
  <c r="Q4838" i="5"/>
  <c r="S4838" i="5"/>
  <c r="R4839" i="5"/>
  <c r="P4839" i="5"/>
  <c r="Q4839" i="5"/>
  <c r="S4839" i="5"/>
  <c r="P4840" i="5"/>
  <c r="Q4840" i="5"/>
  <c r="R4840" i="5"/>
  <c r="S4840" i="5"/>
  <c r="R4841" i="5"/>
  <c r="P4841" i="5"/>
  <c r="Q4841" i="5"/>
  <c r="S4841" i="5"/>
  <c r="R4842" i="5"/>
  <c r="P4842" i="5"/>
  <c r="Q4842" i="5"/>
  <c r="S4842" i="5"/>
  <c r="R4843" i="5"/>
  <c r="P4843" i="5"/>
  <c r="Q4843" i="5"/>
  <c r="S4843" i="5"/>
  <c r="R4844" i="5"/>
  <c r="P4844" i="5"/>
  <c r="Q4844" i="5"/>
  <c r="S4844" i="5"/>
  <c r="P4845" i="5"/>
  <c r="Q4845" i="5"/>
  <c r="P4846" i="5"/>
  <c r="Q4846" i="5"/>
  <c r="S4846" i="5"/>
  <c r="R4847" i="5"/>
  <c r="P4847" i="5"/>
  <c r="Q4847" i="5"/>
  <c r="S4847" i="5"/>
  <c r="R4848" i="5"/>
  <c r="P4848" i="5"/>
  <c r="Q4848" i="5"/>
  <c r="S4848" i="5"/>
  <c r="R4849" i="5"/>
  <c r="P4849" i="5"/>
  <c r="Q4849" i="5"/>
  <c r="S4849" i="5"/>
  <c r="R4850" i="5"/>
  <c r="P4850" i="5"/>
  <c r="Q4850" i="5"/>
  <c r="S4850" i="5"/>
  <c r="R4851" i="5"/>
  <c r="P4851" i="5"/>
  <c r="Q4851" i="5"/>
  <c r="S4851" i="5"/>
  <c r="R4852" i="5"/>
  <c r="P4852" i="5"/>
  <c r="Q4852" i="5"/>
  <c r="S4852" i="5"/>
  <c r="P4853" i="5"/>
  <c r="Q4853" i="5"/>
  <c r="P4854" i="5"/>
  <c r="Q4854" i="5"/>
  <c r="S4854" i="5"/>
  <c r="R4855" i="5"/>
  <c r="P4855" i="5"/>
  <c r="Q4855" i="5"/>
  <c r="S4855" i="5"/>
  <c r="R4856" i="5"/>
  <c r="P4856" i="5"/>
  <c r="Q4856" i="5"/>
  <c r="S4856" i="5"/>
  <c r="R4857" i="5"/>
  <c r="P4857" i="5"/>
  <c r="Q4857" i="5"/>
  <c r="S4857" i="5"/>
  <c r="R4858" i="5"/>
  <c r="P4858" i="5"/>
  <c r="Q4858" i="5"/>
  <c r="S4858" i="5"/>
  <c r="R4859" i="5"/>
  <c r="P4859" i="5"/>
  <c r="Q4859" i="5"/>
  <c r="S4859" i="5"/>
  <c r="P4860" i="5"/>
  <c r="Q4860" i="5"/>
  <c r="R4860" i="5"/>
  <c r="S4860" i="5"/>
  <c r="P4861" i="5"/>
  <c r="Q4861" i="5"/>
  <c r="P4862" i="5"/>
  <c r="Q4862" i="5"/>
  <c r="S4862" i="5"/>
  <c r="R4863" i="5"/>
  <c r="P4863" i="5"/>
  <c r="Q4863" i="5"/>
  <c r="S4863" i="5"/>
  <c r="R4864" i="5"/>
  <c r="P4864" i="5"/>
  <c r="Q4864" i="5"/>
  <c r="S4864" i="5"/>
  <c r="R4865" i="5"/>
  <c r="P4865" i="5"/>
  <c r="Q4865" i="5"/>
  <c r="S4865" i="5"/>
  <c r="P4866" i="5"/>
  <c r="Q4866" i="5"/>
  <c r="R4866" i="5"/>
  <c r="S4866" i="5"/>
  <c r="R4867" i="5"/>
  <c r="P4867" i="5"/>
  <c r="Q4867" i="5"/>
  <c r="S4867" i="5"/>
  <c r="R4868" i="5"/>
  <c r="P4868" i="5"/>
  <c r="Q4868" i="5"/>
  <c r="S4868" i="5"/>
  <c r="P4869" i="5"/>
  <c r="Q4869" i="5"/>
  <c r="P4870" i="5"/>
  <c r="Q4870" i="5"/>
  <c r="S4870" i="5"/>
  <c r="R4871" i="5"/>
  <c r="P4871" i="5"/>
  <c r="Q4871" i="5"/>
  <c r="S4871" i="5"/>
  <c r="P4872" i="5"/>
  <c r="Q4872" i="5"/>
  <c r="R4872" i="5"/>
  <c r="S4872" i="5"/>
  <c r="R4873" i="5"/>
  <c r="P4873" i="5"/>
  <c r="Q4873" i="5"/>
  <c r="S4873" i="5"/>
  <c r="R4874" i="5"/>
  <c r="P4874" i="5"/>
  <c r="Q4874" i="5"/>
  <c r="S4874" i="5"/>
  <c r="R4875" i="5"/>
  <c r="P4875" i="5"/>
  <c r="Q4875" i="5"/>
  <c r="S4875" i="5"/>
  <c r="R4876" i="5"/>
  <c r="P4876" i="5"/>
  <c r="Q4876" i="5"/>
  <c r="S4876" i="5"/>
  <c r="P4877" i="5"/>
  <c r="Q4877" i="5"/>
  <c r="P4878" i="5"/>
  <c r="Q4878" i="5"/>
  <c r="S4878" i="5"/>
  <c r="R4879" i="5"/>
  <c r="P4879" i="5"/>
  <c r="Q4879" i="5"/>
  <c r="S4879" i="5"/>
  <c r="R4880" i="5"/>
  <c r="P4880" i="5"/>
  <c r="Q4880" i="5"/>
  <c r="S4880" i="5"/>
  <c r="R4881" i="5"/>
  <c r="P4881" i="5"/>
  <c r="Q4881" i="5"/>
  <c r="S4881" i="5"/>
  <c r="R4882" i="5"/>
  <c r="P4882" i="5"/>
  <c r="Q4882" i="5"/>
  <c r="S4882" i="5"/>
  <c r="R4883" i="5"/>
  <c r="P4883" i="5"/>
  <c r="Q4883" i="5"/>
  <c r="S4883" i="5"/>
  <c r="R4884" i="5"/>
  <c r="P4884" i="5"/>
  <c r="Q4884" i="5"/>
  <c r="S4884" i="5"/>
  <c r="P4885" i="5"/>
  <c r="Q4885" i="5"/>
  <c r="R4885" i="5"/>
  <c r="R4886" i="5"/>
  <c r="P4886" i="5"/>
  <c r="Q4886" i="5"/>
  <c r="S4886" i="5"/>
  <c r="P4887" i="5"/>
  <c r="Q4887" i="5"/>
  <c r="S4887" i="5"/>
  <c r="P4888" i="5"/>
  <c r="Q4888" i="5"/>
  <c r="S4888" i="5"/>
  <c r="P4889" i="5"/>
  <c r="Q4889" i="5"/>
  <c r="S4889" i="5"/>
  <c r="P4890" i="5"/>
  <c r="Q4890" i="5"/>
  <c r="S4890" i="5"/>
  <c r="P4891" i="5"/>
  <c r="Q4891" i="5"/>
  <c r="S4891" i="5"/>
  <c r="R4892" i="5"/>
  <c r="P4892" i="5"/>
  <c r="Q4892" i="5"/>
  <c r="S4892" i="5"/>
  <c r="P4893" i="5"/>
  <c r="Q4893" i="5"/>
  <c r="R4893" i="5"/>
  <c r="S4893" i="5"/>
  <c r="R4894" i="5"/>
  <c r="P4894" i="5"/>
  <c r="Q4894" i="5"/>
  <c r="S4894" i="5"/>
  <c r="R4895" i="5"/>
  <c r="P4895" i="5"/>
  <c r="Q4895" i="5"/>
  <c r="P4896" i="5"/>
  <c r="Q4896" i="5"/>
  <c r="S4896" i="5"/>
  <c r="P4897" i="5"/>
  <c r="Q4897" i="5"/>
  <c r="S4897" i="5"/>
  <c r="P4898" i="5"/>
  <c r="Q4898" i="5"/>
  <c r="S4898" i="5"/>
  <c r="P4899" i="5"/>
  <c r="Q4899" i="5"/>
  <c r="S4899" i="5"/>
  <c r="P4900" i="5"/>
  <c r="Q4900" i="5"/>
  <c r="S4900" i="5"/>
  <c r="R4901" i="5"/>
  <c r="P4901" i="5"/>
  <c r="Q4901" i="5"/>
  <c r="S4901" i="5"/>
  <c r="R4902" i="5"/>
  <c r="P4902" i="5"/>
  <c r="Q4902" i="5"/>
  <c r="S4902" i="5"/>
  <c r="R4903" i="5"/>
  <c r="P4903" i="5"/>
  <c r="Q4903" i="5"/>
  <c r="S4903" i="5"/>
  <c r="R4904" i="5"/>
  <c r="P4904" i="5"/>
  <c r="Q4904" i="5"/>
  <c r="P4905" i="5"/>
  <c r="Q4905" i="5"/>
  <c r="S4905" i="5"/>
  <c r="P4906" i="5"/>
  <c r="Q4906" i="5"/>
  <c r="S4906" i="5"/>
  <c r="P4907" i="5"/>
  <c r="Q4907" i="5"/>
  <c r="S4907" i="5"/>
  <c r="R4908" i="5"/>
  <c r="P4908" i="5"/>
  <c r="Q4908" i="5"/>
  <c r="S4908" i="5"/>
  <c r="R4909" i="5"/>
  <c r="P4909" i="5"/>
  <c r="Q4909" i="5"/>
  <c r="S4909" i="5"/>
  <c r="R4910" i="5"/>
  <c r="P4910" i="5"/>
  <c r="Q4910" i="5"/>
  <c r="S4910" i="5"/>
  <c r="P4911" i="5"/>
  <c r="Q4911" i="5"/>
  <c r="R4912" i="5"/>
  <c r="P4912" i="5"/>
  <c r="Q4912" i="5"/>
  <c r="S4912" i="5"/>
  <c r="P4913" i="5"/>
  <c r="Q4913" i="5"/>
  <c r="S4913" i="5"/>
  <c r="P4914" i="5"/>
  <c r="Q4914" i="5"/>
  <c r="S4914" i="5"/>
  <c r="R4915" i="5"/>
  <c r="P4915" i="5"/>
  <c r="Q4915" i="5"/>
  <c r="S4915" i="5"/>
  <c r="R4916" i="5"/>
  <c r="P4916" i="5"/>
  <c r="Q4916" i="5"/>
  <c r="S4916" i="5"/>
  <c r="R4917" i="5"/>
  <c r="P4917" i="5"/>
  <c r="Q4917" i="5"/>
  <c r="S4917" i="5"/>
  <c r="P4918" i="5"/>
  <c r="Q4918" i="5"/>
  <c r="R4919" i="5"/>
  <c r="P4919" i="5"/>
  <c r="Q4919" i="5"/>
  <c r="S4919" i="5"/>
  <c r="P4920" i="5"/>
  <c r="Q4920" i="5"/>
  <c r="S4920" i="5"/>
  <c r="P4921" i="5"/>
  <c r="Q4921" i="5"/>
  <c r="S4921" i="5"/>
  <c r="R4922" i="5"/>
  <c r="P4922" i="5"/>
  <c r="Q4922" i="5"/>
  <c r="S4922" i="5"/>
  <c r="R4923" i="5"/>
  <c r="P4923" i="5"/>
  <c r="Q4923" i="5"/>
  <c r="S4923" i="5"/>
  <c r="R4924" i="5"/>
  <c r="P4924" i="5"/>
  <c r="Q4924" i="5"/>
  <c r="S4924" i="5"/>
  <c r="P4925" i="5"/>
  <c r="Q4925" i="5"/>
  <c r="R4926" i="5"/>
  <c r="P4926" i="5"/>
  <c r="Q4926" i="5"/>
  <c r="S4926" i="5"/>
  <c r="P4927" i="5"/>
  <c r="Q4927" i="5"/>
  <c r="S4927" i="5"/>
  <c r="P4928" i="5"/>
  <c r="Q4928" i="5"/>
  <c r="S4928" i="5"/>
  <c r="R4929" i="5"/>
  <c r="P4929" i="5"/>
  <c r="Q4929" i="5"/>
  <c r="S4929" i="5"/>
  <c r="R4930" i="5"/>
  <c r="P4930" i="5"/>
  <c r="Q4930" i="5"/>
  <c r="S4930" i="5"/>
  <c r="R4931" i="5"/>
  <c r="P4931" i="5"/>
  <c r="Q4931" i="5"/>
  <c r="S4931" i="5"/>
  <c r="P4932" i="5"/>
  <c r="Q4932" i="5"/>
  <c r="R4933" i="5"/>
  <c r="P4933" i="5"/>
  <c r="Q4933" i="5"/>
  <c r="S4933" i="5"/>
  <c r="P4934" i="5"/>
  <c r="Q4934" i="5"/>
  <c r="S4934" i="5"/>
  <c r="P4935" i="5"/>
  <c r="Q4935" i="5"/>
  <c r="S4935" i="5"/>
  <c r="R4936" i="5"/>
  <c r="P4936" i="5"/>
  <c r="Q4936" i="5"/>
  <c r="S4936" i="5"/>
  <c r="R4937" i="5"/>
  <c r="P4937" i="5"/>
  <c r="Q4937" i="5"/>
  <c r="S4937" i="5"/>
  <c r="R4938" i="5"/>
  <c r="P4938" i="5"/>
  <c r="Q4938" i="5"/>
  <c r="S4938" i="5"/>
  <c r="P4939" i="5"/>
  <c r="Q4939" i="5"/>
  <c r="R4940" i="5"/>
  <c r="P4940" i="5"/>
  <c r="Q4940" i="5"/>
  <c r="S4940" i="5"/>
  <c r="P4941" i="5"/>
  <c r="Q4941" i="5"/>
  <c r="R4941" i="5"/>
  <c r="S4941" i="5"/>
  <c r="R4942" i="5"/>
  <c r="P4942" i="5"/>
  <c r="Q4942" i="5"/>
  <c r="S4942" i="5"/>
  <c r="R4943" i="5"/>
  <c r="P4943" i="5"/>
  <c r="Q4943" i="5"/>
  <c r="S4943" i="5"/>
  <c r="R4944" i="5"/>
  <c r="P4944" i="5"/>
  <c r="Q4944" i="5"/>
  <c r="R4945" i="5"/>
  <c r="P4945" i="5"/>
  <c r="Q4945" i="5"/>
  <c r="S4945" i="5"/>
  <c r="P4946" i="5"/>
  <c r="Q4946" i="5"/>
  <c r="S4946" i="5"/>
  <c r="P4947" i="5"/>
  <c r="Q4947" i="5"/>
  <c r="S4947" i="5"/>
  <c r="R4948" i="5"/>
  <c r="P4948" i="5"/>
  <c r="Q4948" i="5"/>
  <c r="S4948" i="5"/>
  <c r="R4949" i="5"/>
  <c r="P4949" i="5"/>
  <c r="Q4949" i="5"/>
  <c r="S4949" i="5"/>
  <c r="P4950" i="5"/>
  <c r="Q4950" i="5"/>
  <c r="R4950" i="5"/>
  <c r="S4950" i="5"/>
  <c r="P4951" i="5"/>
  <c r="Q4951" i="5"/>
  <c r="P4952" i="5"/>
  <c r="Q4952" i="5"/>
  <c r="S4952" i="5"/>
  <c r="P4953" i="5"/>
  <c r="Q4953" i="5"/>
  <c r="S4953" i="5"/>
  <c r="P4954" i="5"/>
  <c r="Q4954" i="5"/>
  <c r="S4954" i="5"/>
  <c r="R4955" i="5"/>
  <c r="P4955" i="5"/>
  <c r="Q4955" i="5"/>
  <c r="S4955" i="5"/>
  <c r="R4956" i="5"/>
  <c r="P4956" i="5"/>
  <c r="Q4956" i="5"/>
  <c r="S4956" i="5"/>
  <c r="R4957" i="5"/>
  <c r="P4957" i="5"/>
  <c r="Q4957" i="5"/>
  <c r="S4957" i="5"/>
  <c r="P4958" i="5"/>
  <c r="Q4958" i="5"/>
  <c r="R4959" i="5"/>
  <c r="P4959" i="5"/>
  <c r="Q4959" i="5"/>
  <c r="S4959" i="5"/>
  <c r="Q4960" i="5"/>
  <c r="S4960" i="5"/>
  <c r="Q4961" i="5"/>
  <c r="S4961" i="5"/>
  <c r="P4962" i="5"/>
  <c r="Q4962" i="5"/>
  <c r="R4962" i="5"/>
  <c r="S4962" i="5"/>
  <c r="R4963" i="5"/>
  <c r="P4963" i="5"/>
  <c r="Q4963" i="5"/>
  <c r="S4963" i="5"/>
  <c r="R4964" i="5"/>
  <c r="P4964" i="5"/>
  <c r="Q4964" i="5"/>
  <c r="S4964" i="5"/>
  <c r="P4965" i="5"/>
  <c r="Q4965" i="5"/>
  <c r="R4966" i="5"/>
  <c r="P4966" i="5"/>
  <c r="Q4966" i="5"/>
  <c r="S4966" i="5"/>
  <c r="Q4967" i="5"/>
  <c r="S4967" i="5"/>
  <c r="Q4968" i="5"/>
  <c r="S4968" i="5"/>
  <c r="R4969" i="5"/>
  <c r="P4969" i="5"/>
  <c r="Q4969" i="5"/>
  <c r="S4969" i="5"/>
  <c r="R4970" i="5"/>
  <c r="P4970" i="5"/>
  <c r="Q4970" i="5"/>
  <c r="S4970" i="5"/>
  <c r="R4971" i="5"/>
  <c r="P4971" i="5"/>
  <c r="Q4971" i="5"/>
  <c r="S4971" i="5"/>
  <c r="P4972" i="5"/>
  <c r="Q4972" i="5"/>
  <c r="P4973" i="5"/>
  <c r="Q4973" i="5"/>
  <c r="S4973" i="5"/>
  <c r="R4974" i="5"/>
  <c r="P4974" i="5"/>
  <c r="Q4974" i="5"/>
  <c r="S4974" i="5"/>
  <c r="R4975" i="5"/>
  <c r="P4975" i="5"/>
  <c r="Q4975" i="5"/>
  <c r="S4975" i="5"/>
  <c r="P4976" i="5"/>
  <c r="Q4976" i="5"/>
  <c r="R4976" i="5"/>
  <c r="S4976" i="5"/>
  <c r="P4977" i="5"/>
  <c r="Q4977" i="5"/>
  <c r="Q4978" i="5"/>
  <c r="S4978" i="5"/>
  <c r="Q4979" i="5"/>
  <c r="S4979" i="5"/>
  <c r="R4980" i="5"/>
  <c r="P4980" i="5"/>
  <c r="Q4980" i="5"/>
  <c r="S4980" i="5"/>
  <c r="P4981" i="5"/>
  <c r="Q4981" i="5"/>
  <c r="R4981" i="5"/>
  <c r="S4981" i="5"/>
  <c r="R4982" i="5"/>
  <c r="P4982" i="5"/>
  <c r="Q4982" i="5"/>
  <c r="S4982" i="5"/>
  <c r="P4983" i="5"/>
  <c r="Q4983" i="5"/>
  <c r="Q4984" i="5"/>
  <c r="S4984" i="5"/>
  <c r="Q4985" i="5"/>
  <c r="S4985" i="5"/>
  <c r="P4986" i="5"/>
  <c r="Q4986" i="5"/>
  <c r="R4986" i="5"/>
  <c r="S4986" i="5"/>
  <c r="R4987" i="5"/>
  <c r="P4987" i="5"/>
  <c r="Q4987" i="5"/>
  <c r="S4987" i="5"/>
  <c r="R4988" i="5"/>
  <c r="P4988" i="5"/>
  <c r="Q4988" i="5"/>
  <c r="S4988" i="5"/>
  <c r="P4989" i="5"/>
  <c r="Q4989" i="5"/>
  <c r="Q4990" i="5"/>
  <c r="S4990" i="5"/>
  <c r="Q4991" i="5"/>
  <c r="S4991" i="5"/>
  <c r="R4992" i="5"/>
  <c r="P4992" i="5"/>
  <c r="Q4992" i="5"/>
  <c r="S4992" i="5"/>
  <c r="R4993" i="5"/>
  <c r="P4993" i="5"/>
  <c r="Q4993" i="5"/>
  <c r="S4993" i="5"/>
  <c r="P4994" i="5"/>
  <c r="Q4994" i="5"/>
  <c r="R4994" i="5"/>
  <c r="S4994" i="5"/>
  <c r="P4995" i="5"/>
  <c r="Q4995" i="5"/>
  <c r="Q4996" i="5"/>
  <c r="S4996" i="5"/>
  <c r="Q4997" i="5"/>
  <c r="S4997" i="5"/>
  <c r="R4998" i="5"/>
  <c r="P4998" i="5"/>
  <c r="Q4998" i="5"/>
  <c r="S4998" i="5"/>
  <c r="R4999" i="5"/>
  <c r="P4999" i="5"/>
  <c r="Q4999" i="5"/>
  <c r="S4999" i="5"/>
  <c r="P5000" i="5"/>
  <c r="Q5000" i="5"/>
  <c r="R5000" i="5"/>
  <c r="S5000" i="5"/>
  <c r="Q5001" i="5"/>
  <c r="Q5002" i="5"/>
  <c r="S5002" i="5"/>
  <c r="Q5003" i="5"/>
  <c r="S5003" i="5"/>
  <c r="Q5004" i="5"/>
  <c r="S5004" i="5"/>
  <c r="R5005" i="5"/>
  <c r="P5005" i="5"/>
  <c r="Q5005" i="5"/>
  <c r="S5005" i="5"/>
  <c r="R5006" i="5"/>
  <c r="P5006" i="5"/>
  <c r="Q5006" i="5"/>
  <c r="S5006" i="5"/>
  <c r="R5007" i="5"/>
  <c r="P5007" i="5"/>
  <c r="Q5007" i="5"/>
  <c r="S5007" i="5"/>
  <c r="P5008" i="5"/>
  <c r="Q5008" i="5"/>
  <c r="P5009" i="5"/>
  <c r="Q5009" i="5"/>
  <c r="S5009" i="5"/>
  <c r="P5010" i="5"/>
  <c r="Q5010" i="5"/>
  <c r="R5010" i="5"/>
  <c r="S5010" i="5"/>
  <c r="R5011" i="5"/>
  <c r="P5011" i="5"/>
  <c r="Q5011" i="5"/>
  <c r="S5011" i="5"/>
  <c r="R5012" i="5"/>
  <c r="P5012" i="5"/>
  <c r="Q5012" i="5"/>
  <c r="S5012" i="5"/>
  <c r="R5013" i="5"/>
  <c r="P5013" i="5"/>
  <c r="Q5013" i="5"/>
  <c r="P5014" i="5"/>
  <c r="Q5014" i="5"/>
  <c r="S5014" i="5"/>
  <c r="P5015" i="5"/>
  <c r="Q5015" i="5"/>
  <c r="S5015" i="5"/>
  <c r="P5016" i="5"/>
  <c r="Q5016" i="5"/>
  <c r="S5016" i="5"/>
  <c r="P5017" i="5"/>
  <c r="Q5017" i="5"/>
  <c r="S5017" i="5"/>
  <c r="R5018" i="5"/>
  <c r="P5018" i="5"/>
  <c r="Q5018" i="5"/>
  <c r="S5018" i="5"/>
  <c r="R5019" i="5"/>
  <c r="P5019" i="5"/>
  <c r="Q5019" i="5"/>
  <c r="S5019" i="5"/>
  <c r="R5020" i="5"/>
  <c r="P5020" i="5"/>
  <c r="Q5020" i="5"/>
  <c r="S5020" i="5"/>
  <c r="P5021" i="5"/>
  <c r="Q5021" i="5"/>
  <c r="P5022" i="5"/>
  <c r="Q5022" i="5"/>
  <c r="S5022" i="5"/>
  <c r="P5023" i="5"/>
  <c r="Q5023" i="5"/>
  <c r="S5023" i="5"/>
  <c r="R5024" i="5"/>
  <c r="P5024" i="5"/>
  <c r="Q5024" i="5"/>
  <c r="S5024" i="5"/>
  <c r="R5025" i="5"/>
  <c r="P5025" i="5"/>
  <c r="Q5025" i="5"/>
  <c r="S5025" i="5"/>
  <c r="P5026" i="5"/>
  <c r="Q5026" i="5"/>
  <c r="R5026" i="5"/>
  <c r="S5026" i="5"/>
  <c r="P5027" i="5"/>
  <c r="Q5027" i="5"/>
  <c r="R5028" i="5"/>
  <c r="P5028" i="5"/>
  <c r="Q5028" i="5"/>
  <c r="S5028" i="5"/>
  <c r="R5029" i="5"/>
  <c r="P5029" i="5"/>
  <c r="Q5029" i="5"/>
  <c r="S5029" i="5"/>
  <c r="R5030" i="5"/>
  <c r="P5030" i="5"/>
  <c r="Q5030" i="5"/>
  <c r="S5030" i="5"/>
  <c r="P5031" i="5"/>
  <c r="Q5031" i="5"/>
  <c r="P5032" i="5"/>
  <c r="Q5032" i="5"/>
  <c r="S5032" i="5"/>
  <c r="P5033" i="5"/>
  <c r="Q5033" i="5"/>
  <c r="S5033" i="5"/>
  <c r="R5034" i="5"/>
  <c r="P5034" i="5"/>
  <c r="Q5034" i="5"/>
  <c r="S5034" i="5"/>
  <c r="R5035" i="5"/>
  <c r="P5035" i="5"/>
  <c r="Q5035" i="5"/>
  <c r="S5035" i="5"/>
  <c r="R5036" i="5"/>
  <c r="P5036" i="5"/>
  <c r="Q5036" i="5"/>
  <c r="S5036" i="5"/>
  <c r="P5037" i="5"/>
  <c r="Q5037" i="5"/>
  <c r="P5038" i="5"/>
  <c r="Q5038" i="5"/>
  <c r="S5038" i="5"/>
  <c r="P5039" i="5"/>
  <c r="Q5039" i="5"/>
  <c r="S5039" i="5"/>
  <c r="R5040" i="5"/>
  <c r="P5040" i="5"/>
  <c r="Q5040" i="5"/>
  <c r="S5040" i="5"/>
  <c r="R5041" i="5"/>
  <c r="P5041" i="5"/>
  <c r="Q5041" i="5"/>
  <c r="S5041" i="5"/>
  <c r="P5042" i="5"/>
  <c r="Q5042" i="5"/>
  <c r="R5042" i="5"/>
  <c r="S5042" i="5"/>
  <c r="P5043" i="5"/>
  <c r="Q5043" i="5"/>
  <c r="P5044" i="5"/>
  <c r="Q5044" i="5"/>
  <c r="S5044" i="5"/>
  <c r="P5045" i="5"/>
  <c r="Q5045" i="5"/>
  <c r="S5045" i="5"/>
  <c r="P5046" i="5"/>
  <c r="Q5046" i="5"/>
  <c r="S5046" i="5"/>
  <c r="P5047" i="5"/>
  <c r="Q5047" i="5"/>
  <c r="S5047" i="5"/>
  <c r="P5048" i="5"/>
  <c r="Q5048" i="5"/>
  <c r="R5048" i="5"/>
  <c r="S5048" i="5"/>
  <c r="R5049" i="5"/>
  <c r="P5049" i="5"/>
  <c r="Q5049" i="5"/>
  <c r="S5049" i="5"/>
  <c r="R5050" i="5"/>
  <c r="P5050" i="5"/>
  <c r="Q5050" i="5"/>
  <c r="S5050" i="5"/>
  <c r="P5051" i="5"/>
  <c r="Q5051" i="5"/>
  <c r="P5052" i="5"/>
  <c r="Q5052" i="5"/>
  <c r="S5052" i="5"/>
  <c r="Q5053" i="5"/>
  <c r="S5053" i="5"/>
  <c r="R5054" i="5"/>
  <c r="P5054" i="5"/>
  <c r="Q5054" i="5"/>
  <c r="S5054" i="5"/>
  <c r="R5055" i="5"/>
  <c r="P5055" i="5"/>
  <c r="Q5055" i="5"/>
  <c r="S5055" i="5"/>
  <c r="R5056" i="5"/>
  <c r="P5056" i="5"/>
  <c r="Q5056" i="5"/>
  <c r="S5056" i="5"/>
  <c r="R5057" i="5"/>
  <c r="P5057" i="5"/>
  <c r="Q5057" i="5"/>
  <c r="S5057" i="5"/>
  <c r="R5058" i="5"/>
  <c r="P5058" i="5"/>
  <c r="Q5058" i="5"/>
  <c r="P5059" i="5"/>
  <c r="Q5059" i="5"/>
  <c r="S5059" i="5"/>
  <c r="P5060" i="5"/>
  <c r="Q5060" i="5"/>
  <c r="S5060" i="5"/>
  <c r="P5061" i="5"/>
  <c r="Q5061" i="5"/>
  <c r="S5061" i="5"/>
  <c r="R5062" i="5"/>
  <c r="P5062" i="5"/>
  <c r="Q5062" i="5"/>
  <c r="S5062" i="5"/>
  <c r="R5063" i="5"/>
  <c r="P5063" i="5"/>
  <c r="Q5063" i="5"/>
  <c r="S5063" i="5"/>
  <c r="R5064" i="5"/>
  <c r="P5064" i="5"/>
  <c r="Q5064" i="5"/>
  <c r="S5064" i="5"/>
  <c r="P5065" i="5"/>
  <c r="Q5065" i="5"/>
  <c r="P5066" i="5"/>
  <c r="Q5066" i="5"/>
  <c r="S5066" i="5"/>
  <c r="P5067" i="5"/>
  <c r="Q5067" i="5"/>
  <c r="S5067" i="5"/>
  <c r="P5068" i="5"/>
  <c r="Q5068" i="5"/>
  <c r="S5068" i="5"/>
  <c r="Q5069" i="5"/>
  <c r="S5069" i="5"/>
  <c r="R5070" i="5"/>
  <c r="P5070" i="5"/>
  <c r="Q5070" i="5"/>
  <c r="S5070" i="5"/>
  <c r="R5071" i="5"/>
  <c r="P5071" i="5"/>
  <c r="Q5071" i="5"/>
  <c r="S5071" i="5"/>
  <c r="R5072" i="5"/>
  <c r="P5072" i="5"/>
  <c r="Q5072" i="5"/>
  <c r="S5072" i="5"/>
  <c r="P5073" i="5"/>
  <c r="Q5073" i="5"/>
  <c r="R5073" i="5"/>
  <c r="P5074" i="5"/>
  <c r="Q5074" i="5"/>
  <c r="S5074" i="5"/>
  <c r="P5075" i="5"/>
  <c r="Q5075" i="5"/>
  <c r="S5075" i="5"/>
  <c r="R5076" i="5"/>
  <c r="P5076" i="5"/>
  <c r="Q5076" i="5"/>
  <c r="S5076" i="5"/>
  <c r="R5077" i="5"/>
  <c r="P5077" i="5"/>
  <c r="Q5077" i="5"/>
  <c r="S5077" i="5"/>
  <c r="R5078" i="5"/>
  <c r="P5078" i="5"/>
  <c r="Q5078" i="5"/>
  <c r="S5078" i="5"/>
  <c r="P5079" i="5"/>
  <c r="Q5079" i="5"/>
  <c r="R5079" i="5"/>
  <c r="P5080" i="5"/>
  <c r="Q5080" i="5"/>
  <c r="S5080" i="5"/>
  <c r="P5081" i="5"/>
  <c r="Q5081" i="5"/>
  <c r="S5081" i="5"/>
  <c r="R5082" i="5"/>
  <c r="P5082" i="5"/>
  <c r="Q5082" i="5"/>
  <c r="S5082" i="5"/>
  <c r="R5083" i="5"/>
  <c r="P5083" i="5"/>
  <c r="Q5083" i="5"/>
  <c r="S5083" i="5"/>
  <c r="P5084" i="5"/>
  <c r="Q5084" i="5"/>
  <c r="R5084" i="5"/>
  <c r="S5084" i="5"/>
  <c r="R5085" i="5"/>
  <c r="P5085" i="5"/>
  <c r="Q5085" i="5"/>
  <c r="P5086" i="5"/>
  <c r="Q5086" i="5"/>
  <c r="S5086" i="5"/>
  <c r="P5087" i="5"/>
  <c r="Q5087" i="5"/>
  <c r="S5087" i="5"/>
  <c r="R5088" i="5"/>
  <c r="P5088" i="5"/>
  <c r="Q5088" i="5"/>
  <c r="S5088" i="5"/>
  <c r="P5089" i="5"/>
  <c r="Q5089" i="5"/>
  <c r="R5089" i="5"/>
  <c r="S5089" i="5"/>
  <c r="R5090" i="5"/>
  <c r="P5090" i="5"/>
  <c r="Q5090" i="5"/>
  <c r="S5090" i="5"/>
  <c r="P5091" i="5"/>
  <c r="Q5091" i="5"/>
  <c r="P5092" i="5"/>
  <c r="Q5092" i="5"/>
  <c r="S5092" i="5"/>
  <c r="P5093" i="5"/>
  <c r="Q5093" i="5"/>
  <c r="S5093" i="5"/>
  <c r="R5094" i="5"/>
  <c r="P5094" i="5"/>
  <c r="Q5094" i="5"/>
  <c r="S5094" i="5"/>
  <c r="P5095" i="5"/>
  <c r="Q5095" i="5"/>
  <c r="R5095" i="5"/>
  <c r="S5095" i="5"/>
  <c r="R5096" i="5"/>
  <c r="P5096" i="5"/>
  <c r="Q5096" i="5"/>
  <c r="S5096" i="5"/>
  <c r="P5097" i="5"/>
  <c r="Q5097" i="5"/>
  <c r="P5098" i="5"/>
  <c r="Q5098" i="5"/>
  <c r="S5098" i="5"/>
  <c r="P5099" i="5"/>
  <c r="Q5099" i="5"/>
  <c r="S5099" i="5"/>
  <c r="P5100" i="5"/>
  <c r="Q5100" i="5"/>
  <c r="S5100" i="5"/>
  <c r="P5101" i="5"/>
  <c r="Q5101" i="5"/>
  <c r="R5101" i="5"/>
  <c r="S5101" i="5"/>
  <c r="R5102" i="5"/>
  <c r="P5102" i="5"/>
  <c r="Q5102" i="5"/>
  <c r="S5102" i="5"/>
  <c r="R5103" i="5"/>
  <c r="P5103" i="5"/>
  <c r="Q5103" i="5"/>
  <c r="S5103" i="5"/>
  <c r="Q5104" i="5"/>
  <c r="Q5105" i="5"/>
  <c r="S5105" i="5"/>
  <c r="Q5106" i="5"/>
  <c r="S5106" i="5"/>
  <c r="Q5107" i="5"/>
  <c r="S5107" i="5"/>
  <c r="P5108" i="5"/>
  <c r="Q5108" i="5"/>
  <c r="R5108" i="5"/>
  <c r="S5108" i="5"/>
  <c r="R5109" i="5"/>
  <c r="P5109" i="5"/>
  <c r="Q5109" i="5"/>
  <c r="S5109" i="5"/>
  <c r="R5110" i="5"/>
  <c r="P5110" i="5"/>
  <c r="Q5110" i="5"/>
  <c r="S5110" i="5"/>
  <c r="Q5111" i="5"/>
  <c r="Q5112" i="5"/>
  <c r="S5112" i="5"/>
  <c r="Q5113" i="5"/>
  <c r="S5113" i="5"/>
  <c r="Q5114" i="5"/>
  <c r="S5114" i="5"/>
  <c r="P5115" i="5"/>
  <c r="Q5115" i="5"/>
  <c r="R5115" i="5"/>
  <c r="S5115" i="5"/>
  <c r="P5116" i="5"/>
  <c r="Q5116" i="5"/>
  <c r="S5116" i="5"/>
  <c r="R5117" i="5"/>
  <c r="P5117" i="5"/>
  <c r="Q5117" i="5"/>
  <c r="S5117" i="5"/>
  <c r="R5118" i="5"/>
  <c r="P5118" i="5"/>
  <c r="Q5118" i="5"/>
  <c r="S5118" i="5"/>
  <c r="R5119" i="5"/>
  <c r="P5119" i="5"/>
  <c r="Q5119" i="5"/>
  <c r="S5119" i="5"/>
  <c r="R5120" i="5"/>
  <c r="P5120" i="5"/>
  <c r="Q5120" i="5"/>
  <c r="S5120" i="5"/>
  <c r="R5121" i="5"/>
  <c r="P5121" i="5"/>
  <c r="Q5121" i="5"/>
  <c r="S5121" i="5"/>
  <c r="P5122" i="5"/>
  <c r="Q5122" i="5"/>
  <c r="P5123" i="5"/>
  <c r="Q5123" i="5"/>
  <c r="S5123" i="5"/>
  <c r="P5124" i="5"/>
  <c r="Q5124" i="5"/>
  <c r="R5124" i="5"/>
  <c r="S5124" i="5"/>
  <c r="R5125" i="5"/>
  <c r="P5125" i="5"/>
  <c r="Q5125" i="5"/>
  <c r="S5125" i="5"/>
  <c r="R5126" i="5"/>
  <c r="P5126" i="5"/>
  <c r="Q5126" i="5"/>
  <c r="S5126" i="5"/>
  <c r="R5127" i="5"/>
  <c r="P5127" i="5"/>
  <c r="Q5127" i="5"/>
  <c r="S5127" i="5"/>
  <c r="Q5128" i="5"/>
  <c r="P5129" i="5"/>
  <c r="Q5129" i="5"/>
  <c r="R5129" i="5"/>
  <c r="S5129" i="5"/>
  <c r="Q5130" i="5"/>
  <c r="S5130" i="5"/>
  <c r="Q5131" i="5"/>
  <c r="S5131" i="5"/>
  <c r="Q5132" i="5"/>
  <c r="S5132" i="5"/>
  <c r="R5133" i="5"/>
  <c r="P5133" i="5"/>
  <c r="Q5133" i="5"/>
  <c r="S5133" i="5"/>
  <c r="R5134" i="5"/>
  <c r="P5134" i="5"/>
  <c r="Q5134" i="5"/>
  <c r="S5134" i="5"/>
  <c r="R5135" i="5"/>
  <c r="P5135" i="5"/>
  <c r="Q5135" i="5"/>
  <c r="S5135" i="5"/>
  <c r="Q5136" i="5"/>
  <c r="P5137" i="5"/>
  <c r="Q5137" i="5"/>
  <c r="R5137" i="5"/>
  <c r="S5137" i="5"/>
  <c r="Q5138" i="5"/>
  <c r="S5138" i="5"/>
  <c r="Q5139" i="5"/>
  <c r="S5139" i="5"/>
  <c r="Q5140" i="5"/>
  <c r="S5140" i="5"/>
  <c r="R5141" i="5"/>
  <c r="P5141" i="5"/>
  <c r="Q5141" i="5"/>
  <c r="S5141" i="5"/>
  <c r="R5142" i="5"/>
  <c r="P5142" i="5"/>
  <c r="Q5142" i="5"/>
  <c r="S5142" i="5"/>
  <c r="P5143" i="5"/>
  <c r="Q5143" i="5"/>
  <c r="R5143" i="5"/>
  <c r="S5143" i="5"/>
  <c r="Q5144" i="5"/>
  <c r="R5145" i="5"/>
  <c r="P5145" i="5"/>
  <c r="Q5145" i="5"/>
  <c r="S5145" i="5"/>
  <c r="Q5146" i="5"/>
  <c r="S5146" i="5"/>
  <c r="Q5147" i="5"/>
  <c r="S5147" i="5"/>
  <c r="Q5148" i="5"/>
  <c r="S5148" i="5"/>
  <c r="P5149" i="5"/>
  <c r="Q5149" i="5"/>
  <c r="R5149" i="5"/>
  <c r="S5149" i="5"/>
  <c r="R5150" i="5"/>
  <c r="P5150" i="5"/>
  <c r="Q5150" i="5"/>
  <c r="S5150" i="5"/>
  <c r="R5151" i="5"/>
  <c r="P5151" i="5"/>
  <c r="Q5151" i="5"/>
  <c r="S5151" i="5"/>
  <c r="Q5152" i="5"/>
  <c r="R5153" i="5"/>
  <c r="P5153" i="5"/>
  <c r="Q5153" i="5"/>
  <c r="S5153" i="5"/>
  <c r="Q5154" i="5"/>
  <c r="S5154" i="5"/>
  <c r="Q5155" i="5"/>
  <c r="S5155" i="5"/>
  <c r="Q5156" i="5"/>
  <c r="S5156" i="5"/>
  <c r="R5157" i="5"/>
  <c r="P5157" i="5"/>
  <c r="Q5157" i="5"/>
  <c r="S5157" i="5"/>
  <c r="R5158" i="5"/>
  <c r="P5158" i="5"/>
  <c r="Q5158" i="5"/>
  <c r="S5158" i="5"/>
  <c r="R5159" i="5"/>
  <c r="P5159" i="5"/>
  <c r="Q5159" i="5"/>
  <c r="S5159" i="5"/>
  <c r="R5160" i="5"/>
  <c r="P5160" i="5"/>
  <c r="Q5160" i="5"/>
  <c r="P5161" i="5"/>
  <c r="Q5161" i="5"/>
  <c r="S5161" i="5"/>
  <c r="P5162" i="5"/>
  <c r="Q5162" i="5"/>
  <c r="S5162" i="5"/>
  <c r="R5163" i="5"/>
  <c r="P5163" i="5"/>
  <c r="Q5163" i="5"/>
  <c r="S5163" i="5"/>
  <c r="R5164" i="5"/>
  <c r="P5164" i="5"/>
  <c r="Q5164" i="5"/>
  <c r="S5164" i="5"/>
  <c r="P5165" i="5"/>
  <c r="Q5165" i="5"/>
  <c r="R5165" i="5"/>
  <c r="S5165" i="5"/>
  <c r="Q5166" i="5"/>
  <c r="P5167" i="5"/>
  <c r="Q5167" i="5"/>
  <c r="R5167" i="5"/>
  <c r="S5167" i="5"/>
  <c r="Q5168" i="5"/>
  <c r="S5168" i="5"/>
  <c r="Q5169" i="5"/>
  <c r="S5169" i="5"/>
  <c r="Q5170" i="5"/>
  <c r="S5170" i="5"/>
  <c r="R5171" i="5"/>
  <c r="P5171" i="5"/>
  <c r="Q5171" i="5"/>
  <c r="S5171" i="5"/>
  <c r="R5172" i="5"/>
  <c r="P5172" i="5"/>
  <c r="Q5172" i="5"/>
  <c r="S5172" i="5"/>
  <c r="R5173" i="5"/>
  <c r="P5173" i="5"/>
  <c r="Q5173" i="5"/>
  <c r="S5173" i="5"/>
  <c r="R5174" i="5"/>
  <c r="P5174" i="5"/>
  <c r="Q5174" i="5"/>
  <c r="Q5175" i="5"/>
  <c r="S5175" i="5"/>
  <c r="Q5176" i="5"/>
  <c r="S5176" i="5"/>
  <c r="R5177" i="5"/>
  <c r="P5177" i="5"/>
  <c r="Q5177" i="5"/>
  <c r="S5177" i="5"/>
  <c r="R5178" i="5"/>
  <c r="P5178" i="5"/>
  <c r="Q5178" i="5"/>
  <c r="S5178" i="5"/>
  <c r="P5179" i="5"/>
  <c r="Q5179" i="5"/>
  <c r="R5179" i="5"/>
  <c r="S5179" i="5"/>
  <c r="P5180" i="5"/>
  <c r="Q5180" i="5"/>
  <c r="R5181" i="5"/>
  <c r="P5181" i="5"/>
  <c r="Q5181" i="5"/>
  <c r="S5181" i="5"/>
  <c r="P5182" i="5"/>
  <c r="Q5182" i="5"/>
  <c r="S5182" i="5"/>
  <c r="P5183" i="5"/>
  <c r="Q5183" i="5"/>
  <c r="S5183" i="5"/>
  <c r="P5184" i="5"/>
  <c r="Q5184" i="5"/>
  <c r="S5184" i="5"/>
  <c r="R5185" i="5"/>
  <c r="P5185" i="5"/>
  <c r="Q5185" i="5"/>
  <c r="S5185" i="5"/>
  <c r="R5186" i="5"/>
  <c r="P5186" i="5"/>
  <c r="Q5186" i="5"/>
  <c r="S5186" i="5"/>
  <c r="R5187" i="5"/>
  <c r="P5187" i="5"/>
  <c r="Q5187" i="5"/>
  <c r="S5187" i="5"/>
  <c r="Q5188" i="5"/>
  <c r="R5189" i="5"/>
  <c r="P5189" i="5"/>
  <c r="Q5189" i="5"/>
  <c r="S5189" i="5"/>
  <c r="Q5190" i="5"/>
  <c r="S5190" i="5"/>
  <c r="Q5191" i="5"/>
  <c r="S5191" i="5"/>
  <c r="Q5192" i="5"/>
  <c r="S5192" i="5"/>
  <c r="R5193" i="5"/>
  <c r="P5193" i="5"/>
  <c r="Q5193" i="5"/>
  <c r="S5193" i="5"/>
  <c r="R5194" i="5"/>
  <c r="P5194" i="5"/>
  <c r="Q5194" i="5"/>
  <c r="S5194" i="5"/>
  <c r="R5195" i="5"/>
  <c r="P5195" i="5"/>
  <c r="Q5195" i="5"/>
  <c r="S5195" i="5"/>
  <c r="Q5196" i="5"/>
  <c r="P5197" i="5"/>
  <c r="Q5197" i="5"/>
  <c r="R5197" i="5"/>
  <c r="S5197" i="5"/>
  <c r="Q5198" i="5"/>
  <c r="S5198" i="5"/>
  <c r="Q5199" i="5"/>
  <c r="S5199" i="5"/>
  <c r="Q5200" i="5"/>
  <c r="S5200" i="5"/>
  <c r="P5201" i="5"/>
  <c r="Q5201" i="5"/>
  <c r="R5201" i="5"/>
  <c r="S5201" i="5"/>
  <c r="R5202" i="5"/>
  <c r="P5202" i="5"/>
  <c r="Q5202" i="5"/>
  <c r="S5202" i="5"/>
  <c r="R5203" i="5"/>
  <c r="P5203" i="5"/>
  <c r="Q5203" i="5"/>
  <c r="S5203" i="5"/>
  <c r="P5204" i="5"/>
  <c r="Q5204" i="5"/>
  <c r="P5205" i="5"/>
  <c r="Q5205" i="5"/>
  <c r="S5205" i="5"/>
  <c r="P5206" i="5"/>
  <c r="Q5206" i="5"/>
  <c r="S5206" i="5"/>
  <c r="P5207" i="5"/>
  <c r="Q5207" i="5"/>
  <c r="S5207" i="5"/>
  <c r="P5208" i="5"/>
  <c r="Q5208" i="5"/>
  <c r="S5208" i="5"/>
  <c r="P5209" i="5"/>
  <c r="Q5209" i="5"/>
  <c r="S5209" i="5"/>
  <c r="P5210" i="5"/>
  <c r="Q5210" i="5"/>
  <c r="S5210" i="5"/>
  <c r="P5211" i="5"/>
  <c r="Q5211" i="5"/>
  <c r="S5211" i="5"/>
  <c r="P5212" i="5"/>
  <c r="Q5212" i="5"/>
  <c r="S5212" i="5"/>
  <c r="P5213" i="5"/>
  <c r="Q5213" i="5"/>
  <c r="S5213" i="5"/>
  <c r="R5214" i="5"/>
  <c r="P5214" i="5"/>
  <c r="Q5214" i="5"/>
  <c r="S5214" i="5"/>
  <c r="R5215" i="5"/>
  <c r="P5215" i="5"/>
  <c r="Q5215" i="5"/>
  <c r="S5215" i="5"/>
  <c r="R5216" i="5"/>
  <c r="P5216" i="5"/>
  <c r="Q5216" i="5"/>
  <c r="S5216" i="5"/>
  <c r="R5217" i="5"/>
  <c r="P5217" i="5"/>
  <c r="Q5217" i="5"/>
  <c r="S5217" i="5"/>
  <c r="R5218" i="5"/>
  <c r="P5218" i="5"/>
  <c r="Q5218" i="5"/>
  <c r="S5218" i="5"/>
  <c r="P5219" i="5"/>
  <c r="Q5219" i="5"/>
  <c r="P5220" i="5"/>
  <c r="Q5220" i="5"/>
  <c r="S5220" i="5"/>
  <c r="P5221" i="5"/>
  <c r="Q5221" i="5"/>
  <c r="S5221" i="5"/>
  <c r="P5222" i="5"/>
  <c r="Q5222" i="5"/>
  <c r="S5222" i="5"/>
  <c r="P5223" i="5"/>
  <c r="Q5223" i="5"/>
  <c r="S5223" i="5"/>
  <c r="P5224" i="5"/>
  <c r="Q5224" i="5"/>
  <c r="S5224" i="5"/>
  <c r="P5225" i="5"/>
  <c r="Q5225" i="5"/>
  <c r="S5225" i="5"/>
  <c r="P5226" i="5"/>
  <c r="Q5226" i="5"/>
  <c r="S5226" i="5"/>
  <c r="P5227" i="5"/>
  <c r="Q5227" i="5"/>
  <c r="S5227" i="5"/>
  <c r="P5228" i="5"/>
  <c r="Q5228" i="5"/>
  <c r="S5228" i="5"/>
  <c r="R5229" i="5"/>
  <c r="P5229" i="5"/>
  <c r="Q5229" i="5"/>
  <c r="S5229" i="5"/>
  <c r="R5230" i="5"/>
  <c r="P5230" i="5"/>
  <c r="Q5230" i="5"/>
  <c r="S5230" i="5"/>
  <c r="R5231" i="5"/>
  <c r="P5231" i="5"/>
  <c r="Q5231" i="5"/>
  <c r="S5231" i="5"/>
  <c r="R5232" i="5"/>
  <c r="P5232" i="5"/>
  <c r="Q5232" i="5"/>
  <c r="S5232" i="5"/>
  <c r="P5233" i="5"/>
  <c r="Q5233" i="5"/>
  <c r="R5233" i="5"/>
  <c r="S5233" i="5"/>
  <c r="P5234" i="5"/>
  <c r="Q5234" i="5"/>
  <c r="P5235" i="5"/>
  <c r="Q5235" i="5"/>
  <c r="S5235" i="5"/>
  <c r="P5236" i="5"/>
  <c r="Q5236" i="5"/>
  <c r="S5236" i="5"/>
  <c r="P5237" i="5"/>
  <c r="Q5237" i="5"/>
  <c r="S5237" i="5"/>
  <c r="R5238" i="5"/>
  <c r="P5238" i="5"/>
  <c r="Q5238" i="5"/>
  <c r="S5238" i="5"/>
  <c r="R5239" i="5"/>
  <c r="P5239" i="5"/>
  <c r="Q5239" i="5"/>
  <c r="S5239" i="5"/>
  <c r="R5240" i="5"/>
  <c r="P5240" i="5"/>
  <c r="Q5240" i="5"/>
  <c r="S5240" i="5"/>
  <c r="P5241" i="5"/>
  <c r="Q5241" i="5"/>
  <c r="R5242" i="5"/>
  <c r="P5242" i="5"/>
  <c r="Q5242" i="5"/>
  <c r="S5242" i="5"/>
  <c r="P5243" i="5"/>
  <c r="Q5243" i="5"/>
  <c r="S5243" i="5"/>
  <c r="P5244" i="5"/>
  <c r="Q5244" i="5"/>
  <c r="S5244" i="5"/>
  <c r="R5245" i="5"/>
  <c r="P5245" i="5"/>
  <c r="Q5245" i="5"/>
  <c r="S5245" i="5"/>
  <c r="R5246" i="5"/>
  <c r="P5246" i="5"/>
  <c r="Q5246" i="5"/>
  <c r="S5246" i="5"/>
  <c r="R5247" i="5"/>
  <c r="P5247" i="5"/>
  <c r="Q5247" i="5"/>
  <c r="S5247" i="5"/>
  <c r="R5248" i="5"/>
  <c r="P5248" i="5"/>
  <c r="Q5248" i="5"/>
  <c r="P5249" i="5"/>
  <c r="Q5249" i="5"/>
  <c r="S5249" i="5"/>
  <c r="P5250" i="5"/>
  <c r="Q5250" i="5"/>
  <c r="S5250" i="5"/>
  <c r="R5251" i="5"/>
  <c r="P5251" i="5"/>
  <c r="Q5251" i="5"/>
  <c r="S5251" i="5"/>
  <c r="P5252" i="5"/>
  <c r="Q5252" i="5"/>
  <c r="R5252" i="5"/>
  <c r="S5252" i="5"/>
  <c r="R5253" i="5"/>
  <c r="P5253" i="5"/>
  <c r="Q5253" i="5"/>
  <c r="S5253" i="5"/>
  <c r="R5254" i="5"/>
  <c r="P5254" i="5"/>
  <c r="Q5254" i="5"/>
  <c r="P5255" i="5"/>
  <c r="Q5255" i="5"/>
  <c r="S5255" i="5"/>
  <c r="P5256" i="5"/>
  <c r="Q5256" i="5"/>
  <c r="S5256" i="5"/>
  <c r="R5257" i="5"/>
  <c r="P5257" i="5"/>
  <c r="Q5257" i="5"/>
  <c r="S5257" i="5"/>
  <c r="R5258" i="5"/>
  <c r="P5258" i="5"/>
  <c r="Q5258" i="5"/>
  <c r="S5258" i="5"/>
  <c r="R5259" i="5"/>
  <c r="P5259" i="5"/>
  <c r="Q5259" i="5"/>
  <c r="S5259" i="5"/>
  <c r="P5260" i="5"/>
  <c r="Q5260" i="5"/>
  <c r="P5261" i="5"/>
  <c r="Q5261" i="5"/>
  <c r="S5261" i="5"/>
  <c r="P5262" i="5"/>
  <c r="Q5262" i="5"/>
  <c r="S5262" i="5"/>
  <c r="P5263" i="5"/>
  <c r="Q5263" i="5"/>
  <c r="S5263" i="5"/>
  <c r="R5264" i="5"/>
  <c r="P5264" i="5"/>
  <c r="Q5264" i="5"/>
  <c r="S5264" i="5"/>
  <c r="R5265" i="5"/>
  <c r="P5265" i="5"/>
  <c r="Q5265" i="5"/>
  <c r="S5265" i="5"/>
  <c r="R5266" i="5"/>
  <c r="P5266" i="5"/>
  <c r="Q5266" i="5"/>
  <c r="S5266" i="5"/>
  <c r="Q5267" i="5"/>
  <c r="Q5268" i="5"/>
  <c r="S5268" i="5"/>
  <c r="Q5269" i="5"/>
  <c r="S5269" i="5"/>
  <c r="Q5270" i="5"/>
  <c r="S5270" i="5"/>
  <c r="Q5271" i="5"/>
  <c r="S5271" i="5"/>
  <c r="Q5272" i="5"/>
  <c r="S5272" i="5"/>
  <c r="Q5273" i="5"/>
  <c r="S5273" i="5"/>
  <c r="Q5274" i="5"/>
  <c r="S5274" i="5"/>
  <c r="Q5275" i="5"/>
  <c r="S5275" i="5"/>
  <c r="R5276" i="5"/>
  <c r="P5276" i="5"/>
  <c r="Q5276" i="5"/>
  <c r="S5276" i="5"/>
  <c r="R5277" i="5"/>
  <c r="P5277" i="5"/>
  <c r="Q5277" i="5"/>
  <c r="S5277" i="5"/>
  <c r="R5278" i="5"/>
  <c r="P5278" i="5"/>
  <c r="Q5278" i="5"/>
  <c r="S5278" i="5"/>
  <c r="P5279" i="5"/>
  <c r="Q5279" i="5"/>
  <c r="P5280" i="5"/>
  <c r="Q5280" i="5"/>
  <c r="S5280" i="5"/>
  <c r="P5281" i="5"/>
  <c r="Q5281" i="5"/>
  <c r="S5281" i="5"/>
  <c r="P5282" i="5"/>
  <c r="Q5282" i="5"/>
  <c r="S5282" i="5"/>
  <c r="P5283" i="5"/>
  <c r="Q5283" i="5"/>
  <c r="S5283" i="5"/>
  <c r="R5284" i="5"/>
  <c r="P5284" i="5"/>
  <c r="Q5284" i="5"/>
  <c r="S5284" i="5"/>
  <c r="P5285" i="5"/>
  <c r="Q5285" i="5"/>
  <c r="R5285" i="5"/>
  <c r="S5285" i="5"/>
  <c r="R5286" i="5"/>
  <c r="P5286" i="5"/>
  <c r="Q5286" i="5"/>
  <c r="S5286" i="5"/>
  <c r="P5287" i="5"/>
  <c r="Q5287" i="5"/>
  <c r="P5288" i="5"/>
  <c r="Q5288" i="5"/>
  <c r="S5288" i="5"/>
  <c r="P5289" i="5"/>
  <c r="Q5289" i="5"/>
  <c r="S5289" i="5"/>
  <c r="R5290" i="5"/>
  <c r="P5290" i="5"/>
  <c r="Q5290" i="5"/>
  <c r="S5290" i="5"/>
  <c r="R5291" i="5"/>
  <c r="P5291" i="5"/>
  <c r="Q5291" i="5"/>
  <c r="S5291" i="5"/>
  <c r="R5292" i="5"/>
  <c r="P5292" i="5"/>
  <c r="Q5292" i="5"/>
  <c r="S5292" i="5"/>
  <c r="P5293" i="5"/>
  <c r="Q5293" i="5"/>
  <c r="P5294" i="5"/>
  <c r="Q5294" i="5"/>
  <c r="S5294" i="5"/>
  <c r="P5295" i="5"/>
  <c r="Q5295" i="5"/>
  <c r="S5295" i="5"/>
  <c r="P5296" i="5"/>
  <c r="Q5296" i="5"/>
  <c r="S5296" i="5"/>
  <c r="R5297" i="5"/>
  <c r="P5297" i="5"/>
  <c r="Q5297" i="5"/>
  <c r="S5297" i="5"/>
  <c r="R5298" i="5"/>
  <c r="P5298" i="5"/>
  <c r="Q5298" i="5"/>
  <c r="S5298" i="5"/>
  <c r="P5299" i="5"/>
  <c r="Q5299" i="5"/>
  <c r="R5299" i="5"/>
  <c r="S5299" i="5"/>
  <c r="P5300" i="5"/>
  <c r="Q5300" i="5"/>
  <c r="P5301" i="5"/>
  <c r="Q5301" i="5"/>
  <c r="S5301" i="5"/>
  <c r="P5302" i="5"/>
  <c r="Q5302" i="5"/>
  <c r="S5302" i="5"/>
  <c r="R5303" i="5"/>
  <c r="P5303" i="5"/>
  <c r="Q5303" i="5"/>
  <c r="S5303" i="5"/>
  <c r="R5304" i="5"/>
  <c r="P5304" i="5"/>
  <c r="Q5304" i="5"/>
  <c r="S5304" i="5"/>
  <c r="P5305" i="5"/>
  <c r="Q5305" i="5"/>
  <c r="R5305" i="5"/>
  <c r="S5305" i="5"/>
  <c r="P5306" i="5"/>
  <c r="Q5306" i="5"/>
  <c r="P5307" i="5"/>
  <c r="Q5307" i="5"/>
  <c r="S5307" i="5"/>
  <c r="P5308" i="5"/>
  <c r="Q5308" i="5"/>
  <c r="S5308" i="5"/>
  <c r="P5309" i="5"/>
  <c r="Q5309" i="5"/>
  <c r="R5309" i="5"/>
  <c r="S5309" i="5"/>
  <c r="R5310" i="5"/>
  <c r="P5310" i="5"/>
  <c r="Q5310" i="5"/>
  <c r="S5310" i="5"/>
  <c r="R5311" i="5"/>
  <c r="P5311" i="5"/>
  <c r="Q5311" i="5"/>
  <c r="S5311" i="5"/>
  <c r="R5312" i="5"/>
  <c r="P5312" i="5"/>
  <c r="Q5312" i="5"/>
  <c r="P5313" i="5"/>
  <c r="Q5313" i="5"/>
  <c r="S5313" i="5"/>
  <c r="P5314" i="5"/>
  <c r="Q5314" i="5"/>
  <c r="S5314" i="5"/>
  <c r="P5315" i="5"/>
  <c r="Q5315" i="5"/>
  <c r="R5315" i="5"/>
  <c r="S5315" i="5"/>
  <c r="P5316" i="5"/>
  <c r="Q5316" i="5"/>
  <c r="R5316" i="5"/>
  <c r="S5316" i="5"/>
  <c r="P5317" i="5"/>
  <c r="Q5317" i="5"/>
  <c r="R5317" i="5"/>
  <c r="S5317" i="5"/>
  <c r="R5318" i="5"/>
  <c r="P5318" i="5"/>
  <c r="Q5318" i="5"/>
  <c r="P5319" i="5"/>
  <c r="Q5319" i="5"/>
  <c r="S5319" i="5"/>
  <c r="P5320" i="5"/>
  <c r="Q5320" i="5"/>
  <c r="S5320" i="5"/>
  <c r="R5321" i="5"/>
  <c r="P5321" i="5"/>
  <c r="Q5321" i="5"/>
  <c r="S5321" i="5"/>
  <c r="R5322" i="5"/>
  <c r="P5322" i="5"/>
  <c r="Q5322" i="5"/>
  <c r="S5322" i="5"/>
  <c r="R5323" i="5"/>
  <c r="P5323" i="5"/>
  <c r="Q5323" i="5"/>
  <c r="S5323" i="5"/>
  <c r="P5324" i="5"/>
  <c r="Q5324" i="5"/>
  <c r="R5324" i="5"/>
  <c r="P5325" i="5"/>
  <c r="Q5325" i="5"/>
  <c r="S5325" i="5"/>
  <c r="P5326" i="5"/>
  <c r="Q5326" i="5"/>
  <c r="S5326" i="5"/>
  <c r="P5327" i="5"/>
  <c r="Q5327" i="5"/>
  <c r="R5327" i="5"/>
  <c r="S5327" i="5"/>
  <c r="R5328" i="5"/>
  <c r="P5328" i="5"/>
  <c r="Q5328" i="5"/>
  <c r="S5328" i="5"/>
  <c r="R5329" i="5"/>
  <c r="P5329" i="5"/>
  <c r="Q5329" i="5"/>
  <c r="S5329" i="5"/>
  <c r="R5330" i="5"/>
  <c r="P5330" i="5"/>
  <c r="Q5330" i="5"/>
  <c r="P5331" i="5"/>
  <c r="Q5331" i="5"/>
  <c r="S5331" i="5"/>
  <c r="P5332" i="5"/>
  <c r="Q5332" i="5"/>
  <c r="S5332" i="5"/>
  <c r="R5333" i="5"/>
  <c r="P5333" i="5"/>
  <c r="Q5333" i="5"/>
  <c r="S5333" i="5"/>
  <c r="R5334" i="5"/>
  <c r="P5334" i="5"/>
  <c r="Q5334" i="5"/>
  <c r="S5334" i="5"/>
  <c r="R5335" i="5"/>
  <c r="P5335" i="5"/>
  <c r="Q5335" i="5"/>
  <c r="S5335" i="5"/>
  <c r="R5336" i="5"/>
  <c r="P5336" i="5"/>
  <c r="Q5336" i="5"/>
  <c r="P5337" i="5"/>
  <c r="Q5337" i="5"/>
  <c r="S5337" i="5"/>
  <c r="P5338" i="5"/>
  <c r="Q5338" i="5"/>
  <c r="S5338" i="5"/>
  <c r="R5339" i="5"/>
  <c r="P5339" i="5"/>
  <c r="Q5339" i="5"/>
  <c r="S5339" i="5"/>
  <c r="R5340" i="5"/>
  <c r="P5340" i="5"/>
  <c r="Q5340" i="5"/>
  <c r="S5340" i="5"/>
  <c r="R5341" i="5"/>
  <c r="P5341" i="5"/>
  <c r="Q5341" i="5"/>
  <c r="S5341" i="5"/>
  <c r="P5342" i="5"/>
  <c r="Q5342" i="5"/>
  <c r="P5343" i="5"/>
  <c r="Q5343" i="5"/>
  <c r="S5343" i="5"/>
  <c r="P5344" i="5"/>
  <c r="Q5344" i="5"/>
  <c r="S5344" i="5"/>
  <c r="P5345" i="5"/>
  <c r="Q5345" i="5"/>
  <c r="S5345" i="5"/>
  <c r="R5346" i="5"/>
  <c r="P5346" i="5"/>
  <c r="Q5346" i="5"/>
  <c r="S5346" i="5"/>
  <c r="R5347" i="5"/>
  <c r="P5347" i="5"/>
  <c r="Q5347" i="5"/>
  <c r="S5347" i="5"/>
  <c r="R5348" i="5"/>
  <c r="P5348" i="5"/>
  <c r="Q5348" i="5"/>
  <c r="S5348" i="5"/>
  <c r="P5349" i="5"/>
  <c r="Q5349" i="5"/>
  <c r="P5350" i="5"/>
  <c r="Q5350" i="5"/>
  <c r="S5350" i="5"/>
  <c r="P5351" i="5"/>
  <c r="Q5351" i="5"/>
  <c r="S5351" i="5"/>
  <c r="R5352" i="5"/>
  <c r="P5352" i="5"/>
  <c r="Q5352" i="5"/>
  <c r="S5352" i="5"/>
  <c r="R5353" i="5"/>
  <c r="P5353" i="5"/>
  <c r="Q5353" i="5"/>
  <c r="S5353" i="5"/>
  <c r="R5354" i="5"/>
  <c r="P5354" i="5"/>
  <c r="Q5354" i="5"/>
  <c r="S5354" i="5"/>
  <c r="R5355" i="5"/>
  <c r="P5355" i="5"/>
  <c r="Q5355" i="5"/>
  <c r="S5355" i="5"/>
  <c r="P5356" i="5"/>
  <c r="Q5356" i="5"/>
  <c r="P5357" i="5"/>
  <c r="Q5357" i="5"/>
  <c r="S5357" i="5"/>
  <c r="P5358" i="5"/>
  <c r="Q5358" i="5"/>
  <c r="S5358" i="5"/>
  <c r="R5359" i="5"/>
  <c r="P5359" i="5"/>
  <c r="Q5359" i="5"/>
  <c r="S5359" i="5"/>
  <c r="R5360" i="5"/>
  <c r="P5360" i="5"/>
  <c r="Q5360" i="5"/>
  <c r="S5360" i="5"/>
  <c r="R5361" i="5"/>
  <c r="P5361" i="5"/>
  <c r="Q5361" i="5"/>
  <c r="S5361" i="5"/>
  <c r="R5362" i="5"/>
  <c r="P5362" i="5"/>
  <c r="Q5362" i="5"/>
  <c r="S5362" i="5"/>
  <c r="P5363" i="5"/>
  <c r="Q5363" i="5"/>
  <c r="R5363" i="5"/>
  <c r="P5364" i="5"/>
  <c r="Q5364" i="5"/>
  <c r="S5364" i="5"/>
  <c r="P5365" i="5"/>
  <c r="Q5365" i="5"/>
  <c r="S5365" i="5"/>
  <c r="R5366" i="5"/>
  <c r="P5366" i="5"/>
  <c r="Q5366" i="5"/>
  <c r="S5366" i="5"/>
  <c r="R5367" i="5"/>
  <c r="P5367" i="5"/>
  <c r="Q5367" i="5"/>
  <c r="S5367" i="5"/>
  <c r="R5368" i="5"/>
  <c r="P5368" i="5"/>
  <c r="Q5368" i="5"/>
  <c r="S5368" i="5"/>
  <c r="P5369" i="5"/>
  <c r="Q5369" i="5"/>
  <c r="P5370" i="5"/>
  <c r="Q5370" i="5"/>
  <c r="S5370" i="5"/>
  <c r="P5371" i="5"/>
  <c r="Q5371" i="5"/>
  <c r="S5371" i="5"/>
  <c r="R5372" i="5"/>
  <c r="P5372" i="5"/>
  <c r="Q5372" i="5"/>
  <c r="S5372" i="5"/>
  <c r="P5373" i="5"/>
  <c r="Q5373" i="5"/>
  <c r="R5373" i="5"/>
  <c r="S5373" i="5"/>
  <c r="R5374" i="5"/>
  <c r="P5374" i="5"/>
  <c r="Q5374" i="5"/>
  <c r="S5374" i="5"/>
  <c r="Q5375" i="5"/>
  <c r="Q5376" i="5"/>
  <c r="S5376" i="5"/>
  <c r="P5377" i="5"/>
  <c r="Q5377" i="5"/>
  <c r="S5377" i="5"/>
  <c r="R5378" i="5"/>
  <c r="P5378" i="5"/>
  <c r="Q5378" i="5"/>
  <c r="S5378" i="5"/>
  <c r="R5379" i="5"/>
  <c r="P5379" i="5"/>
  <c r="Q5379" i="5"/>
  <c r="S5379" i="5"/>
  <c r="P5380" i="5"/>
  <c r="Q5380" i="5"/>
  <c r="R5380" i="5"/>
  <c r="S5380" i="5"/>
  <c r="P5381" i="5"/>
  <c r="Q5381" i="5"/>
  <c r="R5381" i="5"/>
  <c r="S5381" i="5"/>
  <c r="P5382" i="5"/>
  <c r="Q5382" i="5"/>
  <c r="P5383" i="5"/>
  <c r="Q5383" i="5"/>
  <c r="S5383" i="5"/>
  <c r="R5384" i="5"/>
  <c r="P5384" i="5"/>
  <c r="Q5384" i="5"/>
  <c r="S5384" i="5"/>
  <c r="R5385" i="5"/>
  <c r="P5385" i="5"/>
  <c r="Q5385" i="5"/>
  <c r="S5385" i="5"/>
  <c r="R5386" i="5"/>
  <c r="P5386" i="5"/>
  <c r="Q5386" i="5"/>
  <c r="S5386" i="5"/>
  <c r="R5387" i="5"/>
  <c r="P5387" i="5"/>
  <c r="Q5387" i="5"/>
  <c r="S5387" i="5"/>
  <c r="P5388" i="5"/>
  <c r="Q5388" i="5"/>
  <c r="P5389" i="5"/>
  <c r="Q5389" i="5"/>
  <c r="S5389" i="5"/>
  <c r="R5390" i="5"/>
  <c r="P5390" i="5"/>
  <c r="Q5390" i="5"/>
  <c r="S5390" i="5"/>
  <c r="P5391" i="5"/>
  <c r="Q5391" i="5"/>
  <c r="R5391" i="5"/>
  <c r="S5391" i="5"/>
  <c r="R5392" i="5"/>
  <c r="P5392" i="5"/>
  <c r="Q5392" i="5"/>
  <c r="S5392" i="5"/>
  <c r="R5393" i="5"/>
  <c r="P5393" i="5"/>
  <c r="Q5393" i="5"/>
  <c r="S5393" i="5"/>
  <c r="R5394" i="5"/>
  <c r="P5394" i="5"/>
  <c r="Q5394" i="5"/>
  <c r="P5395" i="5"/>
  <c r="Q5395" i="5"/>
  <c r="R5395" i="5"/>
  <c r="S5395" i="5"/>
  <c r="R5396" i="5"/>
  <c r="P5396" i="5"/>
  <c r="Q5396" i="5"/>
  <c r="S5396" i="5"/>
  <c r="P5397" i="5"/>
  <c r="Q5397" i="5"/>
  <c r="S5397" i="5"/>
  <c r="P5398" i="5"/>
  <c r="Q5398" i="5"/>
  <c r="S5398" i="5"/>
  <c r="R5399" i="5"/>
  <c r="P5399" i="5"/>
  <c r="Q5399" i="5"/>
  <c r="S5399" i="5"/>
  <c r="R5400" i="5"/>
  <c r="P5400" i="5"/>
  <c r="Q5400" i="5"/>
  <c r="S5400" i="5"/>
  <c r="R5401" i="5"/>
  <c r="P5401" i="5"/>
  <c r="Q5401" i="5"/>
  <c r="S5401" i="5"/>
  <c r="P5402" i="5"/>
  <c r="Q5402" i="5"/>
  <c r="P5403" i="5"/>
  <c r="Q5403" i="5"/>
  <c r="S5403" i="5"/>
  <c r="P5404" i="5"/>
  <c r="Q5404" i="5"/>
  <c r="S5404" i="5"/>
  <c r="P5405" i="5"/>
  <c r="Q5405" i="5"/>
  <c r="S5405" i="5"/>
  <c r="P5406" i="5"/>
  <c r="Q5406" i="5"/>
  <c r="S5406" i="5"/>
  <c r="P5407" i="5"/>
  <c r="Q5407" i="5"/>
  <c r="R5407" i="5"/>
  <c r="S5407" i="5"/>
  <c r="R5408" i="5"/>
  <c r="P5408" i="5"/>
  <c r="Q5408" i="5"/>
  <c r="S5408" i="5"/>
  <c r="R5409" i="5"/>
  <c r="P5409" i="5"/>
  <c r="Q5409" i="5"/>
  <c r="S5409" i="5"/>
  <c r="P5410" i="5"/>
  <c r="Q5410" i="5"/>
  <c r="P5411" i="5"/>
  <c r="Q5411" i="5"/>
  <c r="S5411" i="5"/>
  <c r="P5412" i="5"/>
  <c r="Q5412" i="5"/>
  <c r="S5412" i="5"/>
  <c r="P5413" i="5"/>
  <c r="Q5413" i="5"/>
  <c r="S5413" i="5"/>
  <c r="P5414" i="5"/>
  <c r="Q5414" i="5"/>
  <c r="S5414" i="5"/>
  <c r="R5415" i="5"/>
  <c r="P5415" i="5"/>
  <c r="Q5415" i="5"/>
  <c r="S5415" i="5"/>
  <c r="R5416" i="5"/>
  <c r="P5416" i="5"/>
  <c r="Q5416" i="5"/>
  <c r="S5416" i="5"/>
  <c r="P5417" i="5"/>
  <c r="Q5417" i="5"/>
  <c r="R5417" i="5"/>
  <c r="S5417" i="5"/>
  <c r="P5418" i="5"/>
  <c r="Q5418" i="5"/>
  <c r="P5419" i="5"/>
  <c r="Q5419" i="5"/>
  <c r="S5419" i="5"/>
  <c r="Q5420" i="5"/>
  <c r="S5420" i="5"/>
  <c r="Q5421" i="5"/>
  <c r="S5421" i="5"/>
  <c r="R5422" i="5"/>
  <c r="P5422" i="5"/>
  <c r="Q5422" i="5"/>
  <c r="S5422" i="5"/>
  <c r="R5423" i="5"/>
  <c r="P5423" i="5"/>
  <c r="Q5423" i="5"/>
  <c r="S5423" i="5"/>
  <c r="R5424" i="5"/>
  <c r="P5424" i="5"/>
  <c r="Q5424" i="5"/>
  <c r="S5424" i="5"/>
  <c r="Q5425" i="5"/>
  <c r="Q5426" i="5"/>
  <c r="S5426" i="5"/>
  <c r="Q5427" i="5"/>
  <c r="S5427" i="5"/>
  <c r="Q5428" i="5"/>
  <c r="S5428" i="5"/>
  <c r="Q5429" i="5"/>
  <c r="S5429" i="5"/>
  <c r="Q5430" i="5"/>
  <c r="S5430" i="5"/>
  <c r="Q5431" i="5"/>
  <c r="S5431" i="5"/>
  <c r="R5432" i="5"/>
  <c r="P5432" i="5"/>
  <c r="Q5432" i="5"/>
  <c r="S5432" i="5"/>
  <c r="R5433" i="5"/>
  <c r="P5433" i="5"/>
  <c r="Q5433" i="5"/>
  <c r="S5433" i="5"/>
  <c r="R5434" i="5"/>
  <c r="P5434" i="5"/>
  <c r="Q5434" i="5"/>
  <c r="S5434" i="5"/>
  <c r="Q5435" i="5"/>
  <c r="Q5436" i="5"/>
  <c r="S5436" i="5"/>
  <c r="Q5437" i="5"/>
  <c r="S5437" i="5"/>
  <c r="Q5438" i="5"/>
  <c r="S5438" i="5"/>
  <c r="Q5439" i="5"/>
  <c r="S5439" i="5"/>
  <c r="Q5440" i="5"/>
  <c r="S5440" i="5"/>
  <c r="Q5441" i="5"/>
  <c r="S5441" i="5"/>
  <c r="P5442" i="5"/>
  <c r="Q5442" i="5"/>
  <c r="S5442" i="5"/>
  <c r="P5443" i="5"/>
  <c r="Q5443" i="5"/>
  <c r="S5443" i="5"/>
  <c r="P5444" i="5"/>
  <c r="Q5444" i="5"/>
  <c r="R5444" i="5"/>
  <c r="S5444" i="5"/>
  <c r="R5445" i="5"/>
  <c r="P5445" i="5"/>
  <c r="Q5445" i="5"/>
  <c r="S5445" i="5"/>
  <c r="R5446" i="5"/>
  <c r="P5446" i="5"/>
  <c r="Q5446" i="5"/>
  <c r="S5446" i="5"/>
  <c r="R5447" i="5"/>
  <c r="P5447" i="5"/>
  <c r="Q5447" i="5"/>
  <c r="P5448" i="5"/>
  <c r="Q5448" i="5"/>
  <c r="S5448" i="5"/>
  <c r="P5449" i="5"/>
  <c r="Q5449" i="5"/>
  <c r="S5449" i="5"/>
  <c r="R5450" i="5"/>
  <c r="P5450" i="5"/>
  <c r="Q5450" i="5"/>
  <c r="S5450" i="5"/>
  <c r="R5451" i="5"/>
  <c r="P5451" i="5"/>
  <c r="Q5451" i="5"/>
  <c r="S5451" i="5"/>
  <c r="P5452" i="5"/>
  <c r="Q5452" i="5"/>
  <c r="R5452" i="5"/>
  <c r="S5452" i="5"/>
  <c r="P5453" i="5"/>
  <c r="Q5453" i="5"/>
  <c r="R5453" i="5"/>
  <c r="P5454" i="5"/>
  <c r="Q5454" i="5"/>
  <c r="S5454" i="5"/>
  <c r="P5455" i="5"/>
  <c r="Q5455" i="5"/>
  <c r="S5455" i="5"/>
  <c r="R5456" i="5"/>
  <c r="P5456" i="5"/>
  <c r="Q5456" i="5"/>
  <c r="S5456" i="5"/>
  <c r="R5457" i="5"/>
  <c r="P5457" i="5"/>
  <c r="Q5457" i="5"/>
  <c r="S5457" i="5"/>
  <c r="R5458" i="5"/>
  <c r="P5458" i="5"/>
  <c r="Q5458" i="5"/>
  <c r="S5458" i="5"/>
  <c r="P5459" i="5"/>
  <c r="Q5459" i="5"/>
  <c r="P5460" i="5"/>
  <c r="Q5460" i="5"/>
  <c r="S5460" i="5"/>
  <c r="P5461" i="5"/>
  <c r="Q5461" i="5"/>
  <c r="S5461" i="5"/>
  <c r="R5462" i="5"/>
  <c r="P5462" i="5"/>
  <c r="Q5462" i="5"/>
  <c r="S5462" i="5"/>
  <c r="P5463" i="5"/>
  <c r="Q5463" i="5"/>
  <c r="R5463" i="5"/>
  <c r="S5463" i="5"/>
  <c r="R5464" i="5"/>
  <c r="P5464" i="5"/>
  <c r="Q5464" i="5"/>
  <c r="S5464" i="5"/>
  <c r="R5465" i="5"/>
  <c r="P5465" i="5"/>
  <c r="Q5465" i="5"/>
  <c r="S5465" i="5"/>
  <c r="P5466" i="5"/>
  <c r="Q5466" i="5"/>
  <c r="P5467" i="5"/>
  <c r="Q5467" i="5"/>
  <c r="S5467" i="5"/>
  <c r="P5468" i="5"/>
  <c r="Q5468" i="5"/>
  <c r="S5468" i="5"/>
  <c r="R5469" i="5"/>
  <c r="P5469" i="5"/>
  <c r="Q5469" i="5"/>
  <c r="S5469" i="5"/>
  <c r="R5470" i="5"/>
  <c r="P5470" i="5"/>
  <c r="Q5470" i="5"/>
  <c r="S5470" i="5"/>
  <c r="R5471" i="5"/>
  <c r="P5471" i="5"/>
  <c r="Q5471" i="5"/>
  <c r="S5471" i="5"/>
  <c r="R5472" i="5"/>
  <c r="P5472" i="5"/>
  <c r="Q5472" i="5"/>
  <c r="P5473" i="5"/>
  <c r="Q5473" i="5"/>
  <c r="S5473" i="5"/>
  <c r="P5474" i="5"/>
  <c r="Q5474" i="5"/>
  <c r="S5474" i="5"/>
  <c r="R5475" i="5"/>
  <c r="P5475" i="5"/>
  <c r="Q5475" i="5"/>
  <c r="S5475" i="5"/>
  <c r="R5476" i="5"/>
  <c r="P5476" i="5"/>
  <c r="Q5476" i="5"/>
  <c r="S5476" i="5"/>
  <c r="P5477" i="5"/>
  <c r="Q5477" i="5"/>
  <c r="R5477" i="5"/>
  <c r="S5477" i="5"/>
  <c r="P5478" i="5"/>
  <c r="Q5478" i="5"/>
  <c r="P5479" i="5"/>
  <c r="Q5479" i="5"/>
  <c r="S5479" i="5"/>
  <c r="R5480" i="5"/>
  <c r="P5480" i="5"/>
  <c r="Q5480" i="5"/>
  <c r="S5480" i="5"/>
  <c r="R5481" i="5"/>
  <c r="P5481" i="5"/>
  <c r="Q5481" i="5"/>
  <c r="S5481" i="5"/>
  <c r="R5482" i="5"/>
  <c r="P5482" i="5"/>
  <c r="Q5482" i="5"/>
  <c r="S5482" i="5"/>
  <c r="R5483" i="5"/>
  <c r="P5483" i="5"/>
  <c r="Q5483" i="5"/>
  <c r="S5483" i="5"/>
  <c r="P5484" i="5"/>
  <c r="Q5484" i="5"/>
  <c r="R5485" i="5"/>
  <c r="P5485" i="5"/>
  <c r="Q5485" i="5"/>
  <c r="S5485" i="5"/>
  <c r="R5486" i="5"/>
  <c r="P5486" i="5"/>
  <c r="Q5486" i="5"/>
  <c r="S5486" i="5"/>
  <c r="R5487" i="5"/>
  <c r="P5487" i="5"/>
  <c r="Q5487" i="5"/>
  <c r="S5487" i="5"/>
  <c r="P5488" i="5"/>
  <c r="Q5488" i="5"/>
  <c r="P5489" i="5"/>
  <c r="Q5489" i="5"/>
  <c r="R5489" i="5"/>
  <c r="S5489" i="5"/>
  <c r="P5490" i="5"/>
  <c r="Q5490" i="5"/>
  <c r="S5490" i="5"/>
  <c r="P5491" i="5"/>
  <c r="Q5491" i="5"/>
  <c r="S5491" i="5"/>
  <c r="R5492" i="5"/>
  <c r="P5492" i="5"/>
  <c r="Q5492" i="5"/>
  <c r="S5492" i="5"/>
  <c r="R5493" i="5"/>
  <c r="P5493" i="5"/>
  <c r="Q5493" i="5"/>
  <c r="S5493" i="5"/>
  <c r="R5494" i="5"/>
  <c r="P5494" i="5"/>
  <c r="Q5494" i="5"/>
  <c r="S5494" i="5"/>
  <c r="P5495" i="5"/>
  <c r="Q5495" i="5"/>
  <c r="R5496" i="5"/>
  <c r="P5496" i="5"/>
  <c r="Q5496" i="5"/>
  <c r="S5496" i="5"/>
  <c r="R5497" i="5"/>
  <c r="P5497" i="5"/>
  <c r="Q5497" i="5"/>
  <c r="S5497" i="5"/>
  <c r="R5498" i="5"/>
  <c r="P5498" i="5"/>
  <c r="Q5498" i="5"/>
  <c r="S5498" i="5"/>
  <c r="Q5499" i="5"/>
  <c r="P5500" i="5"/>
  <c r="Q5500" i="5"/>
  <c r="R5500" i="5"/>
  <c r="S5500" i="5"/>
  <c r="P5501" i="5"/>
  <c r="Q5501" i="5"/>
  <c r="R5501" i="5"/>
  <c r="S5501" i="5"/>
  <c r="R5502" i="5"/>
  <c r="P5502" i="5"/>
  <c r="Q5502" i="5"/>
  <c r="S5502" i="5"/>
  <c r="R5503" i="5"/>
  <c r="P5503" i="5"/>
  <c r="Q5503" i="5"/>
  <c r="S5503" i="5"/>
  <c r="R5504" i="5"/>
  <c r="P5504" i="5"/>
  <c r="Q5504" i="5"/>
  <c r="S5504" i="5"/>
  <c r="Q5505" i="5"/>
  <c r="R5506" i="5"/>
  <c r="P5506" i="5"/>
  <c r="Q5506" i="5"/>
  <c r="S5506" i="5"/>
  <c r="P5507" i="5"/>
  <c r="Q5507" i="5"/>
  <c r="R5507" i="5"/>
  <c r="S5507" i="5"/>
  <c r="R5508" i="5"/>
  <c r="P5508" i="5"/>
  <c r="Q5508" i="5"/>
  <c r="S5508" i="5"/>
  <c r="P5509" i="5"/>
  <c r="Q5509" i="5"/>
  <c r="R5509" i="5"/>
  <c r="S5509" i="5"/>
  <c r="R5510" i="5"/>
  <c r="P5510" i="5"/>
  <c r="Q5510" i="5"/>
  <c r="S5510" i="5"/>
  <c r="Q5511" i="5"/>
  <c r="R5512" i="5"/>
  <c r="P5512" i="5"/>
  <c r="Q5512" i="5"/>
  <c r="S5512" i="5"/>
  <c r="R5513" i="5"/>
  <c r="P5513" i="5"/>
  <c r="Q5513" i="5"/>
  <c r="S5513" i="5"/>
  <c r="R5514" i="5"/>
  <c r="P5514" i="5"/>
  <c r="Q5514" i="5"/>
  <c r="S5514" i="5"/>
  <c r="R5515" i="5"/>
  <c r="P5515" i="5"/>
  <c r="Q5515" i="5"/>
  <c r="S5515" i="5"/>
  <c r="P5516" i="5"/>
  <c r="Q5516" i="5"/>
  <c r="R5516" i="5"/>
  <c r="S5516" i="5"/>
  <c r="Q5517" i="5"/>
  <c r="R5518" i="5"/>
  <c r="P5518" i="5"/>
  <c r="Q5518" i="5"/>
  <c r="S5518" i="5"/>
  <c r="R5519" i="5"/>
  <c r="P5519" i="5"/>
  <c r="Q5519" i="5"/>
  <c r="S5519" i="5"/>
  <c r="R5520" i="5"/>
  <c r="P5520" i="5"/>
  <c r="Q5520" i="5"/>
  <c r="S5520" i="5"/>
  <c r="R5521" i="5"/>
  <c r="P5521" i="5"/>
  <c r="Q5521" i="5"/>
  <c r="S5521" i="5"/>
  <c r="R5522" i="5"/>
  <c r="P5522" i="5"/>
  <c r="Q5522" i="5"/>
  <c r="S5522" i="5"/>
  <c r="Q5523" i="5"/>
  <c r="R5524" i="5"/>
  <c r="P5524" i="5"/>
  <c r="Q5524" i="5"/>
  <c r="S5524" i="5"/>
  <c r="R5525" i="5"/>
  <c r="P5525" i="5"/>
  <c r="Q5525" i="5"/>
  <c r="S5525" i="5"/>
  <c r="R5526" i="5"/>
  <c r="P5526" i="5"/>
  <c r="Q5526" i="5"/>
  <c r="S5526" i="5"/>
  <c r="P5527" i="5"/>
  <c r="Q5527" i="5"/>
  <c r="R5527" i="5"/>
  <c r="S5527" i="5"/>
  <c r="R5528" i="5"/>
  <c r="P5528" i="5"/>
  <c r="Q5528" i="5"/>
  <c r="S5528" i="5"/>
  <c r="Q5529" i="5"/>
  <c r="R5530" i="5"/>
  <c r="P5530" i="5"/>
  <c r="Q5530" i="5"/>
  <c r="S5530" i="5"/>
  <c r="R5531" i="5"/>
  <c r="P5531" i="5"/>
  <c r="Q5531" i="5"/>
  <c r="S5531" i="5"/>
  <c r="R5532" i="5"/>
  <c r="P5532" i="5"/>
  <c r="Q5532" i="5"/>
  <c r="S5532" i="5"/>
  <c r="R5533" i="5"/>
  <c r="P5533" i="5"/>
  <c r="Q5533" i="5"/>
  <c r="S5533" i="5"/>
  <c r="R5534" i="5"/>
  <c r="P5534" i="5"/>
  <c r="Q5534" i="5"/>
  <c r="S5534" i="5"/>
  <c r="Q5535" i="5"/>
  <c r="R5536" i="5"/>
  <c r="P5536" i="5"/>
  <c r="Q5536" i="5"/>
  <c r="S5536" i="5"/>
  <c r="R5537" i="5"/>
  <c r="P5537" i="5"/>
  <c r="Q5537" i="5"/>
  <c r="S5537" i="5"/>
  <c r="R5538" i="5"/>
  <c r="P5538" i="5"/>
  <c r="Q5538" i="5"/>
  <c r="S5538" i="5"/>
  <c r="R5539" i="5"/>
  <c r="P5539" i="5"/>
  <c r="Q5539" i="5"/>
  <c r="S5539" i="5"/>
  <c r="R5540" i="5"/>
  <c r="P5540" i="5"/>
  <c r="Q5540" i="5"/>
  <c r="S5540" i="5"/>
  <c r="Q5541" i="5"/>
  <c r="R5542" i="5"/>
  <c r="P5542" i="5"/>
  <c r="Q5542" i="5"/>
  <c r="S5542" i="5"/>
  <c r="R5543" i="5"/>
  <c r="P5543" i="5"/>
  <c r="Q5543" i="5"/>
  <c r="S5543" i="5"/>
  <c r="R5544" i="5"/>
  <c r="P5544" i="5"/>
  <c r="Q5544" i="5"/>
  <c r="S5544" i="5"/>
  <c r="R5545" i="5"/>
  <c r="P5545" i="5"/>
  <c r="Q5545" i="5"/>
  <c r="S5545" i="5"/>
  <c r="R5546" i="5"/>
  <c r="P5546" i="5"/>
  <c r="Q5546" i="5"/>
  <c r="S5546" i="5"/>
  <c r="Q5547" i="5"/>
  <c r="P5548" i="5"/>
  <c r="Q5548" i="5"/>
  <c r="R5548" i="5"/>
  <c r="S5548" i="5"/>
  <c r="R5549" i="5"/>
  <c r="P5549" i="5"/>
  <c r="Q5549" i="5"/>
  <c r="S5549" i="5"/>
  <c r="R5550" i="5"/>
  <c r="P5550" i="5"/>
  <c r="Q5550" i="5"/>
  <c r="S5550" i="5"/>
  <c r="R5551" i="5"/>
  <c r="P5551" i="5"/>
  <c r="Q5551" i="5"/>
  <c r="S5551" i="5"/>
  <c r="R5552" i="5"/>
  <c r="P5552" i="5"/>
  <c r="Q5552" i="5"/>
  <c r="S5552" i="5"/>
  <c r="Q5553" i="5"/>
  <c r="R5554" i="5"/>
  <c r="P5554" i="5"/>
  <c r="Q5554" i="5"/>
  <c r="S5554" i="5"/>
  <c r="P5555" i="5"/>
  <c r="Q5555" i="5"/>
  <c r="R5555" i="5"/>
  <c r="S5555" i="5"/>
  <c r="R5556" i="5"/>
  <c r="P5556" i="5"/>
  <c r="Q5556" i="5"/>
  <c r="S5556" i="5"/>
  <c r="P5557" i="5"/>
  <c r="Q5557" i="5"/>
  <c r="R5557" i="5"/>
  <c r="S5557" i="5"/>
  <c r="R5558" i="5"/>
  <c r="P5558" i="5"/>
  <c r="Q5558" i="5"/>
  <c r="S5558" i="5"/>
  <c r="Q5559" i="5"/>
  <c r="R5560" i="5"/>
  <c r="P5560" i="5"/>
  <c r="Q5560" i="5"/>
  <c r="S5560" i="5"/>
  <c r="P5561" i="5"/>
  <c r="Q5561" i="5"/>
  <c r="R5561" i="5"/>
  <c r="S5561" i="5"/>
  <c r="R5562" i="5"/>
  <c r="P5562" i="5"/>
  <c r="Q5562" i="5"/>
  <c r="S5562" i="5"/>
  <c r="R5563" i="5"/>
  <c r="P5563" i="5"/>
  <c r="Q5563" i="5"/>
  <c r="S5563" i="5"/>
  <c r="P5564" i="5"/>
  <c r="Q5564" i="5"/>
  <c r="R5564" i="5"/>
  <c r="S5564" i="5"/>
  <c r="Q5565" i="5"/>
  <c r="R5566" i="5"/>
  <c r="P5566" i="5"/>
  <c r="Q5566" i="5"/>
  <c r="S5566" i="5"/>
  <c r="R5567" i="5"/>
  <c r="P5567" i="5"/>
  <c r="Q5567" i="5"/>
  <c r="S5567" i="5"/>
  <c r="R5568" i="5"/>
  <c r="P5568" i="5"/>
  <c r="Q5568" i="5"/>
  <c r="S5568" i="5"/>
  <c r="R5569" i="5"/>
  <c r="P5569" i="5"/>
  <c r="Q5569" i="5"/>
  <c r="S5569" i="5"/>
  <c r="R5570" i="5"/>
  <c r="P5570" i="5"/>
  <c r="Q5570" i="5"/>
  <c r="S5570" i="5"/>
  <c r="Q5571" i="5"/>
  <c r="P5572" i="5"/>
  <c r="Q5572" i="5"/>
  <c r="R5572" i="5"/>
  <c r="S5572" i="5"/>
  <c r="P5573" i="5"/>
  <c r="Q5573" i="5"/>
  <c r="R5573" i="5"/>
  <c r="S5573" i="5"/>
  <c r="R5574" i="5"/>
  <c r="P5574" i="5"/>
  <c r="Q5574" i="5"/>
  <c r="S5574" i="5"/>
  <c r="R5575" i="5"/>
  <c r="P5575" i="5"/>
  <c r="Q5575" i="5"/>
  <c r="S5575" i="5"/>
  <c r="R5576" i="5"/>
  <c r="P5576" i="5"/>
  <c r="Q5576" i="5"/>
  <c r="S5576" i="5"/>
  <c r="Q5577" i="5"/>
  <c r="R5578" i="5"/>
  <c r="P5578" i="5"/>
  <c r="Q5578" i="5"/>
  <c r="S5578" i="5"/>
  <c r="P5579" i="5"/>
  <c r="Q5579" i="5"/>
  <c r="R5579" i="5"/>
  <c r="S5579" i="5"/>
  <c r="R5580" i="5"/>
  <c r="P5580" i="5"/>
  <c r="Q5580" i="5"/>
  <c r="S5580" i="5"/>
  <c r="R5581" i="5"/>
  <c r="P5581" i="5"/>
  <c r="Q5581" i="5"/>
  <c r="S5581" i="5"/>
  <c r="R5582" i="5"/>
  <c r="P5582" i="5"/>
  <c r="Q5582" i="5"/>
  <c r="S5582" i="5"/>
  <c r="Q5583" i="5"/>
  <c r="R5584" i="5"/>
  <c r="P5584" i="5"/>
  <c r="Q5584" i="5"/>
  <c r="S5584" i="5"/>
  <c r="R5585" i="5"/>
  <c r="P5585" i="5"/>
  <c r="Q5585" i="5"/>
  <c r="S5585" i="5"/>
  <c r="R5586" i="5"/>
  <c r="P5586" i="5"/>
  <c r="Q5586" i="5"/>
  <c r="S5586" i="5"/>
  <c r="R5587" i="5"/>
  <c r="P5587" i="5"/>
  <c r="Q5587" i="5"/>
  <c r="S5587" i="5"/>
  <c r="R5588" i="5"/>
  <c r="P5588" i="5"/>
  <c r="Q5588" i="5"/>
  <c r="S5588" i="5"/>
  <c r="Q5589" i="5"/>
  <c r="R5590" i="5"/>
  <c r="P5590" i="5"/>
  <c r="Q5590" i="5"/>
  <c r="S5590" i="5"/>
  <c r="R5591" i="5"/>
  <c r="P5591" i="5"/>
  <c r="Q5591" i="5"/>
  <c r="S5591" i="5"/>
  <c r="R5592" i="5"/>
  <c r="P5592" i="5"/>
  <c r="Q5592" i="5"/>
  <c r="S5592" i="5"/>
  <c r="R5593" i="5"/>
  <c r="P5593" i="5"/>
  <c r="Q5593" i="5"/>
  <c r="S5593" i="5"/>
  <c r="R5594" i="5"/>
  <c r="P5594" i="5"/>
  <c r="Q5594" i="5"/>
  <c r="S5594" i="5"/>
  <c r="Q5595" i="5"/>
  <c r="R5596" i="5"/>
  <c r="P5596" i="5"/>
  <c r="Q5596" i="5"/>
  <c r="S5596" i="5"/>
  <c r="R5597" i="5"/>
  <c r="P5597" i="5"/>
  <c r="Q5597" i="5"/>
  <c r="S5597" i="5"/>
  <c r="R5598" i="5"/>
  <c r="P5598" i="5"/>
  <c r="Q5598" i="5"/>
  <c r="S5598" i="5"/>
  <c r="P5599" i="5"/>
  <c r="Q5599" i="5"/>
  <c r="R5599" i="5"/>
  <c r="S5599" i="5"/>
  <c r="R5600" i="5"/>
  <c r="P5600" i="5"/>
  <c r="Q5600" i="5"/>
  <c r="S5600" i="5"/>
  <c r="Q5601" i="5"/>
  <c r="R5602" i="5"/>
  <c r="P5602" i="5"/>
  <c r="Q5602" i="5"/>
  <c r="S5602" i="5"/>
  <c r="R5603" i="5"/>
  <c r="P5603" i="5"/>
  <c r="Q5603" i="5"/>
  <c r="S5603" i="5"/>
  <c r="R5604" i="5"/>
  <c r="P5604" i="5"/>
  <c r="Q5604" i="5"/>
  <c r="S5604" i="5"/>
  <c r="R5605" i="5"/>
  <c r="P5605" i="5"/>
  <c r="Q5605" i="5"/>
  <c r="S5605" i="5"/>
  <c r="R5606" i="5"/>
  <c r="P5606" i="5"/>
  <c r="Q5606" i="5"/>
  <c r="S5606" i="5"/>
  <c r="Q5607" i="5"/>
  <c r="R5608" i="5"/>
  <c r="P5608" i="5"/>
  <c r="Q5608" i="5"/>
  <c r="S5608" i="5"/>
  <c r="P5609" i="5"/>
  <c r="Q5609" i="5"/>
  <c r="R5609" i="5"/>
  <c r="S5609" i="5"/>
  <c r="R5610" i="5"/>
  <c r="P5610" i="5"/>
  <c r="Q5610" i="5"/>
  <c r="S5610" i="5"/>
  <c r="R5611" i="5"/>
  <c r="P5611" i="5"/>
  <c r="Q5611" i="5"/>
  <c r="S5611" i="5"/>
  <c r="R5612" i="5"/>
  <c r="P5612" i="5"/>
  <c r="Q5612" i="5"/>
  <c r="S5612" i="5"/>
  <c r="Q5613" i="5"/>
  <c r="R5614" i="5"/>
  <c r="P5614" i="5"/>
  <c r="Q5614" i="5"/>
  <c r="S5614" i="5"/>
  <c r="R5615" i="5"/>
  <c r="P5615" i="5"/>
  <c r="Q5615" i="5"/>
  <c r="S5615" i="5"/>
  <c r="R5616" i="5"/>
  <c r="P5616" i="5"/>
  <c r="Q5616" i="5"/>
  <c r="S5616" i="5"/>
  <c r="P5617" i="5"/>
  <c r="Q5617" i="5"/>
  <c r="R5617" i="5"/>
  <c r="S5617" i="5"/>
  <c r="R5618" i="5"/>
  <c r="P5618" i="5"/>
  <c r="Q5618" i="5"/>
  <c r="S5618" i="5"/>
  <c r="P5619" i="5"/>
  <c r="Q5619" i="5"/>
  <c r="R5620" i="5"/>
  <c r="P5620" i="5"/>
  <c r="Q5620" i="5"/>
  <c r="S5620" i="5"/>
  <c r="R5621" i="5"/>
  <c r="P5621" i="5"/>
  <c r="Q5621" i="5"/>
  <c r="S5621" i="5"/>
  <c r="R5622" i="5"/>
  <c r="P5622" i="5"/>
  <c r="Q5622" i="5"/>
  <c r="S5622" i="5"/>
  <c r="P5623" i="5"/>
  <c r="Q5623" i="5"/>
  <c r="R5624" i="5"/>
  <c r="P5624" i="5"/>
  <c r="Q5624" i="5"/>
  <c r="S5624" i="5"/>
  <c r="R5625" i="5"/>
  <c r="P5625" i="5"/>
  <c r="Q5625" i="5"/>
  <c r="S5625" i="5"/>
  <c r="R5626" i="5"/>
  <c r="P5626" i="5"/>
  <c r="Q5626" i="5"/>
  <c r="S5626" i="5"/>
  <c r="P5627" i="5"/>
  <c r="Q5627" i="5"/>
  <c r="P5628" i="5"/>
  <c r="Q5628" i="5"/>
  <c r="R5628" i="5"/>
  <c r="S5628" i="5"/>
  <c r="R5629" i="5"/>
  <c r="P5629" i="5"/>
  <c r="Q5629" i="5"/>
  <c r="S5629" i="5"/>
  <c r="R5630" i="5"/>
  <c r="P5630" i="5"/>
  <c r="Q5630" i="5"/>
  <c r="S5630" i="5"/>
  <c r="P5631" i="5"/>
  <c r="Q5631" i="5"/>
  <c r="R5632" i="5"/>
  <c r="P5632" i="5"/>
  <c r="Q5632" i="5"/>
  <c r="S5632" i="5"/>
  <c r="R5633" i="5"/>
  <c r="P5633" i="5"/>
  <c r="Q5633" i="5"/>
  <c r="S5633" i="5"/>
  <c r="R5634" i="5"/>
  <c r="P5634" i="5"/>
  <c r="Q5634" i="5"/>
  <c r="S5634" i="5"/>
  <c r="P5635" i="5"/>
  <c r="Q5635" i="5"/>
  <c r="R5636" i="5"/>
  <c r="P5636" i="5"/>
  <c r="Q5636" i="5"/>
  <c r="S5636" i="5"/>
  <c r="R5637" i="5"/>
  <c r="P5637" i="5"/>
  <c r="Q5637" i="5"/>
  <c r="S5637" i="5"/>
  <c r="P5638" i="5"/>
  <c r="Q5638" i="5"/>
  <c r="R5638" i="5"/>
  <c r="S5638" i="5"/>
  <c r="P5639" i="5"/>
  <c r="Q5639" i="5"/>
  <c r="P5640" i="5"/>
  <c r="Q5640" i="5"/>
  <c r="R5640" i="5"/>
  <c r="S5640" i="5"/>
  <c r="R5641" i="5"/>
  <c r="P5641" i="5"/>
  <c r="Q5641" i="5"/>
  <c r="S5641" i="5"/>
  <c r="R5642" i="5"/>
  <c r="P5642" i="5"/>
  <c r="Q5642" i="5"/>
  <c r="S5642" i="5"/>
  <c r="P5643" i="5"/>
  <c r="Q5643" i="5"/>
  <c r="P5644" i="5"/>
  <c r="Q5644" i="5"/>
  <c r="R5644" i="5"/>
  <c r="S5644" i="5"/>
  <c r="R5645" i="5"/>
  <c r="P5645" i="5"/>
  <c r="Q5645" i="5"/>
  <c r="S5645" i="5"/>
  <c r="R5646" i="5"/>
  <c r="P5646" i="5"/>
  <c r="Q5646" i="5"/>
  <c r="S5646" i="5"/>
  <c r="P5647" i="5"/>
  <c r="Q5647" i="5"/>
  <c r="R5648" i="5"/>
  <c r="P5648" i="5"/>
  <c r="Q5648" i="5"/>
  <c r="S5648" i="5"/>
  <c r="R5649" i="5"/>
  <c r="P5649" i="5"/>
  <c r="Q5649" i="5"/>
  <c r="S5649" i="5"/>
  <c r="R5650" i="5"/>
  <c r="P5650" i="5"/>
  <c r="Q5650" i="5"/>
  <c r="S5650" i="5"/>
  <c r="P5651" i="5"/>
  <c r="Q5651" i="5"/>
  <c r="R5652" i="5"/>
  <c r="P5652" i="5"/>
  <c r="Q5652" i="5"/>
  <c r="S5652" i="5"/>
  <c r="R5653" i="5"/>
  <c r="P5653" i="5"/>
  <c r="Q5653" i="5"/>
  <c r="S5653" i="5"/>
  <c r="R5654" i="5"/>
  <c r="P5654" i="5"/>
  <c r="Q5654" i="5"/>
  <c r="S5654" i="5"/>
  <c r="P5655" i="5"/>
  <c r="Q5655" i="5"/>
  <c r="R5656" i="5"/>
  <c r="P5656" i="5"/>
  <c r="Q5656" i="5"/>
  <c r="S5656" i="5"/>
  <c r="R5657" i="5"/>
  <c r="P5657" i="5"/>
  <c r="Q5657" i="5"/>
  <c r="S5657" i="5"/>
  <c r="R5658" i="5"/>
  <c r="P5658" i="5"/>
  <c r="Q5658" i="5"/>
  <c r="S5658" i="5"/>
  <c r="P5659" i="5"/>
  <c r="Q5659" i="5"/>
  <c r="R5660" i="5"/>
  <c r="P5660" i="5"/>
  <c r="Q5660" i="5"/>
  <c r="S5660" i="5"/>
  <c r="R5661" i="5"/>
  <c r="P5661" i="5"/>
  <c r="Q5661" i="5"/>
  <c r="S5661" i="5"/>
  <c r="P5662" i="5"/>
  <c r="Q5662" i="5"/>
  <c r="R5662" i="5"/>
  <c r="S5662" i="5"/>
  <c r="P5663" i="5"/>
  <c r="Q5663" i="5"/>
  <c r="R5664" i="5"/>
  <c r="P5664" i="5"/>
  <c r="Q5664" i="5"/>
  <c r="S5664" i="5"/>
  <c r="R5665" i="5"/>
  <c r="P5665" i="5"/>
  <c r="Q5665" i="5"/>
  <c r="S5665" i="5"/>
  <c r="R5666" i="5"/>
  <c r="P5666" i="5"/>
  <c r="Q5666" i="5"/>
  <c r="S5666" i="5"/>
  <c r="P5667" i="5"/>
  <c r="Q5667" i="5"/>
  <c r="R5668" i="5"/>
  <c r="P5668" i="5"/>
  <c r="Q5668" i="5"/>
  <c r="S5668" i="5"/>
  <c r="R5669" i="5"/>
  <c r="P5669" i="5"/>
  <c r="Q5669" i="5"/>
  <c r="S5669" i="5"/>
  <c r="P5670" i="5"/>
  <c r="Q5670" i="5"/>
  <c r="R5670" i="5"/>
  <c r="S5670" i="5"/>
  <c r="P5671" i="5"/>
  <c r="Q5671" i="5"/>
  <c r="R5672" i="5"/>
  <c r="P5672" i="5"/>
  <c r="Q5672" i="5"/>
  <c r="S5672" i="5"/>
  <c r="R5673" i="5"/>
  <c r="P5673" i="5"/>
  <c r="Q5673" i="5"/>
  <c r="S5673" i="5"/>
  <c r="R5674" i="5"/>
  <c r="P5674" i="5"/>
  <c r="Q5674" i="5"/>
  <c r="S5674" i="5"/>
  <c r="P5675" i="5"/>
  <c r="Q5675" i="5"/>
  <c r="R5676" i="5"/>
  <c r="P5676" i="5"/>
  <c r="Q5676" i="5"/>
  <c r="S5676" i="5"/>
  <c r="R5677" i="5"/>
  <c r="P5677" i="5"/>
  <c r="Q5677" i="5"/>
  <c r="S5677" i="5"/>
  <c r="R5678" i="5"/>
  <c r="P5678" i="5"/>
  <c r="Q5678" i="5"/>
  <c r="S5678" i="5"/>
  <c r="P5679" i="5"/>
  <c r="Q5679" i="5"/>
  <c r="R5680" i="5"/>
  <c r="P5680" i="5"/>
  <c r="Q5680" i="5"/>
  <c r="S5680" i="5"/>
  <c r="R5681" i="5"/>
  <c r="P5681" i="5"/>
  <c r="Q5681" i="5"/>
  <c r="S5681" i="5"/>
  <c r="R5682" i="5"/>
  <c r="P5682" i="5"/>
  <c r="Q5682" i="5"/>
  <c r="S5682" i="5"/>
  <c r="P5683" i="5"/>
  <c r="Q5683" i="5"/>
  <c r="R5684" i="5"/>
  <c r="P5684" i="5"/>
  <c r="Q5684" i="5"/>
  <c r="S5684" i="5"/>
  <c r="R5685" i="5"/>
  <c r="P5685" i="5"/>
  <c r="Q5685" i="5"/>
  <c r="S5685" i="5"/>
  <c r="R5686" i="5"/>
  <c r="P5686" i="5"/>
  <c r="Q5686" i="5"/>
  <c r="S5686" i="5"/>
  <c r="P5687" i="5"/>
  <c r="Q5687" i="5"/>
  <c r="R5688" i="5"/>
  <c r="P5688" i="5"/>
  <c r="Q5688" i="5"/>
  <c r="S5688" i="5"/>
  <c r="R5689" i="5"/>
  <c r="P5689" i="5"/>
  <c r="Q5689" i="5"/>
  <c r="S5689" i="5"/>
  <c r="R5690" i="5"/>
  <c r="P5690" i="5"/>
  <c r="Q5690" i="5"/>
  <c r="S5690" i="5"/>
  <c r="P5691" i="5"/>
  <c r="Q5691" i="5"/>
  <c r="P5692" i="5"/>
  <c r="Q5692" i="5"/>
  <c r="R5692" i="5"/>
  <c r="S5692" i="5"/>
  <c r="R5693" i="5"/>
  <c r="P5693" i="5"/>
  <c r="Q5693" i="5"/>
  <c r="S5693" i="5"/>
  <c r="R5694" i="5"/>
  <c r="P5694" i="5"/>
  <c r="Q5694" i="5"/>
  <c r="S5694" i="5"/>
  <c r="P5695" i="5"/>
  <c r="Q5695" i="5"/>
  <c r="R5696" i="5"/>
  <c r="P5696" i="5"/>
  <c r="Q5696" i="5"/>
  <c r="S5696" i="5"/>
  <c r="R5697" i="5"/>
  <c r="P5697" i="5"/>
  <c r="Q5697" i="5"/>
  <c r="S5697" i="5"/>
  <c r="R5698" i="5"/>
  <c r="P5698" i="5"/>
  <c r="Q5698" i="5"/>
  <c r="S5698" i="5"/>
  <c r="P5699" i="5"/>
  <c r="Q5699" i="5"/>
  <c r="P5700" i="5"/>
  <c r="Q5700" i="5"/>
  <c r="R5700" i="5"/>
  <c r="S5700" i="5"/>
  <c r="R5701" i="5"/>
  <c r="P5701" i="5"/>
  <c r="Q5701" i="5"/>
  <c r="S5701" i="5"/>
  <c r="P5702" i="5"/>
  <c r="Q5702" i="5"/>
  <c r="R5702" i="5"/>
  <c r="S5702" i="5"/>
  <c r="P5703" i="5"/>
  <c r="Q5703" i="5"/>
  <c r="R5704" i="5"/>
  <c r="P5704" i="5"/>
  <c r="Q5704" i="5"/>
  <c r="S5704" i="5"/>
  <c r="R5705" i="5"/>
  <c r="P5705" i="5"/>
  <c r="Q5705" i="5"/>
  <c r="S5705" i="5"/>
  <c r="R5706" i="5"/>
  <c r="P5706" i="5"/>
  <c r="Q5706" i="5"/>
  <c r="S5706" i="5"/>
  <c r="P5707" i="5"/>
  <c r="Q5707" i="5"/>
  <c r="R5708" i="5"/>
  <c r="P5708" i="5"/>
  <c r="Q5708" i="5"/>
  <c r="S5708" i="5"/>
  <c r="R5709" i="5"/>
  <c r="P5709" i="5"/>
  <c r="Q5709" i="5"/>
  <c r="S5709" i="5"/>
  <c r="R5710" i="5"/>
  <c r="P5710" i="5"/>
  <c r="Q5710" i="5"/>
  <c r="S5710" i="5"/>
  <c r="P5711" i="5"/>
  <c r="Q5711" i="5"/>
  <c r="R5712" i="5"/>
  <c r="P5712" i="5"/>
  <c r="Q5712" i="5"/>
  <c r="S5712" i="5"/>
  <c r="R5713" i="5"/>
  <c r="P5713" i="5"/>
  <c r="Q5713" i="5"/>
  <c r="S5713" i="5"/>
  <c r="R5714" i="5"/>
  <c r="P5714" i="5"/>
  <c r="Q5714" i="5"/>
  <c r="S5714" i="5"/>
  <c r="P5715" i="5"/>
  <c r="Q5715" i="5"/>
  <c r="P5716" i="5"/>
  <c r="Q5716" i="5"/>
  <c r="R5716" i="5"/>
  <c r="S5716" i="5"/>
  <c r="R5717" i="5"/>
  <c r="P5717" i="5"/>
  <c r="Q5717" i="5"/>
  <c r="S5717" i="5"/>
  <c r="P5718" i="5"/>
  <c r="Q5718" i="5"/>
  <c r="R5718" i="5"/>
  <c r="S5718" i="5"/>
  <c r="P5719" i="5"/>
  <c r="Q5719" i="5"/>
  <c r="R5720" i="5"/>
  <c r="P5720" i="5"/>
  <c r="Q5720" i="5"/>
  <c r="S5720" i="5"/>
  <c r="R5721" i="5"/>
  <c r="P5721" i="5"/>
  <c r="Q5721" i="5"/>
  <c r="S5721" i="5"/>
  <c r="R5722" i="5"/>
  <c r="P5722" i="5"/>
  <c r="Q5722" i="5"/>
  <c r="S5722" i="5"/>
  <c r="P5723" i="5"/>
  <c r="Q5723" i="5"/>
  <c r="R5724" i="5"/>
  <c r="P5724" i="5"/>
  <c r="Q5724" i="5"/>
  <c r="S5724" i="5"/>
  <c r="R5725" i="5"/>
  <c r="P5725" i="5"/>
  <c r="Q5725" i="5"/>
  <c r="S5725" i="5"/>
  <c r="R5726" i="5"/>
  <c r="P5726" i="5"/>
  <c r="Q5726" i="5"/>
  <c r="S5726" i="5"/>
  <c r="P5727" i="5"/>
  <c r="Q5727" i="5"/>
  <c r="R5728" i="5"/>
  <c r="P5728" i="5"/>
  <c r="Q5728" i="5"/>
  <c r="S5728" i="5"/>
  <c r="R5729" i="5"/>
  <c r="P5729" i="5"/>
  <c r="Q5729" i="5"/>
  <c r="S5729" i="5"/>
  <c r="R5730" i="5"/>
  <c r="P5730" i="5"/>
  <c r="Q5730" i="5"/>
  <c r="S5730" i="5"/>
  <c r="P5731" i="5"/>
  <c r="Q5731" i="5"/>
  <c r="R5732" i="5"/>
  <c r="P5732" i="5"/>
  <c r="Q5732" i="5"/>
  <c r="S5732" i="5"/>
  <c r="R5733" i="5"/>
  <c r="P5733" i="5"/>
  <c r="Q5733" i="5"/>
  <c r="S5733" i="5"/>
  <c r="R5734" i="5"/>
  <c r="P5734" i="5"/>
  <c r="Q5734" i="5"/>
  <c r="S5734" i="5"/>
  <c r="P5735" i="5"/>
  <c r="Q5735" i="5"/>
  <c r="R5736" i="5"/>
  <c r="P5736" i="5"/>
  <c r="Q5736" i="5"/>
  <c r="S5736" i="5"/>
  <c r="R5737" i="5"/>
  <c r="P5737" i="5"/>
  <c r="Q5737" i="5"/>
  <c r="S5737" i="5"/>
  <c r="R5738" i="5"/>
  <c r="P5738" i="5"/>
  <c r="Q5738" i="5"/>
  <c r="S5738" i="5"/>
  <c r="P5739" i="5"/>
  <c r="Q5739" i="5"/>
  <c r="P5740" i="5"/>
  <c r="Q5740" i="5"/>
  <c r="R5740" i="5"/>
  <c r="S5740" i="5"/>
  <c r="R5741" i="5"/>
  <c r="P5741" i="5"/>
  <c r="Q5741" i="5"/>
  <c r="S5741" i="5"/>
  <c r="R5742" i="5"/>
  <c r="P5742" i="5"/>
  <c r="Q5742" i="5"/>
  <c r="S5742" i="5"/>
  <c r="P5743" i="5"/>
  <c r="Q5743" i="5"/>
  <c r="R5744" i="5"/>
  <c r="P5744" i="5"/>
  <c r="Q5744" i="5"/>
  <c r="S5744" i="5"/>
  <c r="R5745" i="5"/>
  <c r="P5745" i="5"/>
  <c r="Q5745" i="5"/>
  <c r="S5745" i="5"/>
  <c r="R5746" i="5"/>
  <c r="P5746" i="5"/>
  <c r="Q5746" i="5"/>
  <c r="S5746" i="5"/>
  <c r="P5747" i="5"/>
  <c r="Q5747" i="5"/>
  <c r="R5748" i="5"/>
  <c r="P5748" i="5"/>
  <c r="Q5748" i="5"/>
  <c r="S5748" i="5"/>
  <c r="R5749" i="5"/>
  <c r="P5749" i="5"/>
  <c r="Q5749" i="5"/>
  <c r="S5749" i="5"/>
  <c r="R5750" i="5"/>
  <c r="P5750" i="5"/>
  <c r="Q5750" i="5"/>
  <c r="S5750" i="5"/>
  <c r="P5751" i="5"/>
  <c r="Q5751" i="5"/>
  <c r="P5752" i="5"/>
  <c r="Q5752" i="5"/>
  <c r="R5752" i="5"/>
  <c r="S5752" i="5"/>
  <c r="R5753" i="5"/>
  <c r="P5753" i="5"/>
  <c r="Q5753" i="5"/>
  <c r="S5753" i="5"/>
  <c r="R5754" i="5"/>
  <c r="P5754" i="5"/>
  <c r="Q5754" i="5"/>
  <c r="S5754" i="5"/>
  <c r="P5755" i="5"/>
  <c r="Q5755" i="5"/>
  <c r="R5756" i="5"/>
  <c r="P5756" i="5"/>
  <c r="Q5756" i="5"/>
  <c r="S5756" i="5"/>
  <c r="R5757" i="5"/>
  <c r="P5757" i="5"/>
  <c r="Q5757" i="5"/>
  <c r="S5757" i="5"/>
  <c r="R5758" i="5"/>
  <c r="P5758" i="5"/>
  <c r="Q5758" i="5"/>
  <c r="S5758" i="5"/>
  <c r="P5759" i="5"/>
  <c r="Q5759" i="5"/>
  <c r="R5760" i="5"/>
  <c r="P5760" i="5"/>
  <c r="Q5760" i="5"/>
  <c r="S5760" i="5"/>
  <c r="R5761" i="5"/>
  <c r="P5761" i="5"/>
  <c r="Q5761" i="5"/>
  <c r="S5761" i="5"/>
  <c r="R5762" i="5"/>
  <c r="P5762" i="5"/>
  <c r="Q5762" i="5"/>
  <c r="S5762" i="5"/>
  <c r="P5763" i="5"/>
  <c r="Q5763" i="5"/>
  <c r="P5764" i="5"/>
  <c r="Q5764" i="5"/>
  <c r="R5764" i="5"/>
  <c r="S5764" i="5"/>
  <c r="R5765" i="5"/>
  <c r="P5765" i="5"/>
  <c r="Q5765" i="5"/>
  <c r="S5765" i="5"/>
  <c r="R5766" i="5"/>
  <c r="P5766" i="5"/>
  <c r="Q5766" i="5"/>
  <c r="S5766" i="5"/>
  <c r="P5767" i="5"/>
  <c r="Q5767" i="5"/>
  <c r="P5768" i="5"/>
  <c r="Q5768" i="5"/>
  <c r="R5768" i="5"/>
  <c r="S5768" i="5"/>
  <c r="R5769" i="5"/>
  <c r="P5769" i="5"/>
  <c r="Q5769" i="5"/>
  <c r="S5769" i="5"/>
  <c r="R5770" i="5"/>
  <c r="P5770" i="5"/>
  <c r="Q5770" i="5"/>
  <c r="S5770" i="5"/>
  <c r="P5771" i="5"/>
  <c r="Q5771" i="5"/>
  <c r="P5772" i="5"/>
  <c r="Q5772" i="5"/>
  <c r="R5772" i="5"/>
  <c r="S5772" i="5"/>
  <c r="R5773" i="5"/>
  <c r="P5773" i="5"/>
  <c r="Q5773" i="5"/>
  <c r="S5773" i="5"/>
  <c r="R5774" i="5"/>
  <c r="P5774" i="5"/>
  <c r="Q5774" i="5"/>
  <c r="S5774" i="5"/>
  <c r="P5775" i="5"/>
  <c r="Q5775" i="5"/>
  <c r="R5776" i="5"/>
  <c r="P5776" i="5"/>
  <c r="Q5776" i="5"/>
  <c r="S5776" i="5"/>
  <c r="R5777" i="5"/>
  <c r="P5777" i="5"/>
  <c r="Q5777" i="5"/>
  <c r="S5777" i="5"/>
  <c r="R5778" i="5"/>
  <c r="P5778" i="5"/>
  <c r="Q5778" i="5"/>
  <c r="S5778" i="5"/>
  <c r="P5779" i="5"/>
  <c r="Q5779" i="5"/>
  <c r="P5780" i="5"/>
  <c r="Q5780" i="5"/>
  <c r="R5780" i="5"/>
  <c r="S5780" i="5"/>
  <c r="R5781" i="5"/>
  <c r="P5781" i="5"/>
  <c r="Q5781" i="5"/>
  <c r="S5781" i="5"/>
  <c r="P5782" i="5"/>
  <c r="Q5782" i="5"/>
  <c r="R5782" i="5"/>
  <c r="S5782" i="5"/>
  <c r="P5783" i="5"/>
  <c r="Q5783" i="5"/>
  <c r="P5784" i="5"/>
  <c r="Q5784" i="5"/>
  <c r="R5784" i="5"/>
  <c r="S5784" i="5"/>
  <c r="R5785" i="5"/>
  <c r="P5785" i="5"/>
  <c r="Q5785" i="5"/>
  <c r="S5785" i="5"/>
  <c r="R5786" i="5"/>
  <c r="P5786" i="5"/>
  <c r="Q5786" i="5"/>
  <c r="S5786" i="5"/>
  <c r="P5787" i="5"/>
  <c r="Q5787" i="5"/>
  <c r="R5788" i="5"/>
  <c r="P5788" i="5"/>
  <c r="Q5788" i="5"/>
  <c r="S5788" i="5"/>
  <c r="R5789" i="5"/>
  <c r="P5789" i="5"/>
  <c r="Q5789" i="5"/>
  <c r="S5789" i="5"/>
  <c r="P5790" i="5"/>
  <c r="Q5790" i="5"/>
  <c r="R5790" i="5"/>
  <c r="S5790" i="5"/>
  <c r="P5791" i="5"/>
  <c r="Q5791" i="5"/>
  <c r="R5792" i="5"/>
  <c r="P5792" i="5"/>
  <c r="Q5792" i="5"/>
  <c r="S5792" i="5"/>
  <c r="R5793" i="5"/>
  <c r="P5793" i="5"/>
  <c r="Q5793" i="5"/>
  <c r="S5793" i="5"/>
  <c r="R5794" i="5"/>
  <c r="P5794" i="5"/>
  <c r="Q5794" i="5"/>
  <c r="S5794" i="5"/>
  <c r="P5795" i="5"/>
  <c r="Q5795" i="5"/>
  <c r="R5796" i="5"/>
  <c r="P5796" i="5"/>
  <c r="Q5796" i="5"/>
  <c r="S5796" i="5"/>
  <c r="R5797" i="5"/>
  <c r="P5797" i="5"/>
  <c r="Q5797" i="5"/>
  <c r="S5797" i="5"/>
  <c r="R5798" i="5"/>
  <c r="P5798" i="5"/>
  <c r="Q5798" i="5"/>
  <c r="S5798" i="5"/>
  <c r="P5799" i="5"/>
  <c r="Q5799" i="5"/>
  <c r="R5800" i="5"/>
  <c r="P5800" i="5"/>
  <c r="Q5800" i="5"/>
  <c r="S5800" i="5"/>
  <c r="R5801" i="5"/>
  <c r="P5801" i="5"/>
  <c r="Q5801" i="5"/>
  <c r="S5801" i="5"/>
  <c r="R5802" i="5"/>
  <c r="P5802" i="5"/>
  <c r="Q5802" i="5"/>
  <c r="S5802" i="5"/>
  <c r="P5803" i="5"/>
  <c r="Q5803" i="5"/>
  <c r="P5804" i="5"/>
  <c r="Q5804" i="5"/>
  <c r="R5804" i="5"/>
  <c r="S5804" i="5"/>
  <c r="R5805" i="5"/>
  <c r="P5805" i="5"/>
  <c r="Q5805" i="5"/>
  <c r="S5805" i="5"/>
  <c r="R5806" i="5"/>
  <c r="P5806" i="5"/>
  <c r="Q5806" i="5"/>
  <c r="S5806" i="5"/>
  <c r="P5807" i="5"/>
  <c r="Q5807" i="5"/>
  <c r="R5808" i="5"/>
  <c r="P5808" i="5"/>
  <c r="Q5808" i="5"/>
  <c r="S5808" i="5"/>
  <c r="R5809" i="5"/>
  <c r="P5809" i="5"/>
  <c r="Q5809" i="5"/>
  <c r="S5809" i="5"/>
  <c r="R5810" i="5"/>
  <c r="P5810" i="5"/>
  <c r="Q5810" i="5"/>
  <c r="S5810" i="5"/>
  <c r="P5811" i="5"/>
  <c r="Q5811" i="5"/>
  <c r="R5812" i="5"/>
  <c r="P5812" i="5"/>
  <c r="Q5812" i="5"/>
  <c r="S5812" i="5"/>
  <c r="R5813" i="5"/>
  <c r="P5813" i="5"/>
  <c r="Q5813" i="5"/>
  <c r="S5813" i="5"/>
  <c r="R5814" i="5"/>
  <c r="P5814" i="5"/>
  <c r="Q5814" i="5"/>
  <c r="S5814" i="5"/>
  <c r="P5815" i="5"/>
  <c r="Q5815" i="5"/>
  <c r="P5816" i="5"/>
  <c r="Q5816" i="5"/>
  <c r="R5816" i="5"/>
  <c r="S5816" i="5"/>
  <c r="R5817" i="5"/>
  <c r="P5817" i="5"/>
  <c r="Q5817" i="5"/>
  <c r="S5817" i="5"/>
  <c r="R5818" i="5"/>
  <c r="P5818" i="5"/>
  <c r="Q5818" i="5"/>
  <c r="S5818" i="5"/>
  <c r="P5819" i="5"/>
  <c r="Q5819" i="5"/>
  <c r="P5820" i="5"/>
  <c r="Q5820" i="5"/>
  <c r="R5820" i="5"/>
  <c r="S5820" i="5"/>
  <c r="R5821" i="5"/>
  <c r="P5821" i="5"/>
  <c r="Q5821" i="5"/>
  <c r="S5821" i="5"/>
  <c r="R5822" i="5"/>
  <c r="P5822" i="5"/>
  <c r="Q5822" i="5"/>
  <c r="S5822" i="5"/>
  <c r="P5823" i="5"/>
  <c r="Q5823" i="5"/>
  <c r="R5824" i="5"/>
  <c r="P5824" i="5"/>
  <c r="Q5824" i="5"/>
  <c r="S5824" i="5"/>
  <c r="R5825" i="5"/>
  <c r="P5825" i="5"/>
  <c r="Q5825" i="5"/>
  <c r="S5825" i="5"/>
  <c r="R5826" i="5"/>
  <c r="P5826" i="5"/>
  <c r="Q5826" i="5"/>
  <c r="S5826" i="5"/>
  <c r="P5827" i="5"/>
  <c r="Q5827" i="5"/>
  <c r="R5828" i="5"/>
  <c r="P5828" i="5"/>
  <c r="Q5828" i="5"/>
  <c r="S5828" i="5"/>
  <c r="R5829" i="5"/>
  <c r="P5829" i="5"/>
  <c r="Q5829" i="5"/>
  <c r="S5829" i="5"/>
  <c r="R5830" i="5"/>
  <c r="P5830" i="5"/>
  <c r="Q5830" i="5"/>
  <c r="S5830" i="5"/>
  <c r="P5831" i="5"/>
  <c r="Q5831" i="5"/>
  <c r="P5832" i="5"/>
  <c r="Q5832" i="5"/>
  <c r="R5832" i="5"/>
  <c r="S5832" i="5"/>
  <c r="R5833" i="5"/>
  <c r="P5833" i="5"/>
  <c r="Q5833" i="5"/>
  <c r="S5833" i="5"/>
  <c r="R5834" i="5"/>
  <c r="P5834" i="5"/>
  <c r="Q5834" i="5"/>
  <c r="S5834" i="5"/>
  <c r="P5835" i="5"/>
  <c r="Q5835" i="5"/>
  <c r="P5836" i="5"/>
  <c r="Q5836" i="5"/>
  <c r="R5836" i="5"/>
  <c r="S5836" i="5"/>
  <c r="R5837" i="5"/>
  <c r="P5837" i="5"/>
  <c r="Q5837" i="5"/>
  <c r="S5837" i="5"/>
  <c r="R5838" i="5"/>
  <c r="P5838" i="5"/>
  <c r="Q5838" i="5"/>
  <c r="S5838" i="5"/>
  <c r="P5839" i="5"/>
  <c r="Q5839" i="5"/>
  <c r="P5840" i="5"/>
  <c r="Q5840" i="5"/>
  <c r="R5840" i="5"/>
  <c r="S5840" i="5"/>
  <c r="R5841" i="5"/>
  <c r="P5841" i="5"/>
  <c r="Q5841" i="5"/>
  <c r="S5841" i="5"/>
  <c r="R5842" i="5"/>
  <c r="P5842" i="5"/>
  <c r="Q5842" i="5"/>
  <c r="S5842" i="5"/>
  <c r="P5843" i="5"/>
  <c r="Q5843" i="5"/>
  <c r="R5844" i="5"/>
  <c r="P5844" i="5"/>
  <c r="Q5844" i="5"/>
  <c r="S5844" i="5"/>
  <c r="R5845" i="5"/>
  <c r="P5845" i="5"/>
  <c r="Q5845" i="5"/>
  <c r="S5845" i="5"/>
  <c r="R5846" i="5"/>
  <c r="P5846" i="5"/>
  <c r="Q5846" i="5"/>
  <c r="S5846" i="5"/>
  <c r="P5847" i="5"/>
  <c r="Q5847" i="5"/>
  <c r="R5848" i="5"/>
  <c r="P5848" i="5"/>
  <c r="Q5848" i="5"/>
  <c r="S5848" i="5"/>
  <c r="R5849" i="5"/>
  <c r="P5849" i="5"/>
  <c r="Q5849" i="5"/>
  <c r="S5849" i="5"/>
  <c r="R5850" i="5"/>
  <c r="P5850" i="5"/>
  <c r="Q5850" i="5"/>
  <c r="S5850" i="5"/>
  <c r="P5851" i="5"/>
  <c r="Q5851" i="5"/>
  <c r="P5852" i="5"/>
  <c r="Q5852" i="5"/>
  <c r="R5852" i="5"/>
  <c r="S5852" i="5"/>
  <c r="R5853" i="5"/>
  <c r="P5853" i="5"/>
  <c r="Q5853" i="5"/>
  <c r="S5853" i="5"/>
  <c r="R5854" i="5"/>
  <c r="P5854" i="5"/>
  <c r="Q5854" i="5"/>
  <c r="S5854" i="5"/>
  <c r="P5855" i="5"/>
  <c r="Q5855" i="5"/>
  <c r="R5856" i="5"/>
  <c r="P5856" i="5"/>
  <c r="Q5856" i="5"/>
  <c r="S5856" i="5"/>
  <c r="P5857" i="5"/>
  <c r="Q5857" i="5"/>
  <c r="R5857" i="5"/>
  <c r="S5857" i="5"/>
  <c r="R5858" i="5"/>
  <c r="P5858" i="5"/>
  <c r="Q5858" i="5"/>
  <c r="S5858" i="5"/>
  <c r="P5859" i="5"/>
  <c r="Q5859" i="5"/>
  <c r="R5860" i="5"/>
  <c r="P5860" i="5"/>
  <c r="Q5860" i="5"/>
  <c r="S5860" i="5"/>
  <c r="R5861" i="5"/>
  <c r="P5861" i="5"/>
  <c r="Q5861" i="5"/>
  <c r="S5861" i="5"/>
  <c r="R5862" i="5"/>
  <c r="P5862" i="5"/>
  <c r="Q5862" i="5"/>
  <c r="S5862" i="5"/>
  <c r="P5863" i="5"/>
  <c r="Q5863" i="5"/>
  <c r="R5864" i="5"/>
  <c r="P5864" i="5"/>
  <c r="Q5864" i="5"/>
  <c r="S5864" i="5"/>
  <c r="R5865" i="5"/>
  <c r="P5865" i="5"/>
  <c r="Q5865" i="5"/>
  <c r="S5865" i="5"/>
  <c r="R5866" i="5"/>
  <c r="P5866" i="5"/>
  <c r="Q5866" i="5"/>
  <c r="S5866" i="5"/>
  <c r="P5867" i="5"/>
  <c r="Q5867" i="5"/>
  <c r="R5868" i="5"/>
  <c r="P5868" i="5"/>
  <c r="Q5868" i="5"/>
  <c r="S5868" i="5"/>
  <c r="R5869" i="5"/>
  <c r="P5869" i="5"/>
  <c r="Q5869" i="5"/>
  <c r="S5869" i="5"/>
  <c r="P5870" i="5"/>
  <c r="Q5870" i="5"/>
  <c r="R5870" i="5"/>
  <c r="S5870" i="5"/>
  <c r="P5871" i="5"/>
  <c r="Q5871" i="5"/>
  <c r="R5872" i="5"/>
  <c r="P5872" i="5"/>
  <c r="Q5872" i="5"/>
  <c r="S5872" i="5"/>
  <c r="R5873" i="5"/>
  <c r="P5873" i="5"/>
  <c r="Q5873" i="5"/>
  <c r="S5873" i="5"/>
  <c r="R5874" i="5"/>
  <c r="P5874" i="5"/>
  <c r="Q5874" i="5"/>
  <c r="S5874" i="5"/>
  <c r="P5875" i="5"/>
  <c r="Q5875" i="5"/>
  <c r="R5876" i="5"/>
  <c r="P5876" i="5"/>
  <c r="Q5876" i="5"/>
  <c r="S5876" i="5"/>
  <c r="R5877" i="5"/>
  <c r="P5877" i="5"/>
  <c r="Q5877" i="5"/>
  <c r="S5877" i="5"/>
  <c r="R5878" i="5"/>
  <c r="P5878" i="5"/>
  <c r="Q5878" i="5"/>
  <c r="S5878" i="5"/>
  <c r="P5879" i="5"/>
  <c r="Q5879" i="5"/>
  <c r="P5880" i="5"/>
  <c r="Q5880" i="5"/>
  <c r="R5880" i="5"/>
  <c r="S5880" i="5"/>
  <c r="R5881" i="5"/>
  <c r="P5881" i="5"/>
  <c r="Q5881" i="5"/>
  <c r="S5881" i="5"/>
  <c r="R5882" i="5"/>
  <c r="P5882" i="5"/>
  <c r="Q5882" i="5"/>
  <c r="S5882" i="5"/>
  <c r="P5883" i="5"/>
  <c r="Q5883" i="5"/>
  <c r="P5884" i="5"/>
  <c r="Q5884" i="5"/>
  <c r="R5884" i="5"/>
  <c r="S5884" i="5"/>
  <c r="R5885" i="5"/>
  <c r="P5885" i="5"/>
  <c r="Q5885" i="5"/>
  <c r="S5885" i="5"/>
  <c r="P5886" i="5"/>
  <c r="Q5886" i="5"/>
  <c r="R5886" i="5"/>
  <c r="S5886" i="5"/>
  <c r="P5887" i="5"/>
  <c r="Q5887" i="5"/>
  <c r="R5888" i="5"/>
  <c r="P5888" i="5"/>
  <c r="Q5888" i="5"/>
  <c r="S5888" i="5"/>
  <c r="P5889" i="5"/>
  <c r="Q5889" i="5"/>
  <c r="R5889" i="5"/>
  <c r="S5889" i="5"/>
  <c r="R5890" i="5"/>
  <c r="P5890" i="5"/>
  <c r="Q5890" i="5"/>
  <c r="S5890" i="5"/>
  <c r="P5891" i="5"/>
  <c r="Q5891" i="5"/>
  <c r="R5892" i="5"/>
  <c r="P5892" i="5"/>
  <c r="Q5892" i="5"/>
  <c r="S5892" i="5"/>
  <c r="R5893" i="5"/>
  <c r="P5893" i="5"/>
  <c r="Q5893" i="5"/>
  <c r="S5893" i="5"/>
  <c r="R5894" i="5"/>
  <c r="P5894" i="5"/>
  <c r="Q5894" i="5"/>
  <c r="S5894" i="5"/>
  <c r="P5895" i="5"/>
  <c r="Q5895" i="5"/>
  <c r="P5896" i="5"/>
  <c r="Q5896" i="5"/>
  <c r="R5896" i="5"/>
  <c r="S5896" i="5"/>
  <c r="R5897" i="5"/>
  <c r="P5897" i="5"/>
  <c r="Q5897" i="5"/>
  <c r="S5897" i="5"/>
  <c r="R5898" i="5"/>
  <c r="P5898" i="5"/>
  <c r="Q5898" i="5"/>
  <c r="S5898" i="5"/>
  <c r="P5899" i="5"/>
  <c r="Q5899" i="5"/>
  <c r="R5900" i="5"/>
  <c r="P5900" i="5"/>
  <c r="Q5900" i="5"/>
  <c r="S5900" i="5"/>
  <c r="R5901" i="5"/>
  <c r="P5901" i="5"/>
  <c r="Q5901" i="5"/>
  <c r="S5901" i="5"/>
  <c r="R5902" i="5"/>
  <c r="P5902" i="5"/>
  <c r="Q5902" i="5"/>
  <c r="S5902" i="5"/>
  <c r="P5903" i="5"/>
  <c r="Q5903" i="5"/>
  <c r="R5904" i="5"/>
  <c r="P5904" i="5"/>
  <c r="Q5904" i="5"/>
  <c r="S5904" i="5"/>
  <c r="R5905" i="5"/>
  <c r="P5905" i="5"/>
  <c r="Q5905" i="5"/>
  <c r="S5905" i="5"/>
  <c r="R5906" i="5"/>
  <c r="P5906" i="5"/>
  <c r="Q5906" i="5"/>
  <c r="S5906" i="5"/>
  <c r="P5907" i="5"/>
  <c r="Q5907" i="5"/>
  <c r="P5908" i="5"/>
  <c r="Q5908" i="5"/>
  <c r="R5908" i="5"/>
  <c r="S5908" i="5"/>
  <c r="R5909" i="5"/>
  <c r="P5909" i="5"/>
  <c r="Q5909" i="5"/>
  <c r="S5909" i="5"/>
  <c r="R5910" i="5"/>
  <c r="P5910" i="5"/>
  <c r="Q5910" i="5"/>
  <c r="S5910" i="5"/>
  <c r="P5911" i="5"/>
  <c r="Q5911" i="5"/>
  <c r="R5912" i="5"/>
  <c r="P5912" i="5"/>
  <c r="Q5912" i="5"/>
  <c r="S5912" i="5"/>
  <c r="P5913" i="5"/>
  <c r="Q5913" i="5"/>
  <c r="R5913" i="5"/>
  <c r="S5913" i="5"/>
  <c r="R5914" i="5"/>
  <c r="P5914" i="5"/>
  <c r="Q5914" i="5"/>
  <c r="S5914" i="5"/>
  <c r="P5915" i="5"/>
  <c r="Q5915" i="5"/>
  <c r="P5916" i="5"/>
  <c r="Q5916" i="5"/>
  <c r="R5916" i="5"/>
  <c r="S5916" i="5"/>
  <c r="R5917" i="5"/>
  <c r="P5917" i="5"/>
  <c r="Q5917" i="5"/>
  <c r="S5917" i="5"/>
  <c r="P5918" i="5"/>
  <c r="Q5918" i="5"/>
  <c r="R5918" i="5"/>
  <c r="S5918" i="5"/>
  <c r="P5919" i="5"/>
  <c r="Q5919" i="5"/>
  <c r="P5920" i="5"/>
  <c r="Q5920" i="5"/>
  <c r="R5920" i="5"/>
  <c r="S5920" i="5"/>
  <c r="R5921" i="5"/>
  <c r="P5921" i="5"/>
  <c r="Q5921" i="5"/>
  <c r="S5921" i="5"/>
  <c r="R5922" i="5"/>
  <c r="P5922" i="5"/>
  <c r="Q5922" i="5"/>
  <c r="S5922" i="5"/>
  <c r="P5923" i="5"/>
  <c r="Q5923" i="5"/>
  <c r="R5924" i="5"/>
  <c r="P5924" i="5"/>
  <c r="Q5924" i="5"/>
  <c r="S5924" i="5"/>
  <c r="R5925" i="5"/>
  <c r="P5925" i="5"/>
  <c r="Q5925" i="5"/>
  <c r="S5925" i="5"/>
  <c r="R5926" i="5"/>
  <c r="P5926" i="5"/>
  <c r="Q5926" i="5"/>
  <c r="S5926" i="5"/>
  <c r="P5927" i="5"/>
  <c r="Q5927" i="5"/>
  <c r="R5928" i="5"/>
  <c r="P5928" i="5"/>
  <c r="Q5928" i="5"/>
  <c r="S5928" i="5"/>
  <c r="R5929" i="5"/>
  <c r="P5929" i="5"/>
  <c r="Q5929" i="5"/>
  <c r="S5929" i="5"/>
  <c r="R5930" i="5"/>
  <c r="P5930" i="5"/>
  <c r="Q5930" i="5"/>
  <c r="S5930" i="5"/>
  <c r="P5931" i="5"/>
  <c r="Q5931" i="5"/>
  <c r="P5932" i="5"/>
  <c r="Q5932" i="5"/>
  <c r="R5932" i="5"/>
  <c r="S5932" i="5"/>
  <c r="R5933" i="5"/>
  <c r="P5933" i="5"/>
  <c r="Q5933" i="5"/>
  <c r="S5933" i="5"/>
  <c r="R5934" i="5"/>
  <c r="P5934" i="5"/>
  <c r="Q5934" i="5"/>
  <c r="S5934" i="5"/>
  <c r="P5935" i="5"/>
  <c r="Q5935" i="5"/>
  <c r="R5936" i="5"/>
  <c r="P5936" i="5"/>
  <c r="Q5936" i="5"/>
  <c r="S5936" i="5"/>
  <c r="R5937" i="5"/>
  <c r="P5937" i="5"/>
  <c r="Q5937" i="5"/>
  <c r="S5937" i="5"/>
  <c r="R5938" i="5"/>
  <c r="P5938" i="5"/>
  <c r="Q5938" i="5"/>
  <c r="S5938" i="5"/>
  <c r="P5939" i="5"/>
  <c r="Q5939" i="5"/>
  <c r="R5940" i="5"/>
  <c r="P5940" i="5"/>
  <c r="Q5940" i="5"/>
  <c r="S5940" i="5"/>
  <c r="R5941" i="5"/>
  <c r="P5941" i="5"/>
  <c r="Q5941" i="5"/>
  <c r="S5941" i="5"/>
  <c r="P5942" i="5"/>
  <c r="Q5942" i="5"/>
  <c r="R5942" i="5"/>
  <c r="S5942" i="5"/>
  <c r="P5943" i="5"/>
  <c r="Q5943" i="5"/>
  <c r="R5944" i="5"/>
  <c r="P5944" i="5"/>
  <c r="Q5944" i="5"/>
  <c r="S5944" i="5"/>
  <c r="R5945" i="5"/>
  <c r="P5945" i="5"/>
  <c r="Q5945" i="5"/>
  <c r="S5945" i="5"/>
  <c r="R5946" i="5"/>
  <c r="P5946" i="5"/>
  <c r="Q5946" i="5"/>
  <c r="S5946" i="5"/>
  <c r="P5947" i="5"/>
  <c r="Q5947" i="5"/>
  <c r="R5948" i="5"/>
  <c r="P5948" i="5"/>
  <c r="Q5948" i="5"/>
  <c r="S5948" i="5"/>
  <c r="R5949" i="5"/>
  <c r="P5949" i="5"/>
  <c r="Q5949" i="5"/>
  <c r="S5949" i="5"/>
  <c r="R5950" i="5"/>
  <c r="P5950" i="5"/>
  <c r="Q5950" i="5"/>
  <c r="S5950" i="5"/>
  <c r="P5951" i="5"/>
  <c r="Q5951" i="5"/>
  <c r="R5952" i="5"/>
  <c r="P5952" i="5"/>
  <c r="Q5952" i="5"/>
  <c r="S5952" i="5"/>
  <c r="P5953" i="5"/>
  <c r="Q5953" i="5"/>
  <c r="R5953" i="5"/>
  <c r="S5953" i="5"/>
  <c r="R5954" i="5"/>
  <c r="P5954" i="5"/>
  <c r="Q5954" i="5"/>
  <c r="S5954" i="5"/>
  <c r="P5955" i="5"/>
  <c r="Q5955" i="5"/>
  <c r="R5956" i="5"/>
  <c r="P5956" i="5"/>
  <c r="Q5956" i="5"/>
  <c r="S5956" i="5"/>
  <c r="R5957" i="5"/>
  <c r="P5957" i="5"/>
  <c r="Q5957" i="5"/>
  <c r="S5957" i="5"/>
  <c r="R5958" i="5"/>
  <c r="P5958" i="5"/>
  <c r="Q5958" i="5"/>
  <c r="S5958" i="5"/>
  <c r="P5959" i="5"/>
  <c r="Q5959" i="5"/>
  <c r="R5960" i="5"/>
  <c r="P5960" i="5"/>
  <c r="Q5960" i="5"/>
  <c r="S5960" i="5"/>
  <c r="R5961" i="5"/>
  <c r="P5961" i="5"/>
  <c r="Q5961" i="5"/>
  <c r="S5961" i="5"/>
  <c r="R5962" i="5"/>
  <c r="P5962" i="5"/>
  <c r="Q5962" i="5"/>
  <c r="S5962" i="5"/>
  <c r="P5963" i="5"/>
  <c r="Q5963" i="5"/>
  <c r="R5964" i="5"/>
  <c r="P5964" i="5"/>
  <c r="Q5964" i="5"/>
  <c r="S5964" i="5"/>
  <c r="R5965" i="5"/>
  <c r="P5965" i="5"/>
  <c r="Q5965" i="5"/>
  <c r="S5965" i="5"/>
  <c r="R5966" i="5"/>
  <c r="P5966" i="5"/>
  <c r="Q5966" i="5"/>
  <c r="S5966" i="5"/>
  <c r="P5967" i="5"/>
  <c r="Q5967" i="5"/>
  <c r="R5968" i="5"/>
  <c r="P5968" i="5"/>
  <c r="Q5968" i="5"/>
  <c r="S5968" i="5"/>
  <c r="R5969" i="5"/>
  <c r="P5969" i="5"/>
  <c r="Q5969" i="5"/>
  <c r="S5969" i="5"/>
  <c r="R5970" i="5"/>
  <c r="P5970" i="5"/>
  <c r="Q5970" i="5"/>
  <c r="S5970" i="5"/>
  <c r="P5971" i="5"/>
  <c r="Q5971" i="5"/>
  <c r="P5972" i="5"/>
  <c r="Q5972" i="5"/>
  <c r="R5972" i="5"/>
  <c r="S5972" i="5"/>
  <c r="R5973" i="5"/>
  <c r="P5973" i="5"/>
  <c r="Q5973" i="5"/>
  <c r="S5973" i="5"/>
  <c r="R5974" i="5"/>
  <c r="P5974" i="5"/>
  <c r="Q5974" i="5"/>
  <c r="S5974" i="5"/>
  <c r="P5975" i="5"/>
  <c r="Q5975" i="5"/>
  <c r="R5976" i="5"/>
  <c r="P5976" i="5"/>
  <c r="Q5976" i="5"/>
  <c r="S5976" i="5"/>
  <c r="R5977" i="5"/>
  <c r="P5977" i="5"/>
  <c r="Q5977" i="5"/>
  <c r="S5977" i="5"/>
  <c r="R5978" i="5"/>
  <c r="P5978" i="5"/>
  <c r="Q5978" i="5"/>
  <c r="S5978" i="5"/>
  <c r="P5979" i="5"/>
  <c r="Q5979" i="5"/>
  <c r="R5980" i="5"/>
  <c r="P5980" i="5"/>
  <c r="Q5980" i="5"/>
  <c r="S5980" i="5"/>
  <c r="R5981" i="5"/>
  <c r="P5981" i="5"/>
  <c r="Q5981" i="5"/>
  <c r="S5981" i="5"/>
  <c r="R5982" i="5"/>
  <c r="P5982" i="5"/>
  <c r="Q5982" i="5"/>
  <c r="S5982" i="5"/>
  <c r="P5983" i="5"/>
  <c r="Q5983" i="5"/>
  <c r="R5984" i="5"/>
  <c r="P5984" i="5"/>
  <c r="Q5984" i="5"/>
  <c r="S5984" i="5"/>
  <c r="R5985" i="5"/>
  <c r="P5985" i="5"/>
  <c r="Q5985" i="5"/>
  <c r="S5985" i="5"/>
  <c r="R5986" i="5"/>
  <c r="P5986" i="5"/>
  <c r="Q5986" i="5"/>
  <c r="S5986" i="5"/>
  <c r="P5987" i="5"/>
  <c r="Q5987" i="5"/>
  <c r="P5988" i="5"/>
  <c r="Q5988" i="5"/>
  <c r="R5988" i="5"/>
  <c r="S5988" i="5"/>
  <c r="R5989" i="5"/>
  <c r="P5989" i="5"/>
  <c r="Q5989" i="5"/>
  <c r="S5989" i="5"/>
  <c r="R5990" i="5"/>
  <c r="P5990" i="5"/>
  <c r="Q5990" i="5"/>
  <c r="S5990" i="5"/>
  <c r="P5991" i="5"/>
  <c r="Q5991" i="5"/>
  <c r="R5992" i="5"/>
  <c r="P5992" i="5"/>
  <c r="Q5992" i="5"/>
  <c r="S5992" i="5"/>
  <c r="P5993" i="5"/>
  <c r="Q5993" i="5"/>
  <c r="R5993" i="5"/>
  <c r="S5993" i="5"/>
  <c r="R5994" i="5"/>
  <c r="P5994" i="5"/>
  <c r="Q5994" i="5"/>
  <c r="S5994" i="5"/>
  <c r="P5995" i="5"/>
  <c r="Q5995" i="5"/>
  <c r="P5996" i="5"/>
  <c r="Q5996" i="5"/>
  <c r="R5996" i="5"/>
  <c r="S5996" i="5"/>
  <c r="R5997" i="5"/>
  <c r="P5997" i="5"/>
  <c r="Q5997" i="5"/>
  <c r="S5997" i="5"/>
  <c r="R5998" i="5"/>
  <c r="P5998" i="5"/>
  <c r="Q5998" i="5"/>
  <c r="S5998" i="5"/>
  <c r="P5999" i="5"/>
  <c r="Q5999" i="5"/>
  <c r="R6000" i="5"/>
  <c r="P6000" i="5"/>
  <c r="Q6000" i="5"/>
  <c r="S6000" i="5"/>
  <c r="R6001" i="5"/>
  <c r="P6001" i="5"/>
  <c r="Q6001" i="5"/>
  <c r="S6001" i="5"/>
  <c r="R6002" i="5"/>
  <c r="P6002" i="5"/>
  <c r="Q6002" i="5"/>
  <c r="S6002" i="5"/>
  <c r="P6003" i="5"/>
  <c r="Q6003" i="5"/>
  <c r="R6004" i="5"/>
  <c r="P6004" i="5"/>
  <c r="Q6004" i="5"/>
  <c r="S6004" i="5"/>
  <c r="R6005" i="5"/>
  <c r="P6005" i="5"/>
  <c r="Q6005" i="5"/>
  <c r="S6005" i="5"/>
  <c r="P6006" i="5"/>
  <c r="Q6006" i="5"/>
  <c r="R6006" i="5"/>
  <c r="S6006" i="5"/>
  <c r="P6007" i="5"/>
  <c r="Q6007" i="5"/>
  <c r="R6008" i="5"/>
  <c r="P6008" i="5"/>
  <c r="Q6008" i="5"/>
  <c r="S6008" i="5"/>
  <c r="P6009" i="5"/>
  <c r="Q6009" i="5"/>
  <c r="R6009" i="5"/>
  <c r="S6009" i="5"/>
  <c r="R6010" i="5"/>
  <c r="P6010" i="5"/>
  <c r="Q6010" i="5"/>
  <c r="S6010" i="5"/>
  <c r="P6011" i="5"/>
  <c r="Q6011" i="5"/>
  <c r="R6012" i="5"/>
  <c r="P6012" i="5"/>
  <c r="Q6012" i="5"/>
  <c r="S6012" i="5"/>
  <c r="R6013" i="5"/>
  <c r="P6013" i="5"/>
  <c r="Q6013" i="5"/>
  <c r="S6013" i="5"/>
  <c r="P6014" i="5"/>
  <c r="Q6014" i="5"/>
  <c r="R6014" i="5"/>
  <c r="S6014" i="5"/>
  <c r="P6015" i="5"/>
  <c r="Q6015" i="5"/>
  <c r="R6016" i="5"/>
  <c r="P6016" i="5"/>
  <c r="Q6016" i="5"/>
  <c r="S6016" i="5"/>
  <c r="R6017" i="5"/>
  <c r="P6017" i="5"/>
  <c r="Q6017" i="5"/>
  <c r="S6017" i="5"/>
  <c r="R6018" i="5"/>
  <c r="P6018" i="5"/>
  <c r="Q6018" i="5"/>
  <c r="S6018" i="5"/>
  <c r="P6019" i="5"/>
  <c r="Q6019" i="5"/>
  <c r="R6020" i="5"/>
  <c r="P6020" i="5"/>
  <c r="Q6020" i="5"/>
  <c r="S6020" i="5"/>
  <c r="R6021" i="5"/>
  <c r="P6021" i="5"/>
  <c r="Q6021" i="5"/>
  <c r="S6021" i="5"/>
  <c r="R6022" i="5"/>
  <c r="P6022" i="5"/>
  <c r="Q6022" i="5"/>
  <c r="S6022" i="5"/>
  <c r="P6023" i="5"/>
  <c r="Q6023" i="5"/>
  <c r="R6024" i="5"/>
  <c r="P6024" i="5"/>
  <c r="Q6024" i="5"/>
  <c r="S6024" i="5"/>
  <c r="R6025" i="5"/>
  <c r="P6025" i="5"/>
  <c r="Q6025" i="5"/>
  <c r="S6025" i="5"/>
  <c r="R6026" i="5"/>
  <c r="P6026" i="5"/>
  <c r="Q6026" i="5"/>
  <c r="S6026" i="5"/>
  <c r="P6027" i="5"/>
  <c r="Q6027" i="5"/>
  <c r="R6028" i="5"/>
  <c r="P6028" i="5"/>
  <c r="Q6028" i="5"/>
  <c r="S6028" i="5"/>
  <c r="R6029" i="5"/>
  <c r="P6029" i="5"/>
  <c r="Q6029" i="5"/>
  <c r="S6029" i="5"/>
  <c r="P6030" i="5"/>
  <c r="Q6030" i="5"/>
  <c r="R6030" i="5"/>
  <c r="S6030" i="5"/>
  <c r="P6031" i="5"/>
  <c r="Q6031" i="5"/>
  <c r="R6032" i="5"/>
  <c r="P6032" i="5"/>
  <c r="Q6032" i="5"/>
  <c r="S6032" i="5"/>
  <c r="P6033" i="5"/>
  <c r="Q6033" i="5"/>
  <c r="R6033" i="5"/>
  <c r="S6033" i="5"/>
  <c r="R6034" i="5"/>
  <c r="P6034" i="5"/>
  <c r="Q6034" i="5"/>
  <c r="S6034" i="5"/>
  <c r="P6035" i="5"/>
  <c r="Q6035" i="5"/>
  <c r="R6036" i="5"/>
  <c r="P6036" i="5"/>
  <c r="Q6036" i="5"/>
  <c r="S6036" i="5"/>
  <c r="R6037" i="5"/>
  <c r="P6037" i="5"/>
  <c r="Q6037" i="5"/>
  <c r="S6037" i="5"/>
  <c r="R6038" i="5"/>
  <c r="P6038" i="5"/>
  <c r="Q6038" i="5"/>
  <c r="S6038" i="5"/>
  <c r="P6039" i="5"/>
  <c r="Q6039" i="5"/>
  <c r="R6040" i="5"/>
  <c r="P6040" i="5"/>
  <c r="Q6040" i="5"/>
  <c r="S6040" i="5"/>
  <c r="P6041" i="5"/>
  <c r="Q6041" i="5"/>
  <c r="R6041" i="5"/>
  <c r="S6041" i="5"/>
  <c r="R6042" i="5"/>
  <c r="P6042" i="5"/>
  <c r="Q6042" i="5"/>
  <c r="S6042" i="5"/>
  <c r="P6043" i="5"/>
  <c r="Q6043" i="5"/>
  <c r="R6044" i="5"/>
  <c r="P6044" i="5"/>
  <c r="Q6044" i="5"/>
  <c r="S6044" i="5"/>
  <c r="R6045" i="5"/>
  <c r="P6045" i="5"/>
  <c r="Q6045" i="5"/>
  <c r="S6045" i="5"/>
  <c r="R6046" i="5"/>
  <c r="P6046" i="5"/>
  <c r="Q6046" i="5"/>
  <c r="S6046" i="5"/>
  <c r="P6047" i="5"/>
  <c r="Q6047" i="5"/>
  <c r="R6048" i="5"/>
  <c r="P6048" i="5"/>
  <c r="Q6048" i="5"/>
  <c r="S6048" i="5"/>
  <c r="R6049" i="5"/>
  <c r="P6049" i="5"/>
  <c r="Q6049" i="5"/>
  <c r="S6049" i="5"/>
  <c r="R6050" i="5"/>
  <c r="P6050" i="5"/>
  <c r="Q6050" i="5"/>
  <c r="S6050" i="5"/>
  <c r="P6051" i="5"/>
  <c r="Q6051" i="5"/>
  <c r="P6052" i="5"/>
  <c r="Q6052" i="5"/>
  <c r="R6052" i="5"/>
  <c r="S6052" i="5"/>
  <c r="R6053" i="5"/>
  <c r="P6053" i="5"/>
  <c r="Q6053" i="5"/>
  <c r="S6053" i="5"/>
  <c r="R6054" i="5"/>
  <c r="P6054" i="5"/>
  <c r="Q6054" i="5"/>
  <c r="S6054" i="5"/>
  <c r="P6055" i="5"/>
  <c r="Q6055" i="5"/>
  <c r="R6056" i="5"/>
  <c r="P6056" i="5"/>
  <c r="Q6056" i="5"/>
  <c r="S6056" i="5"/>
  <c r="R6057" i="5"/>
  <c r="P6057" i="5"/>
  <c r="Q6057" i="5"/>
  <c r="S6057" i="5"/>
  <c r="R6058" i="5"/>
  <c r="P6058" i="5"/>
  <c r="Q6058" i="5"/>
  <c r="S6058" i="5"/>
  <c r="P6059" i="5"/>
  <c r="Q6059" i="5"/>
  <c r="R6060" i="5"/>
  <c r="P6060" i="5"/>
  <c r="Q6060" i="5"/>
  <c r="S6060" i="5"/>
  <c r="R6061" i="5"/>
  <c r="P6061" i="5"/>
  <c r="Q6061" i="5"/>
  <c r="S6061" i="5"/>
  <c r="R6062" i="5"/>
  <c r="P6062" i="5"/>
  <c r="Q6062" i="5"/>
  <c r="S6062" i="5"/>
  <c r="P6063" i="5"/>
  <c r="Q6063" i="5"/>
  <c r="R6064" i="5"/>
  <c r="P6064" i="5"/>
  <c r="Q6064" i="5"/>
  <c r="S6064" i="5"/>
  <c r="R6065" i="5"/>
  <c r="P6065" i="5"/>
  <c r="Q6065" i="5"/>
  <c r="S6065" i="5"/>
  <c r="R6066" i="5"/>
  <c r="P6066" i="5"/>
  <c r="Q6066" i="5"/>
  <c r="S6066" i="5"/>
  <c r="P6067" i="5"/>
  <c r="Q6067" i="5"/>
  <c r="P6068" i="5"/>
  <c r="Q6068" i="5"/>
  <c r="R6068" i="5"/>
  <c r="S6068" i="5"/>
  <c r="R6069" i="5"/>
  <c r="P6069" i="5"/>
  <c r="Q6069" i="5"/>
  <c r="S6069" i="5"/>
  <c r="R6070" i="5"/>
  <c r="P6070" i="5"/>
  <c r="Q6070" i="5"/>
  <c r="S6070" i="5"/>
  <c r="P6071" i="5"/>
  <c r="Q6071" i="5"/>
  <c r="R6072" i="5"/>
  <c r="P6072" i="5"/>
  <c r="Q6072" i="5"/>
  <c r="S6072" i="5"/>
  <c r="R6073" i="5"/>
  <c r="P6073" i="5"/>
  <c r="Q6073" i="5"/>
  <c r="S6073" i="5"/>
  <c r="R6074" i="5"/>
  <c r="P6074" i="5"/>
  <c r="Q6074" i="5"/>
  <c r="S6074" i="5"/>
  <c r="P6075" i="5"/>
  <c r="Q6075" i="5"/>
  <c r="R6076" i="5"/>
  <c r="P6076" i="5"/>
  <c r="Q6076" i="5"/>
  <c r="S6076" i="5"/>
  <c r="R6077" i="5"/>
  <c r="P6077" i="5"/>
  <c r="Q6077" i="5"/>
  <c r="S6077" i="5"/>
  <c r="R6078" i="5"/>
  <c r="P6078" i="5"/>
  <c r="Q6078" i="5"/>
  <c r="S6078" i="5"/>
  <c r="P6079" i="5"/>
  <c r="Q6079" i="5"/>
  <c r="R6080" i="5"/>
  <c r="P6080" i="5"/>
  <c r="Q6080" i="5"/>
  <c r="S6080" i="5"/>
  <c r="R6081" i="5"/>
  <c r="P6081" i="5"/>
  <c r="Q6081" i="5"/>
  <c r="S6081" i="5"/>
  <c r="R6082" i="5"/>
  <c r="P6082" i="5"/>
  <c r="Q6082" i="5"/>
  <c r="S6082" i="5"/>
  <c r="P6083" i="5"/>
  <c r="Q6083" i="5"/>
  <c r="R6084" i="5"/>
  <c r="P6084" i="5"/>
  <c r="Q6084" i="5"/>
  <c r="S6084" i="5"/>
  <c r="R6085" i="5"/>
  <c r="P6085" i="5"/>
  <c r="Q6085" i="5"/>
  <c r="S6085" i="5"/>
  <c r="R6086" i="5"/>
  <c r="P6086" i="5"/>
  <c r="Q6086" i="5"/>
  <c r="S6086" i="5"/>
  <c r="P6087" i="5"/>
  <c r="Q6087" i="5"/>
  <c r="R6088" i="5"/>
  <c r="P6088" i="5"/>
  <c r="Q6088" i="5"/>
  <c r="S6088" i="5"/>
  <c r="P6089" i="5"/>
  <c r="Q6089" i="5"/>
  <c r="R6089" i="5"/>
  <c r="S6089" i="5"/>
  <c r="R6090" i="5"/>
  <c r="P6090" i="5"/>
  <c r="Q6090" i="5"/>
  <c r="S6090" i="5"/>
  <c r="P6091" i="5"/>
  <c r="Q6091" i="5"/>
  <c r="R6092" i="5"/>
  <c r="P6092" i="5"/>
  <c r="Q6092" i="5"/>
  <c r="S6092" i="5"/>
  <c r="R6093" i="5"/>
  <c r="P6093" i="5"/>
  <c r="Q6093" i="5"/>
  <c r="S6093" i="5"/>
  <c r="R6094" i="5"/>
  <c r="P6094" i="5"/>
  <c r="Q6094" i="5"/>
  <c r="S6094" i="5"/>
  <c r="P6095" i="5"/>
  <c r="Q6095" i="5"/>
  <c r="R6096" i="5"/>
  <c r="P6096" i="5"/>
  <c r="Q6096" i="5"/>
  <c r="S6096" i="5"/>
  <c r="P6097" i="5"/>
  <c r="Q6097" i="5"/>
  <c r="R6097" i="5"/>
  <c r="S6097" i="5"/>
  <c r="R6098" i="5"/>
  <c r="P6098" i="5"/>
  <c r="Q6098" i="5"/>
  <c r="S6098" i="5"/>
  <c r="P6099" i="5"/>
  <c r="Q6099" i="5"/>
  <c r="R6100" i="5"/>
  <c r="P6100" i="5"/>
  <c r="Q6100" i="5"/>
  <c r="S6100" i="5"/>
  <c r="R6101" i="5"/>
  <c r="P6101" i="5"/>
  <c r="Q6101" i="5"/>
  <c r="S6101" i="5"/>
  <c r="R6102" i="5"/>
  <c r="P6102" i="5"/>
  <c r="Q6102" i="5"/>
  <c r="S6102" i="5"/>
  <c r="P6103" i="5"/>
  <c r="Q6103" i="5"/>
  <c r="R6104" i="5"/>
  <c r="P6104" i="5"/>
  <c r="Q6104" i="5"/>
  <c r="S6104" i="5"/>
  <c r="R6105" i="5"/>
  <c r="P6105" i="5"/>
  <c r="Q6105" i="5"/>
  <c r="S6105" i="5"/>
  <c r="R6106" i="5"/>
  <c r="P6106" i="5"/>
  <c r="Q6106" i="5"/>
  <c r="S6106" i="5"/>
  <c r="P6107" i="5"/>
  <c r="Q6107" i="5"/>
  <c r="R6108" i="5"/>
  <c r="P6108" i="5"/>
  <c r="Q6108" i="5"/>
  <c r="S6108" i="5"/>
  <c r="R6109" i="5"/>
  <c r="P6109" i="5"/>
  <c r="Q6109" i="5"/>
  <c r="S6109" i="5"/>
  <c r="P6110" i="5"/>
  <c r="Q6110" i="5"/>
  <c r="R6110" i="5"/>
  <c r="S6110" i="5"/>
  <c r="P6111" i="5"/>
  <c r="Q6111" i="5"/>
  <c r="R6112" i="5"/>
  <c r="P6112" i="5"/>
  <c r="Q6112" i="5"/>
  <c r="S6112" i="5"/>
  <c r="R6113" i="5"/>
  <c r="P6113" i="5"/>
  <c r="Q6113" i="5"/>
  <c r="S6113" i="5"/>
  <c r="R6114" i="5"/>
  <c r="P6114" i="5"/>
  <c r="Q6114" i="5"/>
  <c r="S6114" i="5"/>
  <c r="P6115" i="5"/>
  <c r="Q6115" i="5"/>
  <c r="R6116" i="5"/>
  <c r="P6116" i="5"/>
  <c r="Q6116" i="5"/>
  <c r="S6116" i="5"/>
  <c r="R6117" i="5"/>
  <c r="P6117" i="5"/>
  <c r="Q6117" i="5"/>
  <c r="S6117" i="5"/>
  <c r="R6118" i="5"/>
  <c r="P6118" i="5"/>
  <c r="Q6118" i="5"/>
  <c r="S6118" i="5"/>
  <c r="P6119" i="5"/>
  <c r="Q6119" i="5"/>
  <c r="R6120" i="5"/>
  <c r="P6120" i="5"/>
  <c r="Q6120" i="5"/>
  <c r="S6120" i="5"/>
  <c r="R6121" i="5"/>
  <c r="P6121" i="5"/>
  <c r="Q6121" i="5"/>
  <c r="S6121" i="5"/>
  <c r="R6122" i="5"/>
  <c r="P6122" i="5"/>
  <c r="Q6122" i="5"/>
  <c r="S6122" i="5"/>
  <c r="P6123" i="5"/>
  <c r="Q6123" i="5"/>
  <c r="P6124" i="5"/>
  <c r="Q6124" i="5"/>
  <c r="R6124" i="5"/>
  <c r="S6124" i="5"/>
  <c r="R6125" i="5"/>
  <c r="P6125" i="5"/>
  <c r="Q6125" i="5"/>
  <c r="S6125" i="5"/>
  <c r="R6126" i="5"/>
  <c r="P6126" i="5"/>
  <c r="Q6126" i="5"/>
  <c r="S6126" i="5"/>
  <c r="P6127" i="5"/>
  <c r="Q6127" i="5"/>
  <c r="R6128" i="5"/>
  <c r="P6128" i="5"/>
  <c r="Q6128" i="5"/>
  <c r="S6128" i="5"/>
  <c r="R6129" i="5"/>
  <c r="P6129" i="5"/>
  <c r="Q6129" i="5"/>
  <c r="S6129" i="5"/>
  <c r="R6130" i="5"/>
  <c r="P6130" i="5"/>
  <c r="Q6130" i="5"/>
  <c r="S6130" i="5"/>
  <c r="P6131" i="5"/>
  <c r="Q6131" i="5"/>
  <c r="R6132" i="5"/>
  <c r="P6132" i="5"/>
  <c r="Q6132" i="5"/>
  <c r="S6132" i="5"/>
  <c r="R6133" i="5"/>
  <c r="P6133" i="5"/>
  <c r="Q6133" i="5"/>
  <c r="S6133" i="5"/>
  <c r="P6134" i="5"/>
  <c r="Q6134" i="5"/>
  <c r="R6134" i="5"/>
  <c r="S6134" i="5"/>
  <c r="Q6135" i="5"/>
  <c r="R6136" i="5"/>
  <c r="P6136" i="5"/>
  <c r="Q6136" i="5"/>
  <c r="S6136" i="5"/>
  <c r="P6137" i="5"/>
  <c r="Q6137" i="5"/>
  <c r="R6137" i="5"/>
  <c r="S6137" i="5"/>
  <c r="R6138" i="5"/>
  <c r="P6138" i="5"/>
  <c r="Q6138" i="5"/>
  <c r="S6138" i="5"/>
  <c r="P6139" i="5"/>
  <c r="Q6139" i="5"/>
  <c r="P6140" i="5"/>
  <c r="Q6140" i="5"/>
  <c r="S6140" i="5"/>
  <c r="P6141" i="5"/>
  <c r="Q6141" i="5"/>
  <c r="S6141" i="5"/>
  <c r="P6142" i="5"/>
  <c r="Q6142" i="5"/>
  <c r="S6142" i="5"/>
  <c r="P6143" i="5"/>
  <c r="Q6143" i="5"/>
  <c r="S6143" i="5"/>
  <c r="R6144" i="5"/>
  <c r="P6144" i="5"/>
  <c r="Q6144" i="5"/>
  <c r="S6144" i="5"/>
  <c r="R6145" i="5"/>
  <c r="P6145" i="5"/>
  <c r="Q6145" i="5"/>
  <c r="S6145" i="5"/>
  <c r="R6146" i="5"/>
  <c r="P6146" i="5"/>
  <c r="Q6146" i="5"/>
  <c r="S6146" i="5"/>
  <c r="P6147" i="5"/>
  <c r="Q6147" i="5"/>
  <c r="R6148" i="5"/>
  <c r="P6148" i="5"/>
  <c r="Q6148" i="5"/>
  <c r="S6148" i="5"/>
  <c r="R6149" i="5"/>
  <c r="P6149" i="5"/>
  <c r="Q6149" i="5"/>
  <c r="S6149" i="5"/>
  <c r="R6150" i="5"/>
  <c r="P6150" i="5"/>
  <c r="Q6150" i="5"/>
  <c r="S6150" i="5"/>
  <c r="P6151" i="5"/>
  <c r="Q6151" i="5"/>
  <c r="R6152" i="5"/>
  <c r="P6152" i="5"/>
  <c r="Q6152" i="5"/>
  <c r="S6152" i="5"/>
  <c r="R6153" i="5"/>
  <c r="P6153" i="5"/>
  <c r="Q6153" i="5"/>
  <c r="S6153" i="5"/>
  <c r="R6154" i="5"/>
  <c r="P6154" i="5"/>
  <c r="Q6154" i="5"/>
  <c r="S6154" i="5"/>
  <c r="P6155" i="5"/>
  <c r="Q6155" i="5"/>
  <c r="R6156" i="5"/>
  <c r="P6156" i="5"/>
  <c r="Q6156" i="5"/>
  <c r="S6156" i="5"/>
  <c r="R6157" i="5"/>
  <c r="P6157" i="5"/>
  <c r="Q6157" i="5"/>
  <c r="S6157" i="5"/>
  <c r="P6158" i="5"/>
  <c r="Q6158" i="5"/>
  <c r="R6158" i="5"/>
  <c r="S6158" i="5"/>
  <c r="Q6159" i="5"/>
  <c r="Q6160" i="5"/>
  <c r="S6160" i="5"/>
  <c r="P6161" i="5"/>
  <c r="Q6161" i="5"/>
  <c r="R6161" i="5"/>
  <c r="S6161" i="5"/>
  <c r="R6162" i="5"/>
  <c r="P6162" i="5"/>
  <c r="Q6162" i="5"/>
  <c r="S6162" i="5"/>
  <c r="P6163" i="5"/>
  <c r="Q6163" i="5"/>
  <c r="S6163" i="5"/>
  <c r="P6164" i="5"/>
  <c r="Q6164" i="5"/>
  <c r="S6164" i="5"/>
  <c r="P6165" i="5"/>
  <c r="Q6165" i="5"/>
  <c r="S6165" i="5"/>
  <c r="R6166" i="5"/>
  <c r="Q6166" i="5"/>
  <c r="S6166" i="5"/>
  <c r="R6167" i="5"/>
  <c r="P6167" i="5"/>
  <c r="Q6167" i="5"/>
  <c r="S6167" i="5"/>
  <c r="R6168" i="5"/>
  <c r="P6168" i="5"/>
  <c r="Q6168" i="5"/>
  <c r="S6168" i="5"/>
  <c r="P6169" i="5"/>
  <c r="Q6169" i="5"/>
  <c r="R6169" i="5"/>
  <c r="S6169" i="5"/>
  <c r="P6170" i="5"/>
  <c r="Q6170" i="5"/>
  <c r="P6171" i="5"/>
  <c r="Q6171" i="5"/>
  <c r="S6171" i="5"/>
  <c r="R6172" i="5"/>
  <c r="P6172" i="5"/>
  <c r="Q6172" i="5"/>
  <c r="S6172" i="5"/>
  <c r="R6173" i="5"/>
  <c r="P6173" i="5"/>
  <c r="Q6173" i="5"/>
  <c r="S6173" i="5"/>
  <c r="P6174" i="5"/>
  <c r="Q6174" i="5"/>
  <c r="S6174" i="5"/>
  <c r="P6175" i="5"/>
  <c r="Q6175" i="5"/>
  <c r="S6175" i="5"/>
  <c r="P6176" i="5"/>
  <c r="Q6176" i="5"/>
  <c r="S6176" i="5"/>
  <c r="R6177" i="5"/>
  <c r="Q6177" i="5"/>
  <c r="S6177" i="5"/>
  <c r="R6178" i="5"/>
  <c r="P6178" i="5"/>
  <c r="Q6178" i="5"/>
  <c r="S6178" i="5"/>
  <c r="R6179" i="5"/>
  <c r="P6179" i="5"/>
  <c r="Q6179" i="5"/>
  <c r="S6179" i="5"/>
  <c r="P6180" i="5"/>
  <c r="Q6180" i="5"/>
  <c r="R6180" i="5"/>
  <c r="S6180" i="5"/>
  <c r="P6181" i="5"/>
  <c r="Q6181" i="5"/>
  <c r="P6182" i="5"/>
  <c r="Q6182" i="5"/>
  <c r="S6182" i="5"/>
  <c r="P6183" i="5"/>
  <c r="Q6183" i="5"/>
  <c r="S6183" i="5"/>
  <c r="P6184" i="5"/>
  <c r="Q6184" i="5"/>
  <c r="S6184" i="5"/>
  <c r="R6185" i="5"/>
  <c r="P6185" i="5"/>
  <c r="Q6185" i="5"/>
  <c r="S6185" i="5"/>
  <c r="R6186" i="5"/>
  <c r="P6186" i="5"/>
  <c r="Q6186" i="5"/>
  <c r="S6186" i="5"/>
  <c r="R6187" i="5"/>
  <c r="P6187" i="5"/>
  <c r="Q6187" i="5"/>
  <c r="S6187" i="5"/>
  <c r="P6188" i="5"/>
  <c r="Q6188" i="5"/>
  <c r="P6189" i="5"/>
  <c r="Q6189" i="5"/>
  <c r="S6189" i="5"/>
  <c r="R6190" i="5"/>
  <c r="P6190" i="5"/>
  <c r="Q6190" i="5"/>
  <c r="S6190" i="5"/>
  <c r="P6191" i="5"/>
  <c r="Q6191" i="5"/>
  <c r="R6191" i="5"/>
  <c r="S6191" i="5"/>
  <c r="R6192" i="5"/>
  <c r="P6192" i="5"/>
  <c r="Q6192" i="5"/>
  <c r="S6192" i="5"/>
  <c r="P6193" i="5"/>
  <c r="Q6193" i="5"/>
  <c r="P6194" i="5"/>
  <c r="Q6194" i="5"/>
  <c r="S6194" i="5"/>
  <c r="R6195" i="5"/>
  <c r="P6195" i="5"/>
  <c r="Q6195" i="5"/>
  <c r="S6195" i="5"/>
  <c r="P6196" i="5"/>
  <c r="Q6196" i="5"/>
  <c r="R6196" i="5"/>
  <c r="S6196" i="5"/>
  <c r="R6197" i="5"/>
  <c r="P6197" i="5"/>
  <c r="Q6197" i="5"/>
  <c r="S6197" i="5"/>
  <c r="P6198" i="5"/>
  <c r="Q6198" i="5"/>
  <c r="P6199" i="5"/>
  <c r="Q6199" i="5"/>
  <c r="S6199" i="5"/>
  <c r="R6200" i="5"/>
  <c r="Q6200" i="5"/>
  <c r="S6200" i="5"/>
  <c r="R6201" i="5"/>
  <c r="P6201" i="5"/>
  <c r="Q6201" i="5"/>
  <c r="S6201" i="5"/>
  <c r="R6202" i="5"/>
  <c r="P6202" i="5"/>
  <c r="Q6202" i="5"/>
  <c r="S6202" i="5"/>
  <c r="P6203" i="5"/>
  <c r="Q6203" i="5"/>
  <c r="R6203" i="5"/>
  <c r="S6203" i="5"/>
  <c r="R6204" i="5"/>
  <c r="P6204" i="5"/>
  <c r="Q6204" i="5"/>
  <c r="S6204" i="5"/>
  <c r="R6205" i="5"/>
  <c r="P6205" i="5"/>
  <c r="Q6205" i="5"/>
  <c r="S6205" i="5"/>
  <c r="P6206" i="5"/>
  <c r="Q6206" i="5"/>
  <c r="P6207" i="5"/>
  <c r="Q6207" i="5"/>
  <c r="S6207" i="5"/>
  <c r="P6208" i="5"/>
  <c r="Q6208" i="5"/>
  <c r="S6208" i="5"/>
  <c r="P6209" i="5"/>
  <c r="Q6209" i="5"/>
  <c r="S6209" i="5"/>
  <c r="P6210" i="5"/>
  <c r="Q6210" i="5"/>
  <c r="S6210" i="5"/>
  <c r="R6211" i="5"/>
  <c r="P6211" i="5"/>
  <c r="Q6211" i="5"/>
  <c r="S6211" i="5"/>
  <c r="R6212" i="5"/>
  <c r="P6212" i="5"/>
  <c r="Q6212" i="5"/>
  <c r="S6212" i="5"/>
  <c r="R6213" i="5"/>
  <c r="P6213" i="5"/>
  <c r="Q6213" i="5"/>
  <c r="S6213" i="5"/>
  <c r="P6214" i="5"/>
  <c r="Q6214" i="5"/>
  <c r="P6215" i="5"/>
  <c r="Q6215" i="5"/>
  <c r="S6215" i="5"/>
  <c r="P6216" i="5"/>
  <c r="Q6216" i="5"/>
  <c r="S6216" i="5"/>
  <c r="P6217" i="5"/>
  <c r="Q6217" i="5"/>
  <c r="S6217" i="5"/>
  <c r="P6218" i="5"/>
  <c r="Q6218" i="5"/>
  <c r="S6218" i="5"/>
  <c r="P6219" i="5"/>
  <c r="Q6219" i="5"/>
  <c r="S6219" i="5"/>
  <c r="R6220" i="5"/>
  <c r="P6220" i="5"/>
  <c r="Q6220" i="5"/>
  <c r="S6220" i="5"/>
  <c r="R6221" i="5"/>
  <c r="P6221" i="5"/>
  <c r="Q6221" i="5"/>
  <c r="S6221" i="5"/>
  <c r="R6222" i="5"/>
  <c r="P6222" i="5"/>
  <c r="Q6222" i="5"/>
  <c r="S6222" i="5"/>
  <c r="P6223" i="5"/>
  <c r="Q6223" i="5"/>
  <c r="P6224" i="5"/>
  <c r="Q6224" i="5"/>
  <c r="S6224" i="5"/>
  <c r="P6225" i="5"/>
  <c r="Q6225" i="5"/>
  <c r="S6225" i="5"/>
  <c r="P6226" i="5"/>
  <c r="Q6226" i="5"/>
  <c r="S6226" i="5"/>
  <c r="R6227" i="5"/>
  <c r="P6227" i="5"/>
  <c r="Q6227" i="5"/>
  <c r="S6227" i="5"/>
  <c r="R6228" i="5"/>
  <c r="P6228" i="5"/>
  <c r="Q6228" i="5"/>
  <c r="S6228" i="5"/>
  <c r="R6229" i="5"/>
  <c r="P6229" i="5"/>
  <c r="Q6229" i="5"/>
  <c r="S6229" i="5"/>
  <c r="P6230" i="5"/>
  <c r="Q6230" i="5"/>
  <c r="P6231" i="5"/>
  <c r="Q6231" i="5"/>
  <c r="S6231" i="5"/>
  <c r="P6232" i="5"/>
  <c r="Q6232" i="5"/>
  <c r="S6232" i="5"/>
  <c r="R6233" i="5"/>
  <c r="P6233" i="5"/>
  <c r="Q6233" i="5"/>
  <c r="S6233" i="5"/>
  <c r="R6234" i="5"/>
  <c r="P6234" i="5"/>
  <c r="Q6234" i="5"/>
  <c r="S6234" i="5"/>
  <c r="R6235" i="5"/>
  <c r="P6235" i="5"/>
  <c r="Q6235" i="5"/>
  <c r="S6235" i="5"/>
  <c r="P6236" i="5"/>
  <c r="Q6236" i="5"/>
  <c r="P6237" i="5"/>
  <c r="Q6237" i="5"/>
  <c r="S6237" i="5"/>
  <c r="P6238" i="5"/>
  <c r="Q6238" i="5"/>
  <c r="S6238" i="5"/>
  <c r="P6239" i="5"/>
  <c r="Q6239" i="5"/>
  <c r="S6239" i="5"/>
  <c r="R6240" i="5"/>
  <c r="P6240" i="5"/>
  <c r="Q6240" i="5"/>
  <c r="S6240" i="5"/>
  <c r="R6241" i="5"/>
  <c r="P6241" i="5"/>
  <c r="Q6241" i="5"/>
  <c r="S6241" i="5"/>
  <c r="R6242" i="5"/>
  <c r="P6242" i="5"/>
  <c r="Q6242" i="5"/>
  <c r="S6242" i="5"/>
  <c r="P6243" i="5"/>
  <c r="Q6243" i="5"/>
  <c r="P6244" i="5"/>
  <c r="Q6244" i="5"/>
  <c r="S6244" i="5"/>
  <c r="P6245" i="5"/>
  <c r="Q6245" i="5"/>
  <c r="S6245" i="5"/>
  <c r="R6246" i="5"/>
  <c r="P6246" i="5"/>
  <c r="Q6246" i="5"/>
  <c r="S6246" i="5"/>
  <c r="P6247" i="5"/>
  <c r="Q6247" i="5"/>
  <c r="R6247" i="5"/>
  <c r="S6247" i="5"/>
  <c r="R6248" i="5"/>
  <c r="P6248" i="5"/>
  <c r="Q6248" i="5"/>
  <c r="S6248" i="5"/>
  <c r="R6249" i="5"/>
  <c r="P6249" i="5"/>
  <c r="Q6249" i="5"/>
  <c r="P6250" i="5"/>
  <c r="Q6250" i="5"/>
  <c r="S6250" i="5"/>
  <c r="P6251" i="5"/>
  <c r="Q6251" i="5"/>
  <c r="S6251" i="5"/>
  <c r="P6252" i="5"/>
  <c r="Q6252" i="5"/>
  <c r="R6252" i="5"/>
  <c r="S6252" i="5"/>
  <c r="R6253" i="5"/>
  <c r="P6253" i="5"/>
  <c r="Q6253" i="5"/>
  <c r="S6253" i="5"/>
  <c r="R6254" i="5"/>
  <c r="P6254" i="5"/>
  <c r="Q6254" i="5"/>
  <c r="S6254" i="5"/>
  <c r="P6255" i="5"/>
  <c r="Q6255" i="5"/>
  <c r="P6256" i="5"/>
  <c r="Q6256" i="5"/>
  <c r="S6256" i="5"/>
  <c r="P6257" i="5"/>
  <c r="Q6257" i="5"/>
  <c r="S6257" i="5"/>
  <c r="P6258" i="5"/>
  <c r="Q6258" i="5"/>
  <c r="S6258" i="5"/>
  <c r="P6259" i="5"/>
  <c r="Q6259" i="5"/>
  <c r="S6259" i="5"/>
  <c r="P6260" i="5"/>
  <c r="Q6260" i="5"/>
  <c r="S6260" i="5"/>
  <c r="R6261" i="5"/>
  <c r="P6261" i="5"/>
  <c r="Q6261" i="5"/>
  <c r="S6261" i="5"/>
  <c r="P6262" i="5"/>
  <c r="Q6262" i="5"/>
  <c r="R6262" i="5"/>
  <c r="S6262" i="5"/>
  <c r="R6263" i="5"/>
  <c r="P6263" i="5"/>
  <c r="Q6263" i="5"/>
  <c r="S6263" i="5"/>
  <c r="P6264" i="5"/>
  <c r="Q6264" i="5"/>
  <c r="P6265" i="5"/>
  <c r="Q6265" i="5"/>
  <c r="S6265" i="5"/>
  <c r="P6266" i="5"/>
  <c r="Q6266" i="5"/>
  <c r="S6266" i="5"/>
  <c r="P6267" i="5"/>
  <c r="Q6267" i="5"/>
  <c r="S6267" i="5"/>
  <c r="P6268" i="5"/>
  <c r="Q6268" i="5"/>
  <c r="S6268" i="5"/>
  <c r="P6269" i="5"/>
  <c r="Q6269" i="5"/>
  <c r="S6269" i="5"/>
  <c r="P6270" i="5"/>
  <c r="Q6270" i="5"/>
  <c r="S6270" i="5"/>
  <c r="P6271" i="5"/>
  <c r="Q6271" i="5"/>
  <c r="S6271" i="5"/>
  <c r="R6272" i="5"/>
  <c r="P6272" i="5"/>
  <c r="Q6272" i="5"/>
  <c r="S6272" i="5"/>
  <c r="R6273" i="5"/>
  <c r="P6273" i="5"/>
  <c r="Q6273" i="5"/>
  <c r="S6273" i="5"/>
  <c r="R6274" i="5"/>
  <c r="P6274" i="5"/>
  <c r="Q6274" i="5"/>
  <c r="S6274" i="5"/>
  <c r="P6275" i="5"/>
  <c r="Q6275" i="5"/>
  <c r="P6276" i="5"/>
  <c r="Q6276" i="5"/>
  <c r="S6276" i="5"/>
  <c r="P6277" i="5"/>
  <c r="Q6277" i="5"/>
  <c r="S6277" i="5"/>
  <c r="P6278" i="5"/>
  <c r="Q6278" i="5"/>
  <c r="S6278" i="5"/>
  <c r="P6279" i="5"/>
  <c r="Q6279" i="5"/>
  <c r="S6279" i="5"/>
  <c r="R6280" i="5"/>
  <c r="P6280" i="5"/>
  <c r="Q6280" i="5"/>
  <c r="S6280" i="5"/>
  <c r="R6281" i="5"/>
  <c r="P6281" i="5"/>
  <c r="Q6281" i="5"/>
  <c r="S6281" i="5"/>
  <c r="R6282" i="5"/>
  <c r="P6282" i="5"/>
  <c r="Q6282" i="5"/>
  <c r="S6282" i="5"/>
  <c r="P6283" i="5"/>
  <c r="Q6283" i="5"/>
  <c r="P6284" i="5"/>
  <c r="Q6284" i="5"/>
  <c r="S6284" i="5"/>
  <c r="P6285" i="5"/>
  <c r="Q6285" i="5"/>
  <c r="S6285" i="5"/>
  <c r="P6286" i="5"/>
  <c r="Q6286" i="5"/>
  <c r="S6286" i="5"/>
  <c r="P6287" i="5"/>
  <c r="Q6287" i="5"/>
  <c r="S6287" i="5"/>
  <c r="R6288" i="5"/>
  <c r="P6288" i="5"/>
  <c r="Q6288" i="5"/>
  <c r="S6288" i="5"/>
  <c r="P6289" i="5"/>
  <c r="Q6289" i="5"/>
  <c r="R6289" i="5"/>
  <c r="S6289" i="5"/>
  <c r="R6290" i="5"/>
  <c r="P6290" i="5"/>
  <c r="Q6290" i="5"/>
  <c r="S6290" i="5"/>
  <c r="P6291" i="5"/>
  <c r="Q6291" i="5"/>
  <c r="P6292" i="5"/>
  <c r="Q6292" i="5"/>
  <c r="S6292" i="5"/>
  <c r="P6293" i="5"/>
  <c r="Q6293" i="5"/>
  <c r="S6293" i="5"/>
  <c r="P6294" i="5"/>
  <c r="Q6294" i="5"/>
  <c r="S6294" i="5"/>
  <c r="P6295" i="5"/>
  <c r="Q6295" i="5"/>
  <c r="S6295" i="5"/>
  <c r="P6296" i="5"/>
  <c r="Q6296" i="5"/>
  <c r="S6296" i="5"/>
  <c r="P6297" i="5"/>
  <c r="Q6297" i="5"/>
  <c r="R6297" i="5"/>
  <c r="S6297" i="5"/>
  <c r="R6298" i="5"/>
  <c r="P6298" i="5"/>
  <c r="Q6298" i="5"/>
  <c r="S6298" i="5"/>
  <c r="R6299" i="5"/>
  <c r="P6299" i="5"/>
  <c r="Q6299" i="5"/>
  <c r="S6299" i="5"/>
  <c r="P6300" i="5"/>
  <c r="Q6300" i="5"/>
  <c r="P6301" i="5"/>
  <c r="Q6301" i="5"/>
  <c r="S6301" i="5"/>
  <c r="P6302" i="5"/>
  <c r="Q6302" i="5"/>
  <c r="S6302" i="5"/>
  <c r="P6303" i="5"/>
  <c r="Q6303" i="5"/>
  <c r="S6303" i="5"/>
  <c r="P6304" i="5"/>
  <c r="Q6304" i="5"/>
  <c r="S6304" i="5"/>
  <c r="P6305" i="5"/>
  <c r="Q6305" i="5"/>
  <c r="S6305" i="5"/>
  <c r="P6306" i="5"/>
  <c r="Q6306" i="5"/>
  <c r="S6306" i="5"/>
  <c r="P6307" i="5"/>
  <c r="Q6307" i="5"/>
  <c r="S6307" i="5"/>
  <c r="P6308" i="5"/>
  <c r="Q6308" i="5"/>
  <c r="R6308" i="5"/>
  <c r="S6308" i="5"/>
  <c r="R6309" i="5"/>
  <c r="P6309" i="5"/>
  <c r="Q6309" i="5"/>
  <c r="S6309" i="5"/>
  <c r="R6310" i="5"/>
  <c r="P6310" i="5"/>
  <c r="Q6310" i="5"/>
  <c r="S6310" i="5"/>
  <c r="P6311" i="5"/>
  <c r="Q6311" i="5"/>
  <c r="P6312" i="5"/>
  <c r="Q6312" i="5"/>
  <c r="S6312" i="5"/>
  <c r="P6313" i="5"/>
  <c r="Q6313" i="5"/>
  <c r="S6313" i="5"/>
  <c r="P6314" i="5"/>
  <c r="Q6314" i="5"/>
  <c r="S6314" i="5"/>
  <c r="P6315" i="5"/>
  <c r="Q6315" i="5"/>
  <c r="S6315" i="5"/>
  <c r="P6316" i="5"/>
  <c r="Q6316" i="5"/>
  <c r="S6316" i="5"/>
  <c r="P6317" i="5"/>
  <c r="Q6317" i="5"/>
  <c r="S6317" i="5"/>
  <c r="P6318" i="5"/>
  <c r="Q6318" i="5"/>
  <c r="S6318" i="5"/>
  <c r="P6319" i="5"/>
  <c r="Q6319" i="5"/>
  <c r="S6319" i="5"/>
  <c r="P6320" i="5"/>
  <c r="Q6320" i="5"/>
  <c r="S6320" i="5"/>
  <c r="P6321" i="5"/>
  <c r="Q6321" i="5"/>
  <c r="S6321" i="5"/>
  <c r="P6322" i="5"/>
  <c r="Q6322" i="5"/>
  <c r="S6322" i="5"/>
  <c r="P6323" i="5"/>
  <c r="Q6323" i="5"/>
  <c r="S6323" i="5"/>
  <c r="P6324" i="5"/>
  <c r="Q6324" i="5"/>
  <c r="S6324" i="5"/>
  <c r="P6325" i="5"/>
  <c r="Q6325" i="5"/>
  <c r="S6325" i="5"/>
  <c r="P6326" i="5"/>
  <c r="Q6326" i="5"/>
  <c r="S6326" i="5"/>
  <c r="P6327" i="5"/>
  <c r="Q6327" i="5"/>
  <c r="S6327" i="5"/>
  <c r="P6328" i="5"/>
  <c r="Q6328" i="5"/>
  <c r="S6328" i="5"/>
  <c r="P6329" i="5"/>
  <c r="Q6329" i="5"/>
  <c r="S6329" i="5"/>
  <c r="P6330" i="5"/>
  <c r="Q6330" i="5"/>
  <c r="S6330" i="5"/>
  <c r="P6331" i="5"/>
  <c r="Q6331" i="5"/>
  <c r="S6331" i="5"/>
  <c r="R6332" i="5"/>
  <c r="P6332" i="5"/>
  <c r="Q6332" i="5"/>
  <c r="S6332" i="5"/>
  <c r="R6333" i="5"/>
  <c r="P6333" i="5"/>
  <c r="Q6333" i="5"/>
  <c r="S6333" i="5"/>
  <c r="R6334" i="5"/>
  <c r="P6334" i="5"/>
  <c r="Q6334" i="5"/>
  <c r="S6334" i="5"/>
  <c r="P6335" i="5"/>
  <c r="Q6335" i="5"/>
  <c r="P6336" i="5"/>
  <c r="Q6336" i="5"/>
  <c r="S6336" i="5"/>
  <c r="P6337" i="5"/>
  <c r="Q6337" i="5"/>
  <c r="S6337" i="5"/>
  <c r="P6338" i="5"/>
  <c r="Q6338" i="5"/>
  <c r="S6338" i="5"/>
  <c r="P6339" i="5"/>
  <c r="Q6339" i="5"/>
  <c r="S6339" i="5"/>
  <c r="P6340" i="5"/>
  <c r="Q6340" i="5"/>
  <c r="S6340" i="5"/>
  <c r="P6341" i="5"/>
  <c r="Q6341" i="5"/>
  <c r="S6341" i="5"/>
  <c r="R6342" i="5"/>
  <c r="P6342" i="5"/>
  <c r="Q6342" i="5"/>
  <c r="S6342" i="5"/>
  <c r="R6343" i="5"/>
  <c r="P6343" i="5"/>
  <c r="Q6343" i="5"/>
  <c r="S6343" i="5"/>
  <c r="R6344" i="5"/>
  <c r="P6344" i="5"/>
  <c r="Q6344" i="5"/>
  <c r="S6344" i="5"/>
  <c r="P6345" i="5"/>
  <c r="Q6345" i="5"/>
  <c r="P6346" i="5"/>
  <c r="Q6346" i="5"/>
  <c r="S6346" i="5"/>
  <c r="P6347" i="5"/>
  <c r="Q6347" i="5"/>
  <c r="S6347" i="5"/>
  <c r="P6348" i="5"/>
  <c r="Q6348" i="5"/>
  <c r="S6348" i="5"/>
  <c r="P6349" i="5"/>
  <c r="Q6349" i="5"/>
  <c r="S6349" i="5"/>
  <c r="P6350" i="5"/>
  <c r="Q6350" i="5"/>
  <c r="S6350" i="5"/>
  <c r="R6351" i="5"/>
  <c r="P6351" i="5"/>
  <c r="Q6351" i="5"/>
  <c r="S6351" i="5"/>
  <c r="R6352" i="5"/>
  <c r="P6352" i="5"/>
  <c r="Q6352" i="5"/>
  <c r="S6352" i="5"/>
  <c r="P6353" i="5"/>
  <c r="Q6353" i="5"/>
  <c r="R6353" i="5"/>
  <c r="S6353" i="5"/>
  <c r="P6354" i="5"/>
  <c r="Q6354" i="5"/>
  <c r="P6355" i="5"/>
  <c r="Q6355" i="5"/>
  <c r="S6355" i="5"/>
  <c r="R6356" i="5"/>
  <c r="P6356" i="5"/>
  <c r="Q6356" i="5"/>
  <c r="S6356" i="5"/>
  <c r="R6357" i="5"/>
  <c r="P6357" i="5"/>
  <c r="Q6357" i="5"/>
  <c r="S6357" i="5"/>
  <c r="R6358" i="5"/>
  <c r="P6358" i="5"/>
  <c r="Q6358" i="5"/>
  <c r="S6358" i="5"/>
  <c r="P6359" i="5"/>
  <c r="Q6359" i="5"/>
  <c r="P6360" i="5"/>
  <c r="Q6360" i="5"/>
  <c r="S6360" i="5"/>
  <c r="P6361" i="5"/>
  <c r="Q6361" i="5"/>
  <c r="S6361" i="5"/>
  <c r="P6362" i="5"/>
  <c r="Q6362" i="5"/>
  <c r="S6362" i="5"/>
  <c r="P6363" i="5"/>
  <c r="Q6363" i="5"/>
  <c r="S6363" i="5"/>
  <c r="P6364" i="5"/>
  <c r="Q6364" i="5"/>
  <c r="S6364" i="5"/>
  <c r="P6365" i="5"/>
  <c r="Q6365" i="5"/>
  <c r="S6365" i="5"/>
  <c r="P6366" i="5"/>
  <c r="Q6366" i="5"/>
  <c r="S6366" i="5"/>
  <c r="P6367" i="5"/>
  <c r="Q6367" i="5"/>
  <c r="S6367" i="5"/>
  <c r="P6368" i="5"/>
  <c r="Q6368" i="5"/>
  <c r="S6368" i="5"/>
  <c r="P6369" i="5"/>
  <c r="Q6369" i="5"/>
  <c r="S6369" i="5"/>
  <c r="R6370" i="5"/>
  <c r="P6370" i="5"/>
  <c r="Q6370" i="5"/>
  <c r="S6370" i="5"/>
  <c r="R6371" i="5"/>
  <c r="P6371" i="5"/>
  <c r="Q6371" i="5"/>
  <c r="S6371" i="5"/>
  <c r="R6372" i="5"/>
  <c r="P6372" i="5"/>
  <c r="Q6372" i="5"/>
  <c r="S6372" i="5"/>
  <c r="P6373" i="5"/>
  <c r="Q6373" i="5"/>
  <c r="P6374" i="5"/>
  <c r="Q6374" i="5"/>
  <c r="S6374" i="5"/>
  <c r="P6375" i="5"/>
  <c r="Q6375" i="5"/>
  <c r="S6375" i="5"/>
  <c r="P6376" i="5"/>
  <c r="Q6376" i="5"/>
  <c r="S6376" i="5"/>
  <c r="Q6377" i="5"/>
  <c r="S6377" i="5"/>
  <c r="P6378" i="5"/>
  <c r="Q6378" i="5"/>
  <c r="S6378" i="5"/>
  <c r="P6379" i="5"/>
  <c r="Q6379" i="5"/>
  <c r="S6379" i="5"/>
  <c r="P6380" i="5"/>
  <c r="Q6380" i="5"/>
  <c r="S6380" i="5"/>
  <c r="Q6381" i="5"/>
  <c r="S6381" i="5"/>
  <c r="R6382" i="5"/>
  <c r="Q6382" i="5"/>
  <c r="S6382" i="5"/>
  <c r="R6383" i="5"/>
  <c r="P6383" i="5"/>
  <c r="Q6383" i="5"/>
  <c r="S6383" i="5"/>
  <c r="R6384" i="5"/>
  <c r="P6384" i="5"/>
  <c r="Q6384" i="5"/>
  <c r="S6384" i="5"/>
  <c r="R6385" i="5"/>
  <c r="P6385" i="5"/>
  <c r="Q6385" i="5"/>
  <c r="S6385" i="5"/>
  <c r="R6386" i="5"/>
  <c r="P6386" i="5"/>
  <c r="Q6386" i="5"/>
  <c r="S6386" i="5"/>
  <c r="R6387" i="5"/>
  <c r="P6387" i="5"/>
  <c r="Q6387" i="5"/>
  <c r="S6387" i="5"/>
  <c r="P6388" i="5"/>
  <c r="Q6388" i="5"/>
  <c r="R6388" i="5"/>
  <c r="P6389" i="5"/>
  <c r="Q6389" i="5"/>
  <c r="S6389" i="5"/>
  <c r="Q6390" i="5"/>
  <c r="S6390" i="5"/>
  <c r="Q6391" i="5"/>
  <c r="S6391" i="5"/>
  <c r="R6392" i="5"/>
  <c r="P6392" i="5"/>
  <c r="Q6392" i="5"/>
  <c r="S6392" i="5"/>
  <c r="R6393" i="5"/>
  <c r="P6393" i="5"/>
  <c r="Q6393" i="5"/>
  <c r="S6393" i="5"/>
  <c r="R6394" i="5"/>
  <c r="P6394" i="5"/>
  <c r="Q6394" i="5"/>
  <c r="S6394" i="5"/>
  <c r="P6395" i="5"/>
  <c r="Q6395" i="5"/>
  <c r="P6396" i="5"/>
  <c r="Q6396" i="5"/>
  <c r="S6396" i="5"/>
  <c r="P6397" i="5"/>
  <c r="Q6397" i="5"/>
  <c r="S6397" i="5"/>
  <c r="P6398" i="5"/>
  <c r="Q6398" i="5"/>
  <c r="R6398" i="5"/>
  <c r="S6398" i="5"/>
  <c r="R6399" i="5"/>
  <c r="P6399" i="5"/>
  <c r="Q6399" i="5"/>
  <c r="S6399" i="5"/>
  <c r="R6400" i="5"/>
  <c r="P6400" i="5"/>
  <c r="Q6400" i="5"/>
  <c r="S6400" i="5"/>
  <c r="P6401" i="5"/>
  <c r="Q6401" i="5"/>
  <c r="P6402" i="5"/>
  <c r="Q6402" i="5"/>
  <c r="S6402" i="5"/>
  <c r="P6403" i="5"/>
  <c r="Q6403" i="5"/>
  <c r="S6403" i="5"/>
  <c r="P6404" i="5"/>
  <c r="Q6404" i="5"/>
  <c r="S6404" i="5"/>
  <c r="R6405" i="5"/>
  <c r="P6405" i="5"/>
  <c r="Q6405" i="5"/>
  <c r="S6405" i="5"/>
  <c r="R6406" i="5"/>
  <c r="P6406" i="5"/>
  <c r="Q6406" i="5"/>
  <c r="S6406" i="5"/>
  <c r="R6407" i="5"/>
  <c r="P6407" i="5"/>
  <c r="Q6407" i="5"/>
  <c r="S6407" i="5"/>
  <c r="P6408" i="5"/>
  <c r="Q6408" i="5"/>
  <c r="P6409" i="5"/>
  <c r="Q6409" i="5"/>
  <c r="R6409" i="5"/>
  <c r="S6409" i="5"/>
  <c r="R6410" i="5"/>
  <c r="P6410" i="5"/>
  <c r="Q6410" i="5"/>
  <c r="S6410" i="5"/>
  <c r="R6411" i="5"/>
  <c r="P6411" i="5"/>
  <c r="Q6411" i="5"/>
  <c r="S6411" i="5"/>
  <c r="P6412" i="5"/>
  <c r="Q6412" i="5"/>
  <c r="P6413" i="5"/>
  <c r="Q6413" i="5"/>
  <c r="S6413" i="5"/>
  <c r="R6414" i="5"/>
  <c r="P6414" i="5"/>
  <c r="Q6414" i="5"/>
  <c r="S6414" i="5"/>
  <c r="R6415" i="5"/>
  <c r="P6415" i="5"/>
  <c r="Q6415" i="5"/>
  <c r="S6415" i="5"/>
  <c r="R6416" i="5"/>
  <c r="P6416" i="5"/>
  <c r="Q6416" i="5"/>
  <c r="S6416" i="5"/>
  <c r="P6417" i="5"/>
  <c r="Q6417" i="5"/>
  <c r="R6418" i="5"/>
  <c r="P6418" i="5"/>
  <c r="Q6418" i="5"/>
  <c r="S6418" i="5"/>
  <c r="R6419" i="5"/>
  <c r="P6419" i="5"/>
  <c r="Q6419" i="5"/>
  <c r="S6419" i="5"/>
  <c r="P6420" i="5"/>
  <c r="Q6420" i="5"/>
  <c r="R6420" i="5"/>
  <c r="S6420" i="5"/>
  <c r="Q6421" i="5"/>
  <c r="R6422" i="5"/>
  <c r="P6422" i="5"/>
  <c r="Q6422" i="5"/>
  <c r="S6422" i="5"/>
  <c r="R6423" i="5"/>
  <c r="P6423" i="5"/>
  <c r="Q6423" i="5"/>
  <c r="S6423" i="5"/>
  <c r="R6424" i="5"/>
  <c r="P6424" i="5"/>
  <c r="Q6424" i="5"/>
  <c r="S6424" i="5"/>
  <c r="P6425" i="5"/>
  <c r="Q6425" i="5"/>
  <c r="P6426" i="5"/>
  <c r="Q6426" i="5"/>
  <c r="S6426" i="5"/>
  <c r="R6427" i="5"/>
  <c r="P6427" i="5"/>
  <c r="Q6427" i="5"/>
  <c r="S6427" i="5"/>
  <c r="R6428" i="5"/>
  <c r="P6428" i="5"/>
  <c r="Q6428" i="5"/>
  <c r="S6428" i="5"/>
  <c r="R6429" i="5"/>
  <c r="P6429" i="5"/>
  <c r="Q6429" i="5"/>
  <c r="S6429" i="5"/>
  <c r="P6430" i="5"/>
  <c r="Q6430" i="5"/>
  <c r="P6431" i="5"/>
  <c r="Q6431" i="5"/>
  <c r="S6431" i="5"/>
  <c r="R6432" i="5"/>
  <c r="P6432" i="5"/>
  <c r="Q6432" i="5"/>
  <c r="S6432" i="5"/>
  <c r="R6433" i="5"/>
  <c r="P6433" i="5"/>
  <c r="Q6433" i="5"/>
  <c r="S6433" i="5"/>
  <c r="R6434" i="5"/>
  <c r="P6434" i="5"/>
  <c r="Q6434" i="5"/>
  <c r="S6434" i="5"/>
  <c r="P6435" i="5"/>
  <c r="Q6435" i="5"/>
  <c r="P6436" i="5"/>
  <c r="Q6436" i="5"/>
  <c r="S6436" i="5"/>
  <c r="R6437" i="5"/>
  <c r="P6437" i="5"/>
  <c r="Q6437" i="5"/>
  <c r="S6437" i="5"/>
  <c r="R6438" i="5"/>
  <c r="P6438" i="5"/>
  <c r="Q6438" i="5"/>
  <c r="S6438" i="5"/>
  <c r="R6439" i="5"/>
  <c r="P6439" i="5"/>
  <c r="Q6439" i="5"/>
  <c r="S6439" i="5"/>
  <c r="P6440" i="5"/>
  <c r="Q6440" i="5"/>
  <c r="P6441" i="5"/>
  <c r="Q6441" i="5"/>
  <c r="S6441" i="5"/>
  <c r="P6442" i="5"/>
  <c r="Q6442" i="5"/>
  <c r="S6442" i="5"/>
  <c r="P6443" i="5"/>
  <c r="Q6443" i="5"/>
  <c r="S6443" i="5"/>
  <c r="R6444" i="5"/>
  <c r="P6444" i="5"/>
  <c r="Q6444" i="5"/>
  <c r="S6444" i="5"/>
  <c r="R6445" i="5"/>
  <c r="P6445" i="5"/>
  <c r="Q6445" i="5"/>
  <c r="S6445" i="5"/>
  <c r="P6446" i="5"/>
  <c r="Q6446" i="5"/>
  <c r="R6446" i="5"/>
  <c r="S6446" i="5"/>
  <c r="P6447" i="5"/>
  <c r="Q6447" i="5"/>
  <c r="P6448" i="5"/>
  <c r="Q6448" i="5"/>
  <c r="S6448" i="5"/>
  <c r="R6449" i="5"/>
  <c r="P6449" i="5"/>
  <c r="Q6449" i="5"/>
  <c r="S6449" i="5"/>
  <c r="R6450" i="5"/>
  <c r="P6450" i="5"/>
  <c r="Q6450" i="5"/>
  <c r="S6450" i="5"/>
  <c r="R6451" i="5"/>
  <c r="P6451" i="5"/>
  <c r="Q6451" i="5"/>
  <c r="S6451" i="5"/>
  <c r="P6452" i="5"/>
  <c r="Q6452" i="5"/>
  <c r="P6453" i="5"/>
  <c r="Q6453" i="5"/>
  <c r="S6453" i="5"/>
  <c r="P6454" i="5"/>
  <c r="Q6454" i="5"/>
  <c r="S6454" i="5"/>
  <c r="P6455" i="5"/>
  <c r="Q6455" i="5"/>
  <c r="S6455" i="5"/>
  <c r="P6456" i="5"/>
  <c r="Q6456" i="5"/>
  <c r="S6456" i="5"/>
  <c r="P6457" i="5"/>
  <c r="Q6457" i="5"/>
  <c r="S6457" i="5"/>
  <c r="R6458" i="5"/>
  <c r="P6458" i="5"/>
  <c r="Q6458" i="5"/>
  <c r="S6458" i="5"/>
  <c r="R6459" i="5"/>
  <c r="P6459" i="5"/>
  <c r="Q6459" i="5"/>
  <c r="S6459" i="5"/>
  <c r="R6460" i="5"/>
  <c r="P6460" i="5"/>
  <c r="Q6460" i="5"/>
  <c r="S6460" i="5"/>
  <c r="P6461" i="5"/>
  <c r="Q6461" i="5"/>
  <c r="P6462" i="5"/>
  <c r="Q6462" i="5"/>
  <c r="S6462" i="5"/>
  <c r="P6463" i="5"/>
  <c r="Q6463" i="5"/>
  <c r="S6463" i="5"/>
  <c r="P6464" i="5"/>
  <c r="Q6464" i="5"/>
  <c r="S6464" i="5"/>
  <c r="R6465" i="5"/>
  <c r="P6465" i="5"/>
  <c r="Q6465" i="5"/>
  <c r="S6465" i="5"/>
  <c r="R6466" i="5"/>
  <c r="P6466" i="5"/>
  <c r="Q6466" i="5"/>
  <c r="S6466" i="5"/>
  <c r="R6467" i="5"/>
  <c r="P6467" i="5"/>
  <c r="Q6467" i="5"/>
  <c r="S6467" i="5"/>
  <c r="P6468" i="5"/>
  <c r="Q6468" i="5"/>
  <c r="R6469" i="5"/>
  <c r="P6469" i="5"/>
  <c r="Q6469" i="5"/>
  <c r="S6469" i="5"/>
  <c r="P6470" i="5"/>
  <c r="Q6470" i="5"/>
  <c r="S6470" i="5"/>
  <c r="P6471" i="5"/>
  <c r="Q6471" i="5"/>
  <c r="S6471" i="5"/>
  <c r="R6472" i="5"/>
  <c r="P6472" i="5"/>
  <c r="Q6472" i="5"/>
  <c r="S6472" i="5"/>
  <c r="R6473" i="5"/>
  <c r="P6473" i="5"/>
  <c r="Q6473" i="5"/>
  <c r="S6473" i="5"/>
  <c r="R6474" i="5"/>
  <c r="P6474" i="5"/>
  <c r="Q6474" i="5"/>
  <c r="S6474" i="5"/>
  <c r="R6475" i="5"/>
  <c r="P6475" i="5"/>
  <c r="Q6475" i="5"/>
  <c r="P6476" i="5"/>
  <c r="Q6476" i="5"/>
  <c r="S6476" i="5"/>
  <c r="P6477" i="5"/>
  <c r="Q6477" i="5"/>
  <c r="S6477" i="5"/>
  <c r="P6478" i="5"/>
  <c r="Q6478" i="5"/>
  <c r="S6478" i="5"/>
  <c r="R6479" i="5"/>
  <c r="P6479" i="5"/>
  <c r="Q6479" i="5"/>
  <c r="S6479" i="5"/>
  <c r="R6480" i="5"/>
  <c r="P6480" i="5"/>
  <c r="Q6480" i="5"/>
  <c r="S6480" i="5"/>
  <c r="R6481" i="5"/>
  <c r="P6481" i="5"/>
  <c r="Q6481" i="5"/>
  <c r="S6481" i="5"/>
  <c r="R6482" i="5"/>
  <c r="P6482" i="5"/>
  <c r="Q6482" i="5"/>
  <c r="P6483" i="5"/>
  <c r="Q6483" i="5"/>
  <c r="S6483" i="5"/>
  <c r="P6484" i="5"/>
  <c r="Q6484" i="5"/>
  <c r="S6484" i="5"/>
  <c r="P6485" i="5"/>
  <c r="Q6485" i="5"/>
  <c r="S6485" i="5"/>
  <c r="R6486" i="5"/>
  <c r="P6486" i="5"/>
  <c r="Q6486" i="5"/>
  <c r="S6486" i="5"/>
  <c r="R6487" i="5"/>
  <c r="P6487" i="5"/>
  <c r="Q6487" i="5"/>
  <c r="S6487" i="5"/>
  <c r="R6488" i="5"/>
  <c r="P6488" i="5"/>
  <c r="Q6488" i="5"/>
  <c r="S6488" i="5"/>
  <c r="R6489" i="5"/>
  <c r="P6489" i="5"/>
  <c r="Q6489" i="5"/>
  <c r="P6490" i="5"/>
  <c r="Q6490" i="5"/>
  <c r="S6490" i="5"/>
  <c r="P6491" i="5"/>
  <c r="Q6491" i="5"/>
  <c r="S6491" i="5"/>
  <c r="P6492" i="5"/>
  <c r="Q6492" i="5"/>
  <c r="S6492" i="5"/>
  <c r="R6493" i="5"/>
  <c r="P6493" i="5"/>
  <c r="Q6493" i="5"/>
  <c r="S6493" i="5"/>
  <c r="P6494" i="5"/>
  <c r="Q6494" i="5"/>
  <c r="R6494" i="5"/>
  <c r="S6494" i="5"/>
  <c r="R6495" i="5"/>
  <c r="P6495" i="5"/>
  <c r="Q6495" i="5"/>
  <c r="S6495" i="5"/>
  <c r="P6496" i="5"/>
  <c r="Q6496" i="5"/>
  <c r="R6497" i="5"/>
  <c r="P6497" i="5"/>
  <c r="Q6497" i="5"/>
  <c r="S6497" i="5"/>
  <c r="R6498" i="5"/>
  <c r="P6498" i="5"/>
  <c r="Q6498" i="5"/>
  <c r="S6498" i="5"/>
  <c r="R6499" i="5"/>
  <c r="P6499" i="5"/>
  <c r="Q6499" i="5"/>
  <c r="S6499" i="5"/>
  <c r="P6500" i="5"/>
  <c r="Q6500" i="5"/>
  <c r="R6501" i="5"/>
  <c r="P6501" i="5"/>
  <c r="Q6501" i="5"/>
  <c r="S6501" i="5"/>
  <c r="R6502" i="5"/>
  <c r="P6502" i="5"/>
  <c r="Q6502" i="5"/>
  <c r="S6502" i="5"/>
  <c r="R6503" i="5"/>
  <c r="P6503" i="5"/>
  <c r="Q6503" i="5"/>
  <c r="S6503" i="5"/>
  <c r="P6504" i="5"/>
  <c r="Q6504" i="5"/>
  <c r="R6505" i="5"/>
  <c r="P6505" i="5"/>
  <c r="Q6505" i="5"/>
  <c r="S6505" i="5"/>
  <c r="R6506" i="5"/>
  <c r="P6506" i="5"/>
  <c r="Q6506" i="5"/>
  <c r="S6506" i="5"/>
  <c r="R6507" i="5"/>
  <c r="P6507" i="5"/>
  <c r="Q6507" i="5"/>
  <c r="S6507" i="5"/>
  <c r="P6508" i="5"/>
  <c r="Q6508" i="5"/>
  <c r="R6509" i="5"/>
  <c r="P6509" i="5"/>
  <c r="Q6509" i="5"/>
  <c r="S6509" i="5"/>
  <c r="P6510" i="5"/>
  <c r="Q6510" i="5"/>
  <c r="R6510" i="5"/>
  <c r="S6510" i="5"/>
  <c r="R6511" i="5"/>
  <c r="P6511" i="5"/>
  <c r="Q6511" i="5"/>
  <c r="S6511" i="5"/>
  <c r="P6512" i="5"/>
  <c r="Q6512" i="5"/>
  <c r="R6513" i="5"/>
  <c r="P6513" i="5"/>
  <c r="Q6513" i="5"/>
  <c r="S6513" i="5"/>
  <c r="R6514" i="5"/>
  <c r="P6514" i="5"/>
  <c r="Q6514" i="5"/>
  <c r="S6514" i="5"/>
  <c r="R6515" i="5"/>
  <c r="P6515" i="5"/>
  <c r="Q6515" i="5"/>
  <c r="S6515" i="5"/>
  <c r="P6516" i="5"/>
  <c r="Q6516" i="5"/>
  <c r="R6517" i="5"/>
  <c r="P6517" i="5"/>
  <c r="Q6517" i="5"/>
  <c r="S6517" i="5"/>
  <c r="R6518" i="5"/>
  <c r="P6518" i="5"/>
  <c r="Q6518" i="5"/>
  <c r="S6518" i="5"/>
  <c r="R6519" i="5"/>
  <c r="P6519" i="5"/>
  <c r="Q6519" i="5"/>
  <c r="S6519" i="5"/>
  <c r="P6520" i="5"/>
  <c r="Q6520" i="5"/>
  <c r="R6521" i="5"/>
  <c r="P6521" i="5"/>
  <c r="Q6521" i="5"/>
  <c r="S6521" i="5"/>
  <c r="R6522" i="5"/>
  <c r="P6522" i="5"/>
  <c r="Q6522" i="5"/>
  <c r="S6522" i="5"/>
  <c r="R6523" i="5"/>
  <c r="P6523" i="5"/>
  <c r="Q6523" i="5"/>
  <c r="S6523" i="5"/>
  <c r="P6524" i="5"/>
  <c r="Q6524" i="5"/>
  <c r="R6525" i="5"/>
  <c r="P6525" i="5"/>
  <c r="Q6525" i="5"/>
  <c r="S6525" i="5"/>
  <c r="P6526" i="5"/>
  <c r="Q6526" i="5"/>
  <c r="R6526" i="5"/>
  <c r="S6526" i="5"/>
  <c r="R6527" i="5"/>
  <c r="P6527" i="5"/>
  <c r="Q6527" i="5"/>
  <c r="S6527" i="5"/>
  <c r="P6528" i="5"/>
  <c r="Q6528" i="5"/>
  <c r="R6529" i="5"/>
  <c r="P6529" i="5"/>
  <c r="Q6529" i="5"/>
  <c r="S6529" i="5"/>
  <c r="R6530" i="5"/>
  <c r="P6530" i="5"/>
  <c r="Q6530" i="5"/>
  <c r="S6530" i="5"/>
  <c r="R6531" i="5"/>
  <c r="P6531" i="5"/>
  <c r="Q6531" i="5"/>
  <c r="S6531" i="5"/>
  <c r="P6532" i="5"/>
  <c r="Q6532" i="5"/>
  <c r="R6533" i="5"/>
  <c r="P6533" i="5"/>
  <c r="Q6533" i="5"/>
  <c r="S6533" i="5"/>
  <c r="R6534" i="5"/>
  <c r="P6534" i="5"/>
  <c r="Q6534" i="5"/>
  <c r="S6534" i="5"/>
  <c r="R6535" i="5"/>
  <c r="P6535" i="5"/>
  <c r="Q6535" i="5"/>
  <c r="S6535" i="5"/>
  <c r="P6536" i="5"/>
  <c r="Q6536" i="5"/>
  <c r="R6537" i="5"/>
  <c r="P6537" i="5"/>
  <c r="Q6537" i="5"/>
  <c r="S6537" i="5"/>
  <c r="R6538" i="5"/>
  <c r="P6538" i="5"/>
  <c r="Q6538" i="5"/>
  <c r="S6538" i="5"/>
  <c r="R6539" i="5"/>
  <c r="P6539" i="5"/>
  <c r="Q6539" i="5"/>
  <c r="S6539" i="5"/>
  <c r="P6540" i="5"/>
  <c r="Q6540" i="5"/>
  <c r="R6541" i="5"/>
  <c r="P6541" i="5"/>
  <c r="Q6541" i="5"/>
  <c r="S6541" i="5"/>
  <c r="P6542" i="5"/>
  <c r="Q6542" i="5"/>
  <c r="R6542" i="5"/>
  <c r="S6542" i="5"/>
  <c r="R6543" i="5"/>
  <c r="P6543" i="5"/>
  <c r="Q6543" i="5"/>
  <c r="S6543" i="5"/>
  <c r="P6544" i="5"/>
  <c r="Q6544" i="5"/>
  <c r="R6545" i="5"/>
  <c r="P6545" i="5"/>
  <c r="Q6545" i="5"/>
  <c r="S6545" i="5"/>
  <c r="R6546" i="5"/>
  <c r="P6546" i="5"/>
  <c r="Q6546" i="5"/>
  <c r="S6546" i="5"/>
  <c r="R6547" i="5"/>
  <c r="P6547" i="5"/>
  <c r="Q6547" i="5"/>
  <c r="S6547" i="5"/>
  <c r="P6548" i="5"/>
  <c r="Q6548" i="5"/>
  <c r="R6549" i="5"/>
  <c r="P6549" i="5"/>
  <c r="Q6549" i="5"/>
  <c r="S6549" i="5"/>
  <c r="R6550" i="5"/>
  <c r="P6550" i="5"/>
  <c r="Q6550" i="5"/>
  <c r="S6550" i="5"/>
  <c r="R6551" i="5"/>
  <c r="P6551" i="5"/>
  <c r="Q6551" i="5"/>
  <c r="S6551" i="5"/>
  <c r="P6552" i="5"/>
  <c r="Q6552" i="5"/>
  <c r="R6553" i="5"/>
  <c r="P6553" i="5"/>
  <c r="Q6553" i="5"/>
  <c r="S6553" i="5"/>
  <c r="R6554" i="5"/>
  <c r="P6554" i="5"/>
  <c r="Q6554" i="5"/>
  <c r="S6554" i="5"/>
  <c r="R6555" i="5"/>
  <c r="P6555" i="5"/>
  <c r="Q6555" i="5"/>
  <c r="S6555" i="5"/>
  <c r="P6556" i="5"/>
  <c r="Q6556" i="5"/>
  <c r="R6557" i="5"/>
  <c r="P6557" i="5"/>
  <c r="Q6557" i="5"/>
  <c r="S6557" i="5"/>
  <c r="P6558" i="5"/>
  <c r="Q6558" i="5"/>
  <c r="R6558" i="5"/>
  <c r="S6558" i="5"/>
  <c r="R6559" i="5"/>
  <c r="P6559" i="5"/>
  <c r="Q6559" i="5"/>
  <c r="S6559" i="5"/>
  <c r="P6560" i="5"/>
  <c r="Q6560" i="5"/>
  <c r="R6561" i="5"/>
  <c r="P6561" i="5"/>
  <c r="Q6561" i="5"/>
  <c r="S6561" i="5"/>
  <c r="R6562" i="5"/>
  <c r="P6562" i="5"/>
  <c r="Q6562" i="5"/>
  <c r="S6562" i="5"/>
  <c r="R6563" i="5"/>
  <c r="P6563" i="5"/>
  <c r="Q6563" i="5"/>
  <c r="S6563" i="5"/>
  <c r="P6564" i="5"/>
  <c r="Q6564" i="5"/>
  <c r="R6565" i="5"/>
  <c r="P6565" i="5"/>
  <c r="Q6565" i="5"/>
  <c r="S6565" i="5"/>
  <c r="R6566" i="5"/>
  <c r="P6566" i="5"/>
  <c r="Q6566" i="5"/>
  <c r="S6566" i="5"/>
  <c r="R6567" i="5"/>
  <c r="P6567" i="5"/>
  <c r="Q6567" i="5"/>
  <c r="S6567" i="5"/>
  <c r="P6568" i="5"/>
  <c r="Q6568" i="5"/>
  <c r="R6569" i="5"/>
  <c r="P6569" i="5"/>
  <c r="Q6569" i="5"/>
  <c r="S6569" i="5"/>
  <c r="R6570" i="5"/>
  <c r="P6570" i="5"/>
  <c r="Q6570" i="5"/>
  <c r="S6570" i="5"/>
  <c r="R6571" i="5"/>
  <c r="P6571" i="5"/>
  <c r="Q6571" i="5"/>
  <c r="S6571" i="5"/>
  <c r="P6572" i="5"/>
  <c r="Q6572" i="5"/>
  <c r="R6573" i="5"/>
  <c r="P6573" i="5"/>
  <c r="Q6573" i="5"/>
  <c r="S6573" i="5"/>
  <c r="P6574" i="5"/>
  <c r="Q6574" i="5"/>
  <c r="R6574" i="5"/>
  <c r="S6574" i="5"/>
  <c r="R6575" i="5"/>
  <c r="P6575" i="5"/>
  <c r="Q6575" i="5"/>
  <c r="S6575" i="5"/>
  <c r="P6576" i="5"/>
  <c r="Q6576" i="5"/>
  <c r="R6577" i="5"/>
  <c r="P6577" i="5"/>
  <c r="Q6577" i="5"/>
  <c r="S6577" i="5"/>
  <c r="R6578" i="5"/>
  <c r="P6578" i="5"/>
  <c r="Q6578" i="5"/>
  <c r="S6578" i="5"/>
  <c r="R6579" i="5"/>
  <c r="P6579" i="5"/>
  <c r="Q6579" i="5"/>
  <c r="S6579" i="5"/>
  <c r="P6580" i="5"/>
  <c r="Q6580" i="5"/>
  <c r="R6581" i="5"/>
  <c r="P6581" i="5"/>
  <c r="Q6581" i="5"/>
  <c r="S6581" i="5"/>
  <c r="R6582" i="5"/>
  <c r="P6582" i="5"/>
  <c r="Q6582" i="5"/>
  <c r="S6582" i="5"/>
  <c r="R6583" i="5"/>
  <c r="P6583" i="5"/>
  <c r="Q6583" i="5"/>
  <c r="S6583" i="5"/>
  <c r="P6584" i="5"/>
  <c r="Q6584" i="5"/>
  <c r="R6585" i="5"/>
  <c r="P6585" i="5"/>
  <c r="Q6585" i="5"/>
  <c r="S6585" i="5"/>
  <c r="R6586" i="5"/>
  <c r="P6586" i="5"/>
  <c r="Q6586" i="5"/>
  <c r="S6586" i="5"/>
  <c r="R6587" i="5"/>
  <c r="P6587" i="5"/>
  <c r="Q6587" i="5"/>
  <c r="S6587" i="5"/>
  <c r="P6588" i="5"/>
  <c r="Q6588" i="5"/>
  <c r="R6589" i="5"/>
  <c r="P6589" i="5"/>
  <c r="Q6589" i="5"/>
  <c r="S6589" i="5"/>
  <c r="P6590" i="5"/>
  <c r="Q6590" i="5"/>
  <c r="R6590" i="5"/>
  <c r="S6590" i="5"/>
  <c r="R6591" i="5"/>
  <c r="P6591" i="5"/>
  <c r="Q6591" i="5"/>
  <c r="S6591" i="5"/>
  <c r="P6592" i="5"/>
  <c r="Q6592" i="5"/>
  <c r="R6593" i="5"/>
  <c r="P6593" i="5"/>
  <c r="Q6593" i="5"/>
  <c r="S6593" i="5"/>
  <c r="R6594" i="5"/>
  <c r="P6594" i="5"/>
  <c r="Q6594" i="5"/>
  <c r="S6594" i="5"/>
  <c r="R6595" i="5"/>
  <c r="P6595" i="5"/>
  <c r="Q6595" i="5"/>
  <c r="S6595" i="5"/>
  <c r="P6596" i="5"/>
  <c r="Q6596" i="5"/>
  <c r="R6597" i="5"/>
  <c r="P6597" i="5"/>
  <c r="Q6597" i="5"/>
  <c r="S6597" i="5"/>
  <c r="R6598" i="5"/>
  <c r="P6598" i="5"/>
  <c r="Q6598" i="5"/>
  <c r="S6598" i="5"/>
  <c r="R6599" i="5"/>
  <c r="P6599" i="5"/>
  <c r="Q6599" i="5"/>
  <c r="S6599" i="5"/>
  <c r="P6600" i="5"/>
  <c r="Q6600" i="5"/>
  <c r="R6601" i="5"/>
  <c r="P6601" i="5"/>
  <c r="Q6601" i="5"/>
  <c r="S6601" i="5"/>
  <c r="R6602" i="5"/>
  <c r="P6602" i="5"/>
  <c r="Q6602" i="5"/>
  <c r="S6602" i="5"/>
  <c r="R6603" i="5"/>
  <c r="P6603" i="5"/>
  <c r="Q6603" i="5"/>
  <c r="S6603" i="5"/>
  <c r="P6604" i="5"/>
  <c r="Q6604" i="5"/>
  <c r="R6605" i="5"/>
  <c r="P6605" i="5"/>
  <c r="Q6605" i="5"/>
  <c r="S6605" i="5"/>
  <c r="P6606" i="5"/>
  <c r="Q6606" i="5"/>
  <c r="R6606" i="5"/>
  <c r="S6606" i="5"/>
  <c r="R6607" i="5"/>
  <c r="P6607" i="5"/>
  <c r="Q6607" i="5"/>
  <c r="S6607" i="5"/>
  <c r="P6608" i="5"/>
  <c r="Q6608" i="5"/>
  <c r="R6609" i="5"/>
  <c r="P6609" i="5"/>
  <c r="Q6609" i="5"/>
  <c r="S6609" i="5"/>
  <c r="R6610" i="5"/>
  <c r="P6610" i="5"/>
  <c r="Q6610" i="5"/>
  <c r="S6610" i="5"/>
  <c r="R6611" i="5"/>
  <c r="P6611" i="5"/>
  <c r="Q6611" i="5"/>
  <c r="S6611" i="5"/>
  <c r="P6612" i="5"/>
  <c r="Q6612" i="5"/>
  <c r="R6613" i="5"/>
  <c r="P6613" i="5"/>
  <c r="Q6613" i="5"/>
  <c r="S6613" i="5"/>
  <c r="R6614" i="5"/>
  <c r="P6614" i="5"/>
  <c r="Q6614" i="5"/>
  <c r="S6614" i="5"/>
  <c r="R6615" i="5"/>
  <c r="P6615" i="5"/>
  <c r="Q6615" i="5"/>
  <c r="S6615" i="5"/>
  <c r="P6616" i="5"/>
  <c r="Q6616" i="5"/>
  <c r="R6617" i="5"/>
  <c r="P6617" i="5"/>
  <c r="Q6617" i="5"/>
  <c r="S6617" i="5"/>
  <c r="R6618" i="5"/>
  <c r="P6618" i="5"/>
  <c r="Q6618" i="5"/>
  <c r="S6618" i="5"/>
  <c r="R6619" i="5"/>
  <c r="P6619" i="5"/>
  <c r="Q6619" i="5"/>
  <c r="S6619" i="5"/>
  <c r="P6620" i="5"/>
  <c r="Q6620" i="5"/>
  <c r="R6621" i="5"/>
  <c r="P6621" i="5"/>
  <c r="Q6621" i="5"/>
  <c r="S6621" i="5"/>
  <c r="P6622" i="5"/>
  <c r="Q6622" i="5"/>
  <c r="R6622" i="5"/>
  <c r="S6622" i="5"/>
  <c r="R6623" i="5"/>
  <c r="P6623" i="5"/>
  <c r="Q6623" i="5"/>
  <c r="S6623" i="5"/>
  <c r="P6624" i="5"/>
  <c r="Q6624" i="5"/>
  <c r="R6625" i="5"/>
  <c r="P6625" i="5"/>
  <c r="Q6625" i="5"/>
  <c r="S6625" i="5"/>
  <c r="R6626" i="5"/>
  <c r="P6626" i="5"/>
  <c r="Q6626" i="5"/>
  <c r="S6626" i="5"/>
  <c r="R6627" i="5"/>
  <c r="P6627" i="5"/>
  <c r="Q6627" i="5"/>
  <c r="S6627" i="5"/>
  <c r="P6628" i="5"/>
  <c r="Q6628" i="5"/>
  <c r="R6629" i="5"/>
  <c r="P6629" i="5"/>
  <c r="Q6629" i="5"/>
  <c r="S6629" i="5"/>
  <c r="R6630" i="5"/>
  <c r="P6630" i="5"/>
  <c r="Q6630" i="5"/>
  <c r="S6630" i="5"/>
  <c r="R6631" i="5"/>
  <c r="P6631" i="5"/>
  <c r="Q6631" i="5"/>
  <c r="S6631" i="5"/>
  <c r="P6632" i="5"/>
  <c r="Q6632" i="5"/>
  <c r="R6633" i="5"/>
  <c r="P6633" i="5"/>
  <c r="Q6633" i="5"/>
  <c r="S6633" i="5"/>
  <c r="R6634" i="5"/>
  <c r="P6634" i="5"/>
  <c r="Q6634" i="5"/>
  <c r="S6634" i="5"/>
  <c r="R6635" i="5"/>
  <c r="P6635" i="5"/>
  <c r="Q6635" i="5"/>
  <c r="S6635" i="5"/>
  <c r="P6636" i="5"/>
  <c r="Q6636" i="5"/>
  <c r="R6637" i="5"/>
  <c r="P6637" i="5"/>
  <c r="Q6637" i="5"/>
  <c r="S6637" i="5"/>
  <c r="P6638" i="5"/>
  <c r="Q6638" i="5"/>
  <c r="R6638" i="5"/>
  <c r="S6638" i="5"/>
  <c r="R6639" i="5"/>
  <c r="P6639" i="5"/>
  <c r="Q6639" i="5"/>
  <c r="S6639" i="5"/>
  <c r="P6640" i="5"/>
  <c r="Q6640" i="5"/>
  <c r="R6641" i="5"/>
  <c r="P6641" i="5"/>
  <c r="Q6641" i="5"/>
  <c r="S6641" i="5"/>
  <c r="R6642" i="5"/>
  <c r="P6642" i="5"/>
  <c r="Q6642" i="5"/>
  <c r="S6642" i="5"/>
  <c r="R6643" i="5"/>
  <c r="P6643" i="5"/>
  <c r="Q6643" i="5"/>
  <c r="S6643" i="5"/>
  <c r="P6644" i="5"/>
  <c r="Q6644" i="5"/>
  <c r="R6645" i="5"/>
  <c r="P6645" i="5"/>
  <c r="Q6645" i="5"/>
  <c r="S6645" i="5"/>
  <c r="R6646" i="5"/>
  <c r="P6646" i="5"/>
  <c r="Q6646" i="5"/>
  <c r="S6646" i="5"/>
  <c r="R6647" i="5"/>
  <c r="P6647" i="5"/>
  <c r="Q6647" i="5"/>
  <c r="S6647" i="5"/>
  <c r="P6648" i="5"/>
  <c r="Q6648" i="5"/>
  <c r="R6649" i="5"/>
  <c r="P6649" i="5"/>
  <c r="Q6649" i="5"/>
  <c r="S6649" i="5"/>
  <c r="R6650" i="5"/>
  <c r="P6650" i="5"/>
  <c r="Q6650" i="5"/>
  <c r="S6650" i="5"/>
  <c r="R6651" i="5"/>
  <c r="P6651" i="5"/>
  <c r="Q6651" i="5"/>
  <c r="S6651" i="5"/>
  <c r="P6652" i="5"/>
  <c r="Q6652" i="5"/>
  <c r="R6653" i="5"/>
  <c r="P6653" i="5"/>
  <c r="Q6653" i="5"/>
  <c r="S6653" i="5"/>
  <c r="P6654" i="5"/>
  <c r="Q6654" i="5"/>
  <c r="R6654" i="5"/>
  <c r="S6654" i="5"/>
  <c r="R6655" i="5"/>
  <c r="P6655" i="5"/>
  <c r="Q6655" i="5"/>
  <c r="S6655" i="5"/>
  <c r="P6656" i="5"/>
  <c r="Q6656" i="5"/>
  <c r="R6657" i="5"/>
  <c r="P6657" i="5"/>
  <c r="Q6657" i="5"/>
  <c r="S6657" i="5"/>
  <c r="R6658" i="5"/>
  <c r="P6658" i="5"/>
  <c r="Q6658" i="5"/>
  <c r="S6658" i="5"/>
  <c r="R6659" i="5"/>
  <c r="P6659" i="5"/>
  <c r="Q6659" i="5"/>
  <c r="S6659" i="5"/>
  <c r="P6660" i="5"/>
  <c r="Q6660" i="5"/>
  <c r="R6661" i="5"/>
  <c r="P6661" i="5"/>
  <c r="Q6661" i="5"/>
  <c r="S6661" i="5"/>
  <c r="R6662" i="5"/>
  <c r="P6662" i="5"/>
  <c r="Q6662" i="5"/>
  <c r="S6662" i="5"/>
  <c r="R6663" i="5"/>
  <c r="P6663" i="5"/>
  <c r="Q6663" i="5"/>
  <c r="S6663" i="5"/>
  <c r="P6664" i="5"/>
  <c r="Q6664" i="5"/>
  <c r="R6665" i="5"/>
  <c r="P6665" i="5"/>
  <c r="Q6665" i="5"/>
  <c r="S6665" i="5"/>
  <c r="R6666" i="5"/>
  <c r="P6666" i="5"/>
  <c r="Q6666" i="5"/>
  <c r="S6666" i="5"/>
  <c r="R6667" i="5"/>
  <c r="P6667" i="5"/>
  <c r="Q6667" i="5"/>
  <c r="S6667" i="5"/>
  <c r="P6668" i="5"/>
  <c r="Q6668" i="5"/>
  <c r="R6669" i="5"/>
  <c r="P6669" i="5"/>
  <c r="Q6669" i="5"/>
  <c r="S6669" i="5"/>
  <c r="P6670" i="5"/>
  <c r="Q6670" i="5"/>
  <c r="R6670" i="5"/>
  <c r="S6670" i="5"/>
  <c r="R6671" i="5"/>
  <c r="P6671" i="5"/>
  <c r="Q6671" i="5"/>
  <c r="S6671" i="5"/>
  <c r="P6672" i="5"/>
  <c r="Q6672" i="5"/>
  <c r="R6673" i="5"/>
  <c r="P6673" i="5"/>
  <c r="Q6673" i="5"/>
  <c r="S6673" i="5"/>
  <c r="R6674" i="5"/>
  <c r="P6674" i="5"/>
  <c r="Q6674" i="5"/>
  <c r="S6674" i="5"/>
  <c r="R6675" i="5"/>
  <c r="P6675" i="5"/>
  <c r="Q6675" i="5"/>
  <c r="S6675" i="5"/>
  <c r="P6676" i="5"/>
  <c r="Q6676" i="5"/>
  <c r="R6677" i="5"/>
  <c r="P6677" i="5"/>
  <c r="Q6677" i="5"/>
  <c r="S6677" i="5"/>
  <c r="R6678" i="5"/>
  <c r="P6678" i="5"/>
  <c r="Q6678" i="5"/>
  <c r="S6678" i="5"/>
  <c r="R6679" i="5"/>
  <c r="P6679" i="5"/>
  <c r="Q6679" i="5"/>
  <c r="S6679" i="5"/>
  <c r="P6680" i="5"/>
  <c r="Q6680" i="5"/>
  <c r="R6681" i="5"/>
  <c r="P6681" i="5"/>
  <c r="Q6681" i="5"/>
  <c r="S6681" i="5"/>
  <c r="R6682" i="5"/>
  <c r="P6682" i="5"/>
  <c r="Q6682" i="5"/>
  <c r="S6682" i="5"/>
  <c r="R6683" i="5"/>
  <c r="P6683" i="5"/>
  <c r="Q6683" i="5"/>
  <c r="S6683" i="5"/>
  <c r="P6684" i="5"/>
  <c r="Q6684" i="5"/>
  <c r="R6685" i="5"/>
  <c r="P6685" i="5"/>
  <c r="Q6685" i="5"/>
  <c r="S6685" i="5"/>
  <c r="P6686" i="5"/>
  <c r="Q6686" i="5"/>
  <c r="R6686" i="5"/>
  <c r="S6686" i="5"/>
  <c r="R6687" i="5"/>
  <c r="P6687" i="5"/>
  <c r="Q6687" i="5"/>
  <c r="S6687" i="5"/>
  <c r="P6688" i="5"/>
  <c r="Q6688" i="5"/>
  <c r="R6689" i="5"/>
  <c r="P6689" i="5"/>
  <c r="Q6689" i="5"/>
  <c r="S6689" i="5"/>
  <c r="R6690" i="5"/>
  <c r="P6690" i="5"/>
  <c r="Q6690" i="5"/>
  <c r="S6690" i="5"/>
  <c r="R6691" i="5"/>
  <c r="P6691" i="5"/>
  <c r="Q6691" i="5"/>
  <c r="S6691" i="5"/>
  <c r="P6692" i="5"/>
  <c r="Q6692" i="5"/>
  <c r="R6693" i="5"/>
  <c r="P6693" i="5"/>
  <c r="Q6693" i="5"/>
  <c r="S6693" i="5"/>
  <c r="R6694" i="5"/>
  <c r="P6694" i="5"/>
  <c r="Q6694" i="5"/>
  <c r="S6694" i="5"/>
  <c r="R6695" i="5"/>
  <c r="P6695" i="5"/>
  <c r="Q6695" i="5"/>
  <c r="S6695" i="5"/>
  <c r="P6696" i="5"/>
  <c r="Q6696" i="5"/>
  <c r="R6697" i="5"/>
  <c r="P6697" i="5"/>
  <c r="Q6697" i="5"/>
  <c r="S6697" i="5"/>
  <c r="R6698" i="5"/>
  <c r="P6698" i="5"/>
  <c r="Q6698" i="5"/>
  <c r="S6698" i="5"/>
  <c r="R6699" i="5"/>
  <c r="P6699" i="5"/>
  <c r="Q6699" i="5"/>
  <c r="S6699" i="5"/>
  <c r="P6700" i="5"/>
  <c r="Q6700" i="5"/>
  <c r="R6701" i="5"/>
  <c r="P6701" i="5"/>
  <c r="Q6701" i="5"/>
  <c r="S6701" i="5"/>
  <c r="P6702" i="5"/>
  <c r="Q6702" i="5"/>
  <c r="R6702" i="5"/>
  <c r="S6702" i="5"/>
  <c r="R6703" i="5"/>
  <c r="P6703" i="5"/>
  <c r="Q6703" i="5"/>
  <c r="S6703" i="5"/>
  <c r="P6704" i="5"/>
  <c r="Q6704" i="5"/>
  <c r="R6705" i="5"/>
  <c r="P6705" i="5"/>
  <c r="Q6705" i="5"/>
  <c r="S6705" i="5"/>
  <c r="R6706" i="5"/>
  <c r="P6706" i="5"/>
  <c r="Q6706" i="5"/>
  <c r="S6706" i="5"/>
  <c r="R6707" i="5"/>
  <c r="P6707" i="5"/>
  <c r="Q6707" i="5"/>
  <c r="S6707" i="5"/>
  <c r="P6708" i="5"/>
  <c r="Q6708" i="5"/>
  <c r="R6709" i="5"/>
  <c r="P6709" i="5"/>
  <c r="Q6709" i="5"/>
  <c r="S6709" i="5"/>
  <c r="R6710" i="5"/>
  <c r="P6710" i="5"/>
  <c r="Q6710" i="5"/>
  <c r="S6710" i="5"/>
  <c r="R6711" i="5"/>
  <c r="P6711" i="5"/>
  <c r="Q6711" i="5"/>
  <c r="S6711" i="5"/>
  <c r="P6712" i="5"/>
  <c r="Q6712" i="5"/>
  <c r="R6713" i="5"/>
  <c r="P6713" i="5"/>
  <c r="Q6713" i="5"/>
  <c r="S6713" i="5"/>
  <c r="R6714" i="5"/>
  <c r="P6714" i="5"/>
  <c r="Q6714" i="5"/>
  <c r="S6714" i="5"/>
  <c r="R6715" i="5"/>
  <c r="P6715" i="5"/>
  <c r="Q6715" i="5"/>
  <c r="S6715" i="5"/>
  <c r="P6716" i="5"/>
  <c r="Q6716" i="5"/>
  <c r="R6717" i="5"/>
  <c r="P6717" i="5"/>
  <c r="Q6717" i="5"/>
  <c r="S6717" i="5"/>
  <c r="P6718" i="5"/>
  <c r="Q6718" i="5"/>
  <c r="R6718" i="5"/>
  <c r="S6718" i="5"/>
  <c r="R6719" i="5"/>
  <c r="P6719" i="5"/>
  <c r="Q6719" i="5"/>
  <c r="S6719" i="5"/>
  <c r="P6720" i="5"/>
  <c r="Q6720" i="5"/>
  <c r="R6721" i="5"/>
  <c r="P6721" i="5"/>
  <c r="Q6721" i="5"/>
  <c r="S6721" i="5"/>
  <c r="R6722" i="5"/>
  <c r="P6722" i="5"/>
  <c r="Q6722" i="5"/>
  <c r="S6722" i="5"/>
  <c r="R6723" i="5"/>
  <c r="P6723" i="5"/>
  <c r="Q6723" i="5"/>
  <c r="S6723" i="5"/>
  <c r="P6724" i="5"/>
  <c r="Q6724" i="5"/>
  <c r="R6725" i="5"/>
  <c r="P6725" i="5"/>
  <c r="Q6725" i="5"/>
  <c r="S6725" i="5"/>
  <c r="R6726" i="5"/>
  <c r="P6726" i="5"/>
  <c r="Q6726" i="5"/>
  <c r="S6726" i="5"/>
  <c r="R6727" i="5"/>
  <c r="P6727" i="5"/>
  <c r="Q6727" i="5"/>
  <c r="S6727" i="5"/>
  <c r="P6728" i="5"/>
  <c r="Q6728" i="5"/>
  <c r="R6729" i="5"/>
  <c r="P6729" i="5"/>
  <c r="Q6729" i="5"/>
  <c r="S6729" i="5"/>
  <c r="R6730" i="5"/>
  <c r="P6730" i="5"/>
  <c r="Q6730" i="5"/>
  <c r="S6730" i="5"/>
  <c r="R6731" i="5"/>
  <c r="P6731" i="5"/>
  <c r="Q6731" i="5"/>
  <c r="S6731" i="5"/>
  <c r="P6732" i="5"/>
  <c r="Q6732" i="5"/>
  <c r="R6733" i="5"/>
  <c r="P6733" i="5"/>
  <c r="Q6733" i="5"/>
  <c r="S6733" i="5"/>
  <c r="P6734" i="5"/>
  <c r="Q6734" i="5"/>
  <c r="R6734" i="5"/>
  <c r="S6734" i="5"/>
  <c r="R6735" i="5"/>
  <c r="P6735" i="5"/>
  <c r="Q6735" i="5"/>
  <c r="S6735" i="5"/>
  <c r="P6736" i="5"/>
  <c r="Q6736" i="5"/>
  <c r="R6737" i="5"/>
  <c r="P6737" i="5"/>
  <c r="Q6737" i="5"/>
  <c r="S6737" i="5"/>
  <c r="R6738" i="5"/>
  <c r="P6738" i="5"/>
  <c r="Q6738" i="5"/>
  <c r="S6738" i="5"/>
  <c r="R6739" i="5"/>
  <c r="P6739" i="5"/>
  <c r="Q6739" i="5"/>
  <c r="S6739" i="5"/>
  <c r="P6740" i="5"/>
  <c r="Q6740" i="5"/>
  <c r="R6741" i="5"/>
  <c r="P6741" i="5"/>
  <c r="Q6741" i="5"/>
  <c r="S6741" i="5"/>
  <c r="R6742" i="5"/>
  <c r="P6742" i="5"/>
  <c r="Q6742" i="5"/>
  <c r="S6742" i="5"/>
  <c r="R6743" i="5"/>
  <c r="P6743" i="5"/>
  <c r="Q6743" i="5"/>
  <c r="S6743" i="5"/>
  <c r="P6744" i="5"/>
  <c r="Q6744" i="5"/>
  <c r="R6745" i="5"/>
  <c r="P6745" i="5"/>
  <c r="Q6745" i="5"/>
  <c r="S6745" i="5"/>
  <c r="R6746" i="5"/>
  <c r="P6746" i="5"/>
  <c r="Q6746" i="5"/>
  <c r="S6746" i="5"/>
  <c r="R6747" i="5"/>
  <c r="P6747" i="5"/>
  <c r="Q6747" i="5"/>
  <c r="S6747" i="5"/>
  <c r="P6748" i="5"/>
  <c r="Q6748" i="5"/>
  <c r="R6749" i="5"/>
  <c r="P6749" i="5"/>
  <c r="Q6749" i="5"/>
  <c r="S6749" i="5"/>
  <c r="P6750" i="5"/>
  <c r="Q6750" i="5"/>
  <c r="R6750" i="5"/>
  <c r="S6750" i="5"/>
  <c r="R6751" i="5"/>
  <c r="P6751" i="5"/>
  <c r="Q6751" i="5"/>
  <c r="S6751" i="5"/>
  <c r="P6752" i="5"/>
  <c r="Q6752" i="5"/>
  <c r="R6753" i="5"/>
  <c r="P6753" i="5"/>
  <c r="Q6753" i="5"/>
  <c r="S6753" i="5"/>
  <c r="R6754" i="5"/>
  <c r="P6754" i="5"/>
  <c r="Q6754" i="5"/>
  <c r="S6754" i="5"/>
  <c r="R6755" i="5"/>
  <c r="P6755" i="5"/>
  <c r="Q6755" i="5"/>
  <c r="S6755" i="5"/>
  <c r="P6756" i="5"/>
  <c r="Q6756" i="5"/>
  <c r="R6757" i="5"/>
  <c r="P6757" i="5"/>
  <c r="Q6757" i="5"/>
  <c r="S6757" i="5"/>
  <c r="R6758" i="5"/>
  <c r="P6758" i="5"/>
  <c r="Q6758" i="5"/>
  <c r="S6758" i="5"/>
  <c r="R6759" i="5"/>
  <c r="P6759" i="5"/>
  <c r="Q6759" i="5"/>
  <c r="S6759" i="5"/>
  <c r="P6760" i="5"/>
  <c r="Q6760" i="5"/>
  <c r="R6761" i="5"/>
  <c r="P6761" i="5"/>
  <c r="Q6761" i="5"/>
  <c r="S6761" i="5"/>
  <c r="R6762" i="5"/>
  <c r="P6762" i="5"/>
  <c r="Q6762" i="5"/>
  <c r="S6762" i="5"/>
  <c r="R6763" i="5"/>
  <c r="P6763" i="5"/>
  <c r="Q6763" i="5"/>
  <c r="S6763" i="5"/>
  <c r="P6764" i="5"/>
  <c r="Q6764" i="5"/>
  <c r="R6765" i="5"/>
  <c r="P6765" i="5"/>
  <c r="Q6765" i="5"/>
  <c r="S6765" i="5"/>
  <c r="P6766" i="5"/>
  <c r="Q6766" i="5"/>
  <c r="R6766" i="5"/>
  <c r="S6766" i="5"/>
  <c r="R6767" i="5"/>
  <c r="P6767" i="5"/>
  <c r="Q6767" i="5"/>
  <c r="S6767" i="5"/>
  <c r="P6768" i="5"/>
  <c r="Q6768" i="5"/>
  <c r="R6769" i="5"/>
  <c r="P6769" i="5"/>
  <c r="Q6769" i="5"/>
  <c r="S6769" i="5"/>
  <c r="R6770" i="5"/>
  <c r="P6770" i="5"/>
  <c r="Q6770" i="5"/>
  <c r="S6770" i="5"/>
  <c r="R6771" i="5"/>
  <c r="P6771" i="5"/>
  <c r="Q6771" i="5"/>
  <c r="S6771" i="5"/>
  <c r="P6772" i="5"/>
  <c r="Q6772" i="5"/>
  <c r="R6773" i="5"/>
  <c r="P6773" i="5"/>
  <c r="Q6773" i="5"/>
  <c r="S6773" i="5"/>
  <c r="R6774" i="5"/>
  <c r="P6774" i="5"/>
  <c r="Q6774" i="5"/>
  <c r="S6774" i="5"/>
  <c r="R6775" i="5"/>
  <c r="P6775" i="5"/>
  <c r="Q6775" i="5"/>
  <c r="S6775" i="5"/>
  <c r="P6776" i="5"/>
  <c r="Q6776" i="5"/>
  <c r="R6777" i="5"/>
  <c r="P6777" i="5"/>
  <c r="Q6777" i="5"/>
  <c r="S6777" i="5"/>
  <c r="R6778" i="5"/>
  <c r="P6778" i="5"/>
  <c r="Q6778" i="5"/>
  <c r="S6778" i="5"/>
  <c r="R6779" i="5"/>
  <c r="P6779" i="5"/>
  <c r="Q6779" i="5"/>
  <c r="S6779" i="5"/>
  <c r="P6780" i="5"/>
  <c r="Q6780" i="5"/>
  <c r="R6781" i="5"/>
  <c r="P6781" i="5"/>
  <c r="Q6781" i="5"/>
  <c r="S6781" i="5"/>
  <c r="P6782" i="5"/>
  <c r="Q6782" i="5"/>
  <c r="R6782" i="5"/>
  <c r="S6782" i="5"/>
  <c r="R6783" i="5"/>
  <c r="P6783" i="5"/>
  <c r="Q6783" i="5"/>
  <c r="S6783" i="5"/>
  <c r="P6784" i="5"/>
  <c r="Q6784" i="5"/>
  <c r="R6785" i="5"/>
  <c r="P6785" i="5"/>
  <c r="Q6785" i="5"/>
  <c r="S6785" i="5"/>
  <c r="R6786" i="5"/>
  <c r="P6786" i="5"/>
  <c r="Q6786" i="5"/>
  <c r="S6786" i="5"/>
  <c r="R6787" i="5"/>
  <c r="P6787" i="5"/>
  <c r="Q6787" i="5"/>
  <c r="S6787" i="5"/>
  <c r="P6788" i="5"/>
  <c r="Q6788" i="5"/>
  <c r="R6789" i="5"/>
  <c r="P6789" i="5"/>
  <c r="Q6789" i="5"/>
  <c r="S6789" i="5"/>
  <c r="R6790" i="5"/>
  <c r="P6790" i="5"/>
  <c r="Q6790" i="5"/>
  <c r="S6790" i="5"/>
  <c r="R6791" i="5"/>
  <c r="P6791" i="5"/>
  <c r="Q6791" i="5"/>
  <c r="S6791" i="5"/>
  <c r="P6792" i="5"/>
  <c r="Q6792" i="5"/>
  <c r="R6793" i="5"/>
  <c r="P6793" i="5"/>
  <c r="Q6793" i="5"/>
  <c r="S6793" i="5"/>
  <c r="R6794" i="5"/>
  <c r="P6794" i="5"/>
  <c r="Q6794" i="5"/>
  <c r="S6794" i="5"/>
  <c r="R6795" i="5"/>
  <c r="P6795" i="5"/>
  <c r="Q6795" i="5"/>
  <c r="S6795" i="5"/>
  <c r="P6796" i="5"/>
  <c r="Q6796" i="5"/>
  <c r="R6797" i="5"/>
  <c r="P6797" i="5"/>
  <c r="Q6797" i="5"/>
  <c r="S6797" i="5"/>
  <c r="P6798" i="5"/>
  <c r="Q6798" i="5"/>
  <c r="R6798" i="5"/>
  <c r="S6798" i="5"/>
  <c r="R6799" i="5"/>
  <c r="P6799" i="5"/>
  <c r="Q6799" i="5"/>
  <c r="S6799" i="5"/>
  <c r="P6800" i="5"/>
  <c r="Q6800" i="5"/>
  <c r="R6801" i="5"/>
  <c r="P6801" i="5"/>
  <c r="Q6801" i="5"/>
  <c r="S6801" i="5"/>
  <c r="R6802" i="5"/>
  <c r="P6802" i="5"/>
  <c r="Q6802" i="5"/>
  <c r="S6802" i="5"/>
  <c r="R6803" i="5"/>
  <c r="P6803" i="5"/>
  <c r="Q6803" i="5"/>
  <c r="S6803" i="5"/>
  <c r="P6804" i="5"/>
  <c r="Q6804" i="5"/>
  <c r="R6805" i="5"/>
  <c r="P6805" i="5"/>
  <c r="Q6805" i="5"/>
  <c r="S6805" i="5"/>
  <c r="R6806" i="5"/>
  <c r="P6806" i="5"/>
  <c r="Q6806" i="5"/>
  <c r="S6806" i="5"/>
  <c r="R6807" i="5"/>
  <c r="P6807" i="5"/>
  <c r="Q6807" i="5"/>
  <c r="S6807" i="5"/>
  <c r="P6808" i="5"/>
  <c r="Q6808" i="5"/>
  <c r="R6809" i="5"/>
  <c r="P6809" i="5"/>
  <c r="Q6809" i="5"/>
  <c r="S6809" i="5"/>
  <c r="R6810" i="5"/>
  <c r="P6810" i="5"/>
  <c r="Q6810" i="5"/>
  <c r="S6810" i="5"/>
  <c r="R6811" i="5"/>
  <c r="P6811" i="5"/>
  <c r="Q6811" i="5"/>
  <c r="S6811" i="5"/>
  <c r="P6812" i="5"/>
  <c r="Q6812" i="5"/>
  <c r="R6813" i="5"/>
  <c r="P6813" i="5"/>
  <c r="Q6813" i="5"/>
  <c r="S6813" i="5"/>
  <c r="P6814" i="5"/>
  <c r="Q6814" i="5"/>
  <c r="R6814" i="5"/>
  <c r="S6814" i="5"/>
  <c r="R6815" i="5"/>
  <c r="P6815" i="5"/>
  <c r="Q6815" i="5"/>
  <c r="S6815" i="5"/>
  <c r="P6816" i="5"/>
  <c r="Q6816" i="5"/>
  <c r="R6817" i="5"/>
  <c r="P6817" i="5"/>
  <c r="Q6817" i="5"/>
  <c r="S6817" i="5"/>
  <c r="R6818" i="5"/>
  <c r="P6818" i="5"/>
  <c r="Q6818" i="5"/>
  <c r="S6818" i="5"/>
  <c r="R6819" i="5"/>
  <c r="P6819" i="5"/>
  <c r="Q6819" i="5"/>
  <c r="S6819" i="5"/>
  <c r="P6820" i="5"/>
  <c r="Q6820" i="5"/>
  <c r="R6821" i="5"/>
  <c r="P6821" i="5"/>
  <c r="Q6821" i="5"/>
  <c r="S6821" i="5"/>
  <c r="R6822" i="5"/>
  <c r="P6822" i="5"/>
  <c r="Q6822" i="5"/>
  <c r="S6822" i="5"/>
  <c r="R6823" i="5"/>
  <c r="P6823" i="5"/>
  <c r="Q6823" i="5"/>
  <c r="S6823" i="5"/>
  <c r="P6824" i="5"/>
  <c r="Q6824" i="5"/>
  <c r="R6825" i="5"/>
  <c r="P6825" i="5"/>
  <c r="Q6825" i="5"/>
  <c r="S6825" i="5"/>
  <c r="R6826" i="5"/>
  <c r="P6826" i="5"/>
  <c r="Q6826" i="5"/>
  <c r="S6826" i="5"/>
  <c r="R6827" i="5"/>
  <c r="P6827" i="5"/>
  <c r="Q6827" i="5"/>
  <c r="S6827" i="5"/>
  <c r="P6828" i="5"/>
  <c r="Q6828" i="5"/>
  <c r="R6829" i="5"/>
  <c r="P6829" i="5"/>
  <c r="Q6829" i="5"/>
  <c r="S6829" i="5"/>
  <c r="P6830" i="5"/>
  <c r="Q6830" i="5"/>
  <c r="R6830" i="5"/>
  <c r="S6830" i="5"/>
  <c r="R6831" i="5"/>
  <c r="P6831" i="5"/>
  <c r="Q6831" i="5"/>
  <c r="S6831" i="5"/>
  <c r="P6832" i="5"/>
  <c r="Q6832" i="5"/>
  <c r="R6833" i="5"/>
  <c r="P6833" i="5"/>
  <c r="Q6833" i="5"/>
  <c r="S6833" i="5"/>
  <c r="R6834" i="5"/>
  <c r="P6834" i="5"/>
  <c r="Q6834" i="5"/>
  <c r="S6834" i="5"/>
  <c r="R6835" i="5"/>
  <c r="P6835" i="5"/>
  <c r="Q6835" i="5"/>
  <c r="S6835" i="5"/>
  <c r="P6836" i="5"/>
  <c r="Q6836" i="5"/>
  <c r="R6837" i="5"/>
  <c r="P6837" i="5"/>
  <c r="Q6837" i="5"/>
  <c r="S6837" i="5"/>
  <c r="R6838" i="5"/>
  <c r="P6838" i="5"/>
  <c r="Q6838" i="5"/>
  <c r="S6838" i="5"/>
  <c r="R6839" i="5"/>
  <c r="P6839" i="5"/>
  <c r="Q6839" i="5"/>
  <c r="S6839" i="5"/>
  <c r="P6840" i="5"/>
  <c r="Q6840" i="5"/>
  <c r="R6841" i="5"/>
  <c r="P6841" i="5"/>
  <c r="Q6841" i="5"/>
  <c r="S6841" i="5"/>
  <c r="R6842" i="5"/>
  <c r="P6842" i="5"/>
  <c r="Q6842" i="5"/>
  <c r="S6842" i="5"/>
  <c r="R6843" i="5"/>
  <c r="P6843" i="5"/>
  <c r="Q6843" i="5"/>
  <c r="S6843" i="5"/>
  <c r="P6844" i="5"/>
  <c r="Q6844" i="5"/>
  <c r="R6845" i="5"/>
  <c r="P6845" i="5"/>
  <c r="Q6845" i="5"/>
  <c r="S6845" i="5"/>
  <c r="P6846" i="5"/>
  <c r="Q6846" i="5"/>
  <c r="R6846" i="5"/>
  <c r="S6846" i="5"/>
  <c r="R6847" i="5"/>
  <c r="P6847" i="5"/>
  <c r="Q6847" i="5"/>
  <c r="S6847" i="5"/>
  <c r="P6848" i="5"/>
  <c r="Q6848" i="5"/>
  <c r="R6849" i="5"/>
  <c r="P6849" i="5"/>
  <c r="Q6849" i="5"/>
  <c r="S6849" i="5"/>
  <c r="R6850" i="5"/>
  <c r="P6850" i="5"/>
  <c r="Q6850" i="5"/>
  <c r="S6850" i="5"/>
  <c r="R6851" i="5"/>
  <c r="P6851" i="5"/>
  <c r="Q6851" i="5"/>
  <c r="S6851" i="5"/>
  <c r="P6852" i="5"/>
  <c r="Q6852" i="5"/>
  <c r="R6853" i="5"/>
  <c r="P6853" i="5"/>
  <c r="Q6853" i="5"/>
  <c r="S6853" i="5"/>
  <c r="R6854" i="5"/>
  <c r="P6854" i="5"/>
  <c r="Q6854" i="5"/>
  <c r="S6854" i="5"/>
  <c r="R6855" i="5"/>
  <c r="P6855" i="5"/>
  <c r="Q6855" i="5"/>
  <c r="S6855" i="5"/>
  <c r="P6856" i="5"/>
  <c r="Q6856" i="5"/>
  <c r="R6857" i="5"/>
  <c r="P6857" i="5"/>
  <c r="Q6857" i="5"/>
  <c r="S6857" i="5"/>
  <c r="R6858" i="5"/>
  <c r="P6858" i="5"/>
  <c r="Q6858" i="5"/>
  <c r="S6858" i="5"/>
  <c r="R6859" i="5"/>
  <c r="P6859" i="5"/>
  <c r="Q6859" i="5"/>
  <c r="S6859" i="5"/>
  <c r="P6860" i="5"/>
  <c r="Q6860" i="5"/>
  <c r="R6861" i="5"/>
  <c r="P6861" i="5"/>
  <c r="Q6861" i="5"/>
  <c r="S6861" i="5"/>
  <c r="P6862" i="5"/>
  <c r="Q6862" i="5"/>
  <c r="R6862" i="5"/>
  <c r="S6862" i="5"/>
  <c r="R6863" i="5"/>
  <c r="P6863" i="5"/>
  <c r="Q6863" i="5"/>
  <c r="S6863" i="5"/>
  <c r="P6864" i="5"/>
  <c r="Q6864" i="5"/>
  <c r="R6865" i="5"/>
  <c r="P6865" i="5"/>
  <c r="Q6865" i="5"/>
  <c r="S6865" i="5"/>
  <c r="R6866" i="5"/>
  <c r="P6866" i="5"/>
  <c r="Q6866" i="5"/>
  <c r="S6866" i="5"/>
  <c r="R6867" i="5"/>
  <c r="P6867" i="5"/>
  <c r="Q6867" i="5"/>
  <c r="S6867" i="5"/>
  <c r="P6868" i="5"/>
  <c r="Q6868" i="5"/>
  <c r="R6869" i="5"/>
  <c r="P6869" i="5"/>
  <c r="Q6869" i="5"/>
  <c r="S6869" i="5"/>
  <c r="R6870" i="5"/>
  <c r="P6870" i="5"/>
  <c r="Q6870" i="5"/>
  <c r="S6870" i="5"/>
  <c r="R6871" i="5"/>
  <c r="P6871" i="5"/>
  <c r="Q6871" i="5"/>
  <c r="S6871" i="5"/>
  <c r="P6872" i="5"/>
  <c r="Q6872" i="5"/>
  <c r="R6873" i="5"/>
  <c r="P6873" i="5"/>
  <c r="Q6873" i="5"/>
  <c r="S6873" i="5"/>
  <c r="R6874" i="5"/>
  <c r="P6874" i="5"/>
  <c r="Q6874" i="5"/>
  <c r="S6874" i="5"/>
  <c r="R6875" i="5"/>
  <c r="P6875" i="5"/>
  <c r="Q6875" i="5"/>
  <c r="S6875" i="5"/>
  <c r="P6876" i="5"/>
  <c r="Q6876" i="5"/>
  <c r="R6877" i="5"/>
  <c r="P6877" i="5"/>
  <c r="Q6877" i="5"/>
  <c r="S6877" i="5"/>
  <c r="P6878" i="5"/>
  <c r="Q6878" i="5"/>
  <c r="R6878" i="5"/>
  <c r="S6878" i="5"/>
  <c r="R6879" i="5"/>
  <c r="P6879" i="5"/>
  <c r="Q6879" i="5"/>
  <c r="S6879" i="5"/>
  <c r="P6880" i="5"/>
  <c r="Q6880" i="5"/>
  <c r="R6881" i="5"/>
  <c r="P6881" i="5"/>
  <c r="Q6881" i="5"/>
  <c r="S6881" i="5"/>
  <c r="R6882" i="5"/>
  <c r="P6882" i="5"/>
  <c r="Q6882" i="5"/>
  <c r="S6882" i="5"/>
  <c r="R6883" i="5"/>
  <c r="P6883" i="5"/>
  <c r="Q6883" i="5"/>
  <c r="S6883" i="5"/>
  <c r="P6884" i="5"/>
  <c r="Q6884" i="5"/>
  <c r="R6885" i="5"/>
  <c r="P6885" i="5"/>
  <c r="Q6885" i="5"/>
  <c r="S6885" i="5"/>
  <c r="R6886" i="5"/>
  <c r="P6886" i="5"/>
  <c r="Q6886" i="5"/>
  <c r="S6886" i="5"/>
  <c r="R6887" i="5"/>
  <c r="P6887" i="5"/>
  <c r="Q6887" i="5"/>
  <c r="S6887" i="5"/>
  <c r="P6888" i="5"/>
  <c r="Q6888" i="5"/>
  <c r="R6889" i="5"/>
  <c r="P6889" i="5"/>
  <c r="Q6889" i="5"/>
  <c r="S6889" i="5"/>
  <c r="R6890" i="5"/>
  <c r="P6890" i="5"/>
  <c r="Q6890" i="5"/>
  <c r="S6890" i="5"/>
  <c r="R6891" i="5"/>
  <c r="P6891" i="5"/>
  <c r="Q6891" i="5"/>
  <c r="S6891" i="5"/>
  <c r="P6892" i="5"/>
  <c r="Q6892" i="5"/>
  <c r="R6893" i="5"/>
  <c r="P6893" i="5"/>
  <c r="Q6893" i="5"/>
  <c r="S6893" i="5"/>
  <c r="P6894" i="5"/>
  <c r="Q6894" i="5"/>
  <c r="R6894" i="5"/>
  <c r="S6894" i="5"/>
  <c r="R6895" i="5"/>
  <c r="P6895" i="5"/>
  <c r="Q6895" i="5"/>
  <c r="S6895" i="5"/>
  <c r="P6896" i="5"/>
  <c r="Q6896" i="5"/>
  <c r="R6897" i="5"/>
  <c r="P6897" i="5"/>
  <c r="Q6897" i="5"/>
  <c r="S6897" i="5"/>
  <c r="R6898" i="5"/>
  <c r="P6898" i="5"/>
  <c r="Q6898" i="5"/>
  <c r="S6898" i="5"/>
  <c r="R6899" i="5"/>
  <c r="P6899" i="5"/>
  <c r="Q6899" i="5"/>
  <c r="S6899" i="5"/>
  <c r="P6900" i="5"/>
  <c r="Q6900" i="5"/>
  <c r="R6901" i="5"/>
  <c r="P6901" i="5"/>
  <c r="Q6901" i="5"/>
  <c r="S6901" i="5"/>
  <c r="R6902" i="5"/>
  <c r="P6902" i="5"/>
  <c r="Q6902" i="5"/>
  <c r="S6902" i="5"/>
  <c r="R6903" i="5"/>
  <c r="P6903" i="5"/>
  <c r="Q6903" i="5"/>
  <c r="S6903" i="5"/>
  <c r="P6904" i="5"/>
  <c r="Q6904" i="5"/>
  <c r="R6905" i="5"/>
  <c r="P6905" i="5"/>
  <c r="Q6905" i="5"/>
  <c r="S6905" i="5"/>
  <c r="R6906" i="5"/>
  <c r="P6906" i="5"/>
  <c r="Q6906" i="5"/>
  <c r="S6906" i="5"/>
  <c r="R6907" i="5"/>
  <c r="P6907" i="5"/>
  <c r="Q6907" i="5"/>
  <c r="S6907" i="5"/>
  <c r="P6908" i="5"/>
  <c r="Q6908" i="5"/>
  <c r="R6909" i="5"/>
  <c r="P6909" i="5"/>
  <c r="Q6909" i="5"/>
  <c r="S6909" i="5"/>
  <c r="P6910" i="5"/>
  <c r="Q6910" i="5"/>
  <c r="R6910" i="5"/>
  <c r="S6910" i="5"/>
  <c r="R6911" i="5"/>
  <c r="P6911" i="5"/>
  <c r="Q6911" i="5"/>
  <c r="S6911" i="5"/>
  <c r="P6912" i="5"/>
  <c r="Q6912" i="5"/>
  <c r="R6913" i="5"/>
  <c r="P6913" i="5"/>
  <c r="Q6913" i="5"/>
  <c r="S6913" i="5"/>
  <c r="R6914" i="5"/>
  <c r="P6914" i="5"/>
  <c r="Q6914" i="5"/>
  <c r="S6914" i="5"/>
  <c r="R6915" i="5"/>
  <c r="P6915" i="5"/>
  <c r="Q6915" i="5"/>
  <c r="S6915" i="5"/>
  <c r="P6916" i="5"/>
  <c r="Q6916" i="5"/>
  <c r="R6917" i="5"/>
  <c r="P6917" i="5"/>
  <c r="Q6917" i="5"/>
  <c r="S6917" i="5"/>
  <c r="R6918" i="5"/>
  <c r="P6918" i="5"/>
  <c r="Q6918" i="5"/>
  <c r="S6918" i="5"/>
  <c r="R6919" i="5"/>
  <c r="P6919" i="5"/>
  <c r="Q6919" i="5"/>
  <c r="S6919" i="5"/>
  <c r="P6920" i="5"/>
  <c r="Q6920" i="5"/>
  <c r="R6921" i="5"/>
  <c r="P6921" i="5"/>
  <c r="Q6921" i="5"/>
  <c r="S6921" i="5"/>
  <c r="R6922" i="5"/>
  <c r="P6922" i="5"/>
  <c r="Q6922" i="5"/>
  <c r="S6922" i="5"/>
  <c r="R6923" i="5"/>
  <c r="P6923" i="5"/>
  <c r="Q6923" i="5"/>
  <c r="S6923" i="5"/>
  <c r="P6924" i="5"/>
  <c r="Q6924" i="5"/>
  <c r="R6925" i="5"/>
  <c r="P6925" i="5"/>
  <c r="Q6925" i="5"/>
  <c r="S6925" i="5"/>
  <c r="P6926" i="5"/>
  <c r="Q6926" i="5"/>
  <c r="R6926" i="5"/>
  <c r="S6926" i="5"/>
  <c r="R6927" i="5"/>
  <c r="P6927" i="5"/>
  <c r="Q6927" i="5"/>
  <c r="S6927" i="5"/>
  <c r="P6928" i="5"/>
  <c r="Q6928" i="5"/>
  <c r="R6929" i="5"/>
  <c r="P6929" i="5"/>
  <c r="Q6929" i="5"/>
  <c r="S6929" i="5"/>
  <c r="P6930" i="5"/>
  <c r="Q6930" i="5"/>
  <c r="R6930" i="5"/>
  <c r="S6930" i="5"/>
  <c r="R6931" i="5"/>
  <c r="P6931" i="5"/>
  <c r="Q6931" i="5"/>
  <c r="S6931" i="5"/>
  <c r="P6932" i="5"/>
  <c r="Q6932" i="5"/>
  <c r="R6933" i="5"/>
  <c r="P6933" i="5"/>
  <c r="Q6933" i="5"/>
  <c r="S6933" i="5"/>
  <c r="R6934" i="5"/>
  <c r="P6934" i="5"/>
  <c r="Q6934" i="5"/>
  <c r="S6934" i="5"/>
  <c r="R6935" i="5"/>
  <c r="P6935" i="5"/>
  <c r="Q6935" i="5"/>
  <c r="S6935" i="5"/>
  <c r="P6936" i="5"/>
  <c r="Q6936" i="5"/>
  <c r="R6937" i="5"/>
  <c r="P6937" i="5"/>
  <c r="Q6937" i="5"/>
  <c r="S6937" i="5"/>
  <c r="R6938" i="5"/>
  <c r="P6938" i="5"/>
  <c r="Q6938" i="5"/>
  <c r="S6938" i="5"/>
  <c r="R6939" i="5"/>
  <c r="P6939" i="5"/>
  <c r="Q6939" i="5"/>
  <c r="S6939" i="5"/>
  <c r="P6940" i="5"/>
  <c r="Q6940" i="5"/>
  <c r="R6941" i="5"/>
  <c r="P6941" i="5"/>
  <c r="Q6941" i="5"/>
  <c r="S6941" i="5"/>
  <c r="R6942" i="5"/>
  <c r="P6942" i="5"/>
  <c r="Q6942" i="5"/>
  <c r="S6942" i="5"/>
  <c r="R6943" i="5"/>
  <c r="P6943" i="5"/>
  <c r="Q6943" i="5"/>
  <c r="S6943" i="5"/>
  <c r="P6944" i="5"/>
  <c r="Q6944" i="5"/>
  <c r="R6945" i="5"/>
  <c r="P6945" i="5"/>
  <c r="Q6945" i="5"/>
  <c r="S6945" i="5"/>
  <c r="P6946" i="5"/>
  <c r="Q6946" i="5"/>
  <c r="R6946" i="5"/>
  <c r="S6946" i="5"/>
  <c r="R6947" i="5"/>
  <c r="P6947" i="5"/>
  <c r="Q6947" i="5"/>
  <c r="S6947" i="5"/>
  <c r="P6948" i="5"/>
  <c r="Q6948" i="5"/>
  <c r="R6949" i="5"/>
  <c r="P6949" i="5"/>
  <c r="Q6949" i="5"/>
  <c r="S6949" i="5"/>
  <c r="R6950" i="5"/>
  <c r="P6950" i="5"/>
  <c r="Q6950" i="5"/>
  <c r="S6950" i="5"/>
  <c r="R6951" i="5"/>
  <c r="P6951" i="5"/>
  <c r="Q6951" i="5"/>
  <c r="S6951" i="5"/>
  <c r="P6952" i="5"/>
  <c r="Q6952" i="5"/>
  <c r="R6953" i="5"/>
  <c r="P6953" i="5"/>
  <c r="Q6953" i="5"/>
  <c r="S6953" i="5"/>
  <c r="P6954" i="5"/>
  <c r="Q6954" i="5"/>
  <c r="R6954" i="5"/>
  <c r="S6954" i="5"/>
  <c r="R6955" i="5"/>
  <c r="P6955" i="5"/>
  <c r="Q6955" i="5"/>
  <c r="S6955" i="5"/>
  <c r="P6956" i="5"/>
  <c r="Q6956" i="5"/>
  <c r="R6957" i="5"/>
  <c r="P6957" i="5"/>
  <c r="Q6957" i="5"/>
  <c r="S6957" i="5"/>
  <c r="P6958" i="5"/>
  <c r="Q6958" i="5"/>
  <c r="R6958" i="5"/>
  <c r="S6958" i="5"/>
  <c r="R6959" i="5"/>
  <c r="P6959" i="5"/>
  <c r="Q6959" i="5"/>
  <c r="S6959" i="5"/>
  <c r="P6960" i="5"/>
  <c r="Q6960" i="5"/>
  <c r="P6961" i="5"/>
  <c r="Q6961" i="5"/>
  <c r="R6961" i="5"/>
  <c r="S6961" i="5"/>
  <c r="R6962" i="5"/>
  <c r="P6962" i="5"/>
  <c r="Q6962" i="5"/>
  <c r="S6962" i="5"/>
  <c r="R6963" i="5"/>
  <c r="P6963" i="5"/>
  <c r="Q6963" i="5"/>
  <c r="S6963" i="5"/>
  <c r="P6964" i="5"/>
  <c r="Q6964" i="5"/>
  <c r="R6965" i="5"/>
  <c r="P6965" i="5"/>
  <c r="Q6965" i="5"/>
  <c r="S6965" i="5"/>
  <c r="R6966" i="5"/>
  <c r="P6966" i="5"/>
  <c r="Q6966" i="5"/>
  <c r="S6966" i="5"/>
  <c r="R6967" i="5"/>
  <c r="P6967" i="5"/>
  <c r="Q6967" i="5"/>
  <c r="S6967" i="5"/>
  <c r="P6968" i="5"/>
  <c r="Q6968" i="5"/>
  <c r="R6969" i="5"/>
  <c r="P6969" i="5"/>
  <c r="Q6969" i="5"/>
  <c r="S6969" i="5"/>
  <c r="R6970" i="5"/>
  <c r="P6970" i="5"/>
  <c r="Q6970" i="5"/>
  <c r="S6970" i="5"/>
  <c r="R6971" i="5"/>
  <c r="P6971" i="5"/>
  <c r="Q6971" i="5"/>
  <c r="S6971" i="5"/>
  <c r="P6972" i="5"/>
  <c r="Q6972" i="5"/>
  <c r="R6973" i="5"/>
  <c r="P6973" i="5"/>
  <c r="Q6973" i="5"/>
  <c r="S6973" i="5"/>
  <c r="R6974" i="5"/>
  <c r="P6974" i="5"/>
  <c r="Q6974" i="5"/>
  <c r="S6974" i="5"/>
  <c r="R6975" i="5"/>
  <c r="P6975" i="5"/>
  <c r="Q6975" i="5"/>
  <c r="S6975" i="5"/>
  <c r="P6976" i="5"/>
  <c r="Q6976" i="5"/>
  <c r="P6977" i="5"/>
  <c r="Q6977" i="5"/>
  <c r="R6977" i="5"/>
  <c r="S6977" i="5"/>
  <c r="R6978" i="5"/>
  <c r="P6978" i="5"/>
  <c r="Q6978" i="5"/>
  <c r="S6978" i="5"/>
  <c r="R6979" i="5"/>
  <c r="P6979" i="5"/>
  <c r="Q6979" i="5"/>
  <c r="S6979" i="5"/>
  <c r="P6980" i="5"/>
  <c r="Q6980" i="5"/>
  <c r="R6981" i="5"/>
  <c r="P6981" i="5"/>
  <c r="Q6981" i="5"/>
  <c r="S6981" i="5"/>
  <c r="R6982" i="5"/>
  <c r="P6982" i="5"/>
  <c r="Q6982" i="5"/>
  <c r="S6982" i="5"/>
  <c r="R6983" i="5"/>
  <c r="P6983" i="5"/>
  <c r="Q6983" i="5"/>
  <c r="S6983" i="5"/>
  <c r="P6984" i="5"/>
  <c r="Q6984" i="5"/>
  <c r="R6985" i="5"/>
  <c r="P6985" i="5"/>
  <c r="Q6985" i="5"/>
  <c r="S6985" i="5"/>
  <c r="P6986" i="5"/>
  <c r="Q6986" i="5"/>
  <c r="R6986" i="5"/>
  <c r="S6986" i="5"/>
  <c r="R6987" i="5"/>
  <c r="P6987" i="5"/>
  <c r="Q6987" i="5"/>
  <c r="S6987" i="5"/>
  <c r="P6988" i="5"/>
  <c r="Q6988" i="5"/>
  <c r="R6989" i="5"/>
  <c r="P6989" i="5"/>
  <c r="Q6989" i="5"/>
  <c r="S6989" i="5"/>
  <c r="R6990" i="5"/>
  <c r="P6990" i="5"/>
  <c r="Q6990" i="5"/>
  <c r="S6990" i="5"/>
  <c r="R6991" i="5"/>
  <c r="P6991" i="5"/>
  <c r="Q6991" i="5"/>
  <c r="S6991" i="5"/>
  <c r="P6992" i="5"/>
  <c r="Q6992" i="5"/>
  <c r="P6993" i="5"/>
  <c r="Q6993" i="5"/>
  <c r="R6993" i="5"/>
  <c r="S6993" i="5"/>
  <c r="R6994" i="5"/>
  <c r="P6994" i="5"/>
  <c r="Q6994" i="5"/>
  <c r="S6994" i="5"/>
  <c r="R6995" i="5"/>
  <c r="P6995" i="5"/>
  <c r="Q6995" i="5"/>
  <c r="S6995" i="5"/>
  <c r="P6996" i="5"/>
  <c r="Q6996" i="5"/>
  <c r="R6997" i="5"/>
  <c r="P6997" i="5"/>
  <c r="Q6997" i="5"/>
  <c r="S6997" i="5"/>
  <c r="P6998" i="5"/>
  <c r="Q6998" i="5"/>
  <c r="R6998" i="5"/>
  <c r="S6998" i="5"/>
  <c r="R6999" i="5"/>
  <c r="P6999" i="5"/>
  <c r="Q6999" i="5"/>
  <c r="S6999" i="5"/>
  <c r="P7000" i="5"/>
  <c r="Q7000" i="5"/>
  <c r="R7001" i="5"/>
  <c r="P7001" i="5"/>
  <c r="Q7001" i="5"/>
  <c r="S7001" i="5"/>
  <c r="R7002" i="5"/>
  <c r="P7002" i="5"/>
  <c r="Q7002" i="5"/>
  <c r="S7002" i="5"/>
  <c r="R7003" i="5"/>
  <c r="P7003" i="5"/>
  <c r="Q7003" i="5"/>
  <c r="S7003" i="5"/>
  <c r="P7004" i="5"/>
  <c r="Q7004" i="5"/>
  <c r="R7005" i="5"/>
  <c r="P7005" i="5"/>
  <c r="Q7005" i="5"/>
  <c r="S7005" i="5"/>
  <c r="R7006" i="5"/>
  <c r="P7006" i="5"/>
  <c r="Q7006" i="5"/>
  <c r="S7006" i="5"/>
  <c r="R7007" i="5"/>
  <c r="P7007" i="5"/>
  <c r="Q7007" i="5"/>
  <c r="S7007" i="5"/>
  <c r="P7008" i="5"/>
  <c r="Q7008" i="5"/>
  <c r="P7009" i="5"/>
  <c r="Q7009" i="5"/>
  <c r="R7009" i="5"/>
  <c r="S7009" i="5"/>
  <c r="R7010" i="5"/>
  <c r="P7010" i="5"/>
  <c r="Q7010" i="5"/>
  <c r="S7010" i="5"/>
  <c r="R7011" i="5"/>
  <c r="P7011" i="5"/>
  <c r="Q7011" i="5"/>
  <c r="S7011" i="5"/>
  <c r="P7012" i="5"/>
  <c r="Q7012" i="5"/>
  <c r="R7013" i="5"/>
  <c r="P7013" i="5"/>
  <c r="Q7013" i="5"/>
  <c r="S7013" i="5"/>
  <c r="R7014" i="5"/>
  <c r="P7014" i="5"/>
  <c r="Q7014" i="5"/>
  <c r="S7014" i="5"/>
  <c r="R7015" i="5"/>
  <c r="P7015" i="5"/>
  <c r="Q7015" i="5"/>
  <c r="S7015" i="5"/>
  <c r="P7016" i="5"/>
  <c r="Q7016" i="5"/>
  <c r="R7017" i="5"/>
  <c r="P7017" i="5"/>
  <c r="Q7017" i="5"/>
  <c r="S7017" i="5"/>
  <c r="R7018" i="5"/>
  <c r="P7018" i="5"/>
  <c r="Q7018" i="5"/>
  <c r="S7018" i="5"/>
  <c r="R7019" i="5"/>
  <c r="P7019" i="5"/>
  <c r="Q7019" i="5"/>
  <c r="S7019" i="5"/>
  <c r="P7020" i="5"/>
  <c r="Q7020" i="5"/>
  <c r="P7021" i="5"/>
  <c r="Q7021" i="5"/>
  <c r="R7021" i="5"/>
  <c r="S7021" i="5"/>
  <c r="R7022" i="5"/>
  <c r="P7022" i="5"/>
  <c r="Q7022" i="5"/>
  <c r="S7022" i="5"/>
  <c r="R7023" i="5"/>
  <c r="P7023" i="5"/>
  <c r="Q7023" i="5"/>
  <c r="S7023" i="5"/>
  <c r="P7024" i="5"/>
  <c r="Q7024" i="5"/>
  <c r="R7025" i="5"/>
  <c r="P7025" i="5"/>
  <c r="Q7025" i="5"/>
  <c r="S7025" i="5"/>
  <c r="P7026" i="5"/>
  <c r="Q7026" i="5"/>
  <c r="R7026" i="5"/>
  <c r="S7026" i="5"/>
  <c r="R7027" i="5"/>
  <c r="P7027" i="5"/>
  <c r="Q7027" i="5"/>
  <c r="S7027" i="5"/>
  <c r="P7028" i="5"/>
  <c r="Q7028" i="5"/>
  <c r="R7029" i="5"/>
  <c r="P7029" i="5"/>
  <c r="Q7029" i="5"/>
  <c r="S7029" i="5"/>
  <c r="R7030" i="5"/>
  <c r="P7030" i="5"/>
  <c r="Q7030" i="5"/>
  <c r="S7030" i="5"/>
  <c r="R7031" i="5"/>
  <c r="P7031" i="5"/>
  <c r="Q7031" i="5"/>
  <c r="S7031" i="5"/>
  <c r="P7032" i="5"/>
  <c r="Q7032" i="5"/>
  <c r="R7033" i="5"/>
  <c r="P7033" i="5"/>
  <c r="Q7033" i="5"/>
  <c r="S7033" i="5"/>
  <c r="R7034" i="5"/>
  <c r="P7034" i="5"/>
  <c r="Q7034" i="5"/>
  <c r="S7034" i="5"/>
  <c r="R7035" i="5"/>
  <c r="P7035" i="5"/>
  <c r="Q7035" i="5"/>
  <c r="S7035" i="5"/>
  <c r="P7036" i="5"/>
  <c r="Q7036" i="5"/>
  <c r="P7037" i="5"/>
  <c r="Q7037" i="5"/>
  <c r="R7037" i="5"/>
  <c r="S7037" i="5"/>
  <c r="R7038" i="5"/>
  <c r="P7038" i="5"/>
  <c r="Q7038" i="5"/>
  <c r="S7038" i="5"/>
  <c r="R7039" i="5"/>
  <c r="P7039" i="5"/>
  <c r="Q7039" i="5"/>
  <c r="S7039" i="5"/>
  <c r="P7040" i="5"/>
  <c r="Q7040" i="5"/>
  <c r="R7041" i="5"/>
  <c r="P7041" i="5"/>
  <c r="Q7041" i="5"/>
  <c r="S7041" i="5"/>
  <c r="P7042" i="5"/>
  <c r="Q7042" i="5"/>
  <c r="R7042" i="5"/>
  <c r="S7042" i="5"/>
  <c r="R7043" i="5"/>
  <c r="P7043" i="5"/>
  <c r="Q7043" i="5"/>
  <c r="S7043" i="5"/>
  <c r="P7044" i="5"/>
  <c r="Q7044" i="5"/>
  <c r="R7045" i="5"/>
  <c r="P7045" i="5"/>
  <c r="Q7045" i="5"/>
  <c r="S7045" i="5"/>
  <c r="R7046" i="5"/>
  <c r="P7046" i="5"/>
  <c r="Q7046" i="5"/>
  <c r="S7046" i="5"/>
  <c r="R7047" i="5"/>
  <c r="P7047" i="5"/>
  <c r="Q7047" i="5"/>
  <c r="S7047" i="5"/>
  <c r="P7048" i="5"/>
  <c r="Q7048" i="5"/>
  <c r="P7049" i="5"/>
  <c r="Q7049" i="5"/>
  <c r="R7049" i="5"/>
  <c r="S7049" i="5"/>
  <c r="R7050" i="5"/>
  <c r="P7050" i="5"/>
  <c r="Q7050" i="5"/>
  <c r="S7050" i="5"/>
  <c r="R7051" i="5"/>
  <c r="P7051" i="5"/>
  <c r="Q7051" i="5"/>
  <c r="S7051" i="5"/>
  <c r="P7052" i="5"/>
  <c r="Q7052" i="5"/>
  <c r="R7053" i="5"/>
  <c r="P7053" i="5"/>
  <c r="Q7053" i="5"/>
  <c r="S7053" i="5"/>
  <c r="P7054" i="5"/>
  <c r="Q7054" i="5"/>
  <c r="R7054" i="5"/>
  <c r="S7054" i="5"/>
  <c r="R7055" i="5"/>
  <c r="P7055" i="5"/>
  <c r="Q7055" i="5"/>
  <c r="S7055" i="5"/>
  <c r="P7056" i="5"/>
  <c r="Q7056" i="5"/>
  <c r="R7057" i="5"/>
  <c r="P7057" i="5"/>
  <c r="Q7057" i="5"/>
  <c r="S7057" i="5"/>
  <c r="P7058" i="5"/>
  <c r="Q7058" i="5"/>
  <c r="R7058" i="5"/>
  <c r="S7058" i="5"/>
  <c r="R7059" i="5"/>
  <c r="P7059" i="5"/>
  <c r="Q7059" i="5"/>
  <c r="S7059" i="5"/>
  <c r="P7060" i="5"/>
  <c r="Q7060" i="5"/>
  <c r="R7061" i="5"/>
  <c r="P7061" i="5"/>
  <c r="Q7061" i="5"/>
  <c r="S7061" i="5"/>
  <c r="R7062" i="5"/>
  <c r="P7062" i="5"/>
  <c r="Q7062" i="5"/>
  <c r="S7062" i="5"/>
  <c r="R7063" i="5"/>
  <c r="P7063" i="5"/>
  <c r="Q7063" i="5"/>
  <c r="S7063" i="5"/>
  <c r="P7064" i="5"/>
  <c r="Q7064" i="5"/>
  <c r="R7065" i="5"/>
  <c r="P7065" i="5"/>
  <c r="Q7065" i="5"/>
  <c r="S7065" i="5"/>
  <c r="P7066" i="5"/>
  <c r="Q7066" i="5"/>
  <c r="R7066" i="5"/>
  <c r="S7066" i="5"/>
  <c r="R7067" i="5"/>
  <c r="P7067" i="5"/>
  <c r="Q7067" i="5"/>
  <c r="S7067" i="5"/>
  <c r="P7068" i="5"/>
  <c r="Q7068" i="5"/>
  <c r="R7069" i="5"/>
  <c r="P7069" i="5"/>
  <c r="Q7069" i="5"/>
  <c r="S7069" i="5"/>
  <c r="R7070" i="5"/>
  <c r="P7070" i="5"/>
  <c r="Q7070" i="5"/>
  <c r="S7070" i="5"/>
  <c r="R7071" i="5"/>
  <c r="P7071" i="5"/>
  <c r="Q7071" i="5"/>
  <c r="S7071" i="5"/>
  <c r="P7072" i="5"/>
  <c r="Q7072" i="5"/>
  <c r="P7073" i="5"/>
  <c r="Q7073" i="5"/>
  <c r="R7073" i="5"/>
  <c r="S7073" i="5"/>
  <c r="R7074" i="5"/>
  <c r="P7074" i="5"/>
  <c r="Q7074" i="5"/>
  <c r="S7074" i="5"/>
  <c r="R7075" i="5"/>
  <c r="P7075" i="5"/>
  <c r="Q7075" i="5"/>
  <c r="S7075" i="5"/>
  <c r="P7076" i="5"/>
  <c r="Q7076" i="5"/>
  <c r="R7077" i="5"/>
  <c r="P7077" i="5"/>
  <c r="Q7077" i="5"/>
  <c r="S7077" i="5"/>
  <c r="R7078" i="5"/>
  <c r="P7078" i="5"/>
  <c r="Q7078" i="5"/>
  <c r="S7078" i="5"/>
  <c r="R7079" i="5"/>
  <c r="P7079" i="5"/>
  <c r="Q7079" i="5"/>
  <c r="S7079" i="5"/>
  <c r="P7080" i="5"/>
  <c r="Q7080" i="5"/>
  <c r="R7081" i="5"/>
  <c r="P7081" i="5"/>
  <c r="Q7081" i="5"/>
  <c r="S7081" i="5"/>
  <c r="R7082" i="5"/>
  <c r="P7082" i="5"/>
  <c r="Q7082" i="5"/>
  <c r="S7082" i="5"/>
  <c r="R7083" i="5"/>
  <c r="P7083" i="5"/>
  <c r="Q7083" i="5"/>
  <c r="S7083" i="5"/>
  <c r="P7084" i="5"/>
  <c r="Q7084" i="5"/>
  <c r="R7085" i="5"/>
  <c r="P7085" i="5"/>
  <c r="Q7085" i="5"/>
  <c r="S7085" i="5"/>
  <c r="P7086" i="5"/>
  <c r="Q7086" i="5"/>
  <c r="R7086" i="5"/>
  <c r="S7086" i="5"/>
  <c r="R7087" i="5"/>
  <c r="P7087" i="5"/>
  <c r="Q7087" i="5"/>
  <c r="S7087" i="5"/>
  <c r="P7088" i="5"/>
  <c r="Q7088" i="5"/>
  <c r="R7089" i="5"/>
  <c r="P7089" i="5"/>
  <c r="Q7089" i="5"/>
  <c r="S7089" i="5"/>
  <c r="R7090" i="5"/>
  <c r="P7090" i="5"/>
  <c r="Q7090" i="5"/>
  <c r="S7090" i="5"/>
  <c r="R7091" i="5"/>
  <c r="P7091" i="5"/>
  <c r="Q7091" i="5"/>
  <c r="S7091" i="5"/>
  <c r="P7092" i="5"/>
  <c r="Q7092" i="5"/>
  <c r="R7093" i="5"/>
  <c r="P7093" i="5"/>
  <c r="Q7093" i="5"/>
  <c r="S7093" i="5"/>
  <c r="P7094" i="5"/>
  <c r="Q7094" i="5"/>
  <c r="R7094" i="5"/>
  <c r="S7094" i="5"/>
  <c r="R7095" i="5"/>
  <c r="P7095" i="5"/>
  <c r="Q7095" i="5"/>
  <c r="S7095" i="5"/>
  <c r="P7096" i="5"/>
  <c r="Q7096" i="5"/>
  <c r="R7097" i="5"/>
  <c r="P7097" i="5"/>
  <c r="Q7097" i="5"/>
  <c r="S7097" i="5"/>
  <c r="R7098" i="5"/>
  <c r="P7098" i="5"/>
  <c r="Q7098" i="5"/>
  <c r="S7098" i="5"/>
  <c r="R7099" i="5"/>
  <c r="P7099" i="5"/>
  <c r="Q7099" i="5"/>
  <c r="S7099" i="5"/>
  <c r="P7100" i="5"/>
  <c r="Q7100" i="5"/>
  <c r="P7101" i="5"/>
  <c r="Q7101" i="5"/>
  <c r="R7101" i="5"/>
  <c r="S7101" i="5"/>
  <c r="R7102" i="5"/>
  <c r="P7102" i="5"/>
  <c r="Q7102" i="5"/>
  <c r="S7102" i="5"/>
  <c r="R7103" i="5"/>
  <c r="P7103" i="5"/>
  <c r="Q7103" i="5"/>
  <c r="S7103" i="5"/>
  <c r="P7104" i="5"/>
  <c r="Q7104" i="5"/>
  <c r="R7105" i="5"/>
  <c r="P7105" i="5"/>
  <c r="Q7105" i="5"/>
  <c r="S7105" i="5"/>
  <c r="P7106" i="5"/>
  <c r="Q7106" i="5"/>
  <c r="R7106" i="5"/>
  <c r="S7106" i="5"/>
  <c r="R7107" i="5"/>
  <c r="P7107" i="5"/>
  <c r="Q7107" i="5"/>
  <c r="S7107" i="5"/>
  <c r="P7108" i="5"/>
  <c r="Q7108" i="5"/>
  <c r="R7109" i="5"/>
  <c r="P7109" i="5"/>
  <c r="Q7109" i="5"/>
  <c r="S7109" i="5"/>
  <c r="R7110" i="5"/>
  <c r="P7110" i="5"/>
  <c r="Q7110" i="5"/>
  <c r="S7110" i="5"/>
  <c r="R7111" i="5"/>
  <c r="P7111" i="5"/>
  <c r="Q7111" i="5"/>
  <c r="S7111" i="5"/>
  <c r="P7112" i="5"/>
  <c r="Q7112" i="5"/>
  <c r="R7113" i="5"/>
  <c r="P7113" i="5"/>
  <c r="Q7113" i="5"/>
  <c r="S7113" i="5"/>
  <c r="R7114" i="5"/>
  <c r="P7114" i="5"/>
  <c r="Q7114" i="5"/>
  <c r="S7114" i="5"/>
  <c r="R7115" i="5"/>
  <c r="P7115" i="5"/>
  <c r="Q7115" i="5"/>
  <c r="S7115" i="5"/>
  <c r="P7116" i="5"/>
  <c r="Q7116" i="5"/>
  <c r="R7117" i="5"/>
  <c r="P7117" i="5"/>
  <c r="Q7117" i="5"/>
  <c r="S7117" i="5"/>
  <c r="R7118" i="5"/>
  <c r="P7118" i="5"/>
  <c r="Q7118" i="5"/>
  <c r="S7118" i="5"/>
  <c r="R7119" i="5"/>
  <c r="P7119" i="5"/>
  <c r="Q7119" i="5"/>
  <c r="S7119" i="5"/>
  <c r="P7120" i="5"/>
  <c r="Q7120" i="5"/>
  <c r="P7121" i="5"/>
  <c r="Q7121" i="5"/>
  <c r="R7121" i="5"/>
  <c r="S7121" i="5"/>
  <c r="R7122" i="5"/>
  <c r="P7122" i="5"/>
  <c r="Q7122" i="5"/>
  <c r="S7122" i="5"/>
  <c r="R7123" i="5"/>
  <c r="P7123" i="5"/>
  <c r="Q7123" i="5"/>
  <c r="S7123" i="5"/>
  <c r="P7124" i="5"/>
  <c r="Q7124" i="5"/>
  <c r="R7125" i="5"/>
  <c r="P7125" i="5"/>
  <c r="Q7125" i="5"/>
  <c r="S7125" i="5"/>
  <c r="P7126" i="5"/>
  <c r="Q7126" i="5"/>
  <c r="R7126" i="5"/>
  <c r="S7126" i="5"/>
  <c r="R7127" i="5"/>
  <c r="P7127" i="5"/>
  <c r="Q7127" i="5"/>
  <c r="S7127" i="5"/>
  <c r="P7128" i="5"/>
  <c r="Q7128" i="5"/>
  <c r="R7129" i="5"/>
  <c r="P7129" i="5"/>
  <c r="Q7129" i="5"/>
  <c r="S7129" i="5"/>
  <c r="R7130" i="5"/>
  <c r="P7130" i="5"/>
  <c r="Q7130" i="5"/>
  <c r="S7130" i="5"/>
  <c r="R7131" i="5"/>
  <c r="P7131" i="5"/>
  <c r="Q7131" i="5"/>
  <c r="S7131" i="5"/>
  <c r="P7132" i="5"/>
  <c r="Q7132" i="5"/>
  <c r="P7133" i="5"/>
  <c r="Q7133" i="5"/>
  <c r="R7133" i="5"/>
  <c r="S7133" i="5"/>
  <c r="R7134" i="5"/>
  <c r="P7134" i="5"/>
  <c r="Q7134" i="5"/>
  <c r="S7134" i="5"/>
  <c r="R7135" i="5"/>
  <c r="P7135" i="5"/>
  <c r="Q7135" i="5"/>
  <c r="S7135" i="5"/>
  <c r="P7136" i="5"/>
  <c r="Q7136" i="5"/>
  <c r="R7137" i="5"/>
  <c r="P7137" i="5"/>
  <c r="Q7137" i="5"/>
  <c r="S7137" i="5"/>
  <c r="R7138" i="5"/>
  <c r="P7138" i="5"/>
  <c r="Q7138" i="5"/>
  <c r="S7138" i="5"/>
  <c r="R7139" i="5"/>
  <c r="P7139" i="5"/>
  <c r="Q7139" i="5"/>
  <c r="S7139" i="5"/>
  <c r="P7140" i="5"/>
  <c r="Q7140" i="5"/>
  <c r="R7141" i="5"/>
  <c r="P7141" i="5"/>
  <c r="Q7141" i="5"/>
  <c r="S7141" i="5"/>
  <c r="R7142" i="5"/>
  <c r="P7142" i="5"/>
  <c r="Q7142" i="5"/>
  <c r="S7142" i="5"/>
  <c r="R7143" i="5"/>
  <c r="P7143" i="5"/>
  <c r="Q7143" i="5"/>
  <c r="S7143" i="5"/>
  <c r="P7144" i="5"/>
  <c r="Q7144" i="5"/>
  <c r="R7145" i="5"/>
  <c r="P7145" i="5"/>
  <c r="Q7145" i="5"/>
  <c r="S7145" i="5"/>
  <c r="R7146" i="5"/>
  <c r="P7146" i="5"/>
  <c r="Q7146" i="5"/>
  <c r="S7146" i="5"/>
  <c r="R7147" i="5"/>
  <c r="P7147" i="5"/>
  <c r="Q7147" i="5"/>
  <c r="S7147" i="5"/>
  <c r="Q7148" i="5"/>
  <c r="P7149" i="5"/>
  <c r="Q7149" i="5"/>
  <c r="R7149" i="5"/>
  <c r="S7149" i="5"/>
  <c r="R7150" i="5"/>
  <c r="P7150" i="5"/>
  <c r="Q7150" i="5"/>
  <c r="S7150" i="5"/>
  <c r="R7151" i="5"/>
  <c r="P7151" i="5"/>
  <c r="Q7151" i="5"/>
  <c r="S7151" i="5"/>
  <c r="R7152" i="5"/>
  <c r="P7152" i="5"/>
  <c r="Q7152" i="5"/>
  <c r="S7152" i="5"/>
  <c r="P7153" i="5"/>
  <c r="Q7153" i="5"/>
  <c r="R7153" i="5"/>
  <c r="S7153" i="5"/>
  <c r="Q7154" i="5"/>
  <c r="R7155" i="5"/>
  <c r="P7155" i="5"/>
  <c r="Q7155" i="5"/>
  <c r="S7155" i="5"/>
  <c r="R7156" i="5"/>
  <c r="P7156" i="5"/>
  <c r="Q7156" i="5"/>
  <c r="S7156" i="5"/>
  <c r="R7157" i="5"/>
  <c r="P7157" i="5"/>
  <c r="Q7157" i="5"/>
  <c r="S7157" i="5"/>
  <c r="R7158" i="5"/>
  <c r="P7158" i="5"/>
  <c r="Q7158" i="5"/>
  <c r="S7158" i="5"/>
  <c r="R7159" i="5"/>
  <c r="P7159" i="5"/>
  <c r="Q7159" i="5"/>
  <c r="S7159" i="5"/>
  <c r="Q7160" i="5"/>
  <c r="R7161" i="5"/>
  <c r="P7161" i="5"/>
  <c r="Q7161" i="5"/>
  <c r="S7161" i="5"/>
  <c r="R7162" i="5"/>
  <c r="P7162" i="5"/>
  <c r="Q7162" i="5"/>
  <c r="S7162" i="5"/>
  <c r="R7163" i="5"/>
  <c r="P7163" i="5"/>
  <c r="Q7163" i="5"/>
  <c r="S7163" i="5"/>
  <c r="R7164" i="5"/>
  <c r="P7164" i="5"/>
  <c r="Q7164" i="5"/>
  <c r="S7164" i="5"/>
  <c r="P7165" i="5"/>
  <c r="Q7165" i="5"/>
  <c r="R7165" i="5"/>
  <c r="S7165" i="5"/>
  <c r="Q7166" i="5"/>
  <c r="R7167" i="5"/>
  <c r="P7167" i="5"/>
  <c r="Q7167" i="5"/>
  <c r="S7167" i="5"/>
  <c r="R7168" i="5"/>
  <c r="P7168" i="5"/>
  <c r="Q7168" i="5"/>
  <c r="S7168" i="5"/>
  <c r="P7169" i="5"/>
  <c r="Q7169" i="5"/>
  <c r="R7169" i="5"/>
  <c r="S7169" i="5"/>
  <c r="R7170" i="5"/>
  <c r="P7170" i="5"/>
  <c r="Q7170" i="5"/>
  <c r="S7170" i="5"/>
  <c r="R7171" i="5"/>
  <c r="P7171" i="5"/>
  <c r="Q7171" i="5"/>
  <c r="S7171" i="5"/>
  <c r="Q7172" i="5"/>
  <c r="R7173" i="5"/>
  <c r="P7173" i="5"/>
  <c r="Q7173" i="5"/>
  <c r="S7173" i="5"/>
  <c r="R7174" i="5"/>
  <c r="P7174" i="5"/>
  <c r="Q7174" i="5"/>
  <c r="S7174" i="5"/>
  <c r="R7175" i="5"/>
  <c r="P7175" i="5"/>
  <c r="Q7175" i="5"/>
  <c r="S7175" i="5"/>
  <c r="R7176" i="5"/>
  <c r="P7176" i="5"/>
  <c r="Q7176" i="5"/>
  <c r="S7176" i="5"/>
  <c r="P7177" i="5"/>
  <c r="Q7177" i="5"/>
  <c r="R7177" i="5"/>
  <c r="S7177" i="5"/>
  <c r="Q7178" i="5"/>
  <c r="R7179" i="5"/>
  <c r="P7179" i="5"/>
  <c r="Q7179" i="5"/>
  <c r="S7179" i="5"/>
  <c r="R7180" i="5"/>
  <c r="P7180" i="5"/>
  <c r="Q7180" i="5"/>
  <c r="S7180" i="5"/>
  <c r="R7181" i="5"/>
  <c r="P7181" i="5"/>
  <c r="Q7181" i="5"/>
  <c r="S7181" i="5"/>
  <c r="R7182" i="5"/>
  <c r="P7182" i="5"/>
  <c r="Q7182" i="5"/>
  <c r="S7182" i="5"/>
  <c r="P7183" i="5"/>
  <c r="Q7183" i="5"/>
  <c r="R7183" i="5"/>
  <c r="S7183" i="5"/>
  <c r="Q7184" i="5"/>
  <c r="R7185" i="5"/>
  <c r="P7185" i="5"/>
  <c r="Q7185" i="5"/>
  <c r="S7185" i="5"/>
  <c r="R7186" i="5"/>
  <c r="P7186" i="5"/>
  <c r="Q7186" i="5"/>
  <c r="S7186" i="5"/>
  <c r="R7187" i="5"/>
  <c r="P7187" i="5"/>
  <c r="Q7187" i="5"/>
  <c r="S7187" i="5"/>
  <c r="R7188" i="5"/>
  <c r="P7188" i="5"/>
  <c r="Q7188" i="5"/>
  <c r="S7188" i="5"/>
  <c r="R7189" i="5"/>
  <c r="P7189" i="5"/>
  <c r="Q7189" i="5"/>
  <c r="S7189" i="5"/>
  <c r="Q7190" i="5"/>
  <c r="R7191" i="5"/>
  <c r="P7191" i="5"/>
  <c r="Q7191" i="5"/>
  <c r="S7191" i="5"/>
  <c r="R7192" i="5"/>
  <c r="P7192" i="5"/>
  <c r="Q7192" i="5"/>
  <c r="S7192" i="5"/>
  <c r="P7193" i="5"/>
  <c r="Q7193" i="5"/>
  <c r="R7193" i="5"/>
  <c r="S7193" i="5"/>
  <c r="R7194" i="5"/>
  <c r="P7194" i="5"/>
  <c r="Q7194" i="5"/>
  <c r="S7194" i="5"/>
  <c r="R7195" i="5"/>
  <c r="P7195" i="5"/>
  <c r="Q7195" i="5"/>
  <c r="S7195" i="5"/>
  <c r="Q7196" i="5"/>
  <c r="R7197" i="5"/>
  <c r="P7197" i="5"/>
  <c r="Q7197" i="5"/>
  <c r="S7197" i="5"/>
  <c r="R7198" i="5"/>
  <c r="P7198" i="5"/>
  <c r="Q7198" i="5"/>
  <c r="S7198" i="5"/>
  <c r="P7199" i="5"/>
  <c r="Q7199" i="5"/>
  <c r="R7199" i="5"/>
  <c r="S7199" i="5"/>
  <c r="R7200" i="5"/>
  <c r="P7200" i="5"/>
  <c r="Q7200" i="5"/>
  <c r="S7200" i="5"/>
  <c r="R7201" i="5"/>
  <c r="P7201" i="5"/>
  <c r="Q7201" i="5"/>
  <c r="S7201" i="5"/>
  <c r="Q7202" i="5"/>
  <c r="R7203" i="5"/>
  <c r="P7203" i="5"/>
  <c r="Q7203" i="5"/>
  <c r="S7203" i="5"/>
  <c r="P7204" i="5"/>
  <c r="Q7204" i="5"/>
  <c r="R7204" i="5"/>
  <c r="S7204" i="5"/>
  <c r="R7205" i="5"/>
  <c r="P7205" i="5"/>
  <c r="Q7205" i="5"/>
  <c r="S7205" i="5"/>
  <c r="R7206" i="5"/>
  <c r="P7206" i="5"/>
  <c r="Q7206" i="5"/>
  <c r="S7206" i="5"/>
  <c r="R7207" i="5"/>
  <c r="P7207" i="5"/>
  <c r="Q7207" i="5"/>
  <c r="S7207" i="5"/>
  <c r="P7208" i="5"/>
  <c r="Q7208" i="5"/>
  <c r="R7209" i="5"/>
  <c r="P7209" i="5"/>
  <c r="Q7209" i="5"/>
  <c r="S7209" i="5"/>
  <c r="R7210" i="5"/>
  <c r="P7210" i="5"/>
  <c r="Q7210" i="5"/>
  <c r="S7210" i="5"/>
  <c r="R7211" i="5"/>
  <c r="P7211" i="5"/>
  <c r="Q7211" i="5"/>
  <c r="S7211" i="5"/>
  <c r="P7212" i="5"/>
  <c r="Q7212" i="5"/>
  <c r="P7213" i="5"/>
  <c r="Q7213" i="5"/>
  <c r="R7213" i="5"/>
  <c r="S7213" i="5"/>
  <c r="R7214" i="5"/>
  <c r="P7214" i="5"/>
  <c r="Q7214" i="5"/>
  <c r="S7214" i="5"/>
  <c r="R7215" i="5"/>
  <c r="P7215" i="5"/>
  <c r="Q7215" i="5"/>
  <c r="S7215" i="5"/>
  <c r="P7216" i="5"/>
  <c r="Q7216" i="5"/>
  <c r="R7217" i="5"/>
  <c r="P7217" i="5"/>
  <c r="Q7217" i="5"/>
  <c r="S7217" i="5"/>
  <c r="R7218" i="5"/>
  <c r="P7218" i="5"/>
  <c r="Q7218" i="5"/>
  <c r="S7218" i="5"/>
  <c r="R7219" i="5"/>
  <c r="P7219" i="5"/>
  <c r="Q7219" i="5"/>
  <c r="S7219" i="5"/>
  <c r="P7220" i="5"/>
  <c r="Q7220" i="5"/>
  <c r="R7221" i="5"/>
  <c r="P7221" i="5"/>
  <c r="Q7221" i="5"/>
  <c r="S7221" i="5"/>
  <c r="R7222" i="5"/>
  <c r="P7222" i="5"/>
  <c r="Q7222" i="5"/>
  <c r="S7222" i="5"/>
  <c r="R7223" i="5"/>
  <c r="P7223" i="5"/>
  <c r="Q7223" i="5"/>
  <c r="S7223" i="5"/>
  <c r="P7224" i="5"/>
  <c r="Q7224" i="5"/>
  <c r="P7225" i="5"/>
  <c r="Q7225" i="5"/>
  <c r="S7225" i="5"/>
  <c r="P7226" i="5"/>
  <c r="Q7226" i="5"/>
  <c r="S7226" i="5"/>
  <c r="R7227" i="5"/>
  <c r="P7227" i="5"/>
  <c r="Q7227" i="5"/>
  <c r="S7227" i="5"/>
  <c r="R7228" i="5"/>
  <c r="P7228" i="5"/>
  <c r="Q7228" i="5"/>
  <c r="S7228" i="5"/>
  <c r="P7229" i="5"/>
  <c r="Q7229" i="5"/>
  <c r="R7229" i="5"/>
  <c r="S7229" i="5"/>
  <c r="P7230" i="5"/>
  <c r="Q7230" i="5"/>
  <c r="P7231" i="5"/>
  <c r="Q7231" i="5"/>
  <c r="S7231" i="5"/>
  <c r="P7232" i="5"/>
  <c r="Q7232" i="5"/>
  <c r="S7232" i="5"/>
  <c r="P7233" i="5"/>
  <c r="Q7233" i="5"/>
  <c r="R7233" i="5"/>
  <c r="S7233" i="5"/>
  <c r="R7234" i="5"/>
  <c r="P7234" i="5"/>
  <c r="Q7234" i="5"/>
  <c r="S7234" i="5"/>
  <c r="R7235" i="5"/>
  <c r="P7235" i="5"/>
  <c r="Q7235" i="5"/>
  <c r="S7235" i="5"/>
  <c r="P7236" i="5"/>
  <c r="Q7236" i="5"/>
  <c r="P7237" i="5"/>
  <c r="Q7237" i="5"/>
  <c r="S7237" i="5"/>
  <c r="P7238" i="5"/>
  <c r="Q7238" i="5"/>
  <c r="S7238" i="5"/>
  <c r="P7239" i="5"/>
  <c r="Q7239" i="5"/>
  <c r="S7239" i="5"/>
  <c r="R7240" i="5"/>
  <c r="P7240" i="5"/>
  <c r="Q7240" i="5"/>
  <c r="S7240" i="5"/>
  <c r="P7241" i="5"/>
  <c r="Q7241" i="5"/>
  <c r="R7241" i="5"/>
  <c r="S7241" i="5"/>
  <c r="R7242" i="5"/>
  <c r="P7242" i="5"/>
  <c r="Q7242" i="5"/>
  <c r="S7242" i="5"/>
  <c r="R7243" i="5"/>
  <c r="P7243" i="5"/>
  <c r="Q7243" i="5"/>
  <c r="R7244" i="5"/>
  <c r="P7244" i="5"/>
  <c r="Q7244" i="5"/>
  <c r="S7244" i="5"/>
  <c r="R7245" i="5"/>
  <c r="P7245" i="5"/>
  <c r="Q7245" i="5"/>
  <c r="S7245" i="5"/>
  <c r="R7246" i="5"/>
  <c r="P7246" i="5"/>
  <c r="Q7246" i="5"/>
  <c r="S7246" i="5"/>
  <c r="P7247" i="5"/>
  <c r="Q7247" i="5"/>
  <c r="R7247" i="5"/>
  <c r="S7247" i="5"/>
  <c r="R7248" i="5"/>
  <c r="P7248" i="5"/>
  <c r="Q7248" i="5"/>
  <c r="R7249" i="5"/>
  <c r="P7249" i="5"/>
  <c r="Q7249" i="5"/>
  <c r="S7249" i="5"/>
  <c r="R7250" i="5"/>
  <c r="P7250" i="5"/>
  <c r="Q7250" i="5"/>
  <c r="S7250" i="5"/>
  <c r="R7251" i="5"/>
  <c r="P7251" i="5"/>
  <c r="Q7251" i="5"/>
  <c r="S7251" i="5"/>
  <c r="P7252" i="5"/>
  <c r="Q7252" i="5"/>
  <c r="R7252" i="5"/>
  <c r="S7252" i="5"/>
  <c r="R7253" i="5"/>
  <c r="P7253" i="5"/>
  <c r="Q7253" i="5"/>
  <c r="R7254" i="5"/>
  <c r="P7254" i="5"/>
  <c r="Q7254" i="5"/>
  <c r="S7254" i="5"/>
  <c r="R7255" i="5"/>
  <c r="P7255" i="5"/>
  <c r="Q7255" i="5"/>
  <c r="S7255" i="5"/>
  <c r="R7256" i="5"/>
  <c r="P7256" i="5"/>
  <c r="Q7256" i="5"/>
  <c r="S7256" i="5"/>
  <c r="P7257" i="5"/>
  <c r="Q7257" i="5"/>
  <c r="R7257" i="5"/>
  <c r="S7257" i="5"/>
  <c r="P7258" i="5"/>
  <c r="Q7258" i="5"/>
  <c r="R7259" i="5"/>
  <c r="P7259" i="5"/>
  <c r="Q7259" i="5"/>
  <c r="S7259" i="5"/>
  <c r="R7260" i="5"/>
  <c r="P7260" i="5"/>
  <c r="Q7260" i="5"/>
  <c r="S7260" i="5"/>
  <c r="R7261" i="5"/>
  <c r="P7261" i="5"/>
  <c r="Q7261" i="5"/>
  <c r="S7261" i="5"/>
  <c r="P7262" i="5"/>
  <c r="Q7262" i="5"/>
  <c r="R7263" i="5"/>
  <c r="P7263" i="5"/>
  <c r="Q7263" i="5"/>
  <c r="S7263" i="5"/>
  <c r="R7264" i="5"/>
  <c r="P7264" i="5"/>
  <c r="Q7264" i="5"/>
  <c r="S7264" i="5"/>
  <c r="R7265" i="5"/>
  <c r="P7265" i="5"/>
  <c r="Q7265" i="5"/>
  <c r="S7265" i="5"/>
  <c r="P7266" i="5"/>
  <c r="Q7266" i="5"/>
  <c r="R7267" i="5"/>
  <c r="P7267" i="5"/>
  <c r="Q7267" i="5"/>
  <c r="S7267" i="5"/>
  <c r="P7268" i="5"/>
  <c r="Q7268" i="5"/>
  <c r="R7268" i="5"/>
  <c r="S7268" i="5"/>
  <c r="R7269" i="5"/>
  <c r="P7269" i="5"/>
  <c r="Q7269" i="5"/>
  <c r="S7269" i="5"/>
  <c r="P7270" i="5"/>
  <c r="Q7270" i="5"/>
  <c r="R7271" i="5"/>
  <c r="P7271" i="5"/>
  <c r="Q7271" i="5"/>
  <c r="S7271" i="5"/>
  <c r="R7272" i="5"/>
  <c r="P7272" i="5"/>
  <c r="Q7272" i="5"/>
  <c r="S7272" i="5"/>
  <c r="P7273" i="5"/>
  <c r="Q7273" i="5"/>
  <c r="R7273" i="5"/>
  <c r="S7273" i="5"/>
  <c r="P7274" i="5"/>
  <c r="Q7274" i="5"/>
  <c r="R7275" i="5"/>
  <c r="P7275" i="5"/>
  <c r="Q7275" i="5"/>
  <c r="S7275" i="5"/>
  <c r="R7276" i="5"/>
  <c r="P7276" i="5"/>
  <c r="Q7276" i="5"/>
  <c r="S7276" i="5"/>
  <c r="R7277" i="5"/>
  <c r="P7277" i="5"/>
  <c r="Q7277" i="5"/>
  <c r="S7277" i="5"/>
  <c r="P7278" i="5"/>
  <c r="Q7278" i="5"/>
  <c r="R7279" i="5"/>
  <c r="P7279" i="5"/>
  <c r="Q7279" i="5"/>
  <c r="S7279" i="5"/>
  <c r="R7280" i="5"/>
  <c r="P7280" i="5"/>
  <c r="Q7280" i="5"/>
  <c r="S7280" i="5"/>
  <c r="P7281" i="5"/>
  <c r="Q7281" i="5"/>
  <c r="R7281" i="5"/>
  <c r="S7281" i="5"/>
  <c r="P7282" i="5"/>
  <c r="Q7282" i="5"/>
  <c r="R7283" i="5"/>
  <c r="P7283" i="5"/>
  <c r="Q7283" i="5"/>
  <c r="S7283" i="5"/>
  <c r="R7284" i="5"/>
  <c r="P7284" i="5"/>
  <c r="Q7284" i="5"/>
  <c r="S7284" i="5"/>
  <c r="P7285" i="5"/>
  <c r="Q7285" i="5"/>
  <c r="R7285" i="5"/>
  <c r="S7285" i="5"/>
  <c r="P7286" i="5"/>
  <c r="Q7286" i="5"/>
  <c r="R7287" i="5"/>
  <c r="P7287" i="5"/>
  <c r="Q7287" i="5"/>
  <c r="S7287" i="5"/>
  <c r="R7288" i="5"/>
  <c r="P7288" i="5"/>
  <c r="Q7288" i="5"/>
  <c r="S7288" i="5"/>
  <c r="R7289" i="5"/>
  <c r="P7289" i="5"/>
  <c r="Q7289" i="5"/>
  <c r="S7289" i="5"/>
  <c r="P7290" i="5"/>
  <c r="Q7290" i="5"/>
  <c r="R7291" i="5"/>
  <c r="P7291" i="5"/>
  <c r="Q7291" i="5"/>
  <c r="S7291" i="5"/>
  <c r="R7292" i="5"/>
  <c r="P7292" i="5"/>
  <c r="Q7292" i="5"/>
  <c r="S7292" i="5"/>
  <c r="R7293" i="5"/>
  <c r="P7293" i="5"/>
  <c r="Q7293" i="5"/>
  <c r="S7293" i="5"/>
  <c r="P7294" i="5"/>
  <c r="Q7294" i="5"/>
  <c r="R7295" i="5"/>
  <c r="P7295" i="5"/>
  <c r="Q7295" i="5"/>
  <c r="S7295" i="5"/>
  <c r="R7296" i="5"/>
  <c r="P7296" i="5"/>
  <c r="Q7296" i="5"/>
  <c r="S7296" i="5"/>
  <c r="R7297" i="5"/>
  <c r="P7297" i="5"/>
  <c r="Q7297" i="5"/>
  <c r="S7297" i="5"/>
  <c r="P7298" i="5"/>
  <c r="Q7298" i="5"/>
  <c r="R7299" i="5"/>
  <c r="P7299" i="5"/>
  <c r="Q7299" i="5"/>
  <c r="S7299" i="5"/>
  <c r="P7300" i="5"/>
  <c r="Q7300" i="5"/>
  <c r="R7300" i="5"/>
  <c r="S7300" i="5"/>
  <c r="R7301" i="5"/>
  <c r="P7301" i="5"/>
  <c r="Q7301" i="5"/>
  <c r="S7301" i="5"/>
  <c r="P7302" i="5"/>
  <c r="Q7302" i="5"/>
  <c r="R7303" i="5"/>
  <c r="P7303" i="5"/>
  <c r="Q7303" i="5"/>
  <c r="S7303" i="5"/>
  <c r="R7304" i="5"/>
  <c r="P7304" i="5"/>
  <c r="Q7304" i="5"/>
  <c r="S7304" i="5"/>
  <c r="P7305" i="5"/>
  <c r="Q7305" i="5"/>
  <c r="R7305" i="5"/>
  <c r="S7305" i="5"/>
  <c r="P7306" i="5"/>
  <c r="Q7306" i="5"/>
  <c r="R7307" i="5"/>
  <c r="P7307" i="5"/>
  <c r="Q7307" i="5"/>
  <c r="S7307" i="5"/>
  <c r="R7308" i="5"/>
  <c r="P7308" i="5"/>
  <c r="Q7308" i="5"/>
  <c r="S7308" i="5"/>
  <c r="R7309" i="5"/>
  <c r="P7309" i="5"/>
  <c r="Q7309" i="5"/>
  <c r="S7309" i="5"/>
  <c r="P7310" i="5"/>
  <c r="Q7310" i="5"/>
  <c r="R7311" i="5"/>
  <c r="P7311" i="5"/>
  <c r="Q7311" i="5"/>
  <c r="S7311" i="5"/>
  <c r="R7312" i="5"/>
  <c r="P7312" i="5"/>
  <c r="Q7312" i="5"/>
  <c r="S7312" i="5"/>
  <c r="P7313" i="5"/>
  <c r="Q7313" i="5"/>
  <c r="R7313" i="5"/>
  <c r="S7313" i="5"/>
  <c r="P7314" i="5"/>
  <c r="Q7314" i="5"/>
  <c r="R7315" i="5"/>
  <c r="P7315" i="5"/>
  <c r="Q7315" i="5"/>
  <c r="S7315" i="5"/>
  <c r="R7316" i="5"/>
  <c r="P7316" i="5"/>
  <c r="Q7316" i="5"/>
  <c r="S7316" i="5"/>
  <c r="P7317" i="5"/>
  <c r="Q7317" i="5"/>
  <c r="R7317" i="5"/>
  <c r="S7317" i="5"/>
  <c r="P7318" i="5"/>
  <c r="Q7318" i="5"/>
  <c r="P7319" i="5"/>
  <c r="Q7319" i="5"/>
  <c r="S7319" i="5"/>
  <c r="P7320" i="5"/>
  <c r="Q7320" i="5"/>
  <c r="S7320" i="5"/>
  <c r="P7321" i="5"/>
  <c r="Q7321" i="5"/>
  <c r="S7321" i="5"/>
  <c r="R7322" i="5"/>
  <c r="P7322" i="5"/>
  <c r="Q7322" i="5"/>
  <c r="S7322" i="5"/>
  <c r="R7323" i="5"/>
  <c r="P7323" i="5"/>
  <c r="Q7323" i="5"/>
  <c r="S7323" i="5"/>
  <c r="R7324" i="5"/>
  <c r="P7324" i="5"/>
  <c r="Q7324" i="5"/>
  <c r="S7324" i="5"/>
  <c r="P7325" i="5"/>
  <c r="Q7325" i="5"/>
  <c r="P7326" i="5"/>
  <c r="Q7326" i="5"/>
  <c r="S7326" i="5"/>
  <c r="P7327" i="5"/>
  <c r="Q7327" i="5"/>
  <c r="S7327" i="5"/>
  <c r="R7328" i="5"/>
  <c r="P7328" i="5"/>
  <c r="Q7328" i="5"/>
  <c r="S7328" i="5"/>
  <c r="P7329" i="5"/>
  <c r="Q7329" i="5"/>
  <c r="R7329" i="5"/>
  <c r="S7329" i="5"/>
  <c r="R7330" i="5"/>
  <c r="P7330" i="5"/>
  <c r="Q7330" i="5"/>
  <c r="S7330" i="5"/>
  <c r="P7331" i="5"/>
  <c r="Q7331" i="5"/>
  <c r="P7332" i="5"/>
  <c r="Q7332" i="5"/>
  <c r="S7332" i="5"/>
  <c r="P7333" i="5"/>
  <c r="Q7333" i="5"/>
  <c r="S7333" i="5"/>
  <c r="P7334" i="5"/>
  <c r="Q7334" i="5"/>
  <c r="S7334" i="5"/>
  <c r="P7335" i="5"/>
  <c r="Q7335" i="5"/>
  <c r="S7335" i="5"/>
  <c r="R7336" i="5"/>
  <c r="P7336" i="5"/>
  <c r="Q7336" i="5"/>
  <c r="S7336" i="5"/>
  <c r="R7337" i="5"/>
  <c r="P7337" i="5"/>
  <c r="Q7337" i="5"/>
  <c r="S7337" i="5"/>
  <c r="R7338" i="5"/>
  <c r="P7338" i="5"/>
  <c r="Q7338" i="5"/>
  <c r="S7338" i="5"/>
  <c r="P7339" i="5"/>
  <c r="Q7339" i="5"/>
  <c r="P7340" i="5"/>
  <c r="Q7340" i="5"/>
  <c r="S7340" i="5"/>
  <c r="P7341" i="5"/>
  <c r="Q7341" i="5"/>
  <c r="S7341" i="5"/>
  <c r="P7342" i="5"/>
  <c r="Q7342" i="5"/>
  <c r="S7342" i="5"/>
  <c r="P7343" i="5"/>
  <c r="Q7343" i="5"/>
  <c r="S7343" i="5"/>
  <c r="R7344" i="5"/>
  <c r="P7344" i="5"/>
  <c r="Q7344" i="5"/>
  <c r="S7344" i="5"/>
  <c r="R7345" i="5"/>
  <c r="P7345" i="5"/>
  <c r="Q7345" i="5"/>
  <c r="S7345" i="5"/>
  <c r="R7346" i="5"/>
  <c r="P7346" i="5"/>
  <c r="Q7346" i="5"/>
  <c r="S7346" i="5"/>
  <c r="P7347" i="5"/>
  <c r="Q7347" i="5"/>
  <c r="P7348" i="5"/>
  <c r="Q7348" i="5"/>
  <c r="S7348" i="5"/>
  <c r="P7349" i="5"/>
  <c r="Q7349" i="5"/>
  <c r="S7349" i="5"/>
  <c r="R7350" i="5"/>
  <c r="P7350" i="5"/>
  <c r="Q7350" i="5"/>
  <c r="S7350" i="5"/>
  <c r="R7351" i="5"/>
  <c r="P7351" i="5"/>
  <c r="Q7351" i="5"/>
  <c r="S7351" i="5"/>
  <c r="R7352" i="5"/>
  <c r="P7352" i="5"/>
  <c r="Q7352" i="5"/>
  <c r="S7352" i="5"/>
  <c r="P7353" i="5"/>
  <c r="Q7353" i="5"/>
  <c r="P7354" i="5"/>
  <c r="Q7354" i="5"/>
  <c r="S7354" i="5"/>
  <c r="R7355" i="5"/>
  <c r="P7355" i="5"/>
  <c r="Q7355" i="5"/>
  <c r="S7355" i="5"/>
  <c r="R7356" i="5"/>
  <c r="P7356" i="5"/>
  <c r="Q7356" i="5"/>
  <c r="S7356" i="5"/>
  <c r="P7357" i="5"/>
  <c r="Q7357" i="5"/>
  <c r="R7357" i="5"/>
  <c r="S7357" i="5"/>
  <c r="P7358" i="5"/>
  <c r="Q7358" i="5"/>
  <c r="P7359" i="5"/>
  <c r="Q7359" i="5"/>
  <c r="S7359" i="5"/>
  <c r="R7360" i="5"/>
  <c r="P7360" i="5"/>
  <c r="Q7360" i="5"/>
  <c r="S7360" i="5"/>
  <c r="R7361" i="5"/>
  <c r="P7361" i="5"/>
  <c r="Q7361" i="5"/>
  <c r="S7361" i="5"/>
  <c r="R7362" i="5"/>
  <c r="P7362" i="5"/>
  <c r="Q7362" i="5"/>
  <c r="S7362" i="5"/>
  <c r="P7363" i="5"/>
  <c r="Q7363" i="5"/>
  <c r="P7364" i="5"/>
  <c r="Q7364" i="5"/>
  <c r="S7364" i="5"/>
  <c r="R7365" i="5"/>
  <c r="P7365" i="5"/>
  <c r="Q7365" i="5"/>
  <c r="S7365" i="5"/>
  <c r="P7366" i="5"/>
  <c r="Q7366" i="5"/>
  <c r="S7366" i="5"/>
  <c r="R7367" i="5"/>
  <c r="P7367" i="5"/>
  <c r="Q7367" i="5"/>
  <c r="S7367" i="5"/>
  <c r="R7368" i="5"/>
  <c r="P7368" i="5"/>
  <c r="Q7368" i="5"/>
  <c r="S7368" i="5"/>
  <c r="R7369" i="5"/>
  <c r="P7369" i="5"/>
  <c r="Q7369" i="5"/>
  <c r="S7369" i="5"/>
  <c r="R7370" i="5"/>
  <c r="P7370" i="5"/>
  <c r="Q7370" i="5"/>
  <c r="P7371" i="5"/>
  <c r="Q7371" i="5"/>
  <c r="S7371" i="5"/>
  <c r="P7372" i="5"/>
  <c r="Q7372" i="5"/>
  <c r="S7372" i="5"/>
  <c r="P7373" i="5"/>
  <c r="Q7373" i="5"/>
  <c r="S7373" i="5"/>
  <c r="R7374" i="5"/>
  <c r="P7374" i="5"/>
  <c r="Q7374" i="5"/>
  <c r="S7374" i="5"/>
  <c r="R7375" i="5"/>
  <c r="P7375" i="5"/>
  <c r="Q7375" i="5"/>
  <c r="S7375" i="5"/>
  <c r="R7376" i="5"/>
  <c r="P7376" i="5"/>
  <c r="Q7376" i="5"/>
  <c r="S7376" i="5"/>
  <c r="P7377" i="5"/>
  <c r="Q7377" i="5"/>
  <c r="P7378" i="5"/>
  <c r="Q7378" i="5"/>
  <c r="S7378" i="5"/>
  <c r="P7379" i="5"/>
  <c r="Q7379" i="5"/>
  <c r="S7379" i="5"/>
  <c r="P7380" i="5"/>
  <c r="Q7380" i="5"/>
  <c r="S7380" i="5"/>
  <c r="P7381" i="5"/>
  <c r="Q7381" i="5"/>
  <c r="S7381" i="5"/>
  <c r="R7382" i="5"/>
  <c r="P7382" i="5"/>
  <c r="Q7382" i="5"/>
  <c r="S7382" i="5"/>
  <c r="R7383" i="5"/>
  <c r="P7383" i="5"/>
  <c r="Q7383" i="5"/>
  <c r="S7383" i="5"/>
  <c r="R7384" i="5"/>
  <c r="P7384" i="5"/>
  <c r="Q7384" i="5"/>
  <c r="S7384" i="5"/>
  <c r="P7385" i="5"/>
  <c r="Q7385" i="5"/>
  <c r="P7386" i="5"/>
  <c r="Q7386" i="5"/>
  <c r="S7386" i="5"/>
  <c r="P7387" i="5"/>
  <c r="Q7387" i="5"/>
  <c r="S7387" i="5"/>
  <c r="R7388" i="5"/>
  <c r="P7388" i="5"/>
  <c r="Q7388" i="5"/>
  <c r="S7388" i="5"/>
  <c r="R7389" i="5"/>
  <c r="P7389" i="5"/>
  <c r="Q7389" i="5"/>
  <c r="S7389" i="5"/>
  <c r="R7390" i="5"/>
  <c r="P7390" i="5"/>
  <c r="Q7390" i="5"/>
  <c r="S7390" i="5"/>
  <c r="P7391" i="5"/>
  <c r="Q7391" i="5"/>
  <c r="P7392" i="5"/>
  <c r="Q7392" i="5"/>
  <c r="S7392" i="5"/>
  <c r="P7393" i="5"/>
  <c r="Q7393" i="5"/>
  <c r="S7393" i="5"/>
  <c r="P7394" i="5"/>
  <c r="Q7394" i="5"/>
  <c r="S7394" i="5"/>
  <c r="R7395" i="5"/>
  <c r="P7395" i="5"/>
  <c r="Q7395" i="5"/>
  <c r="S7395" i="5"/>
  <c r="R7396" i="5"/>
  <c r="P7396" i="5"/>
  <c r="Q7396" i="5"/>
  <c r="S7396" i="5"/>
  <c r="P7397" i="5"/>
  <c r="Q7397" i="5"/>
  <c r="R7397" i="5"/>
  <c r="S7397" i="5"/>
  <c r="P7398" i="5"/>
  <c r="Q7398" i="5"/>
  <c r="P7399" i="5"/>
  <c r="Q7399" i="5"/>
  <c r="S7399" i="5"/>
  <c r="P7400" i="5"/>
  <c r="Q7400" i="5"/>
  <c r="S7400" i="5"/>
  <c r="R7401" i="5"/>
  <c r="P7401" i="5"/>
  <c r="Q7401" i="5"/>
  <c r="S7401" i="5"/>
  <c r="R7402" i="5"/>
  <c r="P7402" i="5"/>
  <c r="Q7402" i="5"/>
  <c r="S7402" i="5"/>
  <c r="R7403" i="5"/>
  <c r="P7403" i="5"/>
  <c r="Q7403" i="5"/>
  <c r="S7403" i="5"/>
  <c r="P7404" i="5"/>
  <c r="Q7404" i="5"/>
  <c r="P7405" i="5"/>
  <c r="Q7405" i="5"/>
  <c r="S7405" i="5"/>
  <c r="P7406" i="5"/>
  <c r="Q7406" i="5"/>
  <c r="S7406" i="5"/>
  <c r="R7407" i="5"/>
  <c r="P7407" i="5"/>
  <c r="Q7407" i="5"/>
  <c r="S7407" i="5"/>
  <c r="R7408" i="5"/>
  <c r="P7408" i="5"/>
  <c r="Q7408" i="5"/>
  <c r="S7408" i="5"/>
  <c r="R7409" i="5"/>
  <c r="P7409" i="5"/>
  <c r="Q7409" i="5"/>
  <c r="S7409" i="5"/>
  <c r="P7410" i="5"/>
  <c r="Q7410" i="5"/>
  <c r="P7411" i="5"/>
  <c r="Q7411" i="5"/>
  <c r="S7411" i="5"/>
  <c r="P7412" i="5"/>
  <c r="Q7412" i="5"/>
  <c r="S7412" i="5"/>
  <c r="R7413" i="5"/>
  <c r="P7413" i="5"/>
  <c r="Q7413" i="5"/>
  <c r="S7413" i="5"/>
  <c r="R7414" i="5"/>
  <c r="P7414" i="5"/>
  <c r="Q7414" i="5"/>
  <c r="S7414" i="5"/>
  <c r="R7415" i="5"/>
  <c r="P7415" i="5"/>
  <c r="Q7415" i="5"/>
  <c r="S7415" i="5"/>
  <c r="P7416" i="5"/>
  <c r="Q7416" i="5"/>
  <c r="P7417" i="5"/>
  <c r="Q7417" i="5"/>
  <c r="S7417" i="5"/>
  <c r="P7418" i="5"/>
  <c r="Q7418" i="5"/>
  <c r="S7418" i="5"/>
  <c r="R7419" i="5"/>
  <c r="P7419" i="5"/>
  <c r="Q7419" i="5"/>
  <c r="S7419" i="5"/>
  <c r="R7420" i="5"/>
  <c r="P7420" i="5"/>
  <c r="Q7420" i="5"/>
  <c r="S7420" i="5"/>
  <c r="R7421" i="5"/>
  <c r="P7421" i="5"/>
  <c r="Q7421" i="5"/>
  <c r="S7421" i="5"/>
  <c r="P7422" i="5"/>
  <c r="Q7422" i="5"/>
  <c r="P7423" i="5"/>
  <c r="Q7423" i="5"/>
  <c r="S7423" i="5"/>
  <c r="R7424" i="5"/>
  <c r="P7424" i="5"/>
  <c r="Q7424" i="5"/>
  <c r="S7424" i="5"/>
  <c r="P7425" i="5"/>
  <c r="Q7425" i="5"/>
  <c r="R7425" i="5"/>
  <c r="S7425" i="5"/>
  <c r="R7426" i="5"/>
  <c r="P7426" i="5"/>
  <c r="Q7426" i="5"/>
  <c r="S7426" i="5"/>
  <c r="P7427" i="5"/>
  <c r="Q7427" i="5"/>
  <c r="P7428" i="5"/>
  <c r="Q7428" i="5"/>
  <c r="S7428" i="5"/>
  <c r="P7429" i="5"/>
  <c r="Q7429" i="5"/>
  <c r="S7429" i="5"/>
  <c r="P7430" i="5"/>
  <c r="Q7430" i="5"/>
  <c r="S7430" i="5"/>
  <c r="P7431" i="5"/>
  <c r="Q7431" i="5"/>
  <c r="S7431" i="5"/>
  <c r="R7432" i="5"/>
  <c r="P7432" i="5"/>
  <c r="Q7432" i="5"/>
  <c r="S7432" i="5"/>
  <c r="R7433" i="5"/>
  <c r="P7433" i="5"/>
  <c r="Q7433" i="5"/>
  <c r="S7433" i="5"/>
  <c r="R7434" i="5"/>
  <c r="P7434" i="5"/>
  <c r="Q7434" i="5"/>
  <c r="S7434" i="5"/>
  <c r="P7435" i="5"/>
  <c r="Q7435" i="5"/>
  <c r="P7436" i="5"/>
  <c r="Q7436" i="5"/>
  <c r="S7436" i="5"/>
  <c r="P7437" i="5"/>
  <c r="Q7437" i="5"/>
  <c r="S7437" i="5"/>
  <c r="R7438" i="5"/>
  <c r="P7438" i="5"/>
  <c r="Q7438" i="5"/>
  <c r="S7438" i="5"/>
  <c r="R7439" i="5"/>
  <c r="P7439" i="5"/>
  <c r="Q7439" i="5"/>
  <c r="S7439" i="5"/>
  <c r="R7440" i="5"/>
  <c r="P7440" i="5"/>
  <c r="Q7440" i="5"/>
  <c r="S7440" i="5"/>
  <c r="P7441" i="5"/>
  <c r="Q7441" i="5"/>
  <c r="P7442" i="5"/>
  <c r="Q7442" i="5"/>
  <c r="S7442" i="5"/>
  <c r="P7443" i="5"/>
  <c r="Q7443" i="5"/>
  <c r="S7443" i="5"/>
  <c r="P7444" i="5"/>
  <c r="Q7444" i="5"/>
  <c r="S7444" i="5"/>
  <c r="R7445" i="5"/>
  <c r="P7445" i="5"/>
  <c r="Q7445" i="5"/>
  <c r="S7445" i="5"/>
  <c r="R7446" i="5"/>
  <c r="P7446" i="5"/>
  <c r="Q7446" i="5"/>
  <c r="S7446" i="5"/>
  <c r="R7447" i="5"/>
  <c r="P7447" i="5"/>
  <c r="Q7447" i="5"/>
  <c r="S7447" i="5"/>
  <c r="R7448" i="5"/>
  <c r="P7448" i="5"/>
  <c r="Q7448" i="5"/>
  <c r="P7449" i="5"/>
  <c r="Q7449" i="5"/>
  <c r="S7449" i="5"/>
  <c r="P7450" i="5"/>
  <c r="Q7450" i="5"/>
  <c r="S7450" i="5"/>
  <c r="P7451" i="5"/>
  <c r="Q7451" i="5"/>
  <c r="S7451" i="5"/>
  <c r="R7452" i="5"/>
  <c r="P7452" i="5"/>
  <c r="Q7452" i="5"/>
  <c r="S7452" i="5"/>
  <c r="P7453" i="5"/>
  <c r="Q7453" i="5"/>
  <c r="R7453" i="5"/>
  <c r="S7453" i="5"/>
  <c r="R7454" i="5"/>
  <c r="P7454" i="5"/>
  <c r="Q7454" i="5"/>
  <c r="S7454" i="5"/>
  <c r="P7455" i="5"/>
  <c r="Q7455" i="5"/>
  <c r="P7456" i="5"/>
  <c r="Q7456" i="5"/>
  <c r="S7456" i="5"/>
  <c r="P7457" i="5"/>
  <c r="Q7457" i="5"/>
  <c r="S7457" i="5"/>
  <c r="P7458" i="5"/>
  <c r="Q7458" i="5"/>
  <c r="S7458" i="5"/>
  <c r="R7459" i="5"/>
  <c r="P7459" i="5"/>
  <c r="Q7459" i="5"/>
  <c r="S7459" i="5"/>
  <c r="P7460" i="5"/>
  <c r="Q7460" i="5"/>
  <c r="R7460" i="5"/>
  <c r="S7460" i="5"/>
  <c r="R7461" i="5"/>
  <c r="P7461" i="5"/>
  <c r="Q7461" i="5"/>
  <c r="S7461" i="5"/>
  <c r="P7462" i="5"/>
  <c r="Q7462" i="5"/>
  <c r="P7463" i="5"/>
  <c r="Q7463" i="5"/>
  <c r="S7463" i="5"/>
  <c r="P7464" i="5"/>
  <c r="Q7464" i="5"/>
  <c r="S7464" i="5"/>
  <c r="P7465" i="5"/>
  <c r="Q7465" i="5"/>
  <c r="S7465" i="5"/>
  <c r="R7466" i="5"/>
  <c r="P7466" i="5"/>
  <c r="Q7466" i="5"/>
  <c r="S7466" i="5"/>
  <c r="R7467" i="5"/>
  <c r="P7467" i="5"/>
  <c r="Q7467" i="5"/>
  <c r="S7467" i="5"/>
  <c r="R7468" i="5"/>
  <c r="P7468" i="5"/>
  <c r="Q7468" i="5"/>
  <c r="S7468" i="5"/>
  <c r="P7469" i="5"/>
  <c r="Q7469" i="5"/>
  <c r="R7469" i="5"/>
  <c r="P7470" i="5"/>
  <c r="Q7470" i="5"/>
  <c r="S7470" i="5"/>
  <c r="P7471" i="5"/>
  <c r="Q7471" i="5"/>
  <c r="S7471" i="5"/>
  <c r="P7472" i="5"/>
  <c r="Q7472" i="5"/>
  <c r="S7472" i="5"/>
  <c r="P7473" i="5"/>
  <c r="Q7473" i="5"/>
  <c r="S7473" i="5"/>
  <c r="R7474" i="5"/>
  <c r="P7474" i="5"/>
  <c r="Q7474" i="5"/>
  <c r="S7474" i="5"/>
  <c r="R7475" i="5"/>
  <c r="P7475" i="5"/>
  <c r="Q7475" i="5"/>
  <c r="S7475" i="5"/>
  <c r="R7476" i="5"/>
  <c r="P7476" i="5"/>
  <c r="Q7476" i="5"/>
  <c r="S7476" i="5"/>
  <c r="P7477" i="5"/>
  <c r="Q7477" i="5"/>
  <c r="R7477" i="5"/>
  <c r="P7478" i="5"/>
  <c r="Q7478" i="5"/>
  <c r="S7478" i="5"/>
  <c r="P7479" i="5"/>
  <c r="Q7479" i="5"/>
  <c r="S7479" i="5"/>
  <c r="P7480" i="5"/>
  <c r="Q7480" i="5"/>
  <c r="S7480" i="5"/>
  <c r="P7481" i="5"/>
  <c r="Q7481" i="5"/>
  <c r="S7481" i="5"/>
  <c r="R7482" i="5"/>
  <c r="P7482" i="5"/>
  <c r="Q7482" i="5"/>
  <c r="S7482" i="5"/>
  <c r="R7483" i="5"/>
  <c r="P7483" i="5"/>
  <c r="Q7483" i="5"/>
  <c r="S7483" i="5"/>
  <c r="R7484" i="5"/>
  <c r="P7484" i="5"/>
  <c r="Q7484" i="5"/>
  <c r="S7484" i="5"/>
  <c r="R7485" i="5"/>
  <c r="P7485" i="5"/>
  <c r="Q7485" i="5"/>
  <c r="P7486" i="5"/>
  <c r="Q7486" i="5"/>
  <c r="S7486" i="5"/>
  <c r="P7487" i="5"/>
  <c r="Q7487" i="5"/>
  <c r="S7487" i="5"/>
  <c r="P7488" i="5"/>
  <c r="Q7488" i="5"/>
  <c r="S7488" i="5"/>
  <c r="P7489" i="5"/>
  <c r="Q7489" i="5"/>
  <c r="S7489" i="5"/>
  <c r="R7490" i="5"/>
  <c r="P7490" i="5"/>
  <c r="Q7490" i="5"/>
  <c r="S7490" i="5"/>
  <c r="R7491" i="5"/>
  <c r="P7491" i="5"/>
  <c r="Q7491" i="5"/>
  <c r="S7491" i="5"/>
  <c r="R7492" i="5"/>
  <c r="P7492" i="5"/>
  <c r="Q7492" i="5"/>
  <c r="S7492" i="5"/>
  <c r="P7493" i="5"/>
  <c r="Q7493" i="5"/>
  <c r="P7494" i="5"/>
  <c r="Q7494" i="5"/>
  <c r="S7494" i="5"/>
  <c r="R7495" i="5"/>
  <c r="P7495" i="5"/>
  <c r="Q7495" i="5"/>
  <c r="S7495" i="5"/>
  <c r="R7496" i="5"/>
  <c r="P7496" i="5"/>
  <c r="Q7496" i="5"/>
  <c r="S7496" i="5"/>
  <c r="R7497" i="5"/>
  <c r="P7497" i="5"/>
  <c r="Q7497" i="5"/>
  <c r="S7497" i="5"/>
  <c r="R7498" i="5"/>
  <c r="P7498" i="5"/>
  <c r="Q7498" i="5"/>
  <c r="S7498" i="5"/>
  <c r="R7499" i="5"/>
  <c r="P7499" i="5"/>
  <c r="Q7499" i="5"/>
  <c r="S7499" i="5"/>
  <c r="R7500" i="5"/>
  <c r="P7500" i="5"/>
  <c r="Q7500" i="5"/>
  <c r="S7500" i="5"/>
  <c r="P7501" i="5"/>
  <c r="Q7501" i="5"/>
  <c r="R7501" i="5"/>
  <c r="S7501" i="5"/>
  <c r="P7502" i="5"/>
  <c r="Q7502" i="5"/>
  <c r="P7503" i="5"/>
  <c r="Q7503" i="5"/>
  <c r="S7503" i="5"/>
  <c r="R7504" i="5"/>
  <c r="P7504" i="5"/>
  <c r="Q7504" i="5"/>
  <c r="S7504" i="5"/>
  <c r="R7505" i="5"/>
  <c r="P7505" i="5"/>
  <c r="Q7505" i="5"/>
  <c r="S7505" i="5"/>
  <c r="R7506" i="5"/>
  <c r="P7506" i="5"/>
  <c r="Q7506" i="5"/>
  <c r="S7506" i="5"/>
  <c r="R7507" i="5"/>
  <c r="P7507" i="5"/>
  <c r="Q7507" i="5"/>
  <c r="S7507" i="5"/>
  <c r="P7508" i="5"/>
  <c r="Q7508" i="5"/>
  <c r="P7509" i="5"/>
  <c r="Q7509" i="5"/>
  <c r="S7509" i="5"/>
  <c r="P7510" i="5"/>
  <c r="Q7510" i="5"/>
  <c r="S7510" i="5"/>
  <c r="R7511" i="5"/>
  <c r="P7511" i="5"/>
  <c r="Q7511" i="5"/>
  <c r="S7511" i="5"/>
  <c r="R7512" i="5"/>
  <c r="P7512" i="5"/>
  <c r="Q7512" i="5"/>
  <c r="S7512" i="5"/>
  <c r="R7513" i="5"/>
  <c r="P7513" i="5"/>
  <c r="Q7513" i="5"/>
  <c r="S7513" i="5"/>
  <c r="P7514" i="5"/>
  <c r="Q7514" i="5"/>
  <c r="P7515" i="5"/>
  <c r="Q7515" i="5"/>
  <c r="S7515" i="5"/>
  <c r="P7516" i="5"/>
  <c r="Q7516" i="5"/>
  <c r="S7516" i="5"/>
  <c r="P7517" i="5"/>
  <c r="Q7517" i="5"/>
  <c r="S7517" i="5"/>
  <c r="P7518" i="5"/>
  <c r="Q7518" i="5"/>
  <c r="S7518" i="5"/>
  <c r="P7519" i="5"/>
  <c r="Q7519" i="5"/>
  <c r="R7519" i="5"/>
  <c r="S7519" i="5"/>
  <c r="R7520" i="5"/>
  <c r="P7520" i="5"/>
  <c r="Q7520" i="5"/>
  <c r="S7520" i="5"/>
  <c r="R7521" i="5"/>
  <c r="P7521" i="5"/>
  <c r="Q7521" i="5"/>
  <c r="S7521" i="5"/>
  <c r="R7522" i="5"/>
  <c r="P7522" i="5"/>
  <c r="Q7522" i="5"/>
  <c r="S7522" i="5"/>
  <c r="R7523" i="5"/>
  <c r="P7523" i="5"/>
  <c r="Q7523" i="5"/>
  <c r="S7523" i="5"/>
  <c r="R7524" i="5"/>
  <c r="P7524" i="5"/>
  <c r="Q7524" i="5"/>
  <c r="S7524" i="5"/>
  <c r="R7525" i="5"/>
  <c r="P7525" i="5"/>
  <c r="Q7525" i="5"/>
  <c r="S7525" i="5"/>
  <c r="R7526" i="5"/>
  <c r="P7526" i="5"/>
  <c r="Q7526" i="5"/>
  <c r="S7526" i="5"/>
  <c r="P7527" i="5"/>
  <c r="Q7527" i="5"/>
  <c r="R7527" i="5"/>
  <c r="S7527" i="5"/>
  <c r="P7528" i="5"/>
  <c r="Q7528" i="5"/>
  <c r="P7529" i="5"/>
  <c r="Q7529" i="5"/>
  <c r="S7529" i="5"/>
  <c r="P7530" i="5"/>
  <c r="Q7530" i="5"/>
  <c r="S7530" i="5"/>
  <c r="P7531" i="5"/>
  <c r="Q7531" i="5"/>
  <c r="S7531" i="5"/>
  <c r="P7532" i="5"/>
  <c r="Q7532" i="5"/>
  <c r="S7532" i="5"/>
  <c r="R7533" i="5"/>
  <c r="P7533" i="5"/>
  <c r="Q7533" i="5"/>
  <c r="S7533" i="5"/>
  <c r="R7534" i="5"/>
  <c r="P7534" i="5"/>
  <c r="Q7534" i="5"/>
  <c r="S7534" i="5"/>
  <c r="P7535" i="5"/>
  <c r="Q7535" i="5"/>
  <c r="R7535" i="5"/>
  <c r="S7535" i="5"/>
  <c r="R7536" i="5"/>
  <c r="P7536" i="5"/>
  <c r="Q7536" i="5"/>
  <c r="S7536" i="5"/>
  <c r="R7537" i="5"/>
  <c r="P7537" i="5"/>
  <c r="Q7537" i="5"/>
  <c r="S7537" i="5"/>
  <c r="R7538" i="5"/>
  <c r="P7538" i="5"/>
  <c r="Q7538" i="5"/>
  <c r="S7538" i="5"/>
  <c r="R7539" i="5"/>
  <c r="P7539" i="5"/>
  <c r="Q7539" i="5"/>
  <c r="S7539" i="5"/>
  <c r="R7540" i="5"/>
  <c r="P7540" i="5"/>
  <c r="Q7540" i="5"/>
  <c r="S7540" i="5"/>
  <c r="R7541" i="5"/>
  <c r="P7541" i="5"/>
  <c r="Q7541" i="5"/>
  <c r="S7541" i="5"/>
  <c r="R7542" i="5"/>
  <c r="P7542" i="5"/>
  <c r="Q7542" i="5"/>
  <c r="P7543" i="5"/>
  <c r="Q7543" i="5"/>
  <c r="S7543" i="5"/>
  <c r="P7544" i="5"/>
  <c r="Q7544" i="5"/>
  <c r="S7544" i="5"/>
  <c r="P7545" i="5"/>
  <c r="Q7545" i="5"/>
  <c r="S7545" i="5"/>
  <c r="R7546" i="5"/>
  <c r="P7546" i="5"/>
  <c r="Q7546" i="5"/>
  <c r="S7546" i="5"/>
  <c r="R7547" i="5"/>
  <c r="P7547" i="5"/>
  <c r="Q7547" i="5"/>
  <c r="S7547" i="5"/>
  <c r="R7548" i="5"/>
  <c r="P7548" i="5"/>
  <c r="Q7548" i="5"/>
  <c r="S7548" i="5"/>
  <c r="P7549" i="5"/>
  <c r="Q7549" i="5"/>
  <c r="R7550" i="5"/>
  <c r="P7550" i="5"/>
  <c r="Q7550" i="5"/>
  <c r="S7550" i="5"/>
  <c r="P7551" i="5"/>
  <c r="Q7551" i="5"/>
  <c r="R7551" i="5"/>
  <c r="S7551" i="5"/>
  <c r="R7552" i="5"/>
  <c r="P7552" i="5"/>
  <c r="Q7552" i="5"/>
  <c r="S7552" i="5"/>
  <c r="P7553" i="5"/>
  <c r="Q7553" i="5"/>
  <c r="R7554" i="5"/>
  <c r="P7554" i="5"/>
  <c r="Q7554" i="5"/>
  <c r="S7554" i="5"/>
  <c r="R7555" i="5"/>
  <c r="P7555" i="5"/>
  <c r="Q7555" i="5"/>
  <c r="S7555" i="5"/>
  <c r="R7556" i="5"/>
  <c r="P7556" i="5"/>
  <c r="Q7556" i="5"/>
  <c r="S7556" i="5"/>
  <c r="P7557" i="5"/>
  <c r="Q7557" i="5"/>
  <c r="R7558" i="5"/>
  <c r="P7558" i="5"/>
  <c r="Q7558" i="5"/>
  <c r="S7558" i="5"/>
  <c r="P7559" i="5"/>
  <c r="Q7559" i="5"/>
  <c r="R7559" i="5"/>
  <c r="S7559" i="5"/>
  <c r="R7560" i="5"/>
  <c r="P7560" i="5"/>
  <c r="Q7560" i="5"/>
  <c r="S7560" i="5"/>
  <c r="P7561" i="5"/>
  <c r="Q7561" i="5"/>
  <c r="R7562" i="5"/>
  <c r="P7562" i="5"/>
  <c r="Q7562" i="5"/>
  <c r="S7562" i="5"/>
  <c r="R7563" i="5"/>
  <c r="P7563" i="5"/>
  <c r="Q7563" i="5"/>
  <c r="S7563" i="5"/>
  <c r="R7564" i="5"/>
  <c r="P7564" i="5"/>
  <c r="Q7564" i="5"/>
  <c r="S7564" i="5"/>
  <c r="P7565" i="5"/>
  <c r="Q7565" i="5"/>
  <c r="R7566" i="5"/>
  <c r="P7566" i="5"/>
  <c r="Q7566" i="5"/>
  <c r="S7566" i="5"/>
  <c r="P7567" i="5"/>
  <c r="Q7567" i="5"/>
  <c r="R7567" i="5"/>
  <c r="S7567" i="5"/>
  <c r="R7568" i="5"/>
  <c r="P7568" i="5"/>
  <c r="Q7568" i="5"/>
  <c r="S7568" i="5"/>
  <c r="P7569" i="5"/>
  <c r="Q7569" i="5"/>
  <c r="R7570" i="5"/>
  <c r="P7570" i="5"/>
  <c r="Q7570" i="5"/>
  <c r="S7570" i="5"/>
  <c r="R7571" i="5"/>
  <c r="P7571" i="5"/>
  <c r="Q7571" i="5"/>
  <c r="S7571" i="5"/>
  <c r="R7572" i="5"/>
  <c r="P7572" i="5"/>
  <c r="Q7572" i="5"/>
  <c r="S7572" i="5"/>
  <c r="P7573" i="5"/>
  <c r="Q7573" i="5"/>
  <c r="R7574" i="5"/>
  <c r="P7574" i="5"/>
  <c r="Q7574" i="5"/>
  <c r="S7574" i="5"/>
  <c r="P7575" i="5"/>
  <c r="Q7575" i="5"/>
  <c r="R7575" i="5"/>
  <c r="S7575" i="5"/>
  <c r="R7576" i="5"/>
  <c r="P7576" i="5"/>
  <c r="Q7576" i="5"/>
  <c r="S7576" i="5"/>
  <c r="P7577" i="5"/>
  <c r="Q7577" i="5"/>
  <c r="R7578" i="5"/>
  <c r="P7578" i="5"/>
  <c r="Q7578" i="5"/>
  <c r="S7578" i="5"/>
  <c r="R7579" i="5"/>
  <c r="P7579" i="5"/>
  <c r="Q7579" i="5"/>
  <c r="S7579" i="5"/>
  <c r="R7580" i="5"/>
  <c r="P7580" i="5"/>
  <c r="Q7580" i="5"/>
  <c r="S7580" i="5"/>
  <c r="P7581" i="5"/>
  <c r="Q7581" i="5"/>
  <c r="R7582" i="5"/>
  <c r="P7582" i="5"/>
  <c r="Q7582" i="5"/>
  <c r="S7582" i="5"/>
  <c r="P7583" i="5"/>
  <c r="Q7583" i="5"/>
  <c r="R7583" i="5"/>
  <c r="S7583" i="5"/>
  <c r="R7584" i="5"/>
  <c r="P7584" i="5"/>
  <c r="Q7584" i="5"/>
  <c r="S7584" i="5"/>
  <c r="P7585" i="5"/>
  <c r="Q7585" i="5"/>
  <c r="R7586" i="5"/>
  <c r="P7586" i="5"/>
  <c r="Q7586" i="5"/>
  <c r="S7586" i="5"/>
  <c r="R7587" i="5"/>
  <c r="P7587" i="5"/>
  <c r="Q7587" i="5"/>
  <c r="S7587" i="5"/>
  <c r="R7588" i="5"/>
  <c r="P7588" i="5"/>
  <c r="Q7588" i="5"/>
  <c r="S7588" i="5"/>
  <c r="P7589" i="5"/>
  <c r="Q7589" i="5"/>
  <c r="R7590" i="5"/>
  <c r="P7590" i="5"/>
  <c r="Q7590" i="5"/>
  <c r="S7590" i="5"/>
  <c r="P7591" i="5"/>
  <c r="Q7591" i="5"/>
  <c r="R7591" i="5"/>
  <c r="S7591" i="5"/>
  <c r="R7592" i="5"/>
  <c r="P7592" i="5"/>
  <c r="Q7592" i="5"/>
  <c r="S7592" i="5"/>
  <c r="P7593" i="5"/>
  <c r="Q7593" i="5"/>
  <c r="R7594" i="5"/>
  <c r="P7594" i="5"/>
  <c r="Q7594" i="5"/>
  <c r="S7594" i="5"/>
  <c r="R7595" i="5"/>
  <c r="P7595" i="5"/>
  <c r="Q7595" i="5"/>
  <c r="S7595" i="5"/>
  <c r="R7596" i="5"/>
  <c r="P7596" i="5"/>
  <c r="Q7596" i="5"/>
  <c r="S7596" i="5"/>
  <c r="P7597" i="5"/>
  <c r="Q7597" i="5"/>
  <c r="R7598" i="5"/>
  <c r="P7598" i="5"/>
  <c r="Q7598" i="5"/>
  <c r="S7598" i="5"/>
  <c r="P7599" i="5"/>
  <c r="Q7599" i="5"/>
  <c r="R7599" i="5"/>
  <c r="S7599" i="5"/>
  <c r="R7600" i="5"/>
  <c r="P7600" i="5"/>
  <c r="Q7600" i="5"/>
  <c r="S7600" i="5"/>
  <c r="P7601" i="5"/>
  <c r="Q7601" i="5"/>
  <c r="R7602" i="5"/>
  <c r="P7602" i="5"/>
  <c r="Q7602" i="5"/>
  <c r="S7602" i="5"/>
  <c r="R7603" i="5"/>
  <c r="P7603" i="5"/>
  <c r="Q7603" i="5"/>
  <c r="S7603" i="5"/>
  <c r="R7604" i="5"/>
  <c r="P7604" i="5"/>
  <c r="Q7604" i="5"/>
  <c r="S7604" i="5"/>
  <c r="P7605" i="5"/>
  <c r="Q7605" i="5"/>
  <c r="R7606" i="5"/>
  <c r="P7606" i="5"/>
  <c r="Q7606" i="5"/>
  <c r="S7606" i="5"/>
  <c r="P7607" i="5"/>
  <c r="Q7607" i="5"/>
  <c r="R7607" i="5"/>
  <c r="S7607" i="5"/>
  <c r="R7608" i="5"/>
  <c r="P7608" i="5"/>
  <c r="Q7608" i="5"/>
  <c r="S7608" i="5"/>
  <c r="P7609" i="5"/>
  <c r="Q7609" i="5"/>
  <c r="R7610" i="5"/>
  <c r="P7610" i="5"/>
  <c r="Q7610" i="5"/>
  <c r="S7610" i="5"/>
  <c r="R7611" i="5"/>
  <c r="P7611" i="5"/>
  <c r="Q7611" i="5"/>
  <c r="S7611" i="5"/>
  <c r="R7612" i="5"/>
  <c r="P7612" i="5"/>
  <c r="Q7612" i="5"/>
  <c r="S7612" i="5"/>
  <c r="P7613" i="5"/>
  <c r="Q7613" i="5"/>
  <c r="R7614" i="5"/>
  <c r="P7614" i="5"/>
  <c r="Q7614" i="5"/>
  <c r="S7614" i="5"/>
  <c r="P7615" i="5"/>
  <c r="Q7615" i="5"/>
  <c r="R7615" i="5"/>
  <c r="S7615" i="5"/>
  <c r="R7616" i="5"/>
  <c r="P7616" i="5"/>
  <c r="Q7616" i="5"/>
  <c r="S7616" i="5"/>
  <c r="P7617" i="5"/>
  <c r="Q7617" i="5"/>
  <c r="R7618" i="5"/>
  <c r="P7618" i="5"/>
  <c r="Q7618" i="5"/>
  <c r="S7618" i="5"/>
  <c r="R7619" i="5"/>
  <c r="P7619" i="5"/>
  <c r="Q7619" i="5"/>
  <c r="S7619" i="5"/>
  <c r="R7620" i="5"/>
  <c r="P7620" i="5"/>
  <c r="Q7620" i="5"/>
  <c r="S7620" i="5"/>
  <c r="P7621" i="5"/>
  <c r="Q7621" i="5"/>
  <c r="R7622" i="5"/>
  <c r="P7622" i="5"/>
  <c r="Q7622" i="5"/>
  <c r="S7622" i="5"/>
  <c r="P7623" i="5"/>
  <c r="Q7623" i="5"/>
  <c r="R7623" i="5"/>
  <c r="S7623" i="5"/>
  <c r="R7624" i="5"/>
  <c r="P7624" i="5"/>
  <c r="Q7624" i="5"/>
  <c r="S7624" i="5"/>
  <c r="P7625" i="5"/>
  <c r="Q7625" i="5"/>
  <c r="R7626" i="5"/>
  <c r="P7626" i="5"/>
  <c r="Q7626" i="5"/>
  <c r="S7626" i="5"/>
  <c r="R7627" i="5"/>
  <c r="P7627" i="5"/>
  <c r="Q7627" i="5"/>
  <c r="S7627" i="5"/>
  <c r="R7628" i="5"/>
  <c r="P7628" i="5"/>
  <c r="Q7628" i="5"/>
  <c r="S7628" i="5"/>
  <c r="P7629" i="5"/>
  <c r="Q7629" i="5"/>
  <c r="R7630" i="5"/>
  <c r="P7630" i="5"/>
  <c r="Q7630" i="5"/>
  <c r="S7630" i="5"/>
  <c r="P7631" i="5"/>
  <c r="Q7631" i="5"/>
  <c r="R7631" i="5"/>
  <c r="S7631" i="5"/>
  <c r="R7632" i="5"/>
  <c r="P7632" i="5"/>
  <c r="Q7632" i="5"/>
  <c r="S7632" i="5"/>
  <c r="P7633" i="5"/>
  <c r="Q7633" i="5"/>
  <c r="R7634" i="5"/>
  <c r="P7634" i="5"/>
  <c r="Q7634" i="5"/>
  <c r="S7634" i="5"/>
  <c r="R7635" i="5"/>
  <c r="P7635" i="5"/>
  <c r="Q7635" i="5"/>
  <c r="S7635" i="5"/>
  <c r="R7636" i="5"/>
  <c r="P7636" i="5"/>
  <c r="Q7636" i="5"/>
  <c r="S7636" i="5"/>
  <c r="P7637" i="5"/>
  <c r="Q7637" i="5"/>
  <c r="R7638" i="5"/>
  <c r="P7638" i="5"/>
  <c r="Q7638" i="5"/>
  <c r="S7638" i="5"/>
  <c r="P7639" i="5"/>
  <c r="Q7639" i="5"/>
  <c r="R7639" i="5"/>
  <c r="S7639" i="5"/>
  <c r="R7640" i="5"/>
  <c r="P7640" i="5"/>
  <c r="Q7640" i="5"/>
  <c r="S7640" i="5"/>
  <c r="P7641" i="5"/>
  <c r="Q7641" i="5"/>
  <c r="R7642" i="5"/>
  <c r="P7642" i="5"/>
  <c r="Q7642" i="5"/>
  <c r="S7642" i="5"/>
  <c r="R7643" i="5"/>
  <c r="P7643" i="5"/>
  <c r="Q7643" i="5"/>
  <c r="S7643" i="5"/>
  <c r="R7644" i="5"/>
  <c r="P7644" i="5"/>
  <c r="Q7644" i="5"/>
  <c r="S7644" i="5"/>
  <c r="P7645" i="5"/>
  <c r="Q7645" i="5"/>
  <c r="R7646" i="5"/>
  <c r="P7646" i="5"/>
  <c r="Q7646" i="5"/>
  <c r="S7646" i="5"/>
  <c r="P7647" i="5"/>
  <c r="Q7647" i="5"/>
  <c r="R7647" i="5"/>
  <c r="S7647" i="5"/>
  <c r="R7648" i="5"/>
  <c r="P7648" i="5"/>
  <c r="Q7648" i="5"/>
  <c r="S7648" i="5"/>
  <c r="P7649" i="5"/>
  <c r="Q7649" i="5"/>
  <c r="R7650" i="5"/>
  <c r="P7650" i="5"/>
  <c r="Q7650" i="5"/>
  <c r="S7650" i="5"/>
  <c r="R7651" i="5"/>
  <c r="P7651" i="5"/>
  <c r="Q7651" i="5"/>
  <c r="S7651" i="5"/>
  <c r="R7652" i="5"/>
  <c r="P7652" i="5"/>
  <c r="Q7652" i="5"/>
  <c r="S7652" i="5"/>
  <c r="P7653" i="5"/>
  <c r="Q7653" i="5"/>
  <c r="R7654" i="5"/>
  <c r="P7654" i="5"/>
  <c r="Q7654" i="5"/>
  <c r="S7654" i="5"/>
  <c r="P7655" i="5"/>
  <c r="Q7655" i="5"/>
  <c r="R7655" i="5"/>
  <c r="S7655" i="5"/>
  <c r="R7656" i="5"/>
  <c r="P7656" i="5"/>
  <c r="Q7656" i="5"/>
  <c r="S7656" i="5"/>
  <c r="P7657" i="5"/>
  <c r="Q7657" i="5"/>
  <c r="R7658" i="5"/>
  <c r="P7658" i="5"/>
  <c r="Q7658" i="5"/>
  <c r="S7658" i="5"/>
  <c r="R7659" i="5"/>
  <c r="P7659" i="5"/>
  <c r="Q7659" i="5"/>
  <c r="S7659" i="5"/>
  <c r="R7660" i="5"/>
  <c r="P7660" i="5"/>
  <c r="Q7660" i="5"/>
  <c r="S7660" i="5"/>
  <c r="P7661" i="5"/>
  <c r="Q7661" i="5"/>
  <c r="R7662" i="5"/>
  <c r="P7662" i="5"/>
  <c r="Q7662" i="5"/>
  <c r="S7662" i="5"/>
  <c r="P7663" i="5"/>
  <c r="Q7663" i="5"/>
  <c r="R7663" i="5"/>
  <c r="S7663" i="5"/>
  <c r="R7664" i="5"/>
  <c r="P7664" i="5"/>
  <c r="Q7664" i="5"/>
  <c r="S7664" i="5"/>
  <c r="P7665" i="5"/>
  <c r="Q7665" i="5"/>
  <c r="R7666" i="5"/>
  <c r="P7666" i="5"/>
  <c r="Q7666" i="5"/>
  <c r="S7666" i="5"/>
  <c r="R7667" i="5"/>
  <c r="P7667" i="5"/>
  <c r="Q7667" i="5"/>
  <c r="S7667" i="5"/>
  <c r="R7668" i="5"/>
  <c r="P7668" i="5"/>
  <c r="Q7668" i="5"/>
  <c r="S7668" i="5"/>
  <c r="P7669" i="5"/>
  <c r="Q7669" i="5"/>
  <c r="R7670" i="5"/>
  <c r="P7670" i="5"/>
  <c r="Q7670" i="5"/>
  <c r="S7670" i="5"/>
  <c r="P7671" i="5"/>
  <c r="Q7671" i="5"/>
  <c r="R7671" i="5"/>
  <c r="S7671" i="5"/>
  <c r="R7672" i="5"/>
  <c r="P7672" i="5"/>
  <c r="Q7672" i="5"/>
  <c r="S7672" i="5"/>
  <c r="P7673" i="5"/>
  <c r="Q7673" i="5"/>
  <c r="R7674" i="5"/>
  <c r="P7674" i="5"/>
  <c r="Q7674" i="5"/>
  <c r="S7674" i="5"/>
  <c r="R7675" i="5"/>
  <c r="P7675" i="5"/>
  <c r="Q7675" i="5"/>
  <c r="S7675" i="5"/>
  <c r="R7676" i="5"/>
  <c r="P7676" i="5"/>
  <c r="Q7676" i="5"/>
  <c r="S7676" i="5"/>
  <c r="P7677" i="5"/>
  <c r="Q7677" i="5"/>
  <c r="R7678" i="5"/>
  <c r="P7678" i="5"/>
  <c r="Q7678" i="5"/>
  <c r="S7678" i="5"/>
  <c r="P7679" i="5"/>
  <c r="Q7679" i="5"/>
  <c r="R7679" i="5"/>
  <c r="S7679" i="5"/>
  <c r="R7680" i="5"/>
  <c r="P7680" i="5"/>
  <c r="Q7680" i="5"/>
  <c r="S7680" i="5"/>
  <c r="P7681" i="5"/>
  <c r="Q7681" i="5"/>
  <c r="R7682" i="5"/>
  <c r="P7682" i="5"/>
  <c r="Q7682" i="5"/>
  <c r="S7682" i="5"/>
  <c r="R7683" i="5"/>
  <c r="P7683" i="5"/>
  <c r="Q7683" i="5"/>
  <c r="S7683" i="5"/>
  <c r="R7684" i="5"/>
  <c r="P7684" i="5"/>
  <c r="Q7684" i="5"/>
  <c r="S7684" i="5"/>
  <c r="P7685" i="5"/>
  <c r="Q7685" i="5"/>
  <c r="R7686" i="5"/>
  <c r="P7686" i="5"/>
  <c r="Q7686" i="5"/>
  <c r="S7686" i="5"/>
  <c r="P7687" i="5"/>
  <c r="Q7687" i="5"/>
  <c r="R7687" i="5"/>
  <c r="S7687" i="5"/>
  <c r="R7688" i="5"/>
  <c r="P7688" i="5"/>
  <c r="Q7688" i="5"/>
  <c r="S7688" i="5"/>
  <c r="P7689" i="5"/>
  <c r="Q7689" i="5"/>
  <c r="R7690" i="5"/>
  <c r="P7690" i="5"/>
  <c r="Q7690" i="5"/>
  <c r="S7690" i="5"/>
  <c r="R7691" i="5"/>
  <c r="P7691" i="5"/>
  <c r="Q7691" i="5"/>
  <c r="S7691" i="5"/>
  <c r="R7692" i="5"/>
  <c r="P7692" i="5"/>
  <c r="Q7692" i="5"/>
  <c r="S7692" i="5"/>
  <c r="P7693" i="5"/>
  <c r="Q7693" i="5"/>
  <c r="R7694" i="5"/>
  <c r="P7694" i="5"/>
  <c r="Q7694" i="5"/>
  <c r="S7694" i="5"/>
  <c r="P7695" i="5"/>
  <c r="Q7695" i="5"/>
  <c r="R7695" i="5"/>
  <c r="S7695" i="5"/>
  <c r="R7696" i="5"/>
  <c r="P7696" i="5"/>
  <c r="Q7696" i="5"/>
  <c r="S7696" i="5"/>
  <c r="P7697" i="5"/>
  <c r="Q7697" i="5"/>
  <c r="R7698" i="5"/>
  <c r="P7698" i="5"/>
  <c r="Q7698" i="5"/>
  <c r="S7698" i="5"/>
  <c r="R7699" i="5"/>
  <c r="P7699" i="5"/>
  <c r="Q7699" i="5"/>
  <c r="S7699" i="5"/>
  <c r="R7700" i="5"/>
  <c r="P7700" i="5"/>
  <c r="Q7700" i="5"/>
  <c r="S7700" i="5"/>
  <c r="P7701" i="5"/>
  <c r="Q7701" i="5"/>
  <c r="R7702" i="5"/>
  <c r="P7702" i="5"/>
  <c r="Q7702" i="5"/>
  <c r="S7702" i="5"/>
  <c r="P7703" i="5"/>
  <c r="Q7703" i="5"/>
  <c r="R7703" i="5"/>
  <c r="S7703" i="5"/>
  <c r="R7704" i="5"/>
  <c r="P7704" i="5"/>
  <c r="Q7704" i="5"/>
  <c r="S7704" i="5"/>
  <c r="P7705" i="5"/>
  <c r="Q7705" i="5"/>
  <c r="R7706" i="5"/>
  <c r="P7706" i="5"/>
  <c r="Q7706" i="5"/>
  <c r="S7706" i="5"/>
  <c r="R7707" i="5"/>
  <c r="P7707" i="5"/>
  <c r="Q7707" i="5"/>
  <c r="S7707" i="5"/>
  <c r="R7708" i="5"/>
  <c r="P7708" i="5"/>
  <c r="Q7708" i="5"/>
  <c r="S7708" i="5"/>
  <c r="P7709" i="5"/>
  <c r="Q7709" i="5"/>
  <c r="R7710" i="5"/>
  <c r="P7710" i="5"/>
  <c r="Q7710" i="5"/>
  <c r="S7710" i="5"/>
  <c r="P7711" i="5"/>
  <c r="Q7711" i="5"/>
  <c r="R7711" i="5"/>
  <c r="S7711" i="5"/>
  <c r="R7712" i="5"/>
  <c r="P7712" i="5"/>
  <c r="Q7712" i="5"/>
  <c r="S7712" i="5"/>
  <c r="P7713" i="5"/>
  <c r="Q7713" i="5"/>
  <c r="R7714" i="5"/>
  <c r="P7714" i="5"/>
  <c r="Q7714" i="5"/>
  <c r="S7714" i="5"/>
  <c r="R7715" i="5"/>
  <c r="P7715" i="5"/>
  <c r="Q7715" i="5"/>
  <c r="S7715" i="5"/>
  <c r="R7716" i="5"/>
  <c r="P7716" i="5"/>
  <c r="Q7716" i="5"/>
  <c r="S7716" i="5"/>
  <c r="P7717" i="5"/>
  <c r="Q7717" i="5"/>
  <c r="R7718" i="5"/>
  <c r="P7718" i="5"/>
  <c r="Q7718" i="5"/>
  <c r="S7718" i="5"/>
  <c r="P7719" i="5"/>
  <c r="Q7719" i="5"/>
  <c r="R7719" i="5"/>
  <c r="S7719" i="5"/>
  <c r="R7720" i="5"/>
  <c r="P7720" i="5"/>
  <c r="Q7720" i="5"/>
  <c r="S7720" i="5"/>
  <c r="P7721" i="5"/>
  <c r="Q7721" i="5"/>
  <c r="R7722" i="5"/>
  <c r="P7722" i="5"/>
  <c r="Q7722" i="5"/>
  <c r="S7722" i="5"/>
  <c r="R7723" i="5"/>
  <c r="P7723" i="5"/>
  <c r="Q7723" i="5"/>
  <c r="S7723" i="5"/>
  <c r="R7724" i="5"/>
  <c r="P7724" i="5"/>
  <c r="Q7724" i="5"/>
  <c r="S7724" i="5"/>
  <c r="P7725" i="5"/>
  <c r="Q7725" i="5"/>
  <c r="R7726" i="5"/>
  <c r="P7726" i="5"/>
  <c r="Q7726" i="5"/>
  <c r="S7726" i="5"/>
  <c r="P7727" i="5"/>
  <c r="Q7727" i="5"/>
  <c r="R7727" i="5"/>
  <c r="S7727" i="5"/>
  <c r="R7728" i="5"/>
  <c r="P7728" i="5"/>
  <c r="Q7728" i="5"/>
  <c r="S7728" i="5"/>
  <c r="P7729" i="5"/>
  <c r="Q7729" i="5"/>
  <c r="R7730" i="5"/>
  <c r="P7730" i="5"/>
  <c r="Q7730" i="5"/>
  <c r="S7730" i="5"/>
  <c r="R7731" i="5"/>
  <c r="P7731" i="5"/>
  <c r="Q7731" i="5"/>
  <c r="S7731" i="5"/>
  <c r="R7732" i="5"/>
  <c r="P7732" i="5"/>
  <c r="Q7732" i="5"/>
  <c r="S7732" i="5"/>
  <c r="P7733" i="5"/>
  <c r="Q7733" i="5"/>
  <c r="R7734" i="5"/>
  <c r="P7734" i="5"/>
  <c r="Q7734" i="5"/>
  <c r="S7734" i="5"/>
  <c r="P7735" i="5"/>
  <c r="Q7735" i="5"/>
  <c r="R7735" i="5"/>
  <c r="S7735" i="5"/>
  <c r="R7736" i="5"/>
  <c r="P7736" i="5"/>
  <c r="Q7736" i="5"/>
  <c r="S7736" i="5"/>
  <c r="P7737" i="5"/>
  <c r="Q7737" i="5"/>
  <c r="R7738" i="5"/>
  <c r="P7738" i="5"/>
  <c r="Q7738" i="5"/>
  <c r="S7738" i="5"/>
  <c r="R7739" i="5"/>
  <c r="P7739" i="5"/>
  <c r="Q7739" i="5"/>
  <c r="S7739" i="5"/>
  <c r="R7740" i="5"/>
  <c r="P7740" i="5"/>
  <c r="Q7740" i="5"/>
  <c r="S7740" i="5"/>
  <c r="P7741" i="5"/>
  <c r="Q7741" i="5"/>
  <c r="R7742" i="5"/>
  <c r="P7742" i="5"/>
  <c r="Q7742" i="5"/>
  <c r="S7742" i="5"/>
  <c r="P7743" i="5"/>
  <c r="Q7743" i="5"/>
  <c r="R7743" i="5"/>
  <c r="S7743" i="5"/>
  <c r="R7744" i="5"/>
  <c r="P7744" i="5"/>
  <c r="Q7744" i="5"/>
  <c r="S7744" i="5"/>
  <c r="P7745" i="5"/>
  <c r="Q7745" i="5"/>
  <c r="R7746" i="5"/>
  <c r="P7746" i="5"/>
  <c r="Q7746" i="5"/>
  <c r="S7746" i="5"/>
  <c r="R7747" i="5"/>
  <c r="P7747" i="5"/>
  <c r="Q7747" i="5"/>
  <c r="S7747" i="5"/>
  <c r="R7748" i="5"/>
  <c r="P7748" i="5"/>
  <c r="Q7748" i="5"/>
  <c r="S7748" i="5"/>
  <c r="P7749" i="5"/>
  <c r="Q7749" i="5"/>
  <c r="R7750" i="5"/>
  <c r="P7750" i="5"/>
  <c r="Q7750" i="5"/>
  <c r="S7750" i="5"/>
  <c r="P7751" i="5"/>
  <c r="Q7751" i="5"/>
  <c r="R7751" i="5"/>
  <c r="S7751" i="5"/>
  <c r="R7752" i="5"/>
  <c r="P7752" i="5"/>
  <c r="Q7752" i="5"/>
  <c r="S7752" i="5"/>
  <c r="P7753" i="5"/>
  <c r="Q7753" i="5"/>
  <c r="R7754" i="5"/>
  <c r="P7754" i="5"/>
  <c r="Q7754" i="5"/>
  <c r="S7754" i="5"/>
  <c r="R7755" i="5"/>
  <c r="P7755" i="5"/>
  <c r="Q7755" i="5"/>
  <c r="S7755" i="5"/>
  <c r="R7756" i="5"/>
  <c r="P7756" i="5"/>
  <c r="Q7756" i="5"/>
  <c r="S7756" i="5"/>
  <c r="P7757" i="5"/>
  <c r="Q7757" i="5"/>
  <c r="R7758" i="5"/>
  <c r="P7758" i="5"/>
  <c r="Q7758" i="5"/>
  <c r="S7758" i="5"/>
  <c r="P7759" i="5"/>
  <c r="Q7759" i="5"/>
  <c r="R7759" i="5"/>
  <c r="S7759" i="5"/>
  <c r="R7760" i="5"/>
  <c r="P7760" i="5"/>
  <c r="Q7760" i="5"/>
  <c r="S7760" i="5"/>
  <c r="P7761" i="5"/>
  <c r="Q7761" i="5"/>
  <c r="R7762" i="5"/>
  <c r="P7762" i="5"/>
  <c r="Q7762" i="5"/>
  <c r="S7762" i="5"/>
  <c r="R7763" i="5"/>
  <c r="P7763" i="5"/>
  <c r="Q7763" i="5"/>
  <c r="S7763" i="5"/>
  <c r="R7764" i="5"/>
  <c r="P7764" i="5"/>
  <c r="Q7764" i="5"/>
  <c r="S7764" i="5"/>
  <c r="P7765" i="5"/>
  <c r="Q7765" i="5"/>
  <c r="R7766" i="5"/>
  <c r="P7766" i="5"/>
  <c r="Q7766" i="5"/>
  <c r="S7766" i="5"/>
  <c r="P7767" i="5"/>
  <c r="Q7767" i="5"/>
  <c r="R7767" i="5"/>
  <c r="S7767" i="5"/>
  <c r="R7768" i="5"/>
  <c r="P7768" i="5"/>
  <c r="Q7768" i="5"/>
  <c r="S7768" i="5"/>
  <c r="P7769" i="5"/>
  <c r="Q7769" i="5"/>
  <c r="R7770" i="5"/>
  <c r="P7770" i="5"/>
  <c r="Q7770" i="5"/>
  <c r="S7770" i="5"/>
  <c r="R7771" i="5"/>
  <c r="P7771" i="5"/>
  <c r="Q7771" i="5"/>
  <c r="S7771" i="5"/>
  <c r="R7772" i="5"/>
  <c r="P7772" i="5"/>
  <c r="Q7772" i="5"/>
  <c r="S7772" i="5"/>
  <c r="P7773" i="5"/>
  <c r="Q7773" i="5"/>
  <c r="R7774" i="5"/>
  <c r="P7774" i="5"/>
  <c r="Q7774" i="5"/>
  <c r="S7774" i="5"/>
  <c r="P7775" i="5"/>
  <c r="Q7775" i="5"/>
  <c r="R7775" i="5"/>
  <c r="S7775" i="5"/>
  <c r="R7776" i="5"/>
  <c r="P7776" i="5"/>
  <c r="Q7776" i="5"/>
  <c r="S7776" i="5"/>
  <c r="P7777" i="5"/>
  <c r="Q7777" i="5"/>
  <c r="R7778" i="5"/>
  <c r="P7778" i="5"/>
  <c r="Q7778" i="5"/>
  <c r="S7778" i="5"/>
  <c r="R7779" i="5"/>
  <c r="P7779" i="5"/>
  <c r="Q7779" i="5"/>
  <c r="S7779" i="5"/>
  <c r="R7780" i="5"/>
  <c r="P7780" i="5"/>
  <c r="Q7780" i="5"/>
  <c r="S7780" i="5"/>
  <c r="P7781" i="5"/>
  <c r="Q7781" i="5"/>
  <c r="R7782" i="5"/>
  <c r="P7782" i="5"/>
  <c r="Q7782" i="5"/>
  <c r="S7782" i="5"/>
  <c r="P7783" i="5"/>
  <c r="Q7783" i="5"/>
  <c r="R7783" i="5"/>
  <c r="S7783" i="5"/>
  <c r="R7784" i="5"/>
  <c r="P7784" i="5"/>
  <c r="Q7784" i="5"/>
  <c r="S7784" i="5"/>
  <c r="P7785" i="5"/>
  <c r="Q7785" i="5"/>
  <c r="R7786" i="5"/>
  <c r="P7786" i="5"/>
  <c r="Q7786" i="5"/>
  <c r="S7786" i="5"/>
  <c r="R7787" i="5"/>
  <c r="P7787" i="5"/>
  <c r="Q7787" i="5"/>
  <c r="S7787" i="5"/>
  <c r="R7788" i="5"/>
  <c r="P7788" i="5"/>
  <c r="Q7788" i="5"/>
  <c r="S7788" i="5"/>
  <c r="P7789" i="5"/>
  <c r="Q7789" i="5"/>
  <c r="R7790" i="5"/>
  <c r="P7790" i="5"/>
  <c r="Q7790" i="5"/>
  <c r="S7790" i="5"/>
  <c r="P7791" i="5"/>
  <c r="Q7791" i="5"/>
  <c r="R7791" i="5"/>
  <c r="S7791" i="5"/>
  <c r="R7792" i="5"/>
  <c r="P7792" i="5"/>
  <c r="Q7792" i="5"/>
  <c r="S7792" i="5"/>
  <c r="P7793" i="5"/>
  <c r="Q7793" i="5"/>
  <c r="R7794" i="5"/>
  <c r="P7794" i="5"/>
  <c r="Q7794" i="5"/>
  <c r="S7794" i="5"/>
  <c r="R7795" i="5"/>
  <c r="P7795" i="5"/>
  <c r="Q7795" i="5"/>
  <c r="S7795" i="5"/>
  <c r="R7796" i="5"/>
  <c r="P7796" i="5"/>
  <c r="Q7796" i="5"/>
  <c r="S7796" i="5"/>
  <c r="P7797" i="5"/>
  <c r="Q7797" i="5"/>
  <c r="R7798" i="5"/>
  <c r="P7798" i="5"/>
  <c r="Q7798" i="5"/>
  <c r="S7798" i="5"/>
  <c r="P7799" i="5"/>
  <c r="Q7799" i="5"/>
  <c r="R7799" i="5"/>
  <c r="S7799" i="5"/>
  <c r="R7800" i="5"/>
  <c r="P7800" i="5"/>
  <c r="Q7800" i="5"/>
  <c r="S7800" i="5"/>
  <c r="P7801" i="5"/>
  <c r="Q7801" i="5"/>
  <c r="R7802" i="5"/>
  <c r="P7802" i="5"/>
  <c r="Q7802" i="5"/>
  <c r="S7802" i="5"/>
  <c r="R7803" i="5"/>
  <c r="P7803" i="5"/>
  <c r="Q7803" i="5"/>
  <c r="S7803" i="5"/>
  <c r="R7804" i="5"/>
  <c r="P7804" i="5"/>
  <c r="Q7804" i="5"/>
  <c r="S7804" i="5"/>
  <c r="P7805" i="5"/>
  <c r="Q7805" i="5"/>
  <c r="R7806" i="5"/>
  <c r="P7806" i="5"/>
  <c r="Q7806" i="5"/>
  <c r="S7806" i="5"/>
  <c r="P7807" i="5"/>
  <c r="Q7807" i="5"/>
  <c r="R7807" i="5"/>
  <c r="S7807" i="5"/>
  <c r="R7808" i="5"/>
  <c r="P7808" i="5"/>
  <c r="Q7808" i="5"/>
  <c r="S7808" i="5"/>
  <c r="P7809" i="5"/>
  <c r="Q7809" i="5"/>
  <c r="R7810" i="5"/>
  <c r="P7810" i="5"/>
  <c r="Q7810" i="5"/>
  <c r="S7810" i="5"/>
  <c r="R7811" i="5"/>
  <c r="P7811" i="5"/>
  <c r="Q7811" i="5"/>
  <c r="S7811" i="5"/>
  <c r="R7812" i="5"/>
  <c r="P7812" i="5"/>
  <c r="Q7812" i="5"/>
  <c r="S7812" i="5"/>
  <c r="P7813" i="5"/>
  <c r="Q7813" i="5"/>
  <c r="R7814" i="5"/>
  <c r="P7814" i="5"/>
  <c r="Q7814" i="5"/>
  <c r="S7814" i="5"/>
  <c r="P7815" i="5"/>
  <c r="Q7815" i="5"/>
  <c r="R7815" i="5"/>
  <c r="S7815" i="5"/>
  <c r="R7816" i="5"/>
  <c r="P7816" i="5"/>
  <c r="Q7816" i="5"/>
  <c r="S7816" i="5"/>
  <c r="P7817" i="5"/>
  <c r="Q7817" i="5"/>
  <c r="R7818" i="5"/>
  <c r="P7818" i="5"/>
  <c r="Q7818" i="5"/>
  <c r="S7818" i="5"/>
  <c r="R7819" i="5"/>
  <c r="P7819" i="5"/>
  <c r="Q7819" i="5"/>
  <c r="S7819" i="5"/>
  <c r="R7820" i="5"/>
  <c r="P7820" i="5"/>
  <c r="Q7820" i="5"/>
  <c r="S7820" i="5"/>
  <c r="P7821" i="5"/>
  <c r="Q7821" i="5"/>
  <c r="R7822" i="5"/>
  <c r="P7822" i="5"/>
  <c r="Q7822" i="5"/>
  <c r="S7822" i="5"/>
  <c r="R7823" i="5"/>
  <c r="P7823" i="5"/>
  <c r="Q7823" i="5"/>
  <c r="S7823" i="5"/>
  <c r="R7824" i="5"/>
  <c r="P7824" i="5"/>
  <c r="Q7824" i="5"/>
  <c r="S7824" i="5"/>
  <c r="P7825" i="5"/>
  <c r="Q7825" i="5"/>
  <c r="P7826" i="5"/>
  <c r="Q7826" i="5"/>
  <c r="R7826" i="5"/>
  <c r="S7826" i="5"/>
  <c r="R7827" i="5"/>
  <c r="P7827" i="5"/>
  <c r="Q7827" i="5"/>
  <c r="S7827" i="5"/>
  <c r="R7828" i="5"/>
  <c r="P7828" i="5"/>
  <c r="Q7828" i="5"/>
  <c r="S7828" i="5"/>
  <c r="P7829" i="5"/>
  <c r="Q7829" i="5"/>
  <c r="R7830" i="5"/>
  <c r="P7830" i="5"/>
  <c r="Q7830" i="5"/>
  <c r="S7830" i="5"/>
  <c r="R7831" i="5"/>
  <c r="P7831" i="5"/>
  <c r="Q7831" i="5"/>
  <c r="S7831" i="5"/>
  <c r="R7832" i="5"/>
  <c r="P7832" i="5"/>
  <c r="Q7832" i="5"/>
  <c r="S7832" i="5"/>
  <c r="P7833" i="5"/>
  <c r="Q7833" i="5"/>
  <c r="R7834" i="5"/>
  <c r="P7834" i="5"/>
  <c r="Q7834" i="5"/>
  <c r="S7834" i="5"/>
  <c r="R7835" i="5"/>
  <c r="P7835" i="5"/>
  <c r="Q7835" i="5"/>
  <c r="S7835" i="5"/>
  <c r="R7836" i="5"/>
  <c r="P7836" i="5"/>
  <c r="Q7836" i="5"/>
  <c r="S7836" i="5"/>
  <c r="P7837" i="5"/>
  <c r="Q7837" i="5"/>
  <c r="R7838" i="5"/>
  <c r="P7838" i="5"/>
  <c r="Q7838" i="5"/>
  <c r="S7838" i="5"/>
  <c r="R7839" i="5"/>
  <c r="P7839" i="5"/>
  <c r="Q7839" i="5"/>
  <c r="S7839" i="5"/>
  <c r="R7840" i="5"/>
  <c r="P7840" i="5"/>
  <c r="Q7840" i="5"/>
  <c r="S7840" i="5"/>
  <c r="P7841" i="5"/>
  <c r="Q7841" i="5"/>
  <c r="P7842" i="5"/>
  <c r="Q7842" i="5"/>
  <c r="R7842" i="5"/>
  <c r="S7842" i="5"/>
  <c r="R7843" i="5"/>
  <c r="P7843" i="5"/>
  <c r="Q7843" i="5"/>
  <c r="S7843" i="5"/>
  <c r="R7844" i="5"/>
  <c r="P7844" i="5"/>
  <c r="Q7844" i="5"/>
  <c r="S7844" i="5"/>
  <c r="P7845" i="5"/>
  <c r="Q7845" i="5"/>
  <c r="R7846" i="5"/>
  <c r="P7846" i="5"/>
  <c r="Q7846" i="5"/>
  <c r="S7846" i="5"/>
  <c r="R7847" i="5"/>
  <c r="P7847" i="5"/>
  <c r="Q7847" i="5"/>
  <c r="S7847" i="5"/>
  <c r="R7848" i="5"/>
  <c r="P7848" i="5"/>
  <c r="Q7848" i="5"/>
  <c r="S7848" i="5"/>
  <c r="P7849" i="5"/>
  <c r="Q7849" i="5"/>
  <c r="R7850" i="5"/>
  <c r="P7850" i="5"/>
  <c r="Q7850" i="5"/>
  <c r="S7850" i="5"/>
  <c r="R7851" i="5"/>
  <c r="P7851" i="5"/>
  <c r="Q7851" i="5"/>
  <c r="S7851" i="5"/>
  <c r="R7852" i="5"/>
  <c r="P7852" i="5"/>
  <c r="Q7852" i="5"/>
  <c r="S7852" i="5"/>
  <c r="P7853" i="5"/>
  <c r="Q7853" i="5"/>
  <c r="R7854" i="5"/>
  <c r="P7854" i="5"/>
  <c r="Q7854" i="5"/>
  <c r="S7854" i="5"/>
  <c r="R7855" i="5"/>
  <c r="P7855" i="5"/>
  <c r="Q7855" i="5"/>
  <c r="S7855" i="5"/>
  <c r="R7856" i="5"/>
  <c r="P7856" i="5"/>
  <c r="Q7856" i="5"/>
  <c r="S7856" i="5"/>
  <c r="P7857" i="5"/>
  <c r="Q7857" i="5"/>
  <c r="P7858" i="5"/>
  <c r="Q7858" i="5"/>
  <c r="R7858" i="5"/>
  <c r="S7858" i="5"/>
  <c r="R7859" i="5"/>
  <c r="P7859" i="5"/>
  <c r="Q7859" i="5"/>
  <c r="S7859" i="5"/>
  <c r="R7860" i="5"/>
  <c r="P7860" i="5"/>
  <c r="Q7860" i="5"/>
  <c r="S7860" i="5"/>
  <c r="P7861" i="5"/>
  <c r="Q7861" i="5"/>
  <c r="R7862" i="5"/>
  <c r="P7862" i="5"/>
  <c r="Q7862" i="5"/>
  <c r="S7862" i="5"/>
  <c r="R7863" i="5"/>
  <c r="P7863" i="5"/>
  <c r="Q7863" i="5"/>
  <c r="S7863" i="5"/>
  <c r="R7864" i="5"/>
  <c r="P7864" i="5"/>
  <c r="Q7864" i="5"/>
  <c r="S7864" i="5"/>
  <c r="P7865" i="5"/>
  <c r="Q7865" i="5"/>
  <c r="R7866" i="5"/>
  <c r="P7866" i="5"/>
  <c r="Q7866" i="5"/>
  <c r="S7866" i="5"/>
  <c r="R7867" i="5"/>
  <c r="P7867" i="5"/>
  <c r="Q7867" i="5"/>
  <c r="S7867" i="5"/>
  <c r="R7868" i="5"/>
  <c r="P7868" i="5"/>
  <c r="Q7868" i="5"/>
  <c r="S7868" i="5"/>
  <c r="P7869" i="5"/>
  <c r="Q7869" i="5"/>
  <c r="R7870" i="5"/>
  <c r="P7870" i="5"/>
  <c r="Q7870" i="5"/>
  <c r="S7870" i="5"/>
  <c r="R7871" i="5"/>
  <c r="P7871" i="5"/>
  <c r="Q7871" i="5"/>
  <c r="S7871" i="5"/>
  <c r="R7872" i="5"/>
  <c r="P7872" i="5"/>
  <c r="Q7872" i="5"/>
  <c r="S7872" i="5"/>
  <c r="P7873" i="5"/>
  <c r="Q7873" i="5"/>
  <c r="P7874" i="5"/>
  <c r="Q7874" i="5"/>
  <c r="R7874" i="5"/>
  <c r="S7874" i="5"/>
  <c r="R7875" i="5"/>
  <c r="P7875" i="5"/>
  <c r="Q7875" i="5"/>
  <c r="S7875" i="5"/>
  <c r="R7876" i="5"/>
  <c r="P7876" i="5"/>
  <c r="Q7876" i="5"/>
  <c r="S7876" i="5"/>
  <c r="P7877" i="5"/>
  <c r="Q7877" i="5"/>
  <c r="R7878" i="5"/>
  <c r="P7878" i="5"/>
  <c r="Q7878" i="5"/>
  <c r="S7878" i="5"/>
  <c r="R7879" i="5"/>
  <c r="P7879" i="5"/>
  <c r="Q7879" i="5"/>
  <c r="S7879" i="5"/>
  <c r="R7880" i="5"/>
  <c r="P7880" i="5"/>
  <c r="Q7880" i="5"/>
  <c r="S7880" i="5"/>
  <c r="P7881" i="5"/>
  <c r="Q7881" i="5"/>
  <c r="R7882" i="5"/>
  <c r="P7882" i="5"/>
  <c r="Q7882" i="5"/>
  <c r="S7882" i="5"/>
  <c r="R7883" i="5"/>
  <c r="P7883" i="5"/>
  <c r="Q7883" i="5"/>
  <c r="S7883" i="5"/>
  <c r="R7884" i="5"/>
  <c r="P7884" i="5"/>
  <c r="Q7884" i="5"/>
  <c r="S7884" i="5"/>
  <c r="P7885" i="5"/>
  <c r="Q7885" i="5"/>
  <c r="R7886" i="5"/>
  <c r="P7886" i="5"/>
  <c r="Q7886" i="5"/>
  <c r="S7886" i="5"/>
  <c r="R7887" i="5"/>
  <c r="P7887" i="5"/>
  <c r="Q7887" i="5"/>
  <c r="S7887" i="5"/>
  <c r="R7888" i="5"/>
  <c r="P7888" i="5"/>
  <c r="Q7888" i="5"/>
  <c r="S7888" i="5"/>
  <c r="P7889" i="5"/>
  <c r="Q7889" i="5"/>
  <c r="P7890" i="5"/>
  <c r="Q7890" i="5"/>
  <c r="R7890" i="5"/>
  <c r="S7890" i="5"/>
  <c r="R7891" i="5"/>
  <c r="P7891" i="5"/>
  <c r="Q7891" i="5"/>
  <c r="S7891" i="5"/>
  <c r="R7892" i="5"/>
  <c r="P7892" i="5"/>
  <c r="Q7892" i="5"/>
  <c r="S7892" i="5"/>
  <c r="P7893" i="5"/>
  <c r="Q7893" i="5"/>
  <c r="R7894" i="5"/>
  <c r="P7894" i="5"/>
  <c r="Q7894" i="5"/>
  <c r="S7894" i="5"/>
  <c r="R7895" i="5"/>
  <c r="P7895" i="5"/>
  <c r="Q7895" i="5"/>
  <c r="S7895" i="5"/>
  <c r="R7896" i="5"/>
  <c r="P7896" i="5"/>
  <c r="Q7896" i="5"/>
  <c r="S7896" i="5"/>
  <c r="P7897" i="5"/>
  <c r="Q7897" i="5"/>
  <c r="R7898" i="5"/>
  <c r="P7898" i="5"/>
  <c r="Q7898" i="5"/>
  <c r="S7898" i="5"/>
  <c r="R7899" i="5"/>
  <c r="P7899" i="5"/>
  <c r="Q7899" i="5"/>
  <c r="S7899" i="5"/>
  <c r="R7900" i="5"/>
  <c r="P7900" i="5"/>
  <c r="Q7900" i="5"/>
  <c r="S7900" i="5"/>
  <c r="P7901" i="5"/>
  <c r="Q7901" i="5"/>
  <c r="R7902" i="5"/>
  <c r="P7902" i="5"/>
  <c r="Q7902" i="5"/>
  <c r="S7902" i="5"/>
  <c r="R7903" i="5"/>
  <c r="P7903" i="5"/>
  <c r="Q7903" i="5"/>
  <c r="S7903" i="5"/>
  <c r="R7904" i="5"/>
  <c r="P7904" i="5"/>
  <c r="Q7904" i="5"/>
  <c r="S7904" i="5"/>
  <c r="P7905" i="5"/>
  <c r="Q7905" i="5"/>
  <c r="P7906" i="5"/>
  <c r="Q7906" i="5"/>
  <c r="R7906" i="5"/>
  <c r="S7906" i="5"/>
  <c r="R7907" i="5"/>
  <c r="P7907" i="5"/>
  <c r="Q7907" i="5"/>
  <c r="S7907" i="5"/>
  <c r="R7908" i="5"/>
  <c r="P7908" i="5"/>
  <c r="Q7908" i="5"/>
  <c r="S7908" i="5"/>
  <c r="P7909" i="5"/>
  <c r="Q7909" i="5"/>
  <c r="R7910" i="5"/>
  <c r="P7910" i="5"/>
  <c r="Q7910" i="5"/>
  <c r="S7910" i="5"/>
  <c r="R7911" i="5"/>
  <c r="P7911" i="5"/>
  <c r="Q7911" i="5"/>
  <c r="S7911" i="5"/>
  <c r="R7912" i="5"/>
  <c r="P7912" i="5"/>
  <c r="Q7912" i="5"/>
  <c r="S7912" i="5"/>
  <c r="P7913" i="5"/>
  <c r="Q7913" i="5"/>
  <c r="R7914" i="5"/>
  <c r="P7914" i="5"/>
  <c r="Q7914" i="5"/>
  <c r="S7914" i="5"/>
  <c r="R7915" i="5"/>
  <c r="P7915" i="5"/>
  <c r="Q7915" i="5"/>
  <c r="S7915" i="5"/>
  <c r="R7916" i="5"/>
  <c r="P7916" i="5"/>
  <c r="Q7916" i="5"/>
  <c r="S7916" i="5"/>
  <c r="P7917" i="5"/>
  <c r="Q7917" i="5"/>
  <c r="R7918" i="5"/>
  <c r="P7918" i="5"/>
  <c r="Q7918" i="5"/>
  <c r="S7918" i="5"/>
  <c r="R7919" i="5"/>
  <c r="P7919" i="5"/>
  <c r="Q7919" i="5"/>
  <c r="S7919" i="5"/>
  <c r="R7920" i="5"/>
  <c r="P7920" i="5"/>
  <c r="Q7920" i="5"/>
  <c r="S7920" i="5"/>
  <c r="P7921" i="5"/>
  <c r="Q7921" i="5"/>
  <c r="P7922" i="5"/>
  <c r="Q7922" i="5"/>
  <c r="R7922" i="5"/>
  <c r="S7922" i="5"/>
  <c r="R7923" i="5"/>
  <c r="P7923" i="5"/>
  <c r="Q7923" i="5"/>
  <c r="S7923" i="5"/>
  <c r="R7924" i="5"/>
  <c r="P7924" i="5"/>
  <c r="Q7924" i="5"/>
  <c r="S7924" i="5"/>
  <c r="P7925" i="5"/>
  <c r="Q7925" i="5"/>
  <c r="R7926" i="5"/>
  <c r="P7926" i="5"/>
  <c r="Q7926" i="5"/>
  <c r="S7926" i="5"/>
  <c r="R7927" i="5"/>
  <c r="P7927" i="5"/>
  <c r="Q7927" i="5"/>
  <c r="S7927" i="5"/>
  <c r="R7928" i="5"/>
  <c r="P7928" i="5"/>
  <c r="Q7928" i="5"/>
  <c r="S7928" i="5"/>
  <c r="P7929" i="5"/>
  <c r="Q7929" i="5"/>
  <c r="R7930" i="5"/>
  <c r="P7930" i="5"/>
  <c r="Q7930" i="5"/>
  <c r="S7930" i="5"/>
  <c r="R7931" i="5"/>
  <c r="P7931" i="5"/>
  <c r="Q7931" i="5"/>
  <c r="S7931" i="5"/>
  <c r="R7932" i="5"/>
  <c r="P7932" i="5"/>
  <c r="Q7932" i="5"/>
  <c r="S7932" i="5"/>
  <c r="P7933" i="5"/>
  <c r="Q7933" i="5"/>
  <c r="R7934" i="5"/>
  <c r="P7934" i="5"/>
  <c r="Q7934" i="5"/>
  <c r="S7934" i="5"/>
  <c r="R7935" i="5"/>
  <c r="P7935" i="5"/>
  <c r="Q7935" i="5"/>
  <c r="S7935" i="5"/>
  <c r="R7936" i="5"/>
  <c r="P7936" i="5"/>
  <c r="Q7936" i="5"/>
  <c r="S7936" i="5"/>
  <c r="P7937" i="5"/>
  <c r="Q7937" i="5"/>
  <c r="P7938" i="5"/>
  <c r="Q7938" i="5"/>
  <c r="R7938" i="5"/>
  <c r="S7938" i="5"/>
  <c r="R7939" i="5"/>
  <c r="P7939" i="5"/>
  <c r="Q7939" i="5"/>
  <c r="S7939" i="5"/>
  <c r="R7940" i="5"/>
  <c r="P7940" i="5"/>
  <c r="Q7940" i="5"/>
  <c r="S7940" i="5"/>
  <c r="P7941" i="5"/>
  <c r="Q7941" i="5"/>
  <c r="R7942" i="5"/>
  <c r="P7942" i="5"/>
  <c r="Q7942" i="5"/>
  <c r="S7942" i="5"/>
  <c r="R7943" i="5"/>
  <c r="P7943" i="5"/>
  <c r="Q7943" i="5"/>
  <c r="S7943" i="5"/>
  <c r="R7944" i="5"/>
  <c r="P7944" i="5"/>
  <c r="Q7944" i="5"/>
  <c r="S7944" i="5"/>
  <c r="P7945" i="5"/>
  <c r="Q7945" i="5"/>
  <c r="R7946" i="5"/>
  <c r="P7946" i="5"/>
  <c r="Q7946" i="5"/>
  <c r="S7946" i="5"/>
  <c r="R7947" i="5"/>
  <c r="P7947" i="5"/>
  <c r="Q7947" i="5"/>
  <c r="S7947" i="5"/>
  <c r="R7948" i="5"/>
  <c r="P7948" i="5"/>
  <c r="Q7948" i="5"/>
  <c r="S7948" i="5"/>
  <c r="P7949" i="5"/>
  <c r="Q7949" i="5"/>
  <c r="R7950" i="5"/>
  <c r="P7950" i="5"/>
  <c r="Q7950" i="5"/>
  <c r="S7950" i="5"/>
  <c r="R7951" i="5"/>
  <c r="P7951" i="5"/>
  <c r="Q7951" i="5"/>
  <c r="S7951" i="5"/>
  <c r="R7952" i="5"/>
  <c r="P7952" i="5"/>
  <c r="Q7952" i="5"/>
  <c r="S7952" i="5"/>
  <c r="P7953" i="5"/>
  <c r="Q7953" i="5"/>
  <c r="P7954" i="5"/>
  <c r="Q7954" i="5"/>
  <c r="R7954" i="5"/>
  <c r="S7954" i="5"/>
  <c r="R7955" i="5"/>
  <c r="P7955" i="5"/>
  <c r="Q7955" i="5"/>
  <c r="S7955" i="5"/>
  <c r="R7956" i="5"/>
  <c r="P7956" i="5"/>
  <c r="Q7956" i="5"/>
  <c r="S7956" i="5"/>
  <c r="P7957" i="5"/>
  <c r="Q7957" i="5"/>
  <c r="R7958" i="5"/>
  <c r="P7958" i="5"/>
  <c r="Q7958" i="5"/>
  <c r="S7958" i="5"/>
  <c r="R7959" i="5"/>
  <c r="P7959" i="5"/>
  <c r="Q7959" i="5"/>
  <c r="S7959" i="5"/>
  <c r="R7960" i="5"/>
  <c r="P7960" i="5"/>
  <c r="Q7960" i="5"/>
  <c r="S7960" i="5"/>
  <c r="P7961" i="5"/>
  <c r="Q7961" i="5"/>
  <c r="R7962" i="5"/>
  <c r="P7962" i="5"/>
  <c r="Q7962" i="5"/>
  <c r="S7962" i="5"/>
  <c r="R7963" i="5"/>
  <c r="P7963" i="5"/>
  <c r="Q7963" i="5"/>
  <c r="S7963" i="5"/>
  <c r="R7964" i="5"/>
  <c r="P7964" i="5"/>
  <c r="Q7964" i="5"/>
  <c r="S7964" i="5"/>
  <c r="P7965" i="5"/>
  <c r="Q7965" i="5"/>
  <c r="R7966" i="5"/>
  <c r="P7966" i="5"/>
  <c r="Q7966" i="5"/>
  <c r="S7966" i="5"/>
  <c r="R7967" i="5"/>
  <c r="P7967" i="5"/>
  <c r="Q7967" i="5"/>
  <c r="S7967" i="5"/>
  <c r="R7968" i="5"/>
  <c r="P7968" i="5"/>
  <c r="Q7968" i="5"/>
  <c r="S7968" i="5"/>
  <c r="P7969" i="5"/>
  <c r="Q7969" i="5"/>
  <c r="P7970" i="5"/>
  <c r="Q7970" i="5"/>
  <c r="R7970" i="5"/>
  <c r="S7970" i="5"/>
  <c r="R7971" i="5"/>
  <c r="P7971" i="5"/>
  <c r="Q7971" i="5"/>
  <c r="S7971" i="5"/>
  <c r="R7972" i="5"/>
  <c r="P7972" i="5"/>
  <c r="Q7972" i="5"/>
  <c r="S7972" i="5"/>
  <c r="P7973" i="5"/>
  <c r="Q7973" i="5"/>
  <c r="R7974" i="5"/>
  <c r="P7974" i="5"/>
  <c r="Q7974" i="5"/>
  <c r="S7974" i="5"/>
  <c r="R7975" i="5"/>
  <c r="P7975" i="5"/>
  <c r="Q7975" i="5"/>
  <c r="S7975" i="5"/>
  <c r="R7976" i="5"/>
  <c r="P7976" i="5"/>
  <c r="Q7976" i="5"/>
  <c r="S7976" i="5"/>
  <c r="P7977" i="5"/>
  <c r="Q7977" i="5"/>
  <c r="R7978" i="5"/>
  <c r="P7978" i="5"/>
  <c r="Q7978" i="5"/>
  <c r="S7978" i="5"/>
  <c r="R7979" i="5"/>
  <c r="P7979" i="5"/>
  <c r="Q7979" i="5"/>
  <c r="S7979" i="5"/>
  <c r="R7980" i="5"/>
  <c r="P7980" i="5"/>
  <c r="Q7980" i="5"/>
  <c r="S7980" i="5"/>
  <c r="P7981" i="5"/>
  <c r="Q7981" i="5"/>
  <c r="R7982" i="5"/>
  <c r="P7982" i="5"/>
  <c r="Q7982" i="5"/>
  <c r="S7982" i="5"/>
  <c r="R7983" i="5"/>
  <c r="P7983" i="5"/>
  <c r="Q7983" i="5"/>
  <c r="S7983" i="5"/>
  <c r="R7984" i="5"/>
  <c r="P7984" i="5"/>
  <c r="Q7984" i="5"/>
  <c r="S7984" i="5"/>
  <c r="P7985" i="5"/>
  <c r="Q7985" i="5"/>
  <c r="P7986" i="5"/>
  <c r="Q7986" i="5"/>
  <c r="R7986" i="5"/>
  <c r="S7986" i="5"/>
  <c r="R7987" i="5"/>
  <c r="P7987" i="5"/>
  <c r="Q7987" i="5"/>
  <c r="S7987" i="5"/>
  <c r="R7988" i="5"/>
  <c r="P7988" i="5"/>
  <c r="Q7988" i="5"/>
  <c r="S7988" i="5"/>
  <c r="P7989" i="5"/>
  <c r="Q7989" i="5"/>
  <c r="R7990" i="5"/>
  <c r="P7990" i="5"/>
  <c r="Q7990" i="5"/>
  <c r="S7990" i="5"/>
  <c r="R7991" i="5"/>
  <c r="P7991" i="5"/>
  <c r="Q7991" i="5"/>
  <c r="S7991" i="5"/>
  <c r="R7992" i="5"/>
  <c r="P7992" i="5"/>
  <c r="Q7992" i="5"/>
  <c r="S7992" i="5"/>
  <c r="P7993" i="5"/>
  <c r="Q7993" i="5"/>
  <c r="R7994" i="5"/>
  <c r="P7994" i="5"/>
  <c r="Q7994" i="5"/>
  <c r="S7994" i="5"/>
  <c r="R7995" i="5"/>
  <c r="P7995" i="5"/>
  <c r="Q7995" i="5"/>
  <c r="S7995" i="5"/>
  <c r="R7996" i="5"/>
  <c r="P7996" i="5"/>
  <c r="Q7996" i="5"/>
  <c r="S7996" i="5"/>
  <c r="P7997" i="5"/>
  <c r="Q7997" i="5"/>
  <c r="R7998" i="5"/>
  <c r="P7998" i="5"/>
  <c r="Q7998" i="5"/>
  <c r="S7998" i="5"/>
  <c r="R7999" i="5"/>
  <c r="P7999" i="5"/>
  <c r="Q7999" i="5"/>
  <c r="S7999" i="5"/>
  <c r="R8000" i="5"/>
  <c r="P8000" i="5"/>
  <c r="Q8000" i="5"/>
  <c r="S8000" i="5"/>
  <c r="P8001" i="5"/>
  <c r="Q8001" i="5"/>
  <c r="P8002" i="5"/>
  <c r="Q8002" i="5"/>
  <c r="R8002" i="5"/>
  <c r="S8002" i="5"/>
  <c r="R8003" i="5"/>
  <c r="P8003" i="5"/>
  <c r="Q8003" i="5"/>
  <c r="S8003" i="5"/>
  <c r="R8004" i="5"/>
  <c r="P8004" i="5"/>
  <c r="Q8004" i="5"/>
  <c r="S8004" i="5"/>
  <c r="P8005" i="5"/>
  <c r="Q8005" i="5"/>
  <c r="R8006" i="5"/>
  <c r="P8006" i="5"/>
  <c r="Q8006" i="5"/>
  <c r="S8006" i="5"/>
  <c r="R8007" i="5"/>
  <c r="P8007" i="5"/>
  <c r="Q8007" i="5"/>
  <c r="S8007" i="5"/>
  <c r="R8008" i="5"/>
  <c r="P8008" i="5"/>
  <c r="Q8008" i="5"/>
  <c r="S8008" i="5"/>
  <c r="P8009" i="5"/>
  <c r="Q8009" i="5"/>
  <c r="R8010" i="5"/>
  <c r="P8010" i="5"/>
  <c r="Q8010" i="5"/>
  <c r="S8010" i="5"/>
  <c r="R8011" i="5"/>
  <c r="P8011" i="5"/>
  <c r="Q8011" i="5"/>
  <c r="S8011" i="5"/>
  <c r="R8012" i="5"/>
  <c r="P8012" i="5"/>
  <c r="Q8012" i="5"/>
  <c r="S8012" i="5"/>
  <c r="P8013" i="5"/>
  <c r="Q8013" i="5"/>
  <c r="R8014" i="5"/>
  <c r="P8014" i="5"/>
  <c r="Q8014" i="5"/>
  <c r="S8014" i="5"/>
  <c r="R8015" i="5"/>
  <c r="P8015" i="5"/>
  <c r="Q8015" i="5"/>
  <c r="S8015" i="5"/>
  <c r="P8016" i="5"/>
  <c r="Q8016" i="5"/>
  <c r="R8016" i="5"/>
  <c r="S8016" i="5"/>
  <c r="P8017" i="5"/>
  <c r="Q8017" i="5"/>
  <c r="R8018" i="5"/>
  <c r="P8018" i="5"/>
  <c r="Q8018" i="5"/>
  <c r="S8018" i="5"/>
  <c r="R8019" i="5"/>
  <c r="P8019" i="5"/>
  <c r="Q8019" i="5"/>
  <c r="S8019" i="5"/>
  <c r="P8020" i="5"/>
  <c r="Q8020" i="5"/>
  <c r="R8020" i="5"/>
  <c r="S8020" i="5"/>
  <c r="P8021" i="5"/>
  <c r="Q8021" i="5"/>
  <c r="R8022" i="5"/>
  <c r="P8022" i="5"/>
  <c r="Q8022" i="5"/>
  <c r="S8022" i="5"/>
  <c r="R8023" i="5"/>
  <c r="P8023" i="5"/>
  <c r="Q8023" i="5"/>
  <c r="S8023" i="5"/>
  <c r="R8024" i="5"/>
  <c r="P8024" i="5"/>
  <c r="Q8024" i="5"/>
  <c r="S8024" i="5"/>
  <c r="P8025" i="5"/>
  <c r="Q8025" i="5"/>
  <c r="P8026" i="5"/>
  <c r="Q8026" i="5"/>
  <c r="R8026" i="5"/>
  <c r="S8026" i="5"/>
  <c r="R8027" i="5"/>
  <c r="P8027" i="5"/>
  <c r="Q8027" i="5"/>
  <c r="S8027" i="5"/>
  <c r="R8028" i="5"/>
  <c r="P8028" i="5"/>
  <c r="Q8028" i="5"/>
  <c r="S8028" i="5"/>
  <c r="P8029" i="5"/>
  <c r="Q8029" i="5"/>
  <c r="R8030" i="5"/>
  <c r="P8030" i="5"/>
  <c r="Q8030" i="5"/>
  <c r="S8030" i="5"/>
  <c r="R8031" i="5"/>
  <c r="P8031" i="5"/>
  <c r="Q8031" i="5"/>
  <c r="S8031" i="5"/>
  <c r="R8032" i="5"/>
  <c r="P8032" i="5"/>
  <c r="Q8032" i="5"/>
  <c r="S8032" i="5"/>
  <c r="P8033" i="5"/>
  <c r="Q8033" i="5"/>
  <c r="R8034" i="5"/>
  <c r="P8034" i="5"/>
  <c r="Q8034" i="5"/>
  <c r="S8034" i="5"/>
  <c r="R8035" i="5"/>
  <c r="P8035" i="5"/>
  <c r="Q8035" i="5"/>
  <c r="S8035" i="5"/>
  <c r="R8036" i="5"/>
  <c r="P8036" i="5"/>
  <c r="Q8036" i="5"/>
  <c r="S8036" i="5"/>
  <c r="P8037" i="5"/>
  <c r="Q8037" i="5"/>
  <c r="R8038" i="5"/>
  <c r="P8038" i="5"/>
  <c r="Q8038" i="5"/>
  <c r="S8038" i="5"/>
  <c r="R8039" i="5"/>
  <c r="P8039" i="5"/>
  <c r="Q8039" i="5"/>
  <c r="S8039" i="5"/>
  <c r="R8040" i="5"/>
  <c r="P8040" i="5"/>
  <c r="Q8040" i="5"/>
  <c r="S8040" i="5"/>
  <c r="P8041" i="5"/>
  <c r="Q8041" i="5"/>
  <c r="P8042" i="5"/>
  <c r="Q8042" i="5"/>
  <c r="R8042" i="5"/>
  <c r="S8042" i="5"/>
  <c r="R8043" i="5"/>
  <c r="P8043" i="5"/>
  <c r="Q8043" i="5"/>
  <c r="S8043" i="5"/>
  <c r="R8044" i="5"/>
  <c r="P8044" i="5"/>
  <c r="Q8044" i="5"/>
  <c r="S8044" i="5"/>
  <c r="P8045" i="5"/>
  <c r="Q8045" i="5"/>
  <c r="R8046" i="5"/>
  <c r="P8046" i="5"/>
  <c r="Q8046" i="5"/>
  <c r="S8046" i="5"/>
  <c r="R8047" i="5"/>
  <c r="P8047" i="5"/>
  <c r="Q8047" i="5"/>
  <c r="S8047" i="5"/>
  <c r="R8048" i="5"/>
  <c r="P8048" i="5"/>
  <c r="Q8048" i="5"/>
  <c r="S8048" i="5"/>
  <c r="P8049" i="5"/>
  <c r="Q8049" i="5"/>
  <c r="R8050" i="5"/>
  <c r="P8050" i="5"/>
  <c r="Q8050" i="5"/>
  <c r="S8050" i="5"/>
  <c r="R8051" i="5"/>
  <c r="P8051" i="5"/>
  <c r="Q8051" i="5"/>
  <c r="S8051" i="5"/>
  <c r="R8052" i="5"/>
  <c r="P8052" i="5"/>
  <c r="Q8052" i="5"/>
  <c r="S8052" i="5"/>
  <c r="P8053" i="5"/>
  <c r="Q8053" i="5"/>
  <c r="R8054" i="5"/>
  <c r="P8054" i="5"/>
  <c r="Q8054" i="5"/>
  <c r="S8054" i="5"/>
  <c r="R8055" i="5"/>
  <c r="P8055" i="5"/>
  <c r="Q8055" i="5"/>
  <c r="S8055" i="5"/>
  <c r="P8056" i="5"/>
  <c r="Q8056" i="5"/>
  <c r="R8056" i="5"/>
  <c r="S8056" i="5"/>
  <c r="P8057" i="5"/>
  <c r="Q8057" i="5"/>
  <c r="R8058" i="5"/>
  <c r="P8058" i="5"/>
  <c r="Q8058" i="5"/>
  <c r="S8058" i="5"/>
  <c r="R8059" i="5"/>
  <c r="P8059" i="5"/>
  <c r="Q8059" i="5"/>
  <c r="S8059" i="5"/>
  <c r="R8060" i="5"/>
  <c r="P8060" i="5"/>
  <c r="Q8060" i="5"/>
  <c r="S8060" i="5"/>
  <c r="P8061" i="5"/>
  <c r="Q8061" i="5"/>
  <c r="R8062" i="5"/>
  <c r="P8062" i="5"/>
  <c r="Q8062" i="5"/>
  <c r="S8062" i="5"/>
  <c r="R8063" i="5"/>
  <c r="P8063" i="5"/>
  <c r="Q8063" i="5"/>
  <c r="S8063" i="5"/>
  <c r="P8064" i="5"/>
  <c r="Q8064" i="5"/>
  <c r="R8064" i="5"/>
  <c r="S8064" i="5"/>
  <c r="P8065" i="5"/>
  <c r="Q8065" i="5"/>
  <c r="R8066" i="5"/>
  <c r="P8066" i="5"/>
  <c r="Q8066" i="5"/>
  <c r="S8066" i="5"/>
  <c r="R8067" i="5"/>
  <c r="P8067" i="5"/>
  <c r="Q8067" i="5"/>
  <c r="S8067" i="5"/>
  <c r="R8068" i="5"/>
  <c r="P8068" i="5"/>
  <c r="Q8068" i="5"/>
  <c r="S8068" i="5"/>
  <c r="P8069" i="5"/>
  <c r="Q8069" i="5"/>
  <c r="R8070" i="5"/>
  <c r="P8070" i="5"/>
  <c r="Q8070" i="5"/>
  <c r="S8070" i="5"/>
  <c r="P8071" i="5"/>
  <c r="Q8071" i="5"/>
  <c r="R8071" i="5"/>
  <c r="S8071" i="5"/>
  <c r="R8072" i="5"/>
  <c r="P8072" i="5"/>
  <c r="Q8072" i="5"/>
  <c r="S8072" i="5"/>
  <c r="P8073" i="5"/>
  <c r="Q8073" i="5"/>
  <c r="R8074" i="5"/>
  <c r="P8074" i="5"/>
  <c r="Q8074" i="5"/>
  <c r="S8074" i="5"/>
  <c r="R8075" i="5"/>
  <c r="P8075" i="5"/>
  <c r="Q8075" i="5"/>
  <c r="S8075" i="5"/>
  <c r="R8076" i="5"/>
  <c r="P8076" i="5"/>
  <c r="Q8076" i="5"/>
  <c r="S8076" i="5"/>
  <c r="P8077" i="5"/>
  <c r="Q8077" i="5"/>
  <c r="R8078" i="5"/>
  <c r="P8078" i="5"/>
  <c r="Q8078" i="5"/>
  <c r="S8078" i="5"/>
  <c r="R8079" i="5"/>
  <c r="P8079" i="5"/>
  <c r="Q8079" i="5"/>
  <c r="S8079" i="5"/>
  <c r="P8080" i="5"/>
  <c r="Q8080" i="5"/>
  <c r="R8080" i="5"/>
  <c r="S8080" i="5"/>
  <c r="P8081" i="5"/>
  <c r="Q8081" i="5"/>
  <c r="R8082" i="5"/>
  <c r="P8082" i="5"/>
  <c r="Q8082" i="5"/>
  <c r="S8082" i="5"/>
  <c r="R8083" i="5"/>
  <c r="P8083" i="5"/>
  <c r="Q8083" i="5"/>
  <c r="S8083" i="5"/>
  <c r="P8084" i="5"/>
  <c r="Q8084" i="5"/>
  <c r="R8084" i="5"/>
  <c r="S8084" i="5"/>
  <c r="P8085" i="5"/>
  <c r="Q8085" i="5"/>
  <c r="R8086" i="5"/>
  <c r="P8086" i="5"/>
  <c r="Q8086" i="5"/>
  <c r="S8086" i="5"/>
  <c r="R8087" i="5"/>
  <c r="P8087" i="5"/>
  <c r="Q8087" i="5"/>
  <c r="S8087" i="5"/>
  <c r="R8088" i="5"/>
  <c r="P8088" i="5"/>
  <c r="Q8088" i="5"/>
  <c r="S8088" i="5"/>
  <c r="P8089" i="5"/>
  <c r="Q8089" i="5"/>
  <c r="P8090" i="5"/>
  <c r="Q8090" i="5"/>
  <c r="R8090" i="5"/>
  <c r="S8090" i="5"/>
  <c r="R8091" i="5"/>
  <c r="P8091" i="5"/>
  <c r="Q8091" i="5"/>
  <c r="S8091" i="5"/>
  <c r="R8092" i="5"/>
  <c r="P8092" i="5"/>
  <c r="Q8092" i="5"/>
  <c r="S8092" i="5"/>
  <c r="P8093" i="5"/>
  <c r="Q8093" i="5"/>
  <c r="R8094" i="5"/>
  <c r="P8094" i="5"/>
  <c r="Q8094" i="5"/>
  <c r="S8094" i="5"/>
  <c r="R8095" i="5"/>
  <c r="P8095" i="5"/>
  <c r="Q8095" i="5"/>
  <c r="S8095" i="5"/>
  <c r="R8096" i="5"/>
  <c r="P8096" i="5"/>
  <c r="Q8096" i="5"/>
  <c r="S8096" i="5"/>
  <c r="P8097" i="5"/>
  <c r="Q8097" i="5"/>
  <c r="R8098" i="5"/>
  <c r="P8098" i="5"/>
  <c r="Q8098" i="5"/>
  <c r="S8098" i="5"/>
  <c r="R8099" i="5"/>
  <c r="P8099" i="5"/>
  <c r="Q8099" i="5"/>
  <c r="S8099" i="5"/>
  <c r="R8100" i="5"/>
  <c r="P8100" i="5"/>
  <c r="Q8100" i="5"/>
  <c r="S8100" i="5"/>
  <c r="P8101" i="5"/>
  <c r="Q8101" i="5"/>
  <c r="R8102" i="5"/>
  <c r="P8102" i="5"/>
  <c r="Q8102" i="5"/>
  <c r="S8102" i="5"/>
  <c r="R8103" i="5"/>
  <c r="P8103" i="5"/>
  <c r="Q8103" i="5"/>
  <c r="S8103" i="5"/>
  <c r="R8104" i="5"/>
  <c r="P8104" i="5"/>
  <c r="Q8104" i="5"/>
  <c r="S8104" i="5"/>
  <c r="P8105" i="5"/>
  <c r="Q8105" i="5"/>
  <c r="P8106" i="5"/>
  <c r="Q8106" i="5"/>
  <c r="R8106" i="5"/>
  <c r="S8106" i="5"/>
  <c r="R8107" i="5"/>
  <c r="P8107" i="5"/>
  <c r="Q8107" i="5"/>
  <c r="S8107" i="5"/>
  <c r="R8108" i="5"/>
  <c r="P8108" i="5"/>
  <c r="Q8108" i="5"/>
  <c r="S8108" i="5"/>
  <c r="P8109" i="5"/>
  <c r="Q8109" i="5"/>
  <c r="R8110" i="5"/>
  <c r="P8110" i="5"/>
  <c r="Q8110" i="5"/>
  <c r="S8110" i="5"/>
  <c r="R8111" i="5"/>
  <c r="P8111" i="5"/>
  <c r="Q8111" i="5"/>
  <c r="S8111" i="5"/>
  <c r="R8112" i="5"/>
  <c r="P8112" i="5"/>
  <c r="Q8112" i="5"/>
  <c r="S8112" i="5"/>
  <c r="P8113" i="5"/>
  <c r="Q8113" i="5"/>
  <c r="R8114" i="5"/>
  <c r="P8114" i="5"/>
  <c r="Q8114" i="5"/>
  <c r="S8114" i="5"/>
  <c r="R8115" i="5"/>
  <c r="P8115" i="5"/>
  <c r="Q8115" i="5"/>
  <c r="S8115" i="5"/>
  <c r="R8116" i="5"/>
  <c r="P8116" i="5"/>
  <c r="Q8116" i="5"/>
  <c r="S8116" i="5"/>
  <c r="P8117" i="5"/>
  <c r="Q8117" i="5"/>
  <c r="R8118" i="5"/>
  <c r="P8118" i="5"/>
  <c r="Q8118" i="5"/>
  <c r="S8118" i="5"/>
  <c r="R8119" i="5"/>
  <c r="P8119" i="5"/>
  <c r="Q8119" i="5"/>
  <c r="S8119" i="5"/>
  <c r="P8120" i="5"/>
  <c r="Q8120" i="5"/>
  <c r="R8120" i="5"/>
  <c r="S8120" i="5"/>
  <c r="P8121" i="5"/>
  <c r="Q8121" i="5"/>
  <c r="R8122" i="5"/>
  <c r="P8122" i="5"/>
  <c r="Q8122" i="5"/>
  <c r="S8122" i="5"/>
  <c r="R8123" i="5"/>
  <c r="P8123" i="5"/>
  <c r="Q8123" i="5"/>
  <c r="S8123" i="5"/>
  <c r="R8124" i="5"/>
  <c r="P8124" i="5"/>
  <c r="Q8124" i="5"/>
  <c r="S8124" i="5"/>
  <c r="P8125" i="5"/>
  <c r="Q8125" i="5"/>
  <c r="R8126" i="5"/>
  <c r="P8126" i="5"/>
  <c r="Q8126" i="5"/>
  <c r="S8126" i="5"/>
  <c r="R8127" i="5"/>
  <c r="P8127" i="5"/>
  <c r="Q8127" i="5"/>
  <c r="S8127" i="5"/>
  <c r="P8128" i="5"/>
  <c r="Q8128" i="5"/>
  <c r="R8128" i="5"/>
  <c r="S8128" i="5"/>
  <c r="P8129" i="5"/>
  <c r="Q8129" i="5"/>
  <c r="R8130" i="5"/>
  <c r="P8130" i="5"/>
  <c r="Q8130" i="5"/>
  <c r="S8130" i="5"/>
  <c r="R8131" i="5"/>
  <c r="P8131" i="5"/>
  <c r="Q8131" i="5"/>
  <c r="S8131" i="5"/>
  <c r="R8132" i="5"/>
  <c r="P8132" i="5"/>
  <c r="Q8132" i="5"/>
  <c r="S8132" i="5"/>
  <c r="P8133" i="5"/>
  <c r="Q8133" i="5"/>
  <c r="R8134" i="5"/>
  <c r="P8134" i="5"/>
  <c r="Q8134" i="5"/>
  <c r="S8134" i="5"/>
  <c r="P8135" i="5"/>
  <c r="Q8135" i="5"/>
  <c r="R8135" i="5"/>
  <c r="S8135" i="5"/>
  <c r="R8136" i="5"/>
  <c r="P8136" i="5"/>
  <c r="Q8136" i="5"/>
  <c r="S8136" i="5"/>
  <c r="P8137" i="5"/>
  <c r="Q8137" i="5"/>
  <c r="R8138" i="5"/>
  <c r="P8138" i="5"/>
  <c r="Q8138" i="5"/>
  <c r="S8138" i="5"/>
  <c r="R8139" i="5"/>
  <c r="P8139" i="5"/>
  <c r="Q8139" i="5"/>
  <c r="S8139" i="5"/>
  <c r="R8140" i="5"/>
  <c r="P8140" i="5"/>
  <c r="Q8140" i="5"/>
  <c r="S8140" i="5"/>
  <c r="P8141" i="5"/>
  <c r="Q8141" i="5"/>
  <c r="R8142" i="5"/>
  <c r="P8142" i="5"/>
  <c r="Q8142" i="5"/>
  <c r="S8142" i="5"/>
  <c r="R8143" i="5"/>
  <c r="P8143" i="5"/>
  <c r="Q8143" i="5"/>
  <c r="S8143" i="5"/>
  <c r="P8144" i="5"/>
  <c r="Q8144" i="5"/>
  <c r="R8144" i="5"/>
  <c r="S8144" i="5"/>
  <c r="P8145" i="5"/>
  <c r="Q8145" i="5"/>
  <c r="R8146" i="5"/>
  <c r="P8146" i="5"/>
  <c r="Q8146" i="5"/>
  <c r="S8146" i="5"/>
  <c r="R8147" i="5"/>
  <c r="P8147" i="5"/>
  <c r="Q8147" i="5"/>
  <c r="S8147" i="5"/>
  <c r="P8148" i="5"/>
  <c r="Q8148" i="5"/>
  <c r="R8148" i="5"/>
  <c r="S8148" i="5"/>
  <c r="P8149" i="5"/>
  <c r="Q8149" i="5"/>
  <c r="R8150" i="5"/>
  <c r="P8150" i="5"/>
  <c r="Q8150" i="5"/>
  <c r="S8150" i="5"/>
  <c r="P8151" i="5"/>
  <c r="Q8151" i="5"/>
  <c r="R8151" i="5"/>
  <c r="S8151" i="5"/>
  <c r="R8152" i="5"/>
  <c r="P8152" i="5"/>
  <c r="Q8152" i="5"/>
  <c r="S8152" i="5"/>
  <c r="P8153" i="5"/>
  <c r="Q8153" i="5"/>
  <c r="R8154" i="5"/>
  <c r="P8154" i="5"/>
  <c r="Q8154" i="5"/>
  <c r="S8154" i="5"/>
  <c r="R8155" i="5"/>
  <c r="P8155" i="5"/>
  <c r="Q8155" i="5"/>
  <c r="S8155" i="5"/>
  <c r="P8156" i="5"/>
  <c r="Q8156" i="5"/>
  <c r="R8156" i="5"/>
  <c r="S8156" i="5"/>
  <c r="P8157" i="5"/>
  <c r="Q8157" i="5"/>
  <c r="R8158" i="5"/>
  <c r="P8158" i="5"/>
  <c r="Q8158" i="5"/>
  <c r="S8158" i="5"/>
  <c r="R8159" i="5"/>
  <c r="P8159" i="5"/>
  <c r="Q8159" i="5"/>
  <c r="S8159" i="5"/>
  <c r="R8160" i="5"/>
  <c r="P8160" i="5"/>
  <c r="Q8160" i="5"/>
  <c r="S8160" i="5"/>
  <c r="P8161" i="5"/>
  <c r="Q8161" i="5"/>
  <c r="R8162" i="5"/>
  <c r="P8162" i="5"/>
  <c r="Q8162" i="5"/>
  <c r="S8162" i="5"/>
  <c r="R8163" i="5"/>
  <c r="P8163" i="5"/>
  <c r="Q8163" i="5"/>
  <c r="S8163" i="5"/>
  <c r="R8164" i="5"/>
  <c r="P8164" i="5"/>
  <c r="Q8164" i="5"/>
  <c r="S8164" i="5"/>
  <c r="P8165" i="5"/>
  <c r="Q8165" i="5"/>
  <c r="R8166" i="5"/>
  <c r="P8166" i="5"/>
  <c r="Q8166" i="5"/>
  <c r="S8166" i="5"/>
  <c r="R8167" i="5"/>
  <c r="P8167" i="5"/>
  <c r="Q8167" i="5"/>
  <c r="S8167" i="5"/>
  <c r="P8168" i="5"/>
  <c r="Q8168" i="5"/>
  <c r="R8168" i="5"/>
  <c r="S8168" i="5"/>
  <c r="P8169" i="5"/>
  <c r="Q8169" i="5"/>
  <c r="R8170" i="5"/>
  <c r="P8170" i="5"/>
  <c r="Q8170" i="5"/>
  <c r="S8170" i="5"/>
  <c r="R8171" i="5"/>
  <c r="P8171" i="5"/>
  <c r="Q8171" i="5"/>
  <c r="S8171" i="5"/>
  <c r="P8172" i="5"/>
  <c r="Q8172" i="5"/>
  <c r="R8172" i="5"/>
  <c r="S8172" i="5"/>
  <c r="P8173" i="5"/>
  <c r="Q8173" i="5"/>
  <c r="R8174" i="5"/>
  <c r="P8174" i="5"/>
  <c r="Q8174" i="5"/>
  <c r="S8174" i="5"/>
  <c r="P8175" i="5"/>
  <c r="Q8175" i="5"/>
  <c r="R8175" i="5"/>
  <c r="S8175" i="5"/>
  <c r="R8176" i="5"/>
  <c r="P8176" i="5"/>
  <c r="Q8176" i="5"/>
  <c r="S8176" i="5"/>
  <c r="P8177" i="5"/>
  <c r="Q8177" i="5"/>
  <c r="R8178" i="5"/>
  <c r="P8178" i="5"/>
  <c r="Q8178" i="5"/>
  <c r="S8178" i="5"/>
  <c r="R8179" i="5"/>
  <c r="P8179" i="5"/>
  <c r="Q8179" i="5"/>
  <c r="S8179" i="5"/>
  <c r="R8180" i="5"/>
  <c r="P8180" i="5"/>
  <c r="Q8180" i="5"/>
  <c r="S8180" i="5"/>
  <c r="P8181" i="5"/>
  <c r="Q8181" i="5"/>
  <c r="P8182" i="5"/>
  <c r="Q8182" i="5"/>
  <c r="S8182" i="5"/>
  <c r="P8183" i="5"/>
  <c r="Q8183" i="5"/>
  <c r="S8183" i="5"/>
  <c r="P8184" i="5"/>
  <c r="Q8184" i="5"/>
  <c r="S8184" i="5"/>
  <c r="P8185" i="5"/>
  <c r="Q8185" i="5"/>
  <c r="S8185" i="5"/>
  <c r="P8186" i="5"/>
  <c r="Q8186" i="5"/>
  <c r="S8186" i="5"/>
  <c r="P8187" i="5"/>
  <c r="Q8187" i="5"/>
  <c r="S8187" i="5"/>
  <c r="R8188" i="5"/>
  <c r="P8188" i="5"/>
  <c r="Q8188" i="5"/>
  <c r="S8188" i="5"/>
  <c r="P8189" i="5"/>
  <c r="Q8189" i="5"/>
  <c r="R8189" i="5"/>
  <c r="S8189" i="5"/>
  <c r="R8190" i="5"/>
  <c r="P8190" i="5"/>
  <c r="Q8190" i="5"/>
  <c r="S8190" i="5"/>
  <c r="P8191" i="5"/>
  <c r="Q8191" i="5"/>
  <c r="P8192" i="5"/>
  <c r="Q8192" i="5"/>
  <c r="S8192" i="5"/>
  <c r="P8193" i="5"/>
  <c r="Q8193" i="5"/>
  <c r="S8193" i="5"/>
  <c r="P8194" i="5"/>
  <c r="Q8194" i="5"/>
  <c r="S8194" i="5"/>
  <c r="P8195" i="5"/>
  <c r="Q8195" i="5"/>
  <c r="S8195" i="5"/>
  <c r="P8196" i="5"/>
  <c r="Q8196" i="5"/>
  <c r="S8196" i="5"/>
  <c r="P8197" i="5"/>
  <c r="Q8197" i="5"/>
  <c r="S8197" i="5"/>
  <c r="R8198" i="5"/>
  <c r="P8198" i="5"/>
  <c r="Q8198" i="5"/>
  <c r="S8198" i="5"/>
  <c r="R8199" i="5"/>
  <c r="P8199" i="5"/>
  <c r="Q8199" i="5"/>
  <c r="S8199" i="5"/>
  <c r="R8200" i="5"/>
  <c r="P8200" i="5"/>
  <c r="Q8200" i="5"/>
  <c r="S8200" i="5"/>
  <c r="P8201" i="5"/>
  <c r="Q8201" i="5"/>
  <c r="P8202" i="5"/>
  <c r="Q8202" i="5"/>
  <c r="S8202" i="5"/>
  <c r="P8203" i="5"/>
  <c r="Q8203" i="5"/>
  <c r="S8203" i="5"/>
  <c r="P8204" i="5"/>
  <c r="Q8204" i="5"/>
  <c r="S8204" i="5"/>
  <c r="P8205" i="5"/>
  <c r="Q8205" i="5"/>
  <c r="S8205" i="5"/>
  <c r="P8206" i="5"/>
  <c r="Q8206" i="5"/>
  <c r="S8206" i="5"/>
  <c r="P8207" i="5"/>
  <c r="Q8207" i="5"/>
  <c r="S8207" i="5"/>
  <c r="P8208" i="5"/>
  <c r="Q8208" i="5"/>
  <c r="S8208" i="5"/>
  <c r="P8209" i="5"/>
  <c r="Q8209" i="5"/>
  <c r="S8209" i="5"/>
  <c r="P8210" i="5"/>
  <c r="Q8210" i="5"/>
  <c r="R8210" i="5"/>
  <c r="S8210" i="5"/>
  <c r="R8211" i="5"/>
  <c r="P8211" i="5"/>
  <c r="Q8211" i="5"/>
  <c r="S8211" i="5"/>
  <c r="R8212" i="5"/>
  <c r="P8212" i="5"/>
  <c r="Q8212" i="5"/>
  <c r="S8212" i="5"/>
  <c r="P8213" i="5"/>
  <c r="Q8213" i="5"/>
  <c r="R8214" i="5"/>
  <c r="P8214" i="5"/>
  <c r="Q8214" i="5"/>
  <c r="S8214" i="5"/>
  <c r="R8215" i="5"/>
  <c r="P8215" i="5"/>
  <c r="Q8215" i="5"/>
  <c r="S8215" i="5"/>
  <c r="R8216" i="5"/>
  <c r="P8216" i="5"/>
  <c r="Q8216" i="5"/>
  <c r="S8216" i="5"/>
  <c r="R8217" i="5"/>
  <c r="P8217" i="5"/>
  <c r="Q8217" i="5"/>
  <c r="Q8218" i="5"/>
  <c r="S8218" i="5"/>
  <c r="R8219" i="5"/>
  <c r="P8219" i="5"/>
  <c r="Q8219" i="5"/>
  <c r="S8219" i="5"/>
  <c r="R8220" i="5"/>
  <c r="P8220" i="5"/>
  <c r="Q8220" i="5"/>
  <c r="S8220" i="5"/>
  <c r="R8221" i="5"/>
  <c r="P8221" i="5"/>
  <c r="Q8221" i="5"/>
  <c r="S8221" i="5"/>
  <c r="P8222" i="5"/>
  <c r="Q8222" i="5"/>
  <c r="P8223" i="5"/>
  <c r="Q8223" i="5"/>
  <c r="S8223" i="5"/>
  <c r="P8224" i="5"/>
  <c r="Q8224" i="5"/>
  <c r="R8224" i="5"/>
  <c r="S8224" i="5"/>
  <c r="R8225" i="5"/>
  <c r="P8225" i="5"/>
  <c r="Q8225" i="5"/>
  <c r="S8225" i="5"/>
  <c r="R8226" i="5"/>
  <c r="P8226" i="5"/>
  <c r="Q8226" i="5"/>
  <c r="S8226" i="5"/>
  <c r="P8227" i="5"/>
  <c r="Q8227" i="5"/>
  <c r="P8228" i="5"/>
  <c r="Q8228" i="5"/>
  <c r="S8228" i="5"/>
  <c r="P8229" i="5"/>
  <c r="Q8229" i="5"/>
  <c r="S8229" i="5"/>
  <c r="R8230" i="5"/>
  <c r="P8230" i="5"/>
  <c r="Q8230" i="5"/>
  <c r="S8230" i="5"/>
  <c r="P8231" i="5"/>
  <c r="Q8231" i="5"/>
  <c r="R8231" i="5"/>
  <c r="S8231" i="5"/>
  <c r="R8232" i="5"/>
  <c r="P8232" i="5"/>
  <c r="Q8232" i="5"/>
  <c r="S8232" i="5"/>
  <c r="P8233" i="5"/>
  <c r="Q8233" i="5"/>
  <c r="P8234" i="5"/>
  <c r="Q8234" i="5"/>
  <c r="S8234" i="5"/>
  <c r="P8235" i="5"/>
  <c r="Q8235" i="5"/>
  <c r="S8235" i="5"/>
  <c r="P8236" i="5"/>
  <c r="Q8236" i="5"/>
  <c r="S8236" i="5"/>
  <c r="P8237" i="5"/>
  <c r="Q8237" i="5"/>
  <c r="R8237" i="5"/>
  <c r="S8237" i="5"/>
  <c r="S7" i="5"/>
  <c r="Q7" i="5"/>
  <c r="P7" i="5"/>
  <c r="R7" i="5"/>
  <c r="S6" i="5"/>
  <c r="Q6" i="5"/>
  <c r="P6" i="5"/>
  <c r="R6" i="5"/>
  <c r="A1" i="5" l="1"/>
  <c r="A3" i="5"/>
  <c r="A3493" i="8"/>
  <c r="A7871" i="5"/>
  <c r="A7875" i="5"/>
  <c r="B7875" i="5" s="1"/>
  <c r="B6" i="5"/>
  <c r="G6" i="5"/>
  <c r="G7" i="5"/>
  <c r="G9" i="5"/>
  <c r="B10" i="5"/>
  <c r="G10" i="5"/>
  <c r="G11" i="5"/>
  <c r="G13" i="5"/>
  <c r="B14" i="5"/>
  <c r="G14" i="5"/>
  <c r="G15" i="5"/>
  <c r="G17" i="5"/>
  <c r="B18" i="5"/>
  <c r="G18" i="5"/>
  <c r="G19" i="5"/>
  <c r="G22" i="5"/>
  <c r="B23" i="5"/>
  <c r="G23" i="5"/>
  <c r="G24" i="5"/>
  <c r="G27" i="5"/>
  <c r="B28" i="5"/>
  <c r="G28" i="5"/>
  <c r="G29" i="5"/>
  <c r="G32" i="5"/>
  <c r="B33" i="5"/>
  <c r="G33" i="5"/>
  <c r="G34" i="5"/>
  <c r="G37" i="5"/>
  <c r="B38" i="5"/>
  <c r="G38" i="5"/>
  <c r="G39" i="5"/>
  <c r="G42" i="5"/>
  <c r="B43" i="5"/>
  <c r="G44" i="5"/>
  <c r="G47" i="5"/>
  <c r="B48" i="5"/>
  <c r="G48" i="5"/>
  <c r="G49" i="5"/>
  <c r="E50" i="5"/>
  <c r="P50" i="5" s="1"/>
  <c r="E51" i="5"/>
  <c r="P51" i="5" s="1"/>
  <c r="G52" i="5"/>
  <c r="B53" i="5"/>
  <c r="G53" i="5"/>
  <c r="G54" i="5"/>
  <c r="G59" i="5"/>
  <c r="B60" i="5"/>
  <c r="G60" i="5"/>
  <c r="G61" i="5"/>
  <c r="G64" i="5"/>
  <c r="B65" i="5"/>
  <c r="G65" i="5"/>
  <c r="G66" i="5"/>
  <c r="G69" i="5"/>
  <c r="B70" i="5"/>
  <c r="G70" i="5"/>
  <c r="G71" i="5"/>
  <c r="G77" i="5"/>
  <c r="B78" i="5"/>
  <c r="G78" i="5"/>
  <c r="G79" i="5"/>
  <c r="G82" i="5"/>
  <c r="B83" i="5"/>
  <c r="G83" i="5"/>
  <c r="G84" i="5"/>
  <c r="G87" i="5"/>
  <c r="B88" i="5"/>
  <c r="G88" i="5"/>
  <c r="G89" i="5"/>
  <c r="E90" i="5"/>
  <c r="P90" i="5" s="1"/>
  <c r="E91" i="5"/>
  <c r="P91" i="5" s="1"/>
  <c r="G92" i="5"/>
  <c r="B93" i="5"/>
  <c r="G93" i="5"/>
  <c r="G94" i="5"/>
  <c r="E95" i="5"/>
  <c r="P95" i="5" s="1"/>
  <c r="E96" i="5"/>
  <c r="P96" i="5" s="1"/>
  <c r="G97" i="5"/>
  <c r="B98" i="5"/>
  <c r="G98" i="5"/>
  <c r="G99" i="5"/>
  <c r="G102" i="5"/>
  <c r="B103" i="5"/>
  <c r="G103" i="5"/>
  <c r="G104" i="5"/>
  <c r="E105" i="5"/>
  <c r="P105" i="5" s="1"/>
  <c r="G106" i="5"/>
  <c r="B107" i="5"/>
  <c r="G107" i="5"/>
  <c r="G108" i="5"/>
  <c r="G111" i="5"/>
  <c r="B112" i="5"/>
  <c r="G112" i="5"/>
  <c r="G113" i="5"/>
  <c r="G116" i="5"/>
  <c r="B117" i="5"/>
  <c r="G117" i="5"/>
  <c r="G118" i="5"/>
  <c r="G121" i="5"/>
  <c r="B122" i="5"/>
  <c r="G122" i="5"/>
  <c r="G123" i="5"/>
  <c r="G126" i="5"/>
  <c r="B127" i="5"/>
  <c r="G127" i="5"/>
  <c r="G128" i="5"/>
  <c r="G131" i="5"/>
  <c r="B132" i="5"/>
  <c r="G132" i="5"/>
  <c r="G133" i="5"/>
  <c r="G135" i="5"/>
  <c r="B136" i="5"/>
  <c r="G136" i="5"/>
  <c r="G137" i="5"/>
  <c r="E138" i="5"/>
  <c r="P138" i="5" s="1"/>
  <c r="G139" i="5"/>
  <c r="B140" i="5"/>
  <c r="G140" i="5"/>
  <c r="G141" i="5"/>
  <c r="G144" i="5"/>
  <c r="B145" i="5"/>
  <c r="G145" i="5"/>
  <c r="G146" i="5"/>
  <c r="G149" i="5"/>
  <c r="B150" i="5"/>
  <c r="G150" i="5"/>
  <c r="G151" i="5"/>
  <c r="G154" i="5"/>
  <c r="B155" i="5"/>
  <c r="G155" i="5"/>
  <c r="G156" i="5"/>
  <c r="E157" i="5"/>
  <c r="P157" i="5" s="1"/>
  <c r="E158" i="5"/>
  <c r="P158" i="5" s="1"/>
  <c r="G159" i="5"/>
  <c r="G160" i="5"/>
  <c r="G161" i="5"/>
  <c r="B162" i="5"/>
  <c r="G163" i="5"/>
  <c r="G166" i="5"/>
  <c r="B167" i="5"/>
  <c r="G167" i="5"/>
  <c r="G168" i="5"/>
  <c r="G171" i="5"/>
  <c r="B172" i="5"/>
  <c r="G172" i="5"/>
  <c r="G173" i="5"/>
  <c r="G175" i="5"/>
  <c r="B176" i="5"/>
  <c r="G176" i="5"/>
  <c r="G177" i="5"/>
  <c r="E178" i="5"/>
  <c r="P178" i="5" s="1"/>
  <c r="G179" i="5"/>
  <c r="B180" i="5"/>
  <c r="G180" i="5"/>
  <c r="G181" i="5"/>
  <c r="G183" i="5"/>
  <c r="B184" i="5"/>
  <c r="G184" i="5"/>
  <c r="G185" i="5"/>
  <c r="E186" i="5"/>
  <c r="P186" i="5" s="1"/>
  <c r="E187" i="5"/>
  <c r="P187" i="5" s="1"/>
  <c r="G188" i="5"/>
  <c r="G189" i="5"/>
  <c r="G190" i="5"/>
  <c r="B191" i="5"/>
  <c r="G191" i="5"/>
  <c r="G192" i="5"/>
  <c r="G197" i="5"/>
  <c r="B198" i="5"/>
  <c r="G198" i="5"/>
  <c r="G199" i="5"/>
  <c r="G201" i="5"/>
  <c r="B202" i="5"/>
  <c r="G202" i="5"/>
  <c r="G203" i="5"/>
  <c r="E204" i="5"/>
  <c r="P204" i="5" s="1"/>
  <c r="G205" i="5"/>
  <c r="B206" i="5"/>
  <c r="G206" i="5"/>
  <c r="G207" i="5"/>
  <c r="G210" i="5"/>
  <c r="B211" i="5"/>
  <c r="G211" i="5"/>
  <c r="G212" i="5"/>
  <c r="G214" i="5"/>
  <c r="B215" i="5"/>
  <c r="G215" i="5"/>
  <c r="G216" i="5"/>
  <c r="G219" i="5"/>
  <c r="B220" i="5"/>
  <c r="G220" i="5"/>
  <c r="G221" i="5"/>
  <c r="G224" i="5"/>
  <c r="B225" i="5"/>
  <c r="G225" i="5"/>
  <c r="G226" i="5"/>
  <c r="G228" i="5"/>
  <c r="B229" i="5"/>
  <c r="G229" i="5"/>
  <c r="G230" i="5"/>
  <c r="G232" i="5"/>
  <c r="B233" i="5"/>
  <c r="G233" i="5"/>
  <c r="G234" i="5"/>
  <c r="G236" i="5"/>
  <c r="B237" i="5"/>
  <c r="G237" i="5"/>
  <c r="G238" i="5"/>
  <c r="G240" i="5"/>
  <c r="B241" i="5"/>
  <c r="G241" i="5"/>
  <c r="G242" i="5"/>
  <c r="G248" i="5"/>
  <c r="B249" i="5"/>
  <c r="G249" i="5"/>
  <c r="G250" i="5"/>
  <c r="G263" i="5"/>
  <c r="B264" i="5"/>
  <c r="G264" i="5"/>
  <c r="G265" i="5"/>
  <c r="G268" i="5"/>
  <c r="B269" i="5"/>
  <c r="G269" i="5"/>
  <c r="G270" i="5"/>
  <c r="D11" i="6"/>
  <c r="O11" i="6" s="1"/>
  <c r="D12" i="6"/>
  <c r="O12" i="6" s="1"/>
  <c r="G276" i="5"/>
  <c r="B277" i="5"/>
  <c r="G277" i="5"/>
  <c r="G278" i="5"/>
  <c r="G283" i="5"/>
  <c r="B284" i="5"/>
  <c r="G284" i="5"/>
  <c r="G285" i="5"/>
  <c r="G290" i="5"/>
  <c r="B291" i="5"/>
  <c r="G291" i="5"/>
  <c r="G292" i="5"/>
  <c r="E301" i="5"/>
  <c r="P301" i="5" s="1"/>
  <c r="E302" i="5"/>
  <c r="P302" i="5" s="1"/>
  <c r="G303" i="5"/>
  <c r="G304" i="5"/>
  <c r="G305" i="5"/>
  <c r="B306" i="5"/>
  <c r="G306" i="5"/>
  <c r="G307" i="5"/>
  <c r="E316" i="5"/>
  <c r="P316" i="5" s="1"/>
  <c r="E317" i="5"/>
  <c r="P317" i="5" s="1"/>
  <c r="G318" i="5"/>
  <c r="G319" i="5"/>
  <c r="G320" i="5"/>
  <c r="B321" i="5"/>
  <c r="G321" i="5"/>
  <c r="G322" i="5"/>
  <c r="G326" i="5"/>
  <c r="B327" i="5"/>
  <c r="G327" i="5"/>
  <c r="G328" i="5"/>
  <c r="E335" i="5"/>
  <c r="P335" i="5" s="1"/>
  <c r="G341" i="5"/>
  <c r="B342" i="5"/>
  <c r="G342" i="5"/>
  <c r="G343" i="5"/>
  <c r="G351" i="5"/>
  <c r="B352" i="5"/>
  <c r="G352" i="5"/>
  <c r="G353" i="5"/>
  <c r="E361" i="5"/>
  <c r="P361" i="5" s="1"/>
  <c r="E362" i="5"/>
  <c r="P362" i="5" s="1"/>
  <c r="G363" i="5"/>
  <c r="G364" i="5"/>
  <c r="G365" i="5"/>
  <c r="B366" i="5"/>
  <c r="G366" i="5"/>
  <c r="G367" i="5"/>
  <c r="G371" i="5"/>
  <c r="B372" i="5"/>
  <c r="G373" i="5"/>
  <c r="D56" i="6"/>
  <c r="O56" i="6" s="1"/>
  <c r="D57" i="6"/>
  <c r="O57" i="6" s="1"/>
  <c r="G380" i="5"/>
  <c r="B381" i="5"/>
  <c r="G381" i="5"/>
  <c r="G382" i="5"/>
  <c r="G394" i="5"/>
  <c r="B395" i="5"/>
  <c r="G395" i="5"/>
  <c r="G396" i="5"/>
  <c r="D151" i="6"/>
  <c r="O151" i="6" s="1"/>
  <c r="D152" i="6"/>
  <c r="O152" i="6" s="1"/>
  <c r="G401" i="5"/>
  <c r="B402" i="5"/>
  <c r="G402" i="5"/>
  <c r="G403" i="5"/>
  <c r="G415" i="5"/>
  <c r="B416" i="5"/>
  <c r="G417" i="5"/>
  <c r="E420" i="5"/>
  <c r="P420" i="5" s="1"/>
  <c r="E421" i="5"/>
  <c r="P421" i="5" s="1"/>
  <c r="G422" i="5"/>
  <c r="B423" i="5"/>
  <c r="G423" i="5"/>
  <c r="G424" i="5"/>
  <c r="G434" i="5"/>
  <c r="B435" i="5"/>
  <c r="G436" i="5"/>
  <c r="G440" i="5"/>
  <c r="B441" i="5"/>
  <c r="G441" i="5"/>
  <c r="G442" i="5"/>
  <c r="D74" i="6"/>
  <c r="O74" i="6" s="1"/>
  <c r="D75" i="6"/>
  <c r="O75" i="6" s="1"/>
  <c r="G446" i="5"/>
  <c r="B447" i="5"/>
  <c r="G447" i="5"/>
  <c r="G448" i="5"/>
  <c r="G452" i="5"/>
  <c r="G453" i="5"/>
  <c r="G454" i="5"/>
  <c r="B455" i="5"/>
  <c r="G455" i="5"/>
  <c r="G456" i="5"/>
  <c r="E457" i="5"/>
  <c r="P457" i="5" s="1"/>
  <c r="E458" i="5"/>
  <c r="P458" i="5" s="1"/>
  <c r="E460" i="5"/>
  <c r="P460" i="5" s="1"/>
  <c r="G461" i="5"/>
  <c r="G462" i="5"/>
  <c r="G463" i="5"/>
  <c r="G464" i="5"/>
  <c r="B465" i="5"/>
  <c r="G465" i="5"/>
  <c r="G466" i="5"/>
  <c r="E467" i="5"/>
  <c r="P467" i="5" s="1"/>
  <c r="E468" i="5"/>
  <c r="P468" i="5" s="1"/>
  <c r="E469" i="5"/>
  <c r="P469" i="5" s="1"/>
  <c r="E470" i="5"/>
  <c r="P470" i="5" s="1"/>
  <c r="G471" i="5"/>
  <c r="B472" i="5"/>
  <c r="G472" i="5"/>
  <c r="G473" i="5"/>
  <c r="E477" i="5"/>
  <c r="P477" i="5" s="1"/>
  <c r="G479" i="5"/>
  <c r="G480" i="5"/>
  <c r="G481" i="5"/>
  <c r="G482" i="5"/>
  <c r="G483" i="5"/>
  <c r="B484" i="5"/>
  <c r="G484" i="5"/>
  <c r="G485" i="5"/>
  <c r="G489" i="5"/>
  <c r="B490" i="5"/>
  <c r="G490" i="5"/>
  <c r="G491" i="5"/>
  <c r="E492" i="5"/>
  <c r="P492" i="5" s="1"/>
  <c r="E493" i="5"/>
  <c r="P493" i="5" s="1"/>
  <c r="G494" i="5"/>
  <c r="G495" i="5"/>
  <c r="G496" i="5"/>
  <c r="G497" i="5"/>
  <c r="B498" i="5"/>
  <c r="G498" i="5"/>
  <c r="G499" i="5"/>
  <c r="G504" i="5"/>
  <c r="B505" i="5"/>
  <c r="G506" i="5"/>
  <c r="G511" i="5"/>
  <c r="B512" i="5"/>
  <c r="G512" i="5"/>
  <c r="G513" i="5"/>
  <c r="G517" i="5"/>
  <c r="B518" i="5"/>
  <c r="G518" i="5"/>
  <c r="G519" i="5"/>
  <c r="E520" i="5"/>
  <c r="P520" i="5" s="1"/>
  <c r="G524" i="5"/>
  <c r="B525" i="5"/>
  <c r="G525" i="5"/>
  <c r="G526" i="5"/>
  <c r="E528" i="5"/>
  <c r="P528" i="5" s="1"/>
  <c r="G531" i="5"/>
  <c r="B532" i="5"/>
  <c r="G532" i="5"/>
  <c r="G533" i="5"/>
  <c r="G537" i="5"/>
  <c r="B538" i="5"/>
  <c r="G538" i="5"/>
  <c r="G539" i="5"/>
  <c r="G545" i="5"/>
  <c r="B546" i="5"/>
  <c r="G546" i="5"/>
  <c r="G547" i="5"/>
  <c r="D91" i="6"/>
  <c r="O91" i="6" s="1"/>
  <c r="D92" i="6"/>
  <c r="O92" i="6" s="1"/>
  <c r="G553" i="5"/>
  <c r="B554" i="5"/>
  <c r="G554" i="5"/>
  <c r="G555" i="5"/>
  <c r="G561" i="5"/>
  <c r="B562" i="5"/>
  <c r="G562" i="5"/>
  <c r="G563" i="5"/>
  <c r="G569" i="5"/>
  <c r="B570" i="5"/>
  <c r="G570" i="5"/>
  <c r="G571" i="5"/>
  <c r="E572" i="5"/>
  <c r="P572" i="5" s="1"/>
  <c r="E573" i="5"/>
  <c r="P573" i="5" s="1"/>
  <c r="E574" i="5"/>
  <c r="P574" i="5" s="1"/>
  <c r="E575" i="5"/>
  <c r="P575" i="5" s="1"/>
  <c r="E576" i="5"/>
  <c r="P576" i="5" s="1"/>
  <c r="G577" i="5"/>
  <c r="G578" i="5"/>
  <c r="G579" i="5"/>
  <c r="B580" i="5"/>
  <c r="G580" i="5"/>
  <c r="G581" i="5"/>
  <c r="E582" i="5"/>
  <c r="P582" i="5" s="1"/>
  <c r="E583" i="5"/>
  <c r="P583" i="5" s="1"/>
  <c r="E584" i="5"/>
  <c r="P584" i="5" s="1"/>
  <c r="E585" i="5"/>
  <c r="P585" i="5" s="1"/>
  <c r="G586" i="5"/>
  <c r="G587" i="5"/>
  <c r="G588" i="5"/>
  <c r="B589" i="5"/>
  <c r="G589" i="5"/>
  <c r="G590" i="5"/>
  <c r="G596" i="5"/>
  <c r="B597" i="5"/>
  <c r="G598" i="5"/>
  <c r="E599" i="5"/>
  <c r="P599" i="5" s="1"/>
  <c r="E600" i="5"/>
  <c r="P600" i="5" s="1"/>
  <c r="E601" i="5"/>
  <c r="P601" i="5" s="1"/>
  <c r="E602" i="5"/>
  <c r="P602" i="5" s="1"/>
  <c r="E603" i="5"/>
  <c r="P603" i="5" s="1"/>
  <c r="G604" i="5"/>
  <c r="G605" i="5"/>
  <c r="G606" i="5"/>
  <c r="B607" i="5"/>
  <c r="G607" i="5"/>
  <c r="G608" i="5"/>
  <c r="E609" i="5"/>
  <c r="P609" i="5" s="1"/>
  <c r="E610" i="5"/>
  <c r="P610" i="5" s="1"/>
  <c r="E611" i="5"/>
  <c r="P611" i="5" s="1"/>
  <c r="E612" i="5"/>
  <c r="P612" i="5" s="1"/>
  <c r="G613" i="5"/>
  <c r="G614" i="5"/>
  <c r="G615" i="5"/>
  <c r="B616" i="5"/>
  <c r="G616" i="5"/>
  <c r="G617" i="5"/>
  <c r="G621" i="5"/>
  <c r="B622" i="5"/>
  <c r="G622" i="5"/>
  <c r="G623" i="5"/>
  <c r="G629" i="5"/>
  <c r="B630" i="5"/>
  <c r="G630" i="5"/>
  <c r="G631" i="5"/>
  <c r="G637" i="5"/>
  <c r="B638" i="5"/>
  <c r="G638" i="5"/>
  <c r="G639" i="5"/>
  <c r="G644" i="5"/>
  <c r="B645" i="5"/>
  <c r="G645" i="5"/>
  <c r="G646" i="5"/>
  <c r="G648" i="5"/>
  <c r="B649" i="5"/>
  <c r="G649" i="5"/>
  <c r="G650" i="5"/>
  <c r="G652" i="5"/>
  <c r="B653" i="5"/>
  <c r="G653" i="5"/>
  <c r="G654" i="5"/>
  <c r="G656" i="5"/>
  <c r="B657" i="5"/>
  <c r="G657" i="5"/>
  <c r="G658" i="5"/>
  <c r="G660" i="5"/>
  <c r="B661" i="5"/>
  <c r="G661" i="5"/>
  <c r="G662" i="5"/>
  <c r="G664" i="5"/>
  <c r="B665" i="5"/>
  <c r="G665" i="5"/>
  <c r="G666" i="5"/>
  <c r="G668" i="5"/>
  <c r="B669" i="5"/>
  <c r="G669" i="5"/>
  <c r="G670" i="5"/>
  <c r="E671" i="5"/>
  <c r="P671" i="5" s="1"/>
  <c r="E672" i="5"/>
  <c r="P672" i="5" s="1"/>
  <c r="E673" i="5"/>
  <c r="P673" i="5" s="1"/>
  <c r="E674" i="5"/>
  <c r="P674" i="5" s="1"/>
  <c r="E675" i="5"/>
  <c r="P675" i="5" s="1"/>
  <c r="G676" i="5"/>
  <c r="B677" i="5"/>
  <c r="G677" i="5"/>
  <c r="G678" i="5"/>
  <c r="E679" i="5"/>
  <c r="P679" i="5" s="1"/>
  <c r="E680" i="5"/>
  <c r="P680" i="5" s="1"/>
  <c r="E681" i="5"/>
  <c r="P681" i="5" s="1"/>
  <c r="E682" i="5"/>
  <c r="P682" i="5" s="1"/>
  <c r="E683" i="5"/>
  <c r="P683" i="5" s="1"/>
  <c r="E684" i="5"/>
  <c r="P684" i="5" s="1"/>
  <c r="E685" i="5"/>
  <c r="P685" i="5" s="1"/>
  <c r="G686" i="5"/>
  <c r="B687" i="5"/>
  <c r="G687" i="5"/>
  <c r="G688" i="5"/>
  <c r="G696" i="5"/>
  <c r="B697" i="5"/>
  <c r="G697" i="5"/>
  <c r="G698" i="5"/>
  <c r="E699" i="5"/>
  <c r="P699" i="5" s="1"/>
  <c r="E700" i="5"/>
  <c r="P700" i="5" s="1"/>
  <c r="E701" i="5"/>
  <c r="P701" i="5" s="1"/>
  <c r="E702" i="5"/>
  <c r="P702" i="5" s="1"/>
  <c r="E703" i="5"/>
  <c r="P703" i="5" s="1"/>
  <c r="G704" i="5"/>
  <c r="B705" i="5"/>
  <c r="G705" i="5"/>
  <c r="G706" i="5"/>
  <c r="E707" i="5"/>
  <c r="P707" i="5" s="1"/>
  <c r="E708" i="5"/>
  <c r="P708" i="5" s="1"/>
  <c r="E709" i="5"/>
  <c r="P709" i="5" s="1"/>
  <c r="E710" i="5"/>
  <c r="P710" i="5" s="1"/>
  <c r="E711" i="5"/>
  <c r="P711" i="5" s="1"/>
  <c r="E712" i="5"/>
  <c r="P712" i="5" s="1"/>
  <c r="E713" i="5"/>
  <c r="P713" i="5" s="1"/>
  <c r="G714" i="5"/>
  <c r="B715" i="5"/>
  <c r="G715" i="5"/>
  <c r="G716" i="5"/>
  <c r="E717" i="5"/>
  <c r="P717" i="5" s="1"/>
  <c r="E718" i="5"/>
  <c r="P718" i="5" s="1"/>
  <c r="E719" i="5"/>
  <c r="P719" i="5" s="1"/>
  <c r="E720" i="5"/>
  <c r="P720" i="5" s="1"/>
  <c r="E721" i="5"/>
  <c r="P721" i="5" s="1"/>
  <c r="E722" i="5"/>
  <c r="P722" i="5" s="1"/>
  <c r="G723" i="5"/>
  <c r="B724" i="5"/>
  <c r="G724" i="5"/>
  <c r="G725" i="5"/>
  <c r="E726" i="5"/>
  <c r="P726" i="5" s="1"/>
  <c r="E727" i="5"/>
  <c r="P727" i="5" s="1"/>
  <c r="E728" i="5"/>
  <c r="P728" i="5" s="1"/>
  <c r="E729" i="5"/>
  <c r="P729" i="5" s="1"/>
  <c r="G730" i="5"/>
  <c r="B731" i="5"/>
  <c r="G731" i="5"/>
  <c r="G732" i="5"/>
  <c r="G736" i="5"/>
  <c r="B737" i="5"/>
  <c r="G738" i="5"/>
  <c r="E739" i="5"/>
  <c r="P739" i="5" s="1"/>
  <c r="G744" i="5"/>
  <c r="B745" i="5"/>
  <c r="G745" i="5"/>
  <c r="G746" i="5"/>
  <c r="G748" i="5"/>
  <c r="B749" i="5"/>
  <c r="G749" i="5"/>
  <c r="G750" i="5"/>
  <c r="E751" i="5"/>
  <c r="P751" i="5" s="1"/>
  <c r="E752" i="5"/>
  <c r="P752" i="5" s="1"/>
  <c r="G755" i="5"/>
  <c r="B756" i="5"/>
  <c r="G756" i="5"/>
  <c r="G757" i="5"/>
  <c r="G766" i="5"/>
  <c r="B767" i="5"/>
  <c r="G767" i="5"/>
  <c r="G768" i="5"/>
  <c r="E771" i="5"/>
  <c r="P771" i="5" s="1"/>
  <c r="G772" i="5"/>
  <c r="B773" i="5"/>
  <c r="G773" i="5"/>
  <c r="G774" i="5"/>
  <c r="G783" i="5"/>
  <c r="B784" i="5"/>
  <c r="G784" i="5"/>
  <c r="G785" i="5"/>
  <c r="G790" i="5"/>
  <c r="B791" i="5"/>
  <c r="G791" i="5"/>
  <c r="G792" i="5"/>
  <c r="G804" i="5"/>
  <c r="B805" i="5"/>
  <c r="G805" i="5"/>
  <c r="G806" i="5"/>
  <c r="G814" i="5"/>
  <c r="B815" i="5"/>
  <c r="G815" i="5"/>
  <c r="G816" i="5"/>
  <c r="G818" i="5"/>
  <c r="B819" i="5"/>
  <c r="G819" i="5"/>
  <c r="G820" i="5"/>
  <c r="E821" i="5"/>
  <c r="P821" i="5" s="1"/>
  <c r="G823" i="5"/>
  <c r="B824" i="5"/>
  <c r="G824" i="5"/>
  <c r="G825" i="5"/>
  <c r="E826" i="5"/>
  <c r="P826" i="5" s="1"/>
  <c r="G827" i="5"/>
  <c r="B828" i="5"/>
  <c r="G828" i="5"/>
  <c r="G829" i="5"/>
  <c r="G832" i="5"/>
  <c r="B833" i="5"/>
  <c r="G833" i="5"/>
  <c r="G834" i="5"/>
  <c r="G839" i="5"/>
  <c r="B840" i="5"/>
  <c r="G840" i="5"/>
  <c r="G841" i="5"/>
  <c r="G845" i="5"/>
  <c r="B846" i="5"/>
  <c r="G846" i="5"/>
  <c r="G847" i="5"/>
  <c r="G850" i="5"/>
  <c r="B851" i="5"/>
  <c r="G851" i="5"/>
  <c r="G852" i="5"/>
  <c r="E854" i="5"/>
  <c r="P854" i="5" s="1"/>
  <c r="G856" i="5"/>
  <c r="B857" i="5"/>
  <c r="G857" i="5"/>
  <c r="G858" i="5"/>
  <c r="G862" i="5"/>
  <c r="B863" i="5"/>
  <c r="G863" i="5"/>
  <c r="G864" i="5"/>
  <c r="G867" i="5"/>
  <c r="B868" i="5"/>
  <c r="G868" i="5"/>
  <c r="G869" i="5"/>
  <c r="E872" i="5"/>
  <c r="P872" i="5" s="1"/>
  <c r="G873" i="5"/>
  <c r="G874" i="5"/>
  <c r="G875" i="5"/>
  <c r="B876" i="5"/>
  <c r="G876" i="5"/>
  <c r="G877" i="5"/>
  <c r="G883" i="5"/>
  <c r="B884" i="5"/>
  <c r="G884" i="5"/>
  <c r="G885" i="5"/>
  <c r="G891" i="5"/>
  <c r="B892" i="5"/>
  <c r="G892" i="5"/>
  <c r="G893" i="5"/>
  <c r="E894" i="5"/>
  <c r="P894" i="5" s="1"/>
  <c r="E895" i="5"/>
  <c r="P895" i="5" s="1"/>
  <c r="G896" i="5"/>
  <c r="B897" i="5"/>
  <c r="G897" i="5"/>
  <c r="G898" i="5"/>
  <c r="G903" i="5"/>
  <c r="B904" i="5"/>
  <c r="G904" i="5"/>
  <c r="G905" i="5"/>
  <c r="E906" i="5"/>
  <c r="P906" i="5" s="1"/>
  <c r="G907" i="5"/>
  <c r="B908" i="5"/>
  <c r="G908" i="5"/>
  <c r="G909" i="5"/>
  <c r="G913" i="5"/>
  <c r="B914" i="5"/>
  <c r="G914" i="5"/>
  <c r="G915" i="5"/>
  <c r="G922" i="5"/>
  <c r="B923" i="5"/>
  <c r="G923" i="5"/>
  <c r="G924" i="5"/>
  <c r="G929" i="5"/>
  <c r="B930" i="5"/>
  <c r="G931" i="5"/>
  <c r="G938" i="5"/>
  <c r="B939" i="5"/>
  <c r="G939" i="5"/>
  <c r="G940" i="5"/>
  <c r="G947" i="5"/>
  <c r="B948" i="5"/>
  <c r="G948" i="5"/>
  <c r="G949" i="5"/>
  <c r="G953" i="5"/>
  <c r="B954" i="5"/>
  <c r="G955" i="5"/>
  <c r="G959" i="5"/>
  <c r="B960" i="5"/>
  <c r="G960" i="5"/>
  <c r="G961" i="5"/>
  <c r="G966" i="5"/>
  <c r="B967" i="5"/>
  <c r="G967" i="5"/>
  <c r="G968" i="5"/>
  <c r="G973" i="5"/>
  <c r="B974" i="5"/>
  <c r="G975" i="5"/>
  <c r="G980" i="5"/>
  <c r="B981" i="5"/>
  <c r="G981" i="5"/>
  <c r="G982" i="5"/>
  <c r="G991" i="5"/>
  <c r="B992" i="5"/>
  <c r="G992" i="5"/>
  <c r="G993" i="5"/>
  <c r="G1002" i="5"/>
  <c r="B1003" i="5"/>
  <c r="G1003" i="5"/>
  <c r="G1004" i="5"/>
  <c r="G1007" i="5"/>
  <c r="B1008" i="5"/>
  <c r="G1008" i="5"/>
  <c r="G1009" i="5"/>
  <c r="G1012" i="5"/>
  <c r="B1013" i="5"/>
  <c r="G1013" i="5"/>
  <c r="G1014" i="5"/>
  <c r="G1021" i="5"/>
  <c r="B1022" i="5"/>
  <c r="G1022" i="5"/>
  <c r="G1023" i="5"/>
  <c r="G1026" i="5"/>
  <c r="B1027" i="5"/>
  <c r="G1027" i="5"/>
  <c r="G1028" i="5"/>
  <c r="G1036" i="5"/>
  <c r="B1037" i="5"/>
  <c r="G1037" i="5"/>
  <c r="G1038" i="5"/>
  <c r="G1045" i="5"/>
  <c r="B1046" i="5"/>
  <c r="G1046" i="5"/>
  <c r="G1047" i="5"/>
  <c r="G1052" i="5"/>
  <c r="B1053" i="5"/>
  <c r="G1053" i="5"/>
  <c r="G1054" i="5"/>
  <c r="G1059" i="5"/>
  <c r="B1060" i="5"/>
  <c r="G1060" i="5"/>
  <c r="G1061" i="5"/>
  <c r="G1066" i="5"/>
  <c r="B1067" i="5"/>
  <c r="G1067" i="5"/>
  <c r="G1068" i="5"/>
  <c r="G1073" i="5"/>
  <c r="B1074" i="5"/>
  <c r="G1074" i="5"/>
  <c r="G1075" i="5"/>
  <c r="E1078" i="5"/>
  <c r="P1078" i="5" s="1"/>
  <c r="E1079" i="5"/>
  <c r="P1079" i="5" s="1"/>
  <c r="G1080" i="5"/>
  <c r="G1081" i="5"/>
  <c r="G1082" i="5"/>
  <c r="B1083" i="5"/>
  <c r="G1083" i="5"/>
  <c r="G1084" i="5"/>
  <c r="G1090" i="5"/>
  <c r="B1091" i="5"/>
  <c r="G1091" i="5"/>
  <c r="G1092" i="5"/>
  <c r="G1098" i="5"/>
  <c r="B1099" i="5"/>
  <c r="G1100" i="5"/>
  <c r="E1104" i="5"/>
  <c r="P1104" i="5" s="1"/>
  <c r="E1105" i="5"/>
  <c r="P1105" i="5" s="1"/>
  <c r="G1106" i="5"/>
  <c r="G1107" i="5"/>
  <c r="G1108" i="5"/>
  <c r="B1109" i="5"/>
  <c r="G1109" i="5"/>
  <c r="G1110" i="5"/>
  <c r="G1116" i="5"/>
  <c r="B1117" i="5"/>
  <c r="G1117" i="5"/>
  <c r="G1118" i="5"/>
  <c r="G1121" i="5"/>
  <c r="B1122" i="5"/>
  <c r="G1122" i="5"/>
  <c r="G1123" i="5"/>
  <c r="G1126" i="5"/>
  <c r="B1127" i="5"/>
  <c r="G1127" i="5"/>
  <c r="G1128" i="5"/>
  <c r="G1132" i="5"/>
  <c r="B1133" i="5"/>
  <c r="G1133" i="5"/>
  <c r="G1134" i="5"/>
  <c r="G1137" i="5"/>
  <c r="B1138" i="5"/>
  <c r="G1139" i="5"/>
  <c r="G1144" i="5"/>
  <c r="B1145" i="5"/>
  <c r="G1145" i="5"/>
  <c r="G1146" i="5"/>
  <c r="G1151" i="5"/>
  <c r="B1152" i="5"/>
  <c r="G1152" i="5"/>
  <c r="G1153" i="5"/>
  <c r="G1158" i="5"/>
  <c r="B1159" i="5"/>
  <c r="G1159" i="5"/>
  <c r="G1160" i="5"/>
  <c r="G1165" i="5"/>
  <c r="B1166" i="5"/>
  <c r="G1166" i="5"/>
  <c r="G1167" i="5"/>
  <c r="G1172" i="5"/>
  <c r="B1173" i="5"/>
  <c r="G1173" i="5"/>
  <c r="G1174" i="5"/>
  <c r="G1179" i="5"/>
  <c r="B1180" i="5"/>
  <c r="G1180" i="5"/>
  <c r="G1181" i="5"/>
  <c r="G1186" i="5"/>
  <c r="B1187" i="5"/>
  <c r="G1188" i="5"/>
  <c r="G1193" i="5"/>
  <c r="B1194" i="5"/>
  <c r="G1194" i="5"/>
  <c r="G1195" i="5"/>
  <c r="G1200" i="5"/>
  <c r="B1201" i="5"/>
  <c r="G1201" i="5"/>
  <c r="G1202" i="5"/>
  <c r="G1207" i="5"/>
  <c r="B1208" i="5"/>
  <c r="G1208" i="5"/>
  <c r="G1209" i="5"/>
  <c r="G1214" i="5"/>
  <c r="B1215" i="5"/>
  <c r="G1216" i="5"/>
  <c r="G1221" i="5"/>
  <c r="B1222" i="5"/>
  <c r="G1222" i="5"/>
  <c r="G1223" i="5"/>
  <c r="G1227" i="5"/>
  <c r="B1228" i="5"/>
  <c r="G1228" i="5"/>
  <c r="G1229" i="5"/>
  <c r="G1233" i="5"/>
  <c r="B1234" i="5"/>
  <c r="G1234" i="5"/>
  <c r="G1235" i="5"/>
  <c r="G1239" i="5"/>
  <c r="B1240" i="5"/>
  <c r="G1240" i="5"/>
  <c r="G1241" i="5"/>
  <c r="G1245" i="5"/>
  <c r="B1246" i="5"/>
  <c r="G1247" i="5"/>
  <c r="G1252" i="5"/>
  <c r="B1253" i="5"/>
  <c r="G1253" i="5"/>
  <c r="G1254" i="5"/>
  <c r="G1259" i="5"/>
  <c r="B1260" i="5"/>
  <c r="G1261" i="5"/>
  <c r="G1266" i="5"/>
  <c r="B1267" i="5"/>
  <c r="G1267" i="5"/>
  <c r="G1268" i="5"/>
  <c r="G1272" i="5"/>
  <c r="B1273" i="5"/>
  <c r="G1273" i="5"/>
  <c r="G1274" i="5"/>
  <c r="G1279" i="5"/>
  <c r="B1280" i="5"/>
  <c r="G1280" i="5"/>
  <c r="G1281" i="5"/>
  <c r="G1286" i="5"/>
  <c r="B1287" i="5"/>
  <c r="G1287" i="5"/>
  <c r="G1288" i="5"/>
  <c r="G1293" i="5"/>
  <c r="B1294" i="5"/>
  <c r="G1294" i="5"/>
  <c r="G1295" i="5"/>
  <c r="G1300" i="5"/>
  <c r="B1301" i="5"/>
  <c r="G1301" i="5"/>
  <c r="G1302" i="5"/>
  <c r="G1308" i="5"/>
  <c r="B1309" i="5"/>
  <c r="G1309" i="5"/>
  <c r="G1310" i="5"/>
  <c r="G1317" i="5"/>
  <c r="B1318" i="5"/>
  <c r="G1318" i="5"/>
  <c r="G1319" i="5"/>
  <c r="G1323" i="5"/>
  <c r="B1324" i="5"/>
  <c r="G1324" i="5"/>
  <c r="G1325" i="5"/>
  <c r="G1329" i="5"/>
  <c r="B1330" i="5"/>
  <c r="G1330" i="5"/>
  <c r="G1331" i="5"/>
  <c r="G1335" i="5"/>
  <c r="B1336" i="5"/>
  <c r="G1337" i="5"/>
  <c r="G1341" i="5"/>
  <c r="B1342" i="5"/>
  <c r="G1342" i="5"/>
  <c r="G1343" i="5"/>
  <c r="G1348" i="5"/>
  <c r="B1349" i="5"/>
  <c r="G1349" i="5"/>
  <c r="G1350" i="5"/>
  <c r="G1354" i="5"/>
  <c r="B1355" i="5"/>
  <c r="G1355" i="5"/>
  <c r="G1356" i="5"/>
  <c r="G1361" i="5"/>
  <c r="B1362" i="5"/>
  <c r="G1362" i="5"/>
  <c r="G1363" i="5"/>
  <c r="G1367" i="5"/>
  <c r="B1368" i="5"/>
  <c r="G1368" i="5"/>
  <c r="G1369" i="5"/>
  <c r="G1373" i="5"/>
  <c r="B1374" i="5"/>
  <c r="G1375" i="5"/>
  <c r="G1380" i="5"/>
  <c r="B1381" i="5"/>
  <c r="G1381" i="5"/>
  <c r="G1382" i="5"/>
  <c r="G1386" i="5"/>
  <c r="B1387" i="5"/>
  <c r="G1387" i="5"/>
  <c r="G1388" i="5"/>
  <c r="G1392" i="5"/>
  <c r="B1393" i="5"/>
  <c r="G1393" i="5"/>
  <c r="G1394" i="5"/>
  <c r="G1398" i="5"/>
  <c r="B1399" i="5"/>
  <c r="G1399" i="5"/>
  <c r="G1400" i="5"/>
  <c r="G1405" i="5"/>
  <c r="B1406" i="5"/>
  <c r="G1406" i="5"/>
  <c r="G1407" i="5"/>
  <c r="G1420" i="5"/>
  <c r="B1421" i="5"/>
  <c r="G1421" i="5"/>
  <c r="G1422" i="5"/>
  <c r="G1435" i="5"/>
  <c r="B1436" i="5"/>
  <c r="G1436" i="5"/>
  <c r="G1437" i="5"/>
  <c r="G1450" i="5"/>
  <c r="B1451" i="5"/>
  <c r="G1451" i="5"/>
  <c r="G1452" i="5"/>
  <c r="G1465" i="5"/>
  <c r="B1466" i="5"/>
  <c r="G1466" i="5"/>
  <c r="G1467" i="5"/>
  <c r="G1480" i="5"/>
  <c r="B1481" i="5"/>
  <c r="G1481" i="5"/>
  <c r="G1482" i="5"/>
  <c r="G1495" i="5"/>
  <c r="B1496" i="5"/>
  <c r="G1496" i="5"/>
  <c r="G1497" i="5"/>
  <c r="G1510" i="5"/>
  <c r="B1511" i="5"/>
  <c r="G1511" i="5"/>
  <c r="G1512" i="5"/>
  <c r="G1516" i="5"/>
  <c r="B1517" i="5"/>
  <c r="G1517" i="5"/>
  <c r="G1518" i="5"/>
  <c r="G1522" i="5"/>
  <c r="B1523" i="5"/>
  <c r="G1523" i="5"/>
  <c r="G1524" i="5"/>
  <c r="G1528" i="5"/>
  <c r="B1529" i="5"/>
  <c r="G1529" i="5"/>
  <c r="G1530" i="5"/>
  <c r="G1534" i="5"/>
  <c r="B1535" i="5"/>
  <c r="G1535" i="5"/>
  <c r="G1536" i="5"/>
  <c r="G1540" i="5"/>
  <c r="B1541" i="5"/>
  <c r="G1541" i="5"/>
  <c r="G1542" i="5"/>
  <c r="G1547" i="5"/>
  <c r="B1548" i="5"/>
  <c r="G1548" i="5"/>
  <c r="G1549" i="5"/>
  <c r="G1554" i="5"/>
  <c r="B1555" i="5"/>
  <c r="G1556" i="5"/>
  <c r="G1561" i="5"/>
  <c r="B1562" i="5"/>
  <c r="G1562" i="5"/>
  <c r="G1563" i="5"/>
  <c r="G1568" i="5"/>
  <c r="B1569" i="5"/>
  <c r="G1569" i="5"/>
  <c r="G1570" i="5"/>
  <c r="G1583" i="5"/>
  <c r="B1584" i="5"/>
  <c r="G1585" i="5"/>
  <c r="G1589" i="5"/>
  <c r="B1590" i="5"/>
  <c r="G1590" i="5"/>
  <c r="G1591" i="5"/>
  <c r="G1595" i="5"/>
  <c r="B1596" i="5"/>
  <c r="G1596" i="5"/>
  <c r="G1597" i="5"/>
  <c r="G1601" i="5"/>
  <c r="B1602" i="5"/>
  <c r="G1602" i="5"/>
  <c r="G1603" i="5"/>
  <c r="E1604" i="5"/>
  <c r="P1604" i="5" s="1"/>
  <c r="E1605" i="5"/>
  <c r="P1605" i="5" s="1"/>
  <c r="G1608" i="5"/>
  <c r="B1609" i="5"/>
  <c r="G1609" i="5"/>
  <c r="G1610" i="5"/>
  <c r="G1613" i="5"/>
  <c r="B1614" i="5"/>
  <c r="G1615" i="5"/>
  <c r="G1619" i="5"/>
  <c r="B1620" i="5"/>
  <c r="G1620" i="5"/>
  <c r="G1621" i="5"/>
  <c r="G1625" i="5"/>
  <c r="B1626" i="5"/>
  <c r="G1626" i="5"/>
  <c r="G1627" i="5"/>
  <c r="G1630" i="5"/>
  <c r="B1631" i="5"/>
  <c r="G1631" i="5"/>
  <c r="G1632" i="5"/>
  <c r="G1636" i="5"/>
  <c r="B1637" i="5"/>
  <c r="G1637" i="5"/>
  <c r="G1638" i="5"/>
  <c r="G1642" i="5"/>
  <c r="B1643" i="5"/>
  <c r="G1643" i="5"/>
  <c r="G1644" i="5"/>
  <c r="G1648" i="5"/>
  <c r="B1649" i="5"/>
  <c r="G1649" i="5"/>
  <c r="G1650" i="5"/>
  <c r="E1651" i="5"/>
  <c r="P1651" i="5" s="1"/>
  <c r="E1652" i="5"/>
  <c r="P1652" i="5" s="1"/>
  <c r="G1654" i="5"/>
  <c r="B1655" i="5"/>
  <c r="G1655" i="5"/>
  <c r="G1656" i="5"/>
  <c r="G1659" i="5"/>
  <c r="B1660" i="5"/>
  <c r="G1660" i="5"/>
  <c r="G1661" i="5"/>
  <c r="G1664" i="5"/>
  <c r="B1665" i="5"/>
  <c r="G1665" i="5"/>
  <c r="G1666" i="5"/>
  <c r="G1669" i="5"/>
  <c r="B1670" i="5"/>
  <c r="G1670" i="5"/>
  <c r="G1671" i="5"/>
  <c r="G1675" i="5"/>
  <c r="B1676" i="5"/>
  <c r="G1677" i="5"/>
  <c r="G1682" i="5"/>
  <c r="B1683" i="5"/>
  <c r="G1683" i="5"/>
  <c r="G1684" i="5"/>
  <c r="G1689" i="5"/>
  <c r="B1690" i="5"/>
  <c r="G1690" i="5"/>
  <c r="G1691" i="5"/>
  <c r="G1695" i="5"/>
  <c r="B1696" i="5"/>
  <c r="G1696" i="5"/>
  <c r="G1697" i="5"/>
  <c r="G1703" i="5"/>
  <c r="B1704" i="5"/>
  <c r="G1705" i="5"/>
  <c r="G1714" i="5"/>
  <c r="B1715" i="5"/>
  <c r="G1715" i="5"/>
  <c r="G1716" i="5"/>
  <c r="G1725" i="5"/>
  <c r="B1726" i="5"/>
  <c r="G1726" i="5"/>
  <c r="G1727" i="5"/>
  <c r="G1736" i="5"/>
  <c r="B1737" i="5"/>
  <c r="G1737" i="5"/>
  <c r="G1738" i="5"/>
  <c r="G1747" i="5"/>
  <c r="B1748" i="5"/>
  <c r="G1748" i="5"/>
  <c r="G1749" i="5"/>
  <c r="G1754" i="5"/>
  <c r="B1755" i="5"/>
  <c r="G1755" i="5"/>
  <c r="G1756" i="5"/>
  <c r="G1761" i="5"/>
  <c r="B1762" i="5"/>
  <c r="G1763" i="5"/>
  <c r="G1768" i="5"/>
  <c r="B1769" i="5"/>
  <c r="G1769" i="5"/>
  <c r="G1770" i="5"/>
  <c r="G1775" i="5"/>
  <c r="B1776" i="5"/>
  <c r="G1776" i="5"/>
  <c r="G1777" i="5"/>
  <c r="G1782" i="5"/>
  <c r="B1783" i="5"/>
  <c r="G1784" i="5"/>
  <c r="G1789" i="5"/>
  <c r="B1790" i="5"/>
  <c r="G1790" i="5"/>
  <c r="G1791" i="5"/>
  <c r="G1796" i="5"/>
  <c r="B1797" i="5"/>
  <c r="G1797" i="5"/>
  <c r="G1798" i="5"/>
  <c r="D422" i="6"/>
  <c r="O422" i="6" s="1"/>
  <c r="D423" i="6"/>
  <c r="O423" i="6" s="1"/>
  <c r="G1803" i="5"/>
  <c r="B1804" i="5"/>
  <c r="G1804" i="5"/>
  <c r="G1805" i="5"/>
  <c r="G1808" i="5"/>
  <c r="B1809" i="5"/>
  <c r="G1809" i="5"/>
  <c r="G1810" i="5"/>
  <c r="G1813" i="5"/>
  <c r="B1814" i="5"/>
  <c r="G1814" i="5"/>
  <c r="G1815" i="5"/>
  <c r="G1819" i="5"/>
  <c r="B1820" i="5"/>
  <c r="G1820" i="5"/>
  <c r="G1821" i="5"/>
  <c r="G1825" i="5"/>
  <c r="B1826" i="5"/>
  <c r="G1826" i="5"/>
  <c r="G1827" i="5"/>
  <c r="G1832" i="5"/>
  <c r="B1833" i="5"/>
  <c r="G1833" i="5"/>
  <c r="G1834" i="5"/>
  <c r="G1838" i="5"/>
  <c r="B1839" i="5"/>
  <c r="G1839" i="5"/>
  <c r="G1840" i="5"/>
  <c r="G1844" i="5"/>
  <c r="B1845" i="5"/>
  <c r="G1845" i="5"/>
  <c r="G1846" i="5"/>
  <c r="G1850" i="5"/>
  <c r="B1851" i="5"/>
  <c r="G1851" i="5"/>
  <c r="G1852" i="5"/>
  <c r="G1856" i="5"/>
  <c r="B1857" i="5"/>
  <c r="G1857" i="5"/>
  <c r="G1858" i="5"/>
  <c r="G1862" i="5"/>
  <c r="B1863" i="5"/>
  <c r="G1863" i="5"/>
  <c r="G1864" i="5"/>
  <c r="G1868" i="5"/>
  <c r="B1869" i="5"/>
  <c r="G1869" i="5"/>
  <c r="G1870" i="5"/>
  <c r="G1874" i="5"/>
  <c r="B1875" i="5"/>
  <c r="G1875" i="5"/>
  <c r="G1876" i="5"/>
  <c r="G1880" i="5"/>
  <c r="B1881" i="5"/>
  <c r="G1881" i="5"/>
  <c r="G1882" i="5"/>
  <c r="G1886" i="5"/>
  <c r="B1887" i="5"/>
  <c r="G1887" i="5"/>
  <c r="G1888" i="5"/>
  <c r="G1892" i="5"/>
  <c r="B1893" i="5"/>
  <c r="G1893" i="5"/>
  <c r="G1894" i="5"/>
  <c r="G1898" i="5"/>
  <c r="B1899" i="5"/>
  <c r="G1899" i="5"/>
  <c r="G1900" i="5"/>
  <c r="G1904" i="5"/>
  <c r="B1905" i="5"/>
  <c r="G1905" i="5"/>
  <c r="G1906" i="5"/>
  <c r="G1909" i="5"/>
  <c r="B1910" i="5"/>
  <c r="G1910" i="5"/>
  <c r="G1911" i="5"/>
  <c r="G1914" i="5"/>
  <c r="B1915" i="5"/>
  <c r="G1915" i="5"/>
  <c r="G1916" i="5"/>
  <c r="G1919" i="5"/>
  <c r="B1920" i="5"/>
  <c r="G1920" i="5"/>
  <c r="G1921" i="5"/>
  <c r="G1925" i="5"/>
  <c r="B1926" i="5"/>
  <c r="G1926" i="5"/>
  <c r="G1927" i="5"/>
  <c r="G1930" i="5"/>
  <c r="B1931" i="5"/>
  <c r="G1931" i="5"/>
  <c r="G1932" i="5"/>
  <c r="G1935" i="5"/>
  <c r="B1936" i="5"/>
  <c r="G1936" i="5"/>
  <c r="G1937" i="5"/>
  <c r="G1942" i="5"/>
  <c r="B1943" i="5"/>
  <c r="G1943" i="5"/>
  <c r="G1944" i="5"/>
  <c r="G1948" i="5"/>
  <c r="B1949" i="5"/>
  <c r="G1949" i="5"/>
  <c r="G1950" i="5"/>
  <c r="G1954" i="5"/>
  <c r="B1955" i="5"/>
  <c r="G1955" i="5"/>
  <c r="G1956" i="5"/>
  <c r="G1961" i="5"/>
  <c r="B1962" i="5"/>
  <c r="G1963" i="5"/>
  <c r="G1968" i="5"/>
  <c r="B1969" i="5"/>
  <c r="G1970" i="5"/>
  <c r="G1976" i="5"/>
  <c r="B1977" i="5"/>
  <c r="G1977" i="5"/>
  <c r="G1978" i="5"/>
  <c r="G1984" i="5"/>
  <c r="B1985" i="5"/>
  <c r="G1985" i="5"/>
  <c r="G1986" i="5"/>
  <c r="G1991" i="5"/>
  <c r="B1992" i="5"/>
  <c r="G1992" i="5"/>
  <c r="G1993" i="5"/>
  <c r="G1998" i="5"/>
  <c r="B1999" i="5"/>
  <c r="G1999" i="5"/>
  <c r="G2000" i="5"/>
  <c r="G2005" i="5"/>
  <c r="B2006" i="5"/>
  <c r="G2006" i="5"/>
  <c r="G2007" i="5"/>
  <c r="G2012" i="5"/>
  <c r="B2013" i="5"/>
  <c r="G2013" i="5"/>
  <c r="G2014" i="5"/>
  <c r="G2018" i="5"/>
  <c r="B2019" i="5"/>
  <c r="G2019" i="5"/>
  <c r="G2020" i="5"/>
  <c r="E2022" i="5"/>
  <c r="P2022" i="5" s="1"/>
  <c r="E2023" i="5"/>
  <c r="P2023" i="5" s="1"/>
  <c r="G2024" i="5"/>
  <c r="G2025" i="5"/>
  <c r="G2026" i="5"/>
  <c r="B2027" i="5"/>
  <c r="G2027" i="5"/>
  <c r="G2028" i="5"/>
  <c r="E2030" i="5"/>
  <c r="P2030" i="5" s="1"/>
  <c r="E2031" i="5"/>
  <c r="P2031" i="5" s="1"/>
  <c r="G2032" i="5"/>
  <c r="G2033" i="5"/>
  <c r="G2034" i="5"/>
  <c r="B2035" i="5"/>
  <c r="G2036" i="5"/>
  <c r="E2038" i="5"/>
  <c r="P2038" i="5" s="1"/>
  <c r="E2039" i="5"/>
  <c r="P2039" i="5" s="1"/>
  <c r="G2040" i="5"/>
  <c r="G2041" i="5"/>
  <c r="G2042" i="5"/>
  <c r="B2043" i="5"/>
  <c r="G2043" i="5"/>
  <c r="G2044" i="5"/>
  <c r="E2046" i="5"/>
  <c r="P2046" i="5" s="1"/>
  <c r="E2047" i="5"/>
  <c r="P2047" i="5" s="1"/>
  <c r="G2048" i="5"/>
  <c r="G2049" i="5"/>
  <c r="G2050" i="5"/>
  <c r="B2051" i="5"/>
  <c r="G2051" i="5"/>
  <c r="G2052" i="5"/>
  <c r="E2054" i="5"/>
  <c r="P2054" i="5" s="1"/>
  <c r="E2055" i="5"/>
  <c r="P2055" i="5" s="1"/>
  <c r="G2056" i="5"/>
  <c r="G2057" i="5"/>
  <c r="G2058" i="5"/>
  <c r="B2059" i="5"/>
  <c r="G2059" i="5"/>
  <c r="G2060" i="5"/>
  <c r="E2062" i="5"/>
  <c r="P2062" i="5" s="1"/>
  <c r="E2063" i="5"/>
  <c r="P2063" i="5" s="1"/>
  <c r="G2064" i="5"/>
  <c r="G2065" i="5"/>
  <c r="G2066" i="5"/>
  <c r="B2067" i="5"/>
  <c r="G2068" i="5"/>
  <c r="E2070" i="5"/>
  <c r="P2070" i="5" s="1"/>
  <c r="E2071" i="5"/>
  <c r="P2071" i="5" s="1"/>
  <c r="G2072" i="5"/>
  <c r="G2073" i="5"/>
  <c r="G2074" i="5"/>
  <c r="B2075" i="5"/>
  <c r="G2075" i="5"/>
  <c r="G2076" i="5"/>
  <c r="E2078" i="5"/>
  <c r="P2078" i="5" s="1"/>
  <c r="E2079" i="5"/>
  <c r="P2079" i="5" s="1"/>
  <c r="G2080" i="5"/>
  <c r="G2081" i="5"/>
  <c r="G2082" i="5"/>
  <c r="B2083" i="5"/>
  <c r="G2083" i="5"/>
  <c r="G2084" i="5"/>
  <c r="E2086" i="5"/>
  <c r="P2086" i="5" s="1"/>
  <c r="E2087" i="5"/>
  <c r="P2087" i="5" s="1"/>
  <c r="G2088" i="5"/>
  <c r="G2089" i="5"/>
  <c r="G2090" i="5"/>
  <c r="B2091" i="5"/>
  <c r="G2091" i="5"/>
  <c r="G2092" i="5"/>
  <c r="E2094" i="5"/>
  <c r="P2094" i="5" s="1"/>
  <c r="E2095" i="5"/>
  <c r="P2095" i="5" s="1"/>
  <c r="G2096" i="5"/>
  <c r="G2097" i="5"/>
  <c r="G2098" i="5"/>
  <c r="B2099" i="5"/>
  <c r="G2100" i="5"/>
  <c r="E2102" i="5"/>
  <c r="P2102" i="5" s="1"/>
  <c r="E2103" i="5"/>
  <c r="P2103" i="5" s="1"/>
  <c r="G2104" i="5"/>
  <c r="G2105" i="5"/>
  <c r="G2106" i="5"/>
  <c r="B2107" i="5"/>
  <c r="G2107" i="5"/>
  <c r="G2108" i="5"/>
  <c r="G2112" i="5"/>
  <c r="B2113" i="5"/>
  <c r="G2113" i="5"/>
  <c r="G2114" i="5"/>
  <c r="G2118" i="5"/>
  <c r="B2119" i="5"/>
  <c r="G2119" i="5"/>
  <c r="G2120" i="5"/>
  <c r="G2124" i="5"/>
  <c r="B2125" i="5"/>
  <c r="G2125" i="5"/>
  <c r="G2126" i="5"/>
  <c r="G2130" i="5"/>
  <c r="B2131" i="5"/>
  <c r="G2131" i="5"/>
  <c r="G2132" i="5"/>
  <c r="G2136" i="5"/>
  <c r="B2137" i="5"/>
  <c r="G2137" i="5"/>
  <c r="G2138" i="5"/>
  <c r="E2140" i="5"/>
  <c r="P2140" i="5" s="1"/>
  <c r="E2141" i="5"/>
  <c r="P2141" i="5" s="1"/>
  <c r="G2142" i="5"/>
  <c r="G2143" i="5"/>
  <c r="G2144" i="5"/>
  <c r="B2145" i="5"/>
  <c r="G2145" i="5"/>
  <c r="G2146" i="5"/>
  <c r="E2148" i="5"/>
  <c r="P2148" i="5" s="1"/>
  <c r="E2149" i="5"/>
  <c r="P2149" i="5" s="1"/>
  <c r="G2150" i="5"/>
  <c r="G2151" i="5"/>
  <c r="G2152" i="5"/>
  <c r="B2153" i="5"/>
  <c r="G2153" i="5"/>
  <c r="G2154" i="5"/>
  <c r="E2156" i="5"/>
  <c r="P2156" i="5" s="1"/>
  <c r="E2157" i="5"/>
  <c r="P2157" i="5" s="1"/>
  <c r="G2158" i="5"/>
  <c r="G2159" i="5"/>
  <c r="G2160" i="5"/>
  <c r="B2161" i="5"/>
  <c r="G2161" i="5"/>
  <c r="G2162" i="5"/>
  <c r="E2164" i="5"/>
  <c r="P2164" i="5" s="1"/>
  <c r="E2165" i="5"/>
  <c r="P2165" i="5" s="1"/>
  <c r="G2166" i="5"/>
  <c r="G2167" i="5"/>
  <c r="G2168" i="5"/>
  <c r="B2169" i="5"/>
  <c r="G2169" i="5"/>
  <c r="G2170" i="5"/>
  <c r="E2172" i="5"/>
  <c r="P2172" i="5" s="1"/>
  <c r="E2173" i="5"/>
  <c r="P2173" i="5" s="1"/>
  <c r="G2174" i="5"/>
  <c r="G2175" i="5"/>
  <c r="G2176" i="5"/>
  <c r="B2177" i="5"/>
  <c r="G2177" i="5"/>
  <c r="G2178" i="5"/>
  <c r="E2180" i="5"/>
  <c r="P2180" i="5" s="1"/>
  <c r="E2181" i="5"/>
  <c r="P2181" i="5" s="1"/>
  <c r="G2182" i="5"/>
  <c r="G2183" i="5"/>
  <c r="G2184" i="5"/>
  <c r="B2185" i="5"/>
  <c r="G2186" i="5"/>
  <c r="E2188" i="5"/>
  <c r="P2188" i="5" s="1"/>
  <c r="E2189" i="5"/>
  <c r="P2189" i="5" s="1"/>
  <c r="G2190" i="5"/>
  <c r="G2191" i="5"/>
  <c r="G2192" i="5"/>
  <c r="B2193" i="5"/>
  <c r="G2193" i="5"/>
  <c r="G2194" i="5"/>
  <c r="E2196" i="5"/>
  <c r="P2196" i="5" s="1"/>
  <c r="E2197" i="5"/>
  <c r="P2197" i="5" s="1"/>
  <c r="G2198" i="5"/>
  <c r="G2199" i="5"/>
  <c r="G2200" i="5"/>
  <c r="B2201" i="5"/>
  <c r="G2201" i="5"/>
  <c r="G2202" i="5"/>
  <c r="G2205" i="5"/>
  <c r="B2206" i="5"/>
  <c r="G2206" i="5"/>
  <c r="G2207" i="5"/>
  <c r="E2209" i="5"/>
  <c r="P2209" i="5" s="1"/>
  <c r="G2212" i="5"/>
  <c r="B2213" i="5"/>
  <c r="G2213" i="5"/>
  <c r="G2214" i="5"/>
  <c r="G2219" i="5"/>
  <c r="B2220" i="5"/>
  <c r="G2220" i="5"/>
  <c r="G2221" i="5"/>
  <c r="G2225" i="5"/>
  <c r="B2226" i="5"/>
  <c r="G2226" i="5"/>
  <c r="G2227" i="5"/>
  <c r="G2231" i="5"/>
  <c r="B2232" i="5"/>
  <c r="G2233" i="5"/>
  <c r="E2237" i="5"/>
  <c r="P2237" i="5" s="1"/>
  <c r="E2238" i="5"/>
  <c r="P2238" i="5" s="1"/>
  <c r="E2240" i="5"/>
  <c r="P2240" i="5" s="1"/>
  <c r="E2242" i="5"/>
  <c r="P2242" i="5" s="1"/>
  <c r="E2241" i="5"/>
  <c r="P2241" i="5" s="1"/>
  <c r="G2245" i="5"/>
  <c r="B2246" i="5"/>
  <c r="G2246" i="5"/>
  <c r="G2247" i="5"/>
  <c r="G2251" i="5"/>
  <c r="B2252" i="5"/>
  <c r="G2252" i="5"/>
  <c r="G2253" i="5"/>
  <c r="E2255" i="5"/>
  <c r="P2255" i="5" s="1"/>
  <c r="E2256" i="5"/>
  <c r="P2256" i="5" s="1"/>
  <c r="E2258" i="5"/>
  <c r="P2258" i="5" s="1"/>
  <c r="E2257" i="5"/>
  <c r="P2257" i="5" s="1"/>
  <c r="G2261" i="5"/>
  <c r="B2262" i="5"/>
  <c r="G2262" i="5"/>
  <c r="G2263" i="5"/>
  <c r="E2265" i="5"/>
  <c r="P2265" i="5" s="1"/>
  <c r="E2266" i="5"/>
  <c r="P2266" i="5" s="1"/>
  <c r="E2268" i="5"/>
  <c r="P2268" i="5" s="1"/>
  <c r="E2267" i="5"/>
  <c r="P2267" i="5" s="1"/>
  <c r="G2271" i="5"/>
  <c r="B2272" i="5"/>
  <c r="G2272" i="5"/>
  <c r="G2273" i="5"/>
  <c r="E2275" i="5"/>
  <c r="P2275" i="5" s="1"/>
  <c r="E2276" i="5"/>
  <c r="P2276" i="5" s="1"/>
  <c r="E2278" i="5"/>
  <c r="P2278" i="5" s="1"/>
  <c r="E2277" i="5"/>
  <c r="P2277" i="5" s="1"/>
  <c r="G2281" i="5"/>
  <c r="B2282" i="5"/>
  <c r="G2282" i="5"/>
  <c r="G2283" i="5"/>
  <c r="E2285" i="5"/>
  <c r="P2285" i="5" s="1"/>
  <c r="E2286" i="5"/>
  <c r="P2286" i="5" s="1"/>
  <c r="E2288" i="5"/>
  <c r="P2288" i="5" s="1"/>
  <c r="E2287" i="5"/>
  <c r="P2287" i="5" s="1"/>
  <c r="G2291" i="5"/>
  <c r="B2292" i="5"/>
  <c r="G2292" i="5"/>
  <c r="G2293" i="5"/>
  <c r="E2295" i="5"/>
  <c r="P2295" i="5" s="1"/>
  <c r="E2296" i="5"/>
  <c r="P2296" i="5" s="1"/>
  <c r="E2298" i="5"/>
  <c r="P2298" i="5" s="1"/>
  <c r="E2297" i="5"/>
  <c r="P2297" i="5" s="1"/>
  <c r="G2301" i="5"/>
  <c r="B2302" i="5"/>
  <c r="G2302" i="5"/>
  <c r="G2303" i="5"/>
  <c r="G2308" i="5"/>
  <c r="B2309" i="5"/>
  <c r="G2309" i="5"/>
  <c r="G2310" i="5"/>
  <c r="G2315" i="5"/>
  <c r="B2316" i="5"/>
  <c r="G2316" i="5"/>
  <c r="G2317" i="5"/>
  <c r="G2321" i="5"/>
  <c r="B2322" i="5"/>
  <c r="G2322" i="5"/>
  <c r="G2323" i="5"/>
  <c r="G2327" i="5"/>
  <c r="B2328" i="5"/>
  <c r="G2328" i="5"/>
  <c r="G2329" i="5"/>
  <c r="G2333" i="5"/>
  <c r="B2334" i="5"/>
  <c r="G2334" i="5"/>
  <c r="G2335" i="5"/>
  <c r="G2339" i="5"/>
  <c r="B2340" i="5"/>
  <c r="G2340" i="5"/>
  <c r="G2341" i="5"/>
  <c r="G2344" i="5"/>
  <c r="B2345" i="5"/>
  <c r="G2345" i="5"/>
  <c r="G2346" i="5"/>
  <c r="G2349" i="5"/>
  <c r="B2350" i="5"/>
  <c r="G2350" i="5"/>
  <c r="G2351" i="5"/>
  <c r="E2352" i="5"/>
  <c r="P2352" i="5" s="1"/>
  <c r="G2354" i="5"/>
  <c r="B2355" i="5"/>
  <c r="G2355" i="5"/>
  <c r="G2356" i="5"/>
  <c r="G2360" i="5"/>
  <c r="B2361" i="5"/>
  <c r="G2361" i="5"/>
  <c r="G2362" i="5"/>
  <c r="E2366" i="5"/>
  <c r="P2366" i="5" s="1"/>
  <c r="E2367" i="5"/>
  <c r="P2367" i="5" s="1"/>
  <c r="G2368" i="5"/>
  <c r="B2369" i="5"/>
  <c r="G2369" i="5"/>
  <c r="G2370" i="5"/>
  <c r="E2371" i="5"/>
  <c r="P2371" i="5" s="1"/>
  <c r="E2372" i="5"/>
  <c r="P2372" i="5" s="1"/>
  <c r="G2375" i="5"/>
  <c r="B2376" i="5"/>
  <c r="G2376" i="5"/>
  <c r="G2377" i="5"/>
  <c r="G2381" i="5"/>
  <c r="B2382" i="5"/>
  <c r="G2383" i="5"/>
  <c r="G2388" i="5"/>
  <c r="B2389" i="5"/>
  <c r="G2389" i="5"/>
  <c r="G2390" i="5"/>
  <c r="G2394" i="5"/>
  <c r="B2395" i="5"/>
  <c r="G2396" i="5"/>
  <c r="G2398" i="5"/>
  <c r="B2399" i="5"/>
  <c r="G2399" i="5"/>
  <c r="G2400" i="5"/>
  <c r="G2402" i="5"/>
  <c r="B2403" i="5"/>
  <c r="G2403" i="5"/>
  <c r="G2404" i="5"/>
  <c r="G2406" i="5"/>
  <c r="B2407" i="5"/>
  <c r="G2407" i="5"/>
  <c r="G2408" i="5"/>
  <c r="G2410" i="5"/>
  <c r="B2411" i="5"/>
  <c r="G2412" i="5"/>
  <c r="G2414" i="5"/>
  <c r="B2415" i="5"/>
  <c r="G2415" i="5"/>
  <c r="G2416" i="5"/>
  <c r="G2418" i="5"/>
  <c r="B2419" i="5"/>
  <c r="G2420" i="5"/>
  <c r="G2422" i="5"/>
  <c r="B2423" i="5"/>
  <c r="G2423" i="5"/>
  <c r="G2424" i="5"/>
  <c r="G2426" i="5"/>
  <c r="B2427" i="5"/>
  <c r="G2427" i="5"/>
  <c r="G2428" i="5"/>
  <c r="G2430" i="5"/>
  <c r="B2431" i="5"/>
  <c r="G2432" i="5"/>
  <c r="G2434" i="5"/>
  <c r="B2435" i="5"/>
  <c r="G2435" i="5"/>
  <c r="G2436" i="5"/>
  <c r="G2438" i="5"/>
  <c r="B2439" i="5"/>
  <c r="G2440" i="5"/>
  <c r="G2442" i="5"/>
  <c r="B2443" i="5"/>
  <c r="G2443" i="5"/>
  <c r="G2444" i="5"/>
  <c r="G2446" i="5"/>
  <c r="B2447" i="5"/>
  <c r="G2447" i="5"/>
  <c r="G2448" i="5"/>
  <c r="G2450" i="5"/>
  <c r="B2451" i="5"/>
  <c r="G2451" i="5"/>
  <c r="G2452" i="5"/>
  <c r="E2453" i="5"/>
  <c r="P2453" i="5" s="1"/>
  <c r="G2454" i="5"/>
  <c r="B2455" i="5"/>
  <c r="G2455" i="5"/>
  <c r="G2456" i="5"/>
  <c r="G2458" i="5"/>
  <c r="B2459" i="5"/>
  <c r="G2459" i="5"/>
  <c r="G2460" i="5"/>
  <c r="G2462" i="5"/>
  <c r="B2463" i="5"/>
  <c r="G2463" i="5"/>
  <c r="G2464" i="5"/>
  <c r="G2466" i="5"/>
  <c r="B2467" i="5"/>
  <c r="G2467" i="5"/>
  <c r="G2468" i="5"/>
  <c r="G2470" i="5"/>
  <c r="B2471" i="5"/>
  <c r="G2471" i="5"/>
  <c r="G2472" i="5"/>
  <c r="G2474" i="5"/>
  <c r="B2475" i="5"/>
  <c r="G2475" i="5"/>
  <c r="G2476" i="5"/>
  <c r="G2478" i="5"/>
  <c r="B2479" i="5"/>
  <c r="G2479" i="5"/>
  <c r="G2480" i="5"/>
  <c r="G2482" i="5"/>
  <c r="B2483" i="5"/>
  <c r="G2483" i="5"/>
  <c r="G2484" i="5"/>
  <c r="G2486" i="5"/>
  <c r="B2487" i="5"/>
  <c r="G2487" i="5"/>
  <c r="G2488" i="5"/>
  <c r="G2490" i="5"/>
  <c r="B2491" i="5"/>
  <c r="G2491" i="5"/>
  <c r="G2492" i="5"/>
  <c r="G2494" i="5"/>
  <c r="B2495" i="5"/>
  <c r="G2495" i="5"/>
  <c r="G2496" i="5"/>
  <c r="G2498" i="5"/>
  <c r="B2499" i="5"/>
  <c r="G2499" i="5"/>
  <c r="G2500" i="5"/>
  <c r="G2502" i="5"/>
  <c r="B2503" i="5"/>
  <c r="G2503" i="5"/>
  <c r="G2504" i="5"/>
  <c r="G2506" i="5"/>
  <c r="B2507" i="5"/>
  <c r="G2507" i="5"/>
  <c r="G2508" i="5"/>
  <c r="G2510" i="5"/>
  <c r="B2511" i="5"/>
  <c r="G2511" i="5"/>
  <c r="G2512" i="5"/>
  <c r="G2514" i="5"/>
  <c r="B2515" i="5"/>
  <c r="G2515" i="5"/>
  <c r="G2516" i="5"/>
  <c r="G2518" i="5"/>
  <c r="B2519" i="5"/>
  <c r="G2519" i="5"/>
  <c r="G2520" i="5"/>
  <c r="G2522" i="5"/>
  <c r="B2523" i="5"/>
  <c r="G2523" i="5"/>
  <c r="G2524" i="5"/>
  <c r="G2526" i="5"/>
  <c r="B2527" i="5"/>
  <c r="G2527" i="5"/>
  <c r="G2528" i="5"/>
  <c r="G2530" i="5"/>
  <c r="B2531" i="5"/>
  <c r="G2531" i="5"/>
  <c r="G2532" i="5"/>
  <c r="G2534" i="5"/>
  <c r="B2535" i="5"/>
  <c r="G2535" i="5"/>
  <c r="G2536" i="5"/>
  <c r="G2538" i="5"/>
  <c r="B2539" i="5"/>
  <c r="G2539" i="5"/>
  <c r="G2540" i="5"/>
  <c r="G2542" i="5"/>
  <c r="B2543" i="5"/>
  <c r="G2543" i="5"/>
  <c r="G2544" i="5"/>
  <c r="G2546" i="5"/>
  <c r="B2547" i="5"/>
  <c r="G2547" i="5"/>
  <c r="G2548" i="5"/>
  <c r="G2550" i="5"/>
  <c r="B2551" i="5"/>
  <c r="G2551" i="5"/>
  <c r="G2552" i="5"/>
  <c r="G2554" i="5"/>
  <c r="B2555" i="5"/>
  <c r="G2555" i="5"/>
  <c r="G2556" i="5"/>
  <c r="G2558" i="5"/>
  <c r="B2559" i="5"/>
  <c r="G2559" i="5"/>
  <c r="G2560" i="5"/>
  <c r="G2562" i="5"/>
  <c r="B2563" i="5"/>
  <c r="G2563" i="5"/>
  <c r="G2564" i="5"/>
  <c r="G2566" i="5"/>
  <c r="B2567" i="5"/>
  <c r="G2567" i="5"/>
  <c r="G2568" i="5"/>
  <c r="G2570" i="5"/>
  <c r="B2571" i="5"/>
  <c r="G2571" i="5"/>
  <c r="G2572" i="5"/>
  <c r="E2574" i="5"/>
  <c r="P2574" i="5" s="1"/>
  <c r="E2575" i="5"/>
  <c r="P2575" i="5" s="1"/>
  <c r="G2576" i="5"/>
  <c r="G2577" i="5"/>
  <c r="G2578" i="5"/>
  <c r="B2579" i="5"/>
  <c r="G2579" i="5"/>
  <c r="G2580" i="5"/>
  <c r="E2582" i="5"/>
  <c r="P2582" i="5" s="1"/>
  <c r="E2583" i="5"/>
  <c r="P2583" i="5" s="1"/>
  <c r="G2584" i="5"/>
  <c r="G2585" i="5"/>
  <c r="G2586" i="5"/>
  <c r="B2587" i="5"/>
  <c r="G2587" i="5"/>
  <c r="G2588" i="5"/>
  <c r="E2590" i="5"/>
  <c r="P2590" i="5" s="1"/>
  <c r="E2591" i="5"/>
  <c r="P2591" i="5" s="1"/>
  <c r="G2592" i="5"/>
  <c r="G2593" i="5"/>
  <c r="G2594" i="5"/>
  <c r="B2595" i="5"/>
  <c r="G2596" i="5"/>
  <c r="G2598" i="5"/>
  <c r="B2599" i="5"/>
  <c r="G2599" i="5"/>
  <c r="G2600" i="5"/>
  <c r="G2602" i="5"/>
  <c r="B2603" i="5"/>
  <c r="G2603" i="5"/>
  <c r="G2604" i="5"/>
  <c r="G2606" i="5"/>
  <c r="B2607" i="5"/>
  <c r="G2607" i="5"/>
  <c r="G2608" i="5"/>
  <c r="G2610" i="5"/>
  <c r="B2611" i="5"/>
  <c r="G2611" i="5"/>
  <c r="G2612" i="5"/>
  <c r="G2614" i="5"/>
  <c r="B2615" i="5"/>
  <c r="G2615" i="5"/>
  <c r="G2616" i="5"/>
  <c r="G2618" i="5"/>
  <c r="B2619" i="5"/>
  <c r="G2619" i="5"/>
  <c r="G2620" i="5"/>
  <c r="G2622" i="5"/>
  <c r="B2623" i="5"/>
  <c r="G2623" i="5"/>
  <c r="G2624" i="5"/>
  <c r="G2626" i="5"/>
  <c r="B2627" i="5"/>
  <c r="G2627" i="5"/>
  <c r="G2628" i="5"/>
  <c r="G2630" i="5"/>
  <c r="B2631" i="5"/>
  <c r="G2632" i="5"/>
  <c r="G2634" i="5"/>
  <c r="B2635" i="5"/>
  <c r="G2635" i="5"/>
  <c r="G2636" i="5"/>
  <c r="G2638" i="5"/>
  <c r="B2639" i="5"/>
  <c r="G2639" i="5"/>
  <c r="G2640" i="5"/>
  <c r="G2642" i="5"/>
  <c r="B2643" i="5"/>
  <c r="G2643" i="5"/>
  <c r="G2644" i="5"/>
  <c r="G2646" i="5"/>
  <c r="B2647" i="5"/>
  <c r="G2647" i="5"/>
  <c r="G2648" i="5"/>
  <c r="G2650" i="5"/>
  <c r="B2651" i="5"/>
  <c r="G2651" i="5"/>
  <c r="G2652" i="5"/>
  <c r="G2654" i="5"/>
  <c r="B2655" i="5"/>
  <c r="G2655" i="5"/>
  <c r="G2656" i="5"/>
  <c r="E2657" i="5"/>
  <c r="P2657" i="5" s="1"/>
  <c r="G2658" i="5"/>
  <c r="G2659" i="5"/>
  <c r="G2660" i="5"/>
  <c r="B2661" i="5"/>
  <c r="G2661" i="5"/>
  <c r="G2662" i="5"/>
  <c r="E2663" i="5"/>
  <c r="P2663" i="5" s="1"/>
  <c r="G2664" i="5"/>
  <c r="G2665" i="5"/>
  <c r="G2666" i="5"/>
  <c r="B2667" i="5"/>
  <c r="G2667" i="5"/>
  <c r="G2668" i="5"/>
  <c r="E2669" i="5"/>
  <c r="P2669" i="5" s="1"/>
  <c r="G2670" i="5"/>
  <c r="G2671" i="5"/>
  <c r="G2672" i="5"/>
  <c r="B2673" i="5"/>
  <c r="G2673" i="5"/>
  <c r="G2674" i="5"/>
  <c r="E2675" i="5"/>
  <c r="P2675" i="5" s="1"/>
  <c r="G2676" i="5"/>
  <c r="G2677" i="5"/>
  <c r="G2678" i="5"/>
  <c r="B2679" i="5"/>
  <c r="G2679" i="5"/>
  <c r="G2680" i="5"/>
  <c r="E2681" i="5"/>
  <c r="P2681" i="5" s="1"/>
  <c r="G2682" i="5"/>
  <c r="G2683" i="5"/>
  <c r="G2684" i="5"/>
  <c r="B2685" i="5"/>
  <c r="G2685" i="5"/>
  <c r="G2686" i="5"/>
  <c r="E2687" i="5"/>
  <c r="P2687" i="5" s="1"/>
  <c r="G2688" i="5"/>
  <c r="G2689" i="5"/>
  <c r="G2690" i="5"/>
  <c r="B2691" i="5"/>
  <c r="G2691" i="5"/>
  <c r="G2692" i="5"/>
  <c r="E2693" i="5"/>
  <c r="P2693" i="5" s="1"/>
  <c r="G2694" i="5"/>
  <c r="G2695" i="5"/>
  <c r="G2696" i="5"/>
  <c r="B2697" i="5"/>
  <c r="G2697" i="5"/>
  <c r="G2698" i="5"/>
  <c r="E2699" i="5"/>
  <c r="P2699" i="5" s="1"/>
  <c r="G2700" i="5"/>
  <c r="G2701" i="5"/>
  <c r="G2702" i="5"/>
  <c r="B2703" i="5"/>
  <c r="G2703" i="5"/>
  <c r="G2704" i="5"/>
  <c r="E2705" i="5"/>
  <c r="P2705" i="5" s="1"/>
  <c r="G2706" i="5"/>
  <c r="G2707" i="5"/>
  <c r="G2708" i="5"/>
  <c r="B2709" i="5"/>
  <c r="G2709" i="5"/>
  <c r="G2710" i="5"/>
  <c r="E2711" i="5"/>
  <c r="P2711" i="5" s="1"/>
  <c r="G2712" i="5"/>
  <c r="G2713" i="5"/>
  <c r="G2714" i="5"/>
  <c r="B2715" i="5"/>
  <c r="G2715" i="5"/>
  <c r="G2716" i="5"/>
  <c r="G2718" i="5"/>
  <c r="B2719" i="5"/>
  <c r="G2720" i="5"/>
  <c r="G2722" i="5"/>
  <c r="B2723" i="5"/>
  <c r="G2723" i="5"/>
  <c r="G2724" i="5"/>
  <c r="G2726" i="5"/>
  <c r="B2727" i="5"/>
  <c r="G2728" i="5"/>
  <c r="G2730" i="5"/>
  <c r="B2731" i="5"/>
  <c r="G2731" i="5"/>
  <c r="G2732" i="5"/>
  <c r="G2734" i="5"/>
  <c r="B2735" i="5"/>
  <c r="G2735" i="5"/>
  <c r="G2736" i="5"/>
  <c r="G2738" i="5"/>
  <c r="B2739" i="5"/>
  <c r="G2739" i="5"/>
  <c r="G2740" i="5"/>
  <c r="G2742" i="5"/>
  <c r="B2743" i="5"/>
  <c r="G2743" i="5"/>
  <c r="G2744" i="5"/>
  <c r="G2746" i="5"/>
  <c r="B2747" i="5"/>
  <c r="G2747" i="5"/>
  <c r="G2748" i="5"/>
  <c r="G2750" i="5"/>
  <c r="B2751" i="5"/>
  <c r="G2751" i="5"/>
  <c r="G2752" i="5"/>
  <c r="G2754" i="5"/>
  <c r="B2755" i="5"/>
  <c r="G2755" i="5"/>
  <c r="G2756" i="5"/>
  <c r="G2758" i="5"/>
  <c r="B2759" i="5"/>
  <c r="G2759" i="5"/>
  <c r="G2760" i="5"/>
  <c r="G2762" i="5"/>
  <c r="B2763" i="5"/>
  <c r="G2763" i="5"/>
  <c r="G2764" i="5"/>
  <c r="G2766" i="5"/>
  <c r="B2767" i="5"/>
  <c r="G2767" i="5"/>
  <c r="G2768" i="5"/>
  <c r="G2770" i="5"/>
  <c r="B2771" i="5"/>
  <c r="G2771" i="5"/>
  <c r="G2772" i="5"/>
  <c r="G2775" i="5"/>
  <c r="B2776" i="5"/>
  <c r="G2776" i="5"/>
  <c r="G2777" i="5"/>
  <c r="G2785" i="5"/>
  <c r="B2786" i="5"/>
  <c r="G2786" i="5"/>
  <c r="G2787" i="5"/>
  <c r="G2791" i="5"/>
  <c r="B2792" i="5"/>
  <c r="G2792" i="5"/>
  <c r="G2793" i="5"/>
  <c r="G2796" i="5"/>
  <c r="B2797" i="5"/>
  <c r="G2797" i="5"/>
  <c r="G2798" i="5"/>
  <c r="G2801" i="5"/>
  <c r="B2802" i="5"/>
  <c r="G2802" i="5"/>
  <c r="G2803" i="5"/>
  <c r="G2811" i="5"/>
  <c r="B2812" i="5"/>
  <c r="G2812" i="5"/>
  <c r="G2813" i="5"/>
  <c r="G2816" i="5"/>
  <c r="B2817" i="5"/>
  <c r="G2817" i="5"/>
  <c r="G2818" i="5"/>
  <c r="G2821" i="5"/>
  <c r="B2822" i="5"/>
  <c r="G2822" i="5"/>
  <c r="G2823" i="5"/>
  <c r="G2826" i="5"/>
  <c r="B2827" i="5"/>
  <c r="G2827" i="5"/>
  <c r="G2828" i="5"/>
  <c r="G2831" i="5"/>
  <c r="G2832" i="5"/>
  <c r="G2833" i="5"/>
  <c r="B2834" i="5"/>
  <c r="G2834" i="5"/>
  <c r="G2835" i="5"/>
  <c r="G2838" i="5"/>
  <c r="B2839" i="5"/>
  <c r="G2839" i="5"/>
  <c r="G2840" i="5"/>
  <c r="G2843" i="5"/>
  <c r="B2844" i="5"/>
  <c r="G2844" i="5"/>
  <c r="G2845" i="5"/>
  <c r="G2848" i="5"/>
  <c r="B2849" i="5"/>
  <c r="G2849" i="5"/>
  <c r="G2850" i="5"/>
  <c r="G2853" i="5"/>
  <c r="B2854" i="5"/>
  <c r="G2854" i="5"/>
  <c r="G2855" i="5"/>
  <c r="G2858" i="5"/>
  <c r="B2859" i="5"/>
  <c r="G2859" i="5"/>
  <c r="G2860" i="5"/>
  <c r="G2863" i="5"/>
  <c r="B2864" i="5"/>
  <c r="G2864" i="5"/>
  <c r="G2865" i="5"/>
  <c r="G2868" i="5"/>
  <c r="B2869" i="5"/>
  <c r="G2869" i="5"/>
  <c r="G2870" i="5"/>
  <c r="G2873" i="5"/>
  <c r="B2874" i="5"/>
  <c r="G2874" i="5"/>
  <c r="G2875" i="5"/>
  <c r="G2880" i="5"/>
  <c r="B2881" i="5"/>
  <c r="G2881" i="5"/>
  <c r="G2882" i="5"/>
  <c r="G2885" i="5"/>
  <c r="B2886" i="5"/>
  <c r="G2886" i="5"/>
  <c r="G2887" i="5"/>
  <c r="G2890" i="5"/>
  <c r="B2891" i="5"/>
  <c r="G2891" i="5"/>
  <c r="G2892" i="5"/>
  <c r="G2895" i="5"/>
  <c r="B2896" i="5"/>
  <c r="G2896" i="5"/>
  <c r="G2897" i="5"/>
  <c r="G2900" i="5"/>
  <c r="G2901" i="5"/>
  <c r="G2902" i="5"/>
  <c r="G2903" i="5"/>
  <c r="B2904" i="5"/>
  <c r="G2904" i="5"/>
  <c r="G2905" i="5"/>
  <c r="G2908" i="5"/>
  <c r="G2909" i="5"/>
  <c r="G2910" i="5"/>
  <c r="G2911" i="5"/>
  <c r="B2912" i="5"/>
  <c r="G2912" i="5"/>
  <c r="G2913" i="5"/>
  <c r="G2916" i="5"/>
  <c r="G2917" i="5"/>
  <c r="G2918" i="5"/>
  <c r="G2919" i="5"/>
  <c r="B2920" i="5"/>
  <c r="G2920" i="5"/>
  <c r="G2921" i="5"/>
  <c r="G2924" i="5"/>
  <c r="G2925" i="5"/>
  <c r="G2926" i="5"/>
  <c r="G2927" i="5"/>
  <c r="B2928" i="5"/>
  <c r="G2928" i="5"/>
  <c r="G2929" i="5"/>
  <c r="G2932" i="5"/>
  <c r="G2933" i="5"/>
  <c r="G2934" i="5"/>
  <c r="G2935" i="5"/>
  <c r="B2936" i="5"/>
  <c r="G2936" i="5"/>
  <c r="G2937" i="5"/>
  <c r="G2940" i="5"/>
  <c r="B2941" i="5"/>
  <c r="G2941" i="5"/>
  <c r="G2942" i="5"/>
  <c r="G2945" i="5"/>
  <c r="B2946" i="5"/>
  <c r="G2946" i="5"/>
  <c r="G2947" i="5"/>
  <c r="G2950" i="5"/>
  <c r="B2951" i="5"/>
  <c r="G2951" i="5"/>
  <c r="G2952" i="5"/>
  <c r="G2955" i="5"/>
  <c r="B2956" i="5"/>
  <c r="G2956" i="5"/>
  <c r="G2957" i="5"/>
  <c r="G2960" i="5"/>
  <c r="B2961" i="5"/>
  <c r="G2961" i="5"/>
  <c r="G2962" i="5"/>
  <c r="G2965" i="5"/>
  <c r="B2966" i="5"/>
  <c r="G2966" i="5"/>
  <c r="G2967" i="5"/>
  <c r="G2970" i="5"/>
  <c r="B2971" i="5"/>
  <c r="G2971" i="5"/>
  <c r="G2972" i="5"/>
  <c r="G2975" i="5"/>
  <c r="B2976" i="5"/>
  <c r="G2976" i="5"/>
  <c r="G2977" i="5"/>
  <c r="G2980" i="5"/>
  <c r="B2981" i="5"/>
  <c r="G2981" i="5"/>
  <c r="G2982" i="5"/>
  <c r="G2985" i="5"/>
  <c r="B2986" i="5"/>
  <c r="G2986" i="5"/>
  <c r="G2987" i="5"/>
  <c r="G2995" i="5"/>
  <c r="B2996" i="5"/>
  <c r="G2996" i="5"/>
  <c r="G2997" i="5"/>
  <c r="G3000" i="5"/>
  <c r="B3001" i="5"/>
  <c r="G3001" i="5"/>
  <c r="G3002" i="5"/>
  <c r="G3005" i="5"/>
  <c r="B3006" i="5"/>
  <c r="G3006" i="5"/>
  <c r="G3007" i="5"/>
  <c r="G3010" i="5"/>
  <c r="B3011" i="5"/>
  <c r="G3011" i="5"/>
  <c r="G3012" i="5"/>
  <c r="G3015" i="5"/>
  <c r="B3016" i="5"/>
  <c r="G3016" i="5"/>
  <c r="G3017" i="5"/>
  <c r="G3020" i="5"/>
  <c r="B3021" i="5"/>
  <c r="G3021" i="5"/>
  <c r="G3022" i="5"/>
  <c r="G3025" i="5"/>
  <c r="B3026" i="5"/>
  <c r="G3026" i="5"/>
  <c r="G3027" i="5"/>
  <c r="G3030" i="5"/>
  <c r="B3031" i="5"/>
  <c r="G3031" i="5"/>
  <c r="G3032" i="5"/>
  <c r="G3035" i="5"/>
  <c r="B3036" i="5"/>
  <c r="G3036" i="5"/>
  <c r="G3037" i="5"/>
  <c r="G3040" i="5"/>
  <c r="B3041" i="5"/>
  <c r="G3041" i="5"/>
  <c r="G3042" i="5"/>
  <c r="G3045" i="5"/>
  <c r="G3046" i="5"/>
  <c r="G3047" i="5"/>
  <c r="G3048" i="5"/>
  <c r="B3049" i="5"/>
  <c r="G3049" i="5"/>
  <c r="G3050" i="5"/>
  <c r="G3053" i="5"/>
  <c r="B3054" i="5"/>
  <c r="G3054" i="5"/>
  <c r="G3055" i="5"/>
  <c r="G3058" i="5"/>
  <c r="G3059" i="5"/>
  <c r="G3060" i="5"/>
  <c r="G3061" i="5"/>
  <c r="B3062" i="5"/>
  <c r="G3062" i="5"/>
  <c r="G3063" i="5"/>
  <c r="G3065" i="5"/>
  <c r="B3066" i="5"/>
  <c r="G3066" i="5"/>
  <c r="G3067" i="5"/>
  <c r="G3073" i="5"/>
  <c r="B3074" i="5"/>
  <c r="G3074" i="5"/>
  <c r="G3075" i="5"/>
  <c r="G3078" i="5"/>
  <c r="B3079" i="5"/>
  <c r="G3079" i="5"/>
  <c r="G3080" i="5"/>
  <c r="G3086" i="5"/>
  <c r="B3087" i="5"/>
  <c r="G3087" i="5"/>
  <c r="G3088" i="5"/>
  <c r="G3091" i="5"/>
  <c r="B3092" i="5"/>
  <c r="G3092" i="5"/>
  <c r="G3093" i="5"/>
  <c r="G3096" i="5"/>
  <c r="B3097" i="5"/>
  <c r="G3097" i="5"/>
  <c r="G3098" i="5"/>
  <c r="G3101" i="5"/>
  <c r="B3102" i="5"/>
  <c r="G3102" i="5"/>
  <c r="G3103" i="5"/>
  <c r="G3106" i="5"/>
  <c r="B3107" i="5"/>
  <c r="G3107" i="5"/>
  <c r="G3108" i="5"/>
  <c r="G3111" i="5"/>
  <c r="B3112" i="5"/>
  <c r="G3112" i="5"/>
  <c r="G3113" i="5"/>
  <c r="G3116" i="5"/>
  <c r="B3117" i="5"/>
  <c r="G3117" i="5"/>
  <c r="G3118" i="5"/>
  <c r="G3121" i="5"/>
  <c r="B3122" i="5"/>
  <c r="G3122" i="5"/>
  <c r="G3123" i="5"/>
  <c r="G3126" i="5"/>
  <c r="B3127" i="5"/>
  <c r="G3127" i="5"/>
  <c r="G3128" i="5"/>
  <c r="G3131" i="5"/>
  <c r="B3132" i="5"/>
  <c r="G3133" i="5"/>
  <c r="G3135" i="5"/>
  <c r="G3136" i="5"/>
  <c r="G3137" i="5"/>
  <c r="B3138" i="5"/>
  <c r="G3138" i="5"/>
  <c r="G3139" i="5"/>
  <c r="G3143" i="5"/>
  <c r="B3144" i="5"/>
  <c r="G3144" i="5"/>
  <c r="G3145" i="5"/>
  <c r="G3149" i="5"/>
  <c r="B3150" i="5"/>
  <c r="G3150" i="5"/>
  <c r="G3151" i="5"/>
  <c r="G3155" i="5"/>
  <c r="B3156" i="5"/>
  <c r="G3156" i="5"/>
  <c r="G3157" i="5"/>
  <c r="G3160" i="5"/>
  <c r="B3161" i="5"/>
  <c r="G3161" i="5"/>
  <c r="G3162" i="5"/>
  <c r="G3166" i="5"/>
  <c r="B3167" i="5"/>
  <c r="G3167" i="5"/>
  <c r="G3168" i="5"/>
  <c r="G3171" i="5"/>
  <c r="B3172" i="5"/>
  <c r="G3172" i="5"/>
  <c r="G3173" i="5"/>
  <c r="G3180" i="5"/>
  <c r="B3181" i="5"/>
  <c r="G3181" i="5"/>
  <c r="G3182" i="5"/>
  <c r="G3188" i="5"/>
  <c r="B3189" i="5"/>
  <c r="G3189" i="5"/>
  <c r="G3190" i="5"/>
  <c r="G3196" i="5"/>
  <c r="B3197" i="5"/>
  <c r="G3197" i="5"/>
  <c r="G3198" i="5"/>
  <c r="G3201" i="5"/>
  <c r="B3202" i="5"/>
  <c r="G3203" i="5"/>
  <c r="G3205" i="5"/>
  <c r="B3206" i="5"/>
  <c r="G3206" i="5"/>
  <c r="G3207" i="5"/>
  <c r="G3212" i="5"/>
  <c r="B3213" i="5"/>
  <c r="G3213" i="5"/>
  <c r="G3214" i="5"/>
  <c r="E3221" i="5"/>
  <c r="P3221" i="5" s="1"/>
  <c r="E3222" i="5"/>
  <c r="P3222" i="5" s="1"/>
  <c r="G3223" i="5"/>
  <c r="G3224" i="5"/>
  <c r="G3225" i="5"/>
  <c r="B3226" i="5"/>
  <c r="G3226" i="5"/>
  <c r="G3227" i="5"/>
  <c r="G3231" i="5"/>
  <c r="B3232" i="5"/>
  <c r="G3232" i="5"/>
  <c r="G3233" i="5"/>
  <c r="G3237" i="5"/>
  <c r="B3238" i="5"/>
  <c r="G3238" i="5"/>
  <c r="G3239" i="5"/>
  <c r="G3243" i="5"/>
  <c r="B3244" i="5"/>
  <c r="G3244" i="5"/>
  <c r="G3245" i="5"/>
  <c r="G3253" i="5"/>
  <c r="B3254" i="5"/>
  <c r="G3254" i="5"/>
  <c r="G3255" i="5"/>
  <c r="G3258" i="5"/>
  <c r="B3259" i="5"/>
  <c r="G3259" i="5"/>
  <c r="G3260" i="5"/>
  <c r="G3265" i="5"/>
  <c r="B3266" i="5"/>
  <c r="G3267" i="5"/>
  <c r="G3272" i="5"/>
  <c r="B3273" i="5"/>
  <c r="G3273" i="5"/>
  <c r="G3274" i="5"/>
  <c r="G3279" i="5"/>
  <c r="B3280" i="5"/>
  <c r="G3280" i="5"/>
  <c r="G3281" i="5"/>
  <c r="G3286" i="5"/>
  <c r="B3287" i="5"/>
  <c r="G3287" i="5"/>
  <c r="G3288" i="5"/>
  <c r="G3293" i="5"/>
  <c r="B3294" i="5"/>
  <c r="G3294" i="5"/>
  <c r="G3295" i="5"/>
  <c r="G3300" i="5"/>
  <c r="B3301" i="5"/>
  <c r="G3301" i="5"/>
  <c r="G3302" i="5"/>
  <c r="G3307" i="5"/>
  <c r="B3308" i="5"/>
  <c r="G3308" i="5"/>
  <c r="G3309" i="5"/>
  <c r="G3314" i="5"/>
  <c r="B3315" i="5"/>
  <c r="G3315" i="5"/>
  <c r="G3316" i="5"/>
  <c r="G3321" i="5"/>
  <c r="B3322" i="5"/>
  <c r="G3322" i="5"/>
  <c r="G3323" i="5"/>
  <c r="G3328" i="5"/>
  <c r="B3329" i="5"/>
  <c r="G3329" i="5"/>
  <c r="G3330" i="5"/>
  <c r="G3334" i="5"/>
  <c r="B3335" i="5"/>
  <c r="G3335" i="5"/>
  <c r="G3336" i="5"/>
  <c r="G3340" i="5"/>
  <c r="B3341" i="5"/>
  <c r="G3342" i="5"/>
  <c r="E3344" i="5"/>
  <c r="P3344" i="5" s="1"/>
  <c r="G3347" i="5"/>
  <c r="G3348" i="5"/>
  <c r="G3349" i="5"/>
  <c r="B3350" i="5"/>
  <c r="G3350" i="5"/>
  <c r="G3351" i="5"/>
  <c r="G3354" i="5"/>
  <c r="B3355" i="5"/>
  <c r="G3355" i="5"/>
  <c r="G3356" i="5"/>
  <c r="G3361" i="5"/>
  <c r="B3362" i="5"/>
  <c r="G3362" i="5"/>
  <c r="G3363" i="5"/>
  <c r="G3368" i="5"/>
  <c r="B3369" i="5"/>
  <c r="G3369" i="5"/>
  <c r="G3370" i="5"/>
  <c r="D434" i="6"/>
  <c r="O434" i="6" s="1"/>
  <c r="D435" i="6"/>
  <c r="O435" i="6" s="1"/>
  <c r="G3375" i="5"/>
  <c r="B3376" i="5"/>
  <c r="G3377" i="5"/>
  <c r="G3379" i="5"/>
  <c r="B3380" i="5"/>
  <c r="G3381" i="5"/>
  <c r="G3383" i="5"/>
  <c r="B3384" i="5"/>
  <c r="G3384" i="5"/>
  <c r="G3385" i="5"/>
  <c r="G3388" i="5"/>
  <c r="B3389" i="5"/>
  <c r="G3389" i="5"/>
  <c r="G3390" i="5"/>
  <c r="G3392" i="5"/>
  <c r="B3393" i="5"/>
  <c r="G3393" i="5"/>
  <c r="G3394" i="5"/>
  <c r="G3396" i="5"/>
  <c r="B3397" i="5"/>
  <c r="G3397" i="5"/>
  <c r="G3398" i="5"/>
  <c r="G3403" i="5"/>
  <c r="B3404" i="5"/>
  <c r="G3404" i="5"/>
  <c r="G3405" i="5"/>
  <c r="D261" i="6"/>
  <c r="O261" i="6" s="1"/>
  <c r="D262" i="6"/>
  <c r="O262" i="6" s="1"/>
  <c r="G3410" i="5"/>
  <c r="B3411" i="5"/>
  <c r="G3411" i="5"/>
  <c r="G3412" i="5"/>
  <c r="G3417" i="5"/>
  <c r="B3418" i="5"/>
  <c r="G3418" i="5"/>
  <c r="G3419" i="5"/>
  <c r="G3422" i="5"/>
  <c r="B3423" i="5"/>
  <c r="G3423" i="5"/>
  <c r="G3424" i="5"/>
  <c r="G3427" i="5"/>
  <c r="B3428" i="5"/>
  <c r="G3428" i="5"/>
  <c r="G3429" i="5"/>
  <c r="G3432" i="5"/>
  <c r="B3433" i="5"/>
  <c r="G3433" i="5"/>
  <c r="G3434" i="5"/>
  <c r="G3436" i="5"/>
  <c r="B3437" i="5"/>
  <c r="G3437" i="5"/>
  <c r="G3438" i="5"/>
  <c r="G3440" i="5"/>
  <c r="B3441" i="5"/>
  <c r="G3441" i="5"/>
  <c r="G3442" i="5"/>
  <c r="E3443" i="5"/>
  <c r="P3443" i="5" s="1"/>
  <c r="E3444" i="5"/>
  <c r="P3444" i="5" s="1"/>
  <c r="E3445" i="5"/>
  <c r="P3445" i="5" s="1"/>
  <c r="E3446" i="5"/>
  <c r="P3446" i="5" s="1"/>
  <c r="D251" i="6"/>
  <c r="O251" i="6" s="1"/>
  <c r="D252" i="6"/>
  <c r="O252" i="6" s="1"/>
  <c r="E3447" i="5"/>
  <c r="P3447" i="5" s="1"/>
  <c r="G3448" i="5"/>
  <c r="G3449" i="5"/>
  <c r="G3450" i="5"/>
  <c r="B3451" i="5"/>
  <c r="G3451" i="5"/>
  <c r="G3452" i="5"/>
  <c r="E3453" i="5"/>
  <c r="P3453" i="5" s="1"/>
  <c r="E3454" i="5"/>
  <c r="P3454" i="5" s="1"/>
  <c r="E3455" i="5"/>
  <c r="P3455" i="5" s="1"/>
  <c r="E3456" i="5"/>
  <c r="P3456" i="5" s="1"/>
  <c r="E3458" i="5"/>
  <c r="P3458" i="5" s="1"/>
  <c r="G3459" i="5"/>
  <c r="G3460" i="5"/>
  <c r="G3461" i="5"/>
  <c r="B3462" i="5"/>
  <c r="G3462" i="5"/>
  <c r="G3463" i="5"/>
  <c r="E3464" i="5"/>
  <c r="P3464" i="5" s="1"/>
  <c r="E3465" i="5"/>
  <c r="P3465" i="5" s="1"/>
  <c r="E3466" i="5"/>
  <c r="P3466" i="5" s="1"/>
  <c r="E3467" i="5"/>
  <c r="P3467" i="5" s="1"/>
  <c r="E3469" i="5"/>
  <c r="P3469" i="5" s="1"/>
  <c r="G3470" i="5"/>
  <c r="G3471" i="5"/>
  <c r="G3472" i="5"/>
  <c r="B3473" i="5"/>
  <c r="G3473" i="5"/>
  <c r="G3474" i="5"/>
  <c r="G3480" i="5"/>
  <c r="B3481" i="5"/>
  <c r="G3481" i="5"/>
  <c r="G3482" i="5"/>
  <c r="E3484" i="5"/>
  <c r="P3484" i="5" s="1"/>
  <c r="E3486" i="5"/>
  <c r="P3486" i="5" s="1"/>
  <c r="E3489" i="5"/>
  <c r="P3489" i="5" s="1"/>
  <c r="E3490" i="5"/>
  <c r="P3490" i="5" s="1"/>
  <c r="E3491" i="5"/>
  <c r="P3491" i="5" s="1"/>
  <c r="E3492" i="5"/>
  <c r="P3492" i="5" s="1"/>
  <c r="G3494" i="5"/>
  <c r="G3495" i="5"/>
  <c r="G3496" i="5"/>
  <c r="G3497" i="5"/>
  <c r="B3498" i="5"/>
  <c r="G3498" i="5"/>
  <c r="G3499" i="5"/>
  <c r="G3505" i="5"/>
  <c r="B3506" i="5"/>
  <c r="G3506" i="5"/>
  <c r="G3507" i="5"/>
  <c r="E3509" i="5"/>
  <c r="P3509" i="5" s="1"/>
  <c r="E3511" i="5"/>
  <c r="P3511" i="5" s="1"/>
  <c r="E3514" i="5"/>
  <c r="P3514" i="5" s="1"/>
  <c r="E3515" i="5"/>
  <c r="P3515" i="5" s="1"/>
  <c r="E3516" i="5"/>
  <c r="P3516" i="5" s="1"/>
  <c r="E3517" i="5"/>
  <c r="P3517" i="5" s="1"/>
  <c r="G3519" i="5"/>
  <c r="G3520" i="5"/>
  <c r="G3521" i="5"/>
  <c r="G3522" i="5"/>
  <c r="B3523" i="5"/>
  <c r="G3523" i="5"/>
  <c r="G3524" i="5"/>
  <c r="E3528" i="5"/>
  <c r="P3528" i="5" s="1"/>
  <c r="E3529" i="5"/>
  <c r="P3529" i="5" s="1"/>
  <c r="G3530" i="5"/>
  <c r="G3531" i="5"/>
  <c r="G3532" i="5"/>
  <c r="B3533" i="5"/>
  <c r="G3533" i="5"/>
  <c r="G3534" i="5"/>
  <c r="E3537" i="5"/>
  <c r="P3537" i="5" s="1"/>
  <c r="E3538" i="5"/>
  <c r="P3538" i="5" s="1"/>
  <c r="G3539" i="5"/>
  <c r="G3540" i="5"/>
  <c r="G3541" i="5"/>
  <c r="B3542" i="5"/>
  <c r="G3542" i="5"/>
  <c r="G3543" i="5"/>
  <c r="G3548" i="5"/>
  <c r="B3549" i="5"/>
  <c r="G3549" i="5"/>
  <c r="G3550" i="5"/>
  <c r="E3551" i="5"/>
  <c r="P3551" i="5" s="1"/>
  <c r="E3553" i="5"/>
  <c r="P3553" i="5" s="1"/>
  <c r="E3556" i="5"/>
  <c r="P3556" i="5" s="1"/>
  <c r="E3557" i="5"/>
  <c r="P3557" i="5" s="1"/>
  <c r="E3558" i="5"/>
  <c r="P3558" i="5" s="1"/>
  <c r="E3559" i="5"/>
  <c r="P3559" i="5" s="1"/>
  <c r="G3561" i="5"/>
  <c r="G3562" i="5"/>
  <c r="G3563" i="5"/>
  <c r="G3564" i="5"/>
  <c r="B3565" i="5"/>
  <c r="G3565" i="5"/>
  <c r="G3566" i="5"/>
  <c r="G3570" i="5"/>
  <c r="B3571" i="5"/>
  <c r="G3571" i="5"/>
  <c r="G3572" i="5"/>
  <c r="G3576" i="5"/>
  <c r="B3577" i="5"/>
  <c r="G3577" i="5"/>
  <c r="G3578" i="5"/>
  <c r="E3580" i="5"/>
  <c r="P3580" i="5" s="1"/>
  <c r="E3581" i="5"/>
  <c r="P3581" i="5" s="1"/>
  <c r="E3582" i="5"/>
  <c r="P3582" i="5" s="1"/>
  <c r="E3583" i="5"/>
  <c r="P3583" i="5" s="1"/>
  <c r="G3584" i="5"/>
  <c r="B3585" i="5"/>
  <c r="G3585" i="5"/>
  <c r="G3586" i="5"/>
  <c r="E3588" i="5"/>
  <c r="P3588" i="5" s="1"/>
  <c r="G3591" i="5"/>
  <c r="B3592" i="5"/>
  <c r="G3592" i="5"/>
  <c r="G3593" i="5"/>
  <c r="G3596" i="5"/>
  <c r="B3597" i="5"/>
  <c r="G3597" i="5"/>
  <c r="G3598" i="5"/>
  <c r="E3603" i="5"/>
  <c r="P3603" i="5" s="1"/>
  <c r="G3604" i="5"/>
  <c r="B3605" i="5"/>
  <c r="G3605" i="5"/>
  <c r="G3606" i="5"/>
  <c r="E3609" i="5"/>
  <c r="P3609" i="5" s="1"/>
  <c r="G3610" i="5"/>
  <c r="B3611" i="5"/>
  <c r="G3611" i="5"/>
  <c r="G3612" i="5"/>
  <c r="G3617" i="5"/>
  <c r="B3618" i="5"/>
  <c r="G3619" i="5"/>
  <c r="D322" i="6"/>
  <c r="O322" i="6" s="1"/>
  <c r="D323" i="6"/>
  <c r="O323" i="6" s="1"/>
  <c r="G3623" i="5"/>
  <c r="B3624" i="5"/>
  <c r="G3624" i="5"/>
  <c r="G3625" i="5"/>
  <c r="G3633" i="5"/>
  <c r="B3634" i="5"/>
  <c r="G3634" i="5"/>
  <c r="G3635" i="5"/>
  <c r="G3638" i="5"/>
  <c r="B3639" i="5"/>
  <c r="G3639" i="5"/>
  <c r="G3640" i="5"/>
  <c r="G3643" i="5"/>
  <c r="B3644" i="5"/>
  <c r="G3644" i="5"/>
  <c r="G3645" i="5"/>
  <c r="E3648" i="5"/>
  <c r="P3648" i="5" s="1"/>
  <c r="G3651" i="5"/>
  <c r="B3652" i="5"/>
  <c r="G3652" i="5"/>
  <c r="G3653" i="5"/>
  <c r="G3655" i="5"/>
  <c r="B3656" i="5"/>
  <c r="G3656" i="5"/>
  <c r="G3657" i="5"/>
  <c r="G3661" i="5"/>
  <c r="B3662" i="5"/>
  <c r="G3663" i="5"/>
  <c r="E3667" i="5"/>
  <c r="P3667" i="5" s="1"/>
  <c r="E3668" i="5"/>
  <c r="P3668" i="5" s="1"/>
  <c r="E3669" i="5"/>
  <c r="P3669" i="5" s="1"/>
  <c r="E3670" i="5"/>
  <c r="P3670" i="5" s="1"/>
  <c r="E3671" i="5"/>
  <c r="P3671" i="5" s="1"/>
  <c r="G3674" i="5"/>
  <c r="G3675" i="5"/>
  <c r="G3676" i="5"/>
  <c r="B3677" i="5"/>
  <c r="G3677" i="5"/>
  <c r="G3678" i="5"/>
  <c r="E3679" i="5"/>
  <c r="P3679" i="5" s="1"/>
  <c r="E3680" i="5"/>
  <c r="P3680" i="5" s="1"/>
  <c r="E3681" i="5"/>
  <c r="P3681" i="5" s="1"/>
  <c r="G3682" i="5"/>
  <c r="G3683" i="5"/>
  <c r="G3684" i="5"/>
  <c r="B3685" i="5"/>
  <c r="G3685" i="5"/>
  <c r="G3686" i="5"/>
  <c r="E3692" i="5"/>
  <c r="P3692" i="5" s="1"/>
  <c r="E3693" i="5"/>
  <c r="P3693" i="5" s="1"/>
  <c r="G3694" i="5"/>
  <c r="G3695" i="5"/>
  <c r="G3696" i="5"/>
  <c r="B3697" i="5"/>
  <c r="G3697" i="5"/>
  <c r="G3698" i="5"/>
  <c r="E3705" i="5"/>
  <c r="P3705" i="5" s="1"/>
  <c r="E3706" i="5"/>
  <c r="P3706" i="5" s="1"/>
  <c r="G3707" i="5"/>
  <c r="G3708" i="5"/>
  <c r="G3709" i="5"/>
  <c r="B3710" i="5"/>
  <c r="G3710" i="5"/>
  <c r="G3711" i="5"/>
  <c r="E3712" i="5"/>
  <c r="P3712" i="5" s="1"/>
  <c r="E3713" i="5"/>
  <c r="P3713" i="5" s="1"/>
  <c r="E3714" i="5"/>
  <c r="P3714" i="5" s="1"/>
  <c r="E3715" i="5"/>
  <c r="P3715" i="5" s="1"/>
  <c r="E3717" i="5"/>
  <c r="P3717" i="5" s="1"/>
  <c r="G3718" i="5"/>
  <c r="G3719" i="5"/>
  <c r="G3720" i="5"/>
  <c r="B3721" i="5"/>
  <c r="G3721" i="5"/>
  <c r="G3722" i="5"/>
  <c r="G3724" i="5"/>
  <c r="B3725" i="5"/>
  <c r="G3725" i="5"/>
  <c r="G3726" i="5"/>
  <c r="G3734" i="5"/>
  <c r="B3735" i="5"/>
  <c r="G3735" i="5"/>
  <c r="G3736" i="5"/>
  <c r="E3738" i="5"/>
  <c r="P3738" i="5" s="1"/>
  <c r="G3739" i="5"/>
  <c r="B3740" i="5"/>
  <c r="G3740" i="5"/>
  <c r="G3741" i="5"/>
  <c r="E3742" i="5"/>
  <c r="P3742" i="5" s="1"/>
  <c r="E3743" i="5"/>
  <c r="P3743" i="5" s="1"/>
  <c r="E3744" i="5"/>
  <c r="P3744" i="5" s="1"/>
  <c r="G3745" i="5"/>
  <c r="G3746" i="5"/>
  <c r="G3747" i="5"/>
  <c r="G3748" i="5"/>
  <c r="B3749" i="5"/>
  <c r="G3749" i="5"/>
  <c r="G3750" i="5"/>
  <c r="G3755" i="5"/>
  <c r="B3756" i="5"/>
  <c r="G3756" i="5"/>
  <c r="G3757" i="5"/>
  <c r="G3759" i="5"/>
  <c r="B3760" i="5"/>
  <c r="G3760" i="5"/>
  <c r="G3761" i="5"/>
  <c r="G3763" i="5"/>
  <c r="B3764" i="5"/>
  <c r="G3764" i="5"/>
  <c r="G3765" i="5"/>
  <c r="G3767" i="5"/>
  <c r="B3768" i="5"/>
  <c r="G3768" i="5"/>
  <c r="G3769" i="5"/>
  <c r="E3770" i="5"/>
  <c r="P3770" i="5" s="1"/>
  <c r="G3771" i="5"/>
  <c r="G3772" i="5"/>
  <c r="G3773" i="5"/>
  <c r="B3774" i="5"/>
  <c r="G3774" i="5"/>
  <c r="G3775" i="5"/>
  <c r="E3776" i="5"/>
  <c r="P3776" i="5" s="1"/>
  <c r="G3777" i="5"/>
  <c r="G3778" i="5"/>
  <c r="G3779" i="5"/>
  <c r="B3780" i="5"/>
  <c r="G3780" i="5"/>
  <c r="G3781" i="5"/>
  <c r="E3782" i="5"/>
  <c r="P3782" i="5" s="1"/>
  <c r="G3783" i="5"/>
  <c r="G3784" i="5"/>
  <c r="G3785" i="5"/>
  <c r="B3786" i="5"/>
  <c r="G3786" i="5"/>
  <c r="G3787" i="5"/>
  <c r="E3788" i="5"/>
  <c r="P3788" i="5" s="1"/>
  <c r="G3789" i="5"/>
  <c r="G3790" i="5"/>
  <c r="G3791" i="5"/>
  <c r="B3792" i="5"/>
  <c r="G3792" i="5"/>
  <c r="G3793" i="5"/>
  <c r="E3794" i="5"/>
  <c r="P3794" i="5" s="1"/>
  <c r="G3795" i="5"/>
  <c r="G3796" i="5"/>
  <c r="G3797" i="5"/>
  <c r="B3798" i="5"/>
  <c r="G3798" i="5"/>
  <c r="G3799" i="5"/>
  <c r="E3800" i="5"/>
  <c r="P3800" i="5" s="1"/>
  <c r="G3801" i="5"/>
  <c r="G3802" i="5"/>
  <c r="G3803" i="5"/>
  <c r="B3804" i="5"/>
  <c r="G3804" i="5"/>
  <c r="G3805" i="5"/>
  <c r="E3806" i="5"/>
  <c r="P3806" i="5" s="1"/>
  <c r="G3807" i="5"/>
  <c r="G3808" i="5"/>
  <c r="G3809" i="5"/>
  <c r="B3810" i="5"/>
  <c r="G3810" i="5"/>
  <c r="G3811" i="5"/>
  <c r="E3812" i="5"/>
  <c r="P3812" i="5" s="1"/>
  <c r="G3813" i="5"/>
  <c r="G3814" i="5"/>
  <c r="G3815" i="5"/>
  <c r="B3816" i="5"/>
  <c r="G3816" i="5"/>
  <c r="G3817" i="5"/>
  <c r="E3818" i="5"/>
  <c r="P3818" i="5" s="1"/>
  <c r="G3819" i="5"/>
  <c r="G3820" i="5"/>
  <c r="G3821" i="5"/>
  <c r="B3822" i="5"/>
  <c r="G3822" i="5"/>
  <c r="G3823" i="5"/>
  <c r="E3824" i="5"/>
  <c r="P3824" i="5" s="1"/>
  <c r="G3825" i="5"/>
  <c r="G3826" i="5"/>
  <c r="G3827" i="5"/>
  <c r="B3828" i="5"/>
  <c r="G3828" i="5"/>
  <c r="G3829" i="5"/>
  <c r="E3830" i="5"/>
  <c r="P3830" i="5" s="1"/>
  <c r="E3831" i="5"/>
  <c r="P3831" i="5" s="1"/>
  <c r="G3832" i="5"/>
  <c r="B3833" i="5"/>
  <c r="G3833" i="5"/>
  <c r="G3834" i="5"/>
  <c r="E3840" i="5"/>
  <c r="P3840" i="5" s="1"/>
  <c r="G3841" i="5"/>
  <c r="G3842" i="5"/>
  <c r="G3843" i="5"/>
  <c r="B3844" i="5"/>
  <c r="G3845" i="5"/>
  <c r="E3846" i="5"/>
  <c r="P3846" i="5" s="1"/>
  <c r="E3847" i="5"/>
  <c r="P3847" i="5" s="1"/>
  <c r="E3848" i="5"/>
  <c r="P3848" i="5" s="1"/>
  <c r="E3849" i="5"/>
  <c r="P3849" i="5" s="1"/>
  <c r="E3850" i="5"/>
  <c r="P3850" i="5" s="1"/>
  <c r="E3851" i="5"/>
  <c r="P3851" i="5" s="1"/>
  <c r="E3852" i="5"/>
  <c r="P3852" i="5" s="1"/>
  <c r="G3853" i="5"/>
  <c r="B3854" i="5"/>
  <c r="G3854" i="5"/>
  <c r="G3855" i="5"/>
  <c r="G3862" i="5"/>
  <c r="B3863" i="5"/>
  <c r="G3863" i="5"/>
  <c r="G3864" i="5"/>
  <c r="G3870" i="5"/>
  <c r="B3871" i="5"/>
  <c r="G3871" i="5"/>
  <c r="G3872" i="5"/>
  <c r="E3878" i="5"/>
  <c r="P3878" i="5" s="1"/>
  <c r="E3879" i="5"/>
  <c r="P3879" i="5" s="1"/>
  <c r="G3880" i="5"/>
  <c r="G3881" i="5"/>
  <c r="G3882" i="5"/>
  <c r="B3883" i="5"/>
  <c r="G3883" i="5"/>
  <c r="G3884" i="5"/>
  <c r="G3897" i="5"/>
  <c r="B3898" i="5"/>
  <c r="G3898" i="5"/>
  <c r="G3899" i="5"/>
  <c r="G3904" i="5"/>
  <c r="B3905" i="5"/>
  <c r="G3905" i="5"/>
  <c r="G3906" i="5"/>
  <c r="D639" i="6"/>
  <c r="O639" i="6" s="1"/>
  <c r="D640" i="6"/>
  <c r="O640" i="6" s="1"/>
  <c r="G3922" i="5"/>
  <c r="B3923" i="5"/>
  <c r="G3923" i="5"/>
  <c r="G3924" i="5"/>
  <c r="G3928" i="5"/>
  <c r="B3929" i="5"/>
  <c r="G3929" i="5"/>
  <c r="G3930" i="5"/>
  <c r="G3934" i="5"/>
  <c r="B3935" i="5"/>
  <c r="G3935" i="5"/>
  <c r="G3936" i="5"/>
  <c r="G3940" i="5"/>
  <c r="B3941" i="5"/>
  <c r="G3941" i="5"/>
  <c r="G3942" i="5"/>
  <c r="E3943" i="5"/>
  <c r="P3943" i="5" s="1"/>
  <c r="E3944" i="5"/>
  <c r="P3944" i="5" s="1"/>
  <c r="E3945" i="5"/>
  <c r="P3945" i="5" s="1"/>
  <c r="E3946" i="5"/>
  <c r="P3946" i="5" s="1"/>
  <c r="G3947" i="5"/>
  <c r="B3948" i="5"/>
  <c r="G3948" i="5"/>
  <c r="G3949" i="5"/>
  <c r="G3956" i="5"/>
  <c r="B3957" i="5"/>
  <c r="G3958" i="5"/>
  <c r="G3964" i="5"/>
  <c r="B3965" i="5"/>
  <c r="G3965" i="5"/>
  <c r="G3966" i="5"/>
  <c r="G3974" i="5"/>
  <c r="B3975" i="5"/>
  <c r="G3975" i="5"/>
  <c r="G3976" i="5"/>
  <c r="G3981" i="5"/>
  <c r="B3982" i="5"/>
  <c r="G3982" i="5"/>
  <c r="G3983" i="5"/>
  <c r="G3989" i="5"/>
  <c r="B3990" i="5"/>
  <c r="G3990" i="5"/>
  <c r="G3991" i="5"/>
  <c r="E3998" i="5"/>
  <c r="P3998" i="5" s="1"/>
  <c r="E3999" i="5"/>
  <c r="P3999" i="5" s="1"/>
  <c r="G4000" i="5"/>
  <c r="G4001" i="5"/>
  <c r="G4002" i="5"/>
  <c r="B4003" i="5"/>
  <c r="G4004" i="5"/>
  <c r="G4015" i="5"/>
  <c r="B4016" i="5"/>
  <c r="G4016" i="5"/>
  <c r="G4017" i="5"/>
  <c r="E4018" i="5"/>
  <c r="P4018" i="5" s="1"/>
  <c r="G4020" i="5"/>
  <c r="B4021" i="5"/>
  <c r="G4021" i="5"/>
  <c r="G4022" i="5"/>
  <c r="G4024" i="5"/>
  <c r="B4025" i="5"/>
  <c r="G4025" i="5"/>
  <c r="G4026" i="5"/>
  <c r="G4028" i="5"/>
  <c r="B4029" i="5"/>
  <c r="G4029" i="5"/>
  <c r="G4030" i="5"/>
  <c r="G4037" i="5"/>
  <c r="B4038" i="5"/>
  <c r="G4038" i="5"/>
  <c r="G4039" i="5"/>
  <c r="G4046" i="5"/>
  <c r="B4047" i="5"/>
  <c r="G4047" i="5"/>
  <c r="G4048" i="5"/>
  <c r="G4055" i="5"/>
  <c r="B4056" i="5"/>
  <c r="G4056" i="5"/>
  <c r="G4057" i="5"/>
  <c r="G4064" i="5"/>
  <c r="B4065" i="5"/>
  <c r="G4065" i="5"/>
  <c r="G4066" i="5"/>
  <c r="G4073" i="5"/>
  <c r="B4074" i="5"/>
  <c r="G4075" i="5"/>
  <c r="G4082" i="5"/>
  <c r="B4083" i="5"/>
  <c r="G4084" i="5"/>
  <c r="G4088" i="5"/>
  <c r="B4089" i="5"/>
  <c r="G4089" i="5"/>
  <c r="G4090" i="5"/>
  <c r="G4094" i="5"/>
  <c r="B4095" i="5"/>
  <c r="G4096" i="5"/>
  <c r="G4101" i="5"/>
  <c r="B4102" i="5"/>
  <c r="G4102" i="5"/>
  <c r="G4103" i="5"/>
  <c r="E4104" i="5"/>
  <c r="P4104" i="5" s="1"/>
  <c r="G4105" i="5"/>
  <c r="G4106" i="5"/>
  <c r="G4107" i="5"/>
  <c r="B4108" i="5"/>
  <c r="G4108" i="5"/>
  <c r="G4109" i="5"/>
  <c r="E4110" i="5"/>
  <c r="P4110" i="5" s="1"/>
  <c r="G4111" i="5"/>
  <c r="B4112" i="5"/>
  <c r="G4112" i="5"/>
  <c r="G4113" i="5"/>
  <c r="G4118" i="5"/>
  <c r="B4119" i="5"/>
  <c r="G4119" i="5"/>
  <c r="G4120" i="5"/>
  <c r="G4126" i="5"/>
  <c r="B4127" i="5"/>
  <c r="G4128" i="5"/>
  <c r="G4134" i="5"/>
  <c r="B4135" i="5"/>
  <c r="G4135" i="5"/>
  <c r="G4136" i="5"/>
  <c r="G4142" i="5"/>
  <c r="B4143" i="5"/>
  <c r="G4143" i="5"/>
  <c r="G4144" i="5"/>
  <c r="G4146" i="5"/>
  <c r="B4147" i="5"/>
  <c r="G4147" i="5"/>
  <c r="G4148" i="5"/>
  <c r="E4152" i="5"/>
  <c r="P4152" i="5" s="1"/>
  <c r="G4154" i="5"/>
  <c r="B4155" i="5"/>
  <c r="G4155" i="5"/>
  <c r="G4156" i="5"/>
  <c r="E4161" i="5"/>
  <c r="P4161" i="5" s="1"/>
  <c r="G4165" i="5"/>
  <c r="B4166" i="5"/>
  <c r="G4166" i="5"/>
  <c r="G4167" i="5"/>
  <c r="E4169" i="5"/>
  <c r="P4169" i="5" s="1"/>
  <c r="G4174" i="5"/>
  <c r="G4175" i="5"/>
  <c r="G4176" i="5"/>
  <c r="B4177" i="5"/>
  <c r="G4177" i="5"/>
  <c r="G4178" i="5"/>
  <c r="G4180" i="5"/>
  <c r="B4181" i="5"/>
  <c r="G4182" i="5"/>
  <c r="G4187" i="5"/>
  <c r="B4188" i="5"/>
  <c r="G4188" i="5"/>
  <c r="G4189" i="5"/>
  <c r="G4194" i="5"/>
  <c r="B4195" i="5"/>
  <c r="G4195" i="5"/>
  <c r="G4196" i="5"/>
  <c r="E4199" i="5"/>
  <c r="P4199" i="5" s="1"/>
  <c r="G4200" i="5"/>
  <c r="B4201" i="5"/>
  <c r="G4201" i="5"/>
  <c r="G4202" i="5"/>
  <c r="G4206" i="5"/>
  <c r="B4207" i="5"/>
  <c r="G4207" i="5"/>
  <c r="G4208" i="5"/>
  <c r="G4212" i="5"/>
  <c r="B4213" i="5"/>
  <c r="G4213" i="5"/>
  <c r="G4214" i="5"/>
  <c r="G4222" i="5"/>
  <c r="B4223" i="5"/>
  <c r="G4223" i="5"/>
  <c r="G4224" i="5"/>
  <c r="G4228" i="5"/>
  <c r="B4229" i="5"/>
  <c r="G4229" i="5"/>
  <c r="G4230" i="5"/>
  <c r="E4231" i="5"/>
  <c r="P4231" i="5" s="1"/>
  <c r="G4234" i="5"/>
  <c r="G4235" i="5"/>
  <c r="G4236" i="5"/>
  <c r="B4237" i="5"/>
  <c r="G4237" i="5"/>
  <c r="G4238" i="5"/>
  <c r="G4244" i="5"/>
  <c r="B4245" i="5"/>
  <c r="G4245" i="5"/>
  <c r="G4246" i="5"/>
  <c r="G4253" i="5"/>
  <c r="B4254" i="5"/>
  <c r="G4254" i="5"/>
  <c r="G4255" i="5"/>
  <c r="G4260" i="5"/>
  <c r="B4261" i="5"/>
  <c r="G4261" i="5"/>
  <c r="G4262" i="5"/>
  <c r="G4265" i="5"/>
  <c r="B4266" i="5"/>
  <c r="G4266" i="5"/>
  <c r="G4267" i="5"/>
  <c r="G4273" i="5"/>
  <c r="B4274" i="5"/>
  <c r="G4274" i="5"/>
  <c r="G4275" i="5"/>
  <c r="E4276" i="5"/>
  <c r="P4276" i="5" s="1"/>
  <c r="E4277" i="5"/>
  <c r="P4277" i="5" s="1"/>
  <c r="E4278" i="5"/>
  <c r="P4278" i="5" s="1"/>
  <c r="G4282" i="5"/>
  <c r="B4283" i="5"/>
  <c r="G4284" i="5"/>
  <c r="E4294" i="5"/>
  <c r="P4294" i="5" s="1"/>
  <c r="E4295" i="5"/>
  <c r="P4295" i="5" s="1"/>
  <c r="G4296" i="5"/>
  <c r="G4297" i="5"/>
  <c r="G4298" i="5"/>
  <c r="B4299" i="5"/>
  <c r="G4299" i="5"/>
  <c r="G4300" i="5"/>
  <c r="E4321" i="5"/>
  <c r="P4321" i="5" s="1"/>
  <c r="E4322" i="5"/>
  <c r="P4322" i="5" s="1"/>
  <c r="G4323" i="5"/>
  <c r="G4324" i="5"/>
  <c r="G4325" i="5"/>
  <c r="B4326" i="5"/>
  <c r="G4326" i="5"/>
  <c r="G4327" i="5"/>
  <c r="E4328" i="5"/>
  <c r="P4328" i="5" s="1"/>
  <c r="E4329" i="5"/>
  <c r="P4329" i="5" s="1"/>
  <c r="E4330" i="5"/>
  <c r="P4330" i="5" s="1"/>
  <c r="G4332" i="5"/>
  <c r="B4333" i="5"/>
  <c r="G4333" i="5"/>
  <c r="G4334" i="5"/>
  <c r="G4343" i="5"/>
  <c r="B4344" i="5"/>
  <c r="G4344" i="5"/>
  <c r="G4345" i="5"/>
  <c r="G4352" i="5"/>
  <c r="B4353" i="5"/>
  <c r="G4353" i="5"/>
  <c r="G4354" i="5"/>
  <c r="G4361" i="5"/>
  <c r="B4362" i="5"/>
  <c r="G4362" i="5"/>
  <c r="G4363" i="5"/>
  <c r="G4370" i="5"/>
  <c r="B4371" i="5"/>
  <c r="G4371" i="5"/>
  <c r="G4372" i="5"/>
  <c r="G4379" i="5"/>
  <c r="B4380" i="5"/>
  <c r="G4380" i="5"/>
  <c r="G4381" i="5"/>
  <c r="G4389" i="5"/>
  <c r="B4390" i="5"/>
  <c r="G4390" i="5"/>
  <c r="G4391" i="5"/>
  <c r="E4392" i="5"/>
  <c r="P4392" i="5" s="1"/>
  <c r="E4393" i="5"/>
  <c r="P4393" i="5" s="1"/>
  <c r="E4394" i="5"/>
  <c r="P4394" i="5" s="1"/>
  <c r="E4396" i="5"/>
  <c r="P4396" i="5" s="1"/>
  <c r="G4397" i="5"/>
  <c r="B4398" i="5"/>
  <c r="G4398" i="5"/>
  <c r="G4399" i="5"/>
  <c r="E4400" i="5"/>
  <c r="P4400" i="5" s="1"/>
  <c r="E4401" i="5"/>
  <c r="P4401" i="5" s="1"/>
  <c r="E4402" i="5"/>
  <c r="P4402" i="5" s="1"/>
  <c r="E4404" i="5"/>
  <c r="P4404" i="5" s="1"/>
  <c r="G4405" i="5"/>
  <c r="B4406" i="5"/>
  <c r="G4406" i="5"/>
  <c r="G4407" i="5"/>
  <c r="G4415" i="5"/>
  <c r="B4416" i="5"/>
  <c r="G4417" i="5"/>
  <c r="G4425" i="5"/>
  <c r="B4426" i="5"/>
  <c r="G4426" i="5"/>
  <c r="G4427" i="5"/>
  <c r="G4435" i="5"/>
  <c r="B4436" i="5"/>
  <c r="G4436" i="5"/>
  <c r="G4437" i="5"/>
  <c r="G4443" i="5"/>
  <c r="B4444" i="5"/>
  <c r="G4444" i="5"/>
  <c r="G4445" i="5"/>
  <c r="G4455" i="5"/>
  <c r="B4456" i="5"/>
  <c r="G4456" i="5"/>
  <c r="G4457" i="5"/>
  <c r="G4467" i="5"/>
  <c r="B4468" i="5"/>
  <c r="G4468" i="5"/>
  <c r="G4469" i="5"/>
  <c r="G4473" i="5"/>
  <c r="B4474" i="5"/>
  <c r="G4474" i="5"/>
  <c r="G4475" i="5"/>
  <c r="E4482" i="5"/>
  <c r="P4482" i="5" s="1"/>
  <c r="E4488" i="5"/>
  <c r="P4488" i="5" s="1"/>
  <c r="G4493" i="5"/>
  <c r="B4494" i="5"/>
  <c r="G4494" i="5"/>
  <c r="G4495" i="5"/>
  <c r="E4497" i="5"/>
  <c r="P4497" i="5" s="1"/>
  <c r="G4501" i="5"/>
  <c r="B4502" i="5"/>
  <c r="G4502" i="5"/>
  <c r="G4503" i="5"/>
  <c r="D163" i="6"/>
  <c r="O163" i="6" s="1"/>
  <c r="D164" i="6"/>
  <c r="O164" i="6" s="1"/>
  <c r="G4509" i="5"/>
  <c r="B4510" i="5"/>
  <c r="G4510" i="5"/>
  <c r="G4511" i="5"/>
  <c r="G4515" i="5"/>
  <c r="B4516" i="5"/>
  <c r="G4516" i="5"/>
  <c r="G4517" i="5"/>
  <c r="G4520" i="5"/>
  <c r="B4521" i="5"/>
  <c r="G4521" i="5"/>
  <c r="G4522" i="5"/>
  <c r="G4525" i="5"/>
  <c r="B4526" i="5"/>
  <c r="G4526" i="5"/>
  <c r="G4527" i="5"/>
  <c r="G4533" i="5"/>
  <c r="B4534" i="5"/>
  <c r="G4534" i="5"/>
  <c r="G4535" i="5"/>
  <c r="E4540" i="5"/>
  <c r="P4540" i="5" s="1"/>
  <c r="G4541" i="5"/>
  <c r="B4542" i="5"/>
  <c r="G4542" i="5"/>
  <c r="G4543" i="5"/>
  <c r="G4546" i="5"/>
  <c r="B4547" i="5"/>
  <c r="G4547" i="5"/>
  <c r="G4548" i="5"/>
  <c r="G4552" i="5"/>
  <c r="B4553" i="5"/>
  <c r="G4553" i="5"/>
  <c r="G4554" i="5"/>
  <c r="G4564" i="5"/>
  <c r="B4565" i="5"/>
  <c r="G4565" i="5"/>
  <c r="G4566" i="5"/>
  <c r="E4567" i="5"/>
  <c r="P4567" i="5" s="1"/>
  <c r="E4568" i="5"/>
  <c r="P4568" i="5" s="1"/>
  <c r="E4569" i="5"/>
  <c r="P4569" i="5" s="1"/>
  <c r="E4570" i="5"/>
  <c r="P4570" i="5" s="1"/>
  <c r="E4571" i="5"/>
  <c r="P4571" i="5" s="1"/>
  <c r="E4572" i="5"/>
  <c r="P4572" i="5" s="1"/>
  <c r="E4573" i="5"/>
  <c r="P4573" i="5" s="1"/>
  <c r="E4574" i="5"/>
  <c r="P4574" i="5" s="1"/>
  <c r="E4575" i="5"/>
  <c r="P4575" i="5" s="1"/>
  <c r="G4576" i="5"/>
  <c r="B4577" i="5"/>
  <c r="G4577" i="5"/>
  <c r="G4578" i="5"/>
  <c r="E4591" i="5"/>
  <c r="P4591" i="5" s="1"/>
  <c r="E4592" i="5"/>
  <c r="P4592" i="5" s="1"/>
  <c r="G4593" i="5"/>
  <c r="G4594" i="5"/>
  <c r="G4595" i="5"/>
  <c r="B4596" i="5"/>
  <c r="G4596" i="5"/>
  <c r="G4597" i="5"/>
  <c r="E4598" i="5"/>
  <c r="P4598" i="5" s="1"/>
  <c r="E4599" i="5"/>
  <c r="P4599" i="5" s="1"/>
  <c r="E4600" i="5"/>
  <c r="P4600" i="5" s="1"/>
  <c r="E4601" i="5"/>
  <c r="P4601" i="5" s="1"/>
  <c r="E4602" i="5"/>
  <c r="P4602" i="5" s="1"/>
  <c r="G4603" i="5"/>
  <c r="B4604" i="5"/>
  <c r="G4604" i="5"/>
  <c r="G4605" i="5"/>
  <c r="G4612" i="5"/>
  <c r="B4613" i="5"/>
  <c r="G4613" i="5"/>
  <c r="G4614" i="5"/>
  <c r="E4617" i="5"/>
  <c r="P4617" i="5" s="1"/>
  <c r="G4618" i="5"/>
  <c r="G4619" i="5"/>
  <c r="G4620" i="5"/>
  <c r="B4621" i="5"/>
  <c r="G4621" i="5"/>
  <c r="G4622" i="5"/>
  <c r="G4626" i="5"/>
  <c r="B4627" i="5"/>
  <c r="G4627" i="5"/>
  <c r="G4628" i="5"/>
  <c r="E4634" i="5"/>
  <c r="P4634" i="5" s="1"/>
  <c r="E4635" i="5"/>
  <c r="P4635" i="5" s="1"/>
  <c r="G4636" i="5"/>
  <c r="G4637" i="5"/>
  <c r="G4638" i="5"/>
  <c r="B4639" i="5"/>
  <c r="G4639" i="5"/>
  <c r="G4640" i="5"/>
  <c r="G4643" i="5"/>
  <c r="G4644" i="5"/>
  <c r="G4645" i="5"/>
  <c r="G4646" i="5"/>
  <c r="B4647" i="5"/>
  <c r="G4647" i="5"/>
  <c r="G4648" i="5"/>
  <c r="G4652" i="5"/>
  <c r="B4653" i="5"/>
  <c r="G4654" i="5"/>
  <c r="G4660" i="5"/>
  <c r="B4661" i="5"/>
  <c r="G4661" i="5"/>
  <c r="G4662" i="5"/>
  <c r="G4668" i="5"/>
  <c r="B4669" i="5"/>
  <c r="G4669" i="5"/>
  <c r="G4670" i="5"/>
  <c r="G4678" i="5"/>
  <c r="B4679" i="5"/>
  <c r="G4680" i="5"/>
  <c r="G4684" i="5"/>
  <c r="B4685" i="5"/>
  <c r="G4685" i="5"/>
  <c r="G4686" i="5"/>
  <c r="G4689" i="5"/>
  <c r="G4690" i="5"/>
  <c r="G4691" i="5"/>
  <c r="G4692" i="5"/>
  <c r="B4693" i="5"/>
  <c r="G4693" i="5"/>
  <c r="G4694" i="5"/>
  <c r="G4701" i="5"/>
  <c r="B4702" i="5"/>
  <c r="G4702" i="5"/>
  <c r="G4703" i="5"/>
  <c r="E4708" i="5"/>
  <c r="P4708" i="5" s="1"/>
  <c r="G4710" i="5"/>
  <c r="G4711" i="5"/>
  <c r="G4712" i="5"/>
  <c r="G4713" i="5"/>
  <c r="B4714" i="5"/>
  <c r="G4714" i="5"/>
  <c r="G4715" i="5"/>
  <c r="G4717" i="5"/>
  <c r="B4718" i="5"/>
  <c r="G4718" i="5"/>
  <c r="G4719" i="5"/>
  <c r="G4721" i="5"/>
  <c r="G4722" i="5"/>
  <c r="G4723" i="5"/>
  <c r="B4724" i="5"/>
  <c r="G4724" i="5"/>
  <c r="G4725" i="5"/>
  <c r="E4727" i="5"/>
  <c r="P4727" i="5" s="1"/>
  <c r="E4728" i="5"/>
  <c r="P4728" i="5" s="1"/>
  <c r="G4729" i="5"/>
  <c r="G4730" i="5"/>
  <c r="G4731" i="5"/>
  <c r="B4732" i="5"/>
  <c r="G4732" i="5"/>
  <c r="G4733" i="5"/>
  <c r="E4734" i="5"/>
  <c r="P4734" i="5" s="1"/>
  <c r="G4735" i="5"/>
  <c r="B4736" i="5"/>
  <c r="G4736" i="5"/>
  <c r="G4737" i="5"/>
  <c r="G4739" i="5"/>
  <c r="B4740" i="5"/>
  <c r="G4740" i="5"/>
  <c r="G4741" i="5"/>
  <c r="G4743" i="5"/>
  <c r="B4744" i="5"/>
  <c r="G4744" i="5"/>
  <c r="G4745" i="5"/>
  <c r="G4747" i="5"/>
  <c r="B4748" i="5"/>
  <c r="G4749" i="5"/>
  <c r="G4751" i="5"/>
  <c r="B4752" i="5"/>
  <c r="G4752" i="5"/>
  <c r="G4753" i="5"/>
  <c r="G4755" i="5"/>
  <c r="B4756" i="5"/>
  <c r="G4756" i="5"/>
  <c r="G4757" i="5"/>
  <c r="G4759" i="5"/>
  <c r="B4760" i="5"/>
  <c r="G4760" i="5"/>
  <c r="G4761" i="5"/>
  <c r="G4763" i="5"/>
  <c r="B4764" i="5"/>
  <c r="G4764" i="5"/>
  <c r="G4765" i="5"/>
  <c r="G4767" i="5"/>
  <c r="B4768" i="5"/>
  <c r="G4768" i="5"/>
  <c r="G4769" i="5"/>
  <c r="E4777" i="5"/>
  <c r="P4777" i="5" s="1"/>
  <c r="G4778" i="5"/>
  <c r="B4779" i="5"/>
  <c r="G4779" i="5"/>
  <c r="G4780" i="5"/>
  <c r="G4783" i="5"/>
  <c r="B4784" i="5"/>
  <c r="G4784" i="5"/>
  <c r="G4785" i="5"/>
  <c r="E4786" i="5"/>
  <c r="P4786" i="5" s="1"/>
  <c r="E4788" i="5"/>
  <c r="P4788" i="5" s="1"/>
  <c r="E4789" i="5"/>
  <c r="P4789" i="5" s="1"/>
  <c r="G4793" i="5"/>
  <c r="B4794" i="5"/>
  <c r="G4794" i="5"/>
  <c r="G4795" i="5"/>
  <c r="E4796" i="5"/>
  <c r="P4796" i="5" s="1"/>
  <c r="E4798" i="5"/>
  <c r="P4798" i="5" s="1"/>
  <c r="E4799" i="5"/>
  <c r="P4799" i="5" s="1"/>
  <c r="G4803" i="5"/>
  <c r="B4804" i="5"/>
  <c r="G4804" i="5"/>
  <c r="G4805" i="5"/>
  <c r="G4808" i="5"/>
  <c r="B4809" i="5"/>
  <c r="G4809" i="5"/>
  <c r="G4810" i="5"/>
  <c r="G4813" i="5"/>
  <c r="B4814" i="5"/>
  <c r="G4814" i="5"/>
  <c r="G4815" i="5"/>
  <c r="G4818" i="5"/>
  <c r="B4819" i="5"/>
  <c r="G4819" i="5"/>
  <c r="G4820" i="5"/>
  <c r="G4825" i="5"/>
  <c r="B4827" i="5"/>
  <c r="G4827" i="5"/>
  <c r="G4828" i="5"/>
  <c r="G4834" i="5"/>
  <c r="B4835" i="5"/>
  <c r="G4835" i="5"/>
  <c r="G4836" i="5"/>
  <c r="G4842" i="5"/>
  <c r="B4843" i="5"/>
  <c r="G4843" i="5"/>
  <c r="G4844" i="5"/>
  <c r="G4850" i="5"/>
  <c r="B4851" i="5"/>
  <c r="G4851" i="5"/>
  <c r="G4852" i="5"/>
  <c r="G4858" i="5"/>
  <c r="B4859" i="5"/>
  <c r="G4859" i="5"/>
  <c r="G4860" i="5"/>
  <c r="G4866" i="5"/>
  <c r="B4867" i="5"/>
  <c r="G4867" i="5"/>
  <c r="G4868" i="5"/>
  <c r="G4874" i="5"/>
  <c r="B4875" i="5"/>
  <c r="G4875" i="5"/>
  <c r="G4876" i="5"/>
  <c r="G4882" i="5"/>
  <c r="B4883" i="5"/>
  <c r="G4883" i="5"/>
  <c r="G4884" i="5"/>
  <c r="G4892" i="5"/>
  <c r="B4893" i="5"/>
  <c r="G4893" i="5"/>
  <c r="G4894" i="5"/>
  <c r="G4901" i="5"/>
  <c r="B4902" i="5"/>
  <c r="G4902" i="5"/>
  <c r="G4903" i="5"/>
  <c r="G4908" i="5"/>
  <c r="B4909" i="5"/>
  <c r="G4909" i="5"/>
  <c r="G4910" i="5"/>
  <c r="G4915" i="5"/>
  <c r="B4916" i="5"/>
  <c r="G4916" i="5"/>
  <c r="G4917" i="5"/>
  <c r="G4922" i="5"/>
  <c r="B4923" i="5"/>
  <c r="G4923" i="5"/>
  <c r="G4924" i="5"/>
  <c r="G4929" i="5"/>
  <c r="B4930" i="5"/>
  <c r="G4931" i="5"/>
  <c r="G4936" i="5"/>
  <c r="B4937" i="5"/>
  <c r="G4937" i="5"/>
  <c r="G4938" i="5"/>
  <c r="G4941" i="5"/>
  <c r="B4942" i="5"/>
  <c r="G4943" i="5"/>
  <c r="G4948" i="5"/>
  <c r="B4949" i="5"/>
  <c r="G4949" i="5"/>
  <c r="G4950" i="5"/>
  <c r="G4955" i="5"/>
  <c r="B4956" i="5"/>
  <c r="G4956" i="5"/>
  <c r="G4957" i="5"/>
  <c r="E4960" i="5"/>
  <c r="P4960" i="5" s="1"/>
  <c r="E4961" i="5"/>
  <c r="P4961" i="5" s="1"/>
  <c r="G4962" i="5"/>
  <c r="B4963" i="5"/>
  <c r="G4963" i="5"/>
  <c r="G4964" i="5"/>
  <c r="E4967" i="5"/>
  <c r="P4967" i="5" s="1"/>
  <c r="E4968" i="5"/>
  <c r="P4968" i="5" s="1"/>
  <c r="G4969" i="5"/>
  <c r="B4970" i="5"/>
  <c r="G4970" i="5"/>
  <c r="G4971" i="5"/>
  <c r="G4974" i="5"/>
  <c r="B4975" i="5"/>
  <c r="G4975" i="5"/>
  <c r="G4976" i="5"/>
  <c r="E4978" i="5"/>
  <c r="P4978" i="5" s="1"/>
  <c r="E4979" i="5"/>
  <c r="P4979" i="5" s="1"/>
  <c r="G4980" i="5"/>
  <c r="B4981" i="5"/>
  <c r="G4982" i="5"/>
  <c r="E4984" i="5"/>
  <c r="P4984" i="5" s="1"/>
  <c r="E4985" i="5"/>
  <c r="P4985" i="5" s="1"/>
  <c r="G4986" i="5"/>
  <c r="B4987" i="5"/>
  <c r="G4987" i="5"/>
  <c r="G4988" i="5"/>
  <c r="E4990" i="5"/>
  <c r="P4990" i="5" s="1"/>
  <c r="E4991" i="5"/>
  <c r="P4991" i="5" s="1"/>
  <c r="G4992" i="5"/>
  <c r="B4993" i="5"/>
  <c r="G4993" i="5"/>
  <c r="G4994" i="5"/>
  <c r="E4996" i="5"/>
  <c r="P4996" i="5" s="1"/>
  <c r="E4997" i="5"/>
  <c r="P4997" i="5" s="1"/>
  <c r="G4998" i="5"/>
  <c r="B4999" i="5"/>
  <c r="G4999" i="5"/>
  <c r="G5000" i="5"/>
  <c r="E5001" i="5"/>
  <c r="P5001" i="5" s="1"/>
  <c r="E5002" i="5"/>
  <c r="P5002" i="5" s="1"/>
  <c r="E5003" i="5"/>
  <c r="P5003" i="5" s="1"/>
  <c r="E5004" i="5"/>
  <c r="P5004" i="5" s="1"/>
  <c r="G5005" i="5"/>
  <c r="B5006" i="5"/>
  <c r="G5006" i="5"/>
  <c r="G5007" i="5"/>
  <c r="G5010" i="5"/>
  <c r="B5011" i="5"/>
  <c r="G5011" i="5"/>
  <c r="G5012" i="5"/>
  <c r="G5018" i="5"/>
  <c r="B5019" i="5"/>
  <c r="G5020" i="5"/>
  <c r="G5024" i="5"/>
  <c r="B5025" i="5"/>
  <c r="G5025" i="5"/>
  <c r="G5026" i="5"/>
  <c r="G5028" i="5"/>
  <c r="B5029" i="5"/>
  <c r="G5029" i="5"/>
  <c r="G5030" i="5"/>
  <c r="G5034" i="5"/>
  <c r="B5035" i="5"/>
  <c r="G5035" i="5"/>
  <c r="G5036" i="5"/>
  <c r="G5040" i="5"/>
  <c r="B5041" i="5"/>
  <c r="G5042" i="5"/>
  <c r="G5048" i="5"/>
  <c r="B5049" i="5"/>
  <c r="G5049" i="5"/>
  <c r="G5050" i="5"/>
  <c r="E5053" i="5"/>
  <c r="P5053" i="5" s="1"/>
  <c r="G5055" i="5"/>
  <c r="B5056" i="5"/>
  <c r="G5056" i="5"/>
  <c r="G5057" i="5"/>
  <c r="G5062" i="5"/>
  <c r="B5063" i="5"/>
  <c r="G5063" i="5"/>
  <c r="G5064" i="5"/>
  <c r="E5069" i="5"/>
  <c r="P5069" i="5" s="1"/>
  <c r="G5070" i="5"/>
  <c r="B5071" i="5"/>
  <c r="G5071" i="5"/>
  <c r="G5072" i="5"/>
  <c r="G5076" i="5"/>
  <c r="B5077" i="5"/>
  <c r="G5077" i="5"/>
  <c r="G5078" i="5"/>
  <c r="G5082" i="5"/>
  <c r="B5083" i="5"/>
  <c r="G5083" i="5"/>
  <c r="G5084" i="5"/>
  <c r="G5088" i="5"/>
  <c r="B5089" i="5"/>
  <c r="G5089" i="5"/>
  <c r="G5090" i="5"/>
  <c r="G5094" i="5"/>
  <c r="B5095" i="5"/>
  <c r="G5095" i="5"/>
  <c r="G5096" i="5"/>
  <c r="G5101" i="5"/>
  <c r="B5102" i="5"/>
  <c r="G5102" i="5"/>
  <c r="G5103" i="5"/>
  <c r="E5104" i="5"/>
  <c r="P5104" i="5" s="1"/>
  <c r="E5105" i="5"/>
  <c r="P5105" i="5" s="1"/>
  <c r="E5106" i="5"/>
  <c r="P5106" i="5" s="1"/>
  <c r="E5107" i="5"/>
  <c r="P5107" i="5" s="1"/>
  <c r="G5108" i="5"/>
  <c r="B5109" i="5"/>
  <c r="G5109" i="5"/>
  <c r="G5110" i="5"/>
  <c r="E5111" i="5"/>
  <c r="P5111" i="5" s="1"/>
  <c r="E5112" i="5"/>
  <c r="P5112" i="5" s="1"/>
  <c r="E5113" i="5"/>
  <c r="P5113" i="5" s="1"/>
  <c r="E5114" i="5"/>
  <c r="P5114" i="5" s="1"/>
  <c r="G5119" i="5"/>
  <c r="B5120" i="5"/>
  <c r="G5120" i="5"/>
  <c r="G5121" i="5"/>
  <c r="G5125" i="5"/>
  <c r="B5126" i="5"/>
  <c r="G5127" i="5"/>
  <c r="E5128" i="5"/>
  <c r="P5128" i="5" s="1"/>
  <c r="E5130" i="5"/>
  <c r="P5130" i="5" s="1"/>
  <c r="E5131" i="5"/>
  <c r="P5131" i="5" s="1"/>
  <c r="E5132" i="5"/>
  <c r="P5132" i="5" s="1"/>
  <c r="G5133" i="5"/>
  <c r="B5134" i="5"/>
  <c r="G5134" i="5"/>
  <c r="G5135" i="5"/>
  <c r="E5136" i="5"/>
  <c r="P5136" i="5" s="1"/>
  <c r="E5138" i="5"/>
  <c r="P5138" i="5" s="1"/>
  <c r="E5139" i="5"/>
  <c r="P5139" i="5" s="1"/>
  <c r="E5140" i="5"/>
  <c r="P5140" i="5" s="1"/>
  <c r="G5141" i="5"/>
  <c r="B5142" i="5"/>
  <c r="G5142" i="5"/>
  <c r="G5143" i="5"/>
  <c r="E5144" i="5"/>
  <c r="P5144" i="5" s="1"/>
  <c r="E5146" i="5"/>
  <c r="P5146" i="5" s="1"/>
  <c r="E5147" i="5"/>
  <c r="P5147" i="5" s="1"/>
  <c r="E5148" i="5"/>
  <c r="P5148" i="5" s="1"/>
  <c r="G5149" i="5"/>
  <c r="B5150" i="5"/>
  <c r="G5150" i="5"/>
  <c r="G5151" i="5"/>
  <c r="E5152" i="5"/>
  <c r="P5152" i="5" s="1"/>
  <c r="E5154" i="5"/>
  <c r="P5154" i="5" s="1"/>
  <c r="E5155" i="5"/>
  <c r="P5155" i="5" s="1"/>
  <c r="E5156" i="5"/>
  <c r="P5156" i="5" s="1"/>
  <c r="G5157" i="5"/>
  <c r="B5158" i="5"/>
  <c r="G5158" i="5"/>
  <c r="G5159" i="5"/>
  <c r="G5163" i="5"/>
  <c r="B5164" i="5"/>
  <c r="G5164" i="5"/>
  <c r="G5165" i="5"/>
  <c r="E5166" i="5"/>
  <c r="P5166" i="5" s="1"/>
  <c r="E5168" i="5"/>
  <c r="P5168" i="5" s="1"/>
  <c r="E5169" i="5"/>
  <c r="P5169" i="5" s="1"/>
  <c r="E5170" i="5"/>
  <c r="P5170" i="5" s="1"/>
  <c r="G5171" i="5"/>
  <c r="B5172" i="5"/>
  <c r="G5173" i="5"/>
  <c r="E5175" i="5"/>
  <c r="P5175" i="5" s="1"/>
  <c r="E5176" i="5"/>
  <c r="P5176" i="5" s="1"/>
  <c r="G5177" i="5"/>
  <c r="B5178" i="5"/>
  <c r="G5178" i="5"/>
  <c r="G5179" i="5"/>
  <c r="G5185" i="5"/>
  <c r="B5186" i="5"/>
  <c r="G5187" i="5"/>
  <c r="E5188" i="5"/>
  <c r="P5188" i="5" s="1"/>
  <c r="E5190" i="5"/>
  <c r="P5190" i="5" s="1"/>
  <c r="E5191" i="5"/>
  <c r="P5191" i="5" s="1"/>
  <c r="E5192" i="5"/>
  <c r="P5192" i="5" s="1"/>
  <c r="G5193" i="5"/>
  <c r="B5194" i="5"/>
  <c r="G5195" i="5"/>
  <c r="E5196" i="5"/>
  <c r="P5196" i="5" s="1"/>
  <c r="E5198" i="5"/>
  <c r="P5198" i="5" s="1"/>
  <c r="E5199" i="5"/>
  <c r="P5199" i="5" s="1"/>
  <c r="E5200" i="5"/>
  <c r="P5200" i="5" s="1"/>
  <c r="G5201" i="5"/>
  <c r="B5202" i="5"/>
  <c r="G5202" i="5"/>
  <c r="G5203" i="5"/>
  <c r="G5214" i="5"/>
  <c r="G5215" i="5"/>
  <c r="G5216" i="5"/>
  <c r="B5217" i="5"/>
  <c r="G5217" i="5"/>
  <c r="G5218" i="5"/>
  <c r="G5230" i="5"/>
  <c r="G5231" i="5"/>
  <c r="B5232" i="5"/>
  <c r="G5233" i="5"/>
  <c r="G5238" i="5"/>
  <c r="B5239" i="5"/>
  <c r="G5240" i="5"/>
  <c r="G5245" i="5"/>
  <c r="B5246" i="5"/>
  <c r="G5247" i="5"/>
  <c r="G5251" i="5"/>
  <c r="B5252" i="5"/>
  <c r="G5252" i="5"/>
  <c r="G5253" i="5"/>
  <c r="G5257" i="5"/>
  <c r="B5258" i="5"/>
  <c r="G5259" i="5"/>
  <c r="G5264" i="5"/>
  <c r="B5265" i="5"/>
  <c r="G5265" i="5"/>
  <c r="G5266" i="5"/>
  <c r="E5267" i="5"/>
  <c r="P5267" i="5" s="1"/>
  <c r="E5268" i="5"/>
  <c r="P5268" i="5" s="1"/>
  <c r="E5269" i="5"/>
  <c r="P5269" i="5" s="1"/>
  <c r="D334" i="6"/>
  <c r="O334" i="6" s="1"/>
  <c r="D335" i="6"/>
  <c r="O335" i="6" s="1"/>
  <c r="E5270" i="5"/>
  <c r="P5270" i="5" s="1"/>
  <c r="E5271" i="5"/>
  <c r="P5271" i="5" s="1"/>
  <c r="E5272" i="5"/>
  <c r="P5272" i="5" s="1"/>
  <c r="E5273" i="5"/>
  <c r="P5273" i="5" s="1"/>
  <c r="D90" i="7"/>
  <c r="D91" i="7"/>
  <c r="E5274" i="5"/>
  <c r="P5274" i="5" s="1"/>
  <c r="D467" i="6"/>
  <c r="O467" i="6" s="1"/>
  <c r="D468" i="6"/>
  <c r="O468" i="6" s="1"/>
  <c r="E5275" i="5"/>
  <c r="P5275" i="5" s="1"/>
  <c r="G5276" i="5"/>
  <c r="B5277" i="5"/>
  <c r="G5277" i="5"/>
  <c r="G5278" i="5"/>
  <c r="G5284" i="5"/>
  <c r="B5285" i="5"/>
  <c r="G5285" i="5"/>
  <c r="G5286" i="5"/>
  <c r="G5290" i="5"/>
  <c r="B5291" i="5"/>
  <c r="G5292" i="5"/>
  <c r="G5297" i="5"/>
  <c r="B5298" i="5"/>
  <c r="G5299" i="5"/>
  <c r="G5303" i="5"/>
  <c r="B5304" i="5"/>
  <c r="G5304" i="5"/>
  <c r="G5305" i="5"/>
  <c r="G5309" i="5"/>
  <c r="B5310" i="5"/>
  <c r="G5311" i="5"/>
  <c r="G5315" i="5"/>
  <c r="B5316" i="5"/>
  <c r="G5316" i="5"/>
  <c r="G5317" i="5"/>
  <c r="G5321" i="5"/>
  <c r="B5322" i="5"/>
  <c r="G5323" i="5"/>
  <c r="G5327" i="5"/>
  <c r="B5328" i="5"/>
  <c r="G5328" i="5"/>
  <c r="G5329" i="5"/>
  <c r="G5333" i="5"/>
  <c r="B5334" i="5"/>
  <c r="G5334" i="5"/>
  <c r="G5335" i="5"/>
  <c r="G5339" i="5"/>
  <c r="B5340" i="5"/>
  <c r="G5340" i="5"/>
  <c r="G5341" i="5"/>
  <c r="G5346" i="5"/>
  <c r="B5347" i="5"/>
  <c r="G5348" i="5"/>
  <c r="G5353" i="5"/>
  <c r="B5354" i="5"/>
  <c r="G5355" i="5"/>
  <c r="G5360" i="5"/>
  <c r="B5361" i="5"/>
  <c r="G5361" i="5"/>
  <c r="G5362" i="5"/>
  <c r="G5366" i="5"/>
  <c r="B5367" i="5"/>
  <c r="G5368" i="5"/>
  <c r="G5372" i="5"/>
  <c r="B5373" i="5"/>
  <c r="G5373" i="5"/>
  <c r="G5374" i="5"/>
  <c r="E5375" i="5"/>
  <c r="P5375" i="5" s="1"/>
  <c r="E5376" i="5"/>
  <c r="P5376" i="5" s="1"/>
  <c r="G5379" i="5"/>
  <c r="B5380" i="5"/>
  <c r="G5380" i="5"/>
  <c r="G5381" i="5"/>
  <c r="G5385" i="5"/>
  <c r="B5386" i="5"/>
  <c r="G5386" i="5"/>
  <c r="G5387" i="5"/>
  <c r="G5391" i="5"/>
  <c r="B5392" i="5"/>
  <c r="G5392" i="5"/>
  <c r="G5393" i="5"/>
  <c r="G5399" i="5"/>
  <c r="B5400" i="5"/>
  <c r="G5401" i="5"/>
  <c r="G5407" i="5"/>
  <c r="B5408" i="5"/>
  <c r="G5408" i="5"/>
  <c r="G5409" i="5"/>
  <c r="G5415" i="5"/>
  <c r="B5416" i="5"/>
  <c r="G5416" i="5"/>
  <c r="G5417" i="5"/>
  <c r="E5420" i="5"/>
  <c r="P5420" i="5" s="1"/>
  <c r="E5421" i="5"/>
  <c r="P5421" i="5" s="1"/>
  <c r="G5422" i="5"/>
  <c r="B5423" i="5"/>
  <c r="G5423" i="5"/>
  <c r="G5424" i="5"/>
  <c r="E5425" i="5"/>
  <c r="P5425" i="5" s="1"/>
  <c r="E5426" i="5"/>
  <c r="P5426" i="5" s="1"/>
  <c r="E5427" i="5"/>
  <c r="P5427" i="5" s="1"/>
  <c r="E5428" i="5"/>
  <c r="P5428" i="5" s="1"/>
  <c r="E5429" i="5"/>
  <c r="P5429" i="5" s="1"/>
  <c r="D104" i="7"/>
  <c r="D105" i="7"/>
  <c r="E5430" i="5"/>
  <c r="P5430" i="5" s="1"/>
  <c r="D498" i="6"/>
  <c r="O498" i="6" s="1"/>
  <c r="D499" i="6"/>
  <c r="O499" i="6" s="1"/>
  <c r="E5431" i="5"/>
  <c r="P5431" i="5" s="1"/>
  <c r="G5432" i="5"/>
  <c r="B5433" i="5"/>
  <c r="G5433" i="5"/>
  <c r="G5434" i="5"/>
  <c r="E5435" i="5"/>
  <c r="P5435" i="5" s="1"/>
  <c r="E5436" i="5"/>
  <c r="P5436" i="5" s="1"/>
  <c r="E5437" i="5"/>
  <c r="P5437" i="5" s="1"/>
  <c r="E5438" i="5"/>
  <c r="P5438" i="5" s="1"/>
  <c r="E5439" i="5"/>
  <c r="P5439" i="5" s="1"/>
  <c r="E5440" i="5"/>
  <c r="P5440" i="5" s="1"/>
  <c r="E5441" i="5"/>
  <c r="P5441" i="5" s="1"/>
  <c r="G5444" i="5"/>
  <c r="B5445" i="5"/>
  <c r="G5445" i="5"/>
  <c r="G5446" i="5"/>
  <c r="G5450" i="5"/>
  <c r="B5451" i="5"/>
  <c r="G5451" i="5"/>
  <c r="G5452" i="5"/>
  <c r="G5456" i="5"/>
  <c r="B5457" i="5"/>
  <c r="G5458" i="5"/>
  <c r="G5463" i="5"/>
  <c r="B5464" i="5"/>
  <c r="G5464" i="5"/>
  <c r="G5465" i="5"/>
  <c r="G5469" i="5"/>
  <c r="B5470" i="5"/>
  <c r="G5471" i="5"/>
  <c r="G5475" i="5"/>
  <c r="B5476" i="5"/>
  <c r="G5476" i="5"/>
  <c r="G5477" i="5"/>
  <c r="G5481" i="5"/>
  <c r="B5482" i="5"/>
  <c r="G5482" i="5"/>
  <c r="G5483" i="5"/>
  <c r="G5485" i="5"/>
  <c r="B5486" i="5"/>
  <c r="G5486" i="5"/>
  <c r="G5487" i="5"/>
  <c r="G5492" i="5"/>
  <c r="B5493" i="5"/>
  <c r="G5493" i="5"/>
  <c r="G5494" i="5"/>
  <c r="G5496" i="5"/>
  <c r="B5497" i="5"/>
  <c r="G5497" i="5"/>
  <c r="G5498" i="5"/>
  <c r="E5499" i="5"/>
  <c r="P5499" i="5" s="1"/>
  <c r="G5500" i="5"/>
  <c r="G5501" i="5"/>
  <c r="G5502" i="5"/>
  <c r="B5503" i="5"/>
  <c r="G5504" i="5"/>
  <c r="E5505" i="5"/>
  <c r="P5505" i="5" s="1"/>
  <c r="G5506" i="5"/>
  <c r="G5507" i="5"/>
  <c r="G5508" i="5"/>
  <c r="B5509" i="5"/>
  <c r="G5510" i="5"/>
  <c r="E5511" i="5"/>
  <c r="P5511" i="5" s="1"/>
  <c r="G5512" i="5"/>
  <c r="G5513" i="5"/>
  <c r="G5514" i="5"/>
  <c r="B5515" i="5"/>
  <c r="G5516" i="5"/>
  <c r="E5517" i="5"/>
  <c r="P5517" i="5" s="1"/>
  <c r="G5518" i="5"/>
  <c r="G5519" i="5"/>
  <c r="G5520" i="5"/>
  <c r="B5521" i="5"/>
  <c r="G5522" i="5"/>
  <c r="E5523" i="5"/>
  <c r="P5523" i="5" s="1"/>
  <c r="G5524" i="5"/>
  <c r="G5525" i="5"/>
  <c r="G5526" i="5"/>
  <c r="B5527" i="5"/>
  <c r="G5527" i="5"/>
  <c r="G5528" i="5"/>
  <c r="E5529" i="5"/>
  <c r="P5529" i="5" s="1"/>
  <c r="G5530" i="5"/>
  <c r="G5531" i="5"/>
  <c r="G5532" i="5"/>
  <c r="B5533" i="5"/>
  <c r="G5534" i="5"/>
  <c r="E5535" i="5"/>
  <c r="P5535" i="5" s="1"/>
  <c r="G5536" i="5"/>
  <c r="G5537" i="5"/>
  <c r="G5538" i="5"/>
  <c r="B5539" i="5"/>
  <c r="G5539" i="5"/>
  <c r="G5540" i="5"/>
  <c r="E5541" i="5"/>
  <c r="P5541" i="5" s="1"/>
  <c r="G5542" i="5"/>
  <c r="G5543" i="5"/>
  <c r="G5544" i="5"/>
  <c r="B5545" i="5"/>
  <c r="G5545" i="5"/>
  <c r="G5546" i="5"/>
  <c r="E5547" i="5"/>
  <c r="P5547" i="5" s="1"/>
  <c r="G5548" i="5"/>
  <c r="G5549" i="5"/>
  <c r="G5550" i="5"/>
  <c r="B5551" i="5"/>
  <c r="G5552" i="5"/>
  <c r="E5553" i="5"/>
  <c r="P5553" i="5" s="1"/>
  <c r="G5554" i="5"/>
  <c r="G5555" i="5"/>
  <c r="G5556" i="5"/>
  <c r="B5557" i="5"/>
  <c r="G5557" i="5"/>
  <c r="G5558" i="5"/>
  <c r="E5559" i="5"/>
  <c r="P5559" i="5" s="1"/>
  <c r="G5560" i="5"/>
  <c r="G5561" i="5"/>
  <c r="G5562" i="5"/>
  <c r="B5563" i="5"/>
  <c r="G5564" i="5"/>
  <c r="E5565" i="5"/>
  <c r="P5565" i="5" s="1"/>
  <c r="G5566" i="5"/>
  <c r="G5567" i="5"/>
  <c r="G5568" i="5"/>
  <c r="B5569" i="5"/>
  <c r="G5570" i="5"/>
  <c r="E5571" i="5"/>
  <c r="P5571" i="5" s="1"/>
  <c r="G5572" i="5"/>
  <c r="G5573" i="5"/>
  <c r="G5574" i="5"/>
  <c r="B5575" i="5"/>
  <c r="G5576" i="5"/>
  <c r="E5577" i="5"/>
  <c r="P5577" i="5" s="1"/>
  <c r="G5578" i="5"/>
  <c r="G5579" i="5"/>
  <c r="G5580" i="5"/>
  <c r="B5581" i="5"/>
  <c r="G5581" i="5"/>
  <c r="G5582" i="5"/>
  <c r="E5583" i="5"/>
  <c r="P5583" i="5" s="1"/>
  <c r="G5584" i="5"/>
  <c r="G5585" i="5"/>
  <c r="G5586" i="5"/>
  <c r="B5587" i="5"/>
  <c r="G5588" i="5"/>
  <c r="E5589" i="5"/>
  <c r="P5589" i="5" s="1"/>
  <c r="G5590" i="5"/>
  <c r="G5591" i="5"/>
  <c r="G5592" i="5"/>
  <c r="B5593" i="5"/>
  <c r="G5593" i="5"/>
  <c r="G5594" i="5"/>
  <c r="E5595" i="5"/>
  <c r="P5595" i="5" s="1"/>
  <c r="G5596" i="5"/>
  <c r="G5597" i="5"/>
  <c r="G5598" i="5"/>
  <c r="B5599" i="5"/>
  <c r="G5599" i="5"/>
  <c r="G5600" i="5"/>
  <c r="E5601" i="5"/>
  <c r="P5601" i="5" s="1"/>
  <c r="G5602" i="5"/>
  <c r="G5603" i="5"/>
  <c r="G5604" i="5"/>
  <c r="B5605" i="5"/>
  <c r="G5606" i="5"/>
  <c r="E5607" i="5"/>
  <c r="P5607" i="5" s="1"/>
  <c r="G5608" i="5"/>
  <c r="G5609" i="5"/>
  <c r="G5610" i="5"/>
  <c r="B5611" i="5"/>
  <c r="G5612" i="5"/>
  <c r="E5613" i="5"/>
  <c r="P5613" i="5" s="1"/>
  <c r="G5614" i="5"/>
  <c r="G5615" i="5"/>
  <c r="G5616" i="5"/>
  <c r="B5617" i="5"/>
  <c r="G5617" i="5"/>
  <c r="G5618" i="5"/>
  <c r="G5620" i="5"/>
  <c r="B5621" i="5"/>
  <c r="G5622" i="5"/>
  <c r="G5624" i="5"/>
  <c r="B5625" i="5"/>
  <c r="G5625" i="5"/>
  <c r="G5626" i="5"/>
  <c r="G5628" i="5"/>
  <c r="B5629" i="5"/>
  <c r="G5629" i="5"/>
  <c r="G5630" i="5"/>
  <c r="G5632" i="5"/>
  <c r="B5633" i="5"/>
  <c r="G5634" i="5"/>
  <c r="G5636" i="5"/>
  <c r="B5637" i="5"/>
  <c r="G5637" i="5"/>
  <c r="G5638" i="5"/>
  <c r="G5640" i="5"/>
  <c r="B5641" i="5"/>
  <c r="G5641" i="5"/>
  <c r="G5642" i="5"/>
  <c r="G5644" i="5"/>
  <c r="B5645" i="5"/>
  <c r="G5645" i="5"/>
  <c r="G5646" i="5"/>
  <c r="G5648" i="5"/>
  <c r="B5649" i="5"/>
  <c r="G5650" i="5"/>
  <c r="G5652" i="5"/>
  <c r="B5653" i="5"/>
  <c r="G5653" i="5"/>
  <c r="G5654" i="5"/>
  <c r="G5656" i="5"/>
  <c r="B5657" i="5"/>
  <c r="G5657" i="5"/>
  <c r="G5658" i="5"/>
  <c r="G5660" i="5"/>
  <c r="B5661" i="5"/>
  <c r="G5661" i="5"/>
  <c r="G5662" i="5"/>
  <c r="G5664" i="5"/>
  <c r="B5665" i="5"/>
  <c r="G5666" i="5"/>
  <c r="G5668" i="5"/>
  <c r="B5669" i="5"/>
  <c r="G5669" i="5"/>
  <c r="G5670" i="5"/>
  <c r="G5672" i="5"/>
  <c r="B5673" i="5"/>
  <c r="G5673" i="5"/>
  <c r="G5674" i="5"/>
  <c r="G5676" i="5"/>
  <c r="B5677" i="5"/>
  <c r="G5677" i="5"/>
  <c r="G5678" i="5"/>
  <c r="G5680" i="5"/>
  <c r="B5681" i="5"/>
  <c r="G5681" i="5"/>
  <c r="G5682" i="5"/>
  <c r="G5684" i="5"/>
  <c r="B5685" i="5"/>
  <c r="G5685" i="5"/>
  <c r="G5686" i="5"/>
  <c r="G5688" i="5"/>
  <c r="B5689" i="5"/>
  <c r="G5689" i="5"/>
  <c r="G5690" i="5"/>
  <c r="G5692" i="5"/>
  <c r="B5693" i="5"/>
  <c r="G5693" i="5"/>
  <c r="G5694" i="5"/>
  <c r="G5696" i="5"/>
  <c r="B5697" i="5"/>
  <c r="G5698" i="5"/>
  <c r="G5700" i="5"/>
  <c r="B5701" i="5"/>
  <c r="G5701" i="5"/>
  <c r="G5702" i="5"/>
  <c r="G5704" i="5"/>
  <c r="B5705" i="5"/>
  <c r="G5705" i="5"/>
  <c r="G5706" i="5"/>
  <c r="G5708" i="5"/>
  <c r="B5709" i="5"/>
  <c r="G5709" i="5"/>
  <c r="G5710" i="5"/>
  <c r="G5712" i="5"/>
  <c r="B5713" i="5"/>
  <c r="G5713" i="5"/>
  <c r="G5714" i="5"/>
  <c r="G5716" i="5"/>
  <c r="B5717" i="5"/>
  <c r="G5717" i="5"/>
  <c r="G5718" i="5"/>
  <c r="G5720" i="5"/>
  <c r="B5721" i="5"/>
  <c r="G5721" i="5"/>
  <c r="G5722" i="5"/>
  <c r="G5724" i="5"/>
  <c r="B5725" i="5"/>
  <c r="G5725" i="5"/>
  <c r="G5726" i="5"/>
  <c r="G5728" i="5"/>
  <c r="B5729" i="5"/>
  <c r="G5729" i="5"/>
  <c r="G5730" i="5"/>
  <c r="G5732" i="5"/>
  <c r="B5733" i="5"/>
  <c r="G5733" i="5"/>
  <c r="G5734" i="5"/>
  <c r="G5736" i="5"/>
  <c r="B5737" i="5"/>
  <c r="G5737" i="5"/>
  <c r="G5738" i="5"/>
  <c r="G5740" i="5"/>
  <c r="B5741" i="5"/>
  <c r="G5741" i="5"/>
  <c r="G5742" i="5"/>
  <c r="G5744" i="5"/>
  <c r="B5745" i="5"/>
  <c r="G5745" i="5"/>
  <c r="G5746" i="5"/>
  <c r="G5748" i="5"/>
  <c r="B5749" i="5"/>
  <c r="G5750" i="5"/>
  <c r="G5752" i="5"/>
  <c r="B5753" i="5"/>
  <c r="G5753" i="5"/>
  <c r="G5754" i="5"/>
  <c r="G5756" i="5"/>
  <c r="B5757" i="5"/>
  <c r="G5757" i="5"/>
  <c r="G5758" i="5"/>
  <c r="G5760" i="5"/>
  <c r="B5761" i="5"/>
  <c r="G5762" i="5"/>
  <c r="G5764" i="5"/>
  <c r="B5765" i="5"/>
  <c r="G5766" i="5"/>
  <c r="G5768" i="5"/>
  <c r="B5769" i="5"/>
  <c r="G5769" i="5"/>
  <c r="G5770" i="5"/>
  <c r="G5772" i="5"/>
  <c r="B5773" i="5"/>
  <c r="G5774" i="5"/>
  <c r="G5776" i="5"/>
  <c r="B5777" i="5"/>
  <c r="G5778" i="5"/>
  <c r="G5780" i="5"/>
  <c r="B5781" i="5"/>
  <c r="G5781" i="5"/>
  <c r="G5782" i="5"/>
  <c r="G5784" i="5"/>
  <c r="B5785" i="5"/>
  <c r="G5785" i="5"/>
  <c r="G5786" i="5"/>
  <c r="G5788" i="5"/>
  <c r="B5789" i="5"/>
  <c r="G5789" i="5"/>
  <c r="G5790" i="5"/>
  <c r="G5792" i="5"/>
  <c r="B5793" i="5"/>
  <c r="G5793" i="5"/>
  <c r="G5794" i="5"/>
  <c r="G5796" i="5"/>
  <c r="B5797" i="5"/>
  <c r="G5797" i="5"/>
  <c r="G5798" i="5"/>
  <c r="G5800" i="5"/>
  <c r="B5801" i="5"/>
  <c r="G5802" i="5"/>
  <c r="G5804" i="5"/>
  <c r="B5805" i="5"/>
  <c r="G5806" i="5"/>
  <c r="G5808" i="5"/>
  <c r="B5809" i="5"/>
  <c r="G5810" i="5"/>
  <c r="G5812" i="5"/>
  <c r="B5813" i="5"/>
  <c r="G5813" i="5"/>
  <c r="G5814" i="5"/>
  <c r="G5816" i="5"/>
  <c r="B5817" i="5"/>
  <c r="G5817" i="5"/>
  <c r="G5818" i="5"/>
  <c r="G5820" i="5"/>
  <c r="B5821" i="5"/>
  <c r="G5821" i="5"/>
  <c r="G5822" i="5"/>
  <c r="G5824" i="5"/>
  <c r="B5825" i="5"/>
  <c r="G5826" i="5"/>
  <c r="G5828" i="5"/>
  <c r="B5829" i="5"/>
  <c r="G5829" i="5"/>
  <c r="G5830" i="5"/>
  <c r="G5832" i="5"/>
  <c r="B5833" i="5"/>
  <c r="G5833" i="5"/>
  <c r="G5834" i="5"/>
  <c r="G5836" i="5"/>
  <c r="B5837" i="5"/>
  <c r="G5838" i="5"/>
  <c r="G5840" i="5"/>
  <c r="B5841" i="5"/>
  <c r="G5841" i="5"/>
  <c r="G5842" i="5"/>
  <c r="G5844" i="5"/>
  <c r="B5845" i="5"/>
  <c r="G5845" i="5"/>
  <c r="G5846" i="5"/>
  <c r="G5848" i="5"/>
  <c r="B5849" i="5"/>
  <c r="G5849" i="5"/>
  <c r="G5850" i="5"/>
  <c r="G5852" i="5"/>
  <c r="B5853" i="5"/>
  <c r="G5853" i="5"/>
  <c r="G5854" i="5"/>
  <c r="G5856" i="5"/>
  <c r="B5857" i="5"/>
  <c r="G5857" i="5"/>
  <c r="G5858" i="5"/>
  <c r="G5860" i="5"/>
  <c r="B5861" i="5"/>
  <c r="G5861" i="5"/>
  <c r="G5862" i="5"/>
  <c r="G5864" i="5"/>
  <c r="B5865" i="5"/>
  <c r="G5866" i="5"/>
  <c r="G5868" i="5"/>
  <c r="B5869" i="5"/>
  <c r="G5870" i="5"/>
  <c r="G5872" i="5"/>
  <c r="B5873" i="5"/>
  <c r="G5874" i="5"/>
  <c r="G5876" i="5"/>
  <c r="B5877" i="5"/>
  <c r="G5877" i="5"/>
  <c r="G5878" i="5"/>
  <c r="G5880" i="5"/>
  <c r="B5881" i="5"/>
  <c r="G5882" i="5"/>
  <c r="G5884" i="5"/>
  <c r="B5885" i="5"/>
  <c r="G5885" i="5"/>
  <c r="G5886" i="5"/>
  <c r="G5888" i="5"/>
  <c r="B5889" i="5"/>
  <c r="G5890" i="5"/>
  <c r="G5892" i="5"/>
  <c r="B5893" i="5"/>
  <c r="G5893" i="5"/>
  <c r="G5894" i="5"/>
  <c r="G5896" i="5"/>
  <c r="B5897" i="5"/>
  <c r="G5898" i="5"/>
  <c r="G5900" i="5"/>
  <c r="B5901" i="5"/>
  <c r="G5901" i="5"/>
  <c r="G5902" i="5"/>
  <c r="G5904" i="5"/>
  <c r="B5905" i="5"/>
  <c r="G5905" i="5"/>
  <c r="G5906" i="5"/>
  <c r="G5908" i="5"/>
  <c r="B5909" i="5"/>
  <c r="G5909" i="5"/>
  <c r="G5910" i="5"/>
  <c r="G5912" i="5"/>
  <c r="B5913" i="5"/>
  <c r="G5913" i="5"/>
  <c r="G5914" i="5"/>
  <c r="G5916" i="5"/>
  <c r="B5917" i="5"/>
  <c r="G5918" i="5"/>
  <c r="G5920" i="5"/>
  <c r="B5921" i="5"/>
  <c r="G5922" i="5"/>
  <c r="G5924" i="5"/>
  <c r="B5925" i="5"/>
  <c r="G5925" i="5"/>
  <c r="G5926" i="5"/>
  <c r="G5928" i="5"/>
  <c r="B5929" i="5"/>
  <c r="G5929" i="5"/>
  <c r="G5930" i="5"/>
  <c r="G5932" i="5"/>
  <c r="B5933" i="5"/>
  <c r="G5933" i="5"/>
  <c r="G5934" i="5"/>
  <c r="G5936" i="5"/>
  <c r="B5937" i="5"/>
  <c r="G5938" i="5"/>
  <c r="G5940" i="5"/>
  <c r="B5941" i="5"/>
  <c r="G5941" i="5"/>
  <c r="G5942" i="5"/>
  <c r="G5944" i="5"/>
  <c r="B5945" i="5"/>
  <c r="G5946" i="5"/>
  <c r="G5948" i="5"/>
  <c r="B5949" i="5"/>
  <c r="G5950" i="5"/>
  <c r="G5952" i="5"/>
  <c r="B5953" i="5"/>
  <c r="G5953" i="5"/>
  <c r="G5954" i="5"/>
  <c r="G5956" i="5"/>
  <c r="B5957" i="5"/>
  <c r="G5957" i="5"/>
  <c r="G5958" i="5"/>
  <c r="G5960" i="5"/>
  <c r="B5961" i="5"/>
  <c r="G5961" i="5"/>
  <c r="G5962" i="5"/>
  <c r="G5964" i="5"/>
  <c r="B5965" i="5"/>
  <c r="G5966" i="5"/>
  <c r="G5968" i="5"/>
  <c r="B5969" i="5"/>
  <c r="G5969" i="5"/>
  <c r="G5970" i="5"/>
  <c r="G5972" i="5"/>
  <c r="B5973" i="5"/>
  <c r="G5973" i="5"/>
  <c r="G5974" i="5"/>
  <c r="G5976" i="5"/>
  <c r="B5977" i="5"/>
  <c r="G5978" i="5"/>
  <c r="G5980" i="5"/>
  <c r="B5981" i="5"/>
  <c r="G5982" i="5"/>
  <c r="G5984" i="5"/>
  <c r="B5985" i="5"/>
  <c r="G5986" i="5"/>
  <c r="G5988" i="5"/>
  <c r="B5989" i="5"/>
  <c r="G5989" i="5"/>
  <c r="G5990" i="5"/>
  <c r="G5992" i="5"/>
  <c r="B5993" i="5"/>
  <c r="G5994" i="5"/>
  <c r="G5996" i="5"/>
  <c r="B5997" i="5"/>
  <c r="G5998" i="5"/>
  <c r="G6000" i="5"/>
  <c r="B6001" i="5"/>
  <c r="G6001" i="5"/>
  <c r="G6002" i="5"/>
  <c r="G6004" i="5"/>
  <c r="B6005" i="5"/>
  <c r="G6005" i="5"/>
  <c r="G6006" i="5"/>
  <c r="G6008" i="5"/>
  <c r="B6009" i="5"/>
  <c r="G6009" i="5"/>
  <c r="G6010" i="5"/>
  <c r="G6012" i="5"/>
  <c r="B6013" i="5"/>
  <c r="G6013" i="5"/>
  <c r="G6014" i="5"/>
  <c r="G6016" i="5"/>
  <c r="B6017" i="5"/>
  <c r="G6017" i="5"/>
  <c r="G6018" i="5"/>
  <c r="G6020" i="5"/>
  <c r="B6021" i="5"/>
  <c r="G6021" i="5"/>
  <c r="G6022" i="5"/>
  <c r="G6024" i="5"/>
  <c r="B6025" i="5"/>
  <c r="G6025" i="5"/>
  <c r="G6026" i="5"/>
  <c r="G6028" i="5"/>
  <c r="B6029" i="5"/>
  <c r="G6029" i="5"/>
  <c r="G6030" i="5"/>
  <c r="G6032" i="5"/>
  <c r="B6033" i="5"/>
  <c r="G6033" i="5"/>
  <c r="G6034" i="5"/>
  <c r="G6036" i="5"/>
  <c r="B6037" i="5"/>
  <c r="G6038" i="5"/>
  <c r="G6040" i="5"/>
  <c r="B6041" i="5"/>
  <c r="G6042" i="5"/>
  <c r="G6044" i="5"/>
  <c r="B6045" i="5"/>
  <c r="G6045" i="5"/>
  <c r="G6046" i="5"/>
  <c r="G6048" i="5"/>
  <c r="B6049" i="5"/>
  <c r="G6049" i="5"/>
  <c r="G6050" i="5"/>
  <c r="G6052" i="5"/>
  <c r="B6053" i="5"/>
  <c r="G6053" i="5"/>
  <c r="G6054" i="5"/>
  <c r="G6056" i="5"/>
  <c r="B6057" i="5"/>
  <c r="G6058" i="5"/>
  <c r="G6060" i="5"/>
  <c r="B6061" i="5"/>
  <c r="G6061" i="5"/>
  <c r="G6062" i="5"/>
  <c r="G6064" i="5"/>
  <c r="B6065" i="5"/>
  <c r="G6065" i="5"/>
  <c r="G6066" i="5"/>
  <c r="G6068" i="5"/>
  <c r="B6069" i="5"/>
  <c r="G6070" i="5"/>
  <c r="G6072" i="5"/>
  <c r="B6073" i="5"/>
  <c r="G6073" i="5"/>
  <c r="G6074" i="5"/>
  <c r="G6076" i="5"/>
  <c r="B6077" i="5"/>
  <c r="G6078" i="5"/>
  <c r="G6080" i="5"/>
  <c r="B6081" i="5"/>
  <c r="G6081" i="5"/>
  <c r="G6082" i="5"/>
  <c r="G6084" i="5"/>
  <c r="B6085" i="5"/>
  <c r="G6086" i="5"/>
  <c r="G6088" i="5"/>
  <c r="B6089" i="5"/>
  <c r="G6089" i="5"/>
  <c r="G6090" i="5"/>
  <c r="G6092" i="5"/>
  <c r="B6093" i="5"/>
  <c r="G6093" i="5"/>
  <c r="G6094" i="5"/>
  <c r="G6096" i="5"/>
  <c r="B6097" i="5"/>
  <c r="G6097" i="5"/>
  <c r="G6098" i="5"/>
  <c r="G6100" i="5"/>
  <c r="B6101" i="5"/>
  <c r="G6102" i="5"/>
  <c r="G6104" i="5"/>
  <c r="B6105" i="5"/>
  <c r="G6105" i="5"/>
  <c r="G6106" i="5"/>
  <c r="G6108" i="5"/>
  <c r="B6109" i="5"/>
  <c r="G6109" i="5"/>
  <c r="G6110" i="5"/>
  <c r="G6112" i="5"/>
  <c r="B6113" i="5"/>
  <c r="G6113" i="5"/>
  <c r="G6114" i="5"/>
  <c r="G6116" i="5"/>
  <c r="B6117" i="5"/>
  <c r="G6118" i="5"/>
  <c r="G6120" i="5"/>
  <c r="B6121" i="5"/>
  <c r="G6121" i="5"/>
  <c r="G6122" i="5"/>
  <c r="G6124" i="5"/>
  <c r="B6125" i="5"/>
  <c r="G6125" i="5"/>
  <c r="G6126" i="5"/>
  <c r="G6128" i="5"/>
  <c r="B6129" i="5"/>
  <c r="G6129" i="5"/>
  <c r="G6130" i="5"/>
  <c r="G6132" i="5"/>
  <c r="B6133" i="5"/>
  <c r="G6133" i="5"/>
  <c r="G6134" i="5"/>
  <c r="E6135" i="5"/>
  <c r="P6135" i="5" s="1"/>
  <c r="G6136" i="5"/>
  <c r="B6137" i="5"/>
  <c r="G6137" i="5"/>
  <c r="G6138" i="5"/>
  <c r="B6145" i="5"/>
  <c r="G6146" i="5"/>
  <c r="G6148" i="5"/>
  <c r="B6149" i="5"/>
  <c r="G6149" i="5"/>
  <c r="G6150" i="5"/>
  <c r="G6152" i="5"/>
  <c r="B6153" i="5"/>
  <c r="G6153" i="5"/>
  <c r="G6154" i="5"/>
  <c r="G6156" i="5"/>
  <c r="B6157" i="5"/>
  <c r="G6157" i="5"/>
  <c r="G6158" i="5"/>
  <c r="E6159" i="5"/>
  <c r="P6159" i="5" s="1"/>
  <c r="E6160" i="5"/>
  <c r="P6160" i="5" s="1"/>
  <c r="E6166" i="5"/>
  <c r="P6166" i="5" s="1"/>
  <c r="G6167" i="5"/>
  <c r="B6168" i="5"/>
  <c r="G6168" i="5"/>
  <c r="G6169" i="5"/>
  <c r="E6177" i="5"/>
  <c r="P6177" i="5" s="1"/>
  <c r="G6178" i="5"/>
  <c r="B6179" i="5"/>
  <c r="G6179" i="5"/>
  <c r="G6180" i="5"/>
  <c r="B6186" i="5"/>
  <c r="G6186" i="5"/>
  <c r="G6187" i="5"/>
  <c r="B6191" i="5"/>
  <c r="G6191" i="5"/>
  <c r="G6192" i="5"/>
  <c r="B6196" i="5"/>
  <c r="G6196" i="5"/>
  <c r="G6197" i="5"/>
  <c r="E6200" i="5"/>
  <c r="P6200" i="5" s="1"/>
  <c r="B6204" i="5"/>
  <c r="G6205" i="5"/>
  <c r="B6212" i="5"/>
  <c r="G6212" i="5"/>
  <c r="G6213" i="5"/>
  <c r="D222" i="6"/>
  <c r="O222" i="6" s="1"/>
  <c r="D223" i="6"/>
  <c r="O223" i="6" s="1"/>
  <c r="B6221" i="5"/>
  <c r="G6222" i="5"/>
  <c r="B6228" i="5"/>
  <c r="G6228" i="5"/>
  <c r="G6229" i="5"/>
  <c r="B6234" i="5"/>
  <c r="G6234" i="5"/>
  <c r="G6235" i="5"/>
  <c r="B6241" i="5"/>
  <c r="G6241" i="5"/>
  <c r="G6242" i="5"/>
  <c r="B6247" i="5"/>
  <c r="G6248" i="5"/>
  <c r="B6253" i="5"/>
  <c r="G6254" i="5"/>
  <c r="B6262" i="5"/>
  <c r="G6263" i="5"/>
  <c r="B6273" i="5"/>
  <c r="G6273" i="5"/>
  <c r="G6274" i="5"/>
  <c r="B6281" i="5"/>
  <c r="G6281" i="5"/>
  <c r="G6282" i="5"/>
  <c r="B6289" i="5"/>
  <c r="G6289" i="5"/>
  <c r="G6290" i="5"/>
  <c r="B6298" i="5"/>
  <c r="G6298" i="5"/>
  <c r="G6299" i="5"/>
  <c r="D590" i="6"/>
  <c r="O590" i="6" s="1"/>
  <c r="D591" i="6"/>
  <c r="O591" i="6" s="1"/>
  <c r="B6309" i="5"/>
  <c r="G6310" i="5"/>
  <c r="D119" i="7"/>
  <c r="D120" i="7"/>
  <c r="B6333" i="5"/>
  <c r="G6333" i="5"/>
  <c r="G6334" i="5"/>
  <c r="B6343" i="5"/>
  <c r="G6343" i="5"/>
  <c r="G6344" i="5"/>
  <c r="B6352" i="5"/>
  <c r="G6352" i="5"/>
  <c r="G6353" i="5"/>
  <c r="B6357" i="5"/>
  <c r="G6358" i="5"/>
  <c r="D509" i="6"/>
  <c r="O509" i="6" s="1"/>
  <c r="D510" i="6"/>
  <c r="O510" i="6" s="1"/>
  <c r="B6371" i="5"/>
  <c r="G6371" i="5"/>
  <c r="G6372" i="5"/>
  <c r="E6377" i="5"/>
  <c r="P6377" i="5" s="1"/>
  <c r="E6381" i="5"/>
  <c r="P6381" i="5" s="1"/>
  <c r="E6382" i="5"/>
  <c r="P6382" i="5" s="1"/>
  <c r="B6386" i="5"/>
  <c r="G6387" i="5"/>
  <c r="E6390" i="5"/>
  <c r="P6390" i="5" s="1"/>
  <c r="E6391" i="5"/>
  <c r="P6391" i="5" s="1"/>
  <c r="G6392" i="5"/>
  <c r="B6393" i="5"/>
  <c r="G6393" i="5"/>
  <c r="G6394" i="5"/>
  <c r="G6398" i="5"/>
  <c r="B6399" i="5"/>
  <c r="G6400" i="5"/>
  <c r="G6405" i="5"/>
  <c r="B6406" i="5"/>
  <c r="G6406" i="5"/>
  <c r="G6407" i="5"/>
  <c r="G6409" i="5"/>
  <c r="B6410" i="5"/>
  <c r="G6410" i="5"/>
  <c r="G6411" i="5"/>
  <c r="G6414" i="5"/>
  <c r="B6415" i="5"/>
  <c r="G6415" i="5"/>
  <c r="G6416" i="5"/>
  <c r="G6418" i="5"/>
  <c r="B6419" i="5"/>
  <c r="G6419" i="5"/>
  <c r="G6420" i="5"/>
  <c r="E6421" i="5"/>
  <c r="P6421" i="5" s="1"/>
  <c r="G6422" i="5"/>
  <c r="B6423" i="5"/>
  <c r="G6423" i="5"/>
  <c r="G6424" i="5"/>
  <c r="G6427" i="5"/>
  <c r="B6428" i="5"/>
  <c r="G6428" i="5"/>
  <c r="G6429" i="5"/>
  <c r="G6432" i="5"/>
  <c r="B6433" i="5"/>
  <c r="G6433" i="5"/>
  <c r="G6434" i="5"/>
  <c r="G6437" i="5"/>
  <c r="B6438" i="5"/>
  <c r="G6439" i="5"/>
  <c r="G6444" i="5"/>
  <c r="B6445" i="5"/>
  <c r="G6446" i="5"/>
  <c r="G6449" i="5"/>
  <c r="B6450" i="5"/>
  <c r="G6451" i="5"/>
  <c r="G6458" i="5"/>
  <c r="B6459" i="5"/>
  <c r="G6460" i="5"/>
  <c r="G6465" i="5"/>
  <c r="B6466" i="5"/>
  <c r="G6467" i="5"/>
  <c r="G6472" i="5"/>
  <c r="B6473" i="5"/>
  <c r="G6474" i="5"/>
  <c r="G6479" i="5"/>
  <c r="B6480" i="5"/>
  <c r="G6481" i="5"/>
  <c r="G6486" i="5"/>
  <c r="B6487" i="5"/>
  <c r="G6488" i="5"/>
  <c r="G6493" i="5"/>
  <c r="B6494" i="5"/>
  <c r="G6494" i="5"/>
  <c r="G6495" i="5"/>
  <c r="G6497" i="5"/>
  <c r="B6498" i="5"/>
  <c r="G6499" i="5"/>
  <c r="G6501" i="5"/>
  <c r="B6502" i="5"/>
  <c r="G6503" i="5"/>
  <c r="G6505" i="5"/>
  <c r="B6506" i="5"/>
  <c r="G6506" i="5"/>
  <c r="G6507" i="5"/>
  <c r="G6509" i="5"/>
  <c r="B6510" i="5"/>
  <c r="G6511" i="5"/>
  <c r="G6513" i="5"/>
  <c r="B6514" i="5"/>
  <c r="G6515" i="5"/>
  <c r="G6517" i="5"/>
  <c r="B6518" i="5"/>
  <c r="G6519" i="5"/>
  <c r="G6521" i="5"/>
  <c r="B6522" i="5"/>
  <c r="G6523" i="5"/>
  <c r="G6525" i="5"/>
  <c r="B6526" i="5"/>
  <c r="G6526" i="5"/>
  <c r="G6527" i="5"/>
  <c r="G6529" i="5"/>
  <c r="B6530" i="5"/>
  <c r="G6530" i="5"/>
  <c r="G6531" i="5"/>
  <c r="G6533" i="5"/>
  <c r="B6534" i="5"/>
  <c r="G6535" i="5"/>
  <c r="G6537" i="5"/>
  <c r="B6538" i="5"/>
  <c r="G6538" i="5"/>
  <c r="G6539" i="5"/>
  <c r="G6541" i="5"/>
  <c r="B6542" i="5"/>
  <c r="G6543" i="5"/>
  <c r="G6545" i="5"/>
  <c r="B6546" i="5"/>
  <c r="G6546" i="5"/>
  <c r="G6547" i="5"/>
  <c r="G6549" i="5"/>
  <c r="B6550" i="5"/>
  <c r="G6551" i="5"/>
  <c r="G6553" i="5"/>
  <c r="B6554" i="5"/>
  <c r="G6555" i="5"/>
  <c r="G6557" i="5"/>
  <c r="B6558" i="5"/>
  <c r="G6559" i="5"/>
  <c r="G6561" i="5"/>
  <c r="B6562" i="5"/>
  <c r="G6563" i="5"/>
  <c r="G6565" i="5"/>
  <c r="B6566" i="5"/>
  <c r="G6566" i="5"/>
  <c r="G6567" i="5"/>
  <c r="G6569" i="5"/>
  <c r="B6570" i="5"/>
  <c r="G6571" i="5"/>
  <c r="G6573" i="5"/>
  <c r="B6574" i="5"/>
  <c r="G6574" i="5"/>
  <c r="G6575" i="5"/>
  <c r="G6577" i="5"/>
  <c r="B6578" i="5"/>
  <c r="G6578" i="5"/>
  <c r="G6579" i="5"/>
  <c r="G6581" i="5"/>
  <c r="B6582" i="5"/>
  <c r="G6583" i="5"/>
  <c r="G6585" i="5"/>
  <c r="B6586" i="5"/>
  <c r="G6586" i="5"/>
  <c r="G6587" i="5"/>
  <c r="G6589" i="5"/>
  <c r="B6590" i="5"/>
  <c r="G6591" i="5"/>
  <c r="G6593" i="5"/>
  <c r="B6594" i="5"/>
  <c r="G6594" i="5"/>
  <c r="G6595" i="5"/>
  <c r="G6597" i="5"/>
  <c r="B6598" i="5"/>
  <c r="G6598" i="5"/>
  <c r="G6599" i="5"/>
  <c r="G6601" i="5"/>
  <c r="B6602" i="5"/>
  <c r="G6603" i="5"/>
  <c r="G6605" i="5"/>
  <c r="B6606" i="5"/>
  <c r="G6606" i="5"/>
  <c r="G6607" i="5"/>
  <c r="G6609" i="5"/>
  <c r="B6610" i="5"/>
  <c r="G6610" i="5"/>
  <c r="G6611" i="5"/>
  <c r="G6613" i="5"/>
  <c r="B6614" i="5"/>
  <c r="G6614" i="5"/>
  <c r="G6615" i="5"/>
  <c r="G6617" i="5"/>
  <c r="B6618" i="5"/>
  <c r="G6619" i="5"/>
  <c r="G6621" i="5"/>
  <c r="B6622" i="5"/>
  <c r="G6623" i="5"/>
  <c r="G6625" i="5"/>
  <c r="B6626" i="5"/>
  <c r="G6627" i="5"/>
  <c r="G6629" i="5"/>
  <c r="B6630" i="5"/>
  <c r="G6630" i="5"/>
  <c r="G6631" i="5"/>
  <c r="G6633" i="5"/>
  <c r="B6634" i="5"/>
  <c r="G6634" i="5"/>
  <c r="G6635" i="5"/>
  <c r="G6637" i="5"/>
  <c r="B6638" i="5"/>
  <c r="G6639" i="5"/>
  <c r="G6641" i="5"/>
  <c r="B6642" i="5"/>
  <c r="G6643" i="5"/>
  <c r="G6645" i="5"/>
  <c r="B6646" i="5"/>
  <c r="G6647" i="5"/>
  <c r="G6649" i="5"/>
  <c r="B6650" i="5"/>
  <c r="G6651" i="5"/>
  <c r="G6653" i="5"/>
  <c r="B6654" i="5"/>
  <c r="G6655" i="5"/>
  <c r="G6657" i="5"/>
  <c r="B6658" i="5"/>
  <c r="G6659" i="5"/>
  <c r="G6661" i="5"/>
  <c r="B6662" i="5"/>
  <c r="G6662" i="5"/>
  <c r="G6663" i="5"/>
  <c r="G6665" i="5"/>
  <c r="B6666" i="5"/>
  <c r="G6666" i="5"/>
  <c r="G6667" i="5"/>
  <c r="G6669" i="5"/>
  <c r="B6670" i="5"/>
  <c r="G6670" i="5"/>
  <c r="G6671" i="5"/>
  <c r="G6673" i="5"/>
  <c r="B6674" i="5"/>
  <c r="G6675" i="5"/>
  <c r="G6677" i="5"/>
  <c r="B6678" i="5"/>
  <c r="G6679" i="5"/>
  <c r="G6681" i="5"/>
  <c r="B6682" i="5"/>
  <c r="G6682" i="5"/>
  <c r="G6683" i="5"/>
  <c r="G6685" i="5"/>
  <c r="B6686" i="5"/>
  <c r="G6687" i="5"/>
  <c r="G6689" i="5"/>
  <c r="B6690" i="5"/>
  <c r="G6691" i="5"/>
  <c r="G6693" i="5"/>
  <c r="B6694" i="5"/>
  <c r="G6695" i="5"/>
  <c r="G6697" i="5"/>
  <c r="B6698" i="5"/>
  <c r="G6698" i="5"/>
  <c r="G6699" i="5"/>
  <c r="G6701" i="5"/>
  <c r="B6702" i="5"/>
  <c r="G6703" i="5"/>
  <c r="G6705" i="5"/>
  <c r="B6706" i="5"/>
  <c r="G6706" i="5"/>
  <c r="G6707" i="5"/>
  <c r="G6709" i="5"/>
  <c r="B6710" i="5"/>
  <c r="G6711" i="5"/>
  <c r="G6713" i="5"/>
  <c r="B6714" i="5"/>
  <c r="G6715" i="5"/>
  <c r="G6717" i="5"/>
  <c r="B6718" i="5"/>
  <c r="G6719" i="5"/>
  <c r="G6721" i="5"/>
  <c r="B6722" i="5"/>
  <c r="G6723" i="5"/>
  <c r="G6725" i="5"/>
  <c r="B6726" i="5"/>
  <c r="G6727" i="5"/>
  <c r="G6729" i="5"/>
  <c r="B6730" i="5"/>
  <c r="G6731" i="5"/>
  <c r="G6733" i="5"/>
  <c r="B6734" i="5"/>
  <c r="G6735" i="5"/>
  <c r="G6737" i="5"/>
  <c r="B6738" i="5"/>
  <c r="G6739" i="5"/>
  <c r="G6741" i="5"/>
  <c r="B6742" i="5"/>
  <c r="G6742" i="5"/>
  <c r="G6743" i="5"/>
  <c r="G6745" i="5"/>
  <c r="B6746" i="5"/>
  <c r="G6747" i="5"/>
  <c r="G6749" i="5"/>
  <c r="B6750" i="5"/>
  <c r="G6750" i="5"/>
  <c r="G6751" i="5"/>
  <c r="G6753" i="5"/>
  <c r="B6754" i="5"/>
  <c r="G6754" i="5"/>
  <c r="G6755" i="5"/>
  <c r="G6757" i="5"/>
  <c r="B6758" i="5"/>
  <c r="G6759" i="5"/>
  <c r="G6761" i="5"/>
  <c r="B6762" i="5"/>
  <c r="G6763" i="5"/>
  <c r="G6765" i="5"/>
  <c r="B6766" i="5"/>
  <c r="G6767" i="5"/>
  <c r="G6769" i="5"/>
  <c r="B6770" i="5"/>
  <c r="G6770" i="5"/>
  <c r="G6771" i="5"/>
  <c r="G6773" i="5"/>
  <c r="B6774" i="5"/>
  <c r="G6774" i="5"/>
  <c r="G6775" i="5"/>
  <c r="G6777" i="5"/>
  <c r="B6778" i="5"/>
  <c r="G6779" i="5"/>
  <c r="G6781" i="5"/>
  <c r="B6782" i="5"/>
  <c r="G6783" i="5"/>
  <c r="G6785" i="5"/>
  <c r="B6786" i="5"/>
  <c r="G6786" i="5"/>
  <c r="G6787" i="5"/>
  <c r="G6789" i="5"/>
  <c r="B6790" i="5"/>
  <c r="G6790" i="5"/>
  <c r="G6791" i="5"/>
  <c r="G6793" i="5"/>
  <c r="B6794" i="5"/>
  <c r="G6794" i="5"/>
  <c r="G6795" i="5"/>
  <c r="G6797" i="5"/>
  <c r="B6798" i="5"/>
  <c r="G6798" i="5"/>
  <c r="G6799" i="5"/>
  <c r="G6801" i="5"/>
  <c r="B6802" i="5"/>
  <c r="G6802" i="5"/>
  <c r="G6803" i="5"/>
  <c r="G6805" i="5"/>
  <c r="B6806" i="5"/>
  <c r="G6807" i="5"/>
  <c r="G6809" i="5"/>
  <c r="B6810" i="5"/>
  <c r="G6810" i="5"/>
  <c r="G6811" i="5"/>
  <c r="G6813" i="5"/>
  <c r="B6814" i="5"/>
  <c r="G6815" i="5"/>
  <c r="G6817" i="5"/>
  <c r="B6818" i="5"/>
  <c r="G6818" i="5"/>
  <c r="G6819" i="5"/>
  <c r="G6821" i="5"/>
  <c r="B6822" i="5"/>
  <c r="G6822" i="5"/>
  <c r="G6823" i="5"/>
  <c r="G6825" i="5"/>
  <c r="B6826" i="5"/>
  <c r="G6827" i="5"/>
  <c r="G6829" i="5"/>
  <c r="B6830" i="5"/>
  <c r="G6830" i="5"/>
  <c r="G6831" i="5"/>
  <c r="G6833" i="5"/>
  <c r="B6834" i="5"/>
  <c r="G6835" i="5"/>
  <c r="G6837" i="5"/>
  <c r="B6838" i="5"/>
  <c r="G6839" i="5"/>
  <c r="G6841" i="5"/>
  <c r="B6842" i="5"/>
  <c r="G6842" i="5"/>
  <c r="G6843" i="5"/>
  <c r="G6845" i="5"/>
  <c r="B6846" i="5"/>
  <c r="G6846" i="5"/>
  <c r="G6847" i="5"/>
  <c r="G6849" i="5"/>
  <c r="B6850" i="5"/>
  <c r="G6850" i="5"/>
  <c r="G6851" i="5"/>
  <c r="G6853" i="5"/>
  <c r="B6854" i="5"/>
  <c r="G6854" i="5"/>
  <c r="G6855" i="5"/>
  <c r="G6857" i="5"/>
  <c r="B6858" i="5"/>
  <c r="G6858" i="5"/>
  <c r="G6859" i="5"/>
  <c r="G6861" i="5"/>
  <c r="B6862" i="5"/>
  <c r="G6863" i="5"/>
  <c r="G6865" i="5"/>
  <c r="B6866" i="5"/>
  <c r="G6867" i="5"/>
  <c r="G6869" i="5"/>
  <c r="B6870" i="5"/>
  <c r="G6870" i="5"/>
  <c r="G6871" i="5"/>
  <c r="G6873" i="5"/>
  <c r="B6874" i="5"/>
  <c r="G6875" i="5"/>
  <c r="G6877" i="5"/>
  <c r="B6878" i="5"/>
  <c r="G6879" i="5"/>
  <c r="G6881" i="5"/>
  <c r="B6882" i="5"/>
  <c r="G6883" i="5"/>
  <c r="G6885" i="5"/>
  <c r="B6886" i="5"/>
  <c r="G6887" i="5"/>
  <c r="G6889" i="5"/>
  <c r="B6890" i="5"/>
  <c r="G6891" i="5"/>
  <c r="G6893" i="5"/>
  <c r="B6894" i="5"/>
  <c r="G6895" i="5"/>
  <c r="G6897" i="5"/>
  <c r="B6898" i="5"/>
  <c r="G6899" i="5"/>
  <c r="G6901" i="5"/>
  <c r="B6902" i="5"/>
  <c r="G6903" i="5"/>
  <c r="G6905" i="5"/>
  <c r="B6906" i="5"/>
  <c r="G6907" i="5"/>
  <c r="G6909" i="5"/>
  <c r="B6910" i="5"/>
  <c r="G6911" i="5"/>
  <c r="G6913" i="5"/>
  <c r="B6914" i="5"/>
  <c r="G6915" i="5"/>
  <c r="G6917" i="5"/>
  <c r="B6918" i="5"/>
  <c r="G6919" i="5"/>
  <c r="G6921" i="5"/>
  <c r="B6922" i="5"/>
  <c r="G6922" i="5"/>
  <c r="G6923" i="5"/>
  <c r="G6925" i="5"/>
  <c r="B6926" i="5"/>
  <c r="G6926" i="5"/>
  <c r="G6927" i="5"/>
  <c r="G6929" i="5"/>
  <c r="B6930" i="5"/>
  <c r="G6930" i="5"/>
  <c r="G6931" i="5"/>
  <c r="G6933" i="5"/>
  <c r="B6934" i="5"/>
  <c r="G6934" i="5"/>
  <c r="G6935" i="5"/>
  <c r="G6937" i="5"/>
  <c r="B6938" i="5"/>
  <c r="G6938" i="5"/>
  <c r="G6939" i="5"/>
  <c r="G6941" i="5"/>
  <c r="B6942" i="5"/>
  <c r="G6942" i="5"/>
  <c r="G6943" i="5"/>
  <c r="G6945" i="5"/>
  <c r="B6946" i="5"/>
  <c r="G6947" i="5"/>
  <c r="G6949" i="5"/>
  <c r="B6950" i="5"/>
  <c r="G6951" i="5"/>
  <c r="G6953" i="5"/>
  <c r="B6954" i="5"/>
  <c r="G6954" i="5"/>
  <c r="G6955" i="5"/>
  <c r="G6957" i="5"/>
  <c r="B6958" i="5"/>
  <c r="G6959" i="5"/>
  <c r="G6961" i="5"/>
  <c r="B6962" i="5"/>
  <c r="G6963" i="5"/>
  <c r="G6965" i="5"/>
  <c r="B6966" i="5"/>
  <c r="G6967" i="5"/>
  <c r="G6969" i="5"/>
  <c r="B6970" i="5"/>
  <c r="G6971" i="5"/>
  <c r="G6973" i="5"/>
  <c r="B6974" i="5"/>
  <c r="G6974" i="5"/>
  <c r="G6975" i="5"/>
  <c r="G6977" i="5"/>
  <c r="B6978" i="5"/>
  <c r="G6978" i="5"/>
  <c r="G6979" i="5"/>
  <c r="G6981" i="5"/>
  <c r="B6982" i="5"/>
  <c r="G6983" i="5"/>
  <c r="G6985" i="5"/>
  <c r="B6986" i="5"/>
  <c r="G6987" i="5"/>
  <c r="G6989" i="5"/>
  <c r="B6990" i="5"/>
  <c r="G6991" i="5"/>
  <c r="G6993" i="5"/>
  <c r="B6994" i="5"/>
  <c r="G6994" i="5"/>
  <c r="G6995" i="5"/>
  <c r="G6997" i="5"/>
  <c r="B6998" i="5"/>
  <c r="G6998" i="5"/>
  <c r="G6999" i="5"/>
  <c r="G7001" i="5"/>
  <c r="B7002" i="5"/>
  <c r="G7002" i="5"/>
  <c r="G7003" i="5"/>
  <c r="G7005" i="5"/>
  <c r="B7006" i="5"/>
  <c r="G7006" i="5"/>
  <c r="G7007" i="5"/>
  <c r="G7009" i="5"/>
  <c r="B7010" i="5"/>
  <c r="G7011" i="5"/>
  <c r="G7013" i="5"/>
  <c r="B7014" i="5"/>
  <c r="G7014" i="5"/>
  <c r="G7015" i="5"/>
  <c r="G7017" i="5"/>
  <c r="B7018" i="5"/>
  <c r="G7018" i="5"/>
  <c r="G7019" i="5"/>
  <c r="G7021" i="5"/>
  <c r="B7022" i="5"/>
  <c r="G7023" i="5"/>
  <c r="G7025" i="5"/>
  <c r="B7026" i="5"/>
  <c r="G7026" i="5"/>
  <c r="G7027" i="5"/>
  <c r="G7029" i="5"/>
  <c r="B7030" i="5"/>
  <c r="G7031" i="5"/>
  <c r="G7033" i="5"/>
  <c r="B7034" i="5"/>
  <c r="G7034" i="5"/>
  <c r="G7035" i="5"/>
  <c r="G7037" i="5"/>
  <c r="B7038" i="5"/>
  <c r="G7038" i="5"/>
  <c r="G7039" i="5"/>
  <c r="G7041" i="5"/>
  <c r="B7042" i="5"/>
  <c r="G7042" i="5"/>
  <c r="G7043" i="5"/>
  <c r="G7045" i="5"/>
  <c r="B7046" i="5"/>
  <c r="G7047" i="5"/>
  <c r="G7049" i="5"/>
  <c r="B7050" i="5"/>
  <c r="G7050" i="5"/>
  <c r="G7051" i="5"/>
  <c r="G7053" i="5"/>
  <c r="B7054" i="5"/>
  <c r="G7055" i="5"/>
  <c r="G7057" i="5"/>
  <c r="B7058" i="5"/>
  <c r="G7059" i="5"/>
  <c r="G7061" i="5"/>
  <c r="B7062" i="5"/>
  <c r="G7063" i="5"/>
  <c r="G7065" i="5"/>
  <c r="B7066" i="5"/>
  <c r="G7067" i="5"/>
  <c r="G7069" i="5"/>
  <c r="B7070" i="5"/>
  <c r="G7071" i="5"/>
  <c r="G7073" i="5"/>
  <c r="B7074" i="5"/>
  <c r="G7074" i="5"/>
  <c r="G7075" i="5"/>
  <c r="G7077" i="5"/>
  <c r="B7078" i="5"/>
  <c r="G7078" i="5"/>
  <c r="G7079" i="5"/>
  <c r="G7081" i="5"/>
  <c r="B7082" i="5"/>
  <c r="G7082" i="5"/>
  <c r="G7083" i="5"/>
  <c r="G7085" i="5"/>
  <c r="B7086" i="5"/>
  <c r="G7087" i="5"/>
  <c r="G7089" i="5"/>
  <c r="B7090" i="5"/>
  <c r="G7091" i="5"/>
  <c r="G7093" i="5"/>
  <c r="B7094" i="5"/>
  <c r="G7095" i="5"/>
  <c r="G7097" i="5"/>
  <c r="B7098" i="5"/>
  <c r="G7098" i="5"/>
  <c r="G7099" i="5"/>
  <c r="G7101" i="5"/>
  <c r="B7102" i="5"/>
  <c r="G7102" i="5"/>
  <c r="G7103" i="5"/>
  <c r="G7105" i="5"/>
  <c r="B7106" i="5"/>
  <c r="G7107" i="5"/>
  <c r="G7109" i="5"/>
  <c r="B7110" i="5"/>
  <c r="G7111" i="5"/>
  <c r="G7113" i="5"/>
  <c r="B7114" i="5"/>
  <c r="G7114" i="5"/>
  <c r="G7115" i="5"/>
  <c r="G7117" i="5"/>
  <c r="B7118" i="5"/>
  <c r="G7119" i="5"/>
  <c r="G7121" i="5"/>
  <c r="B7122" i="5"/>
  <c r="G7123" i="5"/>
  <c r="G7125" i="5"/>
  <c r="B7126" i="5"/>
  <c r="G7127" i="5"/>
  <c r="G7129" i="5"/>
  <c r="B7130" i="5"/>
  <c r="G7130" i="5"/>
  <c r="G7131" i="5"/>
  <c r="G7133" i="5"/>
  <c r="B7134" i="5"/>
  <c r="G7135" i="5"/>
  <c r="G7137" i="5"/>
  <c r="B7138" i="5"/>
  <c r="G7138" i="5"/>
  <c r="G7139" i="5"/>
  <c r="G7141" i="5"/>
  <c r="B7142" i="5"/>
  <c r="G7142" i="5"/>
  <c r="G7143" i="5"/>
  <c r="G7145" i="5"/>
  <c r="B7146" i="5"/>
  <c r="G7146" i="5"/>
  <c r="G7147" i="5"/>
  <c r="E7148" i="5"/>
  <c r="P7148" i="5" s="1"/>
  <c r="G7149" i="5"/>
  <c r="G7150" i="5"/>
  <c r="G7151" i="5"/>
  <c r="B7152" i="5"/>
  <c r="G7152" i="5"/>
  <c r="G7153" i="5"/>
  <c r="E7154" i="5"/>
  <c r="P7154" i="5" s="1"/>
  <c r="G7155" i="5"/>
  <c r="G7156" i="5"/>
  <c r="G7157" i="5"/>
  <c r="B7158" i="5"/>
  <c r="G7158" i="5"/>
  <c r="G7159" i="5"/>
  <c r="E7160" i="5"/>
  <c r="P7160" i="5" s="1"/>
  <c r="G7161" i="5"/>
  <c r="G7162" i="5"/>
  <c r="G7163" i="5"/>
  <c r="B7164" i="5"/>
  <c r="G7164" i="5"/>
  <c r="G7165" i="5"/>
  <c r="E7166" i="5"/>
  <c r="P7166" i="5" s="1"/>
  <c r="G7167" i="5"/>
  <c r="G7168" i="5"/>
  <c r="G7169" i="5"/>
  <c r="B7170" i="5"/>
  <c r="G7170" i="5"/>
  <c r="G7171" i="5"/>
  <c r="E7172" i="5"/>
  <c r="P7172" i="5" s="1"/>
  <c r="G7173" i="5"/>
  <c r="G7174" i="5"/>
  <c r="G7175" i="5"/>
  <c r="B7176" i="5"/>
  <c r="G7176" i="5"/>
  <c r="G7177" i="5"/>
  <c r="E7178" i="5"/>
  <c r="P7178" i="5" s="1"/>
  <c r="G7179" i="5"/>
  <c r="G7180" i="5"/>
  <c r="G7181" i="5"/>
  <c r="B7182" i="5"/>
  <c r="G7182" i="5"/>
  <c r="G7183" i="5"/>
  <c r="E7184" i="5"/>
  <c r="P7184" i="5" s="1"/>
  <c r="G7185" i="5"/>
  <c r="G7186" i="5"/>
  <c r="G7187" i="5"/>
  <c r="B7188" i="5"/>
  <c r="G7188" i="5"/>
  <c r="G7189" i="5"/>
  <c r="E7190" i="5"/>
  <c r="P7190" i="5" s="1"/>
  <c r="G7191" i="5"/>
  <c r="G7192" i="5"/>
  <c r="G7193" i="5"/>
  <c r="B7194" i="5"/>
  <c r="G7194" i="5"/>
  <c r="G7195" i="5"/>
  <c r="E7196" i="5"/>
  <c r="P7196" i="5" s="1"/>
  <c r="G7197" i="5"/>
  <c r="G7198" i="5"/>
  <c r="G7199" i="5"/>
  <c r="B7200" i="5"/>
  <c r="G7200" i="5"/>
  <c r="G7201" i="5"/>
  <c r="E7202" i="5"/>
  <c r="P7202" i="5" s="1"/>
  <c r="G7203" i="5"/>
  <c r="G7204" i="5"/>
  <c r="G7205" i="5"/>
  <c r="B7206" i="5"/>
  <c r="G7207" i="5"/>
  <c r="G7209" i="5"/>
  <c r="B7210" i="5"/>
  <c r="G7210" i="5"/>
  <c r="G7211" i="5"/>
  <c r="G7213" i="5"/>
  <c r="B7214" i="5"/>
  <c r="G7215" i="5"/>
  <c r="G7217" i="5"/>
  <c r="B7218" i="5"/>
  <c r="G7218" i="5"/>
  <c r="G7219" i="5"/>
  <c r="G7221" i="5"/>
  <c r="B7222" i="5"/>
  <c r="G7222" i="5"/>
  <c r="G7223" i="5"/>
  <c r="G7227" i="5"/>
  <c r="B7228" i="5"/>
  <c r="G7228" i="5"/>
  <c r="G7229" i="5"/>
  <c r="B7234" i="5"/>
  <c r="G7234" i="5"/>
  <c r="G7235" i="5"/>
  <c r="G7240" i="5"/>
  <c r="B7241" i="5"/>
  <c r="G7241" i="5"/>
  <c r="G7242" i="5"/>
  <c r="G7245" i="5"/>
  <c r="B7246" i="5"/>
  <c r="G7246" i="5"/>
  <c r="G7247" i="5"/>
  <c r="G7250" i="5"/>
  <c r="B7251" i="5"/>
  <c r="G7251" i="5"/>
  <c r="G7252" i="5"/>
  <c r="G7255" i="5"/>
  <c r="B7256" i="5"/>
  <c r="G7257" i="5"/>
  <c r="G7259" i="5"/>
  <c r="B7260" i="5"/>
  <c r="G7261" i="5"/>
  <c r="G7263" i="5"/>
  <c r="B7264" i="5"/>
  <c r="G7265" i="5"/>
  <c r="G7267" i="5"/>
  <c r="B7268" i="5"/>
  <c r="G7268" i="5"/>
  <c r="G7269" i="5"/>
  <c r="G7271" i="5"/>
  <c r="B7272" i="5"/>
  <c r="G7272" i="5"/>
  <c r="G7273" i="5"/>
  <c r="G7275" i="5"/>
  <c r="B7276" i="5"/>
  <c r="G7277" i="5"/>
  <c r="G7279" i="5"/>
  <c r="B7280" i="5"/>
  <c r="G7280" i="5"/>
  <c r="G7281" i="5"/>
  <c r="G7283" i="5"/>
  <c r="B7284" i="5"/>
  <c r="G7285" i="5"/>
  <c r="G7287" i="5"/>
  <c r="B7288" i="5"/>
  <c r="G7288" i="5"/>
  <c r="G7289" i="5"/>
  <c r="G7291" i="5"/>
  <c r="B7292" i="5"/>
  <c r="G7292" i="5"/>
  <c r="G7293" i="5"/>
  <c r="G7295" i="5"/>
  <c r="B7296" i="5"/>
  <c r="G7296" i="5"/>
  <c r="G7297" i="5"/>
  <c r="G7299" i="5"/>
  <c r="B7300" i="5"/>
  <c r="G7300" i="5"/>
  <c r="G7301" i="5"/>
  <c r="G7303" i="5"/>
  <c r="B7304" i="5"/>
  <c r="G7304" i="5"/>
  <c r="G7305" i="5"/>
  <c r="G7307" i="5"/>
  <c r="B7308" i="5"/>
  <c r="G7309" i="5"/>
  <c r="G7311" i="5"/>
  <c r="B7312" i="5"/>
  <c r="G7312" i="5"/>
  <c r="G7313" i="5"/>
  <c r="G7315" i="5"/>
  <c r="B7316" i="5"/>
  <c r="G7316" i="5"/>
  <c r="G7317" i="5"/>
  <c r="G7322" i="5"/>
  <c r="B7323" i="5"/>
  <c r="G7324" i="5"/>
  <c r="G7328" i="5"/>
  <c r="B7329" i="5"/>
  <c r="G7330" i="5"/>
  <c r="G7336" i="5"/>
  <c r="B7337" i="5"/>
  <c r="G7338" i="5"/>
  <c r="G7344" i="5"/>
  <c r="B7345" i="5"/>
  <c r="G7345" i="5"/>
  <c r="G7346" i="5"/>
  <c r="G7350" i="5"/>
  <c r="B7351" i="5"/>
  <c r="G7351" i="5"/>
  <c r="G7352" i="5"/>
  <c r="G7355" i="5"/>
  <c r="B7356" i="5"/>
  <c r="G7356" i="5"/>
  <c r="G7357" i="5"/>
  <c r="G7360" i="5"/>
  <c r="B7361" i="5"/>
  <c r="G7362" i="5"/>
  <c r="G7367" i="5"/>
  <c r="B7368" i="5"/>
  <c r="G7368" i="5"/>
  <c r="G7369" i="5"/>
  <c r="G7374" i="5"/>
  <c r="B7375" i="5"/>
  <c r="G7376" i="5"/>
  <c r="G7382" i="5"/>
  <c r="B7383" i="5"/>
  <c r="G7383" i="5"/>
  <c r="G7384" i="5"/>
  <c r="G7388" i="5"/>
  <c r="B7389" i="5"/>
  <c r="G7389" i="5"/>
  <c r="G7390" i="5"/>
  <c r="G7395" i="5"/>
  <c r="B7396" i="5"/>
  <c r="G7396" i="5"/>
  <c r="G7397" i="5"/>
  <c r="G7401" i="5"/>
  <c r="B7402" i="5"/>
  <c r="G7402" i="5"/>
  <c r="G7403" i="5"/>
  <c r="G7407" i="5"/>
  <c r="B7408" i="5"/>
  <c r="G7408" i="5"/>
  <c r="G7409" i="5"/>
  <c r="G7413" i="5"/>
  <c r="B7414" i="5"/>
  <c r="G7414" i="5"/>
  <c r="G7415" i="5"/>
  <c r="G7419" i="5"/>
  <c r="B7420" i="5"/>
  <c r="G7420" i="5"/>
  <c r="G7421" i="5"/>
  <c r="G7424" i="5"/>
  <c r="B7425" i="5"/>
  <c r="G7426" i="5"/>
  <c r="G7432" i="5"/>
  <c r="B7433" i="5"/>
  <c r="G7433" i="5"/>
  <c r="G7434" i="5"/>
  <c r="G7438" i="5"/>
  <c r="B7439" i="5"/>
  <c r="G7439" i="5"/>
  <c r="G7440" i="5"/>
  <c r="G7445" i="5"/>
  <c r="B7446" i="5"/>
  <c r="G7446" i="5"/>
  <c r="G7447" i="5"/>
  <c r="G7452" i="5"/>
  <c r="B7453" i="5"/>
  <c r="G7454" i="5"/>
  <c r="G7459" i="5"/>
  <c r="B7460" i="5"/>
  <c r="G7460" i="5"/>
  <c r="G7461" i="5"/>
  <c r="G7466" i="5"/>
  <c r="B7467" i="5"/>
  <c r="G7468" i="5"/>
  <c r="G7474" i="5"/>
  <c r="B7475" i="5"/>
  <c r="G7475" i="5"/>
  <c r="G7476" i="5"/>
  <c r="G7482" i="5"/>
  <c r="B7483" i="5"/>
  <c r="G7483" i="5"/>
  <c r="G7484" i="5"/>
  <c r="G7490" i="5"/>
  <c r="B7491" i="5"/>
  <c r="G7491" i="5"/>
  <c r="G7492" i="5"/>
  <c r="G7499" i="5"/>
  <c r="B7500" i="5"/>
  <c r="G7500" i="5"/>
  <c r="G7501" i="5"/>
  <c r="G7505" i="5"/>
  <c r="B7506" i="5"/>
  <c r="G7506" i="5"/>
  <c r="G7507" i="5"/>
  <c r="G7511" i="5"/>
  <c r="B7512" i="5"/>
  <c r="G7512" i="5"/>
  <c r="G7513" i="5"/>
  <c r="G7525" i="5"/>
  <c r="B7526" i="5"/>
  <c r="G7526" i="5"/>
  <c r="G7527" i="5"/>
  <c r="G7539" i="5"/>
  <c r="B7540" i="5"/>
  <c r="G7541" i="5"/>
  <c r="G7546" i="5"/>
  <c r="B7547" i="5"/>
  <c r="G7548" i="5"/>
  <c r="G7550" i="5"/>
  <c r="B7551" i="5"/>
  <c r="G7552" i="5"/>
  <c r="G7554" i="5"/>
  <c r="B7555" i="5"/>
  <c r="G7556" i="5"/>
  <c r="G7558" i="5"/>
  <c r="B7559" i="5"/>
  <c r="G7560" i="5"/>
  <c r="G7562" i="5"/>
  <c r="B7563" i="5"/>
  <c r="G7564" i="5"/>
  <c r="G7566" i="5"/>
  <c r="B7567" i="5"/>
  <c r="G7568" i="5"/>
  <c r="G7570" i="5"/>
  <c r="B7571" i="5"/>
  <c r="G7572" i="5"/>
  <c r="G7574" i="5"/>
  <c r="B7575" i="5"/>
  <c r="G7576" i="5"/>
  <c r="G7578" i="5"/>
  <c r="B7579" i="5"/>
  <c r="G7580" i="5"/>
  <c r="G7582" i="5"/>
  <c r="B7583" i="5"/>
  <c r="G7584" i="5"/>
  <c r="G7586" i="5"/>
  <c r="B7587" i="5"/>
  <c r="G7588" i="5"/>
  <c r="G7590" i="5"/>
  <c r="B7591" i="5"/>
  <c r="G7592" i="5"/>
  <c r="G7594" i="5"/>
  <c r="B7595" i="5"/>
  <c r="G7595" i="5"/>
  <c r="G7596" i="5"/>
  <c r="G7598" i="5"/>
  <c r="B7599" i="5"/>
  <c r="G7600" i="5"/>
  <c r="G7602" i="5"/>
  <c r="B7603" i="5"/>
  <c r="G7604" i="5"/>
  <c r="G7606" i="5"/>
  <c r="B7607" i="5"/>
  <c r="G7608" i="5"/>
  <c r="G7610" i="5"/>
  <c r="B7611" i="5"/>
  <c r="G7611" i="5"/>
  <c r="G7612" i="5"/>
  <c r="G7614" i="5"/>
  <c r="B7615" i="5"/>
  <c r="G7615" i="5"/>
  <c r="G7616" i="5"/>
  <c r="G7618" i="5"/>
  <c r="B7619" i="5"/>
  <c r="G7620" i="5"/>
  <c r="G7622" i="5"/>
  <c r="B7623" i="5"/>
  <c r="G7623" i="5"/>
  <c r="G7624" i="5"/>
  <c r="G7626" i="5"/>
  <c r="B7627" i="5"/>
  <c r="G7627" i="5"/>
  <c r="G7628" i="5"/>
  <c r="G7630" i="5"/>
  <c r="B7631" i="5"/>
  <c r="G7632" i="5"/>
  <c r="G7634" i="5"/>
  <c r="B7635" i="5"/>
  <c r="G7636" i="5"/>
  <c r="G7638" i="5"/>
  <c r="B7639" i="5"/>
  <c r="G7640" i="5"/>
  <c r="G7642" i="5"/>
  <c r="B7643" i="5"/>
  <c r="G7644" i="5"/>
  <c r="G7646" i="5"/>
  <c r="B7647" i="5"/>
  <c r="G7647" i="5"/>
  <c r="G7648" i="5"/>
  <c r="G7650" i="5"/>
  <c r="B7651" i="5"/>
  <c r="G7652" i="5"/>
  <c r="G7654" i="5"/>
  <c r="B7655" i="5"/>
  <c r="G7655" i="5"/>
  <c r="G7656" i="5"/>
  <c r="G7658" i="5"/>
  <c r="B7659" i="5"/>
  <c r="G7660" i="5"/>
  <c r="G7662" i="5"/>
  <c r="B7663" i="5"/>
  <c r="G7663" i="5"/>
  <c r="G7664" i="5"/>
  <c r="G7666" i="5"/>
  <c r="B7667" i="5"/>
  <c r="G7667" i="5"/>
  <c r="G7668" i="5"/>
  <c r="G7670" i="5"/>
  <c r="B7671" i="5"/>
  <c r="G7671" i="5"/>
  <c r="G7672" i="5"/>
  <c r="G7674" i="5"/>
  <c r="B7675" i="5"/>
  <c r="G7676" i="5"/>
  <c r="G7678" i="5"/>
  <c r="B7679" i="5"/>
  <c r="G7679" i="5"/>
  <c r="G7680" i="5"/>
  <c r="G7682" i="5"/>
  <c r="B7683" i="5"/>
  <c r="G7684" i="5"/>
  <c r="G7686" i="5"/>
  <c r="B7687" i="5"/>
  <c r="G7687" i="5"/>
  <c r="G7688" i="5"/>
  <c r="G7690" i="5"/>
  <c r="B7691" i="5"/>
  <c r="G7692" i="5"/>
  <c r="G7694" i="5"/>
  <c r="B7695" i="5"/>
  <c r="G7695" i="5"/>
  <c r="G7696" i="5"/>
  <c r="G7698" i="5"/>
  <c r="B7699" i="5"/>
  <c r="G7699" i="5"/>
  <c r="G7700" i="5"/>
  <c r="G7702" i="5"/>
  <c r="B7703" i="5"/>
  <c r="G7703" i="5"/>
  <c r="G7704" i="5"/>
  <c r="G7706" i="5"/>
  <c r="B7707" i="5"/>
  <c r="G7708" i="5"/>
  <c r="G7710" i="5"/>
  <c r="B7711" i="5"/>
  <c r="G7711" i="5"/>
  <c r="G7712" i="5"/>
  <c r="G7714" i="5"/>
  <c r="B7715" i="5"/>
  <c r="G7715" i="5"/>
  <c r="G7716" i="5"/>
  <c r="G7718" i="5"/>
  <c r="B7719" i="5"/>
  <c r="G7719" i="5"/>
  <c r="G7720" i="5"/>
  <c r="G7722" i="5"/>
  <c r="B7723" i="5"/>
  <c r="G7724" i="5"/>
  <c r="G7726" i="5"/>
  <c r="B7727" i="5"/>
  <c r="G7728" i="5"/>
  <c r="G7730" i="5"/>
  <c r="B7731" i="5"/>
  <c r="G7731" i="5"/>
  <c r="G7732" i="5"/>
  <c r="G7734" i="5"/>
  <c r="B7735" i="5"/>
  <c r="G7735" i="5"/>
  <c r="G7736" i="5"/>
  <c r="G7738" i="5"/>
  <c r="B7739" i="5"/>
  <c r="G7740" i="5"/>
  <c r="G7742" i="5"/>
  <c r="B7743" i="5"/>
  <c r="G7743" i="5"/>
  <c r="G7744" i="5"/>
  <c r="G7746" i="5"/>
  <c r="B7747" i="5"/>
  <c r="G7747" i="5"/>
  <c r="G7748" i="5"/>
  <c r="G7750" i="5"/>
  <c r="B7751" i="5"/>
  <c r="G7751" i="5"/>
  <c r="G7752" i="5"/>
  <c r="G7754" i="5"/>
  <c r="B7755" i="5"/>
  <c r="G7756" i="5"/>
  <c r="G7758" i="5"/>
  <c r="B7759" i="5"/>
  <c r="G7759" i="5"/>
  <c r="G7760" i="5"/>
  <c r="G7762" i="5"/>
  <c r="B7763" i="5"/>
  <c r="G7764" i="5"/>
  <c r="G7766" i="5"/>
  <c r="B7767" i="5"/>
  <c r="G7767" i="5"/>
  <c r="G7768" i="5"/>
  <c r="G7770" i="5"/>
  <c r="B7771" i="5"/>
  <c r="G7772" i="5"/>
  <c r="G7774" i="5"/>
  <c r="B7775" i="5"/>
  <c r="G7776" i="5"/>
  <c r="G7778" i="5"/>
  <c r="B7779" i="5"/>
  <c r="G7779" i="5"/>
  <c r="G7780" i="5"/>
  <c r="G7782" i="5"/>
  <c r="B7783" i="5"/>
  <c r="G7784" i="5"/>
  <c r="G7786" i="5"/>
  <c r="B7787" i="5"/>
  <c r="G7787" i="5"/>
  <c r="G7788" i="5"/>
  <c r="G7790" i="5"/>
  <c r="B7791" i="5"/>
  <c r="G7792" i="5"/>
  <c r="G7794" i="5"/>
  <c r="B7795" i="5"/>
  <c r="G7795" i="5"/>
  <c r="G7796" i="5"/>
  <c r="G7798" i="5"/>
  <c r="B7799" i="5"/>
  <c r="G7800" i="5"/>
  <c r="G7802" i="5"/>
  <c r="B7803" i="5"/>
  <c r="G7803" i="5"/>
  <c r="G7804" i="5"/>
  <c r="G7806" i="5"/>
  <c r="B7807" i="5"/>
  <c r="G7808" i="5"/>
  <c r="G7810" i="5"/>
  <c r="B7811" i="5"/>
  <c r="G7811" i="5"/>
  <c r="G7812" i="5"/>
  <c r="G7814" i="5"/>
  <c r="B7815" i="5"/>
  <c r="G7816" i="5"/>
  <c r="G7818" i="5"/>
  <c r="B7819" i="5"/>
  <c r="G7820" i="5"/>
  <c r="G7822" i="5"/>
  <c r="B7823" i="5"/>
  <c r="G7823" i="5"/>
  <c r="G7824" i="5"/>
  <c r="G7826" i="5"/>
  <c r="B7827" i="5"/>
  <c r="G7827" i="5"/>
  <c r="G7828" i="5"/>
  <c r="G7830" i="5"/>
  <c r="B7831" i="5"/>
  <c r="G7832" i="5"/>
  <c r="G7834" i="5"/>
  <c r="B7835" i="5"/>
  <c r="G7835" i="5"/>
  <c r="G7836" i="5"/>
  <c r="G7838" i="5"/>
  <c r="B7839" i="5"/>
  <c r="G7840" i="5"/>
  <c r="G7842" i="5"/>
  <c r="B7843" i="5"/>
  <c r="G7843" i="5"/>
  <c r="G7844" i="5"/>
  <c r="G7846" i="5"/>
  <c r="B7847" i="5"/>
  <c r="G7848" i="5"/>
  <c r="G7850" i="5"/>
  <c r="B7851" i="5"/>
  <c r="G7851" i="5"/>
  <c r="G7852" i="5"/>
  <c r="G7854" i="5"/>
  <c r="B7855" i="5"/>
  <c r="G7855" i="5"/>
  <c r="G7856" i="5"/>
  <c r="G7858" i="5"/>
  <c r="B7859" i="5"/>
  <c r="G7860" i="5"/>
  <c r="G7862" i="5"/>
  <c r="B7863" i="5"/>
  <c r="G7863" i="5"/>
  <c r="G7864" i="5"/>
  <c r="G7866" i="5"/>
  <c r="B7867" i="5"/>
  <c r="G7867" i="5"/>
  <c r="G7868" i="5"/>
  <c r="G7870" i="5"/>
  <c r="B7871" i="5"/>
  <c r="G7872" i="5"/>
  <c r="G7874" i="5"/>
  <c r="G7875" i="5"/>
  <c r="G7876" i="5"/>
  <c r="G7878" i="5"/>
  <c r="B7879" i="5"/>
  <c r="G7880" i="5"/>
  <c r="G7882" i="5"/>
  <c r="B7883" i="5"/>
  <c r="G7883" i="5"/>
  <c r="G7884" i="5"/>
  <c r="G7886" i="5"/>
  <c r="B7887" i="5"/>
  <c r="G7887" i="5"/>
  <c r="G7888" i="5"/>
  <c r="G7890" i="5"/>
  <c r="B7891" i="5"/>
  <c r="G7891" i="5"/>
  <c r="G7892" i="5"/>
  <c r="G7894" i="5"/>
  <c r="B7895" i="5"/>
  <c r="G7895" i="5"/>
  <c r="G7896" i="5"/>
  <c r="G7898" i="5"/>
  <c r="B7899" i="5"/>
  <c r="G7899" i="5"/>
  <c r="G7900" i="5"/>
  <c r="G7902" i="5"/>
  <c r="B7903" i="5"/>
  <c r="G7904" i="5"/>
  <c r="G7906" i="5"/>
  <c r="B7907" i="5"/>
  <c r="G7908" i="5"/>
  <c r="G7910" i="5"/>
  <c r="B7911" i="5"/>
  <c r="G7912" i="5"/>
  <c r="G7914" i="5"/>
  <c r="B7915" i="5"/>
  <c r="G7915" i="5"/>
  <c r="G7916" i="5"/>
  <c r="G7918" i="5"/>
  <c r="B7919" i="5"/>
  <c r="G7919" i="5"/>
  <c r="G7920" i="5"/>
  <c r="G7922" i="5"/>
  <c r="B7923" i="5"/>
  <c r="G7924" i="5"/>
  <c r="G7926" i="5"/>
  <c r="B7927" i="5"/>
  <c r="G7927" i="5"/>
  <c r="G7928" i="5"/>
  <c r="G7930" i="5"/>
  <c r="B7931" i="5"/>
  <c r="G7931" i="5"/>
  <c r="G7932" i="5"/>
  <c r="G7934" i="5"/>
  <c r="B7935" i="5"/>
  <c r="G7935" i="5"/>
  <c r="G7936" i="5"/>
  <c r="G7938" i="5"/>
  <c r="B7939" i="5"/>
  <c r="G7939" i="5"/>
  <c r="G7940" i="5"/>
  <c r="G7942" i="5"/>
  <c r="B7943" i="5"/>
  <c r="G7943" i="5"/>
  <c r="G7944" i="5"/>
  <c r="G7946" i="5"/>
  <c r="B7947" i="5"/>
  <c r="G7948" i="5"/>
  <c r="G7950" i="5"/>
  <c r="B7951" i="5"/>
  <c r="G7951" i="5"/>
  <c r="G7952" i="5"/>
  <c r="G7954" i="5"/>
  <c r="B7955" i="5"/>
  <c r="G7956" i="5"/>
  <c r="G7958" i="5"/>
  <c r="B7959" i="5"/>
  <c r="G7959" i="5"/>
  <c r="G7960" i="5"/>
  <c r="G7962" i="5"/>
  <c r="B7963" i="5"/>
  <c r="G7963" i="5"/>
  <c r="G7964" i="5"/>
  <c r="G7966" i="5"/>
  <c r="B7967" i="5"/>
  <c r="G7967" i="5"/>
  <c r="G7968" i="5"/>
  <c r="G7970" i="5"/>
  <c r="B7971" i="5"/>
  <c r="G7972" i="5"/>
  <c r="G7974" i="5"/>
  <c r="B7975" i="5"/>
  <c r="G7975" i="5"/>
  <c r="G7976" i="5"/>
  <c r="G7978" i="5"/>
  <c r="B7979" i="5"/>
  <c r="G7980" i="5"/>
  <c r="G7982" i="5"/>
  <c r="B7983" i="5"/>
  <c r="G7983" i="5"/>
  <c r="G7984" i="5"/>
  <c r="G7986" i="5"/>
  <c r="B7987" i="5"/>
  <c r="G7988" i="5"/>
  <c r="G7990" i="5"/>
  <c r="B7991" i="5"/>
  <c r="G7992" i="5"/>
  <c r="G7994" i="5"/>
  <c r="B7995" i="5"/>
  <c r="G7996" i="5"/>
  <c r="G7998" i="5"/>
  <c r="B7999" i="5"/>
  <c r="G8000" i="5"/>
  <c r="G8002" i="5"/>
  <c r="B8003" i="5"/>
  <c r="G8004" i="5"/>
  <c r="G8006" i="5"/>
  <c r="B8007" i="5"/>
  <c r="G8007" i="5"/>
  <c r="G8008" i="5"/>
  <c r="G8010" i="5"/>
  <c r="B8011" i="5"/>
  <c r="G8012" i="5"/>
  <c r="G8014" i="5"/>
  <c r="B8015" i="5"/>
  <c r="G8015" i="5"/>
  <c r="G8016" i="5"/>
  <c r="G8018" i="5"/>
  <c r="B8019" i="5"/>
  <c r="G8019" i="5"/>
  <c r="G8020" i="5"/>
  <c r="G8022" i="5"/>
  <c r="B8023" i="5"/>
  <c r="G8023" i="5"/>
  <c r="G8024" i="5"/>
  <c r="G8026" i="5"/>
  <c r="B8027" i="5"/>
  <c r="G8028" i="5"/>
  <c r="G8030" i="5"/>
  <c r="B8031" i="5"/>
  <c r="G8032" i="5"/>
  <c r="G8034" i="5"/>
  <c r="B8035" i="5"/>
  <c r="G8035" i="5"/>
  <c r="G8036" i="5"/>
  <c r="G8038" i="5"/>
  <c r="B8039" i="5"/>
  <c r="G8039" i="5"/>
  <c r="G8040" i="5"/>
  <c r="G8042" i="5"/>
  <c r="B8043" i="5"/>
  <c r="G8044" i="5"/>
  <c r="G8046" i="5"/>
  <c r="B8047" i="5"/>
  <c r="G8048" i="5"/>
  <c r="G8050" i="5"/>
  <c r="B8051" i="5"/>
  <c r="G8052" i="5"/>
  <c r="G8054" i="5"/>
  <c r="B8055" i="5"/>
  <c r="G8055" i="5"/>
  <c r="G8056" i="5"/>
  <c r="G8058" i="5"/>
  <c r="B8059" i="5"/>
  <c r="G8059" i="5"/>
  <c r="G8060" i="5"/>
  <c r="G8062" i="5"/>
  <c r="B8063" i="5"/>
  <c r="G8064" i="5"/>
  <c r="G8066" i="5"/>
  <c r="B8067" i="5"/>
  <c r="G8068" i="5"/>
  <c r="G8070" i="5"/>
  <c r="B8071" i="5"/>
  <c r="G8072" i="5"/>
  <c r="G8074" i="5"/>
  <c r="B8075" i="5"/>
  <c r="G8075" i="5"/>
  <c r="G8076" i="5"/>
  <c r="G8078" i="5"/>
  <c r="B8079" i="5"/>
  <c r="G8079" i="5"/>
  <c r="G8080" i="5"/>
  <c r="G8082" i="5"/>
  <c r="B8083" i="5"/>
  <c r="G8084" i="5"/>
  <c r="G8086" i="5"/>
  <c r="B8087" i="5"/>
  <c r="G8087" i="5"/>
  <c r="G8088" i="5"/>
  <c r="G8090" i="5"/>
  <c r="B8091" i="5"/>
  <c r="G8091" i="5"/>
  <c r="G8092" i="5"/>
  <c r="G8094" i="5"/>
  <c r="B8095" i="5"/>
  <c r="G8096" i="5"/>
  <c r="G8098" i="5"/>
  <c r="B8099" i="5"/>
  <c r="G8099" i="5"/>
  <c r="G8100" i="5"/>
  <c r="G8102" i="5"/>
  <c r="B8103" i="5"/>
  <c r="G8104" i="5"/>
  <c r="G8106" i="5"/>
  <c r="B8107" i="5"/>
  <c r="G8108" i="5"/>
  <c r="G8110" i="5"/>
  <c r="B8111" i="5"/>
  <c r="G8111" i="5"/>
  <c r="G8112" i="5"/>
  <c r="G8114" i="5"/>
  <c r="B8115" i="5"/>
  <c r="G8115" i="5"/>
  <c r="G8116" i="5"/>
  <c r="G8118" i="5"/>
  <c r="B8119" i="5"/>
  <c r="G8120" i="5"/>
  <c r="G8122" i="5"/>
  <c r="B8123" i="5"/>
  <c r="G8123" i="5"/>
  <c r="G8124" i="5"/>
  <c r="G8126" i="5"/>
  <c r="B8127" i="5"/>
  <c r="G8127" i="5"/>
  <c r="G8128" i="5"/>
  <c r="G8130" i="5"/>
  <c r="B8131" i="5"/>
  <c r="G8132" i="5"/>
  <c r="G8134" i="5"/>
  <c r="B8135" i="5"/>
  <c r="G8136" i="5"/>
  <c r="G8138" i="5"/>
  <c r="B8139" i="5"/>
  <c r="G8139" i="5"/>
  <c r="G8140" i="5"/>
  <c r="G8142" i="5"/>
  <c r="B8143" i="5"/>
  <c r="G8144" i="5"/>
  <c r="G8146" i="5"/>
  <c r="B8147" i="5"/>
  <c r="G8147" i="5"/>
  <c r="G8148" i="5"/>
  <c r="G8150" i="5"/>
  <c r="B8151" i="5"/>
  <c r="G8151" i="5"/>
  <c r="G8152" i="5"/>
  <c r="G8154" i="5"/>
  <c r="B8155" i="5"/>
  <c r="G8156" i="5"/>
  <c r="G8158" i="5"/>
  <c r="B8159" i="5"/>
  <c r="G8159" i="5"/>
  <c r="G8160" i="5"/>
  <c r="G8162" i="5"/>
  <c r="B8163" i="5"/>
  <c r="G8163" i="5"/>
  <c r="G8164" i="5"/>
  <c r="G8166" i="5"/>
  <c r="B8167" i="5"/>
  <c r="G8168" i="5"/>
  <c r="G8170" i="5"/>
  <c r="B8171" i="5"/>
  <c r="G8172" i="5"/>
  <c r="G8174" i="5"/>
  <c r="B8175" i="5"/>
  <c r="G8176" i="5"/>
  <c r="G8178" i="5"/>
  <c r="B8179" i="5"/>
  <c r="G8179" i="5"/>
  <c r="G8180" i="5"/>
  <c r="G8188" i="5"/>
  <c r="B8189" i="5"/>
  <c r="G8189" i="5"/>
  <c r="G8190" i="5"/>
  <c r="G8198" i="5"/>
  <c r="B8199" i="5"/>
  <c r="G8199" i="5"/>
  <c r="G8200" i="5"/>
  <c r="G8210" i="5"/>
  <c r="B8211" i="5"/>
  <c r="G8211" i="5"/>
  <c r="G8212" i="5"/>
  <c r="G8214" i="5"/>
  <c r="B8215" i="5"/>
  <c r="G8215" i="5"/>
  <c r="G8216" i="5"/>
  <c r="E8218" i="5"/>
  <c r="P8218" i="5" s="1"/>
  <c r="G8219" i="5"/>
  <c r="B8220" i="5"/>
  <c r="G8220" i="5"/>
  <c r="G8221" i="5"/>
  <c r="G8224" i="5"/>
  <c r="B8225" i="5"/>
  <c r="G8225" i="5"/>
  <c r="G8226" i="5"/>
  <c r="G8230" i="5"/>
  <c r="B8231" i="5"/>
  <c r="G8231" i="5"/>
  <c r="G8232" i="5"/>
  <c r="G8237" i="5"/>
  <c r="F59" i="8"/>
  <c r="F61" i="8"/>
  <c r="F63" i="8"/>
  <c r="F64" i="8"/>
  <c r="F65" i="8"/>
  <c r="F67" i="8"/>
  <c r="F68" i="8"/>
  <c r="F69" i="8"/>
  <c r="F71" i="8"/>
  <c r="F72" i="8"/>
  <c r="F76" i="8"/>
  <c r="F137" i="8"/>
  <c r="F140" i="8"/>
  <c r="F141" i="8"/>
  <c r="F167" i="8"/>
  <c r="F168" i="8"/>
  <c r="F294" i="8"/>
  <c r="F295" i="8"/>
  <c r="F388" i="8"/>
  <c r="F389" i="8"/>
  <c r="F390" i="8"/>
  <c r="F391" i="8"/>
  <c r="F392" i="8"/>
  <c r="F393" i="8"/>
  <c r="F395" i="8"/>
  <c r="F397" i="8"/>
  <c r="F399" i="8"/>
  <c r="F400" i="8"/>
  <c r="F401" i="8"/>
  <c r="F403" i="8"/>
  <c r="F406" i="8"/>
  <c r="F407" i="8"/>
  <c r="F408" i="8"/>
  <c r="F409" i="8"/>
  <c r="F411" i="8"/>
  <c r="F417" i="8"/>
  <c r="F418" i="8"/>
  <c r="F422" i="8"/>
  <c r="F423" i="8"/>
  <c r="F424" i="8"/>
  <c r="F428" i="8"/>
  <c r="F429" i="8"/>
  <c r="F430" i="8"/>
  <c r="F431" i="8"/>
  <c r="F432" i="8"/>
  <c r="F433" i="8"/>
  <c r="F436" i="8"/>
  <c r="F438" i="8"/>
  <c r="F440" i="8"/>
  <c r="F444" i="8"/>
  <c r="F446" i="8"/>
  <c r="F447" i="8"/>
  <c r="F449" i="8"/>
  <c r="F451" i="8"/>
  <c r="F453" i="8"/>
  <c r="F455" i="8"/>
  <c r="F457" i="8"/>
  <c r="F459" i="8"/>
  <c r="F461" i="8"/>
  <c r="F462" i="8"/>
  <c r="F463" i="8"/>
  <c r="F465" i="8"/>
  <c r="F467" i="8"/>
  <c r="F468" i="8"/>
  <c r="F471" i="8"/>
  <c r="F474" i="8"/>
  <c r="F478" i="8"/>
  <c r="F479" i="8"/>
  <c r="F480" i="8"/>
  <c r="F483" i="8"/>
  <c r="F486" i="8"/>
  <c r="F487" i="8"/>
  <c r="F491" i="8"/>
  <c r="F502" i="8"/>
  <c r="F504" i="8"/>
  <c r="F520" i="8"/>
  <c r="F524" i="8"/>
  <c r="F525" i="8"/>
  <c r="F526" i="8"/>
  <c r="F530" i="8"/>
  <c r="F533" i="8"/>
  <c r="F534" i="8"/>
  <c r="F538" i="8"/>
  <c r="F540" i="8"/>
  <c r="F541" i="8"/>
  <c r="F542" i="8"/>
  <c r="F544" i="8"/>
  <c r="F546" i="8"/>
  <c r="F548" i="8"/>
  <c r="F549" i="8"/>
  <c r="F552" i="8"/>
  <c r="F554" i="8"/>
  <c r="F556" i="8"/>
  <c r="F557" i="8"/>
  <c r="F558" i="8"/>
  <c r="F560" i="8"/>
  <c r="F589" i="8"/>
  <c r="F594" i="8"/>
  <c r="F595" i="8"/>
  <c r="F598" i="8"/>
  <c r="F599" i="8"/>
  <c r="F600" i="8"/>
  <c r="F602" i="8"/>
  <c r="F604" i="8"/>
  <c r="F606" i="8"/>
  <c r="F607" i="8"/>
  <c r="F608" i="8"/>
  <c r="F610" i="8"/>
  <c r="F611" i="8"/>
  <c r="F612" i="8"/>
  <c r="F614" i="8"/>
  <c r="F618" i="8"/>
  <c r="F622" i="8"/>
  <c r="F623" i="8"/>
  <c r="F626" i="8"/>
  <c r="F630" i="8"/>
  <c r="F631" i="8"/>
  <c r="F634" i="8"/>
  <c r="F638" i="8"/>
  <c r="F639" i="8"/>
  <c r="F642" i="8"/>
  <c r="F643" i="8"/>
  <c r="F646" i="8"/>
  <c r="F647" i="8"/>
  <c r="F650" i="8"/>
  <c r="F654" i="8"/>
  <c r="F656" i="8"/>
  <c r="F659" i="8"/>
  <c r="F662" i="8"/>
  <c r="F663" i="8"/>
  <c r="F666" i="8"/>
  <c r="F670" i="8"/>
  <c r="F671" i="8"/>
  <c r="F672" i="8"/>
  <c r="F674" i="8"/>
  <c r="F675" i="8"/>
  <c r="F678" i="8"/>
  <c r="F682" i="8"/>
  <c r="F683" i="8"/>
  <c r="F686" i="8"/>
  <c r="F687" i="8"/>
  <c r="F688" i="8"/>
  <c r="F694" i="8"/>
  <c r="F695" i="8"/>
  <c r="F698" i="8"/>
  <c r="F700" i="8"/>
  <c r="F702" i="8"/>
  <c r="F703" i="8"/>
  <c r="F704" i="8"/>
  <c r="F707" i="8"/>
  <c r="F710" i="8"/>
  <c r="F711" i="8"/>
  <c r="F724" i="8"/>
  <c r="F727" i="8"/>
  <c r="H731" i="8"/>
  <c r="F732" i="8"/>
  <c r="F734" i="8"/>
  <c r="F735" i="8"/>
  <c r="I736" i="8"/>
  <c r="F738" i="8"/>
  <c r="F746" i="8"/>
  <c r="F752" i="8"/>
  <c r="F756" i="8"/>
  <c r="F760" i="8"/>
  <c r="F764" i="8"/>
  <c r="F768" i="8"/>
  <c r="F772" i="8"/>
  <c r="F781" i="8"/>
  <c r="F782" i="8"/>
  <c r="F784" i="8"/>
  <c r="F785" i="8"/>
  <c r="F790" i="8"/>
  <c r="F793" i="8"/>
  <c r="F798" i="8"/>
  <c r="F801" i="8"/>
  <c r="F806" i="8"/>
  <c r="F808" i="8"/>
  <c r="F809" i="8"/>
  <c r="F812" i="8"/>
  <c r="F814" i="8"/>
  <c r="F817" i="8"/>
  <c r="F840" i="8"/>
  <c r="F842" i="8"/>
  <c r="F998" i="8"/>
  <c r="F1008" i="8"/>
  <c r="F1014" i="8"/>
  <c r="F1024" i="8"/>
  <c r="F1026" i="8"/>
  <c r="F1032" i="8"/>
  <c r="F1090" i="8"/>
  <c r="F1101" i="8"/>
  <c r="F1104" i="8"/>
  <c r="F1200" i="8"/>
  <c r="F1305" i="8"/>
  <c r="F1329" i="8"/>
  <c r="F1342" i="8"/>
  <c r="F1385" i="8"/>
  <c r="F1398" i="8"/>
  <c r="F1401" i="8"/>
  <c r="F1405" i="8"/>
  <c r="F1479" i="8"/>
  <c r="F1494" i="8"/>
  <c r="F1509" i="8"/>
  <c r="F1525" i="8"/>
  <c r="F1530" i="8"/>
  <c r="F1539" i="8"/>
  <c r="F1560" i="8"/>
  <c r="F1632" i="8"/>
  <c r="F1634" i="8"/>
  <c r="F1640" i="8"/>
  <c r="F1648" i="8"/>
  <c r="F1650" i="8"/>
  <c r="F1658" i="8"/>
  <c r="F1664" i="8"/>
  <c r="F1666" i="8"/>
  <c r="F1672" i="8"/>
  <c r="F1680" i="8"/>
  <c r="F1682" i="8"/>
  <c r="F1688" i="8"/>
  <c r="F1690" i="8"/>
  <c r="F1698" i="8"/>
  <c r="F1704" i="8"/>
  <c r="F1706" i="8"/>
  <c r="F1722" i="8"/>
  <c r="F1728" i="8"/>
  <c r="F1730" i="8"/>
  <c r="F1738" i="8"/>
  <c r="F1744" i="8"/>
  <c r="F1746" i="8"/>
  <c r="F1754" i="8"/>
  <c r="F1762" i="8"/>
  <c r="F1770" i="8"/>
  <c r="F1778" i="8"/>
  <c r="F1786" i="8"/>
  <c r="F1794" i="8"/>
  <c r="F1802" i="8"/>
  <c r="F1810" i="8"/>
  <c r="F1822" i="8"/>
  <c r="F1826" i="8"/>
  <c r="F1910" i="8"/>
  <c r="F1914" i="8"/>
  <c r="F1925" i="8"/>
  <c r="F1937" i="8"/>
  <c r="F1957" i="8"/>
  <c r="F1965" i="8"/>
  <c r="F1967" i="8"/>
  <c r="F1981" i="8"/>
  <c r="F1989" i="8"/>
  <c r="F2114" i="8"/>
  <c r="F2130" i="8"/>
  <c r="F2178" i="8"/>
  <c r="F2186" i="8"/>
  <c r="F2231" i="8"/>
  <c r="F2241" i="8"/>
  <c r="F2266" i="8"/>
  <c r="F2303" i="8"/>
  <c r="F2316" i="8"/>
  <c r="F2341" i="8"/>
  <c r="F2349" i="8"/>
  <c r="F2460" i="8"/>
  <c r="F2531" i="8"/>
  <c r="F2545" i="8"/>
  <c r="H2569" i="8"/>
  <c r="F2674" i="8"/>
  <c r="I2769" i="8"/>
  <c r="F2777" i="8"/>
  <c r="F2786" i="8"/>
  <c r="I2795" i="8"/>
  <c r="H2799" i="8"/>
  <c r="F2845" i="8"/>
  <c r="F2849" i="8"/>
  <c r="F2919" i="8"/>
  <c r="F2925" i="8"/>
  <c r="F2941" i="8"/>
  <c r="H2956" i="8"/>
  <c r="F2972" i="8"/>
  <c r="F3134" i="8"/>
  <c r="F3139" i="8"/>
  <c r="F3176" i="8"/>
  <c r="F3440" i="8"/>
  <c r="F134" i="6"/>
  <c r="Q134" i="6" s="1"/>
  <c r="F129" i="6"/>
  <c r="F124" i="6"/>
  <c r="F123" i="6"/>
  <c r="F118" i="6"/>
  <c r="F116" i="6"/>
  <c r="Q116" i="6" s="1"/>
  <c r="F117" i="6"/>
  <c r="F128" i="6"/>
  <c r="Q128" i="6" s="1"/>
  <c r="F112" i="6"/>
  <c r="F122" i="6"/>
  <c r="Q122" i="6" s="1"/>
  <c r="F130" i="6"/>
  <c r="F135" i="6"/>
  <c r="F114" i="6"/>
  <c r="Q114" i="6" s="1"/>
  <c r="F126" i="6"/>
  <c r="Q126" i="6" s="1"/>
  <c r="F127" i="6"/>
  <c r="Q127" i="6" s="1"/>
  <c r="F132" i="6"/>
  <c r="Q132" i="6" s="1"/>
  <c r="F120" i="6"/>
  <c r="Q120" i="6" s="1"/>
  <c r="F133" i="6"/>
  <c r="Q133" i="6" s="1"/>
  <c r="F121" i="6"/>
  <c r="Q121" i="6" s="1"/>
  <c r="F113" i="6"/>
  <c r="F119" i="6"/>
  <c r="F125" i="6"/>
  <c r="F131" i="6"/>
  <c r="F115" i="6"/>
  <c r="Q115" i="6" s="1"/>
  <c r="B17" i="9"/>
  <c r="I17" i="9" s="1"/>
  <c r="D101" i="6"/>
  <c r="O101" i="6" s="1"/>
  <c r="D102" i="6"/>
  <c r="O102" i="6" s="1"/>
  <c r="D236" i="6"/>
  <c r="O236" i="6" s="1"/>
  <c r="D237" i="6"/>
  <c r="O237" i="6" s="1"/>
  <c r="D280" i="6"/>
  <c r="O280" i="6" s="1"/>
  <c r="D281" i="6"/>
  <c r="O281" i="6" s="1"/>
  <c r="D308" i="6"/>
  <c r="O308" i="6" s="1"/>
  <c r="D309" i="6"/>
  <c r="O309" i="6" s="1"/>
  <c r="D399" i="6"/>
  <c r="O399" i="6" s="1"/>
  <c r="D400" i="6"/>
  <c r="O400" i="6" s="1"/>
  <c r="D411" i="6"/>
  <c r="O411" i="6" s="1"/>
  <c r="D412" i="6"/>
  <c r="O412" i="6" s="1"/>
  <c r="D559" i="6"/>
  <c r="O559" i="6" s="1"/>
  <c r="D560" i="6"/>
  <c r="O560" i="6" s="1"/>
  <c r="D31" i="7"/>
  <c r="D32" i="7"/>
  <c r="D53" i="7"/>
  <c r="D54" i="7"/>
  <c r="F55" i="7"/>
  <c r="D67" i="7"/>
  <c r="D68" i="7"/>
  <c r="F71" i="7"/>
  <c r="F562" i="6"/>
  <c r="F642" i="6"/>
  <c r="F641" i="6"/>
  <c r="F136" i="7"/>
  <c r="F135" i="7"/>
  <c r="F624" i="6"/>
  <c r="F620" i="6"/>
  <c r="F614" i="6"/>
  <c r="F613" i="6"/>
  <c r="F609" i="6"/>
  <c r="F608" i="6"/>
  <c r="F607" i="6"/>
  <c r="F601" i="6"/>
  <c r="F600" i="6"/>
  <c r="F134" i="7"/>
  <c r="F130" i="7"/>
  <c r="F121" i="7"/>
  <c r="F110" i="7"/>
  <c r="F108" i="7"/>
  <c r="F96" i="7"/>
  <c r="F92" i="7"/>
  <c r="F82" i="7"/>
  <c r="F81" i="7"/>
  <c r="F80" i="7"/>
  <c r="F74" i="7"/>
  <c r="F73" i="7"/>
  <c r="F60" i="7"/>
  <c r="F59" i="7"/>
  <c r="F58" i="7"/>
  <c r="F46" i="7"/>
  <c r="F45" i="7"/>
  <c r="F37" i="7"/>
  <c r="F36" i="7"/>
  <c r="F34" i="7"/>
  <c r="F33" i="7"/>
  <c r="F25" i="7"/>
  <c r="F24" i="7"/>
  <c r="F16" i="7"/>
  <c r="F12" i="7"/>
  <c r="F7" i="7"/>
  <c r="F596" i="6"/>
  <c r="F583" i="6"/>
  <c r="F582" i="6"/>
  <c r="F581" i="6"/>
  <c r="F576" i="6"/>
  <c r="F569" i="6"/>
  <c r="F565" i="6"/>
  <c r="F564" i="6"/>
  <c r="F563" i="6"/>
  <c r="F552" i="6"/>
  <c r="F551" i="6"/>
  <c r="F550" i="6"/>
  <c r="F544" i="6"/>
  <c r="F543" i="6"/>
  <c r="F539" i="6"/>
  <c r="F538" i="6"/>
  <c r="F533" i="6"/>
  <c r="F531" i="6"/>
  <c r="F527" i="6"/>
  <c r="F520" i="6"/>
  <c r="F519" i="6"/>
  <c r="F514" i="6"/>
  <c r="F513" i="6"/>
  <c r="F503" i="6"/>
  <c r="F473" i="6"/>
  <c r="F472" i="6"/>
  <c r="F458" i="6"/>
  <c r="F457" i="6"/>
  <c r="F440" i="6"/>
  <c r="F438" i="6"/>
  <c r="F428" i="6"/>
  <c r="F426" i="6"/>
  <c r="F417" i="6"/>
  <c r="F416" i="6"/>
  <c r="F415" i="6"/>
  <c r="F404" i="6"/>
  <c r="F403" i="6"/>
  <c r="F393" i="6"/>
  <c r="F392" i="6"/>
  <c r="F391" i="6"/>
  <c r="F374" i="6"/>
  <c r="F368" i="6"/>
  <c r="F367" i="6"/>
  <c r="F362" i="6"/>
  <c r="F360" i="6"/>
  <c r="F353" i="6"/>
  <c r="F352" i="6"/>
  <c r="F345" i="6"/>
  <c r="F339" i="6"/>
  <c r="F338" i="6"/>
  <c r="F328" i="6"/>
  <c r="F327" i="6"/>
  <c r="F326" i="6"/>
  <c r="F325" i="6"/>
  <c r="F324" i="6"/>
  <c r="F314" i="6"/>
  <c r="F312" i="6"/>
  <c r="F311" i="6"/>
  <c r="F310" i="6"/>
  <c r="F300" i="6"/>
  <c r="F299" i="6"/>
  <c r="F294" i="6"/>
  <c r="F293" i="6"/>
  <c r="F286" i="6"/>
  <c r="F285" i="6"/>
  <c r="F284" i="6"/>
  <c r="F283" i="6"/>
  <c r="F282" i="6"/>
  <c r="F274" i="6"/>
  <c r="F273" i="6"/>
  <c r="F267" i="6"/>
  <c r="F264" i="6"/>
  <c r="F263" i="6"/>
  <c r="F257" i="6"/>
  <c r="F255" i="6"/>
  <c r="F254" i="6"/>
  <c r="F253" i="6"/>
  <c r="F242" i="6"/>
  <c r="F241" i="6"/>
  <c r="F240" i="6"/>
  <c r="F239" i="6"/>
  <c r="F228" i="6"/>
  <c r="F227" i="6"/>
  <c r="F226" i="6"/>
  <c r="F225" i="6"/>
  <c r="F224" i="6"/>
  <c r="F214" i="6"/>
  <c r="F213" i="6"/>
  <c r="F209" i="6"/>
  <c r="F207" i="6"/>
  <c r="F195" i="6"/>
  <c r="F194" i="6"/>
  <c r="F191" i="6"/>
  <c r="F187" i="6"/>
  <c r="F186" i="6"/>
  <c r="F179" i="6"/>
  <c r="F175" i="6"/>
  <c r="F174" i="6"/>
  <c r="F173" i="6"/>
  <c r="F168" i="6"/>
  <c r="F166" i="6"/>
  <c r="F157" i="6"/>
  <c r="F155" i="6"/>
  <c r="F154" i="6"/>
  <c r="F153" i="6"/>
  <c r="F143" i="6"/>
  <c r="F142" i="6"/>
  <c r="F141" i="6"/>
  <c r="F137" i="6"/>
  <c r="F136" i="6"/>
  <c r="F111" i="6"/>
  <c r="F107" i="6"/>
  <c r="F104" i="6"/>
  <c r="F103" i="6"/>
  <c r="F97" i="6"/>
  <c r="F95" i="6"/>
  <c r="F94" i="6"/>
  <c r="F86" i="6"/>
  <c r="F85" i="6"/>
  <c r="F80" i="6"/>
  <c r="F78" i="6"/>
  <c r="F77" i="6"/>
  <c r="F76" i="6"/>
  <c r="F70" i="6"/>
  <c r="F69" i="6"/>
  <c r="F68" i="6"/>
  <c r="F61" i="6"/>
  <c r="F60" i="6"/>
  <c r="F58" i="6"/>
  <c r="F38" i="6"/>
  <c r="F27" i="6"/>
  <c r="F21" i="6"/>
  <c r="F20" i="6"/>
  <c r="F14" i="6"/>
  <c r="F13" i="6"/>
  <c r="F7" i="6"/>
  <c r="F599" i="6"/>
  <c r="F6" i="6"/>
  <c r="A1" i="9"/>
  <c r="E17" i="9"/>
  <c r="M17" i="9" s="1"/>
  <c r="G3205" i="8"/>
  <c r="G3177" i="8"/>
  <c r="G3169" i="8"/>
  <c r="G3227" i="8"/>
  <c r="G3208" i="8"/>
  <c r="G3188" i="8"/>
  <c r="G3184" i="8"/>
  <c r="G3168" i="8"/>
  <c r="G3140" i="8"/>
  <c r="G3162" i="8"/>
  <c r="G3207" i="8"/>
  <c r="G3199" i="8"/>
  <c r="G3183" i="8"/>
  <c r="G3167" i="8"/>
  <c r="G3163" i="8"/>
  <c r="G3198" i="8"/>
  <c r="G3190" i="8"/>
  <c r="G3159" i="8"/>
  <c r="G3131" i="8"/>
  <c r="G3138" i="8"/>
  <c r="G3134" i="8"/>
  <c r="G3129" i="8"/>
  <c r="G3106" i="8"/>
  <c r="G3069" i="8"/>
  <c r="G3055" i="8"/>
  <c r="G3032" i="8"/>
  <c r="G2998" i="8"/>
  <c r="G2956" i="8"/>
  <c r="G2908" i="8"/>
  <c r="G2851" i="8"/>
  <c r="G2842" i="8"/>
  <c r="G2823" i="8"/>
  <c r="G3067" i="8"/>
  <c r="G3057" i="8"/>
  <c r="G2977" i="8"/>
  <c r="G2958" i="8"/>
  <c r="G2925" i="8"/>
  <c r="G2863" i="8"/>
  <c r="G2849" i="8"/>
  <c r="G3097" i="8"/>
  <c r="G3024" i="8"/>
  <c r="G3019" i="8"/>
  <c r="G2986" i="8"/>
  <c r="G2953" i="8"/>
  <c r="G2910" i="8"/>
  <c r="G2867" i="8"/>
  <c r="G2839" i="8"/>
  <c r="G2820" i="8"/>
  <c r="G3046" i="8"/>
  <c r="G3013" i="8"/>
  <c r="G2848" i="8"/>
  <c r="G2835" i="8"/>
  <c r="G2803" i="8"/>
  <c r="G2779" i="8"/>
  <c r="G2771" i="8"/>
  <c r="G2759" i="8"/>
  <c r="G2731" i="8"/>
  <c r="G2719" i="8"/>
  <c r="G2966" i="8"/>
  <c r="G2954" i="8"/>
  <c r="G2897" i="8"/>
  <c r="G2859" i="8"/>
  <c r="G2847" i="8"/>
  <c r="G2815" i="8"/>
  <c r="G3026" i="8"/>
  <c r="G3086" i="8"/>
  <c r="G3018" i="8"/>
  <c r="G2980" i="8"/>
  <c r="G2973" i="8"/>
  <c r="G2933" i="8"/>
  <c r="G2806" i="8"/>
  <c r="G2762" i="8"/>
  <c r="G2754" i="8"/>
  <c r="G2750" i="8"/>
  <c r="G2738" i="8"/>
  <c r="G2918" i="8"/>
  <c r="G2899" i="8"/>
  <c r="G3094" i="8"/>
  <c r="G3070" i="8"/>
  <c r="G2997" i="8"/>
  <c r="G2914" i="8"/>
  <c r="G2895" i="8"/>
  <c r="G2833" i="8"/>
  <c r="G3044" i="8"/>
  <c r="G3030" i="8"/>
  <c r="G2931" i="8"/>
  <c r="G2919" i="8"/>
  <c r="G2857" i="8"/>
  <c r="G2793" i="8"/>
  <c r="G2781" i="8"/>
  <c r="G2773" i="8"/>
  <c r="G2745" i="8"/>
  <c r="G2725" i="8"/>
  <c r="G3083" i="8"/>
  <c r="G3068" i="8"/>
  <c r="G2964" i="8"/>
  <c r="G3075" i="8"/>
  <c r="G3049" i="8"/>
  <c r="G3002" i="8"/>
  <c r="G2930" i="8"/>
  <c r="G2893" i="8"/>
  <c r="G2800" i="8"/>
  <c r="G2792" i="8"/>
  <c r="G2772" i="8"/>
  <c r="G2748" i="8"/>
  <c r="G2740" i="8"/>
  <c r="G2728" i="8"/>
  <c r="G2982" i="8"/>
  <c r="G2917" i="8"/>
  <c r="G2866" i="8"/>
  <c r="G2855" i="8"/>
  <c r="G2843" i="8"/>
  <c r="G3114" i="8"/>
  <c r="G2697" i="8"/>
  <c r="G2703" i="8"/>
  <c r="G2682" i="8"/>
  <c r="G2683" i="8"/>
  <c r="G2692" i="8"/>
  <c r="G2644" i="8"/>
  <c r="G2640" i="8"/>
  <c r="G2628" i="8"/>
  <c r="G2667" i="8"/>
  <c r="G2659" i="8"/>
  <c r="G2643" i="8"/>
  <c r="G2666" i="8"/>
  <c r="G2650" i="8"/>
  <c r="G2626" i="8"/>
  <c r="G2677" i="8"/>
  <c r="G2661" i="8"/>
  <c r="G2633" i="8"/>
  <c r="G2625" i="8"/>
  <c r="G1377" i="8"/>
  <c r="G2614" i="8"/>
  <c r="G2590" i="8"/>
  <c r="G2566" i="8"/>
  <c r="G2562" i="8"/>
  <c r="G2542" i="8"/>
  <c r="G2522" i="8"/>
  <c r="G2510" i="8"/>
  <c r="G2466" i="8"/>
  <c r="G2462" i="8"/>
  <c r="G2458" i="8"/>
  <c r="G2418" i="8"/>
  <c r="G2414" i="8"/>
  <c r="G2398" i="8"/>
  <c r="G1357" i="8"/>
  <c r="G1373" i="8"/>
  <c r="G1367" i="8"/>
  <c r="G2585" i="8"/>
  <c r="G2535" i="8"/>
  <c r="G2471" i="8"/>
  <c r="G2457" i="8"/>
  <c r="G2448" i="8"/>
  <c r="G2621" i="8"/>
  <c r="G2557" i="8"/>
  <c r="G2493" i="8"/>
  <c r="G2475" i="8"/>
  <c r="G2452" i="8"/>
  <c r="G2420" i="8"/>
  <c r="G2366" i="8"/>
  <c r="G2318" i="8"/>
  <c r="G2314" i="8"/>
  <c r="G2306" i="8"/>
  <c r="G2294" i="8"/>
  <c r="G2270" i="8"/>
  <c r="G2262" i="8"/>
  <c r="G2250" i="8"/>
  <c r="G2210" i="8"/>
  <c r="G2194" i="8"/>
  <c r="G2174" i="8"/>
  <c r="G2166" i="8"/>
  <c r="G2146" i="8"/>
  <c r="G2616" i="8"/>
  <c r="G2575" i="8"/>
  <c r="G2488" i="8"/>
  <c r="G2456" i="8"/>
  <c r="G2415" i="8"/>
  <c r="G2620" i="8"/>
  <c r="G2597" i="8"/>
  <c r="G2556" i="8"/>
  <c r="G2483" i="8"/>
  <c r="G2428" i="8"/>
  <c r="G2583" i="8"/>
  <c r="G2560" i="8"/>
  <c r="G2551" i="8"/>
  <c r="G2441" i="8"/>
  <c r="G2432" i="8"/>
  <c r="G2377" i="8"/>
  <c r="G2573" i="8"/>
  <c r="G2564" i="8"/>
  <c r="G2523" i="8"/>
  <c r="G2445" i="8"/>
  <c r="G2395" i="8"/>
  <c r="G2600" i="8"/>
  <c r="G2568" i="8"/>
  <c r="G2527" i="8"/>
  <c r="G2449" i="8"/>
  <c r="G2399" i="8"/>
  <c r="G2572" i="8"/>
  <c r="G2563" i="8"/>
  <c r="G2540" i="8"/>
  <c r="G2517" i="8"/>
  <c r="G2435" i="8"/>
  <c r="G2288" i="8"/>
  <c r="G2279" i="8"/>
  <c r="G2256" i="8"/>
  <c r="G2224" i="8"/>
  <c r="G2160" i="8"/>
  <c r="G2151" i="8"/>
  <c r="G2251" i="8"/>
  <c r="G2219" i="8"/>
  <c r="G2196" i="8"/>
  <c r="G2419" i="8"/>
  <c r="G2405" i="8"/>
  <c r="G2337" i="8"/>
  <c r="G2273" i="8"/>
  <c r="G2223" i="8"/>
  <c r="G2145" i="8"/>
  <c r="G2136" i="8"/>
  <c r="G2128" i="8"/>
  <c r="G2116" i="8"/>
  <c r="G2092" i="8"/>
  <c r="G2080" i="8"/>
  <c r="G2044" i="8"/>
  <c r="G2040" i="8"/>
  <c r="G2032" i="8"/>
  <c r="G2016" i="8"/>
  <c r="G1996" i="8"/>
  <c r="G1984" i="8"/>
  <c r="G1968" i="8"/>
  <c r="G2385" i="8"/>
  <c r="G2355" i="8"/>
  <c r="G2323" i="8"/>
  <c r="G2268" i="8"/>
  <c r="G2227" i="8"/>
  <c r="G2195" i="8"/>
  <c r="G2368" i="8"/>
  <c r="G2336" i="8"/>
  <c r="G2304" i="8"/>
  <c r="G2231" i="8"/>
  <c r="G2208" i="8"/>
  <c r="G2176" i="8"/>
  <c r="G2127" i="8"/>
  <c r="G2119" i="8"/>
  <c r="G2103" i="8"/>
  <c r="G2075" i="8"/>
  <c r="G2067" i="8"/>
  <c r="G2051" i="8"/>
  <c r="G2031" i="8"/>
  <c r="G2023" i="8"/>
  <c r="G2019" i="8"/>
  <c r="G1979" i="8"/>
  <c r="G1967" i="8"/>
  <c r="G1955" i="8"/>
  <c r="G1935" i="8"/>
  <c r="G1923" i="8"/>
  <c r="G1915" i="8"/>
  <c r="G1907" i="8"/>
  <c r="G2372" i="8"/>
  <c r="G2340" i="8"/>
  <c r="G2267" i="8"/>
  <c r="G2253" i="8"/>
  <c r="G2235" i="8"/>
  <c r="G2212" i="8"/>
  <c r="G2353" i="8"/>
  <c r="G2303" i="8"/>
  <c r="G2225" i="8"/>
  <c r="G2216" i="8"/>
  <c r="G2193" i="8"/>
  <c r="G2161" i="8"/>
  <c r="G2348" i="8"/>
  <c r="G2339" i="8"/>
  <c r="G2275" i="8"/>
  <c r="G2220" i="8"/>
  <c r="G2211" i="8"/>
  <c r="G2179" i="8"/>
  <c r="G2156" i="8"/>
  <c r="G2098" i="8"/>
  <c r="G2082" i="8"/>
  <c r="G2045" i="8"/>
  <c r="G1997" i="8"/>
  <c r="G1981" i="8"/>
  <c r="G1970" i="8"/>
  <c r="G1954" i="8"/>
  <c r="G1889" i="8"/>
  <c r="G2148" i="8"/>
  <c r="G2134" i="8"/>
  <c r="G2086" i="8"/>
  <c r="G2070" i="8"/>
  <c r="G2065" i="8"/>
  <c r="G2049" i="8"/>
  <c r="G1990" i="8"/>
  <c r="G1985" i="8"/>
  <c r="G1929" i="8"/>
  <c r="G2139" i="8"/>
  <c r="G1933" i="8"/>
  <c r="G1924" i="8"/>
  <c r="G1883" i="8"/>
  <c r="G1863" i="8"/>
  <c r="G1859" i="8"/>
  <c r="G1847" i="8"/>
  <c r="G1835" i="8"/>
  <c r="G1815" i="8"/>
  <c r="G1803" i="8"/>
  <c r="G1799" i="8"/>
  <c r="G1787" i="8"/>
  <c r="G1763" i="8"/>
  <c r="G1755" i="8"/>
  <c r="G1751" i="8"/>
  <c r="G1739" i="8"/>
  <c r="G1711" i="8"/>
  <c r="G1707" i="8"/>
  <c r="G1703" i="8"/>
  <c r="G1691" i="8"/>
  <c r="G1667" i="8"/>
  <c r="G1659" i="8"/>
  <c r="G1655" i="8"/>
  <c r="G1643" i="8"/>
  <c r="G1615" i="8"/>
  <c r="G1611" i="8"/>
  <c r="G1607" i="8"/>
  <c r="G1591" i="8"/>
  <c r="G1571" i="8"/>
  <c r="G1563" i="8"/>
  <c r="G1559" i="8"/>
  <c r="G1543" i="8"/>
  <c r="G1519" i="8"/>
  <c r="G1515" i="8"/>
  <c r="G1507" i="8"/>
  <c r="G1495" i="8"/>
  <c r="G1475" i="8"/>
  <c r="G1463" i="8"/>
  <c r="G1455" i="8"/>
  <c r="G1447" i="8"/>
  <c r="G1419" i="8"/>
  <c r="G1415" i="8"/>
  <c r="G1411" i="8"/>
  <c r="G1399" i="8"/>
  <c r="G2101" i="8"/>
  <c r="G2090" i="8"/>
  <c r="G2074" i="8"/>
  <c r="G2058" i="8"/>
  <c r="G2005" i="8"/>
  <c r="G1994" i="8"/>
  <c r="G1989" i="8"/>
  <c r="G1962" i="8"/>
  <c r="G1896" i="8"/>
  <c r="G1941" i="8"/>
  <c r="G1918" i="8"/>
  <c r="G1886" i="8"/>
  <c r="G1862" i="8"/>
  <c r="G1858" i="8"/>
  <c r="G1854" i="8"/>
  <c r="G1834" i="8"/>
  <c r="G1814" i="8"/>
  <c r="G1810" i="8"/>
  <c r="G1798" i="8"/>
  <c r="G1790" i="8"/>
  <c r="G1766" i="8"/>
  <c r="G1758" i="8"/>
  <c r="G1750" i="8"/>
  <c r="G1738" i="8"/>
  <c r="G1714" i="8"/>
  <c r="G1706" i="8"/>
  <c r="G1702" i="8"/>
  <c r="G1694" i="8"/>
  <c r="G1666" i="8"/>
  <c r="G1662" i="8"/>
  <c r="G1654" i="8"/>
  <c r="G1642" i="8"/>
  <c r="G1618" i="8"/>
  <c r="G1610" i="8"/>
  <c r="G1606" i="8"/>
  <c r="G1598" i="8"/>
  <c r="G1570" i="8"/>
  <c r="G2137" i="8"/>
  <c r="G2121" i="8"/>
  <c r="G2089" i="8"/>
  <c r="G2046" i="8"/>
  <c r="G2030" i="8"/>
  <c r="G2025" i="8"/>
  <c r="G1993" i="8"/>
  <c r="G1950" i="8"/>
  <c r="G1945" i="8"/>
  <c r="G1913" i="8"/>
  <c r="G1926" i="8"/>
  <c r="G1852" i="8"/>
  <c r="G1825" i="8"/>
  <c r="G1820" i="8"/>
  <c r="G1793" i="8"/>
  <c r="G1745" i="8"/>
  <c r="G1729" i="8"/>
  <c r="G1724" i="8"/>
  <c r="G1697" i="8"/>
  <c r="G1660" i="8"/>
  <c r="G1644" i="8"/>
  <c r="G1633" i="8"/>
  <c r="G1617" i="8"/>
  <c r="G1569" i="8"/>
  <c r="G1560" i="8"/>
  <c r="G1546" i="8"/>
  <c r="G1514" i="8"/>
  <c r="G1464" i="8"/>
  <c r="G1441" i="8"/>
  <c r="G1432" i="8"/>
  <c r="G1400" i="8"/>
  <c r="G1477" i="8"/>
  <c r="G1436" i="8"/>
  <c r="G1422" i="8"/>
  <c r="G1390" i="8"/>
  <c r="G1541" i="8"/>
  <c r="G1509" i="8"/>
  <c r="G1486" i="8"/>
  <c r="G1413" i="8"/>
  <c r="G1872" i="8"/>
  <c r="G1856" i="8"/>
  <c r="G1845" i="8"/>
  <c r="G1824" i="8"/>
  <c r="G1781" i="8"/>
  <c r="G1765" i="8"/>
  <c r="G1760" i="8"/>
  <c r="G1744" i="8"/>
  <c r="G1696" i="8"/>
  <c r="G1685" i="8"/>
  <c r="G1680" i="8"/>
  <c r="G1653" i="8"/>
  <c r="G1616" i="8"/>
  <c r="G1600" i="8"/>
  <c r="G1589" i="8"/>
  <c r="G1568" i="8"/>
  <c r="G1513" i="8"/>
  <c r="G1490" i="8"/>
  <c r="G1481" i="8"/>
  <c r="G1458" i="8"/>
  <c r="G1394" i="8"/>
  <c r="G1540" i="8"/>
  <c r="G1526" i="8"/>
  <c r="G1476" i="8"/>
  <c r="G1428" i="8"/>
  <c r="G1558" i="8"/>
  <c r="G1549" i="8"/>
  <c r="G1908" i="8"/>
  <c r="G1849" i="8"/>
  <c r="G1833" i="8"/>
  <c r="G1828" i="8"/>
  <c r="G1812" i="8"/>
  <c r="G1764" i="8"/>
  <c r="G1753" i="8"/>
  <c r="G1748" i="8"/>
  <c r="G1721" i="8"/>
  <c r="G1684" i="8"/>
  <c r="G1668" i="8"/>
  <c r="G1657" i="8"/>
  <c r="G1636" i="8"/>
  <c r="G1593" i="8"/>
  <c r="G1577" i="8"/>
  <c r="G1572" i="8"/>
  <c r="G1553" i="8"/>
  <c r="G1489" i="8"/>
  <c r="G1480" i="8"/>
  <c r="G1466" i="8"/>
  <c r="G1434" i="8"/>
  <c r="G1516" i="8"/>
  <c r="G1484" i="8"/>
  <c r="G1470" i="8"/>
  <c r="G1429" i="8"/>
  <c r="G1566" i="8"/>
  <c r="G1548" i="8"/>
  <c r="G1534" i="8"/>
  <c r="G1493" i="8"/>
  <c r="G1885" i="8"/>
  <c r="G1880" i="8"/>
  <c r="G1869" i="8"/>
  <c r="G1848" i="8"/>
  <c r="G1805" i="8"/>
  <c r="G1789" i="8"/>
  <c r="G1784" i="8"/>
  <c r="G1757" i="8"/>
  <c r="G1720" i="8"/>
  <c r="G1704" i="8"/>
  <c r="G1693" i="8"/>
  <c r="G1677" i="8"/>
  <c r="G1629" i="8"/>
  <c r="G1624" i="8"/>
  <c r="G1613" i="8"/>
  <c r="G1592" i="8"/>
  <c r="G1538" i="8"/>
  <c r="G1520" i="8"/>
  <c r="G1506" i="8"/>
  <c r="G1474" i="8"/>
  <c r="G1424" i="8"/>
  <c r="G1401" i="8"/>
  <c r="G1392" i="8"/>
  <c r="G1542" i="8"/>
  <c r="G1533" i="8"/>
  <c r="G1501" i="8"/>
  <c r="G1469" i="8"/>
  <c r="G1386" i="8"/>
  <c r="G1350" i="8"/>
  <c r="G1346" i="8"/>
  <c r="G1347" i="8"/>
  <c r="G1344" i="8"/>
  <c r="G1304" i="8"/>
  <c r="G1306" i="8"/>
  <c r="G1329" i="8"/>
  <c r="G1335" i="8"/>
  <c r="G1330" i="8"/>
  <c r="G1313" i="8"/>
  <c r="G1342" i="8"/>
  <c r="G1318" i="8"/>
  <c r="G1321" i="8"/>
  <c r="G1333" i="8"/>
  <c r="G1325" i="8"/>
  <c r="G1301" i="8"/>
  <c r="G1332" i="8"/>
  <c r="G1316" i="8"/>
  <c r="G1308" i="8"/>
  <c r="G1323" i="8"/>
  <c r="G1284" i="8"/>
  <c r="G1280" i="8"/>
  <c r="G1276" i="8"/>
  <c r="G1264" i="8"/>
  <c r="G1244" i="8"/>
  <c r="G1299" i="8"/>
  <c r="G1287" i="8"/>
  <c r="G1263" i="8"/>
  <c r="G1290" i="8"/>
  <c r="G1282" i="8"/>
  <c r="G1278" i="8"/>
  <c r="G1270" i="8"/>
  <c r="G1246" i="8"/>
  <c r="G1242" i="8"/>
  <c r="G1295" i="8"/>
  <c r="G1271" i="8"/>
  <c r="G1293" i="8"/>
  <c r="G1285" i="8"/>
  <c r="G1281" i="8"/>
  <c r="G1269" i="8"/>
  <c r="G1249" i="8"/>
  <c r="G1241" i="8"/>
  <c r="G1255" i="8"/>
  <c r="G21" i="8"/>
  <c r="G23" i="8"/>
  <c r="G25" i="8"/>
  <c r="G31" i="8"/>
  <c r="G41" i="8"/>
  <c r="G45" i="8"/>
  <c r="G47" i="8"/>
  <c r="G53" i="8"/>
  <c r="G63" i="8"/>
  <c r="G67" i="8"/>
  <c r="G69" i="8"/>
  <c r="G73" i="8"/>
  <c r="G85" i="8"/>
  <c r="G87" i="8"/>
  <c r="G89" i="8"/>
  <c r="G95" i="8"/>
  <c r="G105" i="8"/>
  <c r="G109" i="8"/>
  <c r="G111" i="8"/>
  <c r="G117" i="8"/>
  <c r="G127" i="8"/>
  <c r="G131" i="8"/>
  <c r="G133" i="8"/>
  <c r="G137" i="8"/>
  <c r="G151" i="8"/>
  <c r="G153" i="8"/>
  <c r="G159" i="8"/>
  <c r="G169" i="8"/>
  <c r="G173" i="8"/>
  <c r="G175" i="8"/>
  <c r="G181" i="8"/>
  <c r="G191" i="8"/>
  <c r="G195" i="8"/>
  <c r="G197" i="8"/>
  <c r="G201" i="8"/>
  <c r="G16" i="8"/>
  <c r="G18" i="8"/>
  <c r="G24" i="8"/>
  <c r="G34" i="8"/>
  <c r="G38" i="8"/>
  <c r="G40" i="8"/>
  <c r="G46" i="8"/>
  <c r="G56" i="8"/>
  <c r="G60" i="8"/>
  <c r="G62" i="8"/>
  <c r="G66" i="8"/>
  <c r="G78" i="8"/>
  <c r="G80" i="8"/>
  <c r="G82" i="8"/>
  <c r="G88" i="8"/>
  <c r="G96" i="8"/>
  <c r="G98" i="8"/>
  <c r="G102" i="8"/>
  <c r="G106" i="8"/>
  <c r="G114" i="8"/>
  <c r="G116" i="8"/>
  <c r="G118" i="8"/>
  <c r="G122" i="8"/>
  <c r="G130" i="8"/>
  <c r="G132" i="8"/>
  <c r="G134" i="8"/>
  <c r="G138" i="8"/>
  <c r="G146" i="8"/>
  <c r="G148" i="8"/>
  <c r="G150" i="8"/>
  <c r="G154" i="8"/>
  <c r="G162" i="8"/>
  <c r="G164" i="8"/>
  <c r="G166" i="8"/>
  <c r="G170" i="8"/>
  <c r="G178" i="8"/>
  <c r="G180" i="8"/>
  <c r="G182" i="8"/>
  <c r="G186" i="8"/>
  <c r="G194" i="8"/>
  <c r="G196" i="8"/>
  <c r="G198" i="8"/>
  <c r="G202" i="8"/>
  <c r="G210" i="8"/>
  <c r="G212" i="8"/>
  <c r="G214" i="8"/>
  <c r="G218" i="8"/>
  <c r="G215" i="8"/>
  <c r="G223" i="8"/>
  <c r="G227" i="8"/>
  <c r="G235" i="8"/>
  <c r="G255" i="8"/>
  <c r="G259" i="8"/>
  <c r="G267" i="8"/>
  <c r="G283" i="8"/>
  <c r="G287" i="8"/>
  <c r="G295" i="8"/>
  <c r="G303" i="8"/>
  <c r="G319" i="8"/>
  <c r="G327" i="8"/>
  <c r="G355" i="8"/>
  <c r="G358" i="8"/>
  <c r="G366" i="8"/>
  <c r="G382" i="8"/>
  <c r="G387" i="8"/>
  <c r="G390" i="8"/>
  <c r="G398" i="8"/>
  <c r="G414" i="8"/>
  <c r="G419" i="8"/>
  <c r="G422" i="8"/>
  <c r="G430" i="8"/>
  <c r="G228" i="8"/>
  <c r="G232" i="8"/>
  <c r="G236" i="8"/>
  <c r="G244" i="8"/>
  <c r="G260" i="8"/>
  <c r="G264" i="8"/>
  <c r="G268" i="8"/>
  <c r="G276" i="8"/>
  <c r="G292" i="8"/>
  <c r="G300" i="8"/>
  <c r="G304" i="8"/>
  <c r="G312" i="8"/>
  <c r="G328" i="8"/>
  <c r="G332" i="8"/>
  <c r="G336" i="8"/>
  <c r="G344" i="8"/>
  <c r="G361" i="8"/>
  <c r="G364" i="8"/>
  <c r="G369" i="8"/>
  <c r="G377" i="8"/>
  <c r="G393" i="8"/>
  <c r="G396" i="8"/>
  <c r="G401" i="8"/>
  <c r="G409" i="8"/>
  <c r="G425" i="8"/>
  <c r="G428" i="8"/>
  <c r="G433" i="8"/>
  <c r="G437" i="8"/>
  <c r="G445" i="8"/>
  <c r="G447" i="8"/>
  <c r="G449" i="8"/>
  <c r="G453" i="8"/>
  <c r="G461" i="8"/>
  <c r="G463" i="8"/>
  <c r="G465" i="8"/>
  <c r="G469" i="8"/>
  <c r="G477" i="8"/>
  <c r="G479" i="8"/>
  <c r="G481" i="8"/>
  <c r="G485" i="8"/>
  <c r="G493" i="8"/>
  <c r="G495" i="8"/>
  <c r="G497" i="8"/>
  <c r="G501" i="8"/>
  <c r="G509" i="8"/>
  <c r="G511" i="8"/>
  <c r="G513" i="8"/>
  <c r="G517" i="8"/>
  <c r="G525" i="8"/>
  <c r="G527" i="8"/>
  <c r="G529" i="8"/>
  <c r="G533" i="8"/>
  <c r="G541" i="8"/>
  <c r="G543" i="8"/>
  <c r="G545" i="8"/>
  <c r="G549" i="8"/>
  <c r="G557" i="8"/>
  <c r="G559" i="8"/>
  <c r="G561" i="8"/>
  <c r="G565" i="8"/>
  <c r="G219" i="8"/>
  <c r="G225" i="8"/>
  <c r="G229" i="8"/>
  <c r="G237" i="8"/>
  <c r="G253" i="8"/>
  <c r="G257" i="8"/>
  <c r="G261" i="8"/>
  <c r="G269" i="8"/>
  <c r="G293" i="8"/>
  <c r="G305" i="8"/>
  <c r="G321" i="8"/>
  <c r="G325" i="8"/>
  <c r="G329" i="8"/>
  <c r="G359" i="8"/>
  <c r="G362" i="8"/>
  <c r="G370" i="8"/>
  <c r="G386" i="8"/>
  <c r="G391" i="8"/>
  <c r="G394" i="8"/>
  <c r="G402" i="8"/>
  <c r="G418" i="8"/>
  <c r="G423" i="8"/>
  <c r="G426" i="8"/>
  <c r="G213" i="8"/>
  <c r="G234" i="8"/>
  <c r="G238" i="8"/>
  <c r="G242" i="8"/>
  <c r="G270" i="8"/>
  <c r="G274" i="8"/>
  <c r="G282" i="8"/>
  <c r="G302" i="8"/>
  <c r="G306" i="8"/>
  <c r="G310" i="8"/>
  <c r="G318" i="8"/>
  <c r="G342" i="8"/>
  <c r="G365" i="8"/>
  <c r="G368" i="8"/>
  <c r="G373" i="8"/>
  <c r="G381" i="8"/>
  <c r="G397" i="8"/>
  <c r="G400" i="8"/>
  <c r="G405" i="8"/>
  <c r="G413" i="8"/>
  <c r="G429" i="8"/>
  <c r="G432" i="8"/>
  <c r="G434" i="8"/>
  <c r="G438" i="8"/>
  <c r="G446" i="8"/>
  <c r="G448" i="8"/>
  <c r="G450" i="8"/>
  <c r="G454" i="8"/>
  <c r="G462" i="8"/>
  <c r="G464" i="8"/>
  <c r="G466" i="8"/>
  <c r="G470" i="8"/>
  <c r="G478" i="8"/>
  <c r="G480" i="8"/>
  <c r="G482" i="8"/>
  <c r="G486" i="8"/>
  <c r="G494" i="8"/>
  <c r="G496" i="8"/>
  <c r="G498" i="8"/>
  <c r="G502" i="8"/>
  <c r="G510" i="8"/>
  <c r="G512" i="8"/>
  <c r="G514" i="8"/>
  <c r="G518" i="8"/>
  <c r="G526" i="8"/>
  <c r="G528" i="8"/>
  <c r="G530" i="8"/>
  <c r="G534" i="8"/>
  <c r="G542" i="8"/>
  <c r="G544" i="8"/>
  <c r="G546" i="8"/>
  <c r="G550" i="8"/>
  <c r="G558" i="8"/>
  <c r="G560" i="8"/>
  <c r="G562" i="8"/>
  <c r="G574" i="8"/>
  <c r="G590" i="8"/>
  <c r="G594" i="8"/>
  <c r="G598" i="8"/>
  <c r="G606" i="8"/>
  <c r="G622" i="8"/>
  <c r="G626" i="8"/>
  <c r="G630" i="8"/>
  <c r="G638" i="8"/>
  <c r="G653" i="8"/>
  <c r="G564" i="8"/>
  <c r="G571" i="8"/>
  <c r="G579" i="8"/>
  <c r="G595" i="8"/>
  <c r="G599" i="8"/>
  <c r="G603" i="8"/>
  <c r="G611" i="8"/>
  <c r="G627" i="8"/>
  <c r="G631" i="8"/>
  <c r="G635" i="8"/>
  <c r="G643" i="8"/>
  <c r="G658" i="8"/>
  <c r="G660" i="8"/>
  <c r="G662" i="8"/>
  <c r="G666" i="8"/>
  <c r="G674" i="8"/>
  <c r="G676" i="8"/>
  <c r="G678" i="8"/>
  <c r="G682" i="8"/>
  <c r="G690" i="8"/>
  <c r="G692" i="8"/>
  <c r="G694" i="8"/>
  <c r="G698" i="8"/>
  <c r="G706" i="8"/>
  <c r="G708" i="8"/>
  <c r="G710" i="8"/>
  <c r="G714" i="8"/>
  <c r="G722" i="8"/>
  <c r="G724" i="8"/>
  <c r="G726" i="8"/>
  <c r="G730" i="8"/>
  <c r="G738" i="8"/>
  <c r="G740" i="8"/>
  <c r="G742" i="8"/>
  <c r="G746" i="8"/>
  <c r="G754" i="8"/>
  <c r="G756" i="8"/>
  <c r="G758" i="8"/>
  <c r="G762" i="8"/>
  <c r="G770" i="8"/>
  <c r="G772" i="8"/>
  <c r="G774" i="8"/>
  <c r="G778" i="8"/>
  <c r="G786" i="8"/>
  <c r="G788" i="8"/>
  <c r="G790" i="8"/>
  <c r="G794" i="8"/>
  <c r="G802" i="8"/>
  <c r="G804" i="8"/>
  <c r="G806" i="8"/>
  <c r="G810" i="8"/>
  <c r="G818" i="8"/>
  <c r="G820" i="8"/>
  <c r="G822" i="8"/>
  <c r="G826" i="8"/>
  <c r="G834" i="8"/>
  <c r="G836" i="8"/>
  <c r="G838" i="8"/>
  <c r="G842" i="8"/>
  <c r="G850" i="8"/>
  <c r="G852" i="8"/>
  <c r="G854" i="8"/>
  <c r="G858" i="8"/>
  <c r="G866" i="8"/>
  <c r="G868" i="8"/>
  <c r="G870" i="8"/>
  <c r="G874" i="8"/>
  <c r="G882" i="8"/>
  <c r="G884" i="8"/>
  <c r="G886" i="8"/>
  <c r="G890" i="8"/>
  <c r="G898" i="8"/>
  <c r="G900" i="8"/>
  <c r="G902" i="8"/>
  <c r="G906" i="8"/>
  <c r="G914" i="8"/>
  <c r="G916" i="8"/>
  <c r="G918" i="8"/>
  <c r="G922" i="8"/>
  <c r="G930" i="8"/>
  <c r="G932" i="8"/>
  <c r="G938" i="8"/>
  <c r="G946" i="8"/>
  <c r="G948" i="8"/>
  <c r="G950" i="8"/>
  <c r="G954" i="8"/>
  <c r="G962" i="8"/>
  <c r="G964" i="8"/>
  <c r="G966" i="8"/>
  <c r="G970" i="8"/>
  <c r="G978" i="8"/>
  <c r="G980" i="8"/>
  <c r="G982" i="8"/>
  <c r="G986" i="8"/>
  <c r="G994" i="8"/>
  <c r="G996" i="8"/>
  <c r="G998" i="8"/>
  <c r="G1002" i="8"/>
  <c r="G1010" i="8"/>
  <c r="G566" i="8"/>
  <c r="G572" i="8"/>
  <c r="G580" i="8"/>
  <c r="G596" i="8"/>
  <c r="G600" i="8"/>
  <c r="G604" i="8"/>
  <c r="G612" i="8"/>
  <c r="G628" i="8"/>
  <c r="G632" i="8"/>
  <c r="G636" i="8"/>
  <c r="G646" i="8"/>
  <c r="G573" i="8"/>
  <c r="G577" i="8"/>
  <c r="G581" i="8"/>
  <c r="G589" i="8"/>
  <c r="G605" i="8"/>
  <c r="G609" i="8"/>
  <c r="G613" i="8"/>
  <c r="G621" i="8"/>
  <c r="G637" i="8"/>
  <c r="G641" i="8"/>
  <c r="G644" i="8"/>
  <c r="G652" i="8"/>
  <c r="G661" i="8"/>
  <c r="G663" i="8"/>
  <c r="G665" i="8"/>
  <c r="G669" i="8"/>
  <c r="G677" i="8"/>
  <c r="G679" i="8"/>
  <c r="G681" i="8"/>
  <c r="G685" i="8"/>
  <c r="G693" i="8"/>
  <c r="G695" i="8"/>
  <c r="G697" i="8"/>
  <c r="G701" i="8"/>
  <c r="G709" i="8"/>
  <c r="G711" i="8"/>
  <c r="G713" i="8"/>
  <c r="G717" i="8"/>
  <c r="G725" i="8"/>
  <c r="G727" i="8"/>
  <c r="G729" i="8"/>
  <c r="G733" i="8"/>
  <c r="G741" i="8"/>
  <c r="G743" i="8"/>
  <c r="G745" i="8"/>
  <c r="G749" i="8"/>
  <c r="G757" i="8"/>
  <c r="G759" i="8"/>
  <c r="G761" i="8"/>
  <c r="G765" i="8"/>
  <c r="G773" i="8"/>
  <c r="G775" i="8"/>
  <c r="G777" i="8"/>
  <c r="G781" i="8"/>
  <c r="G789" i="8"/>
  <c r="G791" i="8"/>
  <c r="G793" i="8"/>
  <c r="G797" i="8"/>
  <c r="G805" i="8"/>
  <c r="G807" i="8"/>
  <c r="G809" i="8"/>
  <c r="G813" i="8"/>
  <c r="G821" i="8"/>
  <c r="G823" i="8"/>
  <c r="G825" i="8"/>
  <c r="G829" i="8"/>
  <c r="G837" i="8"/>
  <c r="G839" i="8"/>
  <c r="G841" i="8"/>
  <c r="G845" i="8"/>
  <c r="G853" i="8"/>
  <c r="G855" i="8"/>
  <c r="G857" i="8"/>
  <c r="G861" i="8"/>
  <c r="G869" i="8"/>
  <c r="G871" i="8"/>
  <c r="G873" i="8"/>
  <c r="G877" i="8"/>
  <c r="G885" i="8"/>
  <c r="G887" i="8"/>
  <c r="G889" i="8"/>
  <c r="G893" i="8"/>
  <c r="G901" i="8"/>
  <c r="G903" i="8"/>
  <c r="G905" i="8"/>
  <c r="G909" i="8"/>
  <c r="G917" i="8"/>
  <c r="G919" i="8"/>
  <c r="G921" i="8"/>
  <c r="G933" i="8"/>
  <c r="G935" i="8"/>
  <c r="G937" i="8"/>
  <c r="G941" i="8"/>
  <c r="G949" i="8"/>
  <c r="G951" i="8"/>
  <c r="G953" i="8"/>
  <c r="G957" i="8"/>
  <c r="G965" i="8"/>
  <c r="G967" i="8"/>
  <c r="G969" i="8"/>
  <c r="G973" i="8"/>
  <c r="G981" i="8"/>
  <c r="G983" i="8"/>
  <c r="G985" i="8"/>
  <c r="G989" i="8"/>
  <c r="G997" i="8"/>
  <c r="G999" i="8"/>
  <c r="G1007" i="8"/>
  <c r="G1017" i="8"/>
  <c r="G1033" i="8"/>
  <c r="G1037" i="8"/>
  <c r="G1041" i="8"/>
  <c r="G1049" i="8"/>
  <c r="G1065" i="8"/>
  <c r="G1069" i="8"/>
  <c r="G1073" i="8"/>
  <c r="G1081" i="8"/>
  <c r="G1097" i="8"/>
  <c r="G1101" i="8"/>
  <c r="G1105" i="8"/>
  <c r="G1113" i="8"/>
  <c r="G1129" i="8"/>
  <c r="G1133" i="8"/>
  <c r="G1137" i="8"/>
  <c r="G1145" i="8"/>
  <c r="G1161" i="8"/>
  <c r="G1165" i="8"/>
  <c r="G1169" i="8"/>
  <c r="G1177" i="8"/>
  <c r="G1193" i="8"/>
  <c r="G1197" i="8"/>
  <c r="G1201" i="8"/>
  <c r="G1209" i="8"/>
  <c r="G1225" i="8"/>
  <c r="G1229" i="8"/>
  <c r="G1233" i="8"/>
  <c r="G1001" i="8"/>
  <c r="G1022" i="8"/>
  <c r="G1026" i="8"/>
  <c r="G1030" i="8"/>
  <c r="G1038" i="8"/>
  <c r="G1054" i="8"/>
  <c r="G1058" i="8"/>
  <c r="G1062" i="8"/>
  <c r="G1086" i="8"/>
  <c r="G1090" i="8"/>
  <c r="G1094" i="8"/>
  <c r="G1102" i="8"/>
  <c r="G1118" i="8"/>
  <c r="G1122" i="8"/>
  <c r="G1126" i="8"/>
  <c r="G1134" i="8"/>
  <c r="G1150" i="8"/>
  <c r="G1154" i="8"/>
  <c r="G1158" i="8"/>
  <c r="G1166" i="8"/>
  <c r="G1182" i="8"/>
  <c r="G1186" i="8"/>
  <c r="G1190" i="8"/>
  <c r="G1198" i="8"/>
  <c r="G1214" i="8"/>
  <c r="G1218" i="8"/>
  <c r="G1222" i="8"/>
  <c r="G1230" i="8"/>
  <c r="G1011" i="8"/>
  <c r="G1015" i="8"/>
  <c r="G1019" i="8"/>
  <c r="G1027" i="8"/>
  <c r="G1043" i="8"/>
  <c r="G1047" i="8"/>
  <c r="G1051" i="8"/>
  <c r="G1059" i="8"/>
  <c r="G1063" i="8"/>
  <c r="G1075" i="8"/>
  <c r="G1079" i="8"/>
  <c r="G1083" i="8"/>
  <c r="G1091" i="8"/>
  <c r="G1095" i="8"/>
  <c r="G1107" i="8"/>
  <c r="G1111" i="8"/>
  <c r="G1115" i="8"/>
  <c r="G1123" i="8"/>
  <c r="G1127" i="8"/>
  <c r="G1139" i="8"/>
  <c r="G1143" i="8"/>
  <c r="G1147" i="8"/>
  <c r="G1155" i="8"/>
  <c r="G1159" i="8"/>
  <c r="G1171" i="8"/>
  <c r="G1175" i="8"/>
  <c r="G1179" i="8"/>
  <c r="G1187" i="8"/>
  <c r="G1191" i="8"/>
  <c r="G1203" i="8"/>
  <c r="G1207" i="8"/>
  <c r="G1211" i="8"/>
  <c r="G1219" i="8"/>
  <c r="G1223" i="8"/>
  <c r="G1235" i="8"/>
  <c r="G1239" i="8"/>
  <c r="G1005" i="8"/>
  <c r="G1016" i="8"/>
  <c r="G1020" i="8"/>
  <c r="G1032" i="8"/>
  <c r="G1036" i="8"/>
  <c r="G1040" i="8"/>
  <c r="G1048" i="8"/>
  <c r="G1052" i="8"/>
  <c r="G1064" i="8"/>
  <c r="G1068" i="8"/>
  <c r="G1072" i="8"/>
  <c r="G1080" i="8"/>
  <c r="G1084" i="8"/>
  <c r="G1096" i="8"/>
  <c r="G1100" i="8"/>
  <c r="G1104" i="8"/>
  <c r="G1112" i="8"/>
  <c r="G1116" i="8"/>
  <c r="G1128" i="8"/>
  <c r="G1132" i="8"/>
  <c r="G1136" i="8"/>
  <c r="G1144" i="8"/>
  <c r="G1148" i="8"/>
  <c r="G1160" i="8"/>
  <c r="G1164" i="8"/>
  <c r="G1168" i="8"/>
  <c r="G1176" i="8"/>
  <c r="G1180" i="8"/>
  <c r="G1192" i="8"/>
  <c r="G1196" i="8"/>
  <c r="G1200" i="8"/>
  <c r="G1208" i="8"/>
  <c r="G1212" i="8"/>
  <c r="G1224" i="8"/>
  <c r="G1228" i="8"/>
  <c r="G1232" i="8"/>
  <c r="G3489" i="8"/>
  <c r="G3487" i="8"/>
  <c r="G3485" i="8"/>
  <c r="G3481" i="8"/>
  <c r="G3477" i="8"/>
  <c r="G3484" i="8"/>
  <c r="G3480" i="8"/>
  <c r="G3476" i="8"/>
  <c r="G3483" i="8"/>
  <c r="G3479" i="8"/>
  <c r="G3482" i="8"/>
  <c r="G3486" i="8"/>
  <c r="G3478" i="8"/>
  <c r="G3463" i="8"/>
  <c r="G3461" i="8"/>
  <c r="G3459" i="8"/>
  <c r="G3457" i="8"/>
  <c r="G3455" i="8"/>
  <c r="G3453" i="8"/>
  <c r="G3451" i="8"/>
  <c r="G3449" i="8"/>
  <c r="G3447" i="8"/>
  <c r="G3445" i="8"/>
  <c r="G3443" i="8"/>
  <c r="G3441" i="8"/>
  <c r="G3439" i="8"/>
  <c r="G3437" i="8"/>
  <c r="G3435" i="8"/>
  <c r="G3433" i="8"/>
  <c r="G3431" i="8"/>
  <c r="G3429" i="8"/>
  <c r="G3427" i="8"/>
  <c r="G3425" i="8"/>
  <c r="G3423" i="8"/>
  <c r="G3421" i="8"/>
  <c r="G3419" i="8"/>
  <c r="G3417" i="8"/>
  <c r="G3456" i="8"/>
  <c r="G3448" i="8"/>
  <c r="G3440" i="8"/>
  <c r="G3432" i="8"/>
  <c r="G3424" i="8"/>
  <c r="G3416" i="8"/>
  <c r="G3414" i="8"/>
  <c r="G3475" i="8"/>
  <c r="G3473" i="8"/>
  <c r="G3471" i="8"/>
  <c r="G3469" i="8"/>
  <c r="G3467" i="8"/>
  <c r="G3465" i="8"/>
  <c r="G3458" i="8"/>
  <c r="G3450" i="8"/>
  <c r="G3442" i="8"/>
  <c r="G3434" i="8"/>
  <c r="G3460" i="8"/>
  <c r="G3452" i="8"/>
  <c r="G3444" i="8"/>
  <c r="G3436" i="8"/>
  <c r="G3428" i="8"/>
  <c r="G3420" i="8"/>
  <c r="G3415" i="8"/>
  <c r="G3413" i="8"/>
  <c r="G3411" i="8"/>
  <c r="G3409" i="8"/>
  <c r="G3407" i="8"/>
  <c r="G3405" i="8"/>
  <c r="G3403" i="8"/>
  <c r="G3401" i="8"/>
  <c r="G3399" i="8"/>
  <c r="G3397" i="8"/>
  <c r="G3395" i="8"/>
  <c r="G3393" i="8"/>
  <c r="G3391" i="8"/>
  <c r="G3389" i="8"/>
  <c r="G3387" i="8"/>
  <c r="G3385" i="8"/>
  <c r="G3383" i="8"/>
  <c r="G3381" i="8"/>
  <c r="G3379" i="8"/>
  <c r="G3377" i="8"/>
  <c r="G3375" i="8"/>
  <c r="G3373" i="8"/>
  <c r="G3371" i="8"/>
  <c r="G3369" i="8"/>
  <c r="G3367" i="8"/>
  <c r="G3365" i="8"/>
  <c r="G3363" i="8"/>
  <c r="G3361" i="8"/>
  <c r="G3359" i="8"/>
  <c r="G3357" i="8"/>
  <c r="G3355" i="8"/>
  <c r="G3353" i="8"/>
  <c r="G3351" i="8"/>
  <c r="G3349" i="8"/>
  <c r="G3347" i="8"/>
  <c r="G3345" i="8"/>
  <c r="G3343" i="8"/>
  <c r="G3341" i="8"/>
  <c r="G3339" i="8"/>
  <c r="G3337" i="8"/>
  <c r="G3335" i="8"/>
  <c r="G3333" i="8"/>
  <c r="G3331" i="8"/>
  <c r="G3329" i="8"/>
  <c r="G3327" i="8"/>
  <c r="G3325" i="8"/>
  <c r="G3323" i="8"/>
  <c r="G3321" i="8"/>
  <c r="G3319" i="8"/>
  <c r="G3317" i="8"/>
  <c r="G3315" i="8"/>
  <c r="G3313" i="8"/>
  <c r="G3311" i="8"/>
  <c r="G3309" i="8"/>
  <c r="G3307" i="8"/>
  <c r="G3305" i="8"/>
  <c r="G3303" i="8"/>
  <c r="G3301" i="8"/>
  <c r="G3299" i="8"/>
  <c r="G3297" i="8"/>
  <c r="G3295" i="8"/>
  <c r="G3293" i="8"/>
  <c r="G3291" i="8"/>
  <c r="G3289" i="8"/>
  <c r="G3287" i="8"/>
  <c r="G3285" i="8"/>
  <c r="G3283" i="8"/>
  <c r="G3281" i="8"/>
  <c r="G3279" i="8"/>
  <c r="G3474" i="8"/>
  <c r="G3472" i="8"/>
  <c r="G3470" i="8"/>
  <c r="G3468" i="8"/>
  <c r="G3466" i="8"/>
  <c r="G3464" i="8"/>
  <c r="G3462" i="8"/>
  <c r="G3454" i="8"/>
  <c r="G3446" i="8"/>
  <c r="G3438" i="8"/>
  <c r="G3430" i="8"/>
  <c r="G3422" i="8"/>
  <c r="G3418" i="8"/>
  <c r="G3406" i="8"/>
  <c r="G3398" i="8"/>
  <c r="G3390" i="8"/>
  <c r="G3382" i="8"/>
  <c r="G3374" i="8"/>
  <c r="G3366" i="8"/>
  <c r="G3358" i="8"/>
  <c r="G3350" i="8"/>
  <c r="G3342" i="8"/>
  <c r="G3334" i="8"/>
  <c r="G3326" i="8"/>
  <c r="G3318" i="8"/>
  <c r="G3310" i="8"/>
  <c r="G3302" i="8"/>
  <c r="G3294" i="8"/>
  <c r="G3286" i="8"/>
  <c r="G3296" i="8"/>
  <c r="G3280" i="8"/>
  <c r="G3356" i="8"/>
  <c r="G3308" i="8"/>
  <c r="G3284" i="8"/>
  <c r="G3408" i="8"/>
  <c r="G3400" i="8"/>
  <c r="G3392" i="8"/>
  <c r="G3384" i="8"/>
  <c r="G3376" i="8"/>
  <c r="G3368" i="8"/>
  <c r="G3360" i="8"/>
  <c r="G3352" i="8"/>
  <c r="G3344" i="8"/>
  <c r="G3336" i="8"/>
  <c r="G3328" i="8"/>
  <c r="G3320" i="8"/>
  <c r="G3312" i="8"/>
  <c r="G3304" i="8"/>
  <c r="G3288" i="8"/>
  <c r="G3372" i="8"/>
  <c r="G3348" i="8"/>
  <c r="G3332" i="8"/>
  <c r="G3316" i="8"/>
  <c r="G3300" i="8"/>
  <c r="G3410" i="8"/>
  <c r="G3402" i="8"/>
  <c r="G3394" i="8"/>
  <c r="G3386" i="8"/>
  <c r="G3378" i="8"/>
  <c r="G3370" i="8"/>
  <c r="G3362" i="8"/>
  <c r="G3354" i="8"/>
  <c r="G3346" i="8"/>
  <c r="G3338" i="8"/>
  <c r="G3330" i="8"/>
  <c r="G3322" i="8"/>
  <c r="G3314" i="8"/>
  <c r="G3306" i="8"/>
  <c r="G3298" i="8"/>
  <c r="G3290" i="8"/>
  <c r="G3282" i="8"/>
  <c r="G3396" i="8"/>
  <c r="G3380" i="8"/>
  <c r="G3340" i="8"/>
  <c r="G3324" i="8"/>
  <c r="G3292" i="8"/>
  <c r="G3426" i="8"/>
  <c r="G3412" i="8"/>
  <c r="G3404" i="8"/>
  <c r="G3388" i="8"/>
  <c r="G3364" i="8"/>
  <c r="G3264" i="8"/>
  <c r="G3276" i="8"/>
  <c r="G3272" i="8"/>
  <c r="G3268" i="8"/>
  <c r="G3275" i="8"/>
  <c r="G3271" i="8"/>
  <c r="G3267" i="8"/>
  <c r="G3277" i="8"/>
  <c r="G3273" i="8"/>
  <c r="G3269" i="8"/>
  <c r="G3265" i="8"/>
  <c r="G3278" i="8"/>
  <c r="G3274" i="8"/>
  <c r="G3270" i="8"/>
  <c r="G3266" i="8"/>
  <c r="G3240" i="8"/>
  <c r="G3229" i="8"/>
  <c r="G3245" i="8"/>
  <c r="G3235" i="8"/>
  <c r="G3237" i="8"/>
  <c r="G3234" i="8"/>
  <c r="G3238" i="8"/>
  <c r="G3233" i="8"/>
  <c r="G3236" i="8"/>
  <c r="G3244" i="8"/>
  <c r="F437" i="6"/>
  <c r="G3231" i="8"/>
  <c r="G3242" i="8"/>
  <c r="G3232" i="8"/>
  <c r="G3246" i="8"/>
  <c r="G3239" i="8"/>
  <c r="G3241" i="8"/>
  <c r="F425" i="6"/>
  <c r="F512" i="6"/>
  <c r="F500" i="6"/>
  <c r="F592" i="6"/>
  <c r="F470" i="6"/>
  <c r="F424" i="6"/>
  <c r="F455" i="6"/>
  <c r="F436" i="6"/>
  <c r="F456" i="6"/>
  <c r="F488" i="6"/>
  <c r="G3250" i="8"/>
  <c r="G3257" i="8"/>
  <c r="G3260" i="8"/>
  <c r="G3253" i="8"/>
  <c r="G3262" i="8"/>
  <c r="G3248" i="8"/>
  <c r="G3254" i="8"/>
  <c r="G3261" i="8"/>
  <c r="G3263" i="8"/>
  <c r="G3249" i="8"/>
  <c r="G3258" i="8"/>
  <c r="G3252" i="8"/>
  <c r="G3247" i="8"/>
  <c r="G3251" i="8"/>
  <c r="G3255" i="8"/>
  <c r="G3259" i="8"/>
  <c r="F108" i="6"/>
  <c r="Q108" i="6" s="1"/>
  <c r="H530" i="8"/>
  <c r="I530" i="8"/>
  <c r="I546" i="8"/>
  <c r="H451" i="8"/>
  <c r="I451" i="8"/>
  <c r="I1305" i="8"/>
  <c r="F540" i="6"/>
  <c r="Q540" i="6" s="1"/>
  <c r="H546" i="8"/>
  <c r="H600" i="8"/>
  <c r="I436" i="8"/>
  <c r="I392" i="8"/>
  <c r="H487" i="8"/>
  <c r="H417" i="8"/>
  <c r="I63" i="8"/>
  <c r="H167" i="8"/>
  <c r="I520" i="8"/>
  <c r="I400" i="8"/>
  <c r="I606" i="8"/>
  <c r="H465" i="8"/>
  <c r="I72" i="8"/>
  <c r="I544" i="8"/>
  <c r="I608" i="8"/>
  <c r="I647" i="8"/>
  <c r="H2841" i="8"/>
  <c r="H1690" i="8"/>
  <c r="H429" i="8"/>
  <c r="I429" i="8"/>
  <c r="H638" i="8"/>
  <c r="I638" i="8"/>
  <c r="I611" i="8"/>
  <c r="H1342" i="8"/>
  <c r="I65" i="8"/>
  <c r="H65" i="8"/>
  <c r="H483" i="8"/>
  <c r="I397" i="8"/>
  <c r="H397" i="8"/>
  <c r="I756" i="8"/>
  <c r="H69" i="8"/>
  <c r="I69" i="8"/>
  <c r="I549" i="8"/>
  <c r="H687" i="8"/>
  <c r="H607" i="8"/>
  <c r="I607" i="8"/>
  <c r="H552" i="8"/>
  <c r="I552" i="8"/>
  <c r="I1530" i="8"/>
  <c r="H1530" i="8"/>
  <c r="H670" i="8"/>
  <c r="I670" i="8"/>
  <c r="H678" i="8"/>
  <c r="I678" i="8"/>
  <c r="H654" i="8"/>
  <c r="I654" i="8"/>
  <c r="H738" i="8"/>
  <c r="H58" i="8"/>
  <c r="I58" i="8"/>
  <c r="I772" i="8"/>
  <c r="I554" i="8"/>
  <c r="H554" i="8"/>
  <c r="I2849" i="8"/>
  <c r="H401" i="8"/>
  <c r="H402" i="8"/>
  <c r="I402" i="8"/>
  <c r="I538" i="8"/>
  <c r="H538" i="8"/>
  <c r="I478" i="8"/>
  <c r="H478" i="8"/>
  <c r="H622" i="8"/>
  <c r="I622" i="8"/>
  <c r="I598" i="8"/>
  <c r="H598" i="8"/>
  <c r="I614" i="8"/>
  <c r="H614" i="8"/>
  <c r="H686" i="8"/>
  <c r="I686" i="8"/>
  <c r="H702" i="8"/>
  <c r="I702" i="8"/>
  <c r="I68" i="8"/>
  <c r="H68" i="8"/>
  <c r="I694" i="8"/>
  <c r="H694" i="8"/>
  <c r="H486" i="8"/>
  <c r="I486" i="8"/>
  <c r="H672" i="8"/>
  <c r="I672" i="8"/>
  <c r="H394" i="8"/>
  <c r="I394" i="8"/>
  <c r="H426" i="8"/>
  <c r="I426" i="8"/>
  <c r="I704" i="8"/>
  <c r="H704" i="8"/>
  <c r="I656" i="8"/>
  <c r="H656" i="8"/>
  <c r="I442" i="8"/>
  <c r="H442" i="8"/>
  <c r="H434" i="8"/>
  <c r="I434" i="8"/>
  <c r="H595" i="8"/>
  <c r="I428" i="8"/>
  <c r="H428" i="8"/>
  <c r="H138" i="8"/>
  <c r="I138" i="8"/>
  <c r="I449" i="8"/>
  <c r="H449" i="8"/>
  <c r="H457" i="8"/>
  <c r="I457" i="8"/>
  <c r="H59" i="8"/>
  <c r="I59" i="8"/>
  <c r="I170" i="8"/>
  <c r="H170" i="8"/>
  <c r="H467" i="8"/>
  <c r="H168" i="8"/>
  <c r="I168" i="8"/>
  <c r="I67" i="8"/>
  <c r="H67" i="8"/>
  <c r="I459" i="8"/>
  <c r="H459" i="8"/>
  <c r="I1008" i="8"/>
  <c r="I998" i="8"/>
  <c r="I395" i="8"/>
  <c r="H395" i="8"/>
  <c r="H526" i="8"/>
  <c r="H403" i="8"/>
  <c r="I403" i="8"/>
  <c r="I542" i="8"/>
  <c r="H1305" i="8"/>
  <c r="I504" i="8"/>
  <c r="H504" i="8"/>
  <c r="I491" i="8"/>
  <c r="H480" i="8"/>
  <c r="I480" i="8"/>
  <c r="H141" i="8"/>
  <c r="I141" i="8"/>
  <c r="H623" i="8"/>
  <c r="I500" i="8"/>
  <c r="H612" i="8"/>
  <c r="I474" i="8"/>
  <c r="H474" i="8"/>
  <c r="H1682" i="8"/>
  <c r="I453" i="8"/>
  <c r="H453" i="8"/>
  <c r="H1650" i="8"/>
  <c r="I61" i="8"/>
  <c r="H61" i="8"/>
  <c r="I461" i="8"/>
  <c r="H461" i="8"/>
  <c r="I479" i="8"/>
  <c r="H479" i="8"/>
  <c r="I782" i="8"/>
  <c r="H782" i="8"/>
  <c r="I390" i="8"/>
  <c r="H390" i="8"/>
  <c r="I468" i="8"/>
  <c r="H468" i="8"/>
  <c r="H659" i="8"/>
  <c r="H71" i="8"/>
  <c r="I71" i="8"/>
  <c r="H1539" i="8"/>
  <c r="H1401" i="8"/>
  <c r="I590" i="8"/>
  <c r="I630" i="8"/>
  <c r="H630" i="8"/>
  <c r="I1658" i="8"/>
  <c r="I746" i="8"/>
  <c r="H455" i="8"/>
  <c r="I688" i="8"/>
  <c r="H688" i="8"/>
  <c r="H389" i="8"/>
  <c r="I389" i="8"/>
  <c r="H744" i="8"/>
  <c r="I438" i="8"/>
  <c r="H1032" i="8"/>
  <c r="I560" i="8"/>
  <c r="H400" i="8"/>
  <c r="H409" i="8"/>
  <c r="H438" i="8"/>
  <c r="H408" i="8"/>
  <c r="I167" i="8"/>
  <c r="I408" i="8"/>
  <c r="I465" i="8"/>
  <c r="H662" i="8"/>
  <c r="H560" i="8"/>
  <c r="I662" i="8"/>
  <c r="I646" i="8"/>
  <c r="H646" i="8"/>
  <c r="H606" i="8"/>
  <c r="H520" i="8"/>
  <c r="I417" i="8"/>
  <c r="H392" i="8"/>
  <c r="H63" i="8"/>
  <c r="I487" i="8"/>
  <c r="I600" i="8"/>
  <c r="I599" i="8"/>
  <c r="H814" i="8"/>
  <c r="I814" i="8"/>
  <c r="I1024" i="8"/>
  <c r="H544" i="8"/>
  <c r="H768" i="8"/>
  <c r="H710" i="8"/>
  <c r="I710" i="8"/>
  <c r="H608" i="8"/>
  <c r="I424" i="8"/>
  <c r="I411" i="8"/>
  <c r="H66" i="8"/>
  <c r="I66" i="8"/>
  <c r="I842" i="8"/>
  <c r="H604" i="8"/>
  <c r="H444" i="8"/>
  <c r="I388" i="8"/>
  <c r="H388" i="8"/>
  <c r="I294" i="8"/>
  <c r="H294" i="8"/>
  <c r="H446" i="8"/>
  <c r="I446" i="8"/>
  <c r="I430" i="8"/>
  <c r="H406" i="8"/>
  <c r="I406" i="8"/>
  <c r="H798" i="8"/>
  <c r="I798" i="8"/>
  <c r="I806" i="8"/>
  <c r="H806" i="8"/>
  <c r="H76" i="8"/>
  <c r="I76" i="8"/>
  <c r="H790" i="8"/>
  <c r="I790" i="8"/>
  <c r="H422" i="8"/>
  <c r="I422" i="8"/>
  <c r="I140" i="8"/>
  <c r="M2707" i="8" l="1"/>
  <c r="M925" i="8"/>
  <c r="M339" i="8"/>
  <c r="M290" i="8"/>
  <c r="M258" i="8"/>
  <c r="M108" i="8"/>
  <c r="M7" i="8"/>
  <c r="M352" i="8"/>
  <c r="M176" i="8"/>
  <c r="M262" i="8"/>
  <c r="M2706" i="8"/>
  <c r="M924" i="8"/>
  <c r="M338" i="8"/>
  <c r="M289" i="8"/>
  <c r="M256" i="8"/>
  <c r="M104" i="8"/>
  <c r="M6" i="8"/>
  <c r="M323" i="8"/>
  <c r="M320" i="8"/>
  <c r="M3491" i="8"/>
  <c r="M1378" i="8"/>
  <c r="M356" i="8"/>
  <c r="M337" i="8"/>
  <c r="M288" i="8"/>
  <c r="M254" i="8"/>
  <c r="M49" i="8"/>
  <c r="M284" i="8"/>
  <c r="M3490" i="8"/>
  <c r="M1106" i="8"/>
  <c r="M354" i="8"/>
  <c r="M335" i="8"/>
  <c r="M286" i="8"/>
  <c r="M251" i="8"/>
  <c r="M30" i="8"/>
  <c r="M1070" i="8"/>
  <c r="M349" i="8"/>
  <c r="M8" i="8"/>
  <c r="M3488" i="8"/>
  <c r="M1082" i="8"/>
  <c r="M353" i="8"/>
  <c r="M334" i="8"/>
  <c r="M285" i="8"/>
  <c r="M250" i="8"/>
  <c r="M14" i="8"/>
  <c r="M3256" i="8"/>
  <c r="M13" i="8"/>
  <c r="M3243" i="8"/>
  <c r="M936" i="8"/>
  <c r="M350" i="8"/>
  <c r="M322" i="8"/>
  <c r="M266" i="8"/>
  <c r="M172" i="8"/>
  <c r="M9" i="8"/>
  <c r="M3132" i="8"/>
  <c r="M934" i="8"/>
  <c r="M149" i="8"/>
  <c r="M67" i="7"/>
  <c r="O67" i="7"/>
  <c r="M54" i="7"/>
  <c r="O54" i="7"/>
  <c r="M91" i="7"/>
  <c r="O91" i="7"/>
  <c r="O53" i="7"/>
  <c r="M53" i="7"/>
  <c r="O120" i="7"/>
  <c r="M120" i="7"/>
  <c r="M90" i="7"/>
  <c r="O90" i="7"/>
  <c r="M104" i="7"/>
  <c r="O104" i="7"/>
  <c r="O32" i="7"/>
  <c r="M32" i="7"/>
  <c r="M119" i="7"/>
  <c r="O119" i="7"/>
  <c r="M31" i="7"/>
  <c r="O31" i="7"/>
  <c r="M68" i="7"/>
  <c r="O68" i="7"/>
  <c r="O105" i="7"/>
  <c r="M105" i="7"/>
  <c r="G296" i="8"/>
  <c r="G291" i="8"/>
  <c r="G290" i="8"/>
  <c r="G297" i="8"/>
  <c r="G3491" i="8"/>
  <c r="G2707" i="8"/>
  <c r="G925" i="8"/>
  <c r="G339" i="8"/>
  <c r="G289" i="8"/>
  <c r="G256" i="8"/>
  <c r="G104" i="8"/>
  <c r="G6" i="8"/>
  <c r="G2706" i="8"/>
  <c r="G924" i="8"/>
  <c r="G338" i="8"/>
  <c r="G288" i="8"/>
  <c r="G254" i="8"/>
  <c r="G49" i="8"/>
  <c r="G1378" i="8"/>
  <c r="G356" i="8"/>
  <c r="G337" i="8"/>
  <c r="G286" i="8"/>
  <c r="G251" i="8"/>
  <c r="G30" i="8"/>
  <c r="G262" i="8"/>
  <c r="G349" i="8"/>
  <c r="G108" i="8"/>
  <c r="G3490" i="8"/>
  <c r="G1106" i="8"/>
  <c r="G354" i="8"/>
  <c r="G335" i="8"/>
  <c r="G285" i="8"/>
  <c r="G250" i="8"/>
  <c r="G14" i="8"/>
  <c r="G1070" i="8"/>
  <c r="G266" i="8"/>
  <c r="G9" i="8"/>
  <c r="G3243" i="8"/>
  <c r="G350" i="8"/>
  <c r="G8" i="8"/>
  <c r="G3132" i="8"/>
  <c r="G320" i="8"/>
  <c r="G7" i="8"/>
  <c r="G3488" i="8"/>
  <c r="G1082" i="8"/>
  <c r="G353" i="8"/>
  <c r="G334" i="8"/>
  <c r="G284" i="8"/>
  <c r="G176" i="8"/>
  <c r="G13" i="8"/>
  <c r="G3256" i="8"/>
  <c r="G352" i="8"/>
  <c r="G323" i="8"/>
  <c r="G172" i="8"/>
  <c r="G936" i="8"/>
  <c r="G322" i="8"/>
  <c r="G149" i="8"/>
  <c r="G934" i="8"/>
  <c r="G258" i="8"/>
  <c r="I409" i="8"/>
  <c r="I1385" i="8"/>
  <c r="H700" i="8"/>
  <c r="I526" i="8"/>
  <c r="I1698" i="8"/>
  <c r="I393" i="8"/>
  <c r="I589" i="8"/>
  <c r="H1024" i="8"/>
  <c r="H433" i="8"/>
  <c r="I700" i="8"/>
  <c r="H393" i="8"/>
  <c r="H589" i="8"/>
  <c r="I433" i="8"/>
  <c r="I612" i="8"/>
  <c r="H1730" i="8"/>
  <c r="H502" i="8"/>
  <c r="I534" i="8"/>
  <c r="I1494" i="8"/>
  <c r="I604" i="8"/>
  <c r="I64" i="8"/>
  <c r="H491" i="8"/>
  <c r="H542" i="8"/>
  <c r="H998" i="8"/>
  <c r="I137" i="8"/>
  <c r="I401" i="8"/>
  <c r="I483" i="8"/>
  <c r="H1104" i="8"/>
  <c r="H64" i="8"/>
  <c r="H534" i="8"/>
  <c r="I502" i="8"/>
  <c r="I1032" i="8"/>
  <c r="I558" i="8"/>
  <c r="H137" i="8"/>
  <c r="I1104" i="8"/>
  <c r="H842" i="8"/>
  <c r="H72" i="8"/>
  <c r="I1634" i="8"/>
  <c r="I1479" i="8"/>
  <c r="H1101" i="8"/>
  <c r="H558" i="8"/>
  <c r="H1008" i="8"/>
  <c r="H1525" i="8"/>
  <c r="H140" i="8"/>
  <c r="I444" i="8"/>
  <c r="H411" i="8"/>
  <c r="I663" i="8"/>
  <c r="H436" i="8"/>
  <c r="I703" i="8"/>
  <c r="H724" i="8"/>
  <c r="I732" i="8"/>
  <c r="I467" i="8"/>
  <c r="H639" i="8"/>
  <c r="H760" i="8"/>
  <c r="H703" i="8"/>
  <c r="I724" i="8"/>
  <c r="I687" i="8"/>
  <c r="H647" i="8"/>
  <c r="I752" i="8"/>
  <c r="H746" i="8"/>
  <c r="I623" i="8"/>
  <c r="I760" i="8"/>
  <c r="I631" i="8"/>
  <c r="I768" i="8"/>
  <c r="H599" i="8"/>
  <c r="I781" i="8"/>
  <c r="H711" i="8"/>
  <c r="H631" i="8"/>
  <c r="H695" i="8"/>
  <c r="H781" i="8"/>
  <c r="I711" i="8"/>
  <c r="I695" i="8"/>
  <c r="I671" i="8"/>
  <c r="H671" i="8"/>
  <c r="H663" i="8"/>
  <c r="H752" i="8"/>
  <c r="H732" i="8"/>
  <c r="I639" i="8"/>
  <c r="I840" i="8"/>
  <c r="I812" i="8"/>
  <c r="H399" i="8"/>
  <c r="H556" i="8"/>
  <c r="H423" i="8"/>
  <c r="F501" i="6"/>
  <c r="I295" i="8"/>
  <c r="H391" i="8"/>
  <c r="H295" i="8"/>
  <c r="I391" i="8"/>
  <c r="H524" i="8"/>
  <c r="H682" i="8"/>
  <c r="I418" i="8"/>
  <c r="I407" i="8"/>
  <c r="H431" i="8"/>
  <c r="H418" i="8"/>
  <c r="H462" i="8"/>
  <c r="H784" i="8"/>
  <c r="I682" i="8"/>
  <c r="H808" i="8"/>
  <c r="I1014" i="8"/>
  <c r="H602" i="8"/>
  <c r="I548" i="8"/>
  <c r="H447" i="8"/>
  <c r="I618" i="8"/>
  <c r="I610" i="8"/>
  <c r="H666" i="8"/>
  <c r="H540" i="8"/>
  <c r="I447" i="8"/>
  <c r="H1200" i="8"/>
  <c r="H618" i="8"/>
  <c r="H674" i="8"/>
  <c r="I594" i="8"/>
  <c r="I556" i="8"/>
  <c r="H440" i="8"/>
  <c r="H764" i="8"/>
  <c r="I801" i="8"/>
  <c r="I683" i="8"/>
  <c r="H533" i="8"/>
  <c r="H549" i="8"/>
  <c r="I541" i="8"/>
  <c r="I785" i="8"/>
  <c r="H683" i="8"/>
  <c r="I533" i="8"/>
  <c r="H432" i="8"/>
  <c r="I463" i="8"/>
  <c r="H785" i="8"/>
  <c r="H643" i="8"/>
  <c r="H707" i="8"/>
  <c r="H2674" i="8"/>
  <c r="H557" i="8"/>
  <c r="H772" i="8"/>
  <c r="H756" i="8"/>
  <c r="H611" i="8"/>
  <c r="H541" i="8"/>
  <c r="I432" i="8"/>
  <c r="H1398" i="8"/>
  <c r="I764" i="8"/>
  <c r="H801" i="8"/>
  <c r="I471" i="8"/>
  <c r="H463" i="8"/>
  <c r="H675" i="8"/>
  <c r="I643" i="8"/>
  <c r="I707" i="8"/>
  <c r="I525" i="8"/>
  <c r="I675" i="8"/>
  <c r="H793" i="8"/>
  <c r="H809" i="8"/>
  <c r="I735" i="8"/>
  <c r="I817" i="8"/>
  <c r="H424" i="8"/>
  <c r="I793" i="8"/>
  <c r="I809" i="8"/>
  <c r="H735" i="8"/>
  <c r="H817" i="8"/>
  <c r="H471" i="8"/>
  <c r="H525" i="8"/>
  <c r="I440" i="8"/>
  <c r="I455" i="8"/>
  <c r="I659" i="8"/>
  <c r="I1101" i="8"/>
  <c r="I595" i="8"/>
  <c r="I557" i="8"/>
  <c r="H430" i="8"/>
  <c r="I1026" i="8"/>
  <c r="I431" i="8"/>
  <c r="I734" i="8"/>
  <c r="H610" i="8"/>
  <c r="H650" i="8"/>
  <c r="H727" i="8"/>
  <c r="I423" i="8"/>
  <c r="I602" i="8"/>
  <c r="I650" i="8"/>
  <c r="H1090" i="8"/>
  <c r="H642" i="8"/>
  <c r="H626" i="8"/>
  <c r="I634" i="8"/>
  <c r="H548" i="8"/>
  <c r="H407" i="8"/>
  <c r="I642" i="8"/>
  <c r="H698" i="8"/>
  <c r="H734" i="8"/>
  <c r="I727" i="8"/>
  <c r="I698" i="8"/>
  <c r="I1405" i="8"/>
  <c r="I626" i="8"/>
  <c r="H634" i="8"/>
  <c r="I674" i="8"/>
  <c r="I666" i="8"/>
  <c r="I524" i="8"/>
  <c r="H594" i="8"/>
  <c r="I540" i="8"/>
  <c r="I399" i="8"/>
  <c r="I462" i="8"/>
  <c r="I808" i="8"/>
  <c r="I1200" i="8"/>
  <c r="H840" i="8"/>
  <c r="I1539" i="8"/>
  <c r="H1014" i="8"/>
  <c r="I1090" i="8"/>
  <c r="I738" i="8"/>
  <c r="H1754" i="8"/>
  <c r="F1618" i="8"/>
  <c r="H1026" i="8"/>
  <c r="H812" i="8"/>
  <c r="I784" i="8"/>
  <c r="F731" i="8"/>
  <c r="I731" i="8"/>
  <c r="H1666" i="8"/>
  <c r="I1746" i="8"/>
  <c r="H1405" i="8"/>
  <c r="I1722" i="8"/>
  <c r="I1401" i="8"/>
  <c r="I1560" i="8"/>
  <c r="I1342" i="8"/>
  <c r="H1632" i="8"/>
  <c r="I1329" i="8"/>
  <c r="I1706" i="8"/>
  <c r="F744" i="8"/>
  <c r="I744" i="8"/>
  <c r="F590" i="8"/>
  <c r="H590" i="8"/>
  <c r="F500" i="8"/>
  <c r="H500" i="8"/>
  <c r="H1658" i="8"/>
  <c r="H1494" i="8"/>
  <c r="H1479" i="8"/>
  <c r="H1385" i="8"/>
  <c r="I1730" i="8"/>
  <c r="I1642" i="8"/>
  <c r="I1525" i="8"/>
  <c r="I1666" i="8"/>
  <c r="H1698" i="8"/>
  <c r="H1706" i="8"/>
  <c r="I1690" i="8"/>
  <c r="H1634" i="8"/>
  <c r="I1762" i="8"/>
  <c r="I1650" i="8"/>
  <c r="I1682" i="8"/>
  <c r="H1722" i="8"/>
  <c r="H1509" i="8"/>
  <c r="I1509" i="8"/>
  <c r="I1640" i="8"/>
  <c r="I1672" i="8"/>
  <c r="H1560" i="8"/>
  <c r="H1640" i="8"/>
  <c r="I1728" i="8"/>
  <c r="I1680" i="8"/>
  <c r="H1762" i="8"/>
  <c r="H1746" i="8"/>
  <c r="I1770" i="8"/>
  <c r="I1754" i="8"/>
  <c r="I1738" i="8"/>
  <c r="H1738" i="8"/>
  <c r="H1786" i="8"/>
  <c r="H1802" i="8"/>
  <c r="I1957" i="8"/>
  <c r="I1967" i="8"/>
  <c r="H1704" i="8"/>
  <c r="I1794" i="8"/>
  <c r="I2341" i="8"/>
  <c r="H2316" i="8"/>
  <c r="H1810" i="8"/>
  <c r="H1822" i="8"/>
  <c r="I1981" i="8"/>
  <c r="H1794" i="8"/>
  <c r="I1786" i="8"/>
  <c r="H1778" i="8"/>
  <c r="H1910" i="8"/>
  <c r="H1770" i="8"/>
  <c r="H1672" i="8"/>
  <c r="H1728" i="8"/>
  <c r="I1914" i="8"/>
  <c r="I1704" i="8"/>
  <c r="I2777" i="8"/>
  <c r="I1688" i="8"/>
  <c r="H1664" i="8"/>
  <c r="I1664" i="8"/>
  <c r="I1648" i="8"/>
  <c r="I2349" i="8"/>
  <c r="H1967" i="8"/>
  <c r="I2241" i="8"/>
  <c r="I1822" i="8"/>
  <c r="H1826" i="8"/>
  <c r="I1632" i="8"/>
  <c r="H1648" i="8"/>
  <c r="I2809" i="8"/>
  <c r="F1973" i="8"/>
  <c r="F1877" i="8"/>
  <c r="H2349" i="8"/>
  <c r="I2186" i="8"/>
  <c r="I1744" i="8"/>
  <c r="H1925" i="8"/>
  <c r="H1965" i="8"/>
  <c r="I2545" i="8"/>
  <c r="H1680" i="8"/>
  <c r="H2341" i="8"/>
  <c r="H1744" i="8"/>
  <c r="I1937" i="8"/>
  <c r="H1688" i="8"/>
  <c r="I3440" i="8"/>
  <c r="I3139" i="8"/>
  <c r="H2241" i="8"/>
  <c r="H1914" i="8"/>
  <c r="I2316" i="8"/>
  <c r="I1910" i="8"/>
  <c r="H1937" i="8"/>
  <c r="I1925" i="8"/>
  <c r="I1778" i="8"/>
  <c r="I1810" i="8"/>
  <c r="I1826" i="8"/>
  <c r="I1802" i="8"/>
  <c r="H1957" i="8"/>
  <c r="H3139" i="8"/>
  <c r="I3470" i="8"/>
  <c r="H2964" i="8"/>
  <c r="I2222" i="8"/>
  <c r="H2004" i="8"/>
  <c r="I1927" i="8"/>
  <c r="I1741" i="8"/>
  <c r="I1442" i="8"/>
  <c r="H1004" i="8"/>
  <c r="H2303" i="8"/>
  <c r="I2266" i="8"/>
  <c r="H2460" i="8"/>
  <c r="I2178" i="8"/>
  <c r="H2130" i="8"/>
  <c r="I2114" i="8"/>
  <c r="H2231" i="8"/>
  <c r="I2303" i="8"/>
  <c r="H2186" i="8"/>
  <c r="I2130" i="8"/>
  <c r="I1965" i="8"/>
  <c r="H2266" i="8"/>
  <c r="H2178" i="8"/>
  <c r="H2114" i="8"/>
  <c r="I2231" i="8"/>
  <c r="H1981" i="8"/>
  <c r="I1989" i="8"/>
  <c r="H1989" i="8"/>
  <c r="H2531" i="8"/>
  <c r="H2786" i="8"/>
  <c r="F2841" i="8"/>
  <c r="I2841" i="8"/>
  <c r="H2845" i="8"/>
  <c r="H2919" i="8"/>
  <c r="I2531" i="8"/>
  <c r="I2786" i="8"/>
  <c r="H3176" i="8"/>
  <c r="I2941" i="8"/>
  <c r="I3176" i="8"/>
  <c r="I2845" i="8"/>
  <c r="H2849" i="8"/>
  <c r="I2925" i="8"/>
  <c r="H2925" i="8"/>
  <c r="H2941" i="8"/>
  <c r="F301" i="6"/>
  <c r="Q301" i="6" s="1"/>
  <c r="H2777" i="8"/>
  <c r="H3445" i="8"/>
  <c r="I3277" i="8"/>
  <c r="F2987" i="8"/>
  <c r="I2987" i="8"/>
  <c r="F2799" i="8"/>
  <c r="I2799" i="8"/>
  <c r="F2795" i="8"/>
  <c r="H2795" i="8"/>
  <c r="F2769" i="8"/>
  <c r="H2769" i="8"/>
  <c r="I2801" i="8"/>
  <c r="I2793" i="8"/>
  <c r="H3440" i="8"/>
  <c r="I2460" i="8"/>
  <c r="I1398" i="8"/>
  <c r="I2674" i="8"/>
  <c r="F2956" i="8"/>
  <c r="I2956" i="8"/>
  <c r="H2972" i="8"/>
  <c r="I3134" i="8"/>
  <c r="H3134" i="8"/>
  <c r="F270" i="6"/>
  <c r="Q270" i="6" s="1"/>
  <c r="G3201" i="8"/>
  <c r="G3152" i="8"/>
  <c r="G3150" i="8"/>
  <c r="G3128" i="8"/>
  <c r="G2861" i="8"/>
  <c r="G2944" i="8"/>
  <c r="G2957" i="8"/>
  <c r="G2968" i="8"/>
  <c r="G2727" i="8"/>
  <c r="G3096" i="8"/>
  <c r="G2786" i="8"/>
  <c r="G3077" i="8"/>
  <c r="G3017" i="8"/>
  <c r="G2741" i="8"/>
  <c r="G2942" i="8"/>
  <c r="G2736" i="8"/>
  <c r="G2955" i="8"/>
  <c r="G2656" i="8"/>
  <c r="G2662" i="8"/>
  <c r="G2622" i="8"/>
  <c r="G2494" i="8"/>
  <c r="G1365" i="8"/>
  <c r="G2393" i="8"/>
  <c r="G2358" i="8"/>
  <c r="G2218" i="8"/>
  <c r="G2543" i="8"/>
  <c r="G2469" i="8"/>
  <c r="G2596" i="8"/>
  <c r="G2545" i="8"/>
  <c r="G2444" i="8"/>
  <c r="G2315" i="8"/>
  <c r="G2241" i="8"/>
  <c r="G2072" i="8"/>
  <c r="G1948" i="8"/>
  <c r="G2345" i="8"/>
  <c r="G2115" i="8"/>
  <c r="G2003" i="8"/>
  <c r="G2396" i="8"/>
  <c r="G2335" i="8"/>
  <c r="G2325" i="8"/>
  <c r="G2066" i="8"/>
  <c r="G1925" i="8"/>
  <c r="G1969" i="8"/>
  <c r="F61" i="7"/>
  <c r="Q61" i="7" s="1"/>
  <c r="G3161" i="8"/>
  <c r="G3174" i="8"/>
  <c r="G3225" i="8"/>
  <c r="G3125" i="8"/>
  <c r="G2937" i="8"/>
  <c r="G3029" i="8"/>
  <c r="G3038" i="8"/>
  <c r="G2853" i="8"/>
  <c r="G2816" i="8"/>
  <c r="G3006" i="8"/>
  <c r="G3052" i="8"/>
  <c r="G2802" i="8"/>
  <c r="G2845" i="8"/>
  <c r="G3093" i="8"/>
  <c r="G2789" i="8"/>
  <c r="G3056" i="8"/>
  <c r="G2856" i="8"/>
  <c r="G3007" i="8"/>
  <c r="G2710" i="8"/>
  <c r="G2676" i="8"/>
  <c r="G2670" i="8"/>
  <c r="G2629" i="8"/>
  <c r="G2554" i="8"/>
  <c r="G2446" i="8"/>
  <c r="G2599" i="8"/>
  <c r="G2612" i="8"/>
  <c r="G2346" i="8"/>
  <c r="G2222" i="8"/>
  <c r="G2607" i="8"/>
  <c r="G2588" i="8"/>
  <c r="G2519" i="8"/>
  <c r="G2459" i="8"/>
  <c r="G2440" i="8"/>
  <c r="G2361" i="8"/>
  <c r="G2260" i="8"/>
  <c r="G2255" i="8"/>
  <c r="G2084" i="8"/>
  <c r="G1988" i="8"/>
  <c r="G2236" i="8"/>
  <c r="G2217" i="8"/>
  <c r="G2071" i="8"/>
  <c r="G1975" i="8"/>
  <c r="G2389" i="8"/>
  <c r="G2344" i="8"/>
  <c r="F2569" i="8"/>
  <c r="I2569" i="8"/>
  <c r="H2553" i="8"/>
  <c r="G8119" i="5"/>
  <c r="G7555" i="5"/>
  <c r="G7122" i="5"/>
  <c r="G6990" i="5"/>
  <c r="G6970" i="5"/>
  <c r="G6882" i="5"/>
  <c r="G6722" i="5"/>
  <c r="G6650" i="5"/>
  <c r="G6550" i="5"/>
  <c r="G6450" i="5"/>
  <c r="G6399" i="5"/>
  <c r="G6069" i="5"/>
  <c r="G5921" i="5"/>
  <c r="G5697" i="5"/>
  <c r="G5665" i="5"/>
  <c r="G5633" i="5"/>
  <c r="G5367" i="5"/>
  <c r="G5354" i="5"/>
  <c r="G5239" i="5"/>
  <c r="G5194" i="5"/>
  <c r="G5041" i="5"/>
  <c r="G4679" i="5"/>
  <c r="G4416" i="5"/>
  <c r="G4283" i="5"/>
  <c r="G4181" i="5"/>
  <c r="G4074" i="5"/>
  <c r="G3957" i="5"/>
  <c r="G3662" i="5"/>
  <c r="G3618" i="5"/>
  <c r="G3376" i="5"/>
  <c r="G3341" i="5"/>
  <c r="G3266" i="5"/>
  <c r="G3202" i="5"/>
  <c r="G3132" i="5"/>
  <c r="G2719" i="5"/>
  <c r="G2439" i="5"/>
  <c r="G2419" i="5"/>
  <c r="G1962" i="5"/>
  <c r="G1246" i="5"/>
  <c r="G1187" i="5"/>
  <c r="G1099" i="5"/>
  <c r="G954" i="5"/>
  <c r="G7947" i="5"/>
  <c r="G7879" i="5"/>
  <c r="G7847" i="5"/>
  <c r="G7763" i="5"/>
  <c r="G7683" i="5"/>
  <c r="G7651" i="5"/>
  <c r="G7619" i="5"/>
  <c r="G7467" i="5"/>
  <c r="G7062" i="5"/>
  <c r="G6878" i="5"/>
  <c r="G6718" i="5"/>
  <c r="G6714" i="5"/>
  <c r="G6542" i="5"/>
  <c r="G6357" i="5"/>
  <c r="G6309" i="5"/>
  <c r="G6145" i="5"/>
  <c r="G6101" i="5"/>
  <c r="G6085" i="5"/>
  <c r="G5985" i="5"/>
  <c r="G5937" i="5"/>
  <c r="G5825" i="5"/>
  <c r="G5809" i="5"/>
  <c r="G5777" i="5"/>
  <c r="G5575" i="5"/>
  <c r="G8095" i="5"/>
  <c r="G8071" i="5"/>
  <c r="G7106" i="5"/>
  <c r="G6962" i="5"/>
  <c r="G6730" i="5"/>
  <c r="G6626" i="5"/>
  <c r="G6562" i="5"/>
  <c r="G120" i="6"/>
  <c r="R120" i="6" s="1"/>
  <c r="G8175" i="5"/>
  <c r="G7971" i="5"/>
  <c r="G7955" i="5"/>
  <c r="G7871" i="5"/>
  <c r="G7755" i="5"/>
  <c r="G7723" i="5"/>
  <c r="G7707" i="5"/>
  <c r="G7675" i="5"/>
  <c r="G7643" i="5"/>
  <c r="G8103" i="5"/>
  <c r="G7603" i="5"/>
  <c r="G7090" i="5"/>
  <c r="G7010" i="5"/>
  <c r="G6814" i="5"/>
  <c r="G6686" i="5"/>
  <c r="G6582" i="5"/>
  <c r="G6558" i="5"/>
  <c r="G3189" i="8"/>
  <c r="G3193" i="8"/>
  <c r="G3153" i="8"/>
  <c r="G3195" i="8"/>
  <c r="G3186" i="8"/>
  <c r="G3124" i="8"/>
  <c r="G2927" i="8"/>
  <c r="G3043" i="8"/>
  <c r="G2830" i="8"/>
  <c r="G2929" i="8"/>
  <c r="G2993" i="8"/>
  <c r="G2767" i="8"/>
  <c r="G2928" i="8"/>
  <c r="G3118" i="8"/>
  <c r="G2798" i="8"/>
  <c r="G2888" i="8"/>
  <c r="G2869" i="8"/>
  <c r="G2907" i="8"/>
  <c r="G2737" i="8"/>
  <c r="G3042" i="8"/>
  <c r="G2784" i="8"/>
  <c r="G2969" i="8"/>
  <c r="G2709" i="8"/>
  <c r="G2691" i="8"/>
  <c r="G2655" i="8"/>
  <c r="G2673" i="8"/>
  <c r="G2606" i="8"/>
  <c r="G2502" i="8"/>
  <c r="G2406" i="8"/>
  <c r="G2567" i="8"/>
  <c r="G2580" i="8"/>
  <c r="G2354" i="8"/>
  <c r="G2258" i="8"/>
  <c r="G2162" i="8"/>
  <c r="G2447" i="8"/>
  <c r="G2460" i="8"/>
  <c r="G2423" i="8"/>
  <c r="G2427" i="8"/>
  <c r="G2431" i="8"/>
  <c r="G2421" i="8"/>
  <c r="G2365" i="8"/>
  <c r="G2369" i="8"/>
  <c r="G8171" i="5"/>
  <c r="G8155" i="5"/>
  <c r="G7591" i="5"/>
  <c r="G7323" i="5"/>
  <c r="G7308" i="5"/>
  <c r="G7260" i="5"/>
  <c r="G7134" i="5"/>
  <c r="G7058" i="5"/>
  <c r="G6966" i="5"/>
  <c r="G6910" i="5"/>
  <c r="G6778" i="5"/>
  <c r="G6618" i="5"/>
  <c r="G6602" i="5"/>
  <c r="G6473" i="5"/>
  <c r="G6438" i="5"/>
  <c r="F511" i="6"/>
  <c r="G5869" i="5"/>
  <c r="G5805" i="5"/>
  <c r="G5611" i="5"/>
  <c r="G5563" i="5"/>
  <c r="G8027" i="5"/>
  <c r="G7783" i="5"/>
  <c r="G7587" i="5"/>
  <c r="G7571" i="5"/>
  <c r="G7276" i="5"/>
  <c r="G7256" i="5"/>
  <c r="G6906" i="5"/>
  <c r="G6866" i="5"/>
  <c r="G6734" i="5"/>
  <c r="G6710" i="5"/>
  <c r="G6678" i="5"/>
  <c r="G6514" i="5"/>
  <c r="G5881" i="5"/>
  <c r="G5865" i="5"/>
  <c r="G5801" i="5"/>
  <c r="G5621" i="5"/>
  <c r="G5400" i="5"/>
  <c r="G5310" i="5"/>
  <c r="G5126" i="5"/>
  <c r="G4748" i="5"/>
  <c r="G3230" i="8"/>
  <c r="G1216" i="8"/>
  <c r="G1184" i="8"/>
  <c r="G1152" i="8"/>
  <c r="G1120" i="8"/>
  <c r="G1088" i="8"/>
  <c r="G1056" i="8"/>
  <c r="G1024" i="8"/>
  <c r="G1227" i="8"/>
  <c r="G1195" i="8"/>
  <c r="G1163" i="8"/>
  <c r="G1131" i="8"/>
  <c r="G1099" i="8"/>
  <c r="G1067" i="8"/>
  <c r="G1035" i="8"/>
  <c r="G1238" i="8"/>
  <c r="G1206" i="8"/>
  <c r="G1174" i="8"/>
  <c r="G1142" i="8"/>
  <c r="G1110" i="8"/>
  <c r="G1078" i="8"/>
  <c r="G1046" i="8"/>
  <c r="G1014" i="8"/>
  <c r="G1217" i="8"/>
  <c r="G1185" i="8"/>
  <c r="G1153" i="8"/>
  <c r="G1121" i="8"/>
  <c r="G1089" i="8"/>
  <c r="G1057" i="8"/>
  <c r="G1025" i="8"/>
  <c r="G993" i="8"/>
  <c r="G977" i="8"/>
  <c r="G961" i="8"/>
  <c r="G945" i="8"/>
  <c r="G929" i="8"/>
  <c r="G913" i="8"/>
  <c r="G897" i="8"/>
  <c r="G881" i="8"/>
  <c r="G865" i="8"/>
  <c r="G849" i="8"/>
  <c r="G833" i="8"/>
  <c r="G817" i="8"/>
  <c r="G801" i="8"/>
  <c r="G785" i="8"/>
  <c r="G769" i="8"/>
  <c r="G753" i="8"/>
  <c r="G737" i="8"/>
  <c r="G721" i="8"/>
  <c r="G705" i="8"/>
  <c r="G689" i="8"/>
  <c r="G673" i="8"/>
  <c r="G657" i="8"/>
  <c r="G629" i="8"/>
  <c r="G597" i="8"/>
  <c r="G654" i="8"/>
  <c r="G620" i="8"/>
  <c r="G588" i="8"/>
  <c r="G1006" i="8"/>
  <c r="G990" i="8"/>
  <c r="G974" i="8"/>
  <c r="G958" i="8"/>
  <c r="G942" i="8"/>
  <c r="G926" i="8"/>
  <c r="G910" i="8"/>
  <c r="G894" i="8"/>
  <c r="G878" i="8"/>
  <c r="G862" i="8"/>
  <c r="G846" i="8"/>
  <c r="G830" i="8"/>
  <c r="G814" i="8"/>
  <c r="G798" i="8"/>
  <c r="G782" i="8"/>
  <c r="G766" i="8"/>
  <c r="G750" i="8"/>
  <c r="G734" i="8"/>
  <c r="G718" i="8"/>
  <c r="G702" i="8"/>
  <c r="G686" i="8"/>
  <c r="G670" i="8"/>
  <c r="G651" i="8"/>
  <c r="G619" i="8"/>
  <c r="G587" i="8"/>
  <c r="G645" i="8"/>
  <c r="G614" i="8"/>
  <c r="G582" i="8"/>
  <c r="G554" i="8"/>
  <c r="G538" i="8"/>
  <c r="G522" i="8"/>
  <c r="G506" i="8"/>
  <c r="G490" i="8"/>
  <c r="G474" i="8"/>
  <c r="G458" i="8"/>
  <c r="G442" i="8"/>
  <c r="G421" i="8"/>
  <c r="G389" i="8"/>
  <c r="G357" i="8"/>
  <c r="G326" i="8"/>
  <c r="G294" i="8"/>
  <c r="G226" i="8"/>
  <c r="G410" i="8"/>
  <c r="G378" i="8"/>
  <c r="G345" i="8"/>
  <c r="G313" i="8"/>
  <c r="G277" i="8"/>
  <c r="G245" i="8"/>
  <c r="G569" i="8"/>
  <c r="G553" i="8"/>
  <c r="G537" i="8"/>
  <c r="G521" i="8"/>
  <c r="G505" i="8"/>
  <c r="G489" i="8"/>
  <c r="G473" i="8"/>
  <c r="G457" i="8"/>
  <c r="G441" i="8"/>
  <c r="G417" i="8"/>
  <c r="G385" i="8"/>
  <c r="G252" i="8"/>
  <c r="G217" i="8"/>
  <c r="G406" i="8"/>
  <c r="G374" i="8"/>
  <c r="G343" i="8"/>
  <c r="G311" i="8"/>
  <c r="G275" i="8"/>
  <c r="G243" i="8"/>
  <c r="G222" i="8"/>
  <c r="G206" i="8"/>
  <c r="G190" i="8"/>
  <c r="G174" i="8"/>
  <c r="G158" i="8"/>
  <c r="G142" i="8"/>
  <c r="G126" i="8"/>
  <c r="G110" i="8"/>
  <c r="G92" i="8"/>
  <c r="G72" i="8"/>
  <c r="G50" i="8"/>
  <c r="G185" i="8"/>
  <c r="G165" i="8"/>
  <c r="G143" i="8"/>
  <c r="G121" i="8"/>
  <c r="G101" i="8"/>
  <c r="G79" i="8"/>
  <c r="G57" i="8"/>
  <c r="G37" i="8"/>
  <c r="G15" i="8"/>
  <c r="G1261" i="8"/>
  <c r="G1243" i="8"/>
  <c r="G1258" i="8"/>
  <c r="G1267" i="8"/>
  <c r="G1252" i="8"/>
  <c r="G1296" i="8"/>
  <c r="G1322" i="8"/>
  <c r="G1331" i="8"/>
  <c r="G1311" i="8"/>
  <c r="G1328" i="8"/>
  <c r="G1385" i="8"/>
  <c r="G1492" i="8"/>
  <c r="G1456" i="8"/>
  <c r="G1561" i="8"/>
  <c r="G1656" i="8"/>
  <c r="G1741" i="8"/>
  <c r="G1821" i="8"/>
  <c r="G1397" i="8"/>
  <c r="G1446" i="8"/>
  <c r="G1402" i="8"/>
  <c r="G1521" i="8"/>
  <c r="G1620" i="8"/>
  <c r="G1700" i="8"/>
  <c r="G1785" i="8"/>
  <c r="G1876" i="8"/>
  <c r="G1398" i="8"/>
  <c r="G1426" i="8"/>
  <c r="G1545" i="8"/>
  <c r="G1632" i="8"/>
  <c r="G1717" i="8"/>
  <c r="G1808" i="8"/>
  <c r="G1917" i="8"/>
  <c r="G1405" i="8"/>
  <c r="G1532" i="8"/>
  <c r="G1482" i="8"/>
  <c r="G1596" i="8"/>
  <c r="G1681" i="8"/>
  <c r="G1772" i="8"/>
  <c r="G1873" i="8"/>
  <c r="G1966" i="8"/>
  <c r="G2073" i="8"/>
  <c r="G1578" i="8"/>
  <c r="G1630" i="8"/>
  <c r="G1682" i="8"/>
  <c r="G1730" i="8"/>
  <c r="G1778" i="8"/>
  <c r="G1826" i="8"/>
  <c r="G1874" i="8"/>
  <c r="G1928" i="8"/>
  <c r="G2026" i="8"/>
  <c r="G2133" i="8"/>
  <c r="G1435" i="8"/>
  <c r="G1483" i="8"/>
  <c r="G1531" i="8"/>
  <c r="G1579" i="8"/>
  <c r="G1627" i="8"/>
  <c r="G1675" i="8"/>
  <c r="G1731" i="8"/>
  <c r="G1775" i="8"/>
  <c r="G1827" i="8"/>
  <c r="G1871" i="8"/>
  <c r="G1906" i="8"/>
  <c r="G2006" i="8"/>
  <c r="G2113" i="8"/>
  <c r="G1930" i="8"/>
  <c r="G2029" i="8"/>
  <c r="G2125" i="8"/>
  <c r="G2252" i="8"/>
  <c r="G2376" i="8"/>
  <c r="G2257" i="8"/>
  <c r="G2171" i="8"/>
  <c r="G2308" i="8"/>
  <c r="G1895" i="8"/>
  <c r="G1943" i="8"/>
  <c r="G1991" i="8"/>
  <c r="G2039" i="8"/>
  <c r="G2087" i="8"/>
  <c r="G2135" i="8"/>
  <c r="G2281" i="8"/>
  <c r="G2163" i="8"/>
  <c r="G2300" i="8"/>
  <c r="G1956" i="8"/>
  <c r="G2008" i="8"/>
  <c r="G2052" i="8"/>
  <c r="G2104" i="8"/>
  <c r="G2191" i="8"/>
  <c r="G2319" i="8"/>
  <c r="G2164" i="8"/>
  <c r="G2292" i="8"/>
  <c r="G2192" i="8"/>
  <c r="G2320" i="8"/>
  <c r="G2476" i="8"/>
  <c r="G2613" i="8"/>
  <c r="G2495" i="8"/>
  <c r="G2623" i="8"/>
  <c r="G2491" i="8"/>
  <c r="G2619" i="8"/>
  <c r="G2473" i="8"/>
  <c r="G2601" i="8"/>
  <c r="G2533" i="8"/>
  <c r="G2383" i="8"/>
  <c r="G2520" i="8"/>
  <c r="G1362" i="8"/>
  <c r="G2186" i="8"/>
  <c r="G2230" i="8"/>
  <c r="G2282" i="8"/>
  <c r="G2334" i="8"/>
  <c r="G2397" i="8"/>
  <c r="G2525" i="8"/>
  <c r="G2375" i="8"/>
  <c r="G2503" i="8"/>
  <c r="G1374" i="8"/>
  <c r="G2382" i="8"/>
  <c r="G2434" i="8"/>
  <c r="G2482" i="8"/>
  <c r="G2530" i="8"/>
  <c r="G2578" i="8"/>
  <c r="G1372" i="8"/>
  <c r="G2645" i="8"/>
  <c r="G2634" i="8"/>
  <c r="G2635" i="8"/>
  <c r="G2675" i="8"/>
  <c r="G2668" i="8"/>
  <c r="G2685" i="8"/>
  <c r="G2705" i="8"/>
  <c r="G3054" i="8"/>
  <c r="G2898" i="8"/>
  <c r="G2716" i="8"/>
  <c r="G2764" i="8"/>
  <c r="G2812" i="8"/>
  <c r="G2983" i="8"/>
  <c r="G3115" i="8"/>
  <c r="G3116" i="8"/>
  <c r="G2757" i="8"/>
  <c r="G2809" i="8"/>
  <c r="G2985" i="8"/>
  <c r="G3109" i="8"/>
  <c r="G2945" i="8"/>
  <c r="G2819" i="8"/>
  <c r="G2722" i="8"/>
  <c r="G2770" i="8"/>
  <c r="G2902" i="8"/>
  <c r="G3051" i="8"/>
  <c r="G3072" i="8"/>
  <c r="G2871" i="8"/>
  <c r="G2992" i="8"/>
  <c r="G2739" i="8"/>
  <c r="G2791" i="8"/>
  <c r="G2935" i="8"/>
  <c r="G3112" i="8"/>
  <c r="G2891" i="8"/>
  <c r="G2972" i="8"/>
  <c r="G3071" i="8"/>
  <c r="G2887" i="8"/>
  <c r="G2996" i="8"/>
  <c r="G3113" i="8"/>
  <c r="G2884" i="8"/>
  <c r="G2970" i="8"/>
  <c r="G3090" i="8"/>
  <c r="G3126" i="8"/>
  <c r="G3143" i="8"/>
  <c r="G3206" i="8"/>
  <c r="G3160" i="8"/>
  <c r="G3222" i="8"/>
  <c r="G3149" i="8"/>
  <c r="G3196" i="8"/>
  <c r="G3154" i="8"/>
  <c r="G3216" i="8"/>
  <c r="G1031" i="8"/>
  <c r="G1234" i="8"/>
  <c r="G1202" i="8"/>
  <c r="G1170" i="8"/>
  <c r="G1138" i="8"/>
  <c r="G1074" i="8"/>
  <c r="G1042" i="8"/>
  <c r="G1009" i="8"/>
  <c r="G1213" i="8"/>
  <c r="G1181" i="8"/>
  <c r="G1149" i="8"/>
  <c r="G1117" i="8"/>
  <c r="G1085" i="8"/>
  <c r="G1053" i="8"/>
  <c r="G1021" i="8"/>
  <c r="G991" i="8"/>
  <c r="G975" i="8"/>
  <c r="G959" i="8"/>
  <c r="G943" i="8"/>
  <c r="G927" i="8"/>
  <c r="G911" i="8"/>
  <c r="G895" i="8"/>
  <c r="G879" i="8"/>
  <c r="G863" i="8"/>
  <c r="G847" i="8"/>
  <c r="G831" i="8"/>
  <c r="G815" i="8"/>
  <c r="G799" i="8"/>
  <c r="G783" i="8"/>
  <c r="G767" i="8"/>
  <c r="G751" i="8"/>
  <c r="G735" i="8"/>
  <c r="G719" i="8"/>
  <c r="G703" i="8"/>
  <c r="G687" i="8"/>
  <c r="G671" i="8"/>
  <c r="G655" i="8"/>
  <c r="G625" i="8"/>
  <c r="G593" i="8"/>
  <c r="G649" i="8"/>
  <c r="G616" i="8"/>
  <c r="G584" i="8"/>
  <c r="G1004" i="8"/>
  <c r="G988" i="8"/>
  <c r="G972" i="8"/>
  <c r="G956" i="8"/>
  <c r="G940" i="8"/>
  <c r="G908" i="8"/>
  <c r="G892" i="8"/>
  <c r="G876" i="8"/>
  <c r="G860" i="8"/>
  <c r="G844" i="8"/>
  <c r="G828" i="8"/>
  <c r="G812" i="8"/>
  <c r="G796" i="8"/>
  <c r="G780" i="8"/>
  <c r="G764" i="8"/>
  <c r="G748" i="8"/>
  <c r="G732" i="8"/>
  <c r="G716" i="8"/>
  <c r="G700" i="8"/>
  <c r="G684" i="8"/>
  <c r="G668" i="8"/>
  <c r="G648" i="8"/>
  <c r="G615" i="8"/>
  <c r="G583" i="8"/>
  <c r="G642" i="8"/>
  <c r="G610" i="8"/>
  <c r="G578" i="8"/>
  <c r="G552" i="8"/>
  <c r="G536" i="8"/>
  <c r="G520" i="8"/>
  <c r="G504" i="8"/>
  <c r="G488" i="8"/>
  <c r="G472" i="8"/>
  <c r="G456" i="8"/>
  <c r="G440" i="8"/>
  <c r="G416" i="8"/>
  <c r="G384" i="8"/>
  <c r="G221" i="8"/>
  <c r="G407" i="8"/>
  <c r="G375" i="8"/>
  <c r="G341" i="8"/>
  <c r="G309" i="8"/>
  <c r="G273" i="8"/>
  <c r="G241" i="8"/>
  <c r="G567" i="8"/>
  <c r="G551" i="8"/>
  <c r="G535" i="8"/>
  <c r="G519" i="8"/>
  <c r="G503" i="8"/>
  <c r="G487" i="8"/>
  <c r="G471" i="8"/>
  <c r="G455" i="8"/>
  <c r="G439" i="8"/>
  <c r="G412" i="8"/>
  <c r="G380" i="8"/>
  <c r="G348" i="8"/>
  <c r="G316" i="8"/>
  <c r="G280" i="8"/>
  <c r="G248" i="8"/>
  <c r="G209" i="8"/>
  <c r="G403" i="8"/>
  <c r="G371" i="8"/>
  <c r="G307" i="8"/>
  <c r="G271" i="8"/>
  <c r="G239" i="8"/>
  <c r="G220" i="8"/>
  <c r="G204" i="8"/>
  <c r="G188" i="8"/>
  <c r="G156" i="8"/>
  <c r="G140" i="8"/>
  <c r="G124" i="8"/>
  <c r="G90" i="8"/>
  <c r="G70" i="8"/>
  <c r="G48" i="8"/>
  <c r="G28" i="8"/>
  <c r="G205" i="8"/>
  <c r="G183" i="8"/>
  <c r="G163" i="8"/>
  <c r="G141" i="8"/>
  <c r="G119" i="8"/>
  <c r="G99" i="8"/>
  <c r="G77" i="8"/>
  <c r="G55" i="8"/>
  <c r="G35" i="8"/>
  <c r="G1265" i="8"/>
  <c r="G1251" i="8"/>
  <c r="G1262" i="8"/>
  <c r="G1247" i="8"/>
  <c r="G1256" i="8"/>
  <c r="G1337" i="8"/>
  <c r="G1339" i="8"/>
  <c r="G1302" i="8"/>
  <c r="G1319" i="8"/>
  <c r="G1336" i="8"/>
  <c r="G1384" i="8"/>
  <c r="G1510" i="8"/>
  <c r="G1465" i="8"/>
  <c r="G1576" i="8"/>
  <c r="G1661" i="8"/>
  <c r="G1752" i="8"/>
  <c r="G1832" i="8"/>
  <c r="G1420" i="8"/>
  <c r="G1406" i="8"/>
  <c r="G1416" i="8"/>
  <c r="G1530" i="8"/>
  <c r="G1625" i="8"/>
  <c r="G1705" i="8"/>
  <c r="G1796" i="8"/>
  <c r="G1881" i="8"/>
  <c r="G1412" i="8"/>
  <c r="G1440" i="8"/>
  <c r="G1554" i="8"/>
  <c r="G1637" i="8"/>
  <c r="G1728" i="8"/>
  <c r="G1813" i="8"/>
  <c r="G1421" i="8"/>
  <c r="G1430" i="8"/>
  <c r="G1564" i="8"/>
  <c r="G1496" i="8"/>
  <c r="G1601" i="8"/>
  <c r="G1692" i="8"/>
  <c r="G1788" i="8"/>
  <c r="G1884" i="8"/>
  <c r="G1982" i="8"/>
  <c r="G2078" i="8"/>
  <c r="G1586" i="8"/>
  <c r="G1638" i="8"/>
  <c r="G1686" i="8"/>
  <c r="G1734" i="8"/>
  <c r="G1782" i="8"/>
  <c r="G1830" i="8"/>
  <c r="G1878" i="8"/>
  <c r="G1937" i="8"/>
  <c r="G2053" i="8"/>
  <c r="G1391" i="8"/>
  <c r="G1443" i="8"/>
  <c r="G1487" i="8"/>
  <c r="G1539" i="8"/>
  <c r="G1583" i="8"/>
  <c r="G1635" i="8"/>
  <c r="G1687" i="8"/>
  <c r="G1735" i="8"/>
  <c r="G1783" i="8"/>
  <c r="G1831" i="8"/>
  <c r="G1879" i="8"/>
  <c r="G1920" i="8"/>
  <c r="G2022" i="8"/>
  <c r="G2129" i="8"/>
  <c r="G1944" i="8"/>
  <c r="G2034" i="8"/>
  <c r="G2130" i="8"/>
  <c r="G2261" i="8"/>
  <c r="G2143" i="8"/>
  <c r="G2271" i="8"/>
  <c r="G2203" i="8"/>
  <c r="G2317" i="8"/>
  <c r="G1903" i="8"/>
  <c r="G1947" i="8"/>
  <c r="G1999" i="8"/>
  <c r="G2043" i="8"/>
  <c r="G2095" i="8"/>
  <c r="G2167" i="8"/>
  <c r="G2295" i="8"/>
  <c r="G2181" i="8"/>
  <c r="G2309" i="8"/>
  <c r="G1964" i="8"/>
  <c r="G2012" i="8"/>
  <c r="G2060" i="8"/>
  <c r="G2112" i="8"/>
  <c r="G2200" i="8"/>
  <c r="G2328" i="8"/>
  <c r="G2173" i="8"/>
  <c r="G2301" i="8"/>
  <c r="G2201" i="8"/>
  <c r="G2329" i="8"/>
  <c r="G2508" i="8"/>
  <c r="G1371" i="8"/>
  <c r="G2513" i="8"/>
  <c r="G1370" i="8"/>
  <c r="G2509" i="8"/>
  <c r="G1368" i="8"/>
  <c r="G2496" i="8"/>
  <c r="G1366" i="8"/>
  <c r="G2547" i="8"/>
  <c r="G2401" i="8"/>
  <c r="G2529" i="8"/>
  <c r="G2142" i="8"/>
  <c r="G2190" i="8"/>
  <c r="G2238" i="8"/>
  <c r="G2290" i="8"/>
  <c r="G2338" i="8"/>
  <c r="G2411" i="8"/>
  <c r="G2539" i="8"/>
  <c r="G2384" i="8"/>
  <c r="G2512" i="8"/>
  <c r="G1358" i="8"/>
  <c r="G2394" i="8"/>
  <c r="G2438" i="8"/>
  <c r="G2490" i="8"/>
  <c r="G2534" i="8"/>
  <c r="G2586" i="8"/>
  <c r="G1364" i="8"/>
  <c r="G2653" i="8"/>
  <c r="G2646" i="8"/>
  <c r="G2639" i="8"/>
  <c r="G2624" i="8"/>
  <c r="G2672" i="8"/>
  <c r="G2693" i="8"/>
  <c r="G2701" i="8"/>
  <c r="G3073" i="8"/>
  <c r="G2911" i="8"/>
  <c r="G2720" i="8"/>
  <c r="G2768" i="8"/>
  <c r="G2818" i="8"/>
  <c r="G2994" i="8"/>
  <c r="G3009" i="8"/>
  <c r="G2713" i="8"/>
  <c r="G2769" i="8"/>
  <c r="G2813" i="8"/>
  <c r="G3004" i="8"/>
  <c r="G2821" i="8"/>
  <c r="G2959" i="8"/>
  <c r="G2826" i="8"/>
  <c r="G2730" i="8"/>
  <c r="G2782" i="8"/>
  <c r="G2909" i="8"/>
  <c r="G3078" i="8"/>
  <c r="G3088" i="8"/>
  <c r="G2890" i="8"/>
  <c r="G2999" i="8"/>
  <c r="G2747" i="8"/>
  <c r="G2799" i="8"/>
  <c r="G2941" i="8"/>
  <c r="G2814" i="8"/>
  <c r="G2896" i="8"/>
  <c r="G2976" i="8"/>
  <c r="G3076" i="8"/>
  <c r="G2901" i="8"/>
  <c r="G3015" i="8"/>
  <c r="G3119" i="8"/>
  <c r="G2904" i="8"/>
  <c r="G2979" i="8"/>
  <c r="G3100" i="8"/>
  <c r="G3213" i="8"/>
  <c r="G3221" i="8"/>
  <c r="G3179" i="8"/>
  <c r="G3147" i="8"/>
  <c r="G3164" i="8"/>
  <c r="G3204" i="8"/>
  <c r="G3158" i="8"/>
  <c r="G3224" i="8"/>
  <c r="G1236" i="8"/>
  <c r="G1204" i="8"/>
  <c r="G1172" i="8"/>
  <c r="G1140" i="8"/>
  <c r="G1108" i="8"/>
  <c r="G1076" i="8"/>
  <c r="G1044" i="8"/>
  <c r="G1012" i="8"/>
  <c r="G1215" i="8"/>
  <c r="G1183" i="8"/>
  <c r="G1151" i="8"/>
  <c r="G1119" i="8"/>
  <c r="G1087" i="8"/>
  <c r="G1055" i="8"/>
  <c r="G1023" i="8"/>
  <c r="G1226" i="8"/>
  <c r="G1194" i="8"/>
  <c r="G1162" i="8"/>
  <c r="G1130" i="8"/>
  <c r="G1098" i="8"/>
  <c r="G1066" i="8"/>
  <c r="G1034" i="8"/>
  <c r="G1237" i="8"/>
  <c r="G1205" i="8"/>
  <c r="G1173" i="8"/>
  <c r="G1141" i="8"/>
  <c r="G1109" i="8"/>
  <c r="G1077" i="8"/>
  <c r="G1045" i="8"/>
  <c r="G1013" i="8"/>
  <c r="G987" i="8"/>
  <c r="G971" i="8"/>
  <c r="G955" i="8"/>
  <c r="G939" i="8"/>
  <c r="G923" i="8"/>
  <c r="G907" i="8"/>
  <c r="G891" i="8"/>
  <c r="G875" i="8"/>
  <c r="G859" i="8"/>
  <c r="G843" i="8"/>
  <c r="G827" i="8"/>
  <c r="G811" i="8"/>
  <c r="G795" i="8"/>
  <c r="G779" i="8"/>
  <c r="G763" i="8"/>
  <c r="G747" i="8"/>
  <c r="G731" i="8"/>
  <c r="G715" i="8"/>
  <c r="G699" i="8"/>
  <c r="G683" i="8"/>
  <c r="G667" i="8"/>
  <c r="G647" i="8"/>
  <c r="G617" i="8"/>
  <c r="G585" i="8"/>
  <c r="G640" i="8"/>
  <c r="G608" i="8"/>
  <c r="G576" i="8"/>
  <c r="G1000" i="8"/>
  <c r="G984" i="8"/>
  <c r="G968" i="8"/>
  <c r="G952" i="8"/>
  <c r="G920" i="8"/>
  <c r="G904" i="8"/>
  <c r="G888" i="8"/>
  <c r="G872" i="8"/>
  <c r="G856" i="8"/>
  <c r="G840" i="8"/>
  <c r="G824" i="8"/>
  <c r="G808" i="8"/>
  <c r="G792" i="8"/>
  <c r="G776" i="8"/>
  <c r="G760" i="8"/>
  <c r="G744" i="8"/>
  <c r="G728" i="8"/>
  <c r="G712" i="8"/>
  <c r="G696" i="8"/>
  <c r="G680" i="8"/>
  <c r="G664" i="8"/>
  <c r="G639" i="8"/>
  <c r="G607" i="8"/>
  <c r="G575" i="8"/>
  <c r="G634" i="8"/>
  <c r="G602" i="8"/>
  <c r="G570" i="8"/>
  <c r="G548" i="8"/>
  <c r="G532" i="8"/>
  <c r="G516" i="8"/>
  <c r="G500" i="8"/>
  <c r="G484" i="8"/>
  <c r="G468" i="8"/>
  <c r="G452" i="8"/>
  <c r="G436" i="8"/>
  <c r="G408" i="8"/>
  <c r="G376" i="8"/>
  <c r="G346" i="8"/>
  <c r="G314" i="8"/>
  <c r="G278" i="8"/>
  <c r="G246" i="8"/>
  <c r="G431" i="8"/>
  <c r="G399" i="8"/>
  <c r="G367" i="8"/>
  <c r="G333" i="8"/>
  <c r="G301" i="8"/>
  <c r="G265" i="8"/>
  <c r="G233" i="8"/>
  <c r="G563" i="8"/>
  <c r="G547" i="8"/>
  <c r="G531" i="8"/>
  <c r="G515" i="8"/>
  <c r="G499" i="8"/>
  <c r="G483" i="8"/>
  <c r="G467" i="8"/>
  <c r="G451" i="8"/>
  <c r="G435" i="8"/>
  <c r="G404" i="8"/>
  <c r="G372" i="8"/>
  <c r="G340" i="8"/>
  <c r="G308" i="8"/>
  <c r="G272" i="8"/>
  <c r="G240" i="8"/>
  <c r="G427" i="8"/>
  <c r="G395" i="8"/>
  <c r="G363" i="8"/>
  <c r="G331" i="8"/>
  <c r="G299" i="8"/>
  <c r="G263" i="8"/>
  <c r="G231" i="8"/>
  <c r="G216" i="8"/>
  <c r="G200" i="8"/>
  <c r="G184" i="8"/>
  <c r="G168" i="8"/>
  <c r="G152" i="8"/>
  <c r="G136" i="8"/>
  <c r="G120" i="8"/>
  <c r="G86" i="8"/>
  <c r="G64" i="8"/>
  <c r="G44" i="8"/>
  <c r="G22" i="8"/>
  <c r="G199" i="8"/>
  <c r="G179" i="8"/>
  <c r="G157" i="8"/>
  <c r="G135" i="8"/>
  <c r="G115" i="8"/>
  <c r="G93" i="8"/>
  <c r="G71" i="8"/>
  <c r="G51" i="8"/>
  <c r="G29" i="8"/>
  <c r="G1273" i="8"/>
  <c r="G1279" i="8"/>
  <c r="G1274" i="8"/>
  <c r="G1275" i="8"/>
  <c r="G1268" i="8"/>
  <c r="G1300" i="8"/>
  <c r="G1309" i="8"/>
  <c r="G1326" i="8"/>
  <c r="G1343" i="8"/>
  <c r="G1349" i="8"/>
  <c r="G1387" i="8"/>
  <c r="G1565" i="8"/>
  <c r="G1488" i="8"/>
  <c r="G1597" i="8"/>
  <c r="G1688" i="8"/>
  <c r="G1768" i="8"/>
  <c r="G1853" i="8"/>
  <c r="G1525" i="8"/>
  <c r="G1438" i="8"/>
  <c r="G1448" i="8"/>
  <c r="G1562" i="8"/>
  <c r="G1641" i="8"/>
  <c r="G1732" i="8"/>
  <c r="G1817" i="8"/>
  <c r="G1485" i="8"/>
  <c r="G1508" i="8"/>
  <c r="G1472" i="8"/>
  <c r="G1573" i="8"/>
  <c r="G1664" i="8"/>
  <c r="G1749" i="8"/>
  <c r="G1829" i="8"/>
  <c r="G1445" i="8"/>
  <c r="G1404" i="8"/>
  <c r="G1409" i="8"/>
  <c r="G1528" i="8"/>
  <c r="G1628" i="8"/>
  <c r="G1708" i="8"/>
  <c r="G1809" i="8"/>
  <c r="G1890" i="8"/>
  <c r="G2009" i="8"/>
  <c r="G2110" i="8"/>
  <c r="G1602" i="8"/>
  <c r="G1650" i="8"/>
  <c r="G1698" i="8"/>
  <c r="G1746" i="8"/>
  <c r="G1794" i="8"/>
  <c r="G1842" i="8"/>
  <c r="G1909" i="8"/>
  <c r="G1973" i="8"/>
  <c r="G2069" i="8"/>
  <c r="G1403" i="8"/>
  <c r="G1451" i="8"/>
  <c r="G1499" i="8"/>
  <c r="G1547" i="8"/>
  <c r="G1603" i="8"/>
  <c r="G1647" i="8"/>
  <c r="G1699" i="8"/>
  <c r="G1743" i="8"/>
  <c r="G1795" i="8"/>
  <c r="G1839" i="8"/>
  <c r="G1901" i="8"/>
  <c r="G1958" i="8"/>
  <c r="G2054" i="8"/>
  <c r="G1916" i="8"/>
  <c r="G1965" i="8"/>
  <c r="G2061" i="8"/>
  <c r="G2165" i="8"/>
  <c r="G2293" i="8"/>
  <c r="G2184" i="8"/>
  <c r="G2312" i="8"/>
  <c r="G2221" i="8"/>
  <c r="G2349" i="8"/>
  <c r="G1911" i="8"/>
  <c r="G1959" i="8"/>
  <c r="G2007" i="8"/>
  <c r="G2063" i="8"/>
  <c r="G2107" i="8"/>
  <c r="G2199" i="8"/>
  <c r="G2313" i="8"/>
  <c r="G2213" i="8"/>
  <c r="G2332" i="8"/>
  <c r="G1976" i="8"/>
  <c r="G2028" i="8"/>
  <c r="G2076" i="8"/>
  <c r="G2124" i="8"/>
  <c r="G2232" i="8"/>
  <c r="G2360" i="8"/>
  <c r="G2205" i="8"/>
  <c r="G2333" i="8"/>
  <c r="G2247" i="8"/>
  <c r="G2381" i="8"/>
  <c r="G2531" i="8"/>
  <c r="G2408" i="8"/>
  <c r="G2536" i="8"/>
  <c r="G2404" i="8"/>
  <c r="G2532" i="8"/>
  <c r="G2409" i="8"/>
  <c r="G2528" i="8"/>
  <c r="G2451" i="8"/>
  <c r="G2565" i="8"/>
  <c r="G2433" i="8"/>
  <c r="G2552" i="8"/>
  <c r="G2154" i="8"/>
  <c r="G2206" i="8"/>
  <c r="G2254" i="8"/>
  <c r="G2302" i="8"/>
  <c r="G2350" i="8"/>
  <c r="G2443" i="8"/>
  <c r="G2571" i="8"/>
  <c r="G2416" i="8"/>
  <c r="G2553" i="8"/>
  <c r="G1359" i="8"/>
  <c r="G2402" i="8"/>
  <c r="G2450" i="8"/>
  <c r="G2498" i="8"/>
  <c r="G2546" i="8"/>
  <c r="G2594" i="8"/>
  <c r="G1353" i="8"/>
  <c r="G2665" i="8"/>
  <c r="G2658" i="8"/>
  <c r="G2647" i="8"/>
  <c r="G2636" i="8"/>
  <c r="G2680" i="8"/>
  <c r="G2690" i="8"/>
  <c r="G2696" i="8"/>
  <c r="G2836" i="8"/>
  <c r="G2936" i="8"/>
  <c r="G2732" i="8"/>
  <c r="G2780" i="8"/>
  <c r="G2879" i="8"/>
  <c r="G3016" i="8"/>
  <c r="G3036" i="8"/>
  <c r="G2729" i="8"/>
  <c r="G2777" i="8"/>
  <c r="G2868" i="8"/>
  <c r="G3023" i="8"/>
  <c r="G2846" i="8"/>
  <c r="G3025" i="8"/>
  <c r="G2874" i="8"/>
  <c r="G2742" i="8"/>
  <c r="G2794" i="8"/>
  <c r="G2940" i="8"/>
  <c r="G3110" i="8"/>
  <c r="G3104" i="8"/>
  <c r="G2916" i="8"/>
  <c r="G2715" i="8"/>
  <c r="G2763" i="8"/>
  <c r="G2811" i="8"/>
  <c r="G2988" i="8"/>
  <c r="G2834" i="8"/>
  <c r="G2920" i="8"/>
  <c r="G3000" i="8"/>
  <c r="G3108" i="8"/>
  <c r="G2934" i="8"/>
  <c r="G3034" i="8"/>
  <c r="G2828" i="8"/>
  <c r="G2913" i="8"/>
  <c r="G3003" i="8"/>
  <c r="G3123" i="8"/>
  <c r="G3130" i="8"/>
  <c r="G3178" i="8"/>
  <c r="G3146" i="8"/>
  <c r="G3187" i="8"/>
  <c r="G3170" i="8"/>
  <c r="G3172" i="8"/>
  <c r="G3219" i="8"/>
  <c r="G3228" i="8"/>
  <c r="G3181" i="8"/>
  <c r="G3223" i="8"/>
  <c r="G3157" i="8"/>
  <c r="G3144" i="8"/>
  <c r="G3211" i="8"/>
  <c r="G3214" i="8"/>
  <c r="G3210" i="8"/>
  <c r="G3155" i="8"/>
  <c r="G3133" i="8"/>
  <c r="G3127" i="8"/>
  <c r="G3041" i="8"/>
  <c r="G2946" i="8"/>
  <c r="G2870" i="8"/>
  <c r="G3103" i="8"/>
  <c r="G3001" i="8"/>
  <c r="G2906" i="8"/>
  <c r="G3102" i="8"/>
  <c r="G3005" i="8"/>
  <c r="G2943" i="8"/>
  <c r="G2858" i="8"/>
  <c r="G3060" i="8"/>
  <c r="G2872" i="8"/>
  <c r="G2795" i="8"/>
  <c r="G2751" i="8"/>
  <c r="G3012" i="8"/>
  <c r="G2922" i="8"/>
  <c r="G2822" i="8"/>
  <c r="G3033" i="8"/>
  <c r="G3039" i="8"/>
  <c r="G2852" i="8"/>
  <c r="G2774" i="8"/>
  <c r="G2734" i="8"/>
  <c r="G2850" i="8"/>
  <c r="G3031" i="8"/>
  <c r="G2889" i="8"/>
  <c r="G3050" i="8"/>
  <c r="G2938" i="8"/>
  <c r="G2805" i="8"/>
  <c r="G2761" i="8"/>
  <c r="G2717" i="8"/>
  <c r="G2989" i="8"/>
  <c r="G3028" i="8"/>
  <c r="G2912" i="8"/>
  <c r="G2796" i="8"/>
  <c r="G2752" i="8"/>
  <c r="G3027" i="8"/>
  <c r="G2905" i="8"/>
  <c r="G3089" i="8"/>
  <c r="G2704" i="8"/>
  <c r="G2694" i="8"/>
  <c r="G2684" i="8"/>
  <c r="G2648" i="8"/>
  <c r="G2610" i="8"/>
  <c r="G2627" i="8"/>
  <c r="G2638" i="8"/>
  <c r="G2657" i="8"/>
  <c r="G1369" i="8"/>
  <c r="G2598" i="8"/>
  <c r="G2558" i="8"/>
  <c r="G2514" i="8"/>
  <c r="G2470" i="8"/>
  <c r="G2430" i="8"/>
  <c r="G2386" i="8"/>
  <c r="G1383" i="8"/>
  <c r="G2544" i="8"/>
  <c r="G2425" i="8"/>
  <c r="G2589" i="8"/>
  <c r="G2484" i="8"/>
  <c r="G2370" i="8"/>
  <c r="G2326" i="8"/>
  <c r="G2286" i="8"/>
  <c r="G2242" i="8"/>
  <c r="G2198" i="8"/>
  <c r="G2158" i="8"/>
  <c r="G2584" i="8"/>
  <c r="G2465" i="8"/>
  <c r="G1379" i="8"/>
  <c r="G2515" i="8"/>
  <c r="G2615" i="8"/>
  <c r="G2505" i="8"/>
  <c r="G2391" i="8"/>
  <c r="G2541" i="8"/>
  <c r="G2436" i="8"/>
  <c r="G2577" i="8"/>
  <c r="G2463" i="8"/>
  <c r="G2604" i="8"/>
  <c r="G2485" i="8"/>
  <c r="G2343" i="8"/>
  <c r="G2233" i="8"/>
  <c r="G2347" i="8"/>
  <c r="G2228" i="8"/>
  <c r="G2412" i="8"/>
  <c r="G2287" i="8"/>
  <c r="G2168" i="8"/>
  <c r="G2108" i="8"/>
  <c r="G2064" i="8"/>
  <c r="G2020" i="8"/>
  <c r="G1980" i="8"/>
  <c r="G2364" i="8"/>
  <c r="G2245" i="8"/>
  <c r="G2140" i="8"/>
  <c r="G2263" i="8"/>
  <c r="G2144" i="8"/>
  <c r="G2099" i="8"/>
  <c r="G2055" i="8"/>
  <c r="G2011" i="8"/>
  <c r="G1971" i="8"/>
  <c r="G1927" i="8"/>
  <c r="G2403" i="8"/>
  <c r="G2299" i="8"/>
  <c r="G2180" i="8"/>
  <c r="G2280" i="8"/>
  <c r="G2175" i="8"/>
  <c r="G2307" i="8"/>
  <c r="G2188" i="8"/>
  <c r="G2093" i="8"/>
  <c r="G2002" i="8"/>
  <c r="G1912" i="8"/>
  <c r="G2118" i="8"/>
  <c r="G2033" i="8"/>
  <c r="G1938" i="8"/>
  <c r="G1910" i="8"/>
  <c r="G1851" i="8"/>
  <c r="G1807" i="8"/>
  <c r="G1767" i="8"/>
  <c r="G1723" i="8"/>
  <c r="G1679" i="8"/>
  <c r="G1639" i="8"/>
  <c r="G1595" i="8"/>
  <c r="G1551" i="8"/>
  <c r="G1511" i="8"/>
  <c r="G1467" i="8"/>
  <c r="G1423" i="8"/>
  <c r="G2122" i="8"/>
  <c r="G2037" i="8"/>
  <c r="G1946" i="8"/>
  <c r="G1900" i="8"/>
  <c r="G1846" i="8"/>
  <c r="G1802" i="8"/>
  <c r="G1762" i="8"/>
  <c r="G1718" i="8"/>
  <c r="G1674" i="8"/>
  <c r="G1634" i="8"/>
  <c r="G1590" i="8"/>
  <c r="G2094" i="8"/>
  <c r="G2014" i="8"/>
  <c r="G1922" i="8"/>
  <c r="G1836" i="8"/>
  <c r="G1756" i="8"/>
  <c r="G1220" i="8"/>
  <c r="G1188" i="8"/>
  <c r="G1156" i="8"/>
  <c r="G1124" i="8"/>
  <c r="G1092" i="8"/>
  <c r="G1060" i="8"/>
  <c r="G1028" i="8"/>
  <c r="G1231" i="8"/>
  <c r="G1199" i="8"/>
  <c r="G1167" i="8"/>
  <c r="G1135" i="8"/>
  <c r="G1103" i="8"/>
  <c r="G1071" i="8"/>
  <c r="G1039" i="8"/>
  <c r="G1003" i="8"/>
  <c r="G1210" i="8"/>
  <c r="G1178" i="8"/>
  <c r="G1146" i="8"/>
  <c r="G1114" i="8"/>
  <c r="G1050" i="8"/>
  <c r="G1018" i="8"/>
  <c r="G1221" i="8"/>
  <c r="G1189" i="8"/>
  <c r="G1157" i="8"/>
  <c r="G1125" i="8"/>
  <c r="G1093" i="8"/>
  <c r="G1061" i="8"/>
  <c r="G1029" i="8"/>
  <c r="G995" i="8"/>
  <c r="G979" i="8"/>
  <c r="G963" i="8"/>
  <c r="G947" i="8"/>
  <c r="G931" i="8"/>
  <c r="G915" i="8"/>
  <c r="G899" i="8"/>
  <c r="G883" i="8"/>
  <c r="G867" i="8"/>
  <c r="G851" i="8"/>
  <c r="G835" i="8"/>
  <c r="G819" i="8"/>
  <c r="G803" i="8"/>
  <c r="G787" i="8"/>
  <c r="G771" i="8"/>
  <c r="G755" i="8"/>
  <c r="G739" i="8"/>
  <c r="G723" i="8"/>
  <c r="G707" i="8"/>
  <c r="G691" i="8"/>
  <c r="G675" i="8"/>
  <c r="G659" i="8"/>
  <c r="G633" i="8"/>
  <c r="G601" i="8"/>
  <c r="G568" i="8"/>
  <c r="G624" i="8"/>
  <c r="G592" i="8"/>
  <c r="G1008" i="8"/>
  <c r="G992" i="8"/>
  <c r="G976" i="8"/>
  <c r="G960" i="8"/>
  <c r="G944" i="8"/>
  <c r="G928" i="8"/>
  <c r="G912" i="8"/>
  <c r="G896" i="8"/>
  <c r="G880" i="8"/>
  <c r="G864" i="8"/>
  <c r="G848" i="8"/>
  <c r="G832" i="8"/>
  <c r="G816" i="8"/>
  <c r="G800" i="8"/>
  <c r="G784" i="8"/>
  <c r="G768" i="8"/>
  <c r="G752" i="8"/>
  <c r="G736" i="8"/>
  <c r="G720" i="8"/>
  <c r="G704" i="8"/>
  <c r="G688" i="8"/>
  <c r="G672" i="8"/>
  <c r="G656" i="8"/>
  <c r="G623" i="8"/>
  <c r="G591" i="8"/>
  <c r="G650" i="8"/>
  <c r="G618" i="8"/>
  <c r="G586" i="8"/>
  <c r="G556" i="8"/>
  <c r="G540" i="8"/>
  <c r="G524" i="8"/>
  <c r="G508" i="8"/>
  <c r="G492" i="8"/>
  <c r="G476" i="8"/>
  <c r="G460" i="8"/>
  <c r="G444" i="8"/>
  <c r="G424" i="8"/>
  <c r="G392" i="8"/>
  <c r="G360" i="8"/>
  <c r="G330" i="8"/>
  <c r="G298" i="8"/>
  <c r="G230" i="8"/>
  <c r="G415" i="8"/>
  <c r="G383" i="8"/>
  <c r="G351" i="8"/>
  <c r="G317" i="8"/>
  <c r="G281" i="8"/>
  <c r="G249" i="8"/>
  <c r="G211" i="8"/>
  <c r="G555" i="8"/>
  <c r="G539" i="8"/>
  <c r="G523" i="8"/>
  <c r="G507" i="8"/>
  <c r="G491" i="8"/>
  <c r="G475" i="8"/>
  <c r="G459" i="8"/>
  <c r="G443" i="8"/>
  <c r="G420" i="8"/>
  <c r="G388" i="8"/>
  <c r="G324" i="8"/>
  <c r="G224" i="8"/>
  <c r="G411" i="8"/>
  <c r="G379" i="8"/>
  <c r="G347" i="8"/>
  <c r="G315" i="8"/>
  <c r="G279" i="8"/>
  <c r="G247" i="8"/>
  <c r="G207" i="8"/>
  <c r="G208" i="8"/>
  <c r="G192" i="8"/>
  <c r="G160" i="8"/>
  <c r="G144" i="8"/>
  <c r="G128" i="8"/>
  <c r="G112" i="8"/>
  <c r="G94" i="8"/>
  <c r="G76" i="8"/>
  <c r="G54" i="8"/>
  <c r="G32" i="8"/>
  <c r="G12" i="8"/>
  <c r="G189" i="8"/>
  <c r="G167" i="8"/>
  <c r="G147" i="8"/>
  <c r="G125" i="8"/>
  <c r="G103" i="8"/>
  <c r="G83" i="8"/>
  <c r="G61" i="8"/>
  <c r="G39" i="8"/>
  <c r="G19" i="8"/>
  <c r="G1253" i="8"/>
  <c r="G1297" i="8"/>
  <c r="G1250" i="8"/>
  <c r="G1294" i="8"/>
  <c r="G1248" i="8"/>
  <c r="G1288" i="8"/>
  <c r="G1340" i="8"/>
  <c r="G1314" i="8"/>
  <c r="G1307" i="8"/>
  <c r="G1312" i="8"/>
  <c r="G1351" i="8"/>
  <c r="G1556" i="8"/>
  <c r="G1433" i="8"/>
  <c r="G1552" i="8"/>
  <c r="G1640" i="8"/>
  <c r="G1725" i="8"/>
  <c r="G1816" i="8"/>
  <c r="G1396" i="8"/>
  <c r="G1893" i="8"/>
  <c r="G1393" i="8"/>
  <c r="G1498" i="8"/>
  <c r="G1604" i="8"/>
  <c r="G1689" i="8"/>
  <c r="G1769" i="8"/>
  <c r="G1860" i="8"/>
  <c r="G1389" i="8"/>
  <c r="G1408" i="8"/>
  <c r="G1522" i="8"/>
  <c r="G1621" i="8"/>
  <c r="G1701" i="8"/>
  <c r="G1792" i="8"/>
  <c r="G1877" i="8"/>
  <c r="G1550" i="8"/>
  <c r="G1500" i="8"/>
  <c r="G1473" i="8"/>
  <c r="G1580" i="8"/>
  <c r="G1665" i="8"/>
  <c r="G1761" i="8"/>
  <c r="G1857" i="8"/>
  <c r="G1961" i="8"/>
  <c r="G2057" i="8"/>
  <c r="G1574" i="8"/>
  <c r="G1622" i="8"/>
  <c r="G1670" i="8"/>
  <c r="G1726" i="8"/>
  <c r="G1770" i="8"/>
  <c r="G1822" i="8"/>
  <c r="G1866" i="8"/>
  <c r="G1914" i="8"/>
  <c r="G2010" i="8"/>
  <c r="G2117" i="8"/>
  <c r="G1431" i="8"/>
  <c r="G1479" i="8"/>
  <c r="G1527" i="8"/>
  <c r="G1575" i="8"/>
  <c r="G1623" i="8"/>
  <c r="G1671" i="8"/>
  <c r="G1719" i="8"/>
  <c r="G1771" i="8"/>
  <c r="G1819" i="8"/>
  <c r="G1867" i="8"/>
  <c r="G1888" i="8"/>
  <c r="G2001" i="8"/>
  <c r="G2097" i="8"/>
  <c r="G1898" i="8"/>
  <c r="G2018" i="8"/>
  <c r="G2109" i="8"/>
  <c r="G2243" i="8"/>
  <c r="G2357" i="8"/>
  <c r="G2248" i="8"/>
  <c r="G2367" i="8"/>
  <c r="G2285" i="8"/>
  <c r="G1891" i="8"/>
  <c r="G1939" i="8"/>
  <c r="G1987" i="8"/>
  <c r="G2035" i="8"/>
  <c r="G2083" i="8"/>
  <c r="G2131" i="8"/>
  <c r="G2249" i="8"/>
  <c r="G2149" i="8"/>
  <c r="G2277" i="8"/>
  <c r="G1952" i="8"/>
  <c r="G2000" i="8"/>
  <c r="G2048" i="8"/>
  <c r="G2096" i="8"/>
  <c r="G2159" i="8"/>
  <c r="G2305" i="8"/>
  <c r="G2141" i="8"/>
  <c r="G2283" i="8"/>
  <c r="G2169" i="8"/>
  <c r="G2311" i="8"/>
  <c r="G2453" i="8"/>
  <c r="G2595" i="8"/>
  <c r="G2481" i="8"/>
  <c r="G2609" i="8"/>
  <c r="G2477" i="8"/>
  <c r="G2605" i="8"/>
  <c r="G2464" i="8"/>
  <c r="G2592" i="8"/>
  <c r="G2501" i="8"/>
  <c r="G1363" i="8"/>
  <c r="G2497" i="8"/>
  <c r="G2178" i="8"/>
  <c r="G2226" i="8"/>
  <c r="G2274" i="8"/>
  <c r="G2322" i="8"/>
  <c r="G2388" i="8"/>
  <c r="G2507" i="8"/>
  <c r="G1360" i="8"/>
  <c r="G2480" i="8"/>
  <c r="G2617" i="8"/>
  <c r="G2374" i="8"/>
  <c r="G2426" i="8"/>
  <c r="G2478" i="8"/>
  <c r="G2526" i="8"/>
  <c r="G2574" i="8"/>
  <c r="G1380" i="8"/>
  <c r="G2641" i="8"/>
  <c r="G2630" i="8"/>
  <c r="G2678" i="8"/>
  <c r="G2671" i="8"/>
  <c r="G2660" i="8"/>
  <c r="G2695" i="8"/>
  <c r="G2702" i="8"/>
  <c r="G3047" i="8"/>
  <c r="G2885" i="8"/>
  <c r="G3021" i="8"/>
  <c r="G2760" i="8"/>
  <c r="G2804" i="8"/>
  <c r="G2963" i="8"/>
  <c r="G3091" i="8"/>
  <c r="G3107" i="8"/>
  <c r="G2749" i="8"/>
  <c r="G2801" i="8"/>
  <c r="G2978" i="8"/>
  <c r="G3099" i="8"/>
  <c r="G2926" i="8"/>
  <c r="G3117" i="8"/>
  <c r="G2718" i="8"/>
  <c r="G2766" i="8"/>
  <c r="G2841" i="8"/>
  <c r="G3045" i="8"/>
  <c r="G3059" i="8"/>
  <c r="G2865" i="8"/>
  <c r="G2974" i="8"/>
  <c r="G2735" i="8"/>
  <c r="G2783" i="8"/>
  <c r="G2854" i="8"/>
  <c r="G3080" i="8"/>
  <c r="G2877" i="8"/>
  <c r="G2967" i="8"/>
  <c r="G3048" i="8"/>
  <c r="G2882" i="8"/>
  <c r="G2981" i="8"/>
  <c r="G3087" i="8"/>
  <c r="G2880" i="8"/>
  <c r="G2960" i="8"/>
  <c r="G3079" i="8"/>
  <c r="G3122" i="8"/>
  <c r="G3139" i="8"/>
  <c r="G3202" i="8"/>
  <c r="G3175" i="8"/>
  <c r="G3218" i="8"/>
  <c r="G3141" i="8"/>
  <c r="G3192" i="8"/>
  <c r="G3173" i="8"/>
  <c r="G3209" i="8"/>
  <c r="G132" i="6"/>
  <c r="R132" i="6" s="1"/>
  <c r="G8167" i="5"/>
  <c r="G8043" i="5"/>
  <c r="G8011" i="5"/>
  <c r="G7995" i="5"/>
  <c r="G7979" i="5"/>
  <c r="G7831" i="5"/>
  <c r="G7815" i="5"/>
  <c r="G7799" i="5"/>
  <c r="G7639" i="5"/>
  <c r="G7607" i="5"/>
  <c r="G7575" i="5"/>
  <c r="G7559" i="5"/>
  <c r="G7425" i="5"/>
  <c r="G7375" i="5"/>
  <c r="G7284" i="5"/>
  <c r="G7214" i="5"/>
  <c r="G7126" i="5"/>
  <c r="G7054" i="5"/>
  <c r="G7030" i="5"/>
  <c r="G6874" i="5"/>
  <c r="G6782" i="5"/>
  <c r="G6726" i="5"/>
  <c r="G6694" i="5"/>
  <c r="G6690" i="5"/>
  <c r="G6654" i="5"/>
  <c r="G6638" i="5"/>
  <c r="G6622" i="5"/>
  <c r="G6590" i="5"/>
  <c r="G6534" i="5"/>
  <c r="G6510" i="5"/>
  <c r="G6480" i="5"/>
  <c r="G6459" i="5"/>
  <c r="G6445" i="5"/>
  <c r="G8107" i="5"/>
  <c r="G7923" i="5"/>
  <c r="G7907" i="5"/>
  <c r="G7739" i="5"/>
  <c r="G7691" i="5"/>
  <c r="G7659" i="5"/>
  <c r="G7329" i="5"/>
  <c r="G7110" i="5"/>
  <c r="G6986" i="5"/>
  <c r="G6886" i="5"/>
  <c r="G6834" i="5"/>
  <c r="G6806" i="5"/>
  <c r="G6498" i="5"/>
  <c r="G6247" i="5"/>
  <c r="F597" i="6"/>
  <c r="Q597" i="6" s="1"/>
  <c r="G6204" i="5"/>
  <c r="G5649" i="5"/>
  <c r="G5605" i="5"/>
  <c r="G5509" i="5"/>
  <c r="G5322" i="5"/>
  <c r="G5298" i="5"/>
  <c r="G5172" i="5"/>
  <c r="G5019" i="5"/>
  <c r="G4942" i="5"/>
  <c r="G8143" i="5"/>
  <c r="G7911" i="5"/>
  <c r="G7859" i="5"/>
  <c r="G7727" i="5"/>
  <c r="G7206" i="5"/>
  <c r="G6958" i="5"/>
  <c r="G6902" i="5"/>
  <c r="G6758" i="5"/>
  <c r="G6738" i="5"/>
  <c r="G6570" i="5"/>
  <c r="G6554" i="5"/>
  <c r="G6221" i="5"/>
  <c r="G3220" i="8"/>
  <c r="G3185" i="8"/>
  <c r="G3165" i="8"/>
  <c r="G3200" i="8"/>
  <c r="G3176" i="8"/>
  <c r="G3148" i="8"/>
  <c r="G3226" i="8"/>
  <c r="G3191" i="8"/>
  <c r="G3171" i="8"/>
  <c r="G3217" i="8"/>
  <c r="G3182" i="8"/>
  <c r="G3135" i="8"/>
  <c r="G3136" i="8"/>
  <c r="G3120" i="8"/>
  <c r="G3074" i="8"/>
  <c r="G2984" i="8"/>
  <c r="G2932" i="8"/>
  <c r="G2875" i="8"/>
  <c r="G2817" i="8"/>
  <c r="G3053" i="8"/>
  <c r="G2991" i="8"/>
  <c r="G2915" i="8"/>
  <c r="G2840" i="8"/>
  <c r="G3062" i="8"/>
  <c r="G2995" i="8"/>
  <c r="G2948" i="8"/>
  <c r="G2886" i="8"/>
  <c r="G2825" i="8"/>
  <c r="G3020" i="8"/>
  <c r="G2878" i="8"/>
  <c r="G2807" i="8"/>
  <c r="G2775" i="8"/>
  <c r="G2743" i="8"/>
  <c r="G2711" i="8"/>
  <c r="G2961" i="8"/>
  <c r="G2883" i="8"/>
  <c r="G3111" i="8"/>
  <c r="G3040" i="8"/>
  <c r="G3058" i="8"/>
  <c r="G2965" i="8"/>
  <c r="G2810" i="8"/>
  <c r="G2778" i="8"/>
  <c r="G2746" i="8"/>
  <c r="G2714" i="8"/>
  <c r="G2832" i="8"/>
  <c r="G3064" i="8"/>
  <c r="G2921" i="8"/>
  <c r="G2827" i="8"/>
  <c r="G3037" i="8"/>
  <c r="G2971" i="8"/>
  <c r="G2838" i="8"/>
  <c r="G2785" i="8"/>
  <c r="G2753" i="8"/>
  <c r="G2721" i="8"/>
  <c r="G3063" i="8"/>
  <c r="G3098" i="8"/>
  <c r="G3008" i="8"/>
  <c r="G2924" i="8"/>
  <c r="G2808" i="8"/>
  <c r="G2776" i="8"/>
  <c r="G2744" i="8"/>
  <c r="G2712" i="8"/>
  <c r="G2923" i="8"/>
  <c r="G2860" i="8"/>
  <c r="G3061" i="8"/>
  <c r="G2700" i="8"/>
  <c r="G2699" i="8"/>
  <c r="G2689" i="8"/>
  <c r="G2687" i="8"/>
  <c r="G2652" i="8"/>
  <c r="G2679" i="8"/>
  <c r="G2651" i="8"/>
  <c r="G2674" i="8"/>
  <c r="G2642" i="8"/>
  <c r="G2669" i="8"/>
  <c r="G2637" i="8"/>
  <c r="G1356" i="8"/>
  <c r="G2602" i="8"/>
  <c r="G2570" i="8"/>
  <c r="G2538" i="8"/>
  <c r="G2506" i="8"/>
  <c r="G2474" i="8"/>
  <c r="G2442" i="8"/>
  <c r="G2410" i="8"/>
  <c r="G2378" i="8"/>
  <c r="G1375" i="8"/>
  <c r="G2576" i="8"/>
  <c r="G2489" i="8"/>
  <c r="G2407" i="8"/>
  <c r="G2603" i="8"/>
  <c r="G2516" i="8"/>
  <c r="G2429" i="8"/>
  <c r="G2362" i="8"/>
  <c r="G2330" i="8"/>
  <c r="G2298" i="8"/>
  <c r="G2266" i="8"/>
  <c r="G2234" i="8"/>
  <c r="G2202" i="8"/>
  <c r="G2170" i="8"/>
  <c r="G2138" i="8"/>
  <c r="G2561" i="8"/>
  <c r="G2479" i="8"/>
  <c r="G2392" i="8"/>
  <c r="G2579" i="8"/>
  <c r="G2492" i="8"/>
  <c r="G1382" i="8"/>
  <c r="G2537" i="8"/>
  <c r="G2455" i="8"/>
  <c r="G1352" i="8"/>
  <c r="G2555" i="8"/>
  <c r="G2468" i="8"/>
  <c r="G1354" i="8"/>
  <c r="G2559" i="8"/>
  <c r="G2472" i="8"/>
  <c r="G1355" i="8"/>
  <c r="G2549" i="8"/>
  <c r="G2467" i="8"/>
  <c r="G2352" i="8"/>
  <c r="G2265" i="8"/>
  <c r="G2183" i="8"/>
  <c r="G2324" i="8"/>
  <c r="G2237" i="8"/>
  <c r="G2155" i="8"/>
  <c r="G2351" i="8"/>
  <c r="G2264" i="8"/>
  <c r="G2177" i="8"/>
  <c r="G2120" i="8"/>
  <c r="G2088" i="8"/>
  <c r="G2056" i="8"/>
  <c r="G2024" i="8"/>
  <c r="G1992" i="8"/>
  <c r="G1960" i="8"/>
  <c r="G2341" i="8"/>
  <c r="G2259" i="8"/>
  <c r="G2172" i="8"/>
  <c r="G2327" i="8"/>
  <c r="G2240" i="8"/>
  <c r="G2153" i="8"/>
  <c r="G2111" i="8"/>
  <c r="G2079" i="8"/>
  <c r="G2047" i="8"/>
  <c r="G2015" i="8"/>
  <c r="G1983" i="8"/>
  <c r="G1951" i="8"/>
  <c r="G1919" i="8"/>
  <c r="G1887" i="8"/>
  <c r="G2331" i="8"/>
  <c r="G2244" i="8"/>
  <c r="G2157" i="8"/>
  <c r="G2289" i="8"/>
  <c r="G2207" i="8"/>
  <c r="G2371" i="8"/>
  <c r="G2284" i="8"/>
  <c r="G2197" i="8"/>
  <c r="G2114" i="8"/>
  <c r="G2050" i="8"/>
  <c r="G1986" i="8"/>
  <c r="G1921" i="8"/>
  <c r="G1902" i="8"/>
  <c r="G2081" i="8"/>
  <c r="G2017" i="8"/>
  <c r="G1953" i="8"/>
  <c r="G1942" i="8"/>
  <c r="G1875" i="8"/>
  <c r="G1843" i="8"/>
  <c r="G1811" i="8"/>
  <c r="G1779" i="8"/>
  <c r="G1747" i="8"/>
  <c r="G1715" i="8"/>
  <c r="G1683" i="8"/>
  <c r="G1651" i="8"/>
  <c r="G1619" i="8"/>
  <c r="G1587" i="8"/>
  <c r="G1555" i="8"/>
  <c r="G1523" i="8"/>
  <c r="G1491" i="8"/>
  <c r="G1459" i="8"/>
  <c r="G1427" i="8"/>
  <c r="G1395" i="8"/>
  <c r="G2085" i="8"/>
  <c r="G2021" i="8"/>
  <c r="G1957" i="8"/>
  <c r="G1932" i="8"/>
  <c r="G1870" i="8"/>
  <c r="G1838" i="8"/>
  <c r="G1806" i="8"/>
  <c r="G1774" i="8"/>
  <c r="G1742" i="8"/>
  <c r="G1710" i="8"/>
  <c r="G1678" i="8"/>
  <c r="G1646" i="8"/>
  <c r="G1614" i="8"/>
  <c r="G1582" i="8"/>
  <c r="G2105" i="8"/>
  <c r="G2041" i="8"/>
  <c r="G1977" i="8"/>
  <c r="G1904" i="8"/>
  <c r="G1841" i="8"/>
  <c r="G1777" i="8"/>
  <c r="G1713" i="8"/>
  <c r="G1649" i="8"/>
  <c r="G1585" i="8"/>
  <c r="G1505" i="8"/>
  <c r="G1418" i="8"/>
  <c r="G1454" i="8"/>
  <c r="G1940" i="8"/>
  <c r="G1444" i="8"/>
  <c r="G1840" i="8"/>
  <c r="G1776" i="8"/>
  <c r="G1712" i="8"/>
  <c r="G1648" i="8"/>
  <c r="G1584" i="8"/>
  <c r="G1504" i="8"/>
  <c r="G1417" i="8"/>
  <c r="G1462" i="8"/>
  <c r="G1494" i="8"/>
  <c r="G1844" i="8"/>
  <c r="G1780" i="8"/>
  <c r="G1716" i="8"/>
  <c r="G1652" i="8"/>
  <c r="G1588" i="8"/>
  <c r="G1512" i="8"/>
  <c r="G1425" i="8"/>
  <c r="G1452" i="8"/>
  <c r="G1557" i="8"/>
  <c r="G1437" i="8"/>
  <c r="G1837" i="8"/>
  <c r="G1773" i="8"/>
  <c r="G1709" i="8"/>
  <c r="G1645" i="8"/>
  <c r="G1581" i="8"/>
  <c r="G1497" i="8"/>
  <c r="G1410" i="8"/>
  <c r="G1478" i="8"/>
  <c r="G1388" i="8"/>
  <c r="G1348" i="8"/>
  <c r="G1315" i="8"/>
  <c r="G1303" i="8"/>
  <c r="G1310" i="8"/>
  <c r="G1317" i="8"/>
  <c r="G1324" i="8"/>
  <c r="G1292" i="8"/>
  <c r="G1260" i="8"/>
  <c r="G1283" i="8"/>
  <c r="G1286" i="8"/>
  <c r="G1254" i="8"/>
  <c r="G1259" i="8"/>
  <c r="G1277" i="8"/>
  <c r="G1245" i="8"/>
  <c r="G17" i="8"/>
  <c r="G33" i="8"/>
  <c r="G65" i="8"/>
  <c r="G81" i="8"/>
  <c r="G97" i="8"/>
  <c r="G113" i="8"/>
  <c r="G129" i="8"/>
  <c r="G145" i="8"/>
  <c r="G161" i="8"/>
  <c r="G177" i="8"/>
  <c r="G193" i="8"/>
  <c r="G10" i="8"/>
  <c r="G26" i="8"/>
  <c r="G42" i="8"/>
  <c r="G58" i="8"/>
  <c r="G74" i="8"/>
  <c r="G3197" i="8"/>
  <c r="G3212" i="8"/>
  <c r="G3215" i="8"/>
  <c r="G3180" i="8"/>
  <c r="G3145" i="8"/>
  <c r="G3166" i="8"/>
  <c r="G3203" i="8"/>
  <c r="G3156" i="8"/>
  <c r="G3142" i="8"/>
  <c r="G3194" i="8"/>
  <c r="G3151" i="8"/>
  <c r="G3137" i="8"/>
  <c r="G3121" i="8"/>
  <c r="G3095" i="8"/>
  <c r="G3022" i="8"/>
  <c r="G2951" i="8"/>
  <c r="G2894" i="8"/>
  <c r="G2837" i="8"/>
  <c r="G3082" i="8"/>
  <c r="G3010" i="8"/>
  <c r="G2939" i="8"/>
  <c r="G2873" i="8"/>
  <c r="G3081" i="8"/>
  <c r="G3014" i="8"/>
  <c r="G2962" i="8"/>
  <c r="G2900" i="8"/>
  <c r="G2844" i="8"/>
  <c r="G3066" i="8"/>
  <c r="G2947" i="8"/>
  <c r="G2824" i="8"/>
  <c r="G2787" i="8"/>
  <c r="G2755" i="8"/>
  <c r="G2723" i="8"/>
  <c r="G2987" i="8"/>
  <c r="G2903" i="8"/>
  <c r="G2829" i="8"/>
  <c r="G3065" i="8"/>
  <c r="G3101" i="8"/>
  <c r="G3011" i="8"/>
  <c r="G2876" i="8"/>
  <c r="G2790" i="8"/>
  <c r="G2758" i="8"/>
  <c r="G2726" i="8"/>
  <c r="G2862" i="8"/>
  <c r="G3085" i="8"/>
  <c r="G2952" i="8"/>
  <c r="G2864" i="8"/>
  <c r="G3084" i="8"/>
  <c r="G2990" i="8"/>
  <c r="G2881" i="8"/>
  <c r="G2797" i="8"/>
  <c r="G2765" i="8"/>
  <c r="G2733" i="8"/>
  <c r="G3092" i="8"/>
  <c r="G2950" i="8"/>
  <c r="G3035" i="8"/>
  <c r="G2949" i="8"/>
  <c r="G2831" i="8"/>
  <c r="G2788" i="8"/>
  <c r="G2756" i="8"/>
  <c r="G2724" i="8"/>
  <c r="G2975" i="8"/>
  <c r="G2892" i="8"/>
  <c r="G3105" i="8"/>
  <c r="G2708" i="8"/>
  <c r="G2698" i="8"/>
  <c r="G2686" i="8"/>
  <c r="G2688" i="8"/>
  <c r="G2664" i="8"/>
  <c r="G2632" i="8"/>
  <c r="G2663" i="8"/>
  <c r="G2631" i="8"/>
  <c r="G2654" i="8"/>
  <c r="G2681" i="8"/>
  <c r="G2649" i="8"/>
  <c r="G1361" i="8"/>
  <c r="G2618" i="8"/>
  <c r="G2582" i="8"/>
  <c r="G2550" i="8"/>
  <c r="G2518" i="8"/>
  <c r="G2486" i="8"/>
  <c r="G2454" i="8"/>
  <c r="G2422" i="8"/>
  <c r="G2390" i="8"/>
  <c r="G1381" i="8"/>
  <c r="G2608" i="8"/>
  <c r="G2521" i="8"/>
  <c r="G2439" i="8"/>
  <c r="G1376" i="8"/>
  <c r="G2548" i="8"/>
  <c r="G2461" i="8"/>
  <c r="G2379" i="8"/>
  <c r="G2342" i="8"/>
  <c r="G2310" i="8"/>
  <c r="G2278" i="8"/>
  <c r="G2246" i="8"/>
  <c r="G2214" i="8"/>
  <c r="G2182" i="8"/>
  <c r="G2150" i="8"/>
  <c r="G2593" i="8"/>
  <c r="G2511" i="8"/>
  <c r="G2424" i="8"/>
  <c r="G2611" i="8"/>
  <c r="G2524" i="8"/>
  <c r="G2437" i="8"/>
  <c r="G2569" i="8"/>
  <c r="G2487" i="8"/>
  <c r="G2400" i="8"/>
  <c r="G2587" i="8"/>
  <c r="G2500" i="8"/>
  <c r="G2413" i="8"/>
  <c r="G2591" i="8"/>
  <c r="G2504" i="8"/>
  <c r="G2417" i="8"/>
  <c r="G2581" i="8"/>
  <c r="G2499" i="8"/>
  <c r="G2387" i="8"/>
  <c r="G2297" i="8"/>
  <c r="G2215" i="8"/>
  <c r="G2356" i="8"/>
  <c r="G2269" i="8"/>
  <c r="G2187" i="8"/>
  <c r="G2380" i="8"/>
  <c r="G2296" i="8"/>
  <c r="G2209" i="8"/>
  <c r="G2132" i="8"/>
  <c r="G2100" i="8"/>
  <c r="G2068" i="8"/>
  <c r="G2036" i="8"/>
  <c r="G2004" i="8"/>
  <c r="G1972" i="8"/>
  <c r="G2373" i="8"/>
  <c r="G2291" i="8"/>
  <c r="G2204" i="8"/>
  <c r="G2359" i="8"/>
  <c r="G2272" i="8"/>
  <c r="G2185" i="8"/>
  <c r="G2123" i="8"/>
  <c r="G2091" i="8"/>
  <c r="G2059" i="8"/>
  <c r="G2027" i="8"/>
  <c r="G1995" i="8"/>
  <c r="G1963" i="8"/>
  <c r="G1931" i="8"/>
  <c r="G1899" i="8"/>
  <c r="G2363" i="8"/>
  <c r="G2276" i="8"/>
  <c r="G2189" i="8"/>
  <c r="G2321" i="8"/>
  <c r="G2239" i="8"/>
  <c r="G2152" i="8"/>
  <c r="G2316" i="8"/>
  <c r="G2229" i="8"/>
  <c r="G2147" i="8"/>
  <c r="G2077" i="8"/>
  <c r="G2013" i="8"/>
  <c r="G1949" i="8"/>
  <c r="G1934" i="8"/>
  <c r="G2102" i="8"/>
  <c r="G2038" i="8"/>
  <c r="G1974" i="8"/>
  <c r="G1897" i="8"/>
  <c r="G1892" i="8"/>
  <c r="G1855" i="8"/>
  <c r="G1823" i="8"/>
  <c r="G1791" i="8"/>
  <c r="G1759" i="8"/>
  <c r="G1727" i="8"/>
  <c r="G1695" i="8"/>
  <c r="G1663" i="8"/>
  <c r="G1631" i="8"/>
  <c r="G1599" i="8"/>
  <c r="G1567" i="8"/>
  <c r="G1535" i="8"/>
  <c r="G1503" i="8"/>
  <c r="G1471" i="8"/>
  <c r="G1439" i="8"/>
  <c r="G1407" i="8"/>
  <c r="G2106" i="8"/>
  <c r="G2042" i="8"/>
  <c r="G1978" i="8"/>
  <c r="G1905" i="8"/>
  <c r="G1882" i="8"/>
  <c r="G1850" i="8"/>
  <c r="G1818" i="8"/>
  <c r="G1786" i="8"/>
  <c r="G1754" i="8"/>
  <c r="G1722" i="8"/>
  <c r="G1690" i="8"/>
  <c r="G1658" i="8"/>
  <c r="G1626" i="8"/>
  <c r="G1594" i="8"/>
  <c r="G2126" i="8"/>
  <c r="G2062" i="8"/>
  <c r="G1998" i="8"/>
  <c r="G1936" i="8"/>
  <c r="G1868" i="8"/>
  <c r="G1804" i="8"/>
  <c r="G1740" i="8"/>
  <c r="G1676" i="8"/>
  <c r="G1612" i="8"/>
  <c r="G1537" i="8"/>
  <c r="G1450" i="8"/>
  <c r="G1518" i="8"/>
  <c r="G1453" i="8"/>
  <c r="G1468" i="8"/>
  <c r="G1861" i="8"/>
  <c r="G1797" i="8"/>
  <c r="G1733" i="8"/>
  <c r="G1669" i="8"/>
  <c r="G1605" i="8"/>
  <c r="G1536" i="8"/>
  <c r="G1449" i="8"/>
  <c r="G1517" i="8"/>
  <c r="G1894" i="8"/>
  <c r="G1865" i="8"/>
  <c r="G1801" i="8"/>
  <c r="G1737" i="8"/>
  <c r="G1673" i="8"/>
  <c r="G1609" i="8"/>
  <c r="G1544" i="8"/>
  <c r="G1457" i="8"/>
  <c r="G1502" i="8"/>
  <c r="G1414" i="8"/>
  <c r="G1461" i="8"/>
  <c r="G1864" i="8"/>
  <c r="G1800" i="8"/>
  <c r="G1736" i="8"/>
  <c r="G1672" i="8"/>
  <c r="G1608" i="8"/>
  <c r="G1529" i="8"/>
  <c r="G1442" i="8"/>
  <c r="G1524" i="8"/>
  <c r="G1460" i="8"/>
  <c r="G1345" i="8"/>
  <c r="G1320" i="8"/>
  <c r="G1327" i="8"/>
  <c r="G1334" i="8"/>
  <c r="G1341" i="8"/>
  <c r="G1305" i="8"/>
  <c r="G1338" i="8"/>
  <c r="G1272" i="8"/>
  <c r="G1240" i="8"/>
  <c r="G1298" i="8"/>
  <c r="G1266" i="8"/>
  <c r="G1291" i="8"/>
  <c r="G1289" i="8"/>
  <c r="G1257" i="8"/>
  <c r="G11" i="8"/>
  <c r="G27" i="8"/>
  <c r="G43" i="8"/>
  <c r="G59" i="8"/>
  <c r="G75" i="8"/>
  <c r="G91" i="8"/>
  <c r="G107" i="8"/>
  <c r="G123" i="8"/>
  <c r="G139" i="8"/>
  <c r="G155" i="8"/>
  <c r="G171" i="8"/>
  <c r="G187" i="8"/>
  <c r="G203" i="8"/>
  <c r="G20" i="8"/>
  <c r="G36" i="8"/>
  <c r="G52" i="8"/>
  <c r="G68" i="8"/>
  <c r="G84" i="8"/>
  <c r="G100" i="8"/>
  <c r="G8131" i="5"/>
  <c r="G8047" i="5"/>
  <c r="G7999" i="5"/>
  <c r="G7819" i="5"/>
  <c r="G7771" i="5"/>
  <c r="G7579" i="5"/>
  <c r="G7563" i="5"/>
  <c r="G7547" i="5"/>
  <c r="G7361" i="5"/>
  <c r="G7264" i="5"/>
  <c r="G6386" i="5"/>
  <c r="G6262" i="5"/>
  <c r="G6037" i="5"/>
  <c r="G5993" i="5"/>
  <c r="G5977" i="5"/>
  <c r="G5945" i="5"/>
  <c r="G5889" i="5"/>
  <c r="G5761" i="5"/>
  <c r="G5521" i="5"/>
  <c r="G5503" i="5"/>
  <c r="G5347" i="5"/>
  <c r="G8083" i="5"/>
  <c r="G8063" i="5"/>
  <c r="G8031" i="5"/>
  <c r="G7903" i="5"/>
  <c r="G43" i="5"/>
  <c r="G6117" i="5"/>
  <c r="G5837" i="5"/>
  <c r="G5773" i="5"/>
  <c r="G2595" i="5"/>
  <c r="G737" i="5"/>
  <c r="G6946" i="5"/>
  <c r="G6826" i="5"/>
  <c r="G6518" i="5"/>
  <c r="G1138" i="5"/>
  <c r="G7991" i="5"/>
  <c r="G7635" i="5"/>
  <c r="G7094" i="5"/>
  <c r="G7070" i="5"/>
  <c r="G6918" i="5"/>
  <c r="G6766" i="5"/>
  <c r="G6646" i="5"/>
  <c r="G7337" i="5"/>
  <c r="G5258" i="5"/>
  <c r="G2099" i="5"/>
  <c r="G4981" i="5"/>
  <c r="G2727" i="5"/>
  <c r="F489" i="6"/>
  <c r="G2185" i="5"/>
  <c r="F629" i="6"/>
  <c r="H1329" i="8"/>
  <c r="F736" i="8"/>
  <c r="H736" i="8"/>
  <c r="G8135" i="5"/>
  <c r="G8067" i="5"/>
  <c r="G8051" i="5"/>
  <c r="G8003" i="5"/>
  <c r="G7987" i="5"/>
  <c r="G7839" i="5"/>
  <c r="G7807" i="5"/>
  <c r="G7791" i="5"/>
  <c r="G7775" i="5"/>
  <c r="G7631" i="5"/>
  <c r="G7599" i="5"/>
  <c r="G7583" i="5"/>
  <c r="G7567" i="5"/>
  <c r="G7551" i="5"/>
  <c r="G7540" i="5"/>
  <c r="G7453" i="5"/>
  <c r="G7118" i="5"/>
  <c r="G7086" i="5"/>
  <c r="G7066" i="5"/>
  <c r="G7046" i="5"/>
  <c r="G7022" i="5"/>
  <c r="G6982" i="5"/>
  <c r="G6950" i="5"/>
  <c r="G6914" i="5"/>
  <c r="G6898" i="5"/>
  <c r="G6894" i="5"/>
  <c r="G6890" i="5"/>
  <c r="G6862" i="5"/>
  <c r="G6838" i="5"/>
  <c r="G6762" i="5"/>
  <c r="G6746" i="5"/>
  <c r="G6702" i="5"/>
  <c r="G6674" i="5"/>
  <c r="G6658" i="5"/>
  <c r="G6642" i="5"/>
  <c r="G6522" i="5"/>
  <c r="G6502" i="5"/>
  <c r="G6487" i="5"/>
  <c r="G6466" i="5"/>
  <c r="F593" i="6"/>
  <c r="G6253" i="5"/>
  <c r="G6077" i="5"/>
  <c r="G6057" i="5"/>
  <c r="G6041" i="5"/>
  <c r="G5997" i="5"/>
  <c r="G5981" i="5"/>
  <c r="G5965" i="5"/>
  <c r="G5949" i="5"/>
  <c r="G5917" i="5"/>
  <c r="G5897" i="5"/>
  <c r="G5873" i="5"/>
  <c r="G5765" i="5"/>
  <c r="G5749" i="5"/>
  <c r="G5587" i="5"/>
  <c r="G5569" i="5"/>
  <c r="G5551" i="5"/>
  <c r="G5533" i="5"/>
  <c r="G5515" i="5"/>
  <c r="G5470" i="5"/>
  <c r="G5457" i="5"/>
  <c r="G5291" i="5"/>
  <c r="F469" i="6"/>
  <c r="G5246" i="5"/>
  <c r="G5232" i="5"/>
  <c r="G5186" i="5"/>
  <c r="G4930" i="5"/>
  <c r="G4653" i="5"/>
  <c r="G4127" i="5"/>
  <c r="G4095" i="5"/>
  <c r="G4083" i="5"/>
  <c r="G4003" i="5"/>
  <c r="G3844" i="5"/>
  <c r="G3380" i="5"/>
  <c r="G2631" i="5"/>
  <c r="G2431" i="5"/>
  <c r="G2411" i="5"/>
  <c r="G2395" i="5"/>
  <c r="G2382" i="5"/>
  <c r="G2232" i="5"/>
  <c r="G2067" i="5"/>
  <c r="G2035" i="5"/>
  <c r="G1969" i="5"/>
  <c r="G1783" i="5"/>
  <c r="G1762" i="5"/>
  <c r="G1704" i="5"/>
  <c r="G1676" i="5"/>
  <c r="G1614" i="5"/>
  <c r="G1584" i="5"/>
  <c r="G1555" i="5"/>
  <c r="G1374" i="5"/>
  <c r="G1336" i="5"/>
  <c r="G1260" i="5"/>
  <c r="G1215" i="5"/>
  <c r="G974" i="5"/>
  <c r="G930" i="5"/>
  <c r="G597" i="5"/>
  <c r="G505" i="5"/>
  <c r="G435" i="5"/>
  <c r="G416" i="5"/>
  <c r="G372" i="5"/>
  <c r="G162" i="5"/>
  <c r="F70" i="7"/>
  <c r="F23" i="6"/>
  <c r="Q23" i="6" s="1"/>
  <c r="G114" i="6"/>
  <c r="R114" i="6" s="1"/>
  <c r="G126" i="6"/>
  <c r="R126" i="6" s="1"/>
  <c r="H3214" i="8"/>
  <c r="H2545" i="8"/>
  <c r="I2972" i="8"/>
  <c r="I2919" i="8"/>
  <c r="H2987" i="8"/>
  <c r="F355" i="6"/>
  <c r="Q355" i="6" s="1"/>
  <c r="F105" i="6"/>
  <c r="F167" i="6"/>
  <c r="F504" i="6"/>
  <c r="F69" i="7"/>
  <c r="E3672" i="5"/>
  <c r="P3672" i="5" s="1"/>
  <c r="E3673" i="5"/>
  <c r="P3673" i="5" s="1"/>
  <c r="F79" i="6"/>
  <c r="F96" i="6"/>
  <c r="F56" i="7"/>
  <c r="F298" i="6"/>
  <c r="F39" i="6"/>
  <c r="F265" i="6"/>
  <c r="F59" i="6"/>
  <c r="F382" i="6"/>
  <c r="F354" i="6"/>
  <c r="F35" i="7"/>
  <c r="F137" i="7"/>
  <c r="Q137" i="7" s="1"/>
  <c r="F180" i="6"/>
  <c r="F577" i="6"/>
  <c r="F491" i="6"/>
  <c r="F48" i="6"/>
  <c r="F525" i="6"/>
  <c r="F99" i="6"/>
  <c r="Q99" i="6" s="1"/>
  <c r="F631" i="6"/>
  <c r="F490" i="6"/>
  <c r="F571" i="6"/>
  <c r="F492" i="6"/>
  <c r="F106" i="7"/>
  <c r="F124" i="7"/>
  <c r="F139" i="7"/>
  <c r="F62" i="6"/>
  <c r="F182" i="6"/>
  <c r="Q182" i="6" s="1"/>
  <c r="F123" i="7"/>
  <c r="F122" i="7"/>
  <c r="F625" i="6"/>
  <c r="F405" i="6"/>
  <c r="F643" i="6"/>
  <c r="F49" i="6"/>
  <c r="F347" i="6"/>
  <c r="F57" i="7"/>
  <c r="F414" i="6"/>
  <c r="F515" i="6"/>
  <c r="F313" i="6"/>
  <c r="F618" i="6"/>
  <c r="F176" i="6"/>
  <c r="Q176" i="6" s="1"/>
  <c r="F401" i="6"/>
  <c r="F256" i="6"/>
  <c r="F15" i="6"/>
  <c r="F93" i="7"/>
  <c r="F381" i="6"/>
  <c r="F109" i="7"/>
  <c r="F129" i="7"/>
  <c r="F72" i="7"/>
  <c r="F615" i="6"/>
  <c r="F6" i="7"/>
  <c r="F94" i="7"/>
  <c r="F361" i="6"/>
  <c r="F570" i="6"/>
  <c r="F292" i="6"/>
  <c r="F17" i="7"/>
  <c r="F106" i="6"/>
  <c r="F203" i="6"/>
  <c r="F202" i="6"/>
  <c r="F537" i="6"/>
  <c r="F17" i="6"/>
  <c r="F125" i="7"/>
  <c r="F22" i="6"/>
  <c r="F16" i="6"/>
  <c r="F28" i="6"/>
  <c r="F196" i="6"/>
  <c r="F208" i="6"/>
  <c r="F23" i="7"/>
  <c r="F181" i="6"/>
  <c r="F337" i="6"/>
  <c r="F165" i="6"/>
  <c r="F383" i="6"/>
  <c r="F619" i="6"/>
  <c r="F37" i="6"/>
  <c r="F169" i="6"/>
  <c r="F275" i="6"/>
  <c r="F373" i="6"/>
  <c r="F526" i="6"/>
  <c r="F630" i="6"/>
  <c r="F561" i="6"/>
  <c r="F521" i="6"/>
  <c r="F413" i="6"/>
  <c r="F459" i="6"/>
  <c r="F502" i="6"/>
  <c r="F156" i="6"/>
  <c r="F190" i="6"/>
  <c r="F204" i="6"/>
  <c r="F340" i="6"/>
  <c r="F439" i="6"/>
  <c r="F545" i="6"/>
  <c r="F594" i="6"/>
  <c r="F128" i="7"/>
  <c r="F532" i="6"/>
  <c r="F595" i="6"/>
  <c r="F18" i="7"/>
  <c r="F95" i="7"/>
  <c r="F26" i="6"/>
  <c r="F47" i="6"/>
  <c r="F192" i="6"/>
  <c r="F266" i="6"/>
  <c r="F346" i="6"/>
  <c r="F238" i="6"/>
  <c r="F623" i="6"/>
  <c r="F87" i="6"/>
  <c r="F212" i="6"/>
  <c r="F336" i="6"/>
  <c r="F10" i="7"/>
  <c r="F47" i="7"/>
  <c r="F107" i="7"/>
  <c r="F578" i="6"/>
  <c r="F93" i="6"/>
  <c r="F185" i="6"/>
  <c r="F427" i="6"/>
  <c r="F471" i="6"/>
  <c r="F11" i="7"/>
  <c r="F402" i="6"/>
  <c r="N26" i="7" l="1"/>
  <c r="N48" i="7"/>
  <c r="N97" i="7"/>
  <c r="N83" i="7"/>
  <c r="N111" i="7"/>
  <c r="N61" i="7"/>
  <c r="H1618" i="8"/>
  <c r="F2943" i="8"/>
  <c r="F1652" i="8"/>
  <c r="F1377" i="8"/>
  <c r="I1377" i="8"/>
  <c r="F1642" i="8"/>
  <c r="H1642" i="8"/>
  <c r="I1618" i="8"/>
  <c r="F792" i="8"/>
  <c r="I792" i="8"/>
  <c r="H792" i="8"/>
  <c r="H1377" i="8"/>
  <c r="F303" i="6"/>
  <c r="Q303" i="6" s="1"/>
  <c r="F230" i="6"/>
  <c r="Q230" i="6" s="1"/>
  <c r="H1973" i="8"/>
  <c r="H1877" i="8"/>
  <c r="I1877" i="8"/>
  <c r="I1973" i="8"/>
  <c r="F2809" i="8"/>
  <c r="H2809" i="8"/>
  <c r="F1927" i="8"/>
  <c r="H1927" i="8"/>
  <c r="F2964" i="8"/>
  <c r="I2964" i="8"/>
  <c r="F1004" i="8"/>
  <c r="I1004" i="8"/>
  <c r="F1741" i="8"/>
  <c r="H1741" i="8"/>
  <c r="F1442" i="8"/>
  <c r="H1442" i="8"/>
  <c r="F2004" i="8"/>
  <c r="I2004" i="8"/>
  <c r="F2222" i="8"/>
  <c r="H2222" i="8"/>
  <c r="F3470" i="8"/>
  <c r="H3470" i="8"/>
  <c r="H2746" i="8"/>
  <c r="F3481" i="8"/>
  <c r="I3481" i="8"/>
  <c r="H3481" i="8"/>
  <c r="G4278" i="5"/>
  <c r="R4278" i="5" s="1"/>
  <c r="F2801" i="8"/>
  <c r="H2801" i="8"/>
  <c r="F2784" i="8"/>
  <c r="H2784" i="8"/>
  <c r="I2784" i="8"/>
  <c r="F2793" i="8"/>
  <c r="H2793" i="8"/>
  <c r="F2791" i="8"/>
  <c r="I2791" i="8"/>
  <c r="H2791" i="8"/>
  <c r="F3277" i="8"/>
  <c r="H3277" i="8"/>
  <c r="F3445" i="8"/>
  <c r="I3445" i="8"/>
  <c r="F356" i="6"/>
  <c r="Q356" i="6" s="1"/>
  <c r="G4330" i="5"/>
  <c r="R4330" i="5" s="1"/>
  <c r="G4329" i="5"/>
  <c r="R4329" i="5" s="1"/>
  <c r="G4277" i="5"/>
  <c r="R4277" i="5" s="1"/>
  <c r="F2490" i="8"/>
  <c r="I2490" i="8"/>
  <c r="H2490" i="8"/>
  <c r="F2553" i="8"/>
  <c r="I2553" i="8"/>
  <c r="F692" i="8"/>
  <c r="H692" i="8"/>
  <c r="I692" i="8"/>
  <c r="F644" i="8"/>
  <c r="I644" i="8"/>
  <c r="H644" i="8"/>
  <c r="F2702" i="8"/>
  <c r="H2702" i="8"/>
  <c r="I2702" i="8"/>
  <c r="F706" i="8"/>
  <c r="H706" i="8"/>
  <c r="I706" i="8"/>
  <c r="F566" i="6"/>
  <c r="Q566" i="6" s="1"/>
  <c r="F584" i="6"/>
  <c r="Q584" i="6" s="1"/>
  <c r="F585" i="6"/>
  <c r="Q585" i="6" s="1"/>
  <c r="F534" i="6"/>
  <c r="Q534" i="6" s="1"/>
  <c r="F3477" i="8"/>
  <c r="I3477" i="8"/>
  <c r="H3477" i="8"/>
  <c r="F1535" i="8"/>
  <c r="I1535" i="8"/>
  <c r="H1535" i="8"/>
  <c r="F268" i="6"/>
  <c r="Q268" i="6" s="1"/>
  <c r="F3204" i="8"/>
  <c r="H3204" i="8"/>
  <c r="I3204" i="8"/>
  <c r="F3146" i="8"/>
  <c r="H3146" i="8"/>
  <c r="I3146" i="8"/>
  <c r="H3459" i="8"/>
  <c r="F278" i="6"/>
  <c r="Q278" i="6" s="1"/>
  <c r="F3273" i="8"/>
  <c r="F76" i="7"/>
  <c r="Q76" i="7" s="1"/>
  <c r="F111" i="7"/>
  <c r="Q111" i="7" s="1"/>
  <c r="F84" i="7"/>
  <c r="Q84" i="7" s="1"/>
  <c r="F75" i="7"/>
  <c r="Q75" i="7" s="1"/>
  <c r="F13" i="7"/>
  <c r="Q13" i="7" s="1"/>
  <c r="F97" i="7"/>
  <c r="Q97" i="7" s="1"/>
  <c r="F131" i="7"/>
  <c r="Q131" i="7" s="1"/>
  <c r="F99" i="7"/>
  <c r="Q99" i="7" s="1"/>
  <c r="F2862" i="8"/>
  <c r="I2862" i="8"/>
  <c r="H2862" i="8"/>
  <c r="F3194" i="8"/>
  <c r="H3194" i="8"/>
  <c r="I3194" i="8"/>
  <c r="F3214" i="8"/>
  <c r="I3214" i="8"/>
  <c r="F277" i="6"/>
  <c r="Q277" i="6" s="1"/>
  <c r="F302" i="6"/>
  <c r="Q302" i="6" s="1"/>
  <c r="F98" i="6"/>
  <c r="Q98" i="6" s="1"/>
  <c r="F384" i="6"/>
  <c r="Q384" i="6" s="1"/>
  <c r="F63" i="6"/>
  <c r="Q63" i="6" s="1"/>
  <c r="F63" i="7"/>
  <c r="Q63" i="7" s="1"/>
  <c r="F295" i="6"/>
  <c r="Q295" i="6" s="1"/>
  <c r="F406" i="6"/>
  <c r="Q406" i="6" s="1"/>
  <c r="F40" i="7"/>
  <c r="Q40" i="7" s="1"/>
  <c r="F126" i="7"/>
  <c r="Q126" i="7" s="1"/>
  <c r="F287" i="6"/>
  <c r="Q287" i="6" s="1"/>
  <c r="F375" i="6"/>
  <c r="Q375" i="6" s="1"/>
  <c r="F407" i="6"/>
  <c r="Q407" i="6" s="1"/>
  <c r="F27" i="7"/>
  <c r="Q27" i="7" s="1"/>
  <c r="F553" i="6"/>
  <c r="Q553" i="6" s="1"/>
  <c r="F555" i="6"/>
  <c r="Q555" i="6" s="1"/>
  <c r="F377" i="6"/>
  <c r="Q377" i="6" s="1"/>
  <c r="I1652" i="8" l="1"/>
  <c r="H1652" i="8"/>
  <c r="F2771" i="8"/>
  <c r="F2194" i="8"/>
  <c r="I2703" i="8"/>
  <c r="F2041" i="8"/>
  <c r="H2943" i="8"/>
  <c r="I2943" i="8"/>
  <c r="F788" i="8"/>
  <c r="H788" i="8"/>
  <c r="I788" i="8"/>
  <c r="F1020" i="8"/>
  <c r="I1020" i="8"/>
  <c r="H1020" i="8"/>
  <c r="F745" i="8"/>
  <c r="H745" i="8"/>
  <c r="I745" i="8"/>
  <c r="F1591" i="8"/>
  <c r="H1591" i="8"/>
  <c r="I1591" i="8"/>
  <c r="F1327" i="8"/>
  <c r="I1327" i="8"/>
  <c r="H1327" i="8"/>
  <c r="F804" i="8"/>
  <c r="H804" i="8"/>
  <c r="I804" i="8"/>
  <c r="F1325" i="8"/>
  <c r="I1325" i="8"/>
  <c r="H1325" i="8"/>
  <c r="F1005" i="8"/>
  <c r="I1005" i="8"/>
  <c r="H1005" i="8"/>
  <c r="F826" i="8"/>
  <c r="H826" i="8"/>
  <c r="I826" i="8"/>
  <c r="F1501" i="8"/>
  <c r="H1501" i="8"/>
  <c r="I1501" i="8"/>
  <c r="F1373" i="8"/>
  <c r="I1373" i="8"/>
  <c r="H1373" i="8"/>
  <c r="F1429" i="8"/>
  <c r="I1429" i="8"/>
  <c r="H1429" i="8"/>
  <c r="F1003" i="8"/>
  <c r="I1003" i="8"/>
  <c r="H1003" i="8"/>
  <c r="F755" i="8"/>
  <c r="H755" i="8"/>
  <c r="I755" i="8"/>
  <c r="F1626" i="8"/>
  <c r="I1626" i="8"/>
  <c r="H1626" i="8"/>
  <c r="F1281" i="8"/>
  <c r="I1281" i="8"/>
  <c r="H1281" i="8"/>
  <c r="F1243" i="8"/>
  <c r="H1243" i="8"/>
  <c r="I1243" i="8"/>
  <c r="F767" i="8"/>
  <c r="I767" i="8"/>
  <c r="H767" i="8"/>
  <c r="F1452" i="8"/>
  <c r="H1452" i="8"/>
  <c r="I1452" i="8"/>
  <c r="F1009" i="8"/>
  <c r="H1009" i="8"/>
  <c r="I1009" i="8"/>
  <c r="F601" i="8"/>
  <c r="H601" i="8"/>
  <c r="I601" i="8"/>
  <c r="F543" i="8"/>
  <c r="H543" i="8"/>
  <c r="I543" i="8"/>
  <c r="F762" i="8"/>
  <c r="I762" i="8"/>
  <c r="H762" i="8"/>
  <c r="F1514" i="8"/>
  <c r="H1514" i="8"/>
  <c r="I1514" i="8"/>
  <c r="F1048" i="8"/>
  <c r="H1048" i="8"/>
  <c r="I1048" i="8"/>
  <c r="F839" i="8"/>
  <c r="H839" i="8"/>
  <c r="I839" i="8"/>
  <c r="F787" i="8"/>
  <c r="I787" i="8"/>
  <c r="H787" i="8"/>
  <c r="F497" i="8"/>
  <c r="I497" i="8"/>
  <c r="H497" i="8"/>
  <c r="F488" i="8"/>
  <c r="H488" i="8"/>
  <c r="I488" i="8"/>
  <c r="F737" i="8"/>
  <c r="H737" i="8"/>
  <c r="I737" i="8"/>
  <c r="F633" i="8"/>
  <c r="H633" i="8"/>
  <c r="I633" i="8"/>
  <c r="F2746" i="8"/>
  <c r="F1502" i="8"/>
  <c r="H1502" i="8"/>
  <c r="I1502" i="8"/>
  <c r="F1428" i="8"/>
  <c r="I1428" i="8"/>
  <c r="H1428" i="8"/>
  <c r="F1150" i="8"/>
  <c r="I1150" i="8"/>
  <c r="H1150" i="8"/>
  <c r="F1072" i="8"/>
  <c r="I1072" i="8"/>
  <c r="H1072" i="8"/>
  <c r="F1945" i="8"/>
  <c r="H1945" i="8"/>
  <c r="I1945" i="8"/>
  <c r="F2703" i="8"/>
  <c r="F1244" i="8"/>
  <c r="H1244" i="8"/>
  <c r="I1244" i="8"/>
  <c r="F1105" i="8"/>
  <c r="H1105" i="8"/>
  <c r="I1105" i="8"/>
  <c r="I2426" i="8"/>
  <c r="F3063" i="8"/>
  <c r="H3063" i="8"/>
  <c r="I3063" i="8"/>
  <c r="F1430" i="8"/>
  <c r="H1430" i="8"/>
  <c r="I1430" i="8"/>
  <c r="F1964" i="8"/>
  <c r="H1964" i="8"/>
  <c r="I1964" i="8"/>
  <c r="F1091" i="8"/>
  <c r="H1091" i="8"/>
  <c r="I1091" i="8"/>
  <c r="I2746" i="8"/>
  <c r="F2691" i="8"/>
  <c r="I2691" i="8"/>
  <c r="H2691" i="8"/>
  <c r="F2624" i="8"/>
  <c r="I2624" i="8"/>
  <c r="H2624" i="8"/>
  <c r="F2155" i="8"/>
  <c r="H2155" i="8"/>
  <c r="I2155" i="8"/>
  <c r="F2119" i="8"/>
  <c r="I2119" i="8"/>
  <c r="H2119" i="8"/>
  <c r="F1683" i="8"/>
  <c r="H1683" i="8"/>
  <c r="I1683" i="8"/>
  <c r="F1671" i="8"/>
  <c r="I1671" i="8"/>
  <c r="H1671" i="8"/>
  <c r="F2139" i="8"/>
  <c r="I2139" i="8"/>
  <c r="H2139" i="8"/>
  <c r="F2680" i="8"/>
  <c r="H2680" i="8"/>
  <c r="I2680" i="8"/>
  <c r="F2564" i="8"/>
  <c r="H2564" i="8"/>
  <c r="I2564" i="8"/>
  <c r="F1767" i="8"/>
  <c r="H1767" i="8"/>
  <c r="I1767" i="8"/>
  <c r="F2091" i="8"/>
  <c r="H2091" i="8"/>
  <c r="I2091" i="8"/>
  <c r="F1875" i="8"/>
  <c r="I1875" i="8"/>
  <c r="H1875" i="8"/>
  <c r="F2106" i="8"/>
  <c r="H2106" i="8"/>
  <c r="I2106" i="8"/>
  <c r="F2202" i="8"/>
  <c r="H2202" i="8"/>
  <c r="I2202" i="8"/>
  <c r="F2239" i="8"/>
  <c r="H2239" i="8"/>
  <c r="I2239" i="8"/>
  <c r="F2301" i="8"/>
  <c r="H2301" i="8"/>
  <c r="I2301" i="8"/>
  <c r="F2264" i="8"/>
  <c r="I2264" i="8"/>
  <c r="H2264" i="8"/>
  <c r="F2031" i="8"/>
  <c r="I2031" i="8"/>
  <c r="H2031" i="8"/>
  <c r="F2428" i="8"/>
  <c r="H2428" i="8"/>
  <c r="I2428" i="8"/>
  <c r="F2077" i="8"/>
  <c r="I2077" i="8"/>
  <c r="H2077" i="8"/>
  <c r="F2108" i="8"/>
  <c r="I2108" i="8"/>
  <c r="H2108" i="8"/>
  <c r="F1768" i="8"/>
  <c r="H1768" i="8"/>
  <c r="I1768" i="8"/>
  <c r="F2025" i="8"/>
  <c r="H2025" i="8"/>
  <c r="I2025" i="8"/>
  <c r="F1556" i="8"/>
  <c r="I1556" i="8"/>
  <c r="H1556" i="8"/>
  <c r="F2069" i="8"/>
  <c r="I2069" i="8"/>
  <c r="H2069" i="8"/>
  <c r="F2309" i="8"/>
  <c r="I2309" i="8"/>
  <c r="H2309" i="8"/>
  <c r="F2359" i="8"/>
  <c r="I2359" i="8"/>
  <c r="H2359" i="8"/>
  <c r="F2284" i="8"/>
  <c r="I2284" i="8"/>
  <c r="H2284" i="8"/>
  <c r="F2116" i="8"/>
  <c r="I2116" i="8"/>
  <c r="H2116" i="8"/>
  <c r="F1963" i="8"/>
  <c r="H1963" i="8"/>
  <c r="I1963" i="8"/>
  <c r="F2029" i="8"/>
  <c r="I2029" i="8"/>
  <c r="H2029" i="8"/>
  <c r="F1550" i="8"/>
  <c r="I1550" i="8"/>
  <c r="H1550" i="8"/>
  <c r="F2579" i="8"/>
  <c r="H2579" i="8"/>
  <c r="I2579" i="8"/>
  <c r="F2229" i="8"/>
  <c r="H2229" i="8"/>
  <c r="I2229" i="8"/>
  <c r="F2007" i="8"/>
  <c r="H2007" i="8"/>
  <c r="I2007" i="8"/>
  <c r="F1523" i="8"/>
  <c r="H1523" i="8"/>
  <c r="I1523" i="8"/>
  <c r="F188" i="6"/>
  <c r="Q188" i="6" s="1"/>
  <c r="F3203" i="8"/>
  <c r="I3203" i="8"/>
  <c r="H3203" i="8"/>
  <c r="F2958" i="8"/>
  <c r="I2958" i="8"/>
  <c r="H2958" i="8"/>
  <c r="F2842" i="8"/>
  <c r="H2842" i="8"/>
  <c r="I2842" i="8"/>
  <c r="F2950" i="8"/>
  <c r="I2950" i="8"/>
  <c r="H2950" i="8"/>
  <c r="F2779" i="8"/>
  <c r="H2779" i="8"/>
  <c r="I2779" i="8"/>
  <c r="F2635" i="8"/>
  <c r="I2635" i="8"/>
  <c r="H2635" i="8"/>
  <c r="F3457" i="8"/>
  <c r="H3457" i="8"/>
  <c r="I3457" i="8"/>
  <c r="F2966" i="8"/>
  <c r="I2966" i="8"/>
  <c r="H2966" i="8"/>
  <c r="F2434" i="8"/>
  <c r="H2434" i="8"/>
  <c r="I2434" i="8"/>
  <c r="F2962" i="8"/>
  <c r="I2962" i="8"/>
  <c r="H2962" i="8"/>
  <c r="F2474" i="8"/>
  <c r="I2474" i="8"/>
  <c r="H2474" i="8"/>
  <c r="F2193" i="8"/>
  <c r="H2193" i="8"/>
  <c r="I2193" i="8"/>
  <c r="F1765" i="8"/>
  <c r="I1765" i="8"/>
  <c r="H1765" i="8"/>
  <c r="F2254" i="8"/>
  <c r="H2254" i="8"/>
  <c r="I2254" i="8"/>
  <c r="F1913" i="8"/>
  <c r="I1913" i="8"/>
  <c r="H1913" i="8"/>
  <c r="H2381" i="8"/>
  <c r="F2381" i="8"/>
  <c r="I2381" i="8"/>
  <c r="I2083" i="8"/>
  <c r="F2083" i="8"/>
  <c r="H2083" i="8"/>
  <c r="F1234" i="8"/>
  <c r="I1234" i="8"/>
  <c r="H1234" i="8"/>
  <c r="F1697" i="8"/>
  <c r="I1697" i="8"/>
  <c r="H1697" i="8"/>
  <c r="F1478" i="8"/>
  <c r="I1478" i="8"/>
  <c r="H1478" i="8"/>
  <c r="F3450" i="8"/>
  <c r="H3450" i="8"/>
  <c r="I3450" i="8"/>
  <c r="F3474" i="8"/>
  <c r="H3474" i="8"/>
  <c r="I3474" i="8"/>
  <c r="F3215" i="8"/>
  <c r="H3215" i="8"/>
  <c r="I3215" i="8"/>
  <c r="F3061" i="8"/>
  <c r="I3061" i="8"/>
  <c r="H3061" i="8"/>
  <c r="F3221" i="8"/>
  <c r="I3221" i="8"/>
  <c r="H3221" i="8"/>
  <c r="F3017" i="8"/>
  <c r="H3017" i="8"/>
  <c r="I3017" i="8"/>
  <c r="F2052" i="8"/>
  <c r="H2052" i="8"/>
  <c r="I2052" i="8"/>
  <c r="F2953" i="8"/>
  <c r="I2953" i="8"/>
  <c r="H2953" i="8"/>
  <c r="F506" i="6"/>
  <c r="Q506" i="6" s="1"/>
  <c r="F505" i="6"/>
  <c r="Q505" i="6" s="1"/>
  <c r="F112" i="7"/>
  <c r="Q112" i="7" s="1"/>
  <c r="F586" i="6"/>
  <c r="Q586" i="6" s="1"/>
  <c r="F634" i="6"/>
  <c r="Q634" i="6" s="1"/>
  <c r="F507" i="6"/>
  <c r="Q507" i="6" s="1"/>
  <c r="F113" i="7"/>
  <c r="Q113" i="7" s="1"/>
  <c r="F572" i="6"/>
  <c r="Q572" i="6" s="1"/>
  <c r="F85" i="7"/>
  <c r="Q85" i="7" s="1"/>
  <c r="F259" i="6"/>
  <c r="Q259" i="6" s="1"/>
  <c r="F429" i="6"/>
  <c r="Q429" i="6" s="1"/>
  <c r="F258" i="6"/>
  <c r="Q258" i="6" s="1"/>
  <c r="F51" i="6"/>
  <c r="Q51" i="6" s="1"/>
  <c r="F602" i="6"/>
  <c r="Q602" i="6" s="1"/>
  <c r="F442" i="6"/>
  <c r="Q442" i="6" s="1"/>
  <c r="F329" i="6"/>
  <c r="Q329" i="6" s="1"/>
  <c r="F83" i="7"/>
  <c r="Q83" i="7" s="1"/>
  <c r="F98" i="7"/>
  <c r="Q98" i="7" s="1"/>
  <c r="F633" i="6"/>
  <c r="Q633" i="6" s="1"/>
  <c r="F330" i="6"/>
  <c r="Q330" i="6" s="1"/>
  <c r="F159" i="6"/>
  <c r="Q159" i="6" s="1"/>
  <c r="F40" i="6"/>
  <c r="Q40" i="6" s="1"/>
  <c r="F474" i="6"/>
  <c r="Q474" i="6" s="1"/>
  <c r="F418" i="6"/>
  <c r="Q418" i="6" s="1"/>
  <c r="F215" i="6"/>
  <c r="Q215" i="6" s="1"/>
  <c r="F317" i="6"/>
  <c r="Q317" i="6" s="1"/>
  <c r="F316" i="6"/>
  <c r="Q316" i="6" s="1"/>
  <c r="F430" i="6"/>
  <c r="Q430" i="6" s="1"/>
  <c r="F245" i="6"/>
  <c r="Q245" i="6" s="1"/>
  <c r="F603" i="6"/>
  <c r="Q603" i="6" s="1"/>
  <c r="F632" i="6"/>
  <c r="Q632" i="6" s="1"/>
  <c r="F315" i="6"/>
  <c r="Q315" i="6" s="1"/>
  <c r="F244" i="6"/>
  <c r="Q244" i="6" s="1"/>
  <c r="F1477" i="8"/>
  <c r="I1477" i="8"/>
  <c r="H1477" i="8"/>
  <c r="F2498" i="8"/>
  <c r="I2498" i="8"/>
  <c r="H2498" i="8"/>
  <c r="F2637" i="8"/>
  <c r="I2637" i="8"/>
  <c r="H2637" i="8"/>
  <c r="F1756" i="8"/>
  <c r="F1397" i="8"/>
  <c r="I1397" i="8"/>
  <c r="H1397" i="8"/>
  <c r="F2221" i="8"/>
  <c r="I2221" i="8"/>
  <c r="H2221" i="8"/>
  <c r="F1469" i="8"/>
  <c r="I1469" i="8"/>
  <c r="H1469" i="8"/>
  <c r="F2332" i="8"/>
  <c r="H2332" i="8"/>
  <c r="I2332" i="8"/>
  <c r="F2413" i="8"/>
  <c r="H2413" i="8"/>
  <c r="I2413" i="8"/>
  <c r="F2866" i="8"/>
  <c r="H2866" i="8"/>
  <c r="I2866" i="8"/>
  <c r="F1371" i="8"/>
  <c r="H1371" i="8"/>
  <c r="I1371" i="8"/>
  <c r="F2677" i="8"/>
  <c r="H2677" i="8"/>
  <c r="I2677" i="8"/>
  <c r="F2402" i="8"/>
  <c r="H2402" i="8"/>
  <c r="I2402" i="8"/>
  <c r="F1485" i="8"/>
  <c r="I1485" i="8"/>
  <c r="H1485" i="8"/>
  <c r="F2629" i="8"/>
  <c r="H2629" i="8"/>
  <c r="I2629" i="8"/>
  <c r="F2324" i="8"/>
  <c r="I2324" i="8"/>
  <c r="H2324" i="8"/>
  <c r="F2203" i="8"/>
  <c r="I2203" i="8"/>
  <c r="H2203" i="8"/>
  <c r="F528" i="8"/>
  <c r="I528" i="8"/>
  <c r="H528" i="8"/>
  <c r="F815" i="8"/>
  <c r="I815" i="8"/>
  <c r="H815" i="8"/>
  <c r="F2224" i="8"/>
  <c r="I2224" i="8"/>
  <c r="H2224" i="8"/>
  <c r="F2561" i="8"/>
  <c r="I2561" i="8"/>
  <c r="H2561" i="8"/>
  <c r="F2291" i="8"/>
  <c r="H2291" i="8"/>
  <c r="I2291" i="8"/>
  <c r="F2410" i="8"/>
  <c r="I2410" i="8"/>
  <c r="H2410" i="8"/>
  <c r="F52" i="6"/>
  <c r="Q52" i="6" s="1"/>
  <c r="F8" i="6"/>
  <c r="Q8" i="6" s="1"/>
  <c r="F2205" i="8"/>
  <c r="I2205" i="8"/>
  <c r="H2205" i="8"/>
  <c r="F1086" i="8"/>
  <c r="I1086" i="8"/>
  <c r="H1086" i="8"/>
  <c r="F1980" i="8"/>
  <c r="H1980" i="8"/>
  <c r="I1980" i="8"/>
  <c r="F74" i="8"/>
  <c r="H74" i="8"/>
  <c r="I74" i="8"/>
  <c r="F1825" i="8"/>
  <c r="I1825" i="8"/>
  <c r="H1825" i="8"/>
  <c r="F1482" i="8"/>
  <c r="H1482" i="8"/>
  <c r="I1482" i="8"/>
  <c r="F1582" i="8"/>
  <c r="I1582" i="8"/>
  <c r="H1582" i="8"/>
  <c r="F676" i="8"/>
  <c r="H676" i="8"/>
  <c r="I676" i="8"/>
  <c r="F1223" i="8"/>
  <c r="H1223" i="8"/>
  <c r="I1223" i="8"/>
  <c r="F1474" i="8"/>
  <c r="H1474" i="8"/>
  <c r="I1474" i="8"/>
  <c r="F2210" i="8"/>
  <c r="I2210" i="8"/>
  <c r="H2210" i="8"/>
  <c r="F652" i="8"/>
  <c r="H652" i="8"/>
  <c r="I652" i="8"/>
  <c r="F620" i="8"/>
  <c r="I620" i="8"/>
  <c r="H620" i="8"/>
  <c r="F2764" i="8"/>
  <c r="I2764" i="8"/>
  <c r="H2764" i="8"/>
  <c r="F50" i="6"/>
  <c r="Q50" i="6" s="1"/>
  <c r="F72" i="6"/>
  <c r="Q72" i="6" s="1"/>
  <c r="F419" i="6"/>
  <c r="Q419" i="6" s="1"/>
  <c r="F145" i="6"/>
  <c r="Q145" i="6" s="1"/>
  <c r="F89" i="6"/>
  <c r="Q89" i="6" s="1"/>
  <c r="F9" i="6"/>
  <c r="Q9" i="6" s="1"/>
  <c r="F2372" i="8"/>
  <c r="I2372" i="8"/>
  <c r="H2372" i="8"/>
  <c r="F2804" i="8"/>
  <c r="I2804" i="8"/>
  <c r="H2804" i="8"/>
  <c r="F2682" i="8"/>
  <c r="I2682" i="8"/>
  <c r="H2682" i="8"/>
  <c r="F3151" i="8"/>
  <c r="H3151" i="8"/>
  <c r="I3151" i="8"/>
  <c r="F452" i="8"/>
  <c r="H452" i="8"/>
  <c r="I452" i="8"/>
  <c r="F2023" i="8"/>
  <c r="I2023" i="8"/>
  <c r="H2023" i="8"/>
  <c r="F1438" i="8"/>
  <c r="I1438" i="8"/>
  <c r="H1438" i="8"/>
  <c r="F2738" i="8"/>
  <c r="I2738" i="8"/>
  <c r="H2738" i="8"/>
  <c r="F2506" i="8"/>
  <c r="I2506" i="8"/>
  <c r="H2506" i="8"/>
  <c r="F2790" i="8"/>
  <c r="H2790" i="8"/>
  <c r="I2790" i="8"/>
  <c r="F2009" i="8"/>
  <c r="H2009" i="8"/>
  <c r="I2009" i="8"/>
  <c r="F2626" i="8"/>
  <c r="I2626" i="8"/>
  <c r="H2626" i="8"/>
  <c r="F2489" i="8"/>
  <c r="H2489" i="8"/>
  <c r="I2489" i="8"/>
  <c r="F2305" i="8"/>
  <c r="I2305" i="8"/>
  <c r="H2305" i="8"/>
  <c r="F1049" i="8"/>
  <c r="I1049" i="8"/>
  <c r="H1049" i="8"/>
  <c r="F2443" i="8"/>
  <c r="I2443" i="8"/>
  <c r="H2443" i="8"/>
  <c r="H2914" i="8"/>
  <c r="F2998" i="8"/>
  <c r="I2998" i="8"/>
  <c r="H2998" i="8"/>
  <c r="F1379" i="8"/>
  <c r="H1379" i="8"/>
  <c r="I1379" i="8"/>
  <c r="F1258" i="8"/>
  <c r="H1258" i="8"/>
  <c r="I1258" i="8"/>
  <c r="F3181" i="8"/>
  <c r="H3181" i="8"/>
  <c r="I3181" i="8"/>
  <c r="F2260" i="8"/>
  <c r="H2260" i="8"/>
  <c r="I2260" i="8"/>
  <c r="F1311" i="8"/>
  <c r="I1311" i="8"/>
  <c r="H1311" i="8"/>
  <c r="F55" i="8"/>
  <c r="I55" i="8"/>
  <c r="H55" i="8"/>
  <c r="F88" i="6"/>
  <c r="Q88" i="6" s="1"/>
  <c r="H297" i="8"/>
  <c r="I297" i="8" s="1"/>
  <c r="S297" i="8" s="1"/>
  <c r="F144" i="6"/>
  <c r="Q144" i="6" s="1"/>
  <c r="F2834" i="8"/>
  <c r="I2834" i="8"/>
  <c r="H2834" i="8"/>
  <c r="F2534" i="8"/>
  <c r="I2534" i="8"/>
  <c r="H2534" i="8"/>
  <c r="F2444" i="8"/>
  <c r="I2444" i="8"/>
  <c r="H2444" i="8"/>
  <c r="F2555" i="8"/>
  <c r="I2555" i="8"/>
  <c r="H2555" i="8"/>
  <c r="F2492" i="8"/>
  <c r="H2492" i="8"/>
  <c r="I2492" i="8"/>
  <c r="F2098" i="8"/>
  <c r="I2098" i="8"/>
  <c r="H2098" i="8"/>
  <c r="F1969" i="8"/>
  <c r="I1969" i="8"/>
  <c r="H1969" i="8"/>
  <c r="F2111" i="8"/>
  <c r="H2111" i="8"/>
  <c r="I2111" i="8"/>
  <c r="F1587" i="8"/>
  <c r="H1587" i="8"/>
  <c r="I1587" i="8"/>
  <c r="F1279" i="8"/>
  <c r="H1279" i="8"/>
  <c r="I1279" i="8"/>
  <c r="F3187" i="8"/>
  <c r="H3187" i="8"/>
  <c r="I3187" i="8"/>
  <c r="F2230" i="8"/>
  <c r="I2230" i="8"/>
  <c r="H2230" i="8"/>
  <c r="F1993" i="8"/>
  <c r="I1993" i="8"/>
  <c r="H1993" i="8"/>
  <c r="F1047" i="8"/>
  <c r="I1047" i="8"/>
  <c r="H1047" i="8"/>
  <c r="F2363" i="8"/>
  <c r="H2363" i="8"/>
  <c r="I2363" i="8"/>
  <c r="F847" i="8"/>
  <c r="H847" i="8"/>
  <c r="I847" i="8"/>
  <c r="F797" i="8"/>
  <c r="I797" i="8"/>
  <c r="H797" i="8"/>
  <c r="F2763" i="8"/>
  <c r="H2763" i="8"/>
  <c r="I2763" i="8"/>
  <c r="F2017" i="8"/>
  <c r="I2017" i="8"/>
  <c r="H2017" i="8"/>
  <c r="F41" i="6"/>
  <c r="Q41" i="6" s="1"/>
  <c r="F42" i="6"/>
  <c r="Q42" i="6" s="1"/>
  <c r="F29" i="6"/>
  <c r="Q29" i="6" s="1"/>
  <c r="F81" i="6"/>
  <c r="Q81" i="6" s="1"/>
  <c r="F476" i="6"/>
  <c r="Q476" i="6" s="1"/>
  <c r="F477" i="6"/>
  <c r="Q477" i="6" s="1"/>
  <c r="F114" i="7"/>
  <c r="Q114" i="7" s="1"/>
  <c r="F3459" i="8"/>
  <c r="H3273" i="8"/>
  <c r="I3273" i="8"/>
  <c r="I3459" i="8"/>
  <c r="F1668" i="8"/>
  <c r="H1668" i="8"/>
  <c r="I1668" i="8"/>
  <c r="F1612" i="8"/>
  <c r="I1612" i="8"/>
  <c r="H1612" i="8"/>
  <c r="F2565" i="8"/>
  <c r="I2565" i="8"/>
  <c r="H2565" i="8"/>
  <c r="F596" i="8"/>
  <c r="H596" i="8"/>
  <c r="I596" i="8"/>
  <c r="F1578" i="8"/>
  <c r="H1578" i="8"/>
  <c r="I1578" i="8"/>
  <c r="F2174" i="8"/>
  <c r="H2174" i="8"/>
  <c r="I2174" i="8"/>
  <c r="F2775" i="8"/>
  <c r="H2775" i="8"/>
  <c r="I2775" i="8"/>
  <c r="F836" i="8"/>
  <c r="H836" i="8"/>
  <c r="I836" i="8"/>
  <c r="F2317" i="8"/>
  <c r="I2317" i="8"/>
  <c r="H2317" i="8"/>
  <c r="F2462" i="8"/>
  <c r="I2462" i="8"/>
  <c r="H2462" i="8"/>
  <c r="F2377" i="8"/>
  <c r="H2377" i="8"/>
  <c r="I2377" i="8"/>
  <c r="F2494" i="8"/>
  <c r="I2494" i="8"/>
  <c r="H2494" i="8"/>
  <c r="F1676" i="8"/>
  <c r="I1676" i="8"/>
  <c r="H1676" i="8"/>
  <c r="F1503" i="8"/>
  <c r="I1503" i="8"/>
  <c r="H1503" i="8"/>
  <c r="F2122" i="8"/>
  <c r="H2122" i="8"/>
  <c r="I2122" i="8"/>
  <c r="F1792" i="8"/>
  <c r="I1792" i="8"/>
  <c r="H1792" i="8"/>
  <c r="F1028" i="8"/>
  <c r="I1028" i="8"/>
  <c r="H1028" i="8"/>
  <c r="F1461" i="8"/>
  <c r="I1461" i="8"/>
  <c r="H1461" i="8"/>
  <c r="F2380" i="8"/>
  <c r="H2380" i="8"/>
  <c r="I2380" i="8"/>
  <c r="F3021" i="8"/>
  <c r="I3021" i="8"/>
  <c r="H3021" i="8"/>
  <c r="F2653" i="8"/>
  <c r="I2653" i="8"/>
  <c r="H2653" i="8"/>
  <c r="F1845" i="8"/>
  <c r="I1845" i="8"/>
  <c r="H1845" i="8"/>
  <c r="F539" i="8"/>
  <c r="I539" i="8"/>
  <c r="H539" i="8"/>
  <c r="F2015" i="8"/>
  <c r="I2015" i="8"/>
  <c r="H2015" i="8"/>
  <c r="F2350" i="8"/>
  <c r="I2350" i="8"/>
  <c r="H2350" i="8"/>
  <c r="F1800" i="8"/>
  <c r="I1800" i="8"/>
  <c r="H1800" i="8"/>
  <c r="F1215" i="8"/>
  <c r="H1215" i="8"/>
  <c r="I1215" i="8"/>
  <c r="F1776" i="8"/>
  <c r="H1776" i="8"/>
  <c r="I1776" i="8"/>
  <c r="F386" i="8"/>
  <c r="H386" i="8"/>
  <c r="I386" i="8"/>
  <c r="F1764" i="8"/>
  <c r="H1764" i="8"/>
  <c r="I1764" i="8"/>
  <c r="F2166" i="8"/>
  <c r="I2166" i="8"/>
  <c r="H2166" i="8"/>
  <c r="I1756" i="8"/>
  <c r="F3160" i="8"/>
  <c r="I3160" i="8"/>
  <c r="H3160" i="8"/>
  <c r="F2338" i="8"/>
  <c r="H2338" i="8"/>
  <c r="I2338" i="8"/>
  <c r="F1780" i="8"/>
  <c r="H1780" i="8"/>
  <c r="I1780" i="8"/>
  <c r="F1998" i="8"/>
  <c r="I1998" i="8"/>
  <c r="H1998" i="8"/>
  <c r="F1740" i="8"/>
  <c r="H1740" i="8"/>
  <c r="I1740" i="8"/>
  <c r="F2354" i="8"/>
  <c r="I2354" i="8"/>
  <c r="H2354" i="8"/>
  <c r="F2843" i="8"/>
  <c r="I2843" i="8"/>
  <c r="H2843" i="8"/>
  <c r="F2459" i="8"/>
  <c r="H2459" i="8"/>
  <c r="I2459" i="8"/>
  <c r="F2973" i="8"/>
  <c r="I2973" i="8"/>
  <c r="H2973" i="8"/>
  <c r="F2807" i="8"/>
  <c r="I2807" i="8"/>
  <c r="H2807" i="8"/>
  <c r="F2491" i="8"/>
  <c r="I2491" i="8"/>
  <c r="H2491" i="8"/>
  <c r="F2549" i="8"/>
  <c r="H2549" i="8"/>
  <c r="I2549" i="8"/>
  <c r="F2351" i="8"/>
  <c r="H2351" i="8"/>
  <c r="I2351" i="8"/>
  <c r="F2435" i="8"/>
  <c r="H2435" i="8"/>
  <c r="I2435" i="8"/>
  <c r="F2427" i="8"/>
  <c r="H2427" i="8"/>
  <c r="I2427" i="8"/>
  <c r="F1498" i="8"/>
  <c r="I1498" i="8"/>
  <c r="H1498" i="8"/>
  <c r="F3076" i="8"/>
  <c r="H3076" i="8"/>
  <c r="I3076" i="8"/>
  <c r="F2160" i="8"/>
  <c r="I2160" i="8"/>
  <c r="H2160" i="8"/>
  <c r="F2659" i="8"/>
  <c r="H2659" i="8"/>
  <c r="I2659" i="8"/>
  <c r="F1857" i="8"/>
  <c r="I1857" i="8"/>
  <c r="H1857" i="8"/>
  <c r="F1795" i="8"/>
  <c r="I1795" i="8"/>
  <c r="H1795" i="8"/>
  <c r="F2692" i="8"/>
  <c r="I2692" i="8"/>
  <c r="H2692" i="8"/>
  <c r="F1821" i="8"/>
  <c r="H1821" i="8"/>
  <c r="I1821" i="8"/>
  <c r="F1524" i="8"/>
  <c r="H1524" i="8"/>
  <c r="I1524" i="8"/>
  <c r="F3067" i="8"/>
  <c r="H3067" i="8"/>
  <c r="I3067" i="8"/>
  <c r="F2240" i="8"/>
  <c r="I2240" i="8"/>
  <c r="H2240" i="8"/>
  <c r="F2704" i="8"/>
  <c r="H2704" i="8"/>
  <c r="I2704" i="8"/>
  <c r="F2518" i="8"/>
  <c r="I2518" i="8"/>
  <c r="H2518" i="8"/>
  <c r="F1958" i="8"/>
  <c r="I1958" i="8"/>
  <c r="H1958" i="8"/>
  <c r="F1213" i="8"/>
  <c r="H1213" i="8"/>
  <c r="I1213" i="8"/>
  <c r="F2939" i="8"/>
  <c r="H2939" i="8"/>
  <c r="I2939" i="8"/>
  <c r="F3183" i="8"/>
  <c r="H3183" i="8"/>
  <c r="I3183" i="8"/>
  <c r="F3280" i="8"/>
  <c r="I3280" i="8"/>
  <c r="H3280" i="8"/>
  <c r="F3110" i="8"/>
  <c r="I3110" i="8"/>
  <c r="H3110" i="8"/>
  <c r="F3233" i="8"/>
  <c r="H3233" i="8"/>
  <c r="I3233" i="8"/>
  <c r="F3206" i="8"/>
  <c r="H3206" i="8"/>
  <c r="I3206" i="8"/>
  <c r="F2997" i="8"/>
  <c r="I2997" i="8"/>
  <c r="H2997" i="8"/>
  <c r="F3054" i="8"/>
  <c r="I3054" i="8"/>
  <c r="H3054" i="8"/>
  <c r="F2772" i="8"/>
  <c r="I2772" i="8"/>
  <c r="H2772" i="8"/>
  <c r="G4673" i="5"/>
  <c r="R4673" i="5" s="1"/>
  <c r="G4402" i="5"/>
  <c r="R4402" i="5" s="1"/>
  <c r="G2830" i="5"/>
  <c r="R2830" i="5" s="1"/>
  <c r="G2820" i="5"/>
  <c r="R2820" i="5" s="1"/>
  <c r="G3528" i="5"/>
  <c r="R3528" i="5" s="1"/>
  <c r="G1502" i="5"/>
  <c r="R1502" i="5" s="1"/>
  <c r="G1447" i="5"/>
  <c r="R1447" i="5" s="1"/>
  <c r="G1688" i="5"/>
  <c r="R1688" i="5" s="1"/>
  <c r="G1493" i="5"/>
  <c r="R1493" i="5" s="1"/>
  <c r="G1418" i="5"/>
  <c r="R1418" i="5" s="1"/>
  <c r="G1440" i="5"/>
  <c r="R1440" i="5" s="1"/>
  <c r="G339" i="5"/>
  <c r="R339" i="5" s="1"/>
  <c r="G4386" i="5"/>
  <c r="R4386" i="5" s="1"/>
  <c r="G4117" i="5"/>
  <c r="R4117" i="5" s="1"/>
  <c r="G3558" i="5"/>
  <c r="R3558" i="5" s="1"/>
  <c r="G4440" i="5"/>
  <c r="R4440" i="5" s="1"/>
  <c r="G4280" i="5"/>
  <c r="R4280" i="5" s="1"/>
  <c r="G3538" i="5"/>
  <c r="R3538" i="5" s="1"/>
  <c r="G3456" i="5"/>
  <c r="R3456" i="5" s="1"/>
  <c r="G1491" i="5"/>
  <c r="R1491" i="5" s="1"/>
  <c r="G1485" i="5"/>
  <c r="R1485" i="5" s="1"/>
  <c r="G1463" i="5"/>
  <c r="R1463" i="5" s="1"/>
  <c r="G3602" i="5"/>
  <c r="R3602" i="5" s="1"/>
  <c r="G3490" i="5"/>
  <c r="R3490" i="5" s="1"/>
  <c r="G2894" i="5"/>
  <c r="R2894" i="5" s="1"/>
  <c r="G1489" i="5"/>
  <c r="R1489" i="5" s="1"/>
  <c r="G1414" i="5"/>
  <c r="R1414" i="5" s="1"/>
  <c r="G262" i="5"/>
  <c r="R262" i="5" s="1"/>
  <c r="F376" i="6"/>
  <c r="Q376" i="6" s="1"/>
  <c r="G2872" i="5"/>
  <c r="R2872" i="5" s="1"/>
  <c r="G4395" i="5"/>
  <c r="R4395" i="5" s="1"/>
  <c r="G4403" i="5"/>
  <c r="R4403" i="5" s="1"/>
  <c r="G3516" i="5"/>
  <c r="R3516" i="5" s="1"/>
  <c r="G3537" i="5"/>
  <c r="R3537" i="5" s="1"/>
  <c r="G1687" i="5"/>
  <c r="R1687" i="5" s="1"/>
  <c r="G4173" i="5"/>
  <c r="R4173" i="5" s="1"/>
  <c r="G4315" i="5"/>
  <c r="R4315" i="5" s="1"/>
  <c r="G1459" i="5"/>
  <c r="R1459" i="5" s="1"/>
  <c r="G1478" i="5"/>
  <c r="R1478" i="5" s="1"/>
  <c r="G1448" i="5"/>
  <c r="R1448" i="5" s="1"/>
  <c r="G338" i="5"/>
  <c r="R338" i="5" s="1"/>
  <c r="G476" i="5"/>
  <c r="R476" i="5" s="1"/>
  <c r="G3289" i="5"/>
  <c r="R3289" i="5" s="1"/>
  <c r="G4441" i="5"/>
  <c r="R4441" i="5" s="1"/>
  <c r="G4674" i="5"/>
  <c r="R4674" i="5" s="1"/>
  <c r="G3601" i="5"/>
  <c r="R3601" i="5" s="1"/>
  <c r="G4677" i="5"/>
  <c r="R4677" i="5" s="1"/>
  <c r="G3529" i="5"/>
  <c r="R3529" i="5" s="1"/>
  <c r="G2825" i="5"/>
  <c r="R2825" i="5" s="1"/>
  <c r="G2815" i="5"/>
  <c r="R2815" i="5" s="1"/>
  <c r="G4257" i="5"/>
  <c r="R4257" i="5" s="1"/>
  <c r="G3515" i="5"/>
  <c r="R3515" i="5" s="1"/>
  <c r="G4584" i="5"/>
  <c r="R4584" i="5" s="1"/>
  <c r="G1579" i="5"/>
  <c r="R1579" i="5" s="1"/>
  <c r="G3467" i="5"/>
  <c r="R3467" i="5" s="1"/>
  <c r="G1759" i="5"/>
  <c r="R1759" i="5" s="1"/>
  <c r="G1433" i="5"/>
  <c r="R1433" i="5" s="1"/>
  <c r="G1446" i="5"/>
  <c r="R1446" i="5" s="1"/>
  <c r="G1490" i="5"/>
  <c r="R1490" i="5" s="1"/>
  <c r="G1474" i="5"/>
  <c r="R1474" i="5" s="1"/>
  <c r="G1444" i="5"/>
  <c r="R1444" i="5" s="1"/>
  <c r="G1429" i="5"/>
  <c r="R1429" i="5" s="1"/>
  <c r="G1442" i="5"/>
  <c r="R1442" i="5" s="1"/>
  <c r="G260" i="5"/>
  <c r="R260" i="5" s="1"/>
  <c r="G1574" i="5"/>
  <c r="R1574" i="5" s="1"/>
  <c r="G1500" i="5"/>
  <c r="R1500" i="5" s="1"/>
  <c r="G1487" i="5"/>
  <c r="R1487" i="5" s="1"/>
  <c r="G3466" i="5"/>
  <c r="R3466" i="5" s="1"/>
  <c r="G1475" i="5"/>
  <c r="R1475" i="5" s="1"/>
  <c r="G1580" i="5"/>
  <c r="R1580" i="5" s="1"/>
  <c r="G1461" i="5"/>
  <c r="R1461" i="5" s="1"/>
  <c r="G1432" i="5"/>
  <c r="R1432" i="5" s="1"/>
  <c r="G1410" i="5"/>
  <c r="R1410" i="5" s="1"/>
  <c r="G253" i="5"/>
  <c r="R253" i="5" s="1"/>
  <c r="G337" i="5"/>
  <c r="R337" i="5" s="1"/>
  <c r="G3491" i="5"/>
  <c r="R3491" i="5" s="1"/>
  <c r="G2984" i="5"/>
  <c r="R2984" i="5" s="1"/>
  <c r="G3446" i="5"/>
  <c r="R3446" i="5" s="1"/>
  <c r="G4394" i="5"/>
  <c r="R4394" i="5" s="1"/>
  <c r="G3557" i="5"/>
  <c r="R3557" i="5" s="1"/>
  <c r="G4160" i="5"/>
  <c r="R4160" i="5" s="1"/>
  <c r="G1575" i="5"/>
  <c r="R1575" i="5" s="1"/>
  <c r="G1506" i="5"/>
  <c r="R1506" i="5" s="1"/>
  <c r="G1492" i="5"/>
  <c r="R1492" i="5" s="1"/>
  <c r="G1903" i="5"/>
  <c r="R1903" i="5" s="1"/>
  <c r="G1462" i="5"/>
  <c r="R1462" i="5" s="1"/>
  <c r="G1576" i="5"/>
  <c r="R1576" i="5" s="1"/>
  <c r="G1457" i="5"/>
  <c r="R1457" i="5" s="1"/>
  <c r="G1470" i="5"/>
  <c r="R1470" i="5" s="1"/>
  <c r="G1430" i="5"/>
  <c r="R1430" i="5" s="1"/>
  <c r="G1455" i="5"/>
  <c r="R1455" i="5" s="1"/>
  <c r="G1416" i="5"/>
  <c r="R1416" i="5" s="1"/>
  <c r="G1415" i="5"/>
  <c r="R1415" i="5" s="1"/>
  <c r="G331" i="5"/>
  <c r="R331" i="5" s="1"/>
  <c r="G334" i="5"/>
  <c r="R334" i="5" s="1"/>
  <c r="G6142" i="5"/>
  <c r="R6142" i="5" s="1"/>
  <c r="G4471" i="5"/>
  <c r="R4471" i="5" s="1"/>
  <c r="G4675" i="5"/>
  <c r="R4675" i="5" s="1"/>
  <c r="G2964" i="5"/>
  <c r="R2964" i="5" s="1"/>
  <c r="G4388" i="5"/>
  <c r="R4388" i="5" s="1"/>
  <c r="G4396" i="5"/>
  <c r="R4396" i="5" s="1"/>
  <c r="G2974" i="5"/>
  <c r="R2974" i="5" s="1"/>
  <c r="G1582" i="5"/>
  <c r="R1582" i="5" s="1"/>
  <c r="G2959" i="5"/>
  <c r="R2959" i="5" s="1"/>
  <c r="G1897" i="5"/>
  <c r="R1897" i="5" s="1"/>
  <c r="G4404" i="5"/>
  <c r="R4404" i="5" s="1"/>
  <c r="G1578" i="5"/>
  <c r="R1578" i="5" s="1"/>
  <c r="G1477" i="5"/>
  <c r="R1477" i="5" s="1"/>
  <c r="G1476" i="5"/>
  <c r="R1476" i="5" s="1"/>
  <c r="G1508" i="5"/>
  <c r="R1508" i="5" s="1"/>
  <c r="G1445" i="5"/>
  <c r="R1445" i="5" s="1"/>
  <c r="G1431" i="5"/>
  <c r="R1431" i="5" s="1"/>
  <c r="G1417" i="5"/>
  <c r="R1417" i="5" s="1"/>
  <c r="G1412" i="5"/>
  <c r="R1412" i="5" s="1"/>
  <c r="G1829" i="5"/>
  <c r="R1829" i="5" s="1"/>
  <c r="G340" i="5"/>
  <c r="R340" i="5" s="1"/>
  <c r="G6143" i="5"/>
  <c r="R6143" i="5" s="1"/>
  <c r="G3455" i="5"/>
  <c r="R3455" i="5" s="1"/>
  <c r="G4472" i="5"/>
  <c r="R4472" i="5" s="1"/>
  <c r="G4384" i="5"/>
  <c r="R4384" i="5" s="1"/>
  <c r="G3714" i="5"/>
  <c r="R3714" i="5" s="1"/>
  <c r="G3445" i="5"/>
  <c r="R3445" i="5" s="1"/>
  <c r="G2939" i="5"/>
  <c r="R2939" i="5" s="1"/>
  <c r="G1752" i="5"/>
  <c r="R1752" i="5" s="1"/>
  <c r="G3715" i="5"/>
  <c r="R3715" i="5" s="1"/>
  <c r="G1460" i="5"/>
  <c r="R1460" i="5" s="1"/>
  <c r="G1505" i="5"/>
  <c r="R1505" i="5" s="1"/>
  <c r="G1472" i="5"/>
  <c r="R1472" i="5" s="1"/>
  <c r="G1504" i="5"/>
  <c r="R1504" i="5" s="1"/>
  <c r="G1581" i="5"/>
  <c r="R1581" i="5" s="1"/>
  <c r="G1507" i="5"/>
  <c r="R1507" i="5" s="1"/>
  <c r="G1427" i="5"/>
  <c r="R1427" i="5" s="1"/>
  <c r="G1425" i="5"/>
  <c r="R1425" i="5" s="1"/>
  <c r="G359" i="5"/>
  <c r="R359" i="5" s="1"/>
  <c r="F554" i="6"/>
  <c r="Q554" i="6" s="1"/>
  <c r="F288" i="6"/>
  <c r="Q288" i="6" s="1"/>
  <c r="F64" i="6"/>
  <c r="Q64" i="6" s="1"/>
  <c r="F394" i="6"/>
  <c r="Q394" i="6" s="1"/>
  <c r="F138" i="6"/>
  <c r="Q138" i="6" s="1"/>
  <c r="F229" i="6"/>
  <c r="Q229" i="6" s="1"/>
  <c r="F825" i="8"/>
  <c r="H825" i="8"/>
  <c r="I825" i="8"/>
  <c r="F1643" i="8"/>
  <c r="H1643" i="8"/>
  <c r="I1643" i="8"/>
  <c r="F269" i="6"/>
  <c r="Q269" i="6" s="1"/>
  <c r="F1631" i="8"/>
  <c r="H1631" i="8"/>
  <c r="I1631" i="8"/>
  <c r="F2477" i="8"/>
  <c r="H2477" i="8"/>
  <c r="I2477" i="8"/>
  <c r="F231" i="6"/>
  <c r="Q231" i="6" s="1"/>
  <c r="F1613" i="8"/>
  <c r="H1613" i="8"/>
  <c r="I1613" i="8"/>
  <c r="F49" i="7"/>
  <c r="Q49" i="7" s="1"/>
  <c r="F1637" i="8"/>
  <c r="I1637" i="8"/>
  <c r="H1637" i="8"/>
  <c r="F1623" i="8"/>
  <c r="I1623" i="8"/>
  <c r="H1623" i="8"/>
  <c r="F38" i="7"/>
  <c r="Q38" i="7" s="1"/>
  <c r="F3231" i="8"/>
  <c r="H3231" i="8"/>
  <c r="I3231" i="8"/>
  <c r="F58" i="8" l="1"/>
  <c r="F138" i="8"/>
  <c r="F394" i="8"/>
  <c r="F170" i="8"/>
  <c r="F442" i="8"/>
  <c r="F434" i="8"/>
  <c r="F402" i="8"/>
  <c r="F426" i="8"/>
  <c r="F66" i="8"/>
  <c r="H1756" i="8"/>
  <c r="I2771" i="8"/>
  <c r="I2194" i="8"/>
  <c r="H2771" i="8"/>
  <c r="F2426" i="8"/>
  <c r="I2041" i="8"/>
  <c r="H2041" i="8"/>
  <c r="H2194" i="8"/>
  <c r="H2703" i="8"/>
  <c r="F1351" i="8"/>
  <c r="I1351" i="8"/>
  <c r="H1351" i="8"/>
  <c r="F759" i="8"/>
  <c r="H759" i="8"/>
  <c r="I759" i="8"/>
  <c r="F796" i="8"/>
  <c r="H796" i="8"/>
  <c r="I796" i="8"/>
  <c r="F1307" i="8"/>
  <c r="H1307" i="8"/>
  <c r="I1307" i="8"/>
  <c r="F780" i="8"/>
  <c r="H780" i="8"/>
  <c r="I780" i="8"/>
  <c r="F1227" i="8"/>
  <c r="I1227" i="8"/>
  <c r="H1227" i="8"/>
  <c r="F1714" i="8"/>
  <c r="I1714" i="8"/>
  <c r="H1714" i="8"/>
  <c r="F1192" i="8"/>
  <c r="I1192" i="8"/>
  <c r="H1192" i="8"/>
  <c r="F1295" i="8"/>
  <c r="H1295" i="8"/>
  <c r="I1295" i="8"/>
  <c r="F1345" i="8"/>
  <c r="H1345" i="8"/>
  <c r="I1345" i="8"/>
  <c r="F769" i="8"/>
  <c r="I769" i="8"/>
  <c r="H769" i="8"/>
  <c r="F1309" i="8"/>
  <c r="I1309" i="8"/>
  <c r="H1309" i="8"/>
  <c r="F1533" i="8"/>
  <c r="I1533" i="8"/>
  <c r="H1533" i="8"/>
  <c r="F1674" i="8"/>
  <c r="I1674" i="8"/>
  <c r="H1674" i="8"/>
  <c r="F729" i="8"/>
  <c r="I729" i="8"/>
  <c r="H729" i="8"/>
  <c r="F1471" i="8"/>
  <c r="I1471" i="8"/>
  <c r="H1471" i="8"/>
  <c r="F1063" i="8"/>
  <c r="H1063" i="8"/>
  <c r="I1063" i="8"/>
  <c r="F1299" i="8"/>
  <c r="H1299" i="8"/>
  <c r="I1299" i="8"/>
  <c r="F1100" i="8"/>
  <c r="I1100" i="8"/>
  <c r="H1100" i="8"/>
  <c r="F1186" i="8"/>
  <c r="I1186" i="8"/>
  <c r="H1186" i="8"/>
  <c r="F1092" i="8"/>
  <c r="I1092" i="8"/>
  <c r="H1092" i="8"/>
  <c r="F771" i="8"/>
  <c r="I771" i="8"/>
  <c r="H771" i="8"/>
  <c r="F1390" i="8"/>
  <c r="H1390" i="8"/>
  <c r="I1390" i="8"/>
  <c r="F1369" i="8"/>
  <c r="H1369" i="8"/>
  <c r="I1369" i="8"/>
  <c r="F1198" i="8"/>
  <c r="H1198" i="8"/>
  <c r="I1198" i="8"/>
  <c r="F1399" i="8"/>
  <c r="I1399" i="8"/>
  <c r="H1399" i="8"/>
  <c r="F1515" i="8"/>
  <c r="I1515" i="8"/>
  <c r="H1515" i="8"/>
  <c r="F1610" i="8"/>
  <c r="I1610" i="8"/>
  <c r="H1610" i="8"/>
  <c r="F1407" i="8"/>
  <c r="I1407" i="8"/>
  <c r="H1407" i="8"/>
  <c r="F753" i="8"/>
  <c r="H753" i="8"/>
  <c r="I753" i="8"/>
  <c r="F758" i="8"/>
  <c r="I758" i="8"/>
  <c r="H758" i="8"/>
  <c r="F766" i="8"/>
  <c r="I766" i="8"/>
  <c r="H766" i="8"/>
  <c r="F791" i="8"/>
  <c r="H791" i="8"/>
  <c r="I791" i="8"/>
  <c r="F527" i="8"/>
  <c r="H527" i="8"/>
  <c r="I527" i="8"/>
  <c r="F551" i="8"/>
  <c r="H551" i="8"/>
  <c r="I551" i="8"/>
  <c r="F1400" i="8"/>
  <c r="I1400" i="8"/>
  <c r="H1400" i="8"/>
  <c r="F1464" i="8"/>
  <c r="H1464" i="8"/>
  <c r="I1464" i="8"/>
  <c r="F617" i="8"/>
  <c r="H617" i="8"/>
  <c r="I617" i="8"/>
  <c r="F641" i="8"/>
  <c r="I641" i="8"/>
  <c r="H641" i="8"/>
  <c r="F811" i="8"/>
  <c r="H811" i="8"/>
  <c r="I811" i="8"/>
  <c r="F492" i="8"/>
  <c r="I492" i="8"/>
  <c r="H492" i="8"/>
  <c r="F559" i="8"/>
  <c r="H559" i="8"/>
  <c r="I559" i="8"/>
  <c r="F779" i="8"/>
  <c r="I779" i="8"/>
  <c r="H779" i="8"/>
  <c r="F821" i="8"/>
  <c r="I821" i="8"/>
  <c r="H821" i="8"/>
  <c r="F1506" i="8"/>
  <c r="H1506" i="8"/>
  <c r="I1506" i="8"/>
  <c r="H2426" i="8"/>
  <c r="F1918" i="8"/>
  <c r="H1918" i="8"/>
  <c r="I1918" i="8"/>
  <c r="F1484" i="8"/>
  <c r="H1484" i="8"/>
  <c r="I1484" i="8"/>
  <c r="F2648" i="8"/>
  <c r="H2648" i="8"/>
  <c r="I2648" i="8"/>
  <c r="F1167" i="8"/>
  <c r="I1167" i="8"/>
  <c r="H1167" i="8"/>
  <c r="F1195" i="8"/>
  <c r="I1195" i="8"/>
  <c r="H1195" i="8"/>
  <c r="F1203" i="8"/>
  <c r="H1203" i="8"/>
  <c r="I1203" i="8"/>
  <c r="F1216" i="8"/>
  <c r="H1216" i="8"/>
  <c r="I1216" i="8"/>
  <c r="F1232" i="8"/>
  <c r="H1232" i="8"/>
  <c r="I1232" i="8"/>
  <c r="F1328" i="8"/>
  <c r="H1328" i="8"/>
  <c r="I1328" i="8"/>
  <c r="F1436" i="8"/>
  <c r="I1436" i="8"/>
  <c r="H1436" i="8"/>
  <c r="F1448" i="8"/>
  <c r="I1448" i="8"/>
  <c r="H1448" i="8"/>
  <c r="F1468" i="8"/>
  <c r="I1468" i="8"/>
  <c r="H1468" i="8"/>
  <c r="F1476" i="8"/>
  <c r="H1476" i="8"/>
  <c r="I1476" i="8"/>
  <c r="F1510" i="8"/>
  <c r="I1510" i="8"/>
  <c r="H1510" i="8"/>
  <c r="F1522" i="8"/>
  <c r="H1522" i="8"/>
  <c r="I1522" i="8"/>
  <c r="F1538" i="8"/>
  <c r="H1538" i="8"/>
  <c r="I1538" i="8"/>
  <c r="F1584" i="8"/>
  <c r="H1584" i="8"/>
  <c r="I1584" i="8"/>
  <c r="F2469" i="8"/>
  <c r="I2469" i="8"/>
  <c r="H2469" i="8"/>
  <c r="F1191" i="8"/>
  <c r="I1191" i="8"/>
  <c r="H1191" i="8"/>
  <c r="F1199" i="8"/>
  <c r="I1199" i="8"/>
  <c r="H1199" i="8"/>
  <c r="F1212" i="8"/>
  <c r="H1212" i="8"/>
  <c r="I1212" i="8"/>
  <c r="F1226" i="8"/>
  <c r="H1226" i="8"/>
  <c r="I1226" i="8"/>
  <c r="F1236" i="8"/>
  <c r="H1236" i="8"/>
  <c r="I1236" i="8"/>
  <c r="F1280" i="8"/>
  <c r="I1280" i="8"/>
  <c r="H1280" i="8"/>
  <c r="F1444" i="8"/>
  <c r="H1444" i="8"/>
  <c r="I1444" i="8"/>
  <c r="F1460" i="8"/>
  <c r="I1460" i="8"/>
  <c r="H1460" i="8"/>
  <c r="F1472" i="8"/>
  <c r="H1472" i="8"/>
  <c r="I1472" i="8"/>
  <c r="F1518" i="8"/>
  <c r="H1518" i="8"/>
  <c r="I1518" i="8"/>
  <c r="F1534" i="8"/>
  <c r="I1534" i="8"/>
  <c r="H1534" i="8"/>
  <c r="F1555" i="8"/>
  <c r="I1555" i="8"/>
  <c r="H1555" i="8"/>
  <c r="I2585" i="8"/>
  <c r="F2585" i="8"/>
  <c r="H2585" i="8"/>
  <c r="F1060" i="8"/>
  <c r="H1060" i="8"/>
  <c r="I1060" i="8"/>
  <c r="F2012" i="8"/>
  <c r="H2012" i="8"/>
  <c r="I2012" i="8"/>
  <c r="F1000" i="8"/>
  <c r="I1000" i="8"/>
  <c r="H1000" i="8"/>
  <c r="F1805" i="8"/>
  <c r="H1805" i="8"/>
  <c r="I1805" i="8"/>
  <c r="F1054" i="8"/>
  <c r="H1054" i="8"/>
  <c r="I1054" i="8"/>
  <c r="F823" i="8"/>
  <c r="I823" i="8"/>
  <c r="H823" i="8"/>
  <c r="F1050" i="8"/>
  <c r="I1050" i="8"/>
  <c r="H1050" i="8"/>
  <c r="F837" i="8"/>
  <c r="H837" i="8"/>
  <c r="I837" i="8"/>
  <c r="F2093" i="8"/>
  <c r="H2093" i="8"/>
  <c r="I2093" i="8"/>
  <c r="F1031" i="8"/>
  <c r="H1031" i="8"/>
  <c r="I1031" i="8"/>
  <c r="F1486" i="8"/>
  <c r="H1486" i="8"/>
  <c r="I1486" i="8"/>
  <c r="F1096" i="8"/>
  <c r="I1096" i="8"/>
  <c r="H1096" i="8"/>
  <c r="F2153" i="8"/>
  <c r="H2153" i="8"/>
  <c r="I2153" i="8"/>
  <c r="F1221" i="8"/>
  <c r="I1221" i="8"/>
  <c r="H1221" i="8"/>
  <c r="F1023" i="8"/>
  <c r="I1023" i="8"/>
  <c r="H1023" i="8"/>
  <c r="F1629" i="8"/>
  <c r="H1629" i="8"/>
  <c r="I1629" i="8"/>
  <c r="H2044" i="8"/>
  <c r="F2044" i="8"/>
  <c r="I2044" i="8"/>
  <c r="F1544" i="8"/>
  <c r="I1544" i="8"/>
  <c r="H1544" i="8"/>
  <c r="F831" i="8"/>
  <c r="H831" i="8"/>
  <c r="I831" i="8"/>
  <c r="F887" i="8"/>
  <c r="H887" i="8"/>
  <c r="I887" i="8"/>
  <c r="F1208" i="8"/>
  <c r="I1208" i="8"/>
  <c r="H1208" i="8"/>
  <c r="F1685" i="8"/>
  <c r="H1685" i="8"/>
  <c r="I1685" i="8"/>
  <c r="F1771" i="8"/>
  <c r="I1771" i="8"/>
  <c r="H1771" i="8"/>
  <c r="F2131" i="8"/>
  <c r="H2131" i="8"/>
  <c r="I2131" i="8"/>
  <c r="F2323" i="8"/>
  <c r="H2323" i="8"/>
  <c r="I2323" i="8"/>
  <c r="F1600" i="8"/>
  <c r="H1600" i="8"/>
  <c r="I1600" i="8"/>
  <c r="F1647" i="8"/>
  <c r="H1647" i="8"/>
  <c r="I1647" i="8"/>
  <c r="F1667" i="8"/>
  <c r="I1667" i="8"/>
  <c r="H1667" i="8"/>
  <c r="F1675" i="8"/>
  <c r="I1675" i="8"/>
  <c r="H1675" i="8"/>
  <c r="F1691" i="8"/>
  <c r="I1691" i="8"/>
  <c r="H1691" i="8"/>
  <c r="F1715" i="8"/>
  <c r="I1715" i="8"/>
  <c r="H1715" i="8"/>
  <c r="F2127" i="8"/>
  <c r="I2127" i="8"/>
  <c r="H2127" i="8"/>
  <c r="F2147" i="8"/>
  <c r="I2147" i="8"/>
  <c r="H2147" i="8"/>
  <c r="F2294" i="8"/>
  <c r="I2294" i="8"/>
  <c r="H2294" i="8"/>
  <c r="F2723" i="8"/>
  <c r="I2723" i="8"/>
  <c r="H2723" i="8"/>
  <c r="F1592" i="8"/>
  <c r="I1592" i="8"/>
  <c r="H1592" i="8"/>
  <c r="F1850" i="8"/>
  <c r="I1850" i="8"/>
  <c r="H1850" i="8"/>
  <c r="F1962" i="8"/>
  <c r="H1962" i="8"/>
  <c r="I1962" i="8"/>
  <c r="F2159" i="8"/>
  <c r="H2159" i="8"/>
  <c r="I2159" i="8"/>
  <c r="F1635" i="8"/>
  <c r="H1635" i="8"/>
  <c r="I1635" i="8"/>
  <c r="F1663" i="8"/>
  <c r="I1663" i="8"/>
  <c r="H1663" i="8"/>
  <c r="F1703" i="8"/>
  <c r="I1703" i="8"/>
  <c r="H1703" i="8"/>
  <c r="F1727" i="8"/>
  <c r="H1727" i="8"/>
  <c r="I1727" i="8"/>
  <c r="F2540" i="8"/>
  <c r="I2540" i="8"/>
  <c r="H2540" i="8"/>
  <c r="F62" i="7"/>
  <c r="Q62" i="7" s="1"/>
  <c r="F2138" i="8"/>
  <c r="I2138" i="8"/>
  <c r="H2138" i="8"/>
  <c r="F1760" i="8"/>
  <c r="I1760" i="8"/>
  <c r="H1760" i="8"/>
  <c r="F2170" i="8"/>
  <c r="H2170" i="8"/>
  <c r="I2170" i="8"/>
  <c r="F2276" i="8"/>
  <c r="I2276" i="8"/>
  <c r="H2276" i="8"/>
  <c r="F2021" i="8"/>
  <c r="H2021" i="8"/>
  <c r="I2021" i="8"/>
  <c r="I3118" i="8"/>
  <c r="F3118" i="8"/>
  <c r="H3118" i="8"/>
  <c r="F2033" i="8"/>
  <c r="H2033" i="8"/>
  <c r="I2033" i="8"/>
  <c r="F2053" i="8"/>
  <c r="I2053" i="8"/>
  <c r="H2053" i="8"/>
  <c r="F2326" i="8"/>
  <c r="I2326" i="8"/>
  <c r="H2326" i="8"/>
  <c r="H2529" i="8"/>
  <c r="F2529" i="8"/>
  <c r="I2529" i="8"/>
  <c r="F2049" i="8"/>
  <c r="I2049" i="8"/>
  <c r="H2049" i="8"/>
  <c r="F2146" i="8"/>
  <c r="H2146" i="8"/>
  <c r="I2146" i="8"/>
  <c r="F1564" i="8"/>
  <c r="H1564" i="8"/>
  <c r="I1564" i="8"/>
  <c r="F1531" i="8"/>
  <c r="I1531" i="8"/>
  <c r="H1531" i="8"/>
  <c r="F2298" i="8"/>
  <c r="I2298" i="8"/>
  <c r="H2298" i="8"/>
  <c r="F1997" i="8"/>
  <c r="I1997" i="8"/>
  <c r="H1997" i="8"/>
  <c r="F2627" i="8"/>
  <c r="H2627" i="8"/>
  <c r="I2627" i="8"/>
  <c r="F3452" i="8"/>
  <c r="I3452" i="8"/>
  <c r="H3452" i="8"/>
  <c r="F2803" i="8"/>
  <c r="H2803" i="8"/>
  <c r="I2803" i="8"/>
  <c r="F2625" i="8"/>
  <c r="H2625" i="8"/>
  <c r="I2625" i="8"/>
  <c r="F2728" i="8"/>
  <c r="I2728" i="8"/>
  <c r="H2728" i="8"/>
  <c r="F2521" i="8"/>
  <c r="I2521" i="8"/>
  <c r="H2521" i="8"/>
  <c r="F2458" i="8"/>
  <c r="I2458" i="8"/>
  <c r="H2458" i="8"/>
  <c r="F2482" i="8"/>
  <c r="I2482" i="8"/>
  <c r="H2482" i="8"/>
  <c r="F3291" i="8"/>
  <c r="H3291" i="8"/>
  <c r="I3291" i="8"/>
  <c r="H2675" i="8"/>
  <c r="F2675" i="8"/>
  <c r="I2675" i="8"/>
  <c r="F2755" i="8"/>
  <c r="H2755" i="8"/>
  <c r="I2755" i="8"/>
  <c r="F2826" i="8"/>
  <c r="H2826" i="8"/>
  <c r="I2826" i="8"/>
  <c r="F2711" i="8"/>
  <c r="I2711" i="8"/>
  <c r="H2711" i="8"/>
  <c r="F2641" i="8"/>
  <c r="H2641" i="8"/>
  <c r="I2641" i="8"/>
  <c r="F2537" i="8"/>
  <c r="I2537" i="8"/>
  <c r="H2537" i="8"/>
  <c r="F2808" i="8"/>
  <c r="H2808" i="8"/>
  <c r="I2808" i="8"/>
  <c r="F2633" i="8"/>
  <c r="H2633" i="8"/>
  <c r="I2633" i="8"/>
  <c r="F2577" i="8"/>
  <c r="H2577" i="8"/>
  <c r="I2577" i="8"/>
  <c r="F1717" i="8"/>
  <c r="H1717" i="8"/>
  <c r="I1717" i="8"/>
  <c r="F2121" i="8"/>
  <c r="H2121" i="8"/>
  <c r="I2121" i="8"/>
  <c r="F1561" i="8"/>
  <c r="H1561" i="8"/>
  <c r="I1561" i="8"/>
  <c r="F2238" i="8"/>
  <c r="H2238" i="8"/>
  <c r="I2238" i="8"/>
  <c r="H2856" i="8"/>
  <c r="F2856" i="8"/>
  <c r="I2856" i="8"/>
  <c r="F1504" i="8"/>
  <c r="H1504" i="8"/>
  <c r="I1504" i="8"/>
  <c r="F2770" i="8"/>
  <c r="I2770" i="8"/>
  <c r="H2770" i="8"/>
  <c r="F1661" i="8"/>
  <c r="I1661" i="8"/>
  <c r="H1661" i="8"/>
  <c r="F1709" i="8"/>
  <c r="I1709" i="8"/>
  <c r="H1709" i="8"/>
  <c r="F1793" i="8"/>
  <c r="H1793" i="8"/>
  <c r="I1793" i="8"/>
  <c r="F1840" i="8"/>
  <c r="I1840" i="8"/>
  <c r="H1840" i="8"/>
  <c r="F2145" i="8"/>
  <c r="I2145" i="8"/>
  <c r="H2145" i="8"/>
  <c r="F1242" i="8"/>
  <c r="H1242" i="8"/>
  <c r="I1242" i="8"/>
  <c r="F1553" i="8"/>
  <c r="I1553" i="8"/>
  <c r="H1553" i="8"/>
  <c r="F1653" i="8"/>
  <c r="I1653" i="8"/>
  <c r="H1653" i="8"/>
  <c r="F1729" i="8"/>
  <c r="H1729" i="8"/>
  <c r="I1729" i="8"/>
  <c r="F2177" i="8"/>
  <c r="H2177" i="8"/>
  <c r="I2177" i="8"/>
  <c r="F1609" i="8"/>
  <c r="H1609" i="8"/>
  <c r="I1609" i="8"/>
  <c r="F1757" i="8"/>
  <c r="H1757" i="8"/>
  <c r="I1757" i="8"/>
  <c r="F1641" i="8"/>
  <c r="H1641" i="8"/>
  <c r="I1641" i="8"/>
  <c r="F1797" i="8"/>
  <c r="I1797" i="8"/>
  <c r="H1797" i="8"/>
  <c r="F2105" i="8"/>
  <c r="I2105" i="8"/>
  <c r="H2105" i="8"/>
  <c r="F1308" i="8"/>
  <c r="H1308" i="8"/>
  <c r="I1308" i="8"/>
  <c r="F2261" i="8"/>
  <c r="I2261" i="8"/>
  <c r="H2261" i="8"/>
  <c r="F1725" i="8"/>
  <c r="H1725" i="8"/>
  <c r="I1725" i="8"/>
  <c r="F1865" i="8"/>
  <c r="H1865" i="8"/>
  <c r="I1865" i="8"/>
  <c r="F2129" i="8"/>
  <c r="H2129" i="8"/>
  <c r="I2129" i="8"/>
  <c r="F1228" i="8"/>
  <c r="H1228" i="8"/>
  <c r="I1228" i="8"/>
  <c r="F1520" i="8"/>
  <c r="I1520" i="8"/>
  <c r="H1520" i="8"/>
  <c r="F1773" i="8"/>
  <c r="I1773" i="8"/>
  <c r="H1773" i="8"/>
  <c r="F2161" i="8"/>
  <c r="H2161" i="8"/>
  <c r="I2161" i="8"/>
  <c r="F1645" i="8"/>
  <c r="I1645" i="8"/>
  <c r="H1645" i="8"/>
  <c r="F2269" i="8"/>
  <c r="I2269" i="8"/>
  <c r="H2269" i="8"/>
  <c r="F1665" i="8"/>
  <c r="I1665" i="8"/>
  <c r="H1665" i="8"/>
  <c r="F1621" i="8"/>
  <c r="H1621" i="8"/>
  <c r="I1621" i="8"/>
  <c r="F1693" i="8"/>
  <c r="I1693" i="8"/>
  <c r="H1693" i="8"/>
  <c r="F1749" i="8"/>
  <c r="H1749" i="8"/>
  <c r="I1749" i="8"/>
  <c r="F1879" i="8"/>
  <c r="I1879" i="8"/>
  <c r="H1879" i="8"/>
  <c r="F1785" i="8"/>
  <c r="H1785" i="8"/>
  <c r="I1785" i="8"/>
  <c r="F1972" i="8"/>
  <c r="H1972" i="8"/>
  <c r="I1972" i="8"/>
  <c r="F2209" i="8"/>
  <c r="I2209" i="8"/>
  <c r="H2209" i="8"/>
  <c r="F2113" i="8"/>
  <c r="H2113" i="8"/>
  <c r="I2113" i="8"/>
  <c r="F2185" i="8"/>
  <c r="I2185" i="8"/>
  <c r="H2185" i="8"/>
  <c r="F1512" i="8"/>
  <c r="H1512" i="8"/>
  <c r="I1512" i="8"/>
  <c r="F1733" i="8"/>
  <c r="H1733" i="8"/>
  <c r="I1733" i="8"/>
  <c r="F1705" i="8"/>
  <c r="I1705" i="8"/>
  <c r="H1705" i="8"/>
  <c r="F2137" i="8"/>
  <c r="I2137" i="8"/>
  <c r="H2137" i="8"/>
  <c r="F1536" i="8"/>
  <c r="I1536" i="8"/>
  <c r="H1536" i="8"/>
  <c r="F1669" i="8"/>
  <c r="I1669" i="8"/>
  <c r="H1669" i="8"/>
  <c r="F2246" i="8"/>
  <c r="H2246" i="8"/>
  <c r="I2246" i="8"/>
  <c r="F1677" i="8"/>
  <c r="I1677" i="8"/>
  <c r="H1677" i="8"/>
  <c r="F1944" i="8"/>
  <c r="H1944" i="8"/>
  <c r="I1944" i="8"/>
  <c r="F1214" i="8"/>
  <c r="H1214" i="8"/>
  <c r="I1214" i="8"/>
  <c r="F1701" i="8"/>
  <c r="I1701" i="8"/>
  <c r="H1701" i="8"/>
  <c r="F1781" i="8"/>
  <c r="I1781" i="8"/>
  <c r="H1781" i="8"/>
  <c r="F1956" i="8"/>
  <c r="H1956" i="8"/>
  <c r="I1956" i="8"/>
  <c r="F2165" i="8"/>
  <c r="I2165" i="8"/>
  <c r="H2165" i="8"/>
  <c r="F1470" i="8"/>
  <c r="I1470" i="8"/>
  <c r="H1470" i="8"/>
  <c r="F2201" i="8"/>
  <c r="H2201" i="8"/>
  <c r="I2201" i="8"/>
  <c r="F2792" i="8"/>
  <c r="I2792" i="8"/>
  <c r="H2792" i="8"/>
  <c r="F2109" i="8"/>
  <c r="H2109" i="8"/>
  <c r="I2109" i="8"/>
  <c r="F3210" i="8"/>
  <c r="I3210" i="8"/>
  <c r="H3210" i="8"/>
  <c r="F2285" i="8"/>
  <c r="H2285" i="8"/>
  <c r="I2285" i="8"/>
  <c r="F2189" i="8"/>
  <c r="H2189" i="8"/>
  <c r="I2189" i="8"/>
  <c r="F3486" i="8"/>
  <c r="I3486" i="8"/>
  <c r="H3486" i="8"/>
  <c r="F2141" i="8"/>
  <c r="I2141" i="8"/>
  <c r="H2141" i="8"/>
  <c r="F2550" i="8"/>
  <c r="I2550" i="8"/>
  <c r="H2550" i="8"/>
  <c r="F3005" i="8"/>
  <c r="H3005" i="8"/>
  <c r="I3005" i="8"/>
  <c r="F2149" i="8"/>
  <c r="I2149" i="8"/>
  <c r="H2149" i="8"/>
  <c r="F2974" i="8"/>
  <c r="H2974" i="8"/>
  <c r="I2974" i="8"/>
  <c r="F2835" i="8"/>
  <c r="H2835" i="8"/>
  <c r="I2835" i="8"/>
  <c r="F3079" i="8"/>
  <c r="H3079" i="8"/>
  <c r="I3079" i="8"/>
  <c r="F3087" i="8"/>
  <c r="I3087" i="8"/>
  <c r="H3087" i="8"/>
  <c r="F2388" i="8"/>
  <c r="H2388" i="8"/>
  <c r="I2388" i="8"/>
  <c r="F2510" i="8"/>
  <c r="H2510" i="8"/>
  <c r="I2510" i="8"/>
  <c r="F2060" i="8"/>
  <c r="H2060" i="8"/>
  <c r="I2060" i="8"/>
  <c r="F2863" i="8"/>
  <c r="I2863" i="8"/>
  <c r="H2863" i="8"/>
  <c r="F3274" i="8"/>
  <c r="I3274" i="8"/>
  <c r="H3274" i="8"/>
  <c r="F2913" i="8"/>
  <c r="I2913" i="8"/>
  <c r="H2913" i="8"/>
  <c r="F3103" i="8"/>
  <c r="I3103" i="8"/>
  <c r="H3103" i="8"/>
  <c r="F2342" i="8"/>
  <c r="H2342" i="8"/>
  <c r="I2342" i="8"/>
  <c r="F2811" i="8"/>
  <c r="H2811" i="8"/>
  <c r="I2811" i="8"/>
  <c r="F3478" i="8"/>
  <c r="I3478" i="8"/>
  <c r="H3478" i="8"/>
  <c r="F2314" i="8"/>
  <c r="I2314" i="8"/>
  <c r="H2314" i="8"/>
  <c r="F2756" i="8"/>
  <c r="I2756" i="8"/>
  <c r="H2756" i="8"/>
  <c r="F2643" i="8"/>
  <c r="I2643" i="8"/>
  <c r="H2643" i="8"/>
  <c r="F2800" i="8"/>
  <c r="H2800" i="8"/>
  <c r="I2800" i="8"/>
  <c r="F2292" i="8"/>
  <c r="I2292" i="8"/>
  <c r="H2292" i="8"/>
  <c r="F3105" i="8"/>
  <c r="H3105" i="8"/>
  <c r="I3105" i="8"/>
  <c r="F2403" i="8"/>
  <c r="I2403" i="8"/>
  <c r="H2403" i="8"/>
  <c r="F3126" i="8"/>
  <c r="H3126" i="8"/>
  <c r="I3126" i="8"/>
  <c r="F2036" i="8"/>
  <c r="H2036" i="8"/>
  <c r="I2036" i="8"/>
  <c r="F2028" i="8"/>
  <c r="I2028" i="8"/>
  <c r="H2028" i="8"/>
  <c r="F2734" i="8"/>
  <c r="I2734" i="8"/>
  <c r="H2734" i="8"/>
  <c r="F3430" i="8"/>
  <c r="H3430" i="8"/>
  <c r="I3430" i="8"/>
  <c r="F2306" i="8"/>
  <c r="I2306" i="8"/>
  <c r="H2306" i="8"/>
  <c r="F2727" i="8"/>
  <c r="H2727" i="8"/>
  <c r="I2727" i="8"/>
  <c r="F3275" i="8"/>
  <c r="H3275" i="8"/>
  <c r="I3275" i="8"/>
  <c r="F2358" i="8"/>
  <c r="H2358" i="8"/>
  <c r="I2358" i="8"/>
  <c r="F2646" i="8"/>
  <c r="H2646" i="8"/>
  <c r="I2646" i="8"/>
  <c r="F2181" i="8"/>
  <c r="I2181" i="8"/>
  <c r="H2181" i="8"/>
  <c r="F48" i="7"/>
  <c r="Q48" i="7" s="1"/>
  <c r="F217" i="6"/>
  <c r="Q217" i="6" s="1"/>
  <c r="F216" i="6"/>
  <c r="Q216" i="6" s="1"/>
  <c r="F26" i="7"/>
  <c r="Q26" i="7" s="1"/>
  <c r="F395" i="6"/>
  <c r="Q395" i="6" s="1"/>
  <c r="F475" i="6"/>
  <c r="Q475" i="6" s="1"/>
  <c r="F297" i="8"/>
  <c r="F2914" i="8"/>
  <c r="F420" i="6"/>
  <c r="Q420" i="6" s="1"/>
  <c r="F158" i="6"/>
  <c r="Q158" i="6" s="1"/>
  <c r="F146" i="6"/>
  <c r="Q146" i="6" s="1"/>
  <c r="F71" i="6"/>
  <c r="Q71" i="6" s="1"/>
  <c r="F243" i="6"/>
  <c r="Q243" i="6" s="1"/>
  <c r="F748" i="8"/>
  <c r="H748" i="8"/>
  <c r="I748" i="8"/>
  <c r="F2442" i="8"/>
  <c r="I2442" i="8"/>
  <c r="H2442" i="8"/>
  <c r="F1589" i="8"/>
  <c r="I1589" i="8"/>
  <c r="H1589" i="8"/>
  <c r="F609" i="8"/>
  <c r="H609" i="8"/>
  <c r="I609" i="8"/>
  <c r="F2249" i="8"/>
  <c r="I2249" i="8"/>
  <c r="H2249" i="8"/>
  <c r="F3163" i="8"/>
  <c r="H3163" i="8"/>
  <c r="I3163" i="8"/>
  <c r="F1225" i="8"/>
  <c r="H1225" i="8"/>
  <c r="I1225" i="8"/>
  <c r="F2074" i="8"/>
  <c r="I2074" i="8"/>
  <c r="H2074" i="8"/>
  <c r="F358" i="8"/>
  <c r="I358" i="8"/>
  <c r="H358" i="8"/>
  <c r="F1975" i="8"/>
  <c r="I1975" i="8"/>
  <c r="H1975" i="8"/>
  <c r="F454" i="8"/>
  <c r="I454" i="8"/>
  <c r="H454" i="8"/>
  <c r="F2681" i="8"/>
  <c r="I2681" i="8"/>
  <c r="H2681" i="8"/>
  <c r="F493" i="8"/>
  <c r="H493" i="8"/>
  <c r="I493" i="8"/>
  <c r="F1791" i="8"/>
  <c r="I1791" i="8"/>
  <c r="H1791" i="8"/>
  <c r="F2524" i="8"/>
  <c r="H2524" i="8"/>
  <c r="I2524" i="8"/>
  <c r="F2365" i="8"/>
  <c r="I2365" i="8"/>
  <c r="H2365" i="8"/>
  <c r="F2019" i="8"/>
  <c r="I2019" i="8"/>
  <c r="H2019" i="8"/>
  <c r="F1061" i="8"/>
  <c r="I1061" i="8"/>
  <c r="H1061" i="8"/>
  <c r="F2632" i="8"/>
  <c r="I2632" i="8"/>
  <c r="H2632" i="8"/>
  <c r="F2337" i="8"/>
  <c r="H2337" i="8"/>
  <c r="I2337" i="8"/>
  <c r="F2450" i="8"/>
  <c r="I2450" i="8"/>
  <c r="H2450" i="8"/>
  <c r="F1695" i="8"/>
  <c r="I1695" i="8"/>
  <c r="H1695" i="8"/>
  <c r="F2263" i="8"/>
  <c r="I2263" i="8"/>
  <c r="H2263" i="8"/>
  <c r="F1055" i="8"/>
  <c r="I1055" i="8"/>
  <c r="H1055" i="8"/>
  <c r="F2331" i="8"/>
  <c r="H2331" i="8"/>
  <c r="I2331" i="8"/>
  <c r="F2508" i="8"/>
  <c r="I2508" i="8"/>
  <c r="H2508" i="8"/>
  <c r="F2361" i="8"/>
  <c r="I2361" i="8"/>
  <c r="H2361" i="8"/>
  <c r="F2123" i="8"/>
  <c r="H2123" i="8"/>
  <c r="I2123" i="8"/>
  <c r="F2391" i="8"/>
  <c r="I2391" i="8"/>
  <c r="H2391" i="8"/>
  <c r="F1639" i="8"/>
  <c r="I1639" i="8"/>
  <c r="H1639" i="8"/>
  <c r="F1559" i="8"/>
  <c r="H1559" i="8"/>
  <c r="I1559" i="8"/>
  <c r="F3177" i="8"/>
  <c r="I3177" i="8"/>
  <c r="H3177" i="8"/>
  <c r="F1712" i="8"/>
  <c r="H1712" i="8"/>
  <c r="I1712" i="8"/>
  <c r="F1687" i="8"/>
  <c r="H1687" i="8"/>
  <c r="I1687" i="8"/>
  <c r="F2588" i="8"/>
  <c r="I2588" i="8"/>
  <c r="H2588" i="8"/>
  <c r="F2360" i="8"/>
  <c r="I2360" i="8"/>
  <c r="H2360" i="8"/>
  <c r="F2827" i="8"/>
  <c r="I2827" i="8"/>
  <c r="H2827" i="8"/>
  <c r="F950" i="8"/>
  <c r="I950" i="8"/>
  <c r="H950" i="8"/>
  <c r="F2376" i="8"/>
  <c r="H2376" i="8"/>
  <c r="I2376" i="8"/>
  <c r="F1743" i="8"/>
  <c r="I1743" i="8"/>
  <c r="H1743" i="8"/>
  <c r="F2345" i="8"/>
  <c r="H2345" i="8"/>
  <c r="I2345" i="8"/>
  <c r="F57" i="8"/>
  <c r="I57" i="8"/>
  <c r="H57" i="8"/>
  <c r="F3199" i="8"/>
  <c r="H3199" i="8"/>
  <c r="I3199" i="8"/>
  <c r="F2066" i="8"/>
  <c r="I2066" i="8"/>
  <c r="H2066" i="8"/>
  <c r="F1696" i="8"/>
  <c r="I1696" i="8"/>
  <c r="H1696" i="8"/>
  <c r="F1830" i="8"/>
  <c r="I1830" i="8"/>
  <c r="H1830" i="8"/>
  <c r="F523" i="8"/>
  <c r="I523" i="8"/>
  <c r="H523" i="8"/>
  <c r="F1383" i="8"/>
  <c r="H1383" i="8"/>
  <c r="I1383" i="8"/>
  <c r="F2233" i="8"/>
  <c r="H2233" i="8"/>
  <c r="I2233" i="8"/>
  <c r="F1735" i="8"/>
  <c r="I1735" i="8"/>
  <c r="H1735" i="8"/>
  <c r="F1808" i="8"/>
  <c r="H1808" i="8"/>
  <c r="I1808" i="8"/>
  <c r="F1775" i="8"/>
  <c r="I1775" i="8"/>
  <c r="H1775" i="8"/>
  <c r="F1934" i="8"/>
  <c r="H1934" i="8"/>
  <c r="I1934" i="8"/>
  <c r="F1488" i="8"/>
  <c r="I1488" i="8"/>
  <c r="H1488" i="8"/>
  <c r="F1303" i="8"/>
  <c r="I1303" i="8"/>
  <c r="H1303" i="8"/>
  <c r="F2773" i="8"/>
  <c r="H2773" i="8"/>
  <c r="I2773" i="8"/>
  <c r="F2505" i="8"/>
  <c r="I2505" i="8"/>
  <c r="H2505" i="8"/>
  <c r="F2580" i="8"/>
  <c r="I2580" i="8"/>
  <c r="H2580" i="8"/>
  <c r="F139" i="8"/>
  <c r="H139" i="8"/>
  <c r="I139" i="8"/>
  <c r="F2669" i="8"/>
  <c r="I2669" i="8"/>
  <c r="H2669" i="8"/>
  <c r="F2421" i="8"/>
  <c r="I2421" i="8"/>
  <c r="H2421" i="8"/>
  <c r="F1752" i="8"/>
  <c r="I1752" i="8"/>
  <c r="H1752" i="8"/>
  <c r="F1942" i="8"/>
  <c r="H1942" i="8"/>
  <c r="I1942" i="8"/>
  <c r="F3192" i="8"/>
  <c r="I3192" i="8"/>
  <c r="H3192" i="8"/>
  <c r="F481" i="8"/>
  <c r="I481" i="8"/>
  <c r="H481" i="8"/>
  <c r="F1736" i="8"/>
  <c r="I1736" i="8"/>
  <c r="H1736" i="8"/>
  <c r="F2649" i="8"/>
  <c r="H2649" i="8"/>
  <c r="I2649" i="8"/>
  <c r="F2248" i="8"/>
  <c r="I2248" i="8"/>
  <c r="H2248" i="8"/>
  <c r="F2640" i="8"/>
  <c r="H2640" i="8"/>
  <c r="I2640" i="8"/>
  <c r="F2271" i="8"/>
  <c r="I2271" i="8"/>
  <c r="H2271" i="8"/>
  <c r="F2026" i="8"/>
  <c r="I2026" i="8"/>
  <c r="H2026" i="8"/>
  <c r="F829" i="8"/>
  <c r="I829" i="8"/>
  <c r="H829" i="8"/>
  <c r="F470" i="8"/>
  <c r="I470" i="8"/>
  <c r="H470" i="8"/>
  <c r="F2664" i="8"/>
  <c r="I2664" i="8"/>
  <c r="H2664" i="8"/>
  <c r="F3155" i="8"/>
  <c r="H3155" i="8"/>
  <c r="I3155" i="8"/>
  <c r="F1507" i="8"/>
  <c r="I1507" i="8"/>
  <c r="H1507" i="8"/>
  <c r="F1597" i="8"/>
  <c r="I1597" i="8"/>
  <c r="H1597" i="8"/>
  <c r="F835" i="8"/>
  <c r="H835" i="8"/>
  <c r="I835" i="8"/>
  <c r="F625" i="8"/>
  <c r="I625" i="8"/>
  <c r="H625" i="8"/>
  <c r="F2661" i="8"/>
  <c r="H2661" i="8"/>
  <c r="I2661" i="8"/>
  <c r="F2140" i="8"/>
  <c r="I2140" i="8"/>
  <c r="H2140" i="8"/>
  <c r="F2466" i="8"/>
  <c r="H2466" i="8"/>
  <c r="I2466" i="8"/>
  <c r="F2268" i="8"/>
  <c r="H2268" i="8"/>
  <c r="I2268" i="8"/>
  <c r="F2280" i="8"/>
  <c r="I2280" i="8"/>
  <c r="H2280" i="8"/>
  <c r="F946" i="8"/>
  <c r="I946" i="8"/>
  <c r="H946" i="8"/>
  <c r="F1783" i="8"/>
  <c r="H1783" i="8"/>
  <c r="I1783" i="8"/>
  <c r="F1711" i="8"/>
  <c r="H1711" i="8"/>
  <c r="I1711" i="8"/>
  <c r="F387" i="8"/>
  <c r="I387" i="8"/>
  <c r="H387" i="8"/>
  <c r="F2287" i="8"/>
  <c r="I2287" i="8"/>
  <c r="H2287" i="8"/>
  <c r="F2042" i="8"/>
  <c r="H2042" i="8"/>
  <c r="I2042" i="8"/>
  <c r="F1437" i="8"/>
  <c r="I1437" i="8"/>
  <c r="H1437" i="8"/>
  <c r="F1021" i="8"/>
  <c r="H1021" i="8"/>
  <c r="I1021" i="8"/>
  <c r="F1759" i="8"/>
  <c r="I1759" i="8"/>
  <c r="H1759" i="8"/>
  <c r="F1950" i="8"/>
  <c r="I1950" i="8"/>
  <c r="H1950" i="8"/>
  <c r="F2556" i="8"/>
  <c r="I2556" i="8"/>
  <c r="H2556" i="8"/>
  <c r="F1655" i="8"/>
  <c r="I1655" i="8"/>
  <c r="H1655" i="8"/>
  <c r="F1679" i="8"/>
  <c r="I1679" i="8"/>
  <c r="H1679" i="8"/>
  <c r="F2179" i="8"/>
  <c r="I2179" i="8"/>
  <c r="H2179" i="8"/>
  <c r="F536" i="8"/>
  <c r="I536" i="8"/>
  <c r="H536" i="8"/>
  <c r="F2018" i="8"/>
  <c r="I2018" i="8"/>
  <c r="H2018" i="8"/>
  <c r="F2445" i="8"/>
  <c r="H2445" i="8"/>
  <c r="I2445" i="8"/>
  <c r="F2572" i="8"/>
  <c r="I2572" i="8"/>
  <c r="H2572" i="8"/>
  <c r="F2063" i="8"/>
  <c r="H2063" i="8"/>
  <c r="I2063" i="8"/>
  <c r="F1784" i="8"/>
  <c r="H1784" i="8"/>
  <c r="I1784" i="8"/>
  <c r="F439" i="8"/>
  <c r="H439" i="8"/>
  <c r="I439" i="8"/>
  <c r="F591" i="8"/>
  <c r="I591" i="8"/>
  <c r="H591" i="8"/>
  <c r="F1616" i="8"/>
  <c r="H1616" i="8"/>
  <c r="I1616" i="8"/>
  <c r="F1615" i="8"/>
  <c r="I1615" i="8"/>
  <c r="H1615" i="8"/>
  <c r="F2171" i="8"/>
  <c r="I2171" i="8"/>
  <c r="H2171" i="8"/>
  <c r="F807" i="8"/>
  <c r="H807" i="8"/>
  <c r="I807" i="8"/>
  <c r="F776" i="8"/>
  <c r="I776" i="8"/>
  <c r="H776" i="8"/>
  <c r="F2101" i="8"/>
  <c r="I2101" i="8"/>
  <c r="H2101" i="8"/>
  <c r="F2548" i="8"/>
  <c r="H2548" i="8"/>
  <c r="I2548" i="8"/>
  <c r="F292" i="8"/>
  <c r="I292" i="8"/>
  <c r="H292" i="8"/>
  <c r="F2204" i="8"/>
  <c r="H2204" i="8"/>
  <c r="I2204" i="8"/>
  <c r="F2043" i="8"/>
  <c r="I2043" i="8"/>
  <c r="H2043" i="8"/>
  <c r="F1751" i="8"/>
  <c r="I1751" i="8"/>
  <c r="H1751" i="8"/>
  <c r="F2071" i="8"/>
  <c r="H2071" i="8"/>
  <c r="I2071" i="8"/>
  <c r="F2429" i="8"/>
  <c r="I2429" i="8"/>
  <c r="H2429" i="8"/>
  <c r="F1624" i="8"/>
  <c r="H1624" i="8"/>
  <c r="I1624" i="8"/>
  <c r="F1056" i="8"/>
  <c r="H1056" i="8"/>
  <c r="I1056" i="8"/>
  <c r="F1062" i="8"/>
  <c r="H1062" i="8"/>
  <c r="I1062" i="8"/>
  <c r="F2810" i="8"/>
  <c r="I2810" i="8"/>
  <c r="H2810" i="8"/>
  <c r="F2513" i="8"/>
  <c r="H2513" i="8"/>
  <c r="I2513" i="8"/>
  <c r="F799" i="8"/>
  <c r="H799" i="8"/>
  <c r="I799" i="8"/>
  <c r="F3016" i="8"/>
  <c r="H3016" i="8"/>
  <c r="I3016" i="8"/>
  <c r="F1799" i="8"/>
  <c r="H1799" i="8"/>
  <c r="I1799" i="8"/>
  <c r="F2079" i="8"/>
  <c r="I2079" i="8"/>
  <c r="H2079" i="8"/>
  <c r="F1581" i="8"/>
  <c r="H1581" i="8"/>
  <c r="I1581" i="8"/>
  <c r="F2288" i="8"/>
  <c r="H2288" i="8"/>
  <c r="I2288" i="8"/>
  <c r="F689" i="8"/>
  <c r="H689" i="8"/>
  <c r="I689" i="8"/>
  <c r="F2163" i="8"/>
  <c r="I2163" i="8"/>
  <c r="H2163" i="8"/>
  <c r="F795" i="8"/>
  <c r="H795" i="8"/>
  <c r="I795" i="8"/>
  <c r="F754" i="8"/>
  <c r="H754" i="8"/>
  <c r="I754" i="8"/>
  <c r="F2010" i="8"/>
  <c r="I2010" i="8"/>
  <c r="H2010" i="8"/>
  <c r="F697" i="8"/>
  <c r="I697" i="8"/>
  <c r="H697" i="8"/>
  <c r="F2279" i="8"/>
  <c r="H2279" i="8"/>
  <c r="I2279" i="8"/>
  <c r="F60" i="8"/>
  <c r="I60" i="8"/>
  <c r="H60" i="8"/>
  <c r="F783" i="8"/>
  <c r="H783" i="8"/>
  <c r="I783" i="8"/>
  <c r="F2532" i="8"/>
  <c r="H2532" i="8"/>
  <c r="I2532" i="8"/>
  <c r="F1456" i="8"/>
  <c r="H1456" i="8"/>
  <c r="I1456" i="8"/>
  <c r="F1908" i="8"/>
  <c r="I1908" i="8"/>
  <c r="H1908" i="8"/>
  <c r="F673" i="8"/>
  <c r="H673" i="8"/>
  <c r="I673" i="8"/>
  <c r="F3287" i="8"/>
  <c r="H3287" i="8"/>
  <c r="I3287" i="8"/>
  <c r="F1656" i="8"/>
  <c r="I1656" i="8"/>
  <c r="H1656" i="8"/>
  <c r="F1593" i="8"/>
  <c r="I1593" i="8"/>
  <c r="H1593" i="8"/>
  <c r="F1820" i="8"/>
  <c r="I1820" i="8"/>
  <c r="H1820" i="8"/>
  <c r="F770" i="8"/>
  <c r="I770" i="8"/>
  <c r="H770" i="8"/>
  <c r="F2516" i="8"/>
  <c r="I2516" i="8"/>
  <c r="H2516" i="8"/>
  <c r="F1526" i="8"/>
  <c r="I1526" i="8"/>
  <c r="H1526" i="8"/>
  <c r="F2672" i="8"/>
  <c r="H2672" i="8"/>
  <c r="I2672" i="8"/>
  <c r="F843" i="8"/>
  <c r="I843" i="8"/>
  <c r="H843" i="8"/>
  <c r="F657" i="8"/>
  <c r="H657" i="8"/>
  <c r="I657" i="8"/>
  <c r="F705" i="8"/>
  <c r="H705" i="8"/>
  <c r="I705" i="8"/>
  <c r="F3242" i="8"/>
  <c r="I3242" i="8"/>
  <c r="H3242" i="8"/>
  <c r="F2256" i="8"/>
  <c r="H2256" i="8"/>
  <c r="I2256" i="8"/>
  <c r="F747" i="8"/>
  <c r="H747" i="8"/>
  <c r="I747" i="8"/>
  <c r="F1971" i="8"/>
  <c r="I1971" i="8"/>
  <c r="H1971" i="8"/>
  <c r="F2086" i="8"/>
  <c r="H2086" i="8"/>
  <c r="I2086" i="8"/>
  <c r="F2437" i="8"/>
  <c r="I2437" i="8"/>
  <c r="H2437" i="8"/>
  <c r="F2657" i="8"/>
  <c r="I2657" i="8"/>
  <c r="H2657" i="8"/>
  <c r="F1999" i="8"/>
  <c r="H1999" i="8"/>
  <c r="I1999" i="8"/>
  <c r="F1720" i="8"/>
  <c r="H1720" i="8"/>
  <c r="I1720" i="8"/>
  <c r="F803" i="8"/>
  <c r="I803" i="8"/>
  <c r="H803" i="8"/>
  <c r="F2002" i="8"/>
  <c r="I2002" i="8"/>
  <c r="H2002" i="8"/>
  <c r="F726" i="8"/>
  <c r="I726" i="8"/>
  <c r="H726" i="8"/>
  <c r="F848" i="8"/>
  <c r="H848" i="8"/>
  <c r="I848" i="8"/>
  <c r="F1807" i="8"/>
  <c r="H1807" i="8"/>
  <c r="I1807" i="8"/>
  <c r="F1127" i="8"/>
  <c r="I1127" i="8"/>
  <c r="H1127" i="8"/>
  <c r="F3475" i="8"/>
  <c r="I3475" i="8"/>
  <c r="H3475" i="8"/>
  <c r="F1978" i="8"/>
  <c r="I1978" i="8"/>
  <c r="H1978" i="8"/>
  <c r="F649" i="8"/>
  <c r="H649" i="8"/>
  <c r="I649" i="8"/>
  <c r="F681" i="8"/>
  <c r="H681" i="8"/>
  <c r="I681" i="8"/>
  <c r="F2485" i="8"/>
  <c r="H2485" i="8"/>
  <c r="I2485" i="8"/>
  <c r="F469" i="8"/>
  <c r="H469" i="8"/>
  <c r="I469" i="8"/>
  <c r="F1089" i="8"/>
  <c r="H1089" i="8"/>
  <c r="I1089" i="8"/>
  <c r="F1188" i="8"/>
  <c r="H1188" i="8"/>
  <c r="I1188" i="8"/>
  <c r="F665" i="8"/>
  <c r="H665" i="8"/>
  <c r="I665" i="8"/>
  <c r="F761" i="8"/>
  <c r="I761" i="8"/>
  <c r="H761" i="8"/>
  <c r="F1823" i="8"/>
  <c r="I1823" i="8"/>
  <c r="H1823" i="8"/>
  <c r="F2353" i="8"/>
  <c r="H2353" i="8"/>
  <c r="I2353" i="8"/>
  <c r="F2397" i="8"/>
  <c r="H2397" i="8"/>
  <c r="I2397" i="8"/>
  <c r="F2225" i="8"/>
  <c r="H2225" i="8"/>
  <c r="I2225" i="8"/>
  <c r="F1719" i="8"/>
  <c r="I1719" i="8"/>
  <c r="H1719" i="8"/>
  <c r="F2272" i="8"/>
  <c r="I2272" i="8"/>
  <c r="H2272" i="8"/>
  <c r="F1496" i="8"/>
  <c r="I1496" i="8"/>
  <c r="H1496" i="8"/>
  <c r="F2047" i="8"/>
  <c r="H2047" i="8"/>
  <c r="I2047" i="8"/>
  <c r="F2418" i="8"/>
  <c r="I2418" i="8"/>
  <c r="H2418" i="8"/>
  <c r="F1916" i="8"/>
  <c r="H1916" i="8"/>
  <c r="I1916" i="8"/>
  <c r="F1084" i="8"/>
  <c r="H1084" i="8"/>
  <c r="I1084" i="8"/>
  <c r="G2837" i="5"/>
  <c r="R2837" i="5" s="1"/>
  <c r="I2914" i="8"/>
  <c r="G3569" i="5"/>
  <c r="R3569" i="5" s="1"/>
  <c r="G4442" i="5"/>
  <c r="R4442" i="5" s="1"/>
  <c r="G4387" i="5"/>
  <c r="R4387" i="5" s="1"/>
  <c r="G4676" i="5"/>
  <c r="R4676" i="5" s="1"/>
  <c r="G3588" i="5"/>
  <c r="R3588" i="5" s="1"/>
  <c r="G7510" i="5"/>
  <c r="R7510" i="5" s="1"/>
  <c r="G2979" i="5"/>
  <c r="R2979" i="5" s="1"/>
  <c r="G6141" i="5"/>
  <c r="R6141" i="5" s="1"/>
  <c r="G4385" i="5"/>
  <c r="R4385" i="5" s="1"/>
  <c r="G6341" i="5"/>
  <c r="R6341" i="5" s="1"/>
  <c r="G4664" i="5"/>
  <c r="R4664" i="5" s="1"/>
  <c r="G4279" i="5"/>
  <c r="R4279" i="5" s="1"/>
  <c r="G4625" i="5"/>
  <c r="R4625" i="5" s="1"/>
  <c r="F739" i="8"/>
  <c r="H739" i="8"/>
  <c r="I739" i="8"/>
  <c r="F1434" i="8"/>
  <c r="I1434" i="8"/>
  <c r="H1434" i="8"/>
  <c r="F1403" i="8"/>
  <c r="H1403" i="8"/>
  <c r="I1403" i="8"/>
  <c r="F1988" i="8"/>
  <c r="I1988" i="8"/>
  <c r="H1988" i="8"/>
  <c r="F2157" i="8"/>
  <c r="I2157" i="8"/>
  <c r="H2157" i="8"/>
  <c r="F684" i="8"/>
  <c r="I684" i="8"/>
  <c r="H684" i="8"/>
  <c r="F3171" i="8"/>
  <c r="H3171" i="8"/>
  <c r="I3171" i="8"/>
  <c r="F1497" i="8"/>
  <c r="I1497" i="8"/>
  <c r="H1497" i="8"/>
  <c r="F1490" i="8"/>
  <c r="I1490" i="8"/>
  <c r="H1490" i="8"/>
  <c r="F668" i="8"/>
  <c r="I668" i="8"/>
  <c r="H668" i="8"/>
  <c r="F547" i="8"/>
  <c r="H547" i="8"/>
  <c r="I547" i="8"/>
  <c r="F1350" i="8"/>
  <c r="I1350" i="8"/>
  <c r="H1350" i="8"/>
  <c r="F2407" i="8"/>
  <c r="I2407" i="8"/>
  <c r="H2407" i="8"/>
  <c r="F1649" i="8"/>
  <c r="H1649" i="8"/>
  <c r="I1649" i="8"/>
  <c r="F1633" i="8"/>
  <c r="I1633" i="8"/>
  <c r="H1633" i="8"/>
  <c r="F1590" i="8"/>
  <c r="H1590" i="8"/>
  <c r="I1590" i="8"/>
  <c r="F1455" i="8"/>
  <c r="H1455" i="8"/>
  <c r="I1455" i="8"/>
  <c r="F1012" i="8"/>
  <c r="H1012" i="8"/>
  <c r="I1012" i="8"/>
  <c r="F2751" i="8"/>
  <c r="I2751" i="8"/>
  <c r="H2751" i="8"/>
  <c r="F1108" i="8"/>
  <c r="I1108" i="8"/>
  <c r="H1108" i="8"/>
  <c r="F1463" i="8"/>
  <c r="I1463" i="8"/>
  <c r="H1463" i="8"/>
  <c r="F398" i="8"/>
  <c r="I398" i="8"/>
  <c r="H398" i="8"/>
  <c r="F1617" i="8"/>
  <c r="I1617" i="8"/>
  <c r="H1617" i="8"/>
  <c r="F1431" i="8"/>
  <c r="I1431" i="8"/>
  <c r="H1431" i="8"/>
  <c r="F1517" i="8"/>
  <c r="H1517" i="8"/>
  <c r="I1517" i="8"/>
  <c r="F1439" i="8"/>
  <c r="H1439" i="8"/>
  <c r="I1439" i="8"/>
  <c r="F2068" i="8"/>
  <c r="I2068" i="8"/>
  <c r="H2068" i="8"/>
  <c r="F1447" i="8"/>
  <c r="I1447" i="8"/>
  <c r="H1447" i="8"/>
  <c r="F655" i="8"/>
  <c r="I655" i="8"/>
  <c r="H655" i="8"/>
  <c r="F636" i="8"/>
  <c r="I636" i="8"/>
  <c r="H636" i="8"/>
  <c r="F2213" i="8"/>
  <c r="H2213" i="8"/>
  <c r="I2213" i="8"/>
  <c r="F1313" i="8"/>
  <c r="H1313" i="8"/>
  <c r="I1313" i="8"/>
  <c r="F1487" i="8"/>
  <c r="I1487" i="8"/>
  <c r="H1487" i="8"/>
  <c r="F2102" i="8"/>
  <c r="I2102" i="8"/>
  <c r="H2102" i="8"/>
  <c r="F2020" i="8"/>
  <c r="I2020" i="8"/>
  <c r="H2020" i="8"/>
  <c r="F1541" i="8"/>
  <c r="H1541" i="8"/>
  <c r="I1541" i="8"/>
  <c r="F2888" i="8"/>
  <c r="H2888" i="8"/>
  <c r="I2888" i="8"/>
  <c r="F2197" i="8"/>
  <c r="I2197" i="8"/>
  <c r="H2197" i="8"/>
  <c r="F2117" i="8"/>
  <c r="H2117" i="8"/>
  <c r="I2117" i="8"/>
  <c r="F2076" i="8"/>
  <c r="H2076" i="8"/>
  <c r="I2076" i="8"/>
  <c r="F2961" i="8"/>
  <c r="I2961" i="8"/>
  <c r="H2961" i="8"/>
  <c r="F550" i="8"/>
  <c r="H550" i="8"/>
  <c r="I550" i="8"/>
  <c r="F660" i="8"/>
  <c r="I660" i="8"/>
  <c r="H660" i="8"/>
  <c r="F679" i="8"/>
  <c r="I679" i="8"/>
  <c r="H679" i="8"/>
  <c r="F555" i="8"/>
  <c r="I555" i="8"/>
  <c r="H555" i="8"/>
  <c r="F1080" i="8"/>
  <c r="I1080" i="8"/>
  <c r="H1080" i="8"/>
  <c r="F2125" i="8"/>
  <c r="H2125" i="8"/>
  <c r="I2125" i="8"/>
  <c r="F708" i="8"/>
  <c r="H708" i="8"/>
  <c r="I708" i="8"/>
  <c r="F1996" i="8"/>
  <c r="I1996" i="8"/>
  <c r="H1996" i="8"/>
  <c r="F1466" i="8"/>
  <c r="H1466" i="8"/>
  <c r="I1466" i="8"/>
  <c r="F1388" i="8"/>
  <c r="I1388" i="8"/>
  <c r="H1388" i="8"/>
  <c r="F2173" i="8"/>
  <c r="I2173" i="8"/>
  <c r="H2173" i="8"/>
  <c r="F531" i="8"/>
  <c r="I531" i="8"/>
  <c r="H531" i="8"/>
  <c r="F425" i="8"/>
  <c r="H425" i="8"/>
  <c r="I425" i="8"/>
  <c r="F1558" i="8"/>
  <c r="I1558" i="8"/>
  <c r="H1558" i="8"/>
  <c r="F1450" i="8"/>
  <c r="I1450" i="8"/>
  <c r="H1450" i="8"/>
  <c r="F2133" i="8"/>
  <c r="I2133" i="8"/>
  <c r="H2133" i="8"/>
  <c r="F628" i="8"/>
  <c r="H628" i="8"/>
  <c r="I628" i="8"/>
  <c r="F2094" i="8"/>
  <c r="H2094" i="8"/>
  <c r="I2094" i="8"/>
  <c r="F2584" i="8"/>
  <c r="H2584" i="8"/>
  <c r="I2584" i="8"/>
  <c r="F1939" i="8"/>
  <c r="I1939" i="8"/>
  <c r="H1939" i="8"/>
  <c r="H2389" i="8"/>
  <c r="F2389" i="8"/>
  <c r="I2389" i="8"/>
  <c r="F2592" i="8"/>
  <c r="H2592" i="8"/>
  <c r="I2592" i="8"/>
  <c r="F2162" i="8"/>
  <c r="I2162" i="8"/>
  <c r="H2162" i="8"/>
  <c r="F2237" i="8"/>
  <c r="H2237" i="8"/>
  <c r="I2237" i="8"/>
  <c r="F2387" i="8"/>
  <c r="I2387" i="8"/>
  <c r="H2387" i="8"/>
  <c r="F2536" i="8"/>
  <c r="I2536" i="8"/>
  <c r="H2536" i="8"/>
  <c r="F2554" i="8"/>
  <c r="H2554" i="8"/>
  <c r="I2554" i="8"/>
  <c r="F3129" i="8"/>
  <c r="I3129" i="8"/>
  <c r="H3129" i="8"/>
  <c r="F2782" i="8"/>
  <c r="I2782" i="8"/>
  <c r="H2782" i="8"/>
  <c r="F485" i="8"/>
  <c r="H485" i="8"/>
  <c r="I485" i="8"/>
  <c r="F2705" i="8"/>
  <c r="H2705" i="8"/>
  <c r="I2705" i="8"/>
  <c r="F498" i="8"/>
  <c r="I498" i="8"/>
  <c r="H498" i="8"/>
  <c r="F2481" i="8"/>
  <c r="I2481" i="8"/>
  <c r="H2481" i="8"/>
  <c r="F990" i="8"/>
  <c r="I990" i="8"/>
  <c r="H990" i="8"/>
  <c r="F2560" i="8"/>
  <c r="I2560" i="8"/>
  <c r="H2560" i="8"/>
  <c r="F2247" i="8"/>
  <c r="I2247" i="8"/>
  <c r="H2247" i="8"/>
  <c r="F2441" i="8"/>
  <c r="H2441" i="8"/>
  <c r="I2441" i="8"/>
  <c r="F1959" i="8"/>
  <c r="I1959" i="8"/>
  <c r="H1959" i="8"/>
  <c r="F2514" i="8"/>
  <c r="H2514" i="8"/>
  <c r="I2514" i="8"/>
  <c r="F2433" i="8"/>
  <c r="H2433" i="8"/>
  <c r="I2433" i="8"/>
  <c r="F1542" i="8"/>
  <c r="I1542" i="8"/>
  <c r="H1542" i="8"/>
  <c r="F3073" i="8"/>
  <c r="H3073" i="8"/>
  <c r="I3073" i="8"/>
  <c r="F1440" i="8"/>
  <c r="H1440" i="8"/>
  <c r="I1440" i="8"/>
  <c r="F2568" i="8"/>
  <c r="H2568" i="8"/>
  <c r="I2568" i="8"/>
  <c r="F1585" i="8"/>
  <c r="H1585" i="8"/>
  <c r="I1585" i="8"/>
  <c r="F3057" i="8"/>
  <c r="I3057" i="8"/>
  <c r="H3057" i="8"/>
  <c r="F2522" i="8"/>
  <c r="I2522" i="8"/>
  <c r="H2522" i="8"/>
  <c r="F816" i="8"/>
  <c r="I816" i="8"/>
  <c r="H816" i="8"/>
  <c r="F2712" i="8"/>
  <c r="H2712" i="8"/>
  <c r="I2712" i="8"/>
  <c r="F3173" i="8"/>
  <c r="H3173" i="8"/>
  <c r="I3173" i="8"/>
  <c r="F2666" i="8"/>
  <c r="I2666" i="8"/>
  <c r="H2666" i="8"/>
  <c r="F2766" i="8"/>
  <c r="H2766" i="8"/>
  <c r="I2766" i="8"/>
  <c r="F2411" i="8"/>
  <c r="I2411" i="8"/>
  <c r="H2411" i="8"/>
  <c r="F2720" i="8"/>
  <c r="H2720" i="8"/>
  <c r="I2720" i="8"/>
  <c r="F2776" i="8"/>
  <c r="I2776" i="8"/>
  <c r="H2776" i="8"/>
  <c r="F2796" i="8"/>
  <c r="I2796" i="8"/>
  <c r="H2796" i="8"/>
  <c r="F2798" i="8"/>
  <c r="I2798" i="8"/>
  <c r="H2798" i="8"/>
  <c r="F2774" i="8"/>
  <c r="H2774" i="8"/>
  <c r="I2774" i="8"/>
  <c r="F2916" i="8"/>
  <c r="I2916" i="8"/>
  <c r="H2916" i="8"/>
  <c r="F2528" i="8"/>
  <c r="I2528" i="8"/>
  <c r="H2528" i="8"/>
  <c r="F658" i="8"/>
  <c r="H658" i="8"/>
  <c r="I658" i="8"/>
  <c r="F445" i="8"/>
  <c r="H445" i="8"/>
  <c r="I445" i="8"/>
  <c r="F2749" i="8"/>
  <c r="H2749" i="8"/>
  <c r="I2749" i="8"/>
  <c r="F2544" i="8"/>
  <c r="H2544" i="8"/>
  <c r="I2544" i="8"/>
  <c r="F1983" i="8"/>
  <c r="H1983" i="8"/>
  <c r="I1983" i="8"/>
  <c r="F2754" i="8"/>
  <c r="I2754" i="8"/>
  <c r="H2754" i="8"/>
  <c r="F2245" i="8"/>
  <c r="I2245" i="8"/>
  <c r="H2245" i="8"/>
  <c r="F2457" i="8"/>
  <c r="H2457" i="8"/>
  <c r="I2457" i="8"/>
  <c r="F2578" i="8"/>
  <c r="I2578" i="8"/>
  <c r="H2578" i="8"/>
  <c r="I1932" i="8"/>
  <c r="F1932" i="8"/>
  <c r="H1932" i="8"/>
  <c r="F3166" i="8"/>
  <c r="H3166" i="8"/>
  <c r="I3166" i="8"/>
  <c r="F3065" i="8"/>
  <c r="I3065" i="8"/>
  <c r="H3065" i="8"/>
  <c r="F2419" i="8"/>
  <c r="H2419" i="8"/>
  <c r="I2419" i="8"/>
  <c r="F2475" i="8"/>
  <c r="I2475" i="8"/>
  <c r="H2475" i="8"/>
  <c r="F460" i="8"/>
  <c r="H460" i="8"/>
  <c r="I460" i="8"/>
  <c r="F3121" i="8"/>
  <c r="I3121" i="8"/>
  <c r="H3121" i="8"/>
  <c r="F1432" i="8"/>
  <c r="H1432" i="8"/>
  <c r="I1432" i="8"/>
  <c r="F1404" i="8"/>
  <c r="I1404" i="8"/>
  <c r="H1404" i="8"/>
  <c r="F1860" i="8"/>
  <c r="I1860" i="8"/>
  <c r="H1860" i="8"/>
  <c r="F3143" i="8"/>
  <c r="H3143" i="8"/>
  <c r="I3143" i="8"/>
  <c r="F2530" i="8"/>
  <c r="H2530" i="8"/>
  <c r="I2530" i="8"/>
  <c r="F2055" i="8"/>
  <c r="H2055" i="8"/>
  <c r="I2055" i="8"/>
  <c r="F2768" i="8"/>
  <c r="I2768" i="8"/>
  <c r="H2768" i="8"/>
  <c r="F2313" i="8"/>
  <c r="H2313" i="8"/>
  <c r="I2313" i="8"/>
  <c r="F2732" i="8"/>
  <c r="I2732" i="8"/>
  <c r="H2732" i="8"/>
  <c r="F2057" i="8"/>
  <c r="I2057" i="8"/>
  <c r="H2057" i="8"/>
  <c r="F2650" i="8"/>
  <c r="I2650" i="8"/>
  <c r="H2650" i="8"/>
  <c r="F2730" i="8"/>
  <c r="I2730" i="8"/>
  <c r="H2730" i="8"/>
  <c r="F1828" i="8"/>
  <c r="H1828" i="8"/>
  <c r="I1828" i="8"/>
  <c r="F1057" i="8"/>
  <c r="H1057" i="8"/>
  <c r="I1057" i="8"/>
  <c r="F2357" i="8"/>
  <c r="I2357" i="8"/>
  <c r="H2357" i="8"/>
  <c r="F740" i="8"/>
  <c r="H740" i="8"/>
  <c r="I740" i="8"/>
  <c r="F2634" i="8"/>
  <c r="H2634" i="8"/>
  <c r="I2634" i="8"/>
  <c r="I1977" i="8"/>
  <c r="F1977" i="8"/>
  <c r="H1977" i="8"/>
  <c r="F2761" i="8"/>
  <c r="H2761" i="8"/>
  <c r="I2761" i="8"/>
  <c r="F2320" i="8"/>
  <c r="H2320" i="8"/>
  <c r="I2320" i="8"/>
  <c r="F2401" i="8"/>
  <c r="I2401" i="8"/>
  <c r="H2401" i="8"/>
  <c r="F2546" i="8"/>
  <c r="I2546" i="8"/>
  <c r="H2546" i="8"/>
  <c r="F640" i="8"/>
  <c r="I640" i="8"/>
  <c r="H640" i="8"/>
  <c r="F1480" i="8"/>
  <c r="H1480" i="8"/>
  <c r="I1480" i="8"/>
  <c r="F2499" i="8"/>
  <c r="I2499" i="8"/>
  <c r="H2499" i="8"/>
  <c r="F535" i="8"/>
  <c r="I535" i="8"/>
  <c r="H535" i="8"/>
  <c r="F2658" i="8"/>
  <c r="H2658" i="8"/>
  <c r="I2658" i="8"/>
  <c r="F2864" i="8"/>
  <c r="H2864" i="8"/>
  <c r="I2864" i="8"/>
  <c r="F2417" i="8"/>
  <c r="I2417" i="8"/>
  <c r="H2417" i="8"/>
  <c r="F2328" i="8"/>
  <c r="H2328" i="8"/>
  <c r="I2328" i="8"/>
  <c r="F2409" i="8"/>
  <c r="I2409" i="8"/>
  <c r="H2409" i="8"/>
  <c r="F690" i="8"/>
  <c r="I690" i="8"/>
  <c r="H690" i="8"/>
  <c r="F1991" i="8"/>
  <c r="H1991" i="8"/>
  <c r="I1991" i="8"/>
  <c r="F1207" i="8"/>
  <c r="H1207" i="8"/>
  <c r="I1207" i="8"/>
  <c r="F2642" i="8"/>
  <c r="H2642" i="8"/>
  <c r="I2642" i="8"/>
  <c r="F2451" i="8"/>
  <c r="I2451" i="8"/>
  <c r="H2451" i="8"/>
  <c r="F437" i="8"/>
  <c r="H437" i="8"/>
  <c r="I437" i="8"/>
  <c r="F3438" i="8"/>
  <c r="I3438" i="8"/>
  <c r="H3438" i="8"/>
  <c r="F2693" i="8"/>
  <c r="I2693" i="8"/>
  <c r="H2693" i="8"/>
  <c r="F1601" i="8"/>
  <c r="I1601" i="8"/>
  <c r="H1601" i="8"/>
  <c r="F3159" i="8"/>
  <c r="H3159" i="8"/>
  <c r="I3159" i="8"/>
  <c r="F813" i="8"/>
  <c r="I813" i="8"/>
  <c r="H813" i="8"/>
  <c r="F2277" i="8"/>
  <c r="I2277" i="8"/>
  <c r="H2277" i="8"/>
  <c r="F984" i="8"/>
  <c r="H984" i="8"/>
  <c r="I984" i="8"/>
  <c r="F789" i="8"/>
  <c r="H789" i="8"/>
  <c r="I789" i="8"/>
  <c r="F2850" i="8"/>
  <c r="I2850" i="8"/>
  <c r="H2850" i="8"/>
  <c r="F20" i="8"/>
  <c r="I20" i="8"/>
  <c r="H20" i="8"/>
  <c r="F2175" i="8"/>
  <c r="I2175" i="8"/>
  <c r="H2175" i="8"/>
  <c r="F2839" i="8"/>
  <c r="H2839" i="8"/>
  <c r="I2839" i="8"/>
  <c r="F2420" i="8"/>
  <c r="I2420" i="8"/>
  <c r="H2420" i="8"/>
  <c r="F2404" i="8"/>
  <c r="I2404" i="8"/>
  <c r="H2404" i="8"/>
  <c r="F2571" i="8"/>
  <c r="H2571" i="8"/>
  <c r="I2571" i="8"/>
  <c r="F2282" i="8"/>
  <c r="H2282" i="8"/>
  <c r="I2282" i="8"/>
  <c r="F2594" i="8"/>
  <c r="H2594" i="8"/>
  <c r="I2594" i="8"/>
  <c r="F2701" i="8"/>
  <c r="I2701" i="8"/>
  <c r="H2701" i="8"/>
  <c r="F1025" i="8"/>
  <c r="I1025" i="8"/>
  <c r="H1025" i="8"/>
  <c r="F725" i="8"/>
  <c r="H725" i="8"/>
  <c r="I725" i="8"/>
  <c r="F2318" i="8"/>
  <c r="H2318" i="8"/>
  <c r="I2318" i="8"/>
  <c r="F2639" i="8"/>
  <c r="H2639" i="8"/>
  <c r="I2639" i="8"/>
  <c r="F2468" i="8"/>
  <c r="H2468" i="8"/>
  <c r="I2468" i="8"/>
  <c r="F2507" i="8"/>
  <c r="I2507" i="8"/>
  <c r="H2507" i="8"/>
  <c r="F2207" i="8"/>
  <c r="H2207" i="8"/>
  <c r="I2207" i="8"/>
  <c r="F2983" i="8"/>
  <c r="H2983" i="8"/>
  <c r="I2983" i="8"/>
  <c r="F2258" i="8"/>
  <c r="H2258" i="8"/>
  <c r="I2258" i="8"/>
  <c r="F2001" i="8"/>
  <c r="I2001" i="8"/>
  <c r="H2001" i="8"/>
  <c r="F2547" i="8"/>
  <c r="H2547" i="8"/>
  <c r="I2547" i="8"/>
  <c r="F2352" i="8"/>
  <c r="H2352" i="8"/>
  <c r="I2352" i="8"/>
  <c r="F2500" i="8"/>
  <c r="I2500" i="8"/>
  <c r="H2500" i="8"/>
  <c r="F1218" i="8"/>
  <c r="I1218" i="8"/>
  <c r="H1218" i="8"/>
  <c r="F3135" i="8"/>
  <c r="H3135" i="8"/>
  <c r="I3135" i="8"/>
  <c r="F2476" i="8"/>
  <c r="I2476" i="8"/>
  <c r="H2476" i="8"/>
  <c r="F52" i="8"/>
  <c r="H52" i="8"/>
  <c r="I52" i="8"/>
  <c r="F2383" i="8"/>
  <c r="I2383" i="8"/>
  <c r="H2383" i="8"/>
  <c r="F405" i="8"/>
  <c r="I405" i="8"/>
  <c r="H405" i="8"/>
  <c r="F2311" i="8"/>
  <c r="H2311" i="8"/>
  <c r="I2311" i="8"/>
  <c r="F1205" i="8"/>
  <c r="I1205" i="8"/>
  <c r="H1205" i="8"/>
  <c r="F805" i="8"/>
  <c r="I805" i="8"/>
  <c r="H805" i="8"/>
  <c r="F624" i="8"/>
  <c r="H624" i="8"/>
  <c r="I624" i="8"/>
  <c r="F1492" i="8"/>
  <c r="I1492" i="8"/>
  <c r="H1492" i="8"/>
  <c r="F1985" i="8"/>
  <c r="H1985" i="8"/>
  <c r="I1985" i="8"/>
  <c r="F2523" i="8"/>
  <c r="H2523" i="8"/>
  <c r="I2523" i="8"/>
  <c r="F2375" i="8"/>
  <c r="I2375" i="8"/>
  <c r="H2375" i="8"/>
  <c r="F2235" i="8"/>
  <c r="I2235" i="8"/>
  <c r="H2235" i="8"/>
  <c r="F2143" i="8"/>
  <c r="H2143" i="8"/>
  <c r="I2143" i="8"/>
  <c r="F2073" i="8"/>
  <c r="H2073" i="8"/>
  <c r="I2073" i="8"/>
  <c r="F696" i="8"/>
  <c r="H696" i="8"/>
  <c r="I696" i="8"/>
  <c r="F1603" i="8"/>
  <c r="I1603" i="8"/>
  <c r="H1603" i="8"/>
  <c r="F632" i="8"/>
  <c r="I632" i="8"/>
  <c r="H632" i="8"/>
  <c r="F680" i="8"/>
  <c r="I680" i="8"/>
  <c r="H680" i="8"/>
  <c r="F3056" i="8"/>
  <c r="I3056" i="8"/>
  <c r="H3056" i="8"/>
  <c r="F1030" i="8"/>
  <c r="H1030" i="8"/>
  <c r="I1030" i="8"/>
  <c r="F2921" i="8"/>
  <c r="H2921" i="8"/>
  <c r="I2921" i="8"/>
  <c r="F2199" i="8"/>
  <c r="H2199" i="8"/>
  <c r="I2199" i="8"/>
  <c r="F712" i="8"/>
  <c r="I712" i="8"/>
  <c r="H712" i="8"/>
  <c r="F2373" i="8"/>
  <c r="H2373" i="8"/>
  <c r="I2373" i="8"/>
  <c r="F484" i="8"/>
  <c r="I484" i="8"/>
  <c r="H484" i="8"/>
  <c r="F2515" i="8"/>
  <c r="H2515" i="8"/>
  <c r="I2515" i="8"/>
  <c r="F1563" i="8"/>
  <c r="I1563" i="8"/>
  <c r="H1563" i="8"/>
  <c r="F2412" i="8"/>
  <c r="H2412" i="8"/>
  <c r="I2412" i="8"/>
  <c r="F2227" i="8"/>
  <c r="I2227" i="8"/>
  <c r="H2227" i="8"/>
  <c r="F1961" i="8"/>
  <c r="H1961" i="8"/>
  <c r="I1961" i="8"/>
  <c r="F2065" i="8"/>
  <c r="H2065" i="8"/>
  <c r="I2065" i="8"/>
  <c r="F2778" i="8"/>
  <c r="I2778" i="8"/>
  <c r="H2778" i="8"/>
  <c r="F2167" i="8"/>
  <c r="H2167" i="8"/>
  <c r="I2167" i="8"/>
  <c r="F1406" i="8"/>
  <c r="H1406" i="8"/>
  <c r="I1406" i="8"/>
  <c r="F464" i="8"/>
  <c r="I464" i="8"/>
  <c r="H464" i="8"/>
  <c r="F648" i="8"/>
  <c r="I648" i="8"/>
  <c r="H648" i="8"/>
  <c r="F2989" i="8"/>
  <c r="H2989" i="8"/>
  <c r="I2989" i="8"/>
  <c r="F827" i="8"/>
  <c r="H827" i="8"/>
  <c r="I827" i="8"/>
  <c r="F456" i="8"/>
  <c r="H456" i="8"/>
  <c r="I456" i="8"/>
  <c r="F2539" i="8"/>
  <c r="I2539" i="8"/>
  <c r="H2539" i="8"/>
  <c r="F2308" i="8"/>
  <c r="I2308" i="8"/>
  <c r="H2308" i="8"/>
  <c r="F2274" i="8"/>
  <c r="I2274" i="8"/>
  <c r="H2274" i="8"/>
  <c r="F2366" i="8"/>
  <c r="H2366" i="8"/>
  <c r="I2366" i="8"/>
  <c r="F2847" i="8"/>
  <c r="I2847" i="8"/>
  <c r="H2847" i="8"/>
  <c r="F616" i="8"/>
  <c r="I616" i="8"/>
  <c r="H616" i="8"/>
  <c r="F2563" i="8"/>
  <c r="I2563" i="8"/>
  <c r="H2563" i="8"/>
  <c r="F2243" i="8"/>
  <c r="I2243" i="8"/>
  <c r="H2243" i="8"/>
  <c r="F2679" i="8"/>
  <c r="H2679" i="8"/>
  <c r="I2679" i="8"/>
  <c r="F2396" i="8"/>
  <c r="I2396" i="8"/>
  <c r="H2396" i="8"/>
  <c r="F2689" i="8"/>
  <c r="H2689" i="8"/>
  <c r="I2689" i="8"/>
  <c r="F2215" i="8"/>
  <c r="H2215" i="8"/>
  <c r="I2215" i="8"/>
  <c r="F489" i="8"/>
  <c r="H489" i="8"/>
  <c r="I489" i="8"/>
  <c r="F2347" i="8"/>
  <c r="H2347" i="8"/>
  <c r="I2347" i="8"/>
  <c r="F2339" i="8"/>
  <c r="H2339" i="8"/>
  <c r="I2339" i="8"/>
  <c r="F2251" i="8"/>
  <c r="I2251" i="8"/>
  <c r="H2251" i="8"/>
  <c r="F664" i="8"/>
  <c r="H664" i="8"/>
  <c r="I664" i="8"/>
  <c r="F2717" i="8"/>
  <c r="H2717" i="8"/>
  <c r="I2717" i="8"/>
  <c r="F1002" i="8"/>
  <c r="H1002" i="8"/>
  <c r="I1002" i="8"/>
  <c r="F3224" i="8"/>
  <c r="I3224" i="8"/>
  <c r="H3224" i="8"/>
  <c r="F73" i="8"/>
  <c r="H73" i="8"/>
  <c r="I73" i="8"/>
  <c r="F2355" i="8"/>
  <c r="I2355" i="8"/>
  <c r="H2355" i="8"/>
  <c r="F2154" i="8"/>
  <c r="H2154" i="8"/>
  <c r="I2154" i="8"/>
  <c r="F2191" i="8"/>
  <c r="H2191" i="8"/>
  <c r="I2191" i="8"/>
  <c r="F3195" i="8"/>
  <c r="H3195" i="8"/>
  <c r="I3195" i="8"/>
  <c r="F2970" i="8"/>
  <c r="H2970" i="8"/>
  <c r="I2970" i="8"/>
  <c r="F2336" i="8"/>
  <c r="I2336" i="8"/>
  <c r="H2336" i="8"/>
  <c r="F2300" i="8"/>
  <c r="I2300" i="8"/>
  <c r="H2300" i="8"/>
  <c r="F2587" i="8"/>
  <c r="I2587" i="8"/>
  <c r="H2587" i="8"/>
  <c r="F2344" i="8"/>
  <c r="I2344" i="8"/>
  <c r="H2344" i="8"/>
  <c r="F1595" i="8"/>
  <c r="I1595" i="8"/>
  <c r="H1595" i="8"/>
  <c r="F1372" i="8"/>
  <c r="I1372" i="8"/>
  <c r="H1372" i="8"/>
  <c r="F2151" i="8"/>
  <c r="H2151" i="8"/>
  <c r="I2151" i="8"/>
  <c r="F357" i="8"/>
  <c r="I357" i="8"/>
  <c r="H357" i="8"/>
  <c r="F516" i="6"/>
  <c r="Q516" i="6" s="1"/>
  <c r="F246" i="6"/>
  <c r="Q246" i="6" s="1"/>
  <c r="F441" i="6"/>
  <c r="Q441" i="6" s="1"/>
  <c r="F39" i="7"/>
  <c r="Q39" i="7" s="1"/>
  <c r="F32" i="6"/>
  <c r="Q32" i="6" s="1"/>
  <c r="F493" i="6"/>
  <c r="Q493" i="6" s="1"/>
  <c r="F385" i="6"/>
  <c r="Q385" i="6" s="1"/>
  <c r="F460" i="6"/>
  <c r="Q460" i="6" s="1"/>
  <c r="F31" i="6"/>
  <c r="Q31" i="6" s="1"/>
  <c r="F30" i="6"/>
  <c r="Q30" i="6" s="1"/>
  <c r="F444" i="6"/>
  <c r="Q444" i="6" s="1"/>
  <c r="F443" i="6"/>
  <c r="Q443" i="6" s="1"/>
  <c r="F386" i="6"/>
  <c r="Q386" i="6" s="1"/>
  <c r="I2392" i="8"/>
  <c r="H2392" i="8"/>
  <c r="F2392" i="8"/>
  <c r="F1519" i="8"/>
  <c r="I1519" i="8"/>
  <c r="H1519" i="8"/>
  <c r="F2134" i="8"/>
  <c r="H2134" i="8"/>
  <c r="I2134" i="8"/>
  <c r="F2038" i="8"/>
  <c r="H2038" i="8"/>
  <c r="I2038" i="8"/>
  <c r="F1708" i="8"/>
  <c r="H1708" i="8"/>
  <c r="I1708" i="8"/>
  <c r="F2289" i="8"/>
  <c r="I2289" i="8"/>
  <c r="H2289" i="8"/>
  <c r="F1700" i="8"/>
  <c r="H1700" i="8"/>
  <c r="I1700" i="8"/>
  <c r="F1990" i="8"/>
  <c r="I1990" i="8"/>
  <c r="H1990" i="8"/>
  <c r="F1296" i="8"/>
  <c r="H1296" i="8"/>
  <c r="I1296" i="8"/>
  <c r="F2965" i="8"/>
  <c r="I2965" i="8"/>
  <c r="H2965" i="8"/>
  <c r="F844" i="8"/>
  <c r="I844" i="8"/>
  <c r="H844" i="8"/>
  <c r="F2797" i="8"/>
  <c r="I2797" i="8"/>
  <c r="H2797" i="8"/>
  <c r="F2273" i="8"/>
  <c r="I2273" i="8"/>
  <c r="H2273" i="8"/>
  <c r="F2517" i="8"/>
  <c r="H2517" i="8"/>
  <c r="I2517" i="8"/>
  <c r="F1511" i="8"/>
  <c r="H1511" i="8"/>
  <c r="I1511" i="8"/>
  <c r="F749" i="8"/>
  <c r="H749" i="8"/>
  <c r="I749" i="8"/>
  <c r="F699" i="8"/>
  <c r="I699" i="8"/>
  <c r="H699" i="8"/>
  <c r="F2090" i="8"/>
  <c r="I2090" i="8"/>
  <c r="H2090" i="8"/>
  <c r="F2502" i="8"/>
  <c r="H2502" i="8"/>
  <c r="I2502" i="8"/>
  <c r="F1209" i="8"/>
  <c r="I1209" i="8"/>
  <c r="H1209" i="8"/>
  <c r="F603" i="8"/>
  <c r="I603" i="8"/>
  <c r="H603" i="8"/>
  <c r="F1310" i="8"/>
  <c r="H1310" i="8"/>
  <c r="I1310" i="8"/>
  <c r="F1772" i="8"/>
  <c r="I1772" i="8"/>
  <c r="H1772" i="8"/>
  <c r="F3436" i="8"/>
  <c r="H3436" i="8"/>
  <c r="I3436" i="8"/>
  <c r="F2486" i="8"/>
  <c r="I2486" i="8"/>
  <c r="H2486" i="8"/>
  <c r="F2046" i="8"/>
  <c r="I2046" i="8"/>
  <c r="H2046" i="8"/>
  <c r="F1449" i="8"/>
  <c r="H1449" i="8"/>
  <c r="I1449" i="8"/>
  <c r="F2767" i="8"/>
  <c r="H2767" i="8"/>
  <c r="I2767" i="8"/>
  <c r="F1620" i="8"/>
  <c r="H1620" i="8"/>
  <c r="I1620" i="8"/>
  <c r="F1343" i="8"/>
  <c r="H1343" i="8"/>
  <c r="I1343" i="8"/>
  <c r="F822" i="8"/>
  <c r="I822" i="8"/>
  <c r="H822" i="8"/>
  <c r="F441" i="8"/>
  <c r="H441" i="8"/>
  <c r="I441" i="8"/>
  <c r="F1684" i="8"/>
  <c r="I1684" i="8"/>
  <c r="H1684" i="8"/>
  <c r="F2150" i="8"/>
  <c r="H2150" i="8"/>
  <c r="I2150" i="8"/>
  <c r="F3482" i="8"/>
  <c r="I3482" i="8"/>
  <c r="H3482" i="8"/>
  <c r="F2743" i="8"/>
  <c r="I2743" i="8"/>
  <c r="H2743" i="8"/>
  <c r="F1594" i="8"/>
  <c r="I1594" i="8"/>
  <c r="H1594" i="8"/>
  <c r="F1229" i="8"/>
  <c r="I1229" i="8"/>
  <c r="H1229" i="8"/>
  <c r="F565" i="8"/>
  <c r="H565" i="8"/>
  <c r="I565" i="8"/>
  <c r="F1302" i="8"/>
  <c r="H1302" i="8"/>
  <c r="I1302" i="8"/>
  <c r="F800" i="8"/>
  <c r="H800" i="8"/>
  <c r="I800" i="8"/>
  <c r="F2085" i="8"/>
  <c r="I2085" i="8"/>
  <c r="H2085" i="8"/>
  <c r="F1716" i="8"/>
  <c r="H1716" i="8"/>
  <c r="I1716" i="8"/>
  <c r="F1644" i="8"/>
  <c r="I1644" i="8"/>
  <c r="H1644" i="8"/>
  <c r="F2242" i="8"/>
  <c r="I2242" i="8"/>
  <c r="H2242" i="8"/>
  <c r="F1222" i="8"/>
  <c r="I1222" i="8"/>
  <c r="H1222" i="8"/>
  <c r="F2110" i="8"/>
  <c r="I2110" i="8"/>
  <c r="H2110" i="8"/>
  <c r="F2281" i="8"/>
  <c r="I2281" i="8"/>
  <c r="H2281" i="8"/>
  <c r="F619" i="8"/>
  <c r="I619" i="8"/>
  <c r="H619" i="8"/>
  <c r="F944" i="8"/>
  <c r="I944" i="8"/>
  <c r="H944" i="8"/>
  <c r="F1527" i="8"/>
  <c r="I1527" i="8"/>
  <c r="H1527" i="8"/>
  <c r="F1724" i="8"/>
  <c r="H1724" i="8"/>
  <c r="I1724" i="8"/>
  <c r="F1202" i="8"/>
  <c r="H1202" i="8"/>
  <c r="I1202" i="8"/>
  <c r="F1586" i="8"/>
  <c r="I1586" i="8"/>
  <c r="H1586" i="8"/>
  <c r="F2422" i="8"/>
  <c r="I2422" i="8"/>
  <c r="H2422" i="8"/>
  <c r="F1282" i="8"/>
  <c r="I1282" i="8"/>
  <c r="H1282" i="8"/>
  <c r="F763" i="8"/>
  <c r="H763" i="8"/>
  <c r="I763" i="8"/>
  <c r="F1473" i="8"/>
  <c r="H1473" i="8"/>
  <c r="I1473" i="8"/>
  <c r="F1628" i="8"/>
  <c r="H1628" i="8"/>
  <c r="I1628" i="8"/>
  <c r="F2414" i="8"/>
  <c r="I2414" i="8"/>
  <c r="H2414" i="8"/>
  <c r="F2226" i="8"/>
  <c r="I2226" i="8"/>
  <c r="H2226" i="8"/>
  <c r="F1433" i="8"/>
  <c r="I1433" i="8"/>
  <c r="H1433" i="8"/>
  <c r="F667" i="8"/>
  <c r="I667" i="8"/>
  <c r="H667" i="8"/>
  <c r="F1946" i="8"/>
  <c r="I1946" i="8"/>
  <c r="H1946" i="8"/>
  <c r="F1481" i="8"/>
  <c r="H1481" i="8"/>
  <c r="I1481" i="8"/>
  <c r="F1149" i="8"/>
  <c r="I1149" i="8"/>
  <c r="H1149" i="8"/>
  <c r="F1194" i="8"/>
  <c r="I1194" i="8"/>
  <c r="H1194" i="8"/>
  <c r="F1660" i="8"/>
  <c r="I1660" i="8"/>
  <c r="H1660" i="8"/>
  <c r="F1384" i="8"/>
  <c r="H1384" i="8"/>
  <c r="I1384" i="8"/>
  <c r="F1692" i="8"/>
  <c r="I1692" i="8"/>
  <c r="H1692" i="8"/>
  <c r="F3167" i="8"/>
  <c r="H3167" i="8"/>
  <c r="I3167" i="8"/>
  <c r="F2369" i="8"/>
  <c r="I2369" i="8"/>
  <c r="H2369" i="8"/>
  <c r="F2446" i="8"/>
  <c r="I2446" i="8"/>
  <c r="H2446" i="8"/>
  <c r="F3276" i="8"/>
  <c r="I3276" i="8"/>
  <c r="H3276" i="8"/>
  <c r="F1636" i="8"/>
  <c r="I1636" i="8"/>
  <c r="H1636" i="8"/>
  <c r="F2198" i="8"/>
  <c r="I2198" i="8"/>
  <c r="H2198" i="8"/>
  <c r="F1051" i="8"/>
  <c r="H1051" i="8"/>
  <c r="I1051" i="8"/>
  <c r="F1235" i="8"/>
  <c r="H1235" i="8"/>
  <c r="I1235" i="8"/>
  <c r="F1732" i="8"/>
  <c r="H1732" i="8"/>
  <c r="I1732" i="8"/>
  <c r="F691" i="8"/>
  <c r="H691" i="8"/>
  <c r="I691" i="8"/>
  <c r="F2265" i="8"/>
  <c r="H2265" i="8"/>
  <c r="I2265" i="8"/>
  <c r="F728" i="8"/>
  <c r="H728" i="8"/>
  <c r="I728" i="8"/>
  <c r="F651" i="8"/>
  <c r="I651" i="8"/>
  <c r="H651" i="8"/>
  <c r="F2660" i="8"/>
  <c r="H2660" i="8"/>
  <c r="I2660" i="8"/>
  <c r="F1508" i="8"/>
  <c r="I1508" i="8"/>
  <c r="H1508" i="8"/>
  <c r="F2690" i="8"/>
  <c r="I2690" i="8"/>
  <c r="H2690" i="8"/>
  <c r="F2135" i="8"/>
  <c r="I2135" i="8"/>
  <c r="H2135" i="8"/>
  <c r="F1297" i="8"/>
  <c r="I1297" i="8"/>
  <c r="H1297" i="8"/>
  <c r="F1528" i="8"/>
  <c r="H1528" i="8"/>
  <c r="I1528" i="8"/>
  <c r="F2027" i="8"/>
  <c r="I2027" i="8"/>
  <c r="H2027" i="8"/>
  <c r="F2969" i="8"/>
  <c r="H2969" i="8"/>
  <c r="I2969" i="8"/>
  <c r="F1657" i="8"/>
  <c r="I1657" i="8"/>
  <c r="H1657" i="8"/>
  <c r="F1458" i="8"/>
  <c r="H1458" i="8"/>
  <c r="I1458" i="8"/>
  <c r="F627" i="8"/>
  <c r="I627" i="8"/>
  <c r="H627" i="8"/>
  <c r="F3010" i="8"/>
  <c r="I3010" i="8"/>
  <c r="H3010" i="8"/>
  <c r="F1557" i="8"/>
  <c r="I1557" i="8"/>
  <c r="H1557" i="8"/>
  <c r="F635" i="8"/>
  <c r="H635" i="8"/>
  <c r="I635" i="8"/>
  <c r="F2039" i="8"/>
  <c r="I2039" i="8"/>
  <c r="H2039" i="8"/>
  <c r="F841" i="8"/>
  <c r="I841" i="8"/>
  <c r="H841" i="8"/>
  <c r="F1346" i="8"/>
  <c r="I1346" i="8"/>
  <c r="H1346" i="8"/>
  <c r="F3023" i="8"/>
  <c r="I3023" i="8"/>
  <c r="H3023" i="8"/>
  <c r="F3108" i="8"/>
  <c r="H3108" i="8"/>
  <c r="I3108" i="8"/>
  <c r="F1789" i="8"/>
  <c r="I1789" i="8"/>
  <c r="H1789" i="8"/>
  <c r="F1029" i="8"/>
  <c r="I1029" i="8"/>
  <c r="H1029" i="8"/>
  <c r="F2211" i="8"/>
  <c r="H2211" i="8"/>
  <c r="I2211" i="8"/>
  <c r="F1013" i="8"/>
  <c r="H1013" i="8"/>
  <c r="I1013" i="8"/>
  <c r="F1947" i="8"/>
  <c r="H1947" i="8"/>
  <c r="I1947" i="8"/>
  <c r="F1394" i="8"/>
  <c r="H1394" i="8"/>
  <c r="I1394" i="8"/>
  <c r="F2656" i="8"/>
  <c r="H2656" i="8"/>
  <c r="I2656" i="8"/>
  <c r="F2645" i="8"/>
  <c r="H2645" i="8"/>
  <c r="I2645" i="8"/>
  <c r="F2183" i="8"/>
  <c r="H2183" i="8"/>
  <c r="I2183" i="8"/>
  <c r="F1362" i="8"/>
  <c r="I1362" i="8"/>
  <c r="H1362" i="8"/>
  <c r="F2169" i="8"/>
  <c r="I2169" i="8"/>
  <c r="H2169" i="8"/>
  <c r="F1995" i="8"/>
  <c r="H1995" i="8"/>
  <c r="I1995" i="8"/>
  <c r="F563" i="8"/>
  <c r="I563" i="8"/>
  <c r="H563" i="8"/>
  <c r="F2253" i="8"/>
  <c r="H2253" i="8"/>
  <c r="I2253" i="8"/>
  <c r="F2867" i="8"/>
  <c r="H2867" i="8"/>
  <c r="I2867" i="8"/>
  <c r="F2718" i="8"/>
  <c r="I2718" i="8"/>
  <c r="H2718" i="8"/>
  <c r="F1804" i="8"/>
  <c r="I1804" i="8"/>
  <c r="H1804" i="8"/>
  <c r="F2054" i="8"/>
  <c r="I2054" i="8"/>
  <c r="H2054" i="8"/>
  <c r="F2062" i="8"/>
  <c r="I2062" i="8"/>
  <c r="H2062" i="8"/>
  <c r="F1827" i="8"/>
  <c r="H1827" i="8"/>
  <c r="I1827" i="8"/>
  <c r="F2346" i="8"/>
  <c r="H2346" i="8"/>
  <c r="I2346" i="8"/>
  <c r="F2103" i="8"/>
  <c r="I2103" i="8"/>
  <c r="H2103" i="8"/>
  <c r="F1748" i="8"/>
  <c r="H1748" i="8"/>
  <c r="I1748" i="8"/>
  <c r="F2302" i="8"/>
  <c r="I2302" i="8"/>
  <c r="H2302" i="8"/>
  <c r="F2454" i="8"/>
  <c r="H2454" i="8"/>
  <c r="I2454" i="8"/>
  <c r="F2206" i="8"/>
  <c r="H2206" i="8"/>
  <c r="I2206" i="8"/>
  <c r="F2182" i="8"/>
  <c r="I2182" i="8"/>
  <c r="H2182" i="8"/>
  <c r="F2310" i="8"/>
  <c r="I2310" i="8"/>
  <c r="H2310" i="8"/>
  <c r="F1938" i="8"/>
  <c r="H1938" i="8"/>
  <c r="I1938" i="8"/>
  <c r="F1931" i="8"/>
  <c r="I1931" i="8"/>
  <c r="H1931" i="8"/>
  <c r="F2541" i="8"/>
  <c r="H2541" i="8"/>
  <c r="I2541" i="8"/>
  <c r="F2362" i="8"/>
  <c r="I2362" i="8"/>
  <c r="H2362" i="8"/>
  <c r="F2610" i="8"/>
  <c r="I2610" i="8"/>
  <c r="H2610" i="8"/>
  <c r="F2234" i="8"/>
  <c r="I2234" i="8"/>
  <c r="H2234" i="8"/>
  <c r="F2097" i="8"/>
  <c r="I2097" i="8"/>
  <c r="H2097" i="8"/>
  <c r="F2158" i="8"/>
  <c r="H2158" i="8"/>
  <c r="I2158" i="8"/>
  <c r="F3109" i="8"/>
  <c r="I3109" i="8"/>
  <c r="H3109" i="8"/>
  <c r="F2022" i="8"/>
  <c r="I2022" i="8"/>
  <c r="H2022" i="8"/>
  <c r="F2142" i="8"/>
  <c r="I2142" i="8"/>
  <c r="H2142" i="8"/>
  <c r="F2846" i="8"/>
  <c r="H2846" i="8"/>
  <c r="I2846" i="8"/>
  <c r="F2698" i="8"/>
  <c r="I2698" i="8"/>
  <c r="H2698" i="8"/>
  <c r="F2030" i="8"/>
  <c r="H2030" i="8"/>
  <c r="I2030" i="8"/>
  <c r="F2257" i="8"/>
  <c r="I2257" i="8"/>
  <c r="H2257" i="8"/>
  <c r="F2920" i="8"/>
  <c r="H2920" i="8"/>
  <c r="I2920" i="8"/>
  <c r="F2250" i="8"/>
  <c r="H2250" i="8"/>
  <c r="I2250" i="8"/>
  <c r="F1952" i="8"/>
  <c r="I1952" i="8"/>
  <c r="H1952" i="8"/>
  <c r="F2325" i="8"/>
  <c r="H2325" i="8"/>
  <c r="I2325" i="8"/>
  <c r="F1796" i="8"/>
  <c r="H1796" i="8"/>
  <c r="I1796" i="8"/>
  <c r="F2190" i="8"/>
  <c r="H2190" i="8"/>
  <c r="I2190" i="8"/>
  <c r="F3130" i="8"/>
  <c r="I3130" i="8"/>
  <c r="H3130" i="8"/>
  <c r="F1788" i="8"/>
  <c r="I1788" i="8"/>
  <c r="H1788" i="8"/>
  <c r="F2644" i="8"/>
  <c r="I2644" i="8"/>
  <c r="H2644" i="8"/>
  <c r="F1982" i="8"/>
  <c r="I1982" i="8"/>
  <c r="H1982" i="8"/>
  <c r="F1915" i="8"/>
  <c r="I1915" i="8"/>
  <c r="H1915" i="8"/>
  <c r="F2398" i="8"/>
  <c r="H2398" i="8"/>
  <c r="I2398" i="8"/>
  <c r="F2214" i="8"/>
  <c r="I2214" i="8"/>
  <c r="H2214" i="8"/>
  <c r="F1870" i="8"/>
  <c r="I1870" i="8"/>
  <c r="H1870" i="8"/>
  <c r="F2118" i="8"/>
  <c r="H2118" i="8"/>
  <c r="I2118" i="8"/>
  <c r="F2126" i="8"/>
  <c r="H2126" i="8"/>
  <c r="I2126" i="8"/>
  <c r="F2960" i="8"/>
  <c r="H2960" i="8"/>
  <c r="I2960" i="8"/>
  <c r="F1761" i="8"/>
  <c r="H1761" i="8"/>
  <c r="I1761" i="8"/>
  <c r="F2497" i="8"/>
  <c r="H2497" i="8"/>
  <c r="I2497" i="8"/>
  <c r="F1769" i="8"/>
  <c r="H1769" i="8"/>
  <c r="I1769" i="8"/>
  <c r="F2382" i="8"/>
  <c r="I2382" i="8"/>
  <c r="H2382" i="8"/>
  <c r="F1721" i="8"/>
  <c r="I1721" i="8"/>
  <c r="H1721" i="8"/>
  <c r="F3077" i="8"/>
  <c r="H3077" i="8"/>
  <c r="I3077" i="8"/>
  <c r="F3170" i="8"/>
  <c r="H3170" i="8"/>
  <c r="I3170" i="8"/>
  <c r="F2668" i="8"/>
  <c r="I2668" i="8"/>
  <c r="H2668" i="8"/>
  <c r="F2367" i="8"/>
  <c r="H2367" i="8"/>
  <c r="I2367" i="8"/>
  <c r="F2917" i="8"/>
  <c r="H2917" i="8"/>
  <c r="I2917" i="8"/>
  <c r="F1500" i="8"/>
  <c r="H1500" i="8"/>
  <c r="I1500" i="8"/>
  <c r="F2107" i="8"/>
  <c r="H2107" i="8"/>
  <c r="I2107" i="8"/>
  <c r="F2851" i="8"/>
  <c r="I2851" i="8"/>
  <c r="H2851" i="8"/>
  <c r="F1446" i="8"/>
  <c r="I1446" i="8"/>
  <c r="H1446" i="8"/>
  <c r="F2465" i="8"/>
  <c r="H2465" i="8"/>
  <c r="I2465" i="8"/>
  <c r="F3207" i="8"/>
  <c r="I3207" i="8"/>
  <c r="H3207" i="8"/>
  <c r="F3147" i="8"/>
  <c r="I3147" i="8"/>
  <c r="H3147" i="8"/>
  <c r="F2082" i="8"/>
  <c r="I2082" i="8"/>
  <c r="H2082" i="8"/>
  <c r="F2512" i="8"/>
  <c r="I2512" i="8"/>
  <c r="H2512" i="8"/>
  <c r="F2785" i="8"/>
  <c r="H2785" i="8"/>
  <c r="I2785" i="8"/>
  <c r="F2760" i="8"/>
  <c r="I2760" i="8"/>
  <c r="H2760" i="8"/>
  <c r="F1955" i="8"/>
  <c r="I1955" i="8"/>
  <c r="H1955" i="8"/>
  <c r="F2673" i="8"/>
  <c r="H2673" i="8"/>
  <c r="I2673" i="8"/>
  <c r="F2307" i="8"/>
  <c r="I2307" i="8"/>
  <c r="H2307" i="8"/>
  <c r="F2576" i="8"/>
  <c r="H2576" i="8"/>
  <c r="I2576" i="8"/>
  <c r="F2988" i="8"/>
  <c r="H2988" i="8"/>
  <c r="I2988" i="8"/>
  <c r="F2115" i="8"/>
  <c r="H2115" i="8"/>
  <c r="I2115" i="8"/>
  <c r="F3088" i="8"/>
  <c r="H3088" i="8"/>
  <c r="I3088" i="8"/>
  <c r="F2467" i="8"/>
  <c r="H2467" i="8"/>
  <c r="I2467" i="8"/>
  <c r="F3122" i="8"/>
  <c r="H3122" i="8"/>
  <c r="I3122" i="8"/>
  <c r="F3069" i="8"/>
  <c r="H3069" i="8"/>
  <c r="I3069" i="8"/>
  <c r="F2676" i="8"/>
  <c r="I2676" i="8"/>
  <c r="H2676" i="8"/>
  <c r="F3125" i="8"/>
  <c r="I3125" i="8"/>
  <c r="H3125" i="8"/>
  <c r="F1929" i="8"/>
  <c r="I1929" i="8"/>
  <c r="H1929" i="8"/>
  <c r="F2968" i="8"/>
  <c r="H2968" i="8"/>
  <c r="I2968" i="8"/>
  <c r="F1935" i="8"/>
  <c r="I1935" i="8"/>
  <c r="H1935" i="8"/>
  <c r="F2374" i="8"/>
  <c r="I2374" i="8"/>
  <c r="H2374" i="8"/>
  <c r="F3191" i="8"/>
  <c r="H3191" i="8"/>
  <c r="I3191" i="8"/>
  <c r="F2051" i="8"/>
  <c r="I2051" i="8"/>
  <c r="H2051" i="8"/>
  <c r="F1943" i="8"/>
  <c r="I1943" i="8"/>
  <c r="H1943" i="8"/>
  <c r="F3104" i="8"/>
  <c r="I3104" i="8"/>
  <c r="H3104" i="8"/>
  <c r="F2647" i="8"/>
  <c r="I2647" i="8"/>
  <c r="H2647" i="8"/>
  <c r="F1777" i="8"/>
  <c r="I1777" i="8"/>
  <c r="H1777" i="8"/>
  <c r="F1625" i="8"/>
  <c r="H1625" i="8"/>
  <c r="I1625" i="8"/>
  <c r="F2449" i="8"/>
  <c r="H2449" i="8"/>
  <c r="I2449" i="8"/>
  <c r="F2838" i="8"/>
  <c r="I2838" i="8"/>
  <c r="H2838" i="8"/>
  <c r="F1599" i="8"/>
  <c r="I1599" i="8"/>
  <c r="H1599" i="8"/>
  <c r="F2520" i="8"/>
  <c r="I2520" i="8"/>
  <c r="H2520" i="8"/>
  <c r="F1713" i="8"/>
  <c r="H1713" i="8"/>
  <c r="I1713" i="8"/>
  <c r="F2552" i="8"/>
  <c r="H2552" i="8"/>
  <c r="I2552" i="8"/>
  <c r="F2425" i="8"/>
  <c r="H2425" i="8"/>
  <c r="I2425" i="8"/>
  <c r="F3009" i="8"/>
  <c r="I3009" i="8"/>
  <c r="H3009" i="8"/>
  <c r="F1881" i="8"/>
  <c r="H1881" i="8"/>
  <c r="I1881" i="8"/>
  <c r="F3198" i="8"/>
  <c r="H3198" i="8"/>
  <c r="I3198" i="8"/>
  <c r="F1596" i="8"/>
  <c r="H1596" i="8"/>
  <c r="I1596" i="8"/>
  <c r="F1529" i="8"/>
  <c r="H1529" i="8"/>
  <c r="I1529" i="8"/>
  <c r="F3244" i="8"/>
  <c r="I3244" i="8"/>
  <c r="H3244" i="8"/>
  <c r="F1588" i="8"/>
  <c r="H1588" i="8"/>
  <c r="I1588" i="8"/>
  <c r="F1298" i="8"/>
  <c r="H1298" i="8"/>
  <c r="I1298" i="8"/>
  <c r="F427" i="8"/>
  <c r="I427" i="8"/>
  <c r="H427" i="8"/>
  <c r="F2400" i="8"/>
  <c r="I2400" i="8"/>
  <c r="H2400" i="8"/>
  <c r="F2128" i="8"/>
  <c r="I2128" i="8"/>
  <c r="H2128" i="8"/>
  <c r="F2184" i="8"/>
  <c r="H2184" i="8"/>
  <c r="I2184" i="8"/>
  <c r="F778" i="8"/>
  <c r="H778" i="8"/>
  <c r="I778" i="8"/>
  <c r="F2456" i="8"/>
  <c r="H2456" i="8"/>
  <c r="I2456" i="8"/>
  <c r="F545" i="8"/>
  <c r="I545" i="8"/>
  <c r="H545" i="8"/>
  <c r="F2236" i="8"/>
  <c r="H2236" i="8"/>
  <c r="I2236" i="8"/>
  <c r="F2275" i="8"/>
  <c r="I2275" i="8"/>
  <c r="H2275" i="8"/>
  <c r="F2008" i="8"/>
  <c r="I2008" i="8"/>
  <c r="H2008" i="8"/>
  <c r="F1638" i="8"/>
  <c r="I1638" i="8"/>
  <c r="H1638" i="8"/>
  <c r="F3055" i="8"/>
  <c r="I3055" i="8"/>
  <c r="H3055" i="8"/>
  <c r="F529" i="8"/>
  <c r="H529" i="8"/>
  <c r="I529" i="8"/>
  <c r="F2519" i="8"/>
  <c r="I2519" i="8"/>
  <c r="H2519" i="8"/>
  <c r="F2056" i="8"/>
  <c r="H2056" i="8"/>
  <c r="I2056" i="8"/>
  <c r="F435" i="8"/>
  <c r="I435" i="8"/>
  <c r="H435" i="8"/>
  <c r="F1734" i="8"/>
  <c r="I1734" i="8"/>
  <c r="H1734" i="8"/>
  <c r="F2072" i="8"/>
  <c r="H2072" i="8"/>
  <c r="I2072" i="8"/>
  <c r="F1562" i="8"/>
  <c r="I1562" i="8"/>
  <c r="H1562" i="8"/>
  <c r="F2000" i="8"/>
  <c r="H2000" i="8"/>
  <c r="I2000" i="8"/>
  <c r="F70" i="8"/>
  <c r="H70" i="8"/>
  <c r="I70" i="8"/>
  <c r="F2848" i="8"/>
  <c r="H2848" i="8"/>
  <c r="I2848" i="8"/>
  <c r="F2739" i="8"/>
  <c r="I2739" i="8"/>
  <c r="H2739" i="8"/>
  <c r="F2340" i="8"/>
  <c r="I2340" i="8"/>
  <c r="H2340" i="8"/>
  <c r="F2583" i="8"/>
  <c r="H2583" i="8"/>
  <c r="I2583" i="8"/>
  <c r="F2120" i="8"/>
  <c r="I2120" i="8"/>
  <c r="H2120" i="8"/>
  <c r="F1798" i="8"/>
  <c r="H1798" i="8"/>
  <c r="I1798" i="8"/>
  <c r="F2327" i="8"/>
  <c r="H2327" i="8"/>
  <c r="I2327" i="8"/>
  <c r="F2509" i="8"/>
  <c r="I2509" i="8"/>
  <c r="H2509" i="8"/>
  <c r="F2144" i="8"/>
  <c r="I2144" i="8"/>
  <c r="H2144" i="8"/>
  <c r="F2636" i="8"/>
  <c r="I2636" i="8"/>
  <c r="H2636" i="8"/>
  <c r="F802" i="8"/>
  <c r="I802" i="8"/>
  <c r="H802" i="8"/>
  <c r="F2589" i="8"/>
  <c r="H2589" i="8"/>
  <c r="I2589" i="8"/>
  <c r="F2048" i="8"/>
  <c r="I2048" i="8"/>
  <c r="H2048" i="8"/>
  <c r="F2208" i="8"/>
  <c r="H2208" i="8"/>
  <c r="I2208" i="8"/>
  <c r="F709" i="8"/>
  <c r="I709" i="8"/>
  <c r="H709" i="8"/>
  <c r="F1710" i="8"/>
  <c r="I1710" i="8"/>
  <c r="H1710" i="8"/>
  <c r="F2652" i="8"/>
  <c r="I2652" i="8"/>
  <c r="H2652" i="8"/>
  <c r="F629" i="8"/>
  <c r="I629" i="8"/>
  <c r="H629" i="8"/>
  <c r="F450" i="8"/>
  <c r="I450" i="8"/>
  <c r="H450" i="8"/>
  <c r="F2638" i="8"/>
  <c r="H2638" i="8"/>
  <c r="I2638" i="8"/>
  <c r="F2581" i="8"/>
  <c r="H2581" i="8"/>
  <c r="I2581" i="8"/>
  <c r="F1001" i="8"/>
  <c r="H1001" i="8"/>
  <c r="I1001" i="8"/>
  <c r="F1513" i="8"/>
  <c r="I1513" i="8"/>
  <c r="H1513" i="8"/>
  <c r="F443" i="8"/>
  <c r="I443" i="8"/>
  <c r="H443" i="8"/>
  <c r="F1742" i="8"/>
  <c r="H1742" i="8"/>
  <c r="I1742" i="8"/>
  <c r="F2628" i="8"/>
  <c r="I2628" i="8"/>
  <c r="H2628" i="8"/>
  <c r="F2575" i="8"/>
  <c r="I2575" i="8"/>
  <c r="H2575" i="8"/>
  <c r="F2525" i="8"/>
  <c r="H2525" i="8"/>
  <c r="I2525" i="8"/>
  <c r="F2379" i="8"/>
  <c r="I2379" i="8"/>
  <c r="H2379" i="8"/>
  <c r="F2364" i="8"/>
  <c r="I2364" i="8"/>
  <c r="H2364" i="8"/>
  <c r="F2092" i="8"/>
  <c r="H2092" i="8"/>
  <c r="I2092" i="8"/>
  <c r="F1686" i="8"/>
  <c r="I1686" i="8"/>
  <c r="H1686" i="8"/>
  <c r="F2348" i="8"/>
  <c r="H2348" i="8"/>
  <c r="I2348" i="8"/>
  <c r="F1630" i="8"/>
  <c r="I1630" i="8"/>
  <c r="H1630" i="8"/>
  <c r="F3447" i="8"/>
  <c r="H3447" i="8"/>
  <c r="I3447" i="8"/>
  <c r="F553" i="8"/>
  <c r="I553" i="8"/>
  <c r="H553" i="8"/>
  <c r="F2228" i="8"/>
  <c r="H2228" i="8"/>
  <c r="I2228" i="8"/>
  <c r="F838" i="8"/>
  <c r="H838" i="8"/>
  <c r="I838" i="8"/>
  <c r="F2840" i="8"/>
  <c r="I2840" i="8"/>
  <c r="H2840" i="8"/>
  <c r="F661" i="8"/>
  <c r="I661" i="8"/>
  <c r="H661" i="8"/>
  <c r="F2192" i="8"/>
  <c r="H2192" i="8"/>
  <c r="I2192" i="8"/>
  <c r="F794" i="8"/>
  <c r="I794" i="8"/>
  <c r="H794" i="8"/>
  <c r="F2244" i="8"/>
  <c r="H2244" i="8"/>
  <c r="I2244" i="8"/>
  <c r="F2386" i="8"/>
  <c r="H2386" i="8"/>
  <c r="I2386" i="8"/>
  <c r="F1670" i="8"/>
  <c r="H1670" i="8"/>
  <c r="I1670" i="8"/>
  <c r="F2731" i="8"/>
  <c r="I2731" i="8"/>
  <c r="H2731" i="8"/>
  <c r="F537" i="8"/>
  <c r="H537" i="8"/>
  <c r="I537" i="8"/>
  <c r="F2737" i="8"/>
  <c r="I2737" i="8"/>
  <c r="H2737" i="8"/>
  <c r="F605" i="8"/>
  <c r="H605" i="8"/>
  <c r="I605" i="8"/>
  <c r="F701" i="8"/>
  <c r="H701" i="8"/>
  <c r="I701" i="8"/>
  <c r="F2527" i="8"/>
  <c r="I2527" i="8"/>
  <c r="H2527" i="8"/>
  <c r="F2944" i="8"/>
  <c r="H2944" i="8"/>
  <c r="I2944" i="8"/>
  <c r="F2551" i="8"/>
  <c r="I2551" i="8"/>
  <c r="H2551" i="8"/>
  <c r="F1459" i="8"/>
  <c r="H1459" i="8"/>
  <c r="I1459" i="8"/>
  <c r="F1491" i="8"/>
  <c r="I1491" i="8"/>
  <c r="H1491" i="8"/>
  <c r="F1304" i="8"/>
  <c r="I1304" i="8"/>
  <c r="H1304" i="8"/>
  <c r="F2432" i="8"/>
  <c r="H2432" i="8"/>
  <c r="I2432" i="8"/>
  <c r="F2721" i="8"/>
  <c r="I2721" i="8"/>
  <c r="H2721" i="8"/>
  <c r="F2304" i="8"/>
  <c r="H2304" i="8"/>
  <c r="I2304" i="8"/>
  <c r="F786" i="8"/>
  <c r="H786" i="8"/>
  <c r="I786" i="8"/>
  <c r="F2371" i="8"/>
  <c r="I2371" i="8"/>
  <c r="H2371" i="8"/>
  <c r="F482" i="8"/>
  <c r="H482" i="8"/>
  <c r="I482" i="8"/>
  <c r="F2312" i="8"/>
  <c r="I2312" i="8"/>
  <c r="H2312" i="8"/>
  <c r="F1774" i="8"/>
  <c r="H1774" i="8"/>
  <c r="I1774" i="8"/>
  <c r="F2688" i="8"/>
  <c r="I2688" i="8"/>
  <c r="H2688" i="8"/>
  <c r="F466" i="8"/>
  <c r="H466" i="8"/>
  <c r="I466" i="8"/>
  <c r="F2713" i="8"/>
  <c r="H2713" i="8"/>
  <c r="I2713" i="8"/>
  <c r="F2662" i="8"/>
  <c r="H2662" i="8"/>
  <c r="I2662" i="8"/>
  <c r="F3124" i="8"/>
  <c r="H3124" i="8"/>
  <c r="I3124" i="8"/>
  <c r="F2259" i="8"/>
  <c r="I2259" i="8"/>
  <c r="H2259" i="8"/>
  <c r="F293" i="8"/>
  <c r="I293" i="8"/>
  <c r="H293" i="8"/>
  <c r="F743" i="8"/>
  <c r="I743" i="8"/>
  <c r="H743" i="8"/>
  <c r="F669" i="8"/>
  <c r="I669" i="8"/>
  <c r="H669" i="8"/>
  <c r="F637" i="8"/>
  <c r="I637" i="8"/>
  <c r="H637" i="8"/>
  <c r="F404" i="8"/>
  <c r="I404" i="8"/>
  <c r="H404" i="8"/>
  <c r="F1467" i="8"/>
  <c r="I1467" i="8"/>
  <c r="H1467" i="8"/>
  <c r="F1960" i="8"/>
  <c r="H1960" i="8"/>
  <c r="I1960" i="8"/>
  <c r="F3278" i="8"/>
  <c r="I3278" i="8"/>
  <c r="H3278" i="8"/>
  <c r="F592" i="8"/>
  <c r="H592" i="8"/>
  <c r="I592" i="8"/>
  <c r="F1443" i="8"/>
  <c r="H1443" i="8"/>
  <c r="I1443" i="8"/>
  <c r="F2700" i="8"/>
  <c r="H2700" i="8"/>
  <c r="I2700" i="8"/>
  <c r="F169" i="8"/>
  <c r="H169" i="8"/>
  <c r="I169" i="8"/>
  <c r="F730" i="8"/>
  <c r="I730" i="8"/>
  <c r="H730" i="8"/>
  <c r="F3133" i="8"/>
  <c r="I3133" i="8"/>
  <c r="H3133" i="8"/>
  <c r="F2136" i="8"/>
  <c r="I2136" i="8"/>
  <c r="H2136" i="8"/>
  <c r="F1718" i="8"/>
  <c r="H1718" i="8"/>
  <c r="I1718" i="8"/>
  <c r="F2440" i="8"/>
  <c r="H2440" i="8"/>
  <c r="I2440" i="8"/>
  <c r="F1726" i="8"/>
  <c r="H1726" i="8"/>
  <c r="I1726" i="8"/>
  <c r="F2949" i="8"/>
  <c r="I2949" i="8"/>
  <c r="H2949" i="8"/>
  <c r="F2957" i="8"/>
  <c r="I2957" i="8"/>
  <c r="H2957" i="8"/>
  <c r="F2448" i="8"/>
  <c r="H2448" i="8"/>
  <c r="I2448" i="8"/>
  <c r="F2654" i="8"/>
  <c r="H2654" i="8"/>
  <c r="I2654" i="8"/>
  <c r="F2999" i="8"/>
  <c r="H2999" i="8"/>
  <c r="I2999" i="8"/>
  <c r="F810" i="8"/>
  <c r="I810" i="8"/>
  <c r="H810" i="8"/>
  <c r="F954" i="8"/>
  <c r="I954" i="8"/>
  <c r="H954" i="8"/>
  <c r="F2438" i="8"/>
  <c r="H2438" i="8"/>
  <c r="I2438" i="8"/>
  <c r="F2283" i="8"/>
  <c r="I2283" i="8"/>
  <c r="H2283" i="8"/>
  <c r="F3188" i="8"/>
  <c r="I3188" i="8"/>
  <c r="H3188" i="8"/>
  <c r="F2630" i="8"/>
  <c r="I2630" i="8"/>
  <c r="H2630" i="8"/>
  <c r="F1386" i="8"/>
  <c r="H1386" i="8"/>
  <c r="I1386" i="8"/>
  <c r="F693" i="8"/>
  <c r="H693" i="8"/>
  <c r="I693" i="8"/>
  <c r="F653" i="8"/>
  <c r="I653" i="8"/>
  <c r="H653" i="8"/>
  <c r="F677" i="8"/>
  <c r="I677" i="8"/>
  <c r="H677" i="8"/>
  <c r="F1451" i="8"/>
  <c r="I1451" i="8"/>
  <c r="H1451" i="8"/>
  <c r="F645" i="8"/>
  <c r="I645" i="8"/>
  <c r="H645" i="8"/>
  <c r="F396" i="8"/>
  <c r="I396" i="8"/>
  <c r="H396" i="8"/>
  <c r="F1917" i="8"/>
  <c r="H1917" i="8"/>
  <c r="I1917" i="8"/>
  <c r="F1580" i="8"/>
  <c r="H1580" i="8"/>
  <c r="I1580" i="8"/>
  <c r="F1554" i="8"/>
  <c r="H1554" i="8"/>
  <c r="I1554" i="8"/>
  <c r="F1614" i="8"/>
  <c r="H1614" i="8"/>
  <c r="I1614" i="8"/>
  <c r="F2805" i="8"/>
  <c r="I2805" i="8"/>
  <c r="H2805" i="8"/>
  <c r="F1646" i="8"/>
  <c r="H1646" i="8"/>
  <c r="I1646" i="8"/>
  <c r="F1312" i="8"/>
  <c r="H1312" i="8"/>
  <c r="I1312" i="8"/>
  <c r="F2480" i="8"/>
  <c r="I2480" i="8"/>
  <c r="H2480" i="8"/>
  <c r="F2424" i="8"/>
  <c r="I2424" i="8"/>
  <c r="H2424" i="8"/>
  <c r="F2496" i="8"/>
  <c r="I2496" i="8"/>
  <c r="H2496" i="8"/>
  <c r="F2200" i="8"/>
  <c r="H2200" i="8"/>
  <c r="I2200" i="8"/>
  <c r="F2889" i="8"/>
  <c r="I2889" i="8"/>
  <c r="H2889" i="8"/>
  <c r="F561" i="8"/>
  <c r="H561" i="8"/>
  <c r="I561" i="8"/>
  <c r="F1521" i="8"/>
  <c r="H1521" i="8"/>
  <c r="I1521" i="8"/>
  <c r="F613" i="8"/>
  <c r="I613" i="8"/>
  <c r="H613" i="8"/>
  <c r="F2573" i="8"/>
  <c r="I2573" i="8"/>
  <c r="H2573" i="8"/>
  <c r="F2319" i="8"/>
  <c r="H2319" i="8"/>
  <c r="I2319" i="8"/>
  <c r="F1335" i="8"/>
  <c r="H1335" i="8"/>
  <c r="I1335" i="8"/>
  <c r="F3060" i="8"/>
  <c r="I3060" i="8"/>
  <c r="H3060" i="8"/>
  <c r="F757" i="8"/>
  <c r="I757" i="8"/>
  <c r="H757" i="8"/>
  <c r="F1196" i="8"/>
  <c r="H1196" i="8"/>
  <c r="I1196" i="8"/>
  <c r="F521" i="8"/>
  <c r="H521" i="8"/>
  <c r="I521" i="8"/>
  <c r="F2152" i="8"/>
  <c r="I2152" i="8"/>
  <c r="H2152" i="8"/>
  <c r="F2511" i="8"/>
  <c r="H2511" i="8"/>
  <c r="I2511" i="8"/>
  <c r="F3196" i="8"/>
  <c r="H3196" i="8"/>
  <c r="I3196" i="8"/>
  <c r="F773" i="8"/>
  <c r="H773" i="8"/>
  <c r="I773" i="8"/>
  <c r="F1750" i="8"/>
  <c r="H1750" i="8"/>
  <c r="I1750" i="8"/>
  <c r="F3068" i="8"/>
  <c r="I3068" i="8"/>
  <c r="H3068" i="8"/>
  <c r="F1505" i="8"/>
  <c r="I1505" i="8"/>
  <c r="H1505" i="8"/>
  <c r="F1326" i="8"/>
  <c r="I1326" i="8"/>
  <c r="H1326" i="8"/>
  <c r="F2408" i="8"/>
  <c r="I2408" i="8"/>
  <c r="H2408" i="8"/>
  <c r="F2406" i="8"/>
  <c r="H2406" i="8"/>
  <c r="I2406" i="8"/>
  <c r="F685" i="8"/>
  <c r="H685" i="8"/>
  <c r="I685" i="8"/>
  <c r="F2726" i="8"/>
  <c r="H2726" i="8"/>
  <c r="I2726" i="8"/>
  <c r="F1968" i="8"/>
  <c r="H1968" i="8"/>
  <c r="I1968" i="8"/>
  <c r="F2080" i="8"/>
  <c r="I2080" i="8"/>
  <c r="H2080" i="8"/>
  <c r="F1984" i="8"/>
  <c r="H1984" i="8"/>
  <c r="I1984" i="8"/>
  <c r="F2533" i="8"/>
  <c r="H2533" i="8"/>
  <c r="I2533" i="8"/>
  <c r="F3223" i="8"/>
  <c r="I3223" i="8"/>
  <c r="H3223" i="8"/>
  <c r="F415" i="8"/>
  <c r="H415" i="8"/>
  <c r="I415" i="8"/>
  <c r="F2016" i="8"/>
  <c r="I2016" i="8"/>
  <c r="H2016" i="8"/>
  <c r="F1151" i="8"/>
  <c r="I1151" i="8"/>
  <c r="H1151" i="8"/>
  <c r="F1694" i="8"/>
  <c r="H1694" i="8"/>
  <c r="I1694" i="8"/>
  <c r="F1790" i="8"/>
  <c r="I1790" i="8"/>
  <c r="H1790" i="8"/>
  <c r="F77" i="8"/>
  <c r="I77" i="8"/>
  <c r="H77" i="8"/>
  <c r="F2557" i="8"/>
  <c r="H2557" i="8"/>
  <c r="I2557" i="8"/>
  <c r="F1654" i="8"/>
  <c r="I1654" i="8"/>
  <c r="H1654" i="8"/>
  <c r="F832" i="8"/>
  <c r="H832" i="8"/>
  <c r="I832" i="8"/>
  <c r="F2470" i="8"/>
  <c r="I2470" i="8"/>
  <c r="H2470" i="8"/>
  <c r="F1015" i="8"/>
  <c r="H1015" i="8"/>
  <c r="I1015" i="8"/>
  <c r="F1909" i="8"/>
  <c r="H1909" i="8"/>
  <c r="I1909" i="8"/>
  <c r="F1475" i="8"/>
  <c r="H1475" i="8"/>
  <c r="I1475" i="8"/>
  <c r="F1537" i="8"/>
  <c r="I1537" i="8"/>
  <c r="H1537" i="8"/>
  <c r="F818" i="8"/>
  <c r="H818" i="8"/>
  <c r="I818" i="8"/>
  <c r="F2670" i="8"/>
  <c r="I2670" i="8"/>
  <c r="H2670" i="8"/>
  <c r="F1806" i="8"/>
  <c r="I1806" i="8"/>
  <c r="H1806" i="8"/>
  <c r="F2168" i="8"/>
  <c r="H2168" i="8"/>
  <c r="I2168" i="8"/>
  <c r="F2267" i="8"/>
  <c r="I2267" i="8"/>
  <c r="H2267" i="8"/>
  <c r="F1758" i="8"/>
  <c r="H1758" i="8"/>
  <c r="I1758" i="8"/>
  <c r="F1702" i="8"/>
  <c r="I1702" i="8"/>
  <c r="H1702" i="8"/>
  <c r="F1782" i="8"/>
  <c r="I1782" i="8"/>
  <c r="H1782" i="8"/>
  <c r="F3169" i="8"/>
  <c r="I3169" i="8"/>
  <c r="H3169" i="8"/>
  <c r="F2112" i="8"/>
  <c r="I2112" i="8"/>
  <c r="H2112" i="8"/>
  <c r="F458" i="8"/>
  <c r="I458" i="8"/>
  <c r="H458" i="8"/>
  <c r="F2947" i="8"/>
  <c r="H2947" i="8"/>
  <c r="I2947" i="8"/>
  <c r="F2478" i="8"/>
  <c r="H2478" i="8"/>
  <c r="I2478" i="8"/>
  <c r="F765" i="8"/>
  <c r="I765" i="8"/>
  <c r="H765" i="8"/>
  <c r="F2176" i="8"/>
  <c r="I2176" i="8"/>
  <c r="H2176" i="8"/>
  <c r="F1007" i="8"/>
  <c r="H1007" i="8"/>
  <c r="I1007" i="8"/>
  <c r="F1678" i="8"/>
  <c r="I1678" i="8"/>
  <c r="H1678" i="8"/>
  <c r="F1662" i="8"/>
  <c r="I1662" i="8"/>
  <c r="H1662" i="8"/>
  <c r="F2252" i="8"/>
  <c r="H2252" i="8"/>
  <c r="I2252" i="8"/>
  <c r="F2430" i="8"/>
  <c r="I2430" i="8"/>
  <c r="H2430" i="8"/>
  <c r="F2032" i="8"/>
  <c r="H2032" i="8"/>
  <c r="I2032" i="8"/>
  <c r="F2559" i="8"/>
  <c r="H2559" i="8"/>
  <c r="I2559" i="8"/>
  <c r="F621" i="8"/>
  <c r="I621" i="8"/>
  <c r="H621" i="8"/>
  <c r="F1402" i="8"/>
  <c r="I1402" i="8"/>
  <c r="H1402" i="8"/>
  <c r="F2567" i="8"/>
  <c r="H2567" i="8"/>
  <c r="I2567" i="8"/>
  <c r="F142" i="8"/>
  <c r="H142" i="8"/>
  <c r="I142" i="8"/>
  <c r="F1766" i="8"/>
  <c r="H1766" i="8"/>
  <c r="I1766" i="8"/>
  <c r="F1745" i="8"/>
  <c r="I1745" i="8"/>
  <c r="H1745" i="8"/>
  <c r="F2075" i="8"/>
  <c r="I2075" i="8"/>
  <c r="H2075" i="8"/>
  <c r="F1855" i="8"/>
  <c r="I1855" i="8"/>
  <c r="H1855" i="8"/>
  <c r="F2067" i="8"/>
  <c r="H2067" i="8"/>
  <c r="I2067" i="8"/>
  <c r="F2059" i="8"/>
  <c r="H2059" i="8"/>
  <c r="I2059" i="8"/>
  <c r="F2035" i="8"/>
  <c r="I2035" i="8"/>
  <c r="H2035" i="8"/>
  <c r="F2322" i="8"/>
  <c r="I2322" i="8"/>
  <c r="H2322" i="8"/>
  <c r="F1824" i="8"/>
  <c r="H1824" i="8"/>
  <c r="I1824" i="8"/>
  <c r="F1987" i="8"/>
  <c r="I1987" i="8"/>
  <c r="H1987" i="8"/>
  <c r="F2003" i="8"/>
  <c r="I2003" i="8"/>
  <c r="H2003" i="8"/>
  <c r="F1753" i="8"/>
  <c r="H1753" i="8"/>
  <c r="I1753" i="8"/>
  <c r="F2741" i="8"/>
  <c r="I2741" i="8"/>
  <c r="H2741" i="8"/>
  <c r="F1583" i="8"/>
  <c r="I1583" i="8"/>
  <c r="H1583" i="8"/>
  <c r="F1689" i="8"/>
  <c r="H1689" i="8"/>
  <c r="I1689" i="8"/>
  <c r="F2343" i="8"/>
  <c r="H2343" i="8"/>
  <c r="I2343" i="8"/>
  <c r="F2562" i="8"/>
  <c r="I2562" i="8"/>
  <c r="H2562" i="8"/>
  <c r="F1835" i="8"/>
  <c r="H1835" i="8"/>
  <c r="I1835" i="8"/>
  <c r="F2223" i="8"/>
  <c r="H2223" i="8"/>
  <c r="I2223" i="8"/>
  <c r="F1462" i="8"/>
  <c r="H1462" i="8"/>
  <c r="I1462" i="8"/>
  <c r="F2195" i="8"/>
  <c r="H2195" i="8"/>
  <c r="I2195" i="8"/>
  <c r="F2293" i="8"/>
  <c r="H2293" i="8"/>
  <c r="I2293" i="8"/>
  <c r="F1673" i="8"/>
  <c r="H1673" i="8"/>
  <c r="I1673" i="8"/>
  <c r="F2483" i="8"/>
  <c r="H2483" i="8"/>
  <c r="I2483" i="8"/>
  <c r="F3006" i="8"/>
  <c r="I3006" i="8"/>
  <c r="H3006" i="8"/>
  <c r="F1912" i="8"/>
  <c r="I1912" i="8"/>
  <c r="H1912" i="8"/>
  <c r="F1809" i="8"/>
  <c r="I1809" i="8"/>
  <c r="H1809" i="8"/>
  <c r="F2330" i="8"/>
  <c r="I2330" i="8"/>
  <c r="H2330" i="8"/>
  <c r="F2954" i="8"/>
  <c r="I2954" i="8"/>
  <c r="H2954" i="8"/>
  <c r="F1532" i="8"/>
  <c r="I1532" i="8"/>
  <c r="H1532" i="8"/>
  <c r="F1737" i="8"/>
  <c r="H1737" i="8"/>
  <c r="I1737" i="8"/>
  <c r="F1801" i="8"/>
  <c r="H1801" i="8"/>
  <c r="I1801" i="8"/>
  <c r="F2538" i="8"/>
  <c r="H2538" i="8"/>
  <c r="I2538" i="8"/>
  <c r="F1681" i="8"/>
  <c r="I1681" i="8"/>
  <c r="H1681" i="8"/>
  <c r="F2095" i="8"/>
  <c r="I2095" i="8"/>
  <c r="H2095" i="8"/>
  <c r="F1565" i="8"/>
  <c r="H1565" i="8"/>
  <c r="I1565" i="8"/>
  <c r="F2011" i="8"/>
  <c r="H2011" i="8"/>
  <c r="I2011" i="8"/>
  <c r="F2928" i="8"/>
  <c r="I2928" i="8"/>
  <c r="H2928" i="8"/>
  <c r="F2665" i="8"/>
  <c r="H2665" i="8"/>
  <c r="I2665" i="8"/>
  <c r="F1454" i="8"/>
  <c r="H1454" i="8"/>
  <c r="I1454" i="8"/>
  <c r="F1979" i="8"/>
  <c r="I1979" i="8"/>
  <c r="H1979" i="8"/>
  <c r="F2187" i="8"/>
  <c r="I2187" i="8"/>
  <c r="H2187" i="8"/>
  <c r="F1992" i="8"/>
  <c r="H1992" i="8"/>
  <c r="I1992" i="8"/>
  <c r="F2591" i="8"/>
  <c r="H2591" i="8"/>
  <c r="I2591" i="8"/>
  <c r="F2762" i="8"/>
  <c r="I2762" i="8"/>
  <c r="H2762" i="8"/>
  <c r="F2543" i="8"/>
  <c r="H2543" i="8"/>
  <c r="I2543" i="8"/>
  <c r="F2733" i="8"/>
  <c r="I2733" i="8"/>
  <c r="H2733" i="8"/>
  <c r="F2535" i="8"/>
  <c r="H2535" i="8"/>
  <c r="I2535" i="8"/>
  <c r="F1217" i="8"/>
  <c r="H1217" i="8"/>
  <c r="I1217" i="8"/>
  <c r="F3084" i="8"/>
  <c r="H3084" i="8"/>
  <c r="I3084" i="8"/>
  <c r="F1259" i="8"/>
  <c r="I1259" i="8"/>
  <c r="H1259" i="8"/>
  <c r="F2216" i="8"/>
  <c r="H2216" i="8"/>
  <c r="I2216" i="8"/>
  <c r="F1622" i="8"/>
  <c r="H1622" i="8"/>
  <c r="I1622" i="8"/>
  <c r="F1053" i="8"/>
  <c r="I1053" i="8"/>
  <c r="H1053" i="8"/>
  <c r="F1204" i="8"/>
  <c r="H1204" i="8"/>
  <c r="I1204" i="8"/>
  <c r="F2220" i="8"/>
  <c r="I2220" i="8"/>
  <c r="H2220" i="8"/>
  <c r="F1883" i="8"/>
  <c r="H1883" i="8"/>
  <c r="I1883" i="8"/>
  <c r="F2089" i="8"/>
  <c r="I2089" i="8"/>
  <c r="H2089" i="8"/>
  <c r="F1651" i="8"/>
  <c r="I1651" i="8"/>
  <c r="H1651" i="8"/>
  <c r="F1516" i="8"/>
  <c r="I1516" i="8"/>
  <c r="H1516" i="8"/>
  <c r="F2356" i="8"/>
  <c r="I2356" i="8"/>
  <c r="H2356" i="8"/>
  <c r="F1540" i="8"/>
  <c r="I1540" i="8"/>
  <c r="H1540" i="8"/>
  <c r="F2188" i="8"/>
  <c r="I2188" i="8"/>
  <c r="H2188" i="8"/>
  <c r="F1974" i="8"/>
  <c r="H1974" i="8"/>
  <c r="I1974" i="8"/>
  <c r="F2574" i="8"/>
  <c r="H2574" i="8"/>
  <c r="I2574" i="8"/>
  <c r="F1033" i="8"/>
  <c r="H1033" i="8"/>
  <c r="I1033" i="8"/>
  <c r="F2667" i="8"/>
  <c r="H2667" i="8"/>
  <c r="I2667" i="8"/>
  <c r="F1306" i="8"/>
  <c r="H1306" i="8"/>
  <c r="I1306" i="8"/>
  <c r="F2156" i="8"/>
  <c r="I2156" i="8"/>
  <c r="H2156" i="8"/>
  <c r="F1349" i="8"/>
  <c r="I1349" i="8"/>
  <c r="H1349" i="8"/>
  <c r="F1699" i="8"/>
  <c r="I1699" i="8"/>
  <c r="H1699" i="8"/>
  <c r="F1602" i="8"/>
  <c r="H1602" i="8"/>
  <c r="I1602" i="8"/>
  <c r="F1239" i="8"/>
  <c r="I1239" i="8"/>
  <c r="H1239" i="8"/>
  <c r="F1457" i="8"/>
  <c r="I1457" i="8"/>
  <c r="H1457" i="8"/>
  <c r="F2370" i="8"/>
  <c r="I2370" i="8"/>
  <c r="H2370" i="8"/>
  <c r="F1787" i="8"/>
  <c r="I1787" i="8"/>
  <c r="H1787" i="8"/>
  <c r="F2439" i="8"/>
  <c r="I2439" i="8"/>
  <c r="H2439" i="8"/>
  <c r="F2582" i="8"/>
  <c r="I2582" i="8"/>
  <c r="H2582" i="8"/>
  <c r="F2423" i="8"/>
  <c r="H2423" i="8"/>
  <c r="I2423" i="8"/>
  <c r="F2393" i="8"/>
  <c r="I2393" i="8"/>
  <c r="H2393" i="8"/>
  <c r="F2084" i="8"/>
  <c r="H2084" i="8"/>
  <c r="I2084" i="8"/>
  <c r="F2526" i="8"/>
  <c r="I2526" i="8"/>
  <c r="H2526" i="8"/>
  <c r="F2124" i="8"/>
  <c r="H2124" i="8"/>
  <c r="I2124" i="8"/>
  <c r="F1052" i="8"/>
  <c r="I1052" i="8"/>
  <c r="H1052" i="8"/>
  <c r="F2487" i="8"/>
  <c r="I2487" i="8"/>
  <c r="H2487" i="8"/>
  <c r="F1370" i="8"/>
  <c r="H1370" i="8"/>
  <c r="I1370" i="8"/>
  <c r="F2005" i="8"/>
  <c r="H2005" i="8"/>
  <c r="I2005" i="8"/>
  <c r="F1919" i="8"/>
  <c r="I1919" i="8"/>
  <c r="H1919" i="8"/>
  <c r="F3115" i="8"/>
  <c r="H3115" i="8"/>
  <c r="I3115" i="8"/>
  <c r="F2164" i="8"/>
  <c r="I2164" i="8"/>
  <c r="H2164" i="8"/>
  <c r="F1387" i="8"/>
  <c r="I1387" i="8"/>
  <c r="H1387" i="8"/>
  <c r="F1659" i="8"/>
  <c r="H1659" i="8"/>
  <c r="I1659" i="8"/>
  <c r="F1579" i="8"/>
  <c r="H1579" i="8"/>
  <c r="I1579" i="8"/>
  <c r="F1441" i="8"/>
  <c r="I1441" i="8"/>
  <c r="H1441" i="8"/>
  <c r="F1911" i="8"/>
  <c r="H1911" i="8"/>
  <c r="I1911" i="8"/>
  <c r="F3015" i="8"/>
  <c r="I3015" i="8"/>
  <c r="H3015" i="8"/>
  <c r="F1619" i="8"/>
  <c r="I1619" i="8"/>
  <c r="H1619" i="8"/>
  <c r="F1314" i="8"/>
  <c r="H1314" i="8"/>
  <c r="I1314" i="8"/>
  <c r="F1755" i="8"/>
  <c r="I1755" i="8"/>
  <c r="H1755" i="8"/>
  <c r="F1941" i="8"/>
  <c r="I1941" i="8"/>
  <c r="H1941" i="8"/>
  <c r="F2542" i="8"/>
  <c r="H2542" i="8"/>
  <c r="I2542" i="8"/>
  <c r="F2132" i="8"/>
  <c r="I2132" i="8"/>
  <c r="H2132" i="8"/>
  <c r="F2212" i="8"/>
  <c r="I2212" i="8"/>
  <c r="H2212" i="8"/>
  <c r="F3142" i="8"/>
  <c r="I3142" i="8"/>
  <c r="H3142" i="8"/>
  <c r="F2378" i="8"/>
  <c r="I2378" i="8"/>
  <c r="H2378" i="8"/>
  <c r="F1747" i="8"/>
  <c r="H1747" i="8"/>
  <c r="I1747" i="8"/>
  <c r="F1201" i="8"/>
  <c r="I1201" i="8"/>
  <c r="H1201" i="8"/>
  <c r="F2566" i="8"/>
  <c r="I2566" i="8"/>
  <c r="H2566" i="8"/>
  <c r="F1567" i="8"/>
  <c r="H1567" i="8"/>
  <c r="I1567" i="8"/>
  <c r="F1707" i="8"/>
  <c r="H1707" i="8"/>
  <c r="I1707" i="8"/>
  <c r="F1376" i="8"/>
  <c r="H1376" i="8"/>
  <c r="I1376" i="8"/>
  <c r="F2399" i="8"/>
  <c r="I2399" i="8"/>
  <c r="H2399" i="8"/>
  <c r="F2270" i="8"/>
  <c r="H2270" i="8"/>
  <c r="I2270" i="8"/>
  <c r="F2558" i="8"/>
  <c r="H2558" i="8"/>
  <c r="I2558" i="8"/>
  <c r="F2172" i="8"/>
  <c r="I2172" i="8"/>
  <c r="H2172" i="8"/>
  <c r="F1193" i="8"/>
  <c r="I1193" i="8"/>
  <c r="H1193" i="8"/>
  <c r="F2495" i="8"/>
  <c r="I2495" i="8"/>
  <c r="H2495" i="8"/>
  <c r="F1731" i="8"/>
  <c r="H1731" i="8"/>
  <c r="I1731" i="8"/>
  <c r="F1739" i="8"/>
  <c r="H1739" i="8"/>
  <c r="I1739" i="8"/>
  <c r="F2196" i="8"/>
  <c r="H2196" i="8"/>
  <c r="I2196" i="8"/>
  <c r="F2321" i="8"/>
  <c r="I2321" i="8"/>
  <c r="H2321" i="8"/>
  <c r="F1495" i="8"/>
  <c r="I1495" i="8"/>
  <c r="H1495" i="8"/>
  <c r="F1627" i="8"/>
  <c r="H1627" i="8"/>
  <c r="I1627" i="8"/>
  <c r="F1723" i="8"/>
  <c r="H1723" i="8"/>
  <c r="I1723" i="8"/>
  <c r="F2262" i="8"/>
  <c r="I2262" i="8"/>
  <c r="H2262" i="8"/>
  <c r="F1948" i="8"/>
  <c r="I1948" i="8"/>
  <c r="H1948" i="8"/>
  <c r="F3083" i="8"/>
  <c r="I3083" i="8"/>
  <c r="H3083" i="8"/>
  <c r="F2013" i="8"/>
  <c r="H2013" i="8"/>
  <c r="I2013" i="8"/>
  <c r="F2621" i="8"/>
  <c r="I2621" i="8"/>
  <c r="H2621" i="8"/>
  <c r="F1611" i="8"/>
  <c r="I1611" i="8"/>
  <c r="H1611" i="8"/>
  <c r="F2061" i="8"/>
  <c r="H2061" i="8"/>
  <c r="I2061" i="8"/>
  <c r="F1763" i="8"/>
  <c r="H1763" i="8"/>
  <c r="I1763" i="8"/>
  <c r="F2651" i="8"/>
  <c r="H2651" i="8"/>
  <c r="I2651" i="8"/>
  <c r="F2463" i="8"/>
  <c r="H2463" i="8"/>
  <c r="I2463" i="8"/>
  <c r="F3120" i="8"/>
  <c r="I3120" i="8"/>
  <c r="H3120" i="8"/>
  <c r="F1803" i="8"/>
  <c r="H1803" i="8"/>
  <c r="I1803" i="8"/>
  <c r="F2385" i="8"/>
  <c r="H2385" i="8"/>
  <c r="I2385" i="8"/>
  <c r="F2045" i="8"/>
  <c r="I2045" i="8"/>
  <c r="H2045" i="8"/>
  <c r="F1811" i="8"/>
  <c r="I1811" i="8"/>
  <c r="H1811" i="8"/>
  <c r="F2037" i="8"/>
  <c r="H2037" i="8"/>
  <c r="I2037" i="8"/>
  <c r="F3107" i="8"/>
  <c r="H3107" i="8"/>
  <c r="I3107" i="8"/>
  <c r="F2479" i="8"/>
  <c r="I2479" i="8"/>
  <c r="H2479" i="8"/>
  <c r="F1233" i="8"/>
  <c r="I1233" i="8"/>
  <c r="H1233" i="8"/>
  <c r="F3158" i="8"/>
  <c r="H3158" i="8"/>
  <c r="I3158" i="8"/>
  <c r="F2590" i="8"/>
  <c r="H2590" i="8"/>
  <c r="I2590" i="8"/>
  <c r="F1220" i="8"/>
  <c r="H1220" i="8"/>
  <c r="I1220" i="8"/>
  <c r="F2745" i="8"/>
  <c r="H2745" i="8"/>
  <c r="I2745" i="8"/>
  <c r="F2329" i="8"/>
  <c r="H2329" i="8"/>
  <c r="I2329" i="8"/>
  <c r="F1779" i="8"/>
  <c r="I1779" i="8"/>
  <c r="H1779" i="8"/>
  <c r="F3059" i="8"/>
  <c r="H3059" i="8"/>
  <c r="I3059" i="8"/>
  <c r="F2278" i="8"/>
  <c r="I2278" i="8"/>
  <c r="H2278" i="8"/>
  <c r="F1027" i="8"/>
  <c r="I1027" i="8"/>
  <c r="H1027" i="8"/>
  <c r="F2148" i="8"/>
  <c r="I2148" i="8"/>
  <c r="H2148" i="8"/>
  <c r="F2180" i="8"/>
  <c r="I2180" i="8"/>
  <c r="H2180" i="8"/>
  <c r="F2232" i="8"/>
  <c r="H2232" i="8"/>
  <c r="I2232" i="8"/>
  <c r="F2286" i="8"/>
  <c r="I2286" i="8"/>
  <c r="H2286" i="8"/>
  <c r="F3454" i="8"/>
  <c r="H3454" i="8"/>
  <c r="I3454" i="8"/>
  <c r="F3476" i="8"/>
  <c r="I3476" i="8"/>
  <c r="H3476" i="8"/>
  <c r="F3293" i="8"/>
  <c r="H3293" i="8"/>
  <c r="I3293" i="8"/>
  <c r="F3175" i="8"/>
  <c r="I3175" i="8"/>
  <c r="H3175" i="8"/>
  <c r="F2852" i="8"/>
  <c r="I2852" i="8"/>
  <c r="H2852" i="8"/>
  <c r="F3484" i="8"/>
  <c r="H3484" i="8"/>
  <c r="I3484" i="8"/>
  <c r="F3168" i="8"/>
  <c r="H3168" i="8"/>
  <c r="I3168" i="8"/>
  <c r="F3078" i="8"/>
  <c r="H3078" i="8"/>
  <c r="I3078" i="8"/>
  <c r="F3197" i="8"/>
  <c r="I3197" i="8"/>
  <c r="H3197" i="8"/>
  <c r="F3205" i="8"/>
  <c r="H3205" i="8"/>
  <c r="I3205" i="8"/>
  <c r="F3432" i="8"/>
  <c r="I3432" i="8"/>
  <c r="H3432" i="8"/>
  <c r="F2967" i="8"/>
  <c r="I2967" i="8"/>
  <c r="H2967" i="8"/>
  <c r="F3123" i="8"/>
  <c r="I3123" i="8"/>
  <c r="H3123" i="8"/>
  <c r="F2935" i="8"/>
  <c r="H2935" i="8"/>
  <c r="I2935" i="8"/>
  <c r="F2918" i="8"/>
  <c r="I2918" i="8"/>
  <c r="H2918" i="8"/>
  <c r="F3245" i="8"/>
  <c r="H3245" i="8"/>
  <c r="I3245" i="8"/>
  <c r="F3127" i="8"/>
  <c r="I3127" i="8"/>
  <c r="H3127" i="8"/>
  <c r="F2586" i="8"/>
  <c r="H2586" i="8"/>
  <c r="I2586" i="8"/>
  <c r="F3081" i="8"/>
  <c r="I3081" i="8"/>
  <c r="H3081" i="8"/>
  <c r="F3443" i="8"/>
  <c r="H3443" i="8"/>
  <c r="I3443" i="8"/>
  <c r="F3086" i="8"/>
  <c r="I3086" i="8"/>
  <c r="H3086" i="8"/>
  <c r="F3058" i="8"/>
  <c r="H3058" i="8"/>
  <c r="I3058" i="8"/>
  <c r="F2976" i="8"/>
  <c r="I2976" i="8"/>
  <c r="H2976" i="8"/>
  <c r="F3106" i="8"/>
  <c r="I3106" i="8"/>
  <c r="H3106" i="8"/>
  <c r="F3289" i="8"/>
  <c r="H3289" i="8"/>
  <c r="I3289" i="8"/>
  <c r="F3066" i="8"/>
  <c r="I3066" i="8"/>
  <c r="H3066" i="8"/>
  <c r="F2759" i="8"/>
  <c r="H2759" i="8"/>
  <c r="I2759" i="8"/>
  <c r="F3119" i="8"/>
  <c r="I3119" i="8"/>
  <c r="H3119" i="8"/>
  <c r="F2781" i="8"/>
  <c r="H2781" i="8"/>
  <c r="I2781" i="8"/>
  <c r="F3138" i="8"/>
  <c r="H3138" i="8"/>
  <c r="I3138" i="8"/>
  <c r="F2963" i="8"/>
  <c r="H2963" i="8"/>
  <c r="I2963" i="8"/>
  <c r="F2663" i="8"/>
  <c r="I2663" i="8"/>
  <c r="H2663" i="8"/>
  <c r="F2952" i="8"/>
  <c r="I2952" i="8"/>
  <c r="H2952" i="8"/>
  <c r="F3149" i="8"/>
  <c r="H3149" i="8"/>
  <c r="I3149" i="8"/>
  <c r="F3238" i="8"/>
  <c r="H3238" i="8"/>
  <c r="I3238" i="8"/>
  <c r="F3472" i="8"/>
  <c r="H3472" i="8"/>
  <c r="I3472" i="8"/>
  <c r="F2837" i="8"/>
  <c r="H2837" i="8"/>
  <c r="I2837" i="8"/>
  <c r="F2671" i="8"/>
  <c r="H2671" i="8"/>
  <c r="I2671" i="8"/>
  <c r="F3179" i="8"/>
  <c r="I3179" i="8"/>
  <c r="H3179" i="8"/>
  <c r="F3489" i="8"/>
  <c r="I3489" i="8"/>
  <c r="H3489" i="8"/>
  <c r="F2977" i="8"/>
  <c r="H2977" i="8"/>
  <c r="I2977" i="8"/>
  <c r="F2631" i="8"/>
  <c r="I2631" i="8"/>
  <c r="H2631" i="8"/>
  <c r="F3082" i="8"/>
  <c r="I3082" i="8"/>
  <c r="H3082" i="8"/>
  <c r="F3000" i="8"/>
  <c r="I3000" i="8"/>
  <c r="H3000" i="8"/>
  <c r="F3008" i="8"/>
  <c r="I3008" i="8"/>
  <c r="H3008" i="8"/>
  <c r="F3467" i="8"/>
  <c r="H3467" i="8"/>
  <c r="I3467" i="8"/>
  <c r="F2570" i="8"/>
  <c r="I2570" i="8"/>
  <c r="H2570" i="8"/>
  <c r="F3458" i="8"/>
  <c r="H3458" i="8"/>
  <c r="I3458" i="8"/>
  <c r="F2971" i="8"/>
  <c r="H2971" i="8"/>
  <c r="I2971" i="8"/>
  <c r="F3062" i="8"/>
  <c r="I3062" i="8"/>
  <c r="H3062" i="8"/>
  <c r="F2986" i="8"/>
  <c r="H2986" i="8"/>
  <c r="I2986" i="8"/>
  <c r="F3071" i="8"/>
  <c r="H3071" i="8"/>
  <c r="I3071" i="8"/>
  <c r="F2655" i="8"/>
  <c r="I2655" i="8"/>
  <c r="H2655" i="8"/>
  <c r="F3272" i="8"/>
  <c r="I3272" i="8"/>
  <c r="H3272" i="8"/>
  <c r="F2915" i="8"/>
  <c r="I2915" i="8"/>
  <c r="H2915" i="8"/>
  <c r="F2942" i="8"/>
  <c r="I2942" i="8"/>
  <c r="H2942" i="8"/>
  <c r="F2955" i="8"/>
  <c r="I2955" i="8"/>
  <c r="H2955" i="8"/>
  <c r="F3268" i="8"/>
  <c r="I3268" i="8"/>
  <c r="H3268" i="8"/>
  <c r="F3099" i="8"/>
  <c r="I3099" i="8"/>
  <c r="H3099" i="8"/>
  <c r="F3111" i="8"/>
  <c r="H3111" i="8"/>
  <c r="I3111" i="8"/>
  <c r="F2788" i="8"/>
  <c r="I2788" i="8"/>
  <c r="H2788" i="8"/>
  <c r="F3200" i="8"/>
  <c r="H3200" i="8"/>
  <c r="I3200" i="8"/>
  <c r="F3154" i="8"/>
  <c r="H3154" i="8"/>
  <c r="I3154" i="8"/>
  <c r="F3218" i="8"/>
  <c r="I3218" i="8"/>
  <c r="H3218" i="8"/>
  <c r="F3157" i="8"/>
  <c r="H3157" i="8"/>
  <c r="I3157" i="8"/>
  <c r="F3241" i="8"/>
  <c r="I3241" i="8"/>
  <c r="H3241" i="8"/>
  <c r="F3141" i="8"/>
  <c r="I3141" i="8"/>
  <c r="H3141" i="8"/>
  <c r="F3190" i="8"/>
  <c r="H3190" i="8"/>
  <c r="I3190" i="8"/>
  <c r="F3074" i="8"/>
  <c r="I3074" i="8"/>
  <c r="H3074" i="8"/>
  <c r="F3162" i="8"/>
  <c r="H3162" i="8"/>
  <c r="I3162" i="8"/>
  <c r="F3202" i="8"/>
  <c r="H3202" i="8"/>
  <c r="I3202" i="8"/>
  <c r="F3161" i="8"/>
  <c r="H3161" i="8"/>
  <c r="I3161" i="8"/>
  <c r="F3189" i="8"/>
  <c r="H3189" i="8"/>
  <c r="I3189" i="8"/>
  <c r="F2699" i="8"/>
  <c r="H2699" i="8"/>
  <c r="I2699" i="8"/>
  <c r="F2959" i="8"/>
  <c r="I2959" i="8"/>
  <c r="H2959" i="8"/>
  <c r="F3075" i="8"/>
  <c r="I3075" i="8"/>
  <c r="H3075" i="8"/>
  <c r="F2922" i="8"/>
  <c r="H2922" i="8"/>
  <c r="I2922" i="8"/>
  <c r="F2802" i="8"/>
  <c r="I2802" i="8"/>
  <c r="H2802" i="8"/>
  <c r="F2780" i="8"/>
  <c r="H2780" i="8"/>
  <c r="I2780" i="8"/>
  <c r="F3145" i="8"/>
  <c r="I3145" i="8"/>
  <c r="H3145" i="8"/>
  <c r="F3007" i="8"/>
  <c r="H3007" i="8"/>
  <c r="I3007" i="8"/>
  <c r="F2865" i="8"/>
  <c r="H2865" i="8"/>
  <c r="I2865" i="8"/>
  <c r="F3128" i="8"/>
  <c r="I3128" i="8"/>
  <c r="H3128" i="8"/>
  <c r="F3217" i="8"/>
  <c r="H3217" i="8"/>
  <c r="I3217" i="8"/>
  <c r="F2758" i="8"/>
  <c r="H2758" i="8"/>
  <c r="I2758" i="8"/>
  <c r="F2719" i="8"/>
  <c r="I2719" i="8"/>
  <c r="H2719" i="8"/>
  <c r="F2951" i="8"/>
  <c r="I2951" i="8"/>
  <c r="H2951" i="8"/>
  <c r="F3102" i="8"/>
  <c r="H3102" i="8"/>
  <c r="I3102" i="8"/>
  <c r="F2836" i="8"/>
  <c r="I2836" i="8"/>
  <c r="H2836" i="8"/>
  <c r="F2787" i="8"/>
  <c r="H2787" i="8"/>
  <c r="I2787" i="8"/>
  <c r="F2678" i="8"/>
  <c r="I2678" i="8"/>
  <c r="H2678" i="8"/>
  <c r="F3070" i="8"/>
  <c r="H3070" i="8"/>
  <c r="I3070" i="8"/>
  <c r="F3165" i="8"/>
  <c r="I3165" i="8"/>
  <c r="H3165" i="8"/>
  <c r="F3153" i="8"/>
  <c r="I3153" i="8"/>
  <c r="H3153" i="8"/>
  <c r="F2844" i="8"/>
  <c r="H2844" i="8"/>
  <c r="I2844" i="8"/>
  <c r="F2794" i="8"/>
  <c r="I2794" i="8"/>
  <c r="H2794" i="8"/>
  <c r="F3201" i="8"/>
  <c r="H3201" i="8"/>
  <c r="I3201" i="8"/>
  <c r="F3246" i="8"/>
  <c r="I3246" i="8"/>
  <c r="H3246" i="8"/>
  <c r="F3213" i="8"/>
  <c r="H3213" i="8"/>
  <c r="I3213" i="8"/>
  <c r="F3193" i="8"/>
  <c r="H3193" i="8"/>
  <c r="I3193" i="8"/>
  <c r="F3229" i="8"/>
  <c r="I3229" i="8"/>
  <c r="H3229" i="8"/>
  <c r="G1057" i="5"/>
  <c r="R1057" i="5" s="1"/>
  <c r="G707" i="5"/>
  <c r="R707" i="5" s="1"/>
  <c r="G808" i="5"/>
  <c r="R808" i="5" s="1"/>
  <c r="G2015" i="5"/>
  <c r="R2015" i="5" s="1"/>
  <c r="G1035" i="5"/>
  <c r="R1035" i="5" s="1"/>
  <c r="G4787" i="5"/>
  <c r="R4787" i="5" s="1"/>
  <c r="G5398" i="5"/>
  <c r="R5398" i="5" s="1"/>
  <c r="G7488" i="5"/>
  <c r="R7488" i="5" s="1"/>
  <c r="G1184" i="5"/>
  <c r="R1184" i="5" s="1"/>
  <c r="G3154" i="5"/>
  <c r="R3154" i="5" s="1"/>
  <c r="G5440" i="5"/>
  <c r="R5440" i="5" s="1"/>
  <c r="G6447" i="5"/>
  <c r="R6447" i="5" s="1"/>
  <c r="G1624" i="5"/>
  <c r="R1624" i="5" s="1"/>
  <c r="G4939" i="5"/>
  <c r="R4939" i="5" s="1"/>
  <c r="G3373" i="5"/>
  <c r="R3373" i="5" s="1"/>
  <c r="G3988" i="5"/>
  <c r="R3988" i="5" s="1"/>
  <c r="G7436" i="5"/>
  <c r="R7436" i="5" s="1"/>
  <c r="G6063" i="5"/>
  <c r="R6063" i="5" s="1"/>
  <c r="G7423" i="5"/>
  <c r="R7423" i="5" s="1"/>
  <c r="G4078" i="5"/>
  <c r="R4078" i="5" s="1"/>
  <c r="G6209" i="5"/>
  <c r="R6209" i="5" s="1"/>
  <c r="G147" i="5"/>
  <c r="R147" i="5" s="1"/>
  <c r="G7238" i="5"/>
  <c r="R7238" i="5" s="1"/>
  <c r="G854" i="5"/>
  <c r="R854" i="5" s="1"/>
  <c r="G3298" i="5"/>
  <c r="R3298" i="5" s="1"/>
  <c r="G4932" i="5"/>
  <c r="R4932" i="5" s="1"/>
  <c r="G7494" i="5"/>
  <c r="R7494" i="5" s="1"/>
  <c r="G2799" i="5"/>
  <c r="R2799" i="5" s="1"/>
  <c r="G2711" i="5"/>
  <c r="R2711" i="5" s="1"/>
  <c r="G3124" i="5"/>
  <c r="R3124" i="5" s="1"/>
  <c r="G2110" i="5"/>
  <c r="R2110" i="5" s="1"/>
  <c r="G35" i="5"/>
  <c r="R35" i="5" s="1"/>
  <c r="G700" i="5"/>
  <c r="R700" i="5" s="1"/>
  <c r="G1197" i="5"/>
  <c r="R1197" i="5" s="1"/>
  <c r="G1017" i="5"/>
  <c r="R1017" i="5" s="1"/>
  <c r="G1384" i="5"/>
  <c r="R1384" i="5" s="1"/>
  <c r="G3869" i="5"/>
  <c r="R3869" i="5" s="1"/>
  <c r="G4378" i="5"/>
  <c r="R4378" i="5" s="1"/>
  <c r="G3312" i="5"/>
  <c r="R3312" i="5" s="1"/>
  <c r="G3969" i="5"/>
  <c r="R3969" i="5" s="1"/>
  <c r="G7387" i="5"/>
  <c r="R7387" i="5" s="1"/>
  <c r="G803" i="5"/>
  <c r="R803" i="5" s="1"/>
  <c r="G3487" i="5"/>
  <c r="R3487" i="5" s="1"/>
  <c r="G4538" i="5"/>
  <c r="R4538" i="5" s="1"/>
  <c r="G794" i="5"/>
  <c r="R794" i="5" s="1"/>
  <c r="G4132" i="5"/>
  <c r="R4132" i="5" s="1"/>
  <c r="G4608" i="5"/>
  <c r="R4608" i="5" s="1"/>
  <c r="G101" i="5"/>
  <c r="R101" i="5" s="1"/>
  <c r="G3008" i="5"/>
  <c r="R3008" i="5" s="1"/>
  <c r="G4838" i="5"/>
  <c r="R4838" i="5" s="1"/>
  <c r="G5436" i="5"/>
  <c r="R5436" i="5" s="1"/>
  <c r="G6250" i="5"/>
  <c r="R6250" i="5" s="1"/>
  <c r="G946" i="5"/>
  <c r="R946" i="5" s="1"/>
  <c r="G4204" i="5"/>
  <c r="R4204" i="5" s="1"/>
  <c r="G810" i="5"/>
  <c r="R810" i="5" s="1"/>
  <c r="G3476" i="5"/>
  <c r="R3476" i="5" s="1"/>
  <c r="G2779" i="5"/>
  <c r="R2779" i="5" s="1"/>
  <c r="G4508" i="5"/>
  <c r="R4508" i="5" s="1"/>
  <c r="G6478" i="5"/>
  <c r="R6478" i="5" s="1"/>
  <c r="G770" i="5"/>
  <c r="R770" i="5" s="1"/>
  <c r="G3164" i="5"/>
  <c r="R3164" i="5" s="1"/>
  <c r="G2140" i="5"/>
  <c r="R2140" i="5" s="1"/>
  <c r="G5887" i="5"/>
  <c r="R5887" i="5" s="1"/>
  <c r="G1285" i="5"/>
  <c r="R1285" i="5" s="1"/>
  <c r="G544" i="5"/>
  <c r="R544" i="5" s="1"/>
  <c r="G1086" i="5"/>
  <c r="R1086" i="5" s="1"/>
  <c r="G110" i="5"/>
  <c r="R110" i="5" s="1"/>
  <c r="G733" i="5"/>
  <c r="R733" i="5" s="1"/>
  <c r="G1218" i="5"/>
  <c r="R1218" i="5" s="1"/>
  <c r="G2095" i="5"/>
  <c r="R2095" i="5" s="1"/>
  <c r="G2931" i="5"/>
  <c r="R2931" i="5" s="1"/>
  <c r="G3727" i="5"/>
  <c r="R3727" i="5" s="1"/>
  <c r="G4270" i="5"/>
  <c r="R4270" i="5" s="1"/>
  <c r="G4816" i="5"/>
  <c r="R4816" i="5" s="1"/>
  <c r="G31" i="5"/>
  <c r="R31" i="5" s="1"/>
  <c r="G2208" i="5"/>
  <c r="R2208" i="5" s="1"/>
  <c r="G3191" i="5"/>
  <c r="R3191" i="5" s="1"/>
  <c r="G4918" i="5"/>
  <c r="R4918" i="5" s="1"/>
  <c r="G5488" i="5"/>
  <c r="R5488" i="5" s="1"/>
  <c r="G7184" i="5"/>
  <c r="R7184" i="5" s="1"/>
  <c r="G1673" i="5"/>
  <c r="R1673" i="5" s="1"/>
  <c r="G3346" i="5"/>
  <c r="R3346" i="5" s="1"/>
  <c r="G3933" i="5"/>
  <c r="R3933" i="5" s="1"/>
  <c r="G4439" i="5"/>
  <c r="R4439" i="5" s="1"/>
  <c r="G4973" i="5"/>
  <c r="R4973" i="5" s="1"/>
  <c r="G6312" i="5"/>
  <c r="R6312" i="5" s="1"/>
  <c r="G1617" i="5"/>
  <c r="R1617" i="5" s="1"/>
  <c r="G6193" i="5"/>
  <c r="R6193" i="5" s="1"/>
  <c r="G7481" i="5"/>
  <c r="R7481" i="5" s="1"/>
  <c r="G1967" i="5"/>
  <c r="R1967" i="5" s="1"/>
  <c r="G2788" i="5"/>
  <c r="R2788" i="5" s="1"/>
  <c r="G5307" i="5"/>
  <c r="R5307" i="5" s="1"/>
  <c r="G1823" i="5"/>
  <c r="R1823" i="5" s="1"/>
  <c r="G3903" i="5"/>
  <c r="R3903" i="5" s="1"/>
  <c r="G5473" i="5"/>
  <c r="R5473" i="5" s="1"/>
  <c r="G169" i="5"/>
  <c r="R169" i="5" s="1"/>
  <c r="G6548" i="5"/>
  <c r="R6548" i="5" s="1"/>
  <c r="G3972" i="5"/>
  <c r="R3972" i="5" s="1"/>
  <c r="G3306" i="5"/>
  <c r="R3306" i="5" s="1"/>
  <c r="G3547" i="5"/>
  <c r="R3547" i="5" s="1"/>
  <c r="G7515" i="5"/>
  <c r="R7515" i="5" s="1"/>
  <c r="G4574" i="5"/>
  <c r="R4574" i="5" s="1"/>
  <c r="G3119" i="5"/>
  <c r="R3119" i="5" s="1"/>
  <c r="G6832" i="5"/>
  <c r="R6832" i="5" s="1"/>
  <c r="G8069" i="5"/>
  <c r="R8069" i="5" s="1"/>
  <c r="G6504" i="5"/>
  <c r="R6504" i="5" s="1"/>
  <c r="G6804" i="5"/>
  <c r="R6804" i="5" s="1"/>
  <c r="G1225" i="5"/>
  <c r="R1225" i="5" s="1"/>
  <c r="G1058" i="5"/>
  <c r="R1058" i="5" s="1"/>
  <c r="G272" i="5"/>
  <c r="R272" i="5" s="1"/>
  <c r="G1376" i="5"/>
  <c r="R1376" i="5" s="1"/>
  <c r="G963" i="5"/>
  <c r="R963" i="5" s="1"/>
  <c r="G2288" i="5"/>
  <c r="R2288" i="5" s="1"/>
  <c r="G4414" i="5"/>
  <c r="R4414" i="5" s="1"/>
  <c r="G4996" i="5"/>
  <c r="R4996" i="5" s="1"/>
  <c r="G3994" i="5"/>
  <c r="R3994" i="5" s="1"/>
  <c r="G4465" i="5"/>
  <c r="R4465" i="5" s="1"/>
  <c r="G7443" i="5"/>
  <c r="R7443" i="5" s="1"/>
  <c r="G1922" i="5"/>
  <c r="R1922" i="5" s="1"/>
  <c r="G4061" i="5"/>
  <c r="R4061" i="5" s="1"/>
  <c r="G7148" i="5"/>
  <c r="R7148" i="5" s="1"/>
  <c r="G4161" i="5"/>
  <c r="R4161" i="5" s="1"/>
  <c r="G4642" i="5"/>
  <c r="R4642" i="5" s="1"/>
  <c r="G3754" i="5"/>
  <c r="R3754" i="5" s="1"/>
  <c r="G4328" i="5"/>
  <c r="R4328" i="5" s="1"/>
  <c r="G4896" i="5"/>
  <c r="R4896" i="5" s="1"/>
  <c r="G5478" i="5"/>
  <c r="R5478" i="5" s="1"/>
  <c r="G6276" i="5"/>
  <c r="R6276" i="5" s="1"/>
  <c r="G7266" i="5"/>
  <c r="R7266" i="5" s="1"/>
  <c r="G1206" i="5"/>
  <c r="R1206" i="5" s="1"/>
  <c r="G5086" i="5"/>
  <c r="R5086" i="5" s="1"/>
  <c r="G8194" i="5"/>
  <c r="R8194" i="5" s="1"/>
  <c r="G1971" i="5"/>
  <c r="R1971" i="5" s="1"/>
  <c r="G3971" i="5"/>
  <c r="R3971" i="5" s="1"/>
  <c r="G2312" i="5"/>
  <c r="R2312" i="5" s="1"/>
  <c r="G2379" i="5"/>
  <c r="R2379" i="5" s="1"/>
  <c r="G1131" i="5"/>
  <c r="R1131" i="5" s="1"/>
  <c r="G7480" i="5"/>
  <c r="R7480" i="5" s="1"/>
  <c r="G6720" i="5"/>
  <c r="R6720" i="5" s="1"/>
  <c r="G7012" i="5"/>
  <c r="R7012" i="5" s="1"/>
  <c r="G7905" i="5"/>
  <c r="R7905" i="5" s="1"/>
  <c r="G8085" i="5"/>
  <c r="R8085" i="5" s="1"/>
  <c r="G1112" i="5"/>
  <c r="R1112" i="5" s="1"/>
  <c r="G405" i="5"/>
  <c r="R405" i="5" s="1"/>
  <c r="G1251" i="5"/>
  <c r="R1251" i="5" s="1"/>
  <c r="G355" i="5"/>
  <c r="R355" i="5" s="1"/>
  <c r="G870" i="5"/>
  <c r="R870" i="5" s="1"/>
  <c r="G1377" i="5"/>
  <c r="R1377" i="5" s="1"/>
  <c r="G1213" i="5"/>
  <c r="R1213" i="5" s="1"/>
  <c r="G4878" i="5"/>
  <c r="R4878" i="5" s="1"/>
  <c r="G6317" i="5"/>
  <c r="R6317" i="5" s="1"/>
  <c r="G4953" i="5"/>
  <c r="R4953" i="5" s="1"/>
  <c r="G1751" i="5"/>
  <c r="R1751" i="5" s="1"/>
  <c r="G2481" i="5"/>
  <c r="R2481" i="5" s="1"/>
  <c r="G3970" i="5"/>
  <c r="R3970" i="5" s="1"/>
  <c r="G4470" i="5"/>
  <c r="R4470" i="5" s="1"/>
  <c r="G6364" i="5"/>
  <c r="R6364" i="5" s="1"/>
  <c r="G626" i="5"/>
  <c r="R626" i="5" s="1"/>
  <c r="G1651" i="5"/>
  <c r="R1651" i="5" s="1"/>
  <c r="G2565" i="5"/>
  <c r="R2565" i="5" s="1"/>
  <c r="G3443" i="5"/>
  <c r="R3443" i="5" s="1"/>
  <c r="G4054" i="5"/>
  <c r="R4054" i="5" s="1"/>
  <c r="G5162" i="5"/>
  <c r="R5162" i="5" s="1"/>
  <c r="G6226" i="5"/>
  <c r="R6226" i="5" s="1"/>
  <c r="G1063" i="5"/>
  <c r="R1063" i="5" s="1"/>
  <c r="G2856" i="5"/>
  <c r="R2856" i="5" s="1"/>
  <c r="G4243" i="5"/>
  <c r="R4243" i="5" s="1"/>
  <c r="G1333" i="5"/>
  <c r="R1333" i="5" s="1"/>
  <c r="G5106" i="5"/>
  <c r="R5106" i="5" s="1"/>
  <c r="G8207" i="5"/>
  <c r="R8207" i="5" s="1"/>
  <c r="G2055" i="5"/>
  <c r="R2055" i="5" s="1"/>
  <c r="G3996" i="5"/>
  <c r="R3996" i="5" s="1"/>
  <c r="G4567" i="5"/>
  <c r="R4567" i="5" s="1"/>
  <c r="G8183" i="5"/>
  <c r="R8183" i="5" s="1"/>
  <c r="G1095" i="5"/>
  <c r="R1095" i="5" s="1"/>
  <c r="G3391" i="5"/>
  <c r="R3391" i="5" s="1"/>
  <c r="G3629" i="5"/>
  <c r="R3629" i="5" s="1"/>
  <c r="G4658" i="5"/>
  <c r="R4658" i="5" s="1"/>
  <c r="G6692" i="5"/>
  <c r="R6692" i="5" s="1"/>
  <c r="G4450" i="5"/>
  <c r="R4450" i="5" s="1"/>
  <c r="G1531" i="5"/>
  <c r="R1531" i="5" s="1"/>
  <c r="G3291" i="5"/>
  <c r="R3291" i="5" s="1"/>
  <c r="G178" i="5"/>
  <c r="R178" i="5" s="1"/>
  <c r="G138" i="5"/>
  <c r="R138" i="5" s="1"/>
  <c r="G765" i="5"/>
  <c r="R765" i="5" s="1"/>
  <c r="G1263" i="5"/>
  <c r="R1263" i="5" s="1"/>
  <c r="G880" i="5"/>
  <c r="R880" i="5" s="1"/>
  <c r="G182" i="5"/>
  <c r="R182" i="5" s="1"/>
  <c r="G1265" i="5"/>
  <c r="R1265" i="5" s="1"/>
  <c r="G2141" i="5"/>
  <c r="R2141" i="5" s="1"/>
  <c r="G3788" i="5"/>
  <c r="R3788" i="5" s="1"/>
  <c r="G4314" i="5"/>
  <c r="R4314" i="5" s="1"/>
  <c r="G6339" i="5"/>
  <c r="R6339" i="5" s="1"/>
  <c r="G3236" i="5"/>
  <c r="R3236" i="5" s="1"/>
  <c r="G3900" i="5"/>
  <c r="R3900" i="5" s="1"/>
  <c r="G4367" i="5"/>
  <c r="R4367" i="5" s="1"/>
  <c r="G4972" i="5"/>
  <c r="R4972" i="5" s="1"/>
  <c r="G7326" i="5"/>
  <c r="R7326" i="5" s="1"/>
  <c r="G1774" i="5"/>
  <c r="R1774" i="5" s="1"/>
  <c r="G3401" i="5"/>
  <c r="R3401" i="5" s="1"/>
  <c r="G3985" i="5"/>
  <c r="R3985" i="5" s="1"/>
  <c r="G4481" i="5"/>
  <c r="R4481" i="5" s="1"/>
  <c r="G5016" i="5"/>
  <c r="R5016" i="5" s="1"/>
  <c r="G4568" i="5"/>
  <c r="R4568" i="5" s="1"/>
  <c r="G5182" i="5"/>
  <c r="R5182" i="5" s="1"/>
  <c r="G8191" i="5"/>
  <c r="R8191" i="5" s="1"/>
  <c r="G1085" i="5"/>
  <c r="R1085" i="5" s="1"/>
  <c r="G2054" i="5"/>
  <c r="R2054" i="5" s="1"/>
  <c r="G2893" i="5"/>
  <c r="R2893" i="5" s="1"/>
  <c r="G3621" i="5"/>
  <c r="R3621" i="5" s="1"/>
  <c r="G4231" i="5"/>
  <c r="R4231" i="5" s="1"/>
  <c r="G4708" i="5"/>
  <c r="R4708" i="5" s="1"/>
  <c r="G2347" i="5"/>
  <c r="R2347" i="5" s="1"/>
  <c r="G6426" i="5"/>
  <c r="R6426" i="5" s="1"/>
  <c r="G8235" i="5"/>
  <c r="R8235" i="5" s="1"/>
  <c r="G4365" i="5"/>
  <c r="R4365" i="5" s="1"/>
  <c r="G6258" i="5"/>
  <c r="R6258" i="5" s="1"/>
  <c r="G651" i="5"/>
  <c r="R651" i="5" s="1"/>
  <c r="G3193" i="5"/>
  <c r="R3193" i="5" s="1"/>
  <c r="G6397" i="5"/>
  <c r="R6397" i="5" s="1"/>
  <c r="G8197" i="5"/>
  <c r="R8197" i="5" s="1"/>
  <c r="G1231" i="5"/>
  <c r="R1231" i="5" s="1"/>
  <c r="G5123" i="5"/>
  <c r="R5123" i="5" s="1"/>
  <c r="G2809" i="5"/>
  <c r="R2809" i="5" s="1"/>
  <c r="G4704" i="5"/>
  <c r="R4704" i="5" s="1"/>
  <c r="G6824" i="5"/>
  <c r="R6824" i="5" s="1"/>
  <c r="G5289" i="5"/>
  <c r="R5289" i="5" s="1"/>
  <c r="G1537" i="5"/>
  <c r="R1537" i="5" s="1"/>
  <c r="G3282" i="5"/>
  <c r="R3282" i="5" s="1"/>
  <c r="G7132" i="5"/>
  <c r="R7132" i="5" s="1"/>
  <c r="G3954" i="5"/>
  <c r="R3954" i="5" s="1"/>
  <c r="G6492" i="5"/>
  <c r="R6492" i="5" s="1"/>
  <c r="G2922" i="5"/>
  <c r="R2922" i="5" s="1"/>
  <c r="G5326" i="5"/>
  <c r="R5326" i="5" s="1"/>
  <c r="G2228" i="5"/>
  <c r="R2228" i="5" s="1"/>
  <c r="G4610" i="5"/>
  <c r="R4610" i="5" s="1"/>
  <c r="G487" i="5"/>
  <c r="R487" i="5" s="1"/>
  <c r="G1283" i="5"/>
  <c r="R1283" i="5" s="1"/>
  <c r="G3665" i="5"/>
  <c r="R3665" i="5" s="1"/>
  <c r="G2121" i="5"/>
  <c r="R2121" i="5" s="1"/>
  <c r="G4853" i="5"/>
  <c r="R4853" i="5" s="1"/>
  <c r="G2387" i="5"/>
  <c r="R2387" i="5" s="1"/>
  <c r="G4009" i="5"/>
  <c r="R4009" i="5" s="1"/>
  <c r="G1628" i="5"/>
  <c r="R1628" i="5" s="1"/>
  <c r="G5279" i="5"/>
  <c r="R5279" i="5" s="1"/>
  <c r="G1192" i="5"/>
  <c r="R1192" i="5" s="1"/>
  <c r="G543" i="5"/>
  <c r="R543" i="5" s="1"/>
  <c r="G3324" i="5"/>
  <c r="R3324" i="5" s="1"/>
  <c r="G2529" i="5"/>
  <c r="R2529" i="5" s="1"/>
  <c r="G3485" i="5"/>
  <c r="R3485" i="5" s="1"/>
  <c r="G2829" i="5"/>
  <c r="R2829" i="5" s="1"/>
  <c r="G3082" i="5"/>
  <c r="R3082" i="5" s="1"/>
  <c r="G634" i="5"/>
  <c r="R634" i="5" s="1"/>
  <c r="G6296" i="5"/>
  <c r="R6296" i="5" s="1"/>
  <c r="G3782" i="5"/>
  <c r="R3782" i="5" s="1"/>
  <c r="G5168" i="5"/>
  <c r="R5168" i="5" s="1"/>
  <c r="G3360" i="5"/>
  <c r="R3360" i="5" s="1"/>
  <c r="G2296" i="5"/>
  <c r="R2296" i="5" s="1"/>
  <c r="G186" i="5"/>
  <c r="R186" i="5" s="1"/>
  <c r="G1297" i="5"/>
  <c r="R1297" i="5" s="1"/>
  <c r="G1453" i="5"/>
  <c r="R1453" i="5" s="1"/>
  <c r="G2275" i="5"/>
  <c r="R2275" i="5" s="1"/>
  <c r="G4586" i="5"/>
  <c r="R4586" i="5" s="1"/>
  <c r="G6896" i="5"/>
  <c r="R6896" i="5" s="1"/>
  <c r="G1860" i="5"/>
  <c r="R1860" i="5" s="1"/>
  <c r="G799" i="5"/>
  <c r="R799" i="5" s="1"/>
  <c r="G4581" i="5"/>
  <c r="R4581" i="5" s="1"/>
  <c r="G3574" i="5"/>
  <c r="R3574" i="5" s="1"/>
  <c r="G5541" i="5"/>
  <c r="R5541" i="5" s="1"/>
  <c r="G1618" i="5"/>
  <c r="R1618" i="5" s="1"/>
  <c r="G3962" i="5"/>
  <c r="R3962" i="5" s="1"/>
  <c r="G4790" i="5"/>
  <c r="R4790" i="5" s="1"/>
  <c r="G6812" i="5"/>
  <c r="R6812" i="5" s="1"/>
  <c r="G627" i="5"/>
  <c r="R627" i="5" s="1"/>
  <c r="G4505" i="5"/>
  <c r="R4505" i="5" s="1"/>
  <c r="G6275" i="5"/>
  <c r="R6275" i="5" s="1"/>
  <c r="G2963" i="5"/>
  <c r="R2963" i="5" s="1"/>
  <c r="G4792" i="5"/>
  <c r="R4792" i="5" s="1"/>
  <c r="G6216" i="5"/>
  <c r="R6216" i="5" s="1"/>
  <c r="G6401" i="5"/>
  <c r="R6401" i="5" s="1"/>
  <c r="G747" i="5"/>
  <c r="R747" i="5" s="1"/>
  <c r="G5413" i="5"/>
  <c r="R5413" i="5" s="1"/>
  <c r="G5369" i="5"/>
  <c r="R5369" i="5" s="1"/>
  <c r="G6852" i="5"/>
  <c r="R6852" i="5" s="1"/>
  <c r="G642" i="5"/>
  <c r="R642" i="5" s="1"/>
  <c r="G807" i="5"/>
  <c r="R807" i="5" s="1"/>
  <c r="G1314" i="5"/>
  <c r="R1314" i="5" s="1"/>
  <c r="G3141" i="5"/>
  <c r="R3141" i="5" s="1"/>
  <c r="G4366" i="5"/>
  <c r="R4366" i="5" s="1"/>
  <c r="G6390" i="5"/>
  <c r="R6390" i="5" s="1"/>
  <c r="G1499" i="5"/>
  <c r="R1499" i="5" s="1"/>
  <c r="G2307" i="5"/>
  <c r="R2307" i="5" s="1"/>
  <c r="G4428" i="5"/>
  <c r="R4428" i="5" s="1"/>
  <c r="G5015" i="5"/>
  <c r="R5015" i="5" s="1"/>
  <c r="G7378" i="5"/>
  <c r="R7378" i="5" s="1"/>
  <c r="G1842" i="5"/>
  <c r="R1842" i="5" s="1"/>
  <c r="G5061" i="5"/>
  <c r="R5061" i="5" s="1"/>
  <c r="G6448" i="5"/>
  <c r="R6448" i="5" s="1"/>
  <c r="G722" i="5"/>
  <c r="R722" i="5" s="1"/>
  <c r="G3545" i="5"/>
  <c r="R3545" i="5" s="1"/>
  <c r="G4806" i="5"/>
  <c r="R4806" i="5" s="1"/>
  <c r="G6230" i="5"/>
  <c r="R6230" i="5" s="1"/>
  <c r="G143" i="5"/>
  <c r="R143" i="5" s="1"/>
  <c r="G4489" i="5"/>
  <c r="R4489" i="5" s="1"/>
  <c r="G7196" i="5"/>
  <c r="R7196" i="5" s="1"/>
  <c r="G1678" i="5"/>
  <c r="R1678" i="5" s="1"/>
  <c r="G5349" i="5"/>
  <c r="R5349" i="5" s="1"/>
  <c r="G6119" i="5"/>
  <c r="R6119" i="5" s="1"/>
  <c r="G4478" i="5"/>
  <c r="R4478" i="5" s="1"/>
  <c r="G6452" i="5"/>
  <c r="R6452" i="5" s="1"/>
  <c r="G1304" i="5"/>
  <c r="R1304" i="5" s="1"/>
  <c r="G3426" i="5"/>
  <c r="R3426" i="5" s="1"/>
  <c r="G4789" i="5"/>
  <c r="R4789" i="5" s="1"/>
  <c r="G4053" i="5"/>
  <c r="R4053" i="5" s="1"/>
  <c r="G1244" i="5"/>
  <c r="R1244" i="5" s="1"/>
  <c r="G2513" i="5"/>
  <c r="R2513" i="5" s="1"/>
  <c r="G6373" i="5"/>
  <c r="R6373" i="5" s="1"/>
  <c r="G502" i="5"/>
  <c r="R502" i="5" s="1"/>
  <c r="G251" i="5"/>
  <c r="R251" i="5" s="1"/>
  <c r="G254" i="5"/>
  <c r="R254" i="5" s="1"/>
  <c r="G1339" i="5"/>
  <c r="R1339" i="5" s="1"/>
  <c r="G932" i="5"/>
  <c r="R932" i="5" s="1"/>
  <c r="G1521" i="5"/>
  <c r="R1521" i="5" s="1"/>
  <c r="G2256" i="5"/>
  <c r="R2256" i="5" s="1"/>
  <c r="G3153" i="5"/>
  <c r="R3153" i="5" s="1"/>
  <c r="G4968" i="5"/>
  <c r="R4968" i="5" s="1"/>
  <c r="G1538" i="5"/>
  <c r="R1538" i="5" s="1"/>
  <c r="G2319" i="5"/>
  <c r="R2319" i="5" s="1"/>
  <c r="G4438" i="5"/>
  <c r="R4438" i="5" s="1"/>
  <c r="G1871" i="5"/>
  <c r="R1871" i="5" s="1"/>
  <c r="G4041" i="5"/>
  <c r="R4041" i="5" s="1"/>
  <c r="G5080" i="5"/>
  <c r="R5080" i="5" s="1"/>
  <c r="G1806" i="5"/>
  <c r="R1806" i="5" s="1"/>
  <c r="G2784" i="5"/>
  <c r="R2784" i="5" s="1"/>
  <c r="G3556" i="5"/>
  <c r="R3556" i="5" s="1"/>
  <c r="G5243" i="5"/>
  <c r="R5243" i="5" s="1"/>
  <c r="G1205" i="5"/>
  <c r="R1205" i="5" s="1"/>
  <c r="G244" i="5"/>
  <c r="R244" i="5" s="1"/>
  <c r="G1758" i="5"/>
  <c r="R1758" i="5" s="1"/>
  <c r="G3868" i="5"/>
  <c r="R3868" i="5" s="1"/>
  <c r="G5427" i="5"/>
  <c r="R5427" i="5" s="1"/>
  <c r="G2846" i="5"/>
  <c r="R2846" i="5" s="1"/>
  <c r="G4539" i="5"/>
  <c r="R4539" i="5" s="1"/>
  <c r="G3250" i="5"/>
  <c r="R3250" i="5" s="1"/>
  <c r="G7431" i="5"/>
  <c r="R7431" i="5" s="1"/>
  <c r="G4458" i="5"/>
  <c r="R4458" i="5" s="1"/>
  <c r="G6285" i="5"/>
  <c r="R6285" i="5" s="1"/>
  <c r="G2883" i="5"/>
  <c r="R2883" i="5" s="1"/>
  <c r="G7274" i="5"/>
  <c r="R7274" i="5" s="1"/>
  <c r="G1211" i="5"/>
  <c r="R1211" i="5" s="1"/>
  <c r="G515" i="5"/>
  <c r="R515" i="5" s="1"/>
  <c r="G1042" i="5"/>
  <c r="R1042" i="5" s="1"/>
  <c r="G409" i="5"/>
  <c r="R409" i="5" s="1"/>
  <c r="G951" i="5"/>
  <c r="R951" i="5" s="1"/>
  <c r="G369" i="5"/>
  <c r="R369" i="5" s="1"/>
  <c r="G2342" i="5"/>
  <c r="R2342" i="5" s="1"/>
  <c r="G3980" i="5"/>
  <c r="R3980" i="5" s="1"/>
  <c r="G4453" i="5"/>
  <c r="R4453" i="5" s="1"/>
  <c r="G1896" i="5"/>
  <c r="R1896" i="5" s="1"/>
  <c r="G3509" i="5"/>
  <c r="R3509" i="5" s="1"/>
  <c r="G4051" i="5"/>
  <c r="R4051" i="5" s="1"/>
  <c r="G4629" i="5"/>
  <c r="R4629" i="5" s="1"/>
  <c r="G1243" i="5"/>
  <c r="R1243" i="5" s="1"/>
  <c r="G3737" i="5"/>
  <c r="R3737" i="5" s="1"/>
  <c r="G4870" i="5"/>
  <c r="R4870" i="5" s="1"/>
  <c r="G5459" i="5"/>
  <c r="R5459" i="5" s="1"/>
  <c r="G4580" i="5"/>
  <c r="R4580" i="5" s="1"/>
  <c r="G7231" i="5"/>
  <c r="R7231" i="5" s="1"/>
  <c r="G2948" i="5"/>
  <c r="R2948" i="5" s="1"/>
  <c r="G4563" i="5"/>
  <c r="R4563" i="5" s="1"/>
  <c r="G1694" i="5"/>
  <c r="R1694" i="5" s="1"/>
  <c r="G4906" i="5"/>
  <c r="R4906" i="5" s="1"/>
  <c r="G2485" i="5"/>
  <c r="R2485" i="5" s="1"/>
  <c r="G6316" i="5"/>
  <c r="R6316" i="5" s="1"/>
  <c r="G842" i="5"/>
  <c r="R842" i="5" s="1"/>
  <c r="G152" i="5"/>
  <c r="R152" i="5" s="1"/>
  <c r="G1178" i="5"/>
  <c r="R1178" i="5" s="1"/>
  <c r="G972" i="5"/>
  <c r="R972" i="5" s="1"/>
  <c r="G710" i="5"/>
  <c r="R710" i="5" s="1"/>
  <c r="G4013" i="5"/>
  <c r="R4013" i="5" s="1"/>
  <c r="G1793" i="5"/>
  <c r="R1793" i="5" s="1"/>
  <c r="G4092" i="5"/>
  <c r="R4092" i="5" s="1"/>
  <c r="G3667" i="5"/>
  <c r="R3667" i="5" s="1"/>
  <c r="G5256" i="5"/>
  <c r="R5256" i="5" s="1"/>
  <c r="G7412" i="5"/>
  <c r="R7412" i="5" s="1"/>
  <c r="G2086" i="5"/>
  <c r="R2086" i="5" s="1"/>
  <c r="G3070" i="5"/>
  <c r="R3070" i="5" s="1"/>
  <c r="G3753" i="5"/>
  <c r="R3753" i="5" s="1"/>
  <c r="G4312" i="5"/>
  <c r="R4312" i="5" s="1"/>
  <c r="G4869" i="5"/>
  <c r="R4869" i="5" s="1"/>
  <c r="G5455" i="5"/>
  <c r="R5455" i="5" s="1"/>
  <c r="G535" i="5"/>
  <c r="R535" i="5" s="1"/>
  <c r="G1550" i="5"/>
  <c r="R1550" i="5" s="1"/>
  <c r="G2304" i="5"/>
  <c r="R2304" i="5" s="1"/>
  <c r="G3913" i="5"/>
  <c r="R3913" i="5" s="1"/>
  <c r="G6381" i="5"/>
  <c r="R6381" i="5" s="1"/>
  <c r="G985" i="5"/>
  <c r="R985" i="5" s="1"/>
  <c r="G3276" i="5"/>
  <c r="R3276" i="5" s="1"/>
  <c r="G5144" i="5"/>
  <c r="R5144" i="5" s="1"/>
  <c r="G1889" i="5"/>
  <c r="R1889" i="5" s="1"/>
  <c r="G3919" i="5"/>
  <c r="R3919" i="5" s="1"/>
  <c r="G5479" i="5"/>
  <c r="R5479" i="5" s="1"/>
  <c r="G3033" i="5"/>
  <c r="R3033" i="5" s="1"/>
  <c r="G4540" i="5"/>
  <c r="R4540" i="5" s="1"/>
  <c r="G6225" i="5"/>
  <c r="R6225" i="5" s="1"/>
  <c r="G2109" i="5"/>
  <c r="R2109" i="5" s="1"/>
  <c r="G3946" i="5"/>
  <c r="R3946" i="5" s="1"/>
  <c r="G5460" i="5"/>
  <c r="R5460" i="5" s="1"/>
  <c r="G3326" i="5"/>
  <c r="R3326" i="5" s="1"/>
  <c r="G5033" i="5"/>
  <c r="R5033" i="5" s="1"/>
  <c r="G1786" i="5"/>
  <c r="R1786" i="5" s="1"/>
  <c r="G7410" i="5"/>
  <c r="R7410" i="5" s="1"/>
  <c r="G85" i="5"/>
  <c r="R85" i="5" s="1"/>
  <c r="G560" i="5"/>
  <c r="R560" i="5" s="1"/>
  <c r="G1072" i="5"/>
  <c r="R1072" i="5" s="1"/>
  <c r="G287" i="5"/>
  <c r="R287" i="5" s="1"/>
  <c r="G866" i="5"/>
  <c r="R866" i="5" s="1"/>
  <c r="G1396" i="5"/>
  <c r="R1396" i="5" s="1"/>
  <c r="G432" i="5"/>
  <c r="R432" i="5" s="1"/>
  <c r="G1566" i="5"/>
  <c r="R1566" i="5" s="1"/>
  <c r="G2386" i="5"/>
  <c r="R2386" i="5" s="1"/>
  <c r="G3366" i="5"/>
  <c r="R3366" i="5" s="1"/>
  <c r="G4007" i="5"/>
  <c r="R4007" i="5" s="1"/>
  <c r="G5075" i="5"/>
  <c r="R5075" i="5" s="1"/>
  <c r="G964" i="5"/>
  <c r="R964" i="5" s="1"/>
  <c r="G7190" i="5"/>
  <c r="R7190" i="5" s="1"/>
  <c r="G3620" i="5"/>
  <c r="R3620" i="5" s="1"/>
  <c r="G4190" i="5"/>
  <c r="R4190" i="5" s="1"/>
  <c r="G2197" i="5"/>
  <c r="R2197" i="5" s="1"/>
  <c r="G3094" i="5"/>
  <c r="R3094" i="5" s="1"/>
  <c r="G4339" i="5"/>
  <c r="R4339" i="5" s="1"/>
  <c r="G6291" i="5"/>
  <c r="R6291" i="5" s="1"/>
  <c r="G5583" i="5"/>
  <c r="R5583" i="5" s="1"/>
  <c r="G4890" i="5"/>
  <c r="R4890" i="5" s="1"/>
  <c r="G1199" i="5"/>
  <c r="R1199" i="5" s="1"/>
  <c r="G3554" i="5"/>
  <c r="R3554" i="5" s="1"/>
  <c r="G6366" i="5"/>
  <c r="R6366" i="5" s="1"/>
  <c r="G3628" i="5"/>
  <c r="R3628" i="5" s="1"/>
  <c r="G2187" i="5"/>
  <c r="R2187" i="5" s="1"/>
  <c r="G36" i="5"/>
  <c r="R36" i="5" s="1"/>
  <c r="G575" i="5"/>
  <c r="R575" i="5" s="1"/>
  <c r="G1087" i="5"/>
  <c r="R1087" i="5" s="1"/>
  <c r="G298" i="5"/>
  <c r="R298" i="5" s="1"/>
  <c r="G1408" i="5"/>
  <c r="R1408" i="5" s="1"/>
  <c r="G429" i="5"/>
  <c r="R429" i="5" s="1"/>
  <c r="G1533" i="5"/>
  <c r="R1533" i="5" s="1"/>
  <c r="G3927" i="5"/>
  <c r="R3927" i="5" s="1"/>
  <c r="G1605" i="5"/>
  <c r="R1605" i="5" s="1"/>
  <c r="G4487" i="5"/>
  <c r="R4487" i="5" s="1"/>
  <c r="G5093" i="5"/>
  <c r="R5093" i="5" s="1"/>
  <c r="G984" i="5"/>
  <c r="R984" i="5" s="1"/>
  <c r="G1980" i="5"/>
  <c r="R1980" i="5" s="1"/>
  <c r="G2807" i="5"/>
  <c r="R2807" i="5" s="1"/>
  <c r="G4081" i="5"/>
  <c r="R4081" i="5" s="1"/>
  <c r="G4590" i="5"/>
  <c r="R4590" i="5" s="1"/>
  <c r="G2888" i="5"/>
  <c r="R2888" i="5" s="1"/>
  <c r="G4706" i="5"/>
  <c r="R4706" i="5" s="1"/>
  <c r="G1345" i="5"/>
  <c r="R1345" i="5" s="1"/>
  <c r="G2215" i="5"/>
  <c r="R2215" i="5" s="1"/>
  <c r="G3134" i="5"/>
  <c r="R3134" i="5" s="1"/>
  <c r="G4348" i="5"/>
  <c r="R4348" i="5" s="1"/>
  <c r="G4796" i="5"/>
  <c r="R4796" i="5" s="1"/>
  <c r="G7339" i="5"/>
  <c r="R7339" i="5" s="1"/>
  <c r="G2589" i="5"/>
  <c r="R2589" i="5" s="1"/>
  <c r="G3731" i="5"/>
  <c r="R3731" i="5" s="1"/>
  <c r="G4946" i="5"/>
  <c r="R4946" i="5" s="1"/>
  <c r="G3416" i="5"/>
  <c r="R3416" i="5" s="1"/>
  <c r="G1305" i="5"/>
  <c r="R1305" i="5" s="1"/>
  <c r="G5100" i="5"/>
  <c r="R5100" i="5" s="1"/>
  <c r="G8218" i="5"/>
  <c r="R8218" i="5" s="1"/>
  <c r="G8186" i="5"/>
  <c r="R8186" i="5" s="1"/>
  <c r="G7617" i="5"/>
  <c r="R7617" i="5" s="1"/>
  <c r="G7036" i="5"/>
  <c r="R7036" i="5" s="1"/>
  <c r="G889" i="5"/>
  <c r="R889" i="5" s="1"/>
  <c r="G474" i="5"/>
  <c r="R474" i="5" s="1"/>
  <c r="G3599" i="5"/>
  <c r="R3599" i="5" s="1"/>
  <c r="G4738" i="5"/>
  <c r="R4738" i="5" s="1"/>
  <c r="G2149" i="5"/>
  <c r="R2149" i="5" s="1"/>
  <c r="G279" i="5"/>
  <c r="R279" i="5" s="1"/>
  <c r="G5421" i="5"/>
  <c r="R5421" i="5" s="1"/>
  <c r="G5467" i="5"/>
  <c r="R5467" i="5" s="1"/>
  <c r="G4600" i="5"/>
  <c r="R4600" i="5" s="1"/>
  <c r="G1051" i="5"/>
  <c r="R1051" i="5" s="1"/>
  <c r="G1226" i="5"/>
  <c r="R1226" i="5" s="1"/>
  <c r="G1788" i="5"/>
  <c r="R1788" i="5" s="1"/>
  <c r="G4139" i="5"/>
  <c r="R4139" i="5" s="1"/>
  <c r="G1277" i="5"/>
  <c r="R1277" i="5" s="1"/>
  <c r="G3305" i="5"/>
  <c r="R3305" i="5" s="1"/>
  <c r="G6441" i="5"/>
  <c r="R6441" i="5" s="1"/>
  <c r="G4433" i="5"/>
  <c r="R4433" i="5" s="1"/>
  <c r="G4631" i="5"/>
  <c r="R4631" i="5" s="1"/>
  <c r="G1443" i="5"/>
  <c r="R1443" i="5" s="1"/>
  <c r="G4418" i="5"/>
  <c r="R4418" i="5" s="1"/>
  <c r="G4018" i="5"/>
  <c r="R4018" i="5" s="1"/>
  <c r="G6435" i="5"/>
  <c r="R6435" i="5" s="1"/>
  <c r="G5209" i="5"/>
  <c r="R5209" i="5" s="1"/>
  <c r="G1143" i="5"/>
  <c r="R1143" i="5" s="1"/>
  <c r="G4447" i="5"/>
  <c r="R4447" i="5" s="1"/>
  <c r="G467" i="5"/>
  <c r="R467" i="5" s="1"/>
  <c r="G1142" i="5"/>
  <c r="R1142" i="5" s="1"/>
  <c r="G861" i="5"/>
  <c r="R861" i="5" s="1"/>
  <c r="G5301" i="5"/>
  <c r="R5301" i="5" s="1"/>
  <c r="G7032" i="5"/>
  <c r="R7032" i="5" s="1"/>
  <c r="G2557" i="5"/>
  <c r="R2557" i="5" s="1"/>
  <c r="G1162" i="5"/>
  <c r="R1162" i="5" s="1"/>
  <c r="G460" i="5"/>
  <c r="R460" i="5" s="1"/>
  <c r="G266" i="5"/>
  <c r="R266" i="5" s="1"/>
  <c r="G3431" i="5"/>
  <c r="R3431" i="5" s="1"/>
  <c r="G4098" i="5"/>
  <c r="R4098" i="5" s="1"/>
  <c r="G2116" i="5"/>
  <c r="R2116" i="5" s="1"/>
  <c r="G2489" i="5"/>
  <c r="R2489" i="5" s="1"/>
  <c r="G2188" i="5"/>
  <c r="R2188" i="5" s="1"/>
  <c r="G4130" i="5"/>
  <c r="R4130" i="5" s="1"/>
  <c r="G729" i="5"/>
  <c r="R729" i="5" s="1"/>
  <c r="G3299" i="5"/>
  <c r="R3299" i="5" s="1"/>
  <c r="G6477" i="5"/>
  <c r="R6477" i="5" s="1"/>
  <c r="G6337" i="5"/>
  <c r="R6337" i="5" s="1"/>
  <c r="G843" i="5"/>
  <c r="R843" i="5" s="1"/>
  <c r="G6408" i="5"/>
  <c r="R6408" i="5" s="1"/>
  <c r="G1567" i="5"/>
  <c r="R1567" i="5" s="1"/>
  <c r="G1545" i="5"/>
  <c r="R1545" i="5" s="1"/>
  <c r="G3185" i="5"/>
  <c r="R3185" i="5" s="1"/>
  <c r="G2003" i="5"/>
  <c r="R2003" i="5" s="1"/>
  <c r="G1987" i="5"/>
  <c r="R1987" i="5" s="1"/>
  <c r="G1801" i="5"/>
  <c r="R1801" i="5" s="1"/>
  <c r="G418" i="5"/>
  <c r="R418" i="5" s="1"/>
  <c r="G81" i="5"/>
  <c r="R81" i="5" s="1"/>
  <c r="G787" i="5"/>
  <c r="R787" i="5" s="1"/>
  <c r="G632" i="5"/>
  <c r="R632" i="5" s="1"/>
  <c r="G928" i="5"/>
  <c r="R928" i="5" s="1"/>
  <c r="G527" i="5"/>
  <c r="R527" i="5" s="1"/>
  <c r="G2367" i="5"/>
  <c r="R2367" i="5" s="1"/>
  <c r="G5074" i="5"/>
  <c r="R5074" i="5" s="1"/>
  <c r="G2533" i="5"/>
  <c r="R2533" i="5" s="1"/>
  <c r="G6206" i="5"/>
  <c r="R6206" i="5" s="1"/>
  <c r="G4781" i="5"/>
  <c r="R4781" i="5" s="1"/>
  <c r="G5364" i="5"/>
  <c r="R5364" i="5" s="1"/>
  <c r="G7418" i="5"/>
  <c r="R7418" i="5" s="1"/>
  <c r="G6171" i="5"/>
  <c r="R6171" i="5" s="1"/>
  <c r="G2774" i="5"/>
  <c r="R2774" i="5" s="1"/>
  <c r="G3874" i="5"/>
  <c r="R3874" i="5" s="1"/>
  <c r="G4786" i="5"/>
  <c r="R4786" i="5" s="1"/>
  <c r="G7363" i="5"/>
  <c r="R7363" i="5" s="1"/>
  <c r="G1428" i="5"/>
  <c r="R1428" i="5" s="1"/>
  <c r="G3687" i="5"/>
  <c r="R3687" i="5" s="1"/>
  <c r="G5184" i="5"/>
  <c r="R5184" i="5" s="1"/>
  <c r="G754" i="5"/>
  <c r="R754" i="5" s="1"/>
  <c r="G1640" i="5"/>
  <c r="R1640" i="5" s="1"/>
  <c r="G2094" i="5"/>
  <c r="R2094" i="5" s="1"/>
  <c r="G3317" i="5"/>
  <c r="R3317" i="5" s="1"/>
  <c r="G5727" i="5"/>
  <c r="R5727" i="5" s="1"/>
  <c r="G1177" i="5"/>
  <c r="R1177" i="5" s="1"/>
  <c r="G983" i="5"/>
  <c r="R983" i="5" s="1"/>
  <c r="G243" i="5"/>
  <c r="R243" i="5" s="1"/>
  <c r="G1484" i="5"/>
  <c r="R1484" i="5" s="1"/>
  <c r="G1351" i="5"/>
  <c r="R1351" i="5" s="1"/>
  <c r="G2204" i="5"/>
  <c r="R2204" i="5" s="1"/>
  <c r="G3860" i="5"/>
  <c r="R3860" i="5" s="1"/>
  <c r="G3285" i="5"/>
  <c r="R3285" i="5" s="1"/>
  <c r="G3955" i="5"/>
  <c r="R3955" i="5" s="1"/>
  <c r="G779" i="5"/>
  <c r="R779" i="5" s="1"/>
  <c r="G3465" i="5"/>
  <c r="R3465" i="5" s="1"/>
  <c r="G4523" i="5"/>
  <c r="R4523" i="5" s="1"/>
  <c r="G1781" i="5"/>
  <c r="R1781" i="5" s="1"/>
  <c r="G2669" i="5"/>
  <c r="R2669" i="5" s="1"/>
  <c r="G4599" i="5"/>
  <c r="R4599" i="5" s="1"/>
  <c r="G5224" i="5"/>
  <c r="R5224" i="5" s="1"/>
  <c r="G6287" i="5"/>
  <c r="R6287" i="5" s="1"/>
  <c r="G1171" i="5"/>
  <c r="R1171" i="5" s="1"/>
  <c r="G2128" i="5"/>
  <c r="R2128" i="5" s="1"/>
  <c r="G2990" i="5"/>
  <c r="R2990" i="5" s="1"/>
  <c r="G3681" i="5"/>
  <c r="R3681" i="5" s="1"/>
  <c r="G887" i="5"/>
  <c r="R887" i="5" s="1"/>
  <c r="G3439" i="5"/>
  <c r="R3439" i="5" s="1"/>
  <c r="G4967" i="5"/>
  <c r="R4967" i="5" s="1"/>
  <c r="G3730" i="5"/>
  <c r="R3730" i="5" s="1"/>
  <c r="G8182" i="5"/>
  <c r="R8182" i="5" s="1"/>
  <c r="G4829" i="5"/>
  <c r="R4829" i="5" s="1"/>
  <c r="G7392" i="5"/>
  <c r="R7392" i="5" s="1"/>
  <c r="G7450" i="5"/>
  <c r="R7450" i="5" s="1"/>
  <c r="G583" i="5"/>
  <c r="R583" i="5" s="1"/>
  <c r="G3296" i="5"/>
  <c r="R3296" i="5" s="1"/>
  <c r="G7028" i="5"/>
  <c r="R7028" i="5" s="1"/>
  <c r="G1150" i="5"/>
  <c r="R1150" i="5" s="1"/>
  <c r="G566" i="5"/>
  <c r="R566" i="5" s="1"/>
  <c r="G3993" i="5"/>
  <c r="R3993" i="5" s="1"/>
  <c r="G4486" i="5"/>
  <c r="R4486" i="5" s="1"/>
  <c r="G5104" i="5"/>
  <c r="R5104" i="5" s="1"/>
  <c r="G4556" i="5"/>
  <c r="R4556" i="5" s="1"/>
  <c r="G6236" i="5"/>
  <c r="R6236" i="5" s="1"/>
  <c r="G8184" i="5"/>
  <c r="R8184" i="5" s="1"/>
  <c r="G2943" i="5"/>
  <c r="R2943" i="5" s="1"/>
  <c r="G4655" i="5"/>
  <c r="R4655" i="5" s="1"/>
  <c r="G3003" i="5"/>
  <c r="R3003" i="5" s="1"/>
  <c r="G3713" i="5"/>
  <c r="R3713" i="5" s="1"/>
  <c r="G4802" i="5"/>
  <c r="R4802" i="5" s="1"/>
  <c r="G5405" i="5"/>
  <c r="R5405" i="5" s="1"/>
  <c r="G4412" i="5"/>
  <c r="R4412" i="5" s="1"/>
  <c r="G3076" i="5"/>
  <c r="R3076" i="5" s="1"/>
  <c r="G51" i="5"/>
  <c r="R51" i="5" s="1"/>
  <c r="G6389" i="5"/>
  <c r="R6389" i="5" s="1"/>
  <c r="G3926" i="5"/>
  <c r="R3926" i="5" s="1"/>
  <c r="G927" i="5"/>
  <c r="R927" i="5" s="1"/>
  <c r="G4897" i="5"/>
  <c r="R4897" i="5" s="1"/>
  <c r="G1364" i="5"/>
  <c r="R1364" i="5" s="1"/>
  <c r="G2449" i="5"/>
  <c r="R2449" i="5" s="1"/>
  <c r="G4485" i="5"/>
  <c r="R4485" i="5" s="1"/>
  <c r="G3204" i="5"/>
  <c r="R3204" i="5" s="1"/>
  <c r="G2609" i="5"/>
  <c r="R2609" i="5" s="1"/>
  <c r="G6019" i="5"/>
  <c r="R6019" i="5" s="1"/>
  <c r="G6015" i="5"/>
  <c r="R6015" i="5" s="1"/>
  <c r="G5719" i="5"/>
  <c r="R5719" i="5" s="1"/>
  <c r="G712" i="5"/>
  <c r="R712" i="5" s="1"/>
  <c r="G1357" i="5"/>
  <c r="R1357" i="5" s="1"/>
  <c r="G3895" i="5"/>
  <c r="R3895" i="5" s="1"/>
  <c r="G6430" i="5"/>
  <c r="R6430" i="5" s="1"/>
  <c r="G407" i="5"/>
  <c r="R407" i="5" s="1"/>
  <c r="G3331" i="5"/>
  <c r="R3331" i="5" s="1"/>
  <c r="G5044" i="5"/>
  <c r="R5044" i="5" s="1"/>
  <c r="G7411" i="5"/>
  <c r="R7411" i="5" s="1"/>
  <c r="G865" i="5"/>
  <c r="R865" i="5" s="1"/>
  <c r="G4562" i="5"/>
  <c r="R4562" i="5" s="1"/>
  <c r="G6471" i="5"/>
  <c r="R6471" i="5" s="1"/>
  <c r="G813" i="5"/>
  <c r="R813" i="5" s="1"/>
  <c r="G2800" i="5"/>
  <c r="R2800" i="5" s="1"/>
  <c r="G3583" i="5"/>
  <c r="R3583" i="5" s="1"/>
  <c r="G5261" i="5"/>
  <c r="R5261" i="5" s="1"/>
  <c r="G165" i="5"/>
  <c r="R165" i="5" s="1"/>
  <c r="G3044" i="5"/>
  <c r="R3044" i="5" s="1"/>
  <c r="G6260" i="5"/>
  <c r="R6260" i="5" s="1"/>
  <c r="G2352" i="5"/>
  <c r="R2352" i="5" s="1"/>
  <c r="G4199" i="5"/>
  <c r="R4199" i="5" s="1"/>
  <c r="G6292" i="5"/>
  <c r="R6292" i="5" s="1"/>
  <c r="G1088" i="5"/>
  <c r="R1088" i="5" s="1"/>
  <c r="G3453" i="5"/>
  <c r="R3453" i="5" s="1"/>
  <c r="G2249" i="5"/>
  <c r="R2249" i="5" s="1"/>
  <c r="G4226" i="5"/>
  <c r="R4226" i="5" s="1"/>
  <c r="G5437" i="5"/>
  <c r="R5437" i="5" s="1"/>
  <c r="G3701" i="5"/>
  <c r="R3701" i="5" s="1"/>
  <c r="G5358" i="5"/>
  <c r="R5358" i="5" s="1"/>
  <c r="G2010" i="5"/>
  <c r="R2010" i="5" s="1"/>
  <c r="G5414" i="5"/>
  <c r="R5414" i="5" s="1"/>
  <c r="G4995" i="5"/>
  <c r="R4995" i="5" s="1"/>
  <c r="G7451" i="5"/>
  <c r="R7451" i="5" s="1"/>
  <c r="G5735" i="5"/>
  <c r="R5735" i="5" s="1"/>
  <c r="G7347" i="5"/>
  <c r="R7347" i="5" s="1"/>
  <c r="G5723" i="5"/>
  <c r="R5723" i="5" s="1"/>
  <c r="F296" i="8"/>
  <c r="H296" i="8"/>
  <c r="I296" i="8" s="1"/>
  <c r="S296" i="8" s="1"/>
  <c r="G414" i="5"/>
  <c r="R414" i="5" s="1"/>
  <c r="G450" i="5"/>
  <c r="R450" i="5" s="1"/>
  <c r="G603" i="5"/>
  <c r="R603" i="5" s="1"/>
  <c r="G1698" i="5"/>
  <c r="R1698" i="5" s="1"/>
  <c r="G2437" i="5"/>
  <c r="R2437" i="5" s="1"/>
  <c r="G4531" i="5"/>
  <c r="R4531" i="5" s="1"/>
  <c r="G5136" i="5"/>
  <c r="R5136" i="5" s="1"/>
  <c r="G778" i="5"/>
  <c r="R778" i="5" s="1"/>
  <c r="G3504" i="5"/>
  <c r="R3504" i="5" s="1"/>
  <c r="G6265" i="5"/>
  <c r="R6265" i="5" s="1"/>
  <c r="G8205" i="5"/>
  <c r="R8205" i="5" s="1"/>
  <c r="G1157" i="5"/>
  <c r="R1157" i="5" s="1"/>
  <c r="G2134" i="5"/>
  <c r="R2134" i="5" s="1"/>
  <c r="G2993" i="5"/>
  <c r="R2993" i="5" s="1"/>
  <c r="G4184" i="5"/>
  <c r="R4184" i="5" s="1"/>
  <c r="G4683" i="5"/>
  <c r="R4683" i="5" s="1"/>
  <c r="G6454" i="5"/>
  <c r="R6454" i="5" s="1"/>
  <c r="G3246" i="5"/>
  <c r="R3246" i="5" s="1"/>
  <c r="G4432" i="5"/>
  <c r="R4432" i="5" s="1"/>
  <c r="G5023" i="5"/>
  <c r="R5023" i="5" s="1"/>
  <c r="G5577" i="5"/>
  <c r="R5577" i="5" s="1"/>
  <c r="G2366" i="5"/>
  <c r="R2366" i="5" s="1"/>
  <c r="G468" i="5"/>
  <c r="R468" i="5" s="1"/>
  <c r="G2968" i="5"/>
  <c r="R2968" i="5" s="1"/>
  <c r="G91" i="5"/>
  <c r="R91" i="5" s="1"/>
  <c r="G6350" i="5"/>
  <c r="R6350" i="5" s="1"/>
  <c r="G3914" i="5"/>
  <c r="R3914" i="5" s="1"/>
  <c r="G5343" i="5"/>
  <c r="R5343" i="5" s="1"/>
  <c r="G4185" i="5"/>
  <c r="R4185" i="5" s="1"/>
  <c r="G6023" i="5"/>
  <c r="R6023" i="5" s="1"/>
  <c r="G741" i="5"/>
  <c r="R741" i="5" s="1"/>
  <c r="G289" i="5"/>
  <c r="R289" i="5" s="1"/>
  <c r="G400" i="5"/>
  <c r="R400" i="5" s="1"/>
  <c r="G1498" i="5"/>
  <c r="R1498" i="5" s="1"/>
  <c r="G2306" i="5"/>
  <c r="R2306" i="5" s="1"/>
  <c r="G3208" i="5"/>
  <c r="R3208" i="5" s="1"/>
  <c r="G3915" i="5"/>
  <c r="R3915" i="5" s="1"/>
  <c r="G4424" i="5"/>
  <c r="R4424" i="5" s="1"/>
  <c r="G5014" i="5"/>
  <c r="R5014" i="5" s="1"/>
  <c r="G6457" i="5"/>
  <c r="R6457" i="5" s="1"/>
  <c r="G475" i="5"/>
  <c r="R475" i="5" s="1"/>
  <c r="G1588" i="5"/>
  <c r="R1588" i="5" s="1"/>
  <c r="G4480" i="5"/>
  <c r="R4480" i="5" s="1"/>
  <c r="G7458" i="5"/>
  <c r="R7458" i="5" s="1"/>
  <c r="G1958" i="5"/>
  <c r="R1958" i="5" s="1"/>
  <c r="G2794" i="5"/>
  <c r="R2794" i="5" s="1"/>
  <c r="G3553" i="5"/>
  <c r="R3553" i="5" s="1"/>
  <c r="G4071" i="5"/>
  <c r="R4071" i="5" s="1"/>
  <c r="G5139" i="5"/>
  <c r="R5139" i="5" s="1"/>
  <c r="G970" i="5"/>
  <c r="R970" i="5" s="1"/>
  <c r="G1883" i="5"/>
  <c r="R1883" i="5" s="1"/>
  <c r="G2851" i="5"/>
  <c r="R2851" i="5" s="1"/>
  <c r="G4671" i="5"/>
  <c r="R4671" i="5" s="1"/>
  <c r="G6348" i="5"/>
  <c r="R6348" i="5" s="1"/>
  <c r="G1311" i="5"/>
  <c r="R1311" i="5" s="1"/>
  <c r="G3776" i="5"/>
  <c r="R3776" i="5" s="1"/>
  <c r="G4911" i="5"/>
  <c r="R4911" i="5" s="1"/>
  <c r="G5499" i="5"/>
  <c r="R5499" i="5" s="1"/>
  <c r="G551" i="5"/>
  <c r="R551" i="5" s="1"/>
  <c r="G4705" i="5"/>
  <c r="R4705" i="5" s="1"/>
  <c r="G7310" i="5"/>
  <c r="R7310" i="5" s="1"/>
  <c r="G1032" i="5"/>
  <c r="R1032" i="5" s="1"/>
  <c r="G1847" i="5"/>
  <c r="R1847" i="5" s="1"/>
  <c r="G3806" i="5"/>
  <c r="R3806" i="5" s="1"/>
  <c r="G5623" i="5"/>
  <c r="R5623" i="5" s="1"/>
  <c r="G2164" i="5"/>
  <c r="R2164" i="5" s="1"/>
  <c r="G3986" i="5"/>
  <c r="R3986" i="5" s="1"/>
  <c r="G5529" i="5"/>
  <c r="R5529" i="5" s="1"/>
  <c r="G5069" i="5"/>
  <c r="R5069" i="5" s="1"/>
  <c r="G8202" i="5"/>
  <c r="R8202" i="5" s="1"/>
  <c r="G3268" i="5"/>
  <c r="R3268" i="5" s="1"/>
  <c r="G470" i="5"/>
  <c r="R470" i="5" s="1"/>
  <c r="G995" i="5"/>
  <c r="R995" i="5" s="1"/>
  <c r="G3219" i="5"/>
  <c r="R3219" i="5" s="1"/>
  <c r="G4434" i="5"/>
  <c r="R4434" i="5" s="1"/>
  <c r="G5043" i="5"/>
  <c r="R5043" i="5" s="1"/>
  <c r="G509" i="5"/>
  <c r="R509" i="5" s="1"/>
  <c r="G2477" i="5"/>
  <c r="R2477" i="5" s="1"/>
  <c r="G4014" i="5"/>
  <c r="R4014" i="5" s="1"/>
  <c r="G6165" i="5"/>
  <c r="R6165" i="5" s="1"/>
  <c r="G7473" i="5"/>
  <c r="R7473" i="5" s="1"/>
  <c r="G3580" i="5"/>
  <c r="R3580" i="5" s="1"/>
  <c r="G5155" i="5"/>
  <c r="R5155" i="5" s="1"/>
  <c r="G5927" i="5"/>
  <c r="R5927" i="5" s="1"/>
  <c r="G7237" i="5"/>
  <c r="R7237" i="5" s="1"/>
  <c r="G987" i="5"/>
  <c r="R987" i="5" s="1"/>
  <c r="G1908" i="5"/>
  <c r="R1908" i="5" s="1"/>
  <c r="G4205" i="5"/>
  <c r="R4205" i="5" s="1"/>
  <c r="G4928" i="5"/>
  <c r="R4928" i="5" s="1"/>
  <c r="G5547" i="5"/>
  <c r="R5547" i="5" s="1"/>
  <c r="G6305" i="5"/>
  <c r="R6305" i="5" s="1"/>
  <c r="G619" i="5"/>
  <c r="R619" i="5" s="1"/>
  <c r="G2789" i="5"/>
  <c r="R2789" i="5" s="1"/>
  <c r="G1997" i="5"/>
  <c r="R1997" i="5" s="1"/>
  <c r="G4775" i="5"/>
  <c r="R4775" i="5" s="1"/>
  <c r="G1161" i="5"/>
  <c r="R1161" i="5" s="1"/>
  <c r="G6716" i="5"/>
  <c r="R6716" i="5" s="1"/>
  <c r="G1913" i="5"/>
  <c r="R1913" i="5" s="1"/>
  <c r="G3875" i="5"/>
  <c r="R3875" i="5" s="1"/>
  <c r="G4052" i="5"/>
  <c r="R4052" i="5" s="1"/>
  <c r="G3609" i="5"/>
  <c r="R3609" i="5" s="1"/>
  <c r="G3600" i="5"/>
  <c r="R3600" i="5" s="1"/>
  <c r="G5325" i="5"/>
  <c r="R5325" i="5" s="1"/>
  <c r="G6335" i="5"/>
  <c r="R6335" i="5" s="1"/>
  <c r="G6336" i="5"/>
  <c r="R6336" i="5" s="1"/>
  <c r="G7398" i="5"/>
  <c r="R7398" i="5" s="1"/>
  <c r="G6524" i="5"/>
  <c r="R6524" i="5" s="1"/>
  <c r="G5059" i="5"/>
  <c r="R5059" i="5" s="1"/>
  <c r="G6183" i="5"/>
  <c r="R6183" i="5" s="1"/>
  <c r="G4093" i="5"/>
  <c r="R4093" i="5" s="1"/>
  <c r="G1938" i="5"/>
  <c r="R1938" i="5" s="1"/>
  <c r="G684" i="5"/>
  <c r="R684" i="5" s="1"/>
  <c r="G1169" i="5"/>
  <c r="R1169" i="5" s="1"/>
  <c r="G2004" i="5"/>
  <c r="R2004" i="5" s="1"/>
  <c r="G7472" i="5"/>
  <c r="R7472" i="5" s="1"/>
  <c r="G3358" i="5"/>
  <c r="R3358" i="5" s="1"/>
  <c r="G1884" i="5"/>
  <c r="R1884" i="5" s="1"/>
  <c r="G4099" i="5"/>
  <c r="R4099" i="5" s="1"/>
  <c r="G1960" i="5"/>
  <c r="R1960" i="5" s="1"/>
  <c r="G4925" i="5"/>
  <c r="R4925" i="5" s="1"/>
  <c r="G4369" i="5"/>
  <c r="R4369" i="5" s="1"/>
  <c r="G4043" i="5"/>
  <c r="R4043" i="5" s="1"/>
  <c r="G7405" i="5"/>
  <c r="R7405" i="5" s="1"/>
  <c r="G3069" i="5"/>
  <c r="R3069" i="5" s="1"/>
  <c r="G4861" i="5"/>
  <c r="R4861" i="5" s="1"/>
  <c r="G222" i="5"/>
  <c r="R222" i="5" s="1"/>
  <c r="G675" i="5"/>
  <c r="R675" i="5" s="1"/>
  <c r="G1270" i="5"/>
  <c r="R1270" i="5" s="1"/>
  <c r="G3165" i="5"/>
  <c r="R3165" i="5" s="1"/>
  <c r="G7166" i="5"/>
  <c r="R7166" i="5" s="1"/>
  <c r="G3938" i="5"/>
  <c r="R3938" i="5" s="1"/>
  <c r="G5739" i="5"/>
  <c r="R5739" i="5" s="1"/>
  <c r="G6376" i="5"/>
  <c r="R6376" i="5" s="1"/>
  <c r="G1822" i="5"/>
  <c r="R1822" i="5" s="1"/>
  <c r="G1760" i="5"/>
  <c r="R1760" i="5" s="1"/>
  <c r="G3512" i="5"/>
  <c r="R3512" i="5" s="1"/>
  <c r="G8236" i="5"/>
  <c r="R8236" i="5" s="1"/>
  <c r="G5406" i="5"/>
  <c r="R5406" i="5" s="1"/>
  <c r="G4462" i="5"/>
  <c r="R4462" i="5" s="1"/>
  <c r="G5272" i="5"/>
  <c r="R5272" i="5" s="1"/>
  <c r="G633" i="5"/>
  <c r="R633" i="5" s="1"/>
  <c r="G674" i="5"/>
  <c r="R674" i="5" s="1"/>
  <c r="G5350" i="5"/>
  <c r="R5350" i="5" s="1"/>
  <c r="G7457" i="5"/>
  <c r="R7457" i="5" s="1"/>
  <c r="G2102" i="5"/>
  <c r="R2102" i="5" s="1"/>
  <c r="G2372" i="5"/>
  <c r="R2372" i="5" s="1"/>
  <c r="G5448" i="5"/>
  <c r="R5448" i="5" s="1"/>
  <c r="G5067" i="5"/>
  <c r="R5067" i="5" s="1"/>
  <c r="G1859" i="5"/>
  <c r="R1859" i="5" s="1"/>
  <c r="G4087" i="5"/>
  <c r="R4087" i="5" s="1"/>
  <c r="G1877" i="5"/>
  <c r="R1877" i="5" s="1"/>
  <c r="G5180" i="5"/>
  <c r="R5180" i="5" s="1"/>
  <c r="G5454" i="5"/>
  <c r="R5454" i="5" s="1"/>
  <c r="G3275" i="5"/>
  <c r="R3275" i="5" s="1"/>
  <c r="G73" i="5"/>
  <c r="R73" i="5" s="1"/>
  <c r="G1483" i="5"/>
  <c r="R1483" i="5" s="1"/>
  <c r="G1604" i="5"/>
  <c r="R1604" i="5" s="1"/>
  <c r="G4464" i="5"/>
  <c r="R4464" i="5" s="1"/>
  <c r="G1672" i="5"/>
  <c r="R1672" i="5" s="1"/>
  <c r="G5138" i="5"/>
  <c r="R5138" i="5" s="1"/>
  <c r="G4616" i="5"/>
  <c r="R4616" i="5" s="1"/>
  <c r="G7327" i="5"/>
  <c r="R7327" i="5" s="1"/>
  <c r="G2958" i="5"/>
  <c r="R2958" i="5" s="1"/>
  <c r="G3169" i="5"/>
  <c r="R3169" i="5" s="1"/>
  <c r="G2915" i="5"/>
  <c r="R2915" i="5" s="1"/>
  <c r="G3194" i="5"/>
  <c r="R3194" i="5" s="1"/>
  <c r="G6576" i="5"/>
  <c r="R6576" i="5" s="1"/>
  <c r="G459" i="5"/>
  <c r="R459" i="5" s="1"/>
  <c r="G1155" i="5"/>
  <c r="R1155" i="5" s="1"/>
  <c r="G781" i="5"/>
  <c r="R781" i="5" s="1"/>
  <c r="G1264" i="5"/>
  <c r="R1264" i="5" s="1"/>
  <c r="G1990" i="5"/>
  <c r="R1990" i="5" s="1"/>
  <c r="G1994" i="5"/>
  <c r="R1994" i="5" s="1"/>
  <c r="G2805" i="5"/>
  <c r="R2805" i="5" s="1"/>
  <c r="G4192" i="5"/>
  <c r="R4192" i="5" s="1"/>
  <c r="G6199" i="5"/>
  <c r="R6199" i="5" s="1"/>
  <c r="G1115" i="5"/>
  <c r="R1115" i="5" s="1"/>
  <c r="G3744" i="5"/>
  <c r="R3744" i="5" s="1"/>
  <c r="G4821" i="5"/>
  <c r="R4821" i="5" s="1"/>
  <c r="G410" i="5"/>
  <c r="R410" i="5" s="1"/>
  <c r="G3270" i="5"/>
  <c r="R3270" i="5" s="1"/>
  <c r="G3891" i="5"/>
  <c r="R3891" i="5" s="1"/>
  <c r="G4383" i="5"/>
  <c r="R4383" i="5" s="1"/>
  <c r="G4900" i="5"/>
  <c r="R4900" i="5" s="1"/>
  <c r="G6256" i="5"/>
  <c r="R6256" i="5" s="1"/>
  <c r="G393" i="5"/>
  <c r="R393" i="5" s="1"/>
  <c r="G2331" i="5"/>
  <c r="R2331" i="5" s="1"/>
  <c r="G3320" i="5"/>
  <c r="R3320" i="5" s="1"/>
  <c r="G4460" i="5"/>
  <c r="R4460" i="5" s="1"/>
  <c r="G5891" i="5"/>
  <c r="R5891" i="5" s="1"/>
  <c r="G7399" i="5"/>
  <c r="R7399" i="5" s="1"/>
  <c r="G2645" i="5"/>
  <c r="R2645" i="5" s="1"/>
  <c r="G3479" i="5"/>
  <c r="R3479" i="5" s="1"/>
  <c r="G4587" i="5"/>
  <c r="R4587" i="5" s="1"/>
  <c r="G5244" i="5"/>
  <c r="R5244" i="5" s="1"/>
  <c r="G7372" i="5"/>
  <c r="R7372" i="5" s="1"/>
  <c r="G3918" i="5"/>
  <c r="R3918" i="5" s="1"/>
  <c r="G718" i="5"/>
  <c r="R718" i="5" s="1"/>
  <c r="G3338" i="5"/>
  <c r="R3338" i="5" s="1"/>
  <c r="G4877" i="5"/>
  <c r="R4877" i="5" s="1"/>
  <c r="G721" i="5"/>
  <c r="R721" i="5" s="1"/>
  <c r="G4801" i="5"/>
  <c r="R4801" i="5" s="1"/>
  <c r="G4063" i="5"/>
  <c r="R4063" i="5" s="1"/>
  <c r="G7544" i="5"/>
  <c r="R7544" i="5" s="1"/>
  <c r="G2509" i="5"/>
  <c r="R2509" i="5" s="1"/>
  <c r="G6365" i="5"/>
  <c r="R6365" i="5" s="1"/>
  <c r="G2295" i="5"/>
  <c r="R2295" i="5" s="1"/>
  <c r="G4179" i="5"/>
  <c r="R4179" i="5" s="1"/>
  <c r="G6083" i="5"/>
  <c r="R6083" i="5" s="1"/>
  <c r="G6684" i="5"/>
  <c r="R6684" i="5" s="1"/>
  <c r="G148" i="5"/>
  <c r="R148" i="5" s="1"/>
  <c r="G1113" i="5"/>
  <c r="R1113" i="5" s="1"/>
  <c r="G335" i="5"/>
  <c r="R335" i="5" s="1"/>
  <c r="G354" i="5"/>
  <c r="R354" i="5" s="1"/>
  <c r="G1020" i="5"/>
  <c r="R1020" i="5" s="1"/>
  <c r="G610" i="5"/>
  <c r="R610" i="5" s="1"/>
  <c r="G3264" i="5"/>
  <c r="R3264" i="5" s="1"/>
  <c r="G3967" i="5"/>
  <c r="R3967" i="5" s="1"/>
  <c r="G611" i="5"/>
  <c r="R611" i="5" s="1"/>
  <c r="G4050" i="5"/>
  <c r="R4050" i="5" s="1"/>
  <c r="G1043" i="5"/>
  <c r="R1043" i="5" s="1"/>
  <c r="G2031" i="5"/>
  <c r="R2031" i="5" s="1"/>
  <c r="G2876" i="5"/>
  <c r="R2876" i="5" s="1"/>
  <c r="G3614" i="5"/>
  <c r="R3614" i="5" s="1"/>
  <c r="G4114" i="5"/>
  <c r="R4114" i="5" s="1"/>
  <c r="G5191" i="5"/>
  <c r="R5191" i="5" s="1"/>
  <c r="G1056" i="5"/>
  <c r="R1056" i="5" s="1"/>
  <c r="G1965" i="5"/>
  <c r="R1965" i="5" s="1"/>
  <c r="G3660" i="5"/>
  <c r="R3660" i="5" s="1"/>
  <c r="G6380" i="5"/>
  <c r="R6380" i="5" s="1"/>
  <c r="G1402" i="5"/>
  <c r="R1402" i="5" s="1"/>
  <c r="G2238" i="5"/>
  <c r="R2238" i="5" s="1"/>
  <c r="G3867" i="5"/>
  <c r="R3867" i="5" s="1"/>
  <c r="G4376" i="5"/>
  <c r="R4376" i="5" s="1"/>
  <c r="G4965" i="5"/>
  <c r="R4965" i="5" s="1"/>
  <c r="G5711" i="5"/>
  <c r="R5711" i="5" s="1"/>
  <c r="G6322" i="5"/>
  <c r="R6322" i="5" s="1"/>
  <c r="G4921" i="5"/>
  <c r="R4921" i="5" s="1"/>
  <c r="G2148" i="5"/>
  <c r="R2148" i="5" s="1"/>
  <c r="G4036" i="5"/>
  <c r="R4036" i="5" s="1"/>
  <c r="G6306" i="5"/>
  <c r="R6306" i="5" s="1"/>
  <c r="G1514" i="5"/>
  <c r="R1514" i="5" s="1"/>
  <c r="G5017" i="5"/>
  <c r="R5017" i="5" s="1"/>
  <c r="G573" i="5"/>
  <c r="R573" i="5" s="1"/>
  <c r="G2326" i="5"/>
  <c r="R2326" i="5" s="1"/>
  <c r="G4100" i="5"/>
  <c r="R4100" i="5" s="1"/>
  <c r="G5883" i="5"/>
  <c r="R5883" i="5" s="1"/>
  <c r="G2022" i="5"/>
  <c r="R2022" i="5" s="1"/>
  <c r="G5919" i="5"/>
  <c r="R5919" i="5" s="1"/>
  <c r="G6027" i="5"/>
  <c r="R6027" i="5" s="1"/>
  <c r="G800" i="5"/>
  <c r="R800" i="5" s="1"/>
  <c r="G1136" i="5"/>
  <c r="R1136" i="5" s="1"/>
  <c r="G408" i="5"/>
  <c r="R408" i="5" s="1"/>
  <c r="G941" i="5"/>
  <c r="R941" i="5" s="1"/>
  <c r="G1520" i="5"/>
  <c r="R1520" i="5" s="1"/>
  <c r="G1652" i="5"/>
  <c r="R1652" i="5" s="1"/>
  <c r="G3284" i="5"/>
  <c r="R3284" i="5" s="1"/>
  <c r="G4479" i="5"/>
  <c r="R4479" i="5" s="1"/>
  <c r="G641" i="5"/>
  <c r="R641" i="5" s="1"/>
  <c r="G1699" i="5"/>
  <c r="R1699" i="5" s="1"/>
  <c r="G4060" i="5"/>
  <c r="R4060" i="5" s="1"/>
  <c r="G2907" i="5"/>
  <c r="R2907" i="5" s="1"/>
  <c r="G4129" i="5"/>
  <c r="R4129" i="5" s="1"/>
  <c r="G5206" i="5"/>
  <c r="R5206" i="5" s="1"/>
  <c r="G5388" i="5"/>
  <c r="R5388" i="5" s="1"/>
  <c r="G6402" i="5"/>
  <c r="R6402" i="5" s="1"/>
  <c r="G4401" i="5"/>
  <c r="R4401" i="5" s="1"/>
  <c r="G786" i="5"/>
  <c r="R786" i="5" s="1"/>
  <c r="G2994" i="5"/>
  <c r="R2994" i="5" s="1"/>
  <c r="G4960" i="5"/>
  <c r="R4960" i="5" s="1"/>
  <c r="G1662" i="5"/>
  <c r="R1662" i="5" s="1"/>
  <c r="G5302" i="5"/>
  <c r="R5302" i="5" s="1"/>
  <c r="G762" i="5"/>
  <c r="R762" i="5" s="1"/>
  <c r="G4688" i="5"/>
  <c r="R4688" i="5" s="1"/>
  <c r="G871" i="5"/>
  <c r="R871" i="5" s="1"/>
  <c r="G3229" i="5"/>
  <c r="R3229" i="5" s="1"/>
  <c r="G3830" i="5"/>
  <c r="R3830" i="5" s="1"/>
  <c r="G5332" i="5"/>
  <c r="R5332" i="5" s="1"/>
  <c r="G8222" i="5"/>
  <c r="R8222" i="5" s="1"/>
  <c r="G2391" i="5"/>
  <c r="R2391" i="5" s="1"/>
  <c r="G4459" i="5"/>
  <c r="R4459" i="5" s="1"/>
  <c r="G6251" i="5"/>
  <c r="R6251" i="5" s="1"/>
  <c r="G4624" i="5"/>
  <c r="R4624" i="5" s="1"/>
  <c r="G3051" i="5"/>
  <c r="R3051" i="5" s="1"/>
  <c r="G4518" i="5"/>
  <c r="R4518" i="5" s="1"/>
  <c r="G6552" i="5"/>
  <c r="R6552" i="5" s="1"/>
  <c r="G195" i="5"/>
  <c r="R195" i="5" s="1"/>
  <c r="G811" i="5"/>
  <c r="R811" i="5" s="1"/>
  <c r="G392" i="5"/>
  <c r="R392" i="5" s="1"/>
  <c r="G419" i="5"/>
  <c r="R419" i="5" s="1"/>
  <c r="G3290" i="5"/>
  <c r="R3290" i="5" s="1"/>
  <c r="G1050" i="5"/>
  <c r="R1050" i="5" s="1"/>
  <c r="G1685" i="5"/>
  <c r="R1685" i="5" s="1"/>
  <c r="G673" i="5"/>
  <c r="R673" i="5" s="1"/>
  <c r="G1641" i="5"/>
  <c r="R1641" i="5" s="1"/>
  <c r="G3311" i="5"/>
  <c r="R3311" i="5" s="1"/>
  <c r="G711" i="5"/>
  <c r="R711" i="5" s="1"/>
  <c r="G1750" i="5"/>
  <c r="R1750" i="5" s="1"/>
  <c r="G2633" i="5"/>
  <c r="R2633" i="5" s="1"/>
  <c r="G3464" i="5"/>
  <c r="R3464" i="5" s="1"/>
  <c r="G4070" i="5"/>
  <c r="R4070" i="5" s="1"/>
  <c r="G5170" i="5"/>
  <c r="R5170" i="5" s="1"/>
  <c r="G1094" i="5"/>
  <c r="R1094" i="5" s="1"/>
  <c r="G2103" i="5"/>
  <c r="R2103" i="5" s="1"/>
  <c r="G3637" i="5"/>
  <c r="R3637" i="5" s="1"/>
  <c r="G4140" i="5"/>
  <c r="R4140" i="5" s="1"/>
  <c r="G5221" i="5"/>
  <c r="R5221" i="5" s="1"/>
  <c r="G7359" i="5"/>
  <c r="R7359" i="5" s="1"/>
  <c r="G2011" i="5"/>
  <c r="R2011" i="5" s="1"/>
  <c r="G4289" i="5"/>
  <c r="R4289" i="5" s="1"/>
  <c r="G6421" i="5"/>
  <c r="R6421" i="5" s="1"/>
  <c r="G425" i="5"/>
  <c r="R425" i="5" s="1"/>
  <c r="G1473" i="5"/>
  <c r="R1473" i="5" s="1"/>
  <c r="G2268" i="5"/>
  <c r="R2268" i="5" s="1"/>
  <c r="G3200" i="5"/>
  <c r="R3200" i="5" s="1"/>
  <c r="G4991" i="5"/>
  <c r="R4991" i="5" s="1"/>
  <c r="G6361" i="5"/>
  <c r="R6361" i="5" s="1"/>
  <c r="G838" i="5"/>
  <c r="R838" i="5" s="1"/>
  <c r="G5002" i="5"/>
  <c r="R5002" i="5" s="1"/>
  <c r="G888" i="5"/>
  <c r="R888" i="5" s="1"/>
  <c r="G3409" i="5"/>
  <c r="R3409" i="5" s="1"/>
  <c r="G5009" i="5"/>
  <c r="R5009" i="5" s="1"/>
  <c r="G7532" i="5"/>
  <c r="R7532" i="5" s="1"/>
  <c r="G1679" i="5"/>
  <c r="R1679" i="5" s="1"/>
  <c r="G7353" i="5"/>
  <c r="R7353" i="5" s="1"/>
  <c r="G5320" i="5"/>
  <c r="R5320" i="5" s="1"/>
  <c r="G3488" i="5"/>
  <c r="R3488" i="5" s="1"/>
  <c r="G4845" i="5"/>
  <c r="R4845" i="5" s="1"/>
  <c r="G7479" i="5"/>
  <c r="R7479" i="5" s="1"/>
  <c r="G4958" i="5"/>
  <c r="R4958" i="5" s="1"/>
  <c r="G2255" i="5"/>
  <c r="R2255" i="5" s="1"/>
  <c r="G218" i="5"/>
  <c r="R218" i="5" s="1"/>
  <c r="G826" i="5"/>
  <c r="R826" i="5" s="1"/>
  <c r="G129" i="5"/>
  <c r="R129" i="5" s="1"/>
  <c r="G585" i="5"/>
  <c r="R585" i="5" s="1"/>
  <c r="G1078" i="5"/>
  <c r="R1078" i="5" s="1"/>
  <c r="G685" i="5"/>
  <c r="R685" i="5" s="1"/>
  <c r="G4498" i="5"/>
  <c r="R4498" i="5" s="1"/>
  <c r="G3486" i="5"/>
  <c r="R3486" i="5" s="1"/>
  <c r="G4080" i="5"/>
  <c r="R4080" i="5" s="1"/>
  <c r="G4561" i="5"/>
  <c r="R4561" i="5" s="1"/>
  <c r="G8195" i="5"/>
  <c r="R8195" i="5" s="1"/>
  <c r="G2983" i="5"/>
  <c r="R2983" i="5" s="1"/>
  <c r="G4665" i="5"/>
  <c r="R4665" i="5" s="1"/>
  <c r="G5236" i="5"/>
  <c r="R5236" i="5" s="1"/>
  <c r="G7391" i="5"/>
  <c r="R7391" i="5" s="1"/>
  <c r="G3732" i="5"/>
  <c r="R3732" i="5" s="1"/>
  <c r="G4837" i="5"/>
  <c r="R4837" i="5" s="1"/>
  <c r="G5435" i="5"/>
  <c r="R5435" i="5" s="1"/>
  <c r="G458" i="5"/>
  <c r="R458" i="5" s="1"/>
  <c r="G1527" i="5"/>
  <c r="R1527" i="5" s="1"/>
  <c r="G2285" i="5"/>
  <c r="R2285" i="5" s="1"/>
  <c r="G3908" i="5"/>
  <c r="R3908" i="5" s="1"/>
  <c r="G4422" i="5"/>
  <c r="R4422" i="5" s="1"/>
  <c r="G5046" i="5"/>
  <c r="R5046" i="5" s="1"/>
  <c r="G204" i="5"/>
  <c r="R204" i="5" s="1"/>
  <c r="G2953" i="5"/>
  <c r="R2953" i="5" s="1"/>
  <c r="G6181" i="5"/>
  <c r="R6181" i="5" s="1"/>
  <c r="G2286" i="5"/>
  <c r="R2286" i="5" s="1"/>
  <c r="G6231" i="5"/>
  <c r="R6231" i="5" s="1"/>
  <c r="G837" i="5"/>
  <c r="R837" i="5" s="1"/>
  <c r="G3271" i="5"/>
  <c r="R3271" i="5" s="1"/>
  <c r="G5370" i="5"/>
  <c r="R5370" i="5" s="1"/>
  <c r="G412" i="5"/>
  <c r="R412" i="5" s="1"/>
  <c r="G801" i="5"/>
  <c r="R801" i="5" s="1"/>
  <c r="G1102" i="5"/>
  <c r="R1102" i="5" s="1"/>
  <c r="G187" i="5"/>
  <c r="R187" i="5" s="1"/>
  <c r="G734" i="5"/>
  <c r="R734" i="5" s="1"/>
  <c r="G1219" i="5"/>
  <c r="R1219" i="5" s="1"/>
  <c r="G1923" i="5"/>
  <c r="R1923" i="5" s="1"/>
  <c r="G2687" i="5"/>
  <c r="R2687" i="5" s="1"/>
  <c r="G3594" i="5"/>
  <c r="R3594" i="5" s="1"/>
  <c r="G4123" i="5"/>
  <c r="R4123" i="5" s="1"/>
  <c r="G7406" i="5"/>
  <c r="R7406" i="5" s="1"/>
  <c r="G2992" i="5"/>
  <c r="R2992" i="5" s="1"/>
  <c r="G4221" i="5"/>
  <c r="R4221" i="5" s="1"/>
  <c r="G1454" i="5"/>
  <c r="R1454" i="5" s="1"/>
  <c r="G3192" i="5"/>
  <c r="R3192" i="5" s="1"/>
  <c r="G3839" i="5"/>
  <c r="R3839" i="5" s="1"/>
  <c r="G4822" i="5"/>
  <c r="R4822" i="5" s="1"/>
  <c r="G6207" i="5"/>
  <c r="R6207" i="5" s="1"/>
  <c r="G1423" i="5"/>
  <c r="R1423" i="5" s="1"/>
  <c r="G5022" i="5"/>
  <c r="R5022" i="5" s="1"/>
  <c r="G1785" i="5"/>
  <c r="R1785" i="5" s="1"/>
  <c r="G4045" i="5"/>
  <c r="R4045" i="5" s="1"/>
  <c r="G1647" i="5"/>
  <c r="R1647" i="5" s="1"/>
  <c r="G3846" i="5"/>
  <c r="R3846" i="5" s="1"/>
  <c r="G5553" i="5"/>
  <c r="R5553" i="5" s="1"/>
  <c r="G2425" i="5"/>
  <c r="R2425" i="5" s="1"/>
  <c r="G6174" i="5"/>
  <c r="R6174" i="5" s="1"/>
  <c r="G4570" i="5"/>
  <c r="R4570" i="5" s="1"/>
  <c r="G4240" i="5"/>
  <c r="R4240" i="5" s="1"/>
  <c r="G1745" i="5"/>
  <c r="R1745" i="5" s="1"/>
  <c r="G8192" i="5"/>
  <c r="R8192" i="5" s="1"/>
  <c r="G2325" i="5"/>
  <c r="R2325" i="5" s="1"/>
  <c r="G267" i="5"/>
  <c r="R267" i="5" s="1"/>
  <c r="G469" i="5"/>
  <c r="R469" i="5" s="1"/>
  <c r="G994" i="5"/>
  <c r="R994" i="5" s="1"/>
  <c r="G1746" i="5"/>
  <c r="R1746" i="5" s="1"/>
  <c r="G3527" i="5"/>
  <c r="R3527" i="5" s="1"/>
  <c r="G4589" i="5"/>
  <c r="R4589" i="5" s="1"/>
  <c r="G5220" i="5"/>
  <c r="R5220" i="5" s="1"/>
  <c r="G3028" i="5"/>
  <c r="R3028" i="5" s="1"/>
  <c r="G4198" i="5"/>
  <c r="R4198" i="5" s="1"/>
  <c r="G4891" i="5"/>
  <c r="R4891" i="5" s="1"/>
  <c r="G5474" i="5"/>
  <c r="R5474" i="5" s="1"/>
  <c r="G6463" i="5"/>
  <c r="R6463" i="5" s="1"/>
  <c r="G556" i="5"/>
  <c r="R556" i="5" s="1"/>
  <c r="G1560" i="5"/>
  <c r="R1560" i="5" s="1"/>
  <c r="G2314" i="5"/>
  <c r="R2314" i="5" s="1"/>
  <c r="G6403" i="5"/>
  <c r="R6403" i="5" s="1"/>
  <c r="G1025" i="5"/>
  <c r="R1025" i="5" s="1"/>
  <c r="G1964" i="5"/>
  <c r="R1964" i="5" s="1"/>
  <c r="G3963" i="5"/>
  <c r="R3963" i="5" s="1"/>
  <c r="G6224" i="5"/>
  <c r="R6224" i="5" s="1"/>
  <c r="G1907" i="5"/>
  <c r="R1907" i="5" s="1"/>
  <c r="G6313" i="5"/>
  <c r="R6313" i="5" s="1"/>
  <c r="G4251" i="5"/>
  <c r="R4251" i="5" s="1"/>
  <c r="G3960" i="5"/>
  <c r="R3960" i="5" s="1"/>
  <c r="G4377" i="5"/>
  <c r="R4377" i="5" s="1"/>
  <c r="G7478" i="5"/>
  <c r="R7478" i="5" s="1"/>
  <c r="G6900" i="5"/>
  <c r="R6900" i="5" s="1"/>
  <c r="F291" i="8"/>
  <c r="H291" i="8"/>
  <c r="I291" i="8" s="1"/>
  <c r="S291" i="8" s="1"/>
  <c r="G196" i="5"/>
  <c r="R196" i="5" s="1"/>
  <c r="G713" i="5"/>
  <c r="R713" i="5" s="1"/>
  <c r="G445" i="5"/>
  <c r="R445" i="5" s="1"/>
  <c r="G63" i="5"/>
  <c r="R63" i="5" s="1"/>
  <c r="G1125" i="5"/>
  <c r="R1125" i="5" s="1"/>
  <c r="G771" i="5"/>
  <c r="R771" i="5" s="1"/>
  <c r="G1767" i="5"/>
  <c r="R1767" i="5" s="1"/>
  <c r="G4560" i="5"/>
  <c r="R4560" i="5" s="1"/>
  <c r="G1841" i="5"/>
  <c r="R1841" i="5" s="1"/>
  <c r="G2806" i="5"/>
  <c r="R2806" i="5" s="1"/>
  <c r="G4124" i="5"/>
  <c r="R4124" i="5" s="1"/>
  <c r="G4615" i="5"/>
  <c r="R4615" i="5" s="1"/>
  <c r="G5235" i="5"/>
  <c r="R5235" i="5" s="1"/>
  <c r="G41" i="5"/>
  <c r="R41" i="5" s="1"/>
  <c r="G4216" i="5"/>
  <c r="R4216" i="5" s="1"/>
  <c r="G2127" i="5"/>
  <c r="R2127" i="5" s="1"/>
  <c r="G3129" i="5"/>
  <c r="R3129" i="5" s="1"/>
  <c r="G1594" i="5"/>
  <c r="R1594" i="5" s="1"/>
  <c r="G3945" i="5"/>
  <c r="R3945" i="5" s="1"/>
  <c r="G4461" i="5"/>
  <c r="R4461" i="5" s="1"/>
  <c r="G6425" i="5"/>
  <c r="R6425" i="5" s="1"/>
  <c r="G1076" i="5"/>
  <c r="R1076" i="5" s="1"/>
  <c r="G5223" i="5"/>
  <c r="R5223" i="5" s="1"/>
  <c r="G4358" i="5"/>
  <c r="R4358" i="5" s="1"/>
  <c r="G6436" i="5"/>
  <c r="R6436" i="5" s="1"/>
  <c r="G557" i="5"/>
  <c r="R557" i="5" s="1"/>
  <c r="G3147" i="5"/>
  <c r="R3147" i="5" s="1"/>
  <c r="G7239" i="5"/>
  <c r="R7239" i="5" s="1"/>
  <c r="G1981" i="5"/>
  <c r="R1981" i="5" s="1"/>
  <c r="G4042" i="5"/>
  <c r="R4042" i="5" s="1"/>
  <c r="G7502" i="5"/>
  <c r="R7502" i="5" s="1"/>
  <c r="G411" i="5"/>
  <c r="R411" i="5" s="1"/>
  <c r="G6413" i="5"/>
  <c r="R6413" i="5" s="1"/>
  <c r="G1872" i="5"/>
  <c r="R1872" i="5" s="1"/>
  <c r="G3987" i="5"/>
  <c r="R3987" i="5" s="1"/>
  <c r="G3885" i="5"/>
  <c r="R3885" i="5" s="1"/>
  <c r="G6031" i="5"/>
  <c r="R6031" i="5" s="1"/>
  <c r="G125" i="5"/>
  <c r="R125" i="5" s="1"/>
  <c r="G312" i="5"/>
  <c r="R312" i="5" s="1"/>
  <c r="G1600" i="5"/>
  <c r="R1600" i="5" s="1"/>
  <c r="G2836" i="5"/>
  <c r="R2836" i="5" s="1"/>
  <c r="G5175" i="5"/>
  <c r="R5175" i="5" s="1"/>
  <c r="G6367" i="5"/>
  <c r="R6367" i="5" s="1"/>
  <c r="G1371" i="5"/>
  <c r="R1371" i="5" s="1"/>
  <c r="G2819" i="5"/>
  <c r="R2819" i="5" s="1"/>
  <c r="G2039" i="5"/>
  <c r="R2039" i="5" s="1"/>
  <c r="G6442" i="5"/>
  <c r="R6442" i="5" s="1"/>
  <c r="G1105" i="5"/>
  <c r="R1105" i="5" s="1"/>
  <c r="G7373" i="5"/>
  <c r="R7373" i="5" s="1"/>
  <c r="G4393" i="5"/>
  <c r="R4393" i="5" s="1"/>
  <c r="G399" i="5"/>
  <c r="R399" i="5" s="1"/>
  <c r="G692" i="5"/>
  <c r="R692" i="5" s="1"/>
  <c r="G2824" i="5"/>
  <c r="R2824" i="5" s="1"/>
  <c r="G3109" i="5"/>
  <c r="R3109" i="5" s="1"/>
  <c r="G6431" i="5"/>
  <c r="R6431" i="5" s="1"/>
  <c r="G7422" i="5"/>
  <c r="R7422" i="5" s="1"/>
  <c r="G3501" i="5"/>
  <c r="R3501" i="5" s="1"/>
  <c r="G7400" i="5"/>
  <c r="R7400" i="5" s="1"/>
  <c r="G5255" i="5"/>
  <c r="R5255" i="5" s="1"/>
  <c r="G3847" i="5"/>
  <c r="R3847" i="5" s="1"/>
  <c r="G2358" i="5"/>
  <c r="R2358" i="5" s="1"/>
  <c r="G3402" i="5"/>
  <c r="R3402" i="5" s="1"/>
  <c r="G2841" i="5"/>
  <c r="R2841" i="5" s="1"/>
  <c r="G3477" i="5"/>
  <c r="R3477" i="5" s="1"/>
  <c r="G223" i="5"/>
  <c r="R223" i="5" s="1"/>
  <c r="G2173" i="5"/>
  <c r="R2173" i="5" s="1"/>
  <c r="G3851" i="5"/>
  <c r="R3851" i="5" s="1"/>
  <c r="G4934" i="5"/>
  <c r="R4934" i="5" s="1"/>
  <c r="G5607" i="5"/>
  <c r="R5607" i="5" s="1"/>
  <c r="G3269" i="5"/>
  <c r="R3269" i="5" s="1"/>
  <c r="G3932" i="5"/>
  <c r="R3932" i="5" s="1"/>
  <c r="G4997" i="5"/>
  <c r="R4997" i="5" s="1"/>
  <c r="G7358" i="5"/>
  <c r="R7358" i="5" s="1"/>
  <c r="G8203" i="5"/>
  <c r="R8203" i="5" s="1"/>
  <c r="G3484" i="5"/>
  <c r="R3484" i="5" s="1"/>
  <c r="G899" i="5"/>
  <c r="R899" i="5" s="1"/>
  <c r="G521" i="5"/>
  <c r="R521" i="5" s="1"/>
  <c r="G1866" i="5"/>
  <c r="R1866" i="5" s="1"/>
  <c r="G7462" i="5"/>
  <c r="R7462" i="5" s="1"/>
  <c r="G5068" i="5"/>
  <c r="R5068" i="5" s="1"/>
  <c r="G8187" i="5"/>
  <c r="R8187" i="5" s="1"/>
  <c r="G2914" i="5"/>
  <c r="R2914" i="5" s="1"/>
  <c r="G612" i="5"/>
  <c r="R612" i="5" s="1"/>
  <c r="G780" i="5"/>
  <c r="R780" i="5" s="1"/>
  <c r="G1409" i="5"/>
  <c r="R1409" i="5" s="1"/>
  <c r="G4914" i="5"/>
  <c r="R4914" i="5" s="1"/>
  <c r="G6354" i="5"/>
  <c r="R6354" i="5" s="1"/>
  <c r="G3995" i="5"/>
  <c r="R3995" i="5" s="1"/>
  <c r="G5032" i="5"/>
  <c r="R5032" i="5" s="1"/>
  <c r="G1734" i="5"/>
  <c r="R1734" i="5" s="1"/>
  <c r="G1104" i="5"/>
  <c r="R1104" i="5" s="1"/>
  <c r="G2087" i="5"/>
  <c r="R2087" i="5" s="1"/>
  <c r="G2392" i="5"/>
  <c r="R2392" i="5" s="1"/>
  <c r="G4340" i="5"/>
  <c r="R4340" i="5" s="1"/>
  <c r="G4072" i="5"/>
  <c r="R4072" i="5" s="1"/>
  <c r="G1383" i="5"/>
  <c r="R1383" i="5" s="1"/>
  <c r="G5128" i="5"/>
  <c r="R5128" i="5" s="1"/>
  <c r="G7435" i="5"/>
  <c r="R7435" i="5" s="1"/>
  <c r="G310" i="5"/>
  <c r="R310" i="5" s="1"/>
  <c r="G742" i="5"/>
  <c r="R742" i="5" s="1"/>
  <c r="G1033" i="5"/>
  <c r="R1033" i="5" s="1"/>
  <c r="G96" i="5"/>
  <c r="R96" i="5" s="1"/>
  <c r="G1156" i="5"/>
  <c r="R1156" i="5" s="1"/>
  <c r="G1816" i="5"/>
  <c r="R1816" i="5" s="1"/>
  <c r="G7340" i="5"/>
  <c r="R7340" i="5" s="1"/>
  <c r="G5319" i="5"/>
  <c r="R5319" i="5" s="1"/>
  <c r="G3325" i="5"/>
  <c r="R3325" i="5" s="1"/>
  <c r="G3435" i="5"/>
  <c r="R3435" i="5" s="1"/>
  <c r="G4530" i="5"/>
  <c r="R4530" i="5" s="1"/>
  <c r="G4889" i="5"/>
  <c r="R4889" i="5" s="1"/>
  <c r="G4131" i="5"/>
  <c r="R4131" i="5" s="1"/>
  <c r="G1515" i="5"/>
  <c r="R1515" i="5" s="1"/>
  <c r="G6007" i="5"/>
  <c r="R6007" i="5" s="1"/>
  <c r="G86" i="5"/>
  <c r="R86" i="5" s="1"/>
  <c r="G643" i="5"/>
  <c r="R643" i="5" s="1"/>
  <c r="G347" i="5"/>
  <c r="R347" i="5" s="1"/>
  <c r="G1034" i="5"/>
  <c r="R1034" i="5" s="1"/>
  <c r="G3979" i="5"/>
  <c r="R3979" i="5" s="1"/>
  <c r="G5092" i="5"/>
  <c r="R5092" i="5" s="1"/>
  <c r="G4536" i="5"/>
  <c r="R4536" i="5" s="1"/>
  <c r="G5154" i="5"/>
  <c r="R5154" i="5" s="1"/>
  <c r="G6219" i="5"/>
  <c r="R6219" i="5" s="1"/>
  <c r="G7531" i="5"/>
  <c r="R7531" i="5" s="1"/>
  <c r="G1070" i="5"/>
  <c r="R1070" i="5" s="1"/>
  <c r="G2070" i="5"/>
  <c r="R2070" i="5" s="1"/>
  <c r="G4633" i="5"/>
  <c r="R4633" i="5" s="1"/>
  <c r="G7342" i="5"/>
  <c r="R7342" i="5" s="1"/>
  <c r="G1079" i="5"/>
  <c r="R1079" i="5" s="1"/>
  <c r="G2001" i="5"/>
  <c r="R2001" i="5" s="1"/>
  <c r="G3680" i="5"/>
  <c r="R3680" i="5" s="1"/>
  <c r="G4791" i="5"/>
  <c r="R4791" i="5" s="1"/>
  <c r="G378" i="5"/>
  <c r="R378" i="5" s="1"/>
  <c r="G1424" i="5"/>
  <c r="R1424" i="5" s="1"/>
  <c r="G3184" i="5"/>
  <c r="R3184" i="5" s="1"/>
  <c r="G3877" i="5"/>
  <c r="R3877" i="5" s="1"/>
  <c r="G4979" i="5"/>
  <c r="R4979" i="5" s="1"/>
  <c r="G6349" i="5"/>
  <c r="R6349" i="5" s="1"/>
  <c r="G7487" i="5"/>
  <c r="R7487" i="5" s="1"/>
  <c r="G3850" i="5"/>
  <c r="R3850" i="5" s="1"/>
  <c r="G2248" i="5"/>
  <c r="R2248" i="5" s="1"/>
  <c r="G1633" i="5"/>
  <c r="R1633" i="5" s="1"/>
  <c r="G5047" i="5"/>
  <c r="R5047" i="5" s="1"/>
  <c r="G1933" i="5"/>
  <c r="R1933" i="5" s="1"/>
  <c r="G4913" i="5"/>
  <c r="R4913" i="5" s="1"/>
  <c r="G2210" i="5"/>
  <c r="R2210" i="5" s="1"/>
  <c r="G5731" i="5"/>
  <c r="R5731" i="5" s="1"/>
  <c r="G7416" i="5"/>
  <c r="R7416" i="5" s="1"/>
  <c r="G1291" i="5"/>
  <c r="R1291" i="5" s="1"/>
  <c r="G142" i="5"/>
  <c r="R142" i="5" s="1"/>
  <c r="G708" i="5"/>
  <c r="R708" i="5" s="1"/>
  <c r="G1190" i="5"/>
  <c r="R1190" i="5" s="1"/>
  <c r="G910" i="5"/>
  <c r="R910" i="5" s="1"/>
  <c r="G3551" i="5"/>
  <c r="R3551" i="5" s="1"/>
  <c r="G7377" i="5"/>
  <c r="R7377" i="5" s="1"/>
  <c r="G978" i="5"/>
  <c r="R978" i="5" s="1"/>
  <c r="G2938" i="5"/>
  <c r="R2938" i="5" s="1"/>
  <c r="G6340" i="5"/>
  <c r="R6340" i="5" s="1"/>
  <c r="G3158" i="5"/>
  <c r="R3158" i="5" s="1"/>
  <c r="G5356" i="5"/>
  <c r="R5356" i="5" s="1"/>
  <c r="G6170" i="5"/>
  <c r="R6170" i="5" s="1"/>
  <c r="G157" i="5"/>
  <c r="R157" i="5" s="1"/>
  <c r="G3230" i="5"/>
  <c r="R3230" i="5" s="1"/>
  <c r="G3876" i="5"/>
  <c r="R3876" i="5" s="1"/>
  <c r="G4400" i="5"/>
  <c r="R4400" i="5" s="1"/>
  <c r="G1735" i="5"/>
  <c r="R1735" i="5" s="1"/>
  <c r="G4513" i="5"/>
  <c r="R4513" i="5" s="1"/>
  <c r="G6485" i="5"/>
  <c r="R6485" i="5" s="1"/>
  <c r="G3555" i="5"/>
  <c r="R3555" i="5" s="1"/>
  <c r="G8228" i="5"/>
  <c r="R8228" i="5" s="1"/>
  <c r="G2223" i="5"/>
  <c r="R2223" i="5" s="1"/>
  <c r="G4122" i="5"/>
  <c r="R4122" i="5" s="1"/>
  <c r="G6257" i="5"/>
  <c r="R6257" i="5" s="1"/>
  <c r="G1989" i="5"/>
  <c r="R1989" i="5" s="1"/>
  <c r="G782" i="5"/>
  <c r="R782" i="5" s="1"/>
  <c r="G7417" i="5"/>
  <c r="R7417" i="5" s="1"/>
  <c r="G1713" i="5"/>
  <c r="R1713" i="5" s="1"/>
  <c r="G1163" i="5"/>
  <c r="R1163" i="5" s="1"/>
  <c r="G406" i="5"/>
  <c r="R406" i="5" s="1"/>
  <c r="G430" i="5"/>
  <c r="R430" i="5" s="1"/>
  <c r="G3292" i="5"/>
  <c r="R3292" i="5" s="1"/>
  <c r="G1723" i="5"/>
  <c r="R1723" i="5" s="1"/>
  <c r="G1667" i="5"/>
  <c r="R1667" i="5" s="1"/>
  <c r="G3327" i="5"/>
  <c r="R3327" i="5" s="1"/>
  <c r="G5114" i="5"/>
  <c r="R5114" i="5" s="1"/>
  <c r="G7178" i="5"/>
  <c r="R7178" i="5" s="1"/>
  <c r="G740" i="5"/>
  <c r="R740" i="5" s="1"/>
  <c r="G1771" i="5"/>
  <c r="R1771" i="5" s="1"/>
  <c r="G2693" i="5"/>
  <c r="R2693" i="5" s="1"/>
  <c r="G5190" i="5"/>
  <c r="R5190" i="5" s="1"/>
  <c r="G1130" i="5"/>
  <c r="R1130" i="5" s="1"/>
  <c r="G2122" i="5"/>
  <c r="R2122" i="5" s="1"/>
  <c r="G3654" i="5"/>
  <c r="R3654" i="5" s="1"/>
  <c r="G4158" i="5"/>
  <c r="R4158" i="5" s="1"/>
  <c r="G2047" i="5"/>
  <c r="R2047" i="5" s="1"/>
  <c r="G3043" i="5"/>
  <c r="R3043" i="5" s="1"/>
  <c r="G5008" i="5"/>
  <c r="R5008" i="5" s="1"/>
  <c r="G6374" i="5"/>
  <c r="R6374" i="5" s="1"/>
  <c r="G943" i="5"/>
  <c r="R943" i="5" s="1"/>
  <c r="G5081" i="5"/>
  <c r="R5081" i="5" s="1"/>
  <c r="G356" i="5"/>
  <c r="R356" i="5" s="1"/>
  <c r="G7427" i="5"/>
  <c r="R7427" i="5" s="1"/>
  <c r="G1901" i="5"/>
  <c r="R1901" i="5" s="1"/>
  <c r="G8208" i="5"/>
  <c r="R8208" i="5" s="1"/>
  <c r="G4507" i="5"/>
  <c r="R4507" i="5" s="1"/>
  <c r="G8089" i="5"/>
  <c r="R8089" i="5" s="1"/>
  <c r="G4272" i="5"/>
  <c r="R4272" i="5" s="1"/>
  <c r="G1646" i="5"/>
  <c r="R1646" i="5" s="1"/>
  <c r="G5295" i="5"/>
  <c r="R5295" i="5" s="1"/>
  <c r="G3318" i="5"/>
  <c r="R3318" i="5" s="1"/>
  <c r="G4068" i="5"/>
  <c r="R4068" i="5" s="1"/>
  <c r="G1513" i="5"/>
  <c r="R1513" i="5" s="1"/>
  <c r="G7084" i="5"/>
  <c r="R7084" i="5" s="1"/>
  <c r="G7841" i="5"/>
  <c r="R7841" i="5" s="1"/>
  <c r="G7298" i="5"/>
  <c r="R7298" i="5" s="1"/>
  <c r="G311" i="5"/>
  <c r="R311" i="5" s="1"/>
  <c r="G1328" i="5"/>
  <c r="R1328" i="5" s="1"/>
  <c r="G576" i="5"/>
  <c r="R576" i="5" s="1"/>
  <c r="G937" i="5"/>
  <c r="R937" i="5" s="1"/>
  <c r="G4659" i="5"/>
  <c r="R4659" i="5" s="1"/>
  <c r="G5268" i="5"/>
  <c r="R5268" i="5" s="1"/>
  <c r="G1018" i="5"/>
  <c r="R1018" i="5" s="1"/>
  <c r="G2008" i="5"/>
  <c r="R2008" i="5" s="1"/>
  <c r="G5338" i="5"/>
  <c r="R5338" i="5" s="1"/>
  <c r="G5403" i="5"/>
  <c r="R5403" i="5" s="1"/>
  <c r="G3257" i="5"/>
  <c r="R3257" i="5" s="1"/>
  <c r="G4421" i="5"/>
  <c r="R4421" i="5" s="1"/>
  <c r="G7348" i="5"/>
  <c r="R7348" i="5" s="1"/>
  <c r="G3408" i="5"/>
  <c r="R3408" i="5" s="1"/>
  <c r="G4549" i="5"/>
  <c r="R4549" i="5" s="1"/>
  <c r="G5166" i="5"/>
  <c r="R5166" i="5" s="1"/>
  <c r="G7321" i="5"/>
  <c r="R7321" i="5" s="1"/>
  <c r="G3013" i="5"/>
  <c r="R3013" i="5" s="1"/>
  <c r="G4583" i="5"/>
  <c r="R4583" i="5" s="1"/>
  <c r="G926" i="5"/>
  <c r="R926" i="5" s="1"/>
  <c r="G3582" i="5"/>
  <c r="R3582" i="5" s="1"/>
  <c r="G4811" i="5"/>
  <c r="R4811" i="5" s="1"/>
  <c r="G1044" i="5"/>
  <c r="R1044" i="5" s="1"/>
  <c r="G3352" i="5"/>
  <c r="R3352" i="5" s="1"/>
  <c r="G7509" i="5"/>
  <c r="R7509" i="5" s="1"/>
  <c r="G4285" i="5"/>
  <c r="R4285" i="5" s="1"/>
  <c r="G3939" i="5"/>
  <c r="R3939" i="5" s="1"/>
  <c r="G174" i="5"/>
  <c r="R174" i="5" s="1"/>
  <c r="G701" i="5"/>
  <c r="R701" i="5" s="1"/>
  <c r="G1198" i="5"/>
  <c r="R1198" i="5" s="1"/>
  <c r="G46" i="5"/>
  <c r="R46" i="5" s="1"/>
  <c r="G624" i="5"/>
  <c r="R624" i="5" s="1"/>
  <c r="G1103" i="5"/>
  <c r="R1103" i="5" s="1"/>
  <c r="G1772" i="5"/>
  <c r="R1772" i="5" s="1"/>
  <c r="G735" i="5"/>
  <c r="R735" i="5" s="1"/>
  <c r="G3364" i="5"/>
  <c r="R3364" i="5" s="1"/>
  <c r="G4555" i="5"/>
  <c r="R4555" i="5" s="1"/>
  <c r="G5152" i="5"/>
  <c r="R5152" i="5" s="1"/>
  <c r="G802" i="5"/>
  <c r="R802" i="5" s="1"/>
  <c r="G1817" i="5"/>
  <c r="R1817" i="5" s="1"/>
  <c r="G4110" i="5"/>
  <c r="R4110" i="5" s="1"/>
  <c r="G6283" i="5"/>
  <c r="R6283" i="5" s="1"/>
  <c r="G1191" i="5"/>
  <c r="R1191" i="5" s="1"/>
  <c r="G4700" i="5"/>
  <c r="R4700" i="5" s="1"/>
  <c r="G5271" i="5"/>
  <c r="R5271" i="5" s="1"/>
  <c r="G1232" i="5"/>
  <c r="R1232" i="5" s="1"/>
  <c r="G2115" i="5"/>
  <c r="R2115" i="5" s="1"/>
  <c r="G3089" i="5"/>
  <c r="R3089" i="5" s="1"/>
  <c r="G3262" i="5"/>
  <c r="R3262" i="5" s="1"/>
  <c r="G4449" i="5"/>
  <c r="R4449" i="5" s="1"/>
  <c r="G5038" i="5"/>
  <c r="R5038" i="5" s="1"/>
  <c r="G3337" i="5"/>
  <c r="R3337" i="5" s="1"/>
  <c r="G5192" i="5"/>
  <c r="R5192" i="5" s="1"/>
  <c r="G7464" i="5"/>
  <c r="R7464" i="5" s="1"/>
  <c r="G8185" i="5"/>
  <c r="R8185" i="5" s="1"/>
  <c r="G309" i="5"/>
  <c r="R309" i="5" s="1"/>
  <c r="G2782" i="5"/>
  <c r="R2782" i="5" s="1"/>
  <c r="G6375" i="5"/>
  <c r="R6375" i="5" s="1"/>
  <c r="G1802" i="5"/>
  <c r="R1802" i="5" s="1"/>
  <c r="G5383" i="5"/>
  <c r="R5383" i="5" s="1"/>
  <c r="G8204" i="5"/>
  <c r="R8204" i="5" s="1"/>
  <c r="G3251" i="5"/>
  <c r="R3251" i="5" s="1"/>
  <c r="G4256" i="5"/>
  <c r="R4256" i="5" s="1"/>
  <c r="G5747" i="5"/>
  <c r="R5747" i="5" s="1"/>
  <c r="G6035" i="5"/>
  <c r="R6035" i="5" s="1"/>
  <c r="G282" i="5"/>
  <c r="R282" i="5" s="1"/>
  <c r="G1212" i="5"/>
  <c r="R1212" i="5" s="1"/>
  <c r="G492" i="5"/>
  <c r="R492" i="5" s="1"/>
  <c r="G1001" i="5"/>
  <c r="R1001" i="5" s="1"/>
  <c r="G659" i="5"/>
  <c r="R659" i="5" s="1"/>
  <c r="G1792" i="5"/>
  <c r="R1792" i="5" s="1"/>
  <c r="G3454" i="5"/>
  <c r="R3454" i="5" s="1"/>
  <c r="G5169" i="5"/>
  <c r="R5169" i="5" s="1"/>
  <c r="G7232" i="5"/>
  <c r="R7232" i="5" s="1"/>
  <c r="G831" i="5"/>
  <c r="R831" i="5" s="1"/>
  <c r="G3552" i="5"/>
  <c r="R3552" i="5" s="1"/>
  <c r="G6294" i="5"/>
  <c r="R6294" i="5" s="1"/>
  <c r="G1250" i="5"/>
  <c r="R1250" i="5" s="1"/>
  <c r="G3064" i="5"/>
  <c r="R3064" i="5" s="1"/>
  <c r="G3689" i="5"/>
  <c r="R3689" i="5" s="1"/>
  <c r="G4726" i="5"/>
  <c r="R4726" i="5" s="1"/>
  <c r="G5288" i="5"/>
  <c r="R5288" i="5" s="1"/>
  <c r="G7444" i="5"/>
  <c r="R7444" i="5" s="1"/>
  <c r="G1257" i="5"/>
  <c r="R1257" i="5" s="1"/>
  <c r="G3818" i="5"/>
  <c r="R3818" i="5" s="1"/>
  <c r="G4907" i="5"/>
  <c r="R4907" i="5" s="1"/>
  <c r="G6484" i="5"/>
  <c r="R6484" i="5" s="1"/>
  <c r="G592" i="5"/>
  <c r="R592" i="5" s="1"/>
  <c r="G2332" i="5"/>
  <c r="R2332" i="5" s="1"/>
  <c r="G3278" i="5"/>
  <c r="R3278" i="5" s="1"/>
  <c r="G5052" i="5"/>
  <c r="R5052" i="5" s="1"/>
  <c r="G2773" i="5"/>
  <c r="R2773" i="5" s="1"/>
  <c r="G1390" i="5"/>
  <c r="R1390" i="5" s="1"/>
  <c r="G3616" i="5"/>
  <c r="R3616" i="5" s="1"/>
  <c r="G5237" i="5"/>
  <c r="R5237" i="5" s="1"/>
  <c r="G6346" i="5"/>
  <c r="R6346" i="5" s="1"/>
  <c r="G2808" i="5"/>
  <c r="R2808" i="5" s="1"/>
  <c r="G8227" i="5"/>
  <c r="R8227" i="5" s="1"/>
  <c r="G7394" i="5"/>
  <c r="R7394" i="5" s="1"/>
  <c r="G6491" i="5"/>
  <c r="R6491" i="5" s="1"/>
  <c r="G4830" i="5"/>
  <c r="R4830" i="5" s="1"/>
  <c r="G4452" i="5"/>
  <c r="R4452" i="5" s="1"/>
  <c r="G5595" i="5"/>
  <c r="R5595" i="5" s="1"/>
  <c r="G860" i="5"/>
  <c r="R860" i="5" s="1"/>
  <c r="G1015" i="5"/>
  <c r="R1015" i="5" s="1"/>
  <c r="G3902" i="5"/>
  <c r="R3902" i="5" s="1"/>
  <c r="G6580" i="5"/>
  <c r="R6580" i="5" s="1"/>
  <c r="G1278" i="5"/>
  <c r="R1278" i="5" s="1"/>
  <c r="G1290" i="5"/>
  <c r="R1290" i="5" s="1"/>
  <c r="G3056" i="5"/>
  <c r="R3056" i="5" s="1"/>
  <c r="G3835" i="5"/>
  <c r="R3835" i="5" s="1"/>
  <c r="G743" i="5"/>
  <c r="R743" i="5" s="1"/>
  <c r="G4575" i="5"/>
  <c r="R4575" i="5" s="1"/>
  <c r="G5198" i="5"/>
  <c r="R5198" i="5" s="1"/>
  <c r="G4782" i="5"/>
  <c r="R4782" i="5" s="1"/>
  <c r="G7528" i="5"/>
  <c r="R7528" i="5" s="1"/>
  <c r="G4357" i="5"/>
  <c r="R4357" i="5" s="1"/>
  <c r="G6496" i="5"/>
  <c r="R6496" i="5" s="1"/>
  <c r="G3690" i="5"/>
  <c r="R3690" i="5" s="1"/>
  <c r="G5196" i="5"/>
  <c r="R5196" i="5" s="1"/>
  <c r="G2597" i="5"/>
  <c r="R2597" i="5" s="1"/>
  <c r="G7319" i="5"/>
  <c r="R7319" i="5" s="1"/>
  <c r="G601" i="5"/>
  <c r="R601" i="5" s="1"/>
  <c r="G7845" i="5"/>
  <c r="R7845" i="5" s="1"/>
  <c r="G7314" i="5"/>
  <c r="R7314" i="5" s="1"/>
  <c r="G7893" i="5"/>
  <c r="R7893" i="5" s="1"/>
  <c r="G934" i="5"/>
  <c r="R934" i="5" s="1"/>
  <c r="G486" i="5"/>
  <c r="R486" i="5" s="1"/>
  <c r="G1831" i="5"/>
  <c r="R1831" i="5" s="1"/>
  <c r="G3503" i="5"/>
  <c r="R3503" i="5" s="1"/>
  <c r="G4069" i="5"/>
  <c r="R4069" i="5" s="1"/>
  <c r="G1895" i="5"/>
  <c r="R1895" i="5" s="1"/>
  <c r="G2871" i="5"/>
  <c r="R2871" i="5" s="1"/>
  <c r="G3595" i="5"/>
  <c r="R3595" i="5" s="1"/>
  <c r="G4651" i="5"/>
  <c r="R4651" i="5" s="1"/>
  <c r="G134" i="5"/>
  <c r="R134" i="5" s="1"/>
  <c r="G1296" i="5"/>
  <c r="R1296" i="5" s="1"/>
  <c r="G2209" i="5"/>
  <c r="R2209" i="5" s="1"/>
  <c r="G3729" i="5"/>
  <c r="R3729" i="5" s="1"/>
  <c r="G4259" i="5"/>
  <c r="R4259" i="5" s="1"/>
  <c r="G58" i="5"/>
  <c r="R58" i="5" s="1"/>
  <c r="G1306" i="5"/>
  <c r="R1306" i="5" s="1"/>
  <c r="G4359" i="5"/>
  <c r="R4359" i="5" s="1"/>
  <c r="G5589" i="5"/>
  <c r="R5589" i="5" s="1"/>
  <c r="G7224" i="5"/>
  <c r="R7224" i="5" s="1"/>
  <c r="G702" i="5"/>
  <c r="R702" i="5" s="1"/>
  <c r="G1657" i="5"/>
  <c r="R1657" i="5" s="1"/>
  <c r="G5099" i="5"/>
  <c r="R5099" i="5" s="1"/>
  <c r="G6455" i="5"/>
  <c r="R6455" i="5" s="1"/>
  <c r="G1312" i="5"/>
  <c r="R1312" i="5" s="1"/>
  <c r="G8193" i="5"/>
  <c r="R8193" i="5" s="1"/>
  <c r="G7202" i="5"/>
  <c r="R7202" i="5" s="1"/>
  <c r="G809" i="5"/>
  <c r="R809" i="5" s="1"/>
  <c r="G3247" i="5"/>
  <c r="R3247" i="5" s="1"/>
  <c r="G7463" i="5"/>
  <c r="R7463" i="5" s="1"/>
  <c r="G5308" i="5"/>
  <c r="R5308" i="5" s="1"/>
  <c r="G3536" i="5"/>
  <c r="R3536" i="5" s="1"/>
  <c r="G5208" i="5"/>
  <c r="R5208" i="5" s="1"/>
  <c r="G4392" i="5"/>
  <c r="R4392" i="5" s="1"/>
  <c r="G2337" i="5"/>
  <c r="R2337" i="5" s="1"/>
  <c r="G4276" i="5"/>
  <c r="R4276" i="5" s="1"/>
  <c r="G6572" i="5"/>
  <c r="R6572" i="5" s="1"/>
  <c r="G7941" i="5"/>
  <c r="R7941" i="5" s="1"/>
  <c r="G503" i="5"/>
  <c r="R503" i="5" s="1"/>
  <c r="G881" i="5"/>
  <c r="R881" i="5" s="1"/>
  <c r="G3526" i="5"/>
  <c r="R3526" i="5" s="1"/>
  <c r="G7354" i="5"/>
  <c r="R7354" i="5" s="1"/>
  <c r="G1918" i="5"/>
  <c r="R1918" i="5" s="1"/>
  <c r="G2906" i="5"/>
  <c r="R2906" i="5" s="1"/>
  <c r="G6318" i="5"/>
  <c r="R6318" i="5" s="1"/>
  <c r="G1327" i="5"/>
  <c r="R1327" i="5" s="1"/>
  <c r="G2222" i="5"/>
  <c r="R2222" i="5" s="1"/>
  <c r="G4774" i="5"/>
  <c r="R4774" i="5" s="1"/>
  <c r="G1344" i="5"/>
  <c r="R1344" i="5" s="1"/>
  <c r="G3199" i="5"/>
  <c r="R3199" i="5" s="1"/>
  <c r="G728" i="5"/>
  <c r="R728" i="5" s="1"/>
  <c r="G1693" i="5"/>
  <c r="R1693" i="5" s="1"/>
  <c r="G4011" i="5"/>
  <c r="R4011" i="5" s="1"/>
  <c r="G1458" i="5"/>
  <c r="R1458" i="5" s="1"/>
  <c r="G6217" i="5"/>
  <c r="R6217" i="5" s="1"/>
  <c r="G2795" i="5"/>
  <c r="R2795" i="5" s="1"/>
  <c r="G4497" i="5"/>
  <c r="R4497" i="5" s="1"/>
  <c r="G3590" i="5"/>
  <c r="R3590" i="5" s="1"/>
  <c r="G5241" i="5"/>
  <c r="R5241" i="5" s="1"/>
  <c r="G7769" i="5"/>
  <c r="R7769" i="5" s="1"/>
  <c r="G6198" i="5"/>
  <c r="R6198" i="5" s="1"/>
  <c r="G3140" i="5"/>
  <c r="R3140" i="5" s="1"/>
  <c r="G7332" i="5"/>
  <c r="R7332" i="5" s="1"/>
  <c r="G5249" i="5"/>
  <c r="R5249" i="5" s="1"/>
  <c r="G3159" i="5"/>
  <c r="R3159" i="5" s="1"/>
  <c r="G271" i="5"/>
  <c r="R271" i="5" s="1"/>
  <c r="G777" i="5"/>
  <c r="R777" i="5" s="1"/>
  <c r="G584" i="5"/>
  <c r="R584" i="5" s="1"/>
  <c r="G1065" i="5"/>
  <c r="R1065" i="5" s="1"/>
  <c r="G1878" i="5"/>
  <c r="R1878" i="5" s="1"/>
  <c r="G1865" i="5"/>
  <c r="R1865" i="5" s="1"/>
  <c r="G4611" i="5"/>
  <c r="R4611" i="5" s="1"/>
  <c r="G5234" i="5"/>
  <c r="R5234" i="5" s="1"/>
  <c r="G1952" i="5"/>
  <c r="R1952" i="5" s="1"/>
  <c r="G3636" i="5"/>
  <c r="R3636" i="5" s="1"/>
  <c r="G4193" i="5"/>
  <c r="R4193" i="5" s="1"/>
  <c r="G4682" i="5"/>
  <c r="R4682" i="5" s="1"/>
  <c r="G2242" i="5"/>
  <c r="R2242" i="5" s="1"/>
  <c r="G4301" i="5"/>
  <c r="R4301" i="5" s="1"/>
  <c r="G1370" i="5"/>
  <c r="R1370" i="5" s="1"/>
  <c r="G2237" i="5"/>
  <c r="R2237" i="5" s="1"/>
  <c r="G4990" i="5"/>
  <c r="R4990" i="5" s="1"/>
  <c r="G7320" i="5"/>
  <c r="R7320" i="5" s="1"/>
  <c r="G3359" i="5"/>
  <c r="R3359" i="5" s="1"/>
  <c r="G5131" i="5"/>
  <c r="R5131" i="5" s="1"/>
  <c r="G1551" i="5"/>
  <c r="R1551" i="5" s="1"/>
  <c r="G5419" i="5"/>
  <c r="R5419" i="5" s="1"/>
  <c r="G7380" i="5"/>
  <c r="R7380" i="5" s="1"/>
  <c r="G2229" i="5"/>
  <c r="R2229" i="5" s="1"/>
  <c r="G4211" i="5"/>
  <c r="R4211" i="5" s="1"/>
  <c r="G5410" i="5"/>
  <c r="R5410" i="5" s="1"/>
  <c r="G2203" i="5"/>
  <c r="R2203" i="5" s="1"/>
  <c r="G4249" i="5"/>
  <c r="R4249" i="5" s="1"/>
  <c r="G6188" i="5"/>
  <c r="R6188" i="5" s="1"/>
  <c r="G5382" i="5"/>
  <c r="R5382" i="5" s="1"/>
  <c r="G3840" i="5"/>
  <c r="R3840" i="5" s="1"/>
  <c r="G3544" i="5"/>
  <c r="R3544" i="5" s="1"/>
  <c r="G1519" i="5"/>
  <c r="R1519" i="5" s="1"/>
  <c r="G6338" i="5"/>
  <c r="R6338" i="5" s="1"/>
  <c r="G404" i="5"/>
  <c r="R404" i="5" s="1"/>
  <c r="G602" i="5"/>
  <c r="R602" i="5" s="1"/>
  <c r="G164" i="5"/>
  <c r="R164" i="5" s="1"/>
  <c r="G720" i="5"/>
  <c r="R720" i="5" s="1"/>
  <c r="G1204" i="5"/>
  <c r="R1204" i="5" s="1"/>
  <c r="G4104" i="5"/>
  <c r="R4104" i="5" s="1"/>
  <c r="G5250" i="5"/>
  <c r="R5250" i="5" s="1"/>
  <c r="G990" i="5"/>
  <c r="R990" i="5" s="1"/>
  <c r="G1979" i="5"/>
  <c r="R1979" i="5" s="1"/>
  <c r="G2978" i="5"/>
  <c r="R2978" i="5" s="1"/>
  <c r="G3650" i="5"/>
  <c r="R3650" i="5" s="1"/>
  <c r="G280" i="5"/>
  <c r="R280" i="5" s="1"/>
  <c r="G3175" i="5"/>
  <c r="R3175" i="5" s="1"/>
  <c r="G5376" i="5"/>
  <c r="R5376" i="5" s="1"/>
  <c r="G2266" i="5"/>
  <c r="R2266" i="5" s="1"/>
  <c r="G3242" i="5"/>
  <c r="R3242" i="5" s="1"/>
  <c r="G7333" i="5"/>
  <c r="R7333" i="5" s="1"/>
  <c r="G1764" i="5"/>
  <c r="R1764" i="5" s="1"/>
  <c r="G3374" i="5"/>
  <c r="R3374" i="5" s="1"/>
  <c r="G5147" i="5"/>
  <c r="R5147" i="5" s="1"/>
  <c r="G7225" i="5"/>
  <c r="R7225" i="5" s="1"/>
  <c r="G5468" i="5"/>
  <c r="R5468" i="5" s="1"/>
  <c r="G4667" i="5"/>
  <c r="R4667" i="5" s="1"/>
  <c r="G3857" i="5"/>
  <c r="R3857" i="5" s="1"/>
  <c r="G5428" i="5"/>
  <c r="R5428" i="5" s="1"/>
  <c r="G906" i="5"/>
  <c r="R906" i="5" s="1"/>
  <c r="G2877" i="5"/>
  <c r="R2877" i="5" s="1"/>
  <c r="G2561" i="5"/>
  <c r="R2561" i="5" s="1"/>
  <c r="G6277" i="5"/>
  <c r="R6277" i="5" s="1"/>
  <c r="G1928" i="5"/>
  <c r="R1928" i="5" s="1"/>
  <c r="G1532" i="5"/>
  <c r="R1532" i="5" s="1"/>
  <c r="G6453" i="5"/>
  <c r="R6453" i="5" s="1"/>
  <c r="G3303" i="5"/>
  <c r="R3303" i="5" s="1"/>
  <c r="G130" i="5"/>
  <c r="R130" i="5" s="1"/>
  <c r="G95" i="5"/>
  <c r="R95" i="5" s="1"/>
  <c r="G2973" i="5"/>
  <c r="R2973" i="5" s="1"/>
  <c r="G5439" i="5"/>
  <c r="R5439" i="5" s="1"/>
  <c r="G1269" i="5"/>
  <c r="R1269" i="5" s="1"/>
  <c r="G4935" i="5"/>
  <c r="R4935" i="5" s="1"/>
  <c r="G1712" i="5"/>
  <c r="R1712" i="5" s="1"/>
  <c r="G4454" i="5"/>
  <c r="R4454" i="5" s="1"/>
  <c r="G4985" i="5"/>
  <c r="R4985" i="5" s="1"/>
  <c r="G1634" i="5"/>
  <c r="R1634" i="5" s="1"/>
  <c r="G3421" i="5"/>
  <c r="R3421" i="5" s="1"/>
  <c r="G4044" i="5"/>
  <c r="R4044" i="5" s="1"/>
  <c r="G7503" i="5"/>
  <c r="R7503" i="5" s="1"/>
  <c r="G3587" i="5"/>
  <c r="R3587" i="5" s="1"/>
  <c r="G4210" i="5"/>
  <c r="R4210" i="5" s="1"/>
  <c r="G2265" i="5"/>
  <c r="R2265" i="5" s="1"/>
  <c r="G379" i="5"/>
  <c r="R379" i="5" s="1"/>
  <c r="G3218" i="5"/>
  <c r="R3218" i="5" s="1"/>
  <c r="G288" i="5"/>
  <c r="R288" i="5" s="1"/>
  <c r="G7430" i="5"/>
  <c r="R7430" i="5" s="1"/>
  <c r="G5021" i="5"/>
  <c r="R5021" i="5" s="1"/>
  <c r="G936" i="5"/>
  <c r="R936" i="5" s="1"/>
  <c r="G2216" i="5"/>
  <c r="R2216" i="5" s="1"/>
  <c r="G6067" i="5"/>
  <c r="R6067" i="5" s="1"/>
  <c r="G3353" i="5"/>
  <c r="R3353" i="5" s="1"/>
  <c r="G7262" i="5"/>
  <c r="R7262" i="5" s="1"/>
  <c r="G998" i="5"/>
  <c r="R998" i="5" s="1"/>
  <c r="G325" i="5"/>
  <c r="R325" i="5" s="1"/>
  <c r="G635" i="5"/>
  <c r="R635" i="5" s="1"/>
  <c r="G753" i="5"/>
  <c r="R753" i="5" s="1"/>
  <c r="G1957" i="5"/>
  <c r="R1957" i="5" s="1"/>
  <c r="G958" i="5"/>
  <c r="R958" i="5" s="1"/>
  <c r="G4138" i="5"/>
  <c r="R4138" i="5" s="1"/>
  <c r="G6164" i="5"/>
  <c r="R6164" i="5" s="1"/>
  <c r="G7428" i="5"/>
  <c r="R7428" i="5" s="1"/>
  <c r="G2030" i="5"/>
  <c r="R2030" i="5" s="1"/>
  <c r="G3023" i="5"/>
  <c r="R3023" i="5" s="1"/>
  <c r="G5351" i="5"/>
  <c r="R5351" i="5" s="1"/>
  <c r="G1503" i="5"/>
  <c r="R1503" i="5" s="1"/>
  <c r="G2320" i="5"/>
  <c r="R2320" i="5" s="1"/>
  <c r="G4854" i="5"/>
  <c r="R4854" i="5" s="1"/>
  <c r="G2298" i="5"/>
  <c r="R2298" i="5" s="1"/>
  <c r="G3277" i="5"/>
  <c r="R3277" i="5" s="1"/>
  <c r="G2521" i="5"/>
  <c r="R2521" i="5" s="1"/>
  <c r="G3425" i="5"/>
  <c r="R3425" i="5" s="1"/>
  <c r="G5183" i="5"/>
  <c r="R5183" i="5" s="1"/>
  <c r="G7334" i="5"/>
  <c r="R7334" i="5" s="1"/>
  <c r="G1757" i="5"/>
  <c r="R1757" i="5" s="1"/>
  <c r="G6379" i="5"/>
  <c r="R6379" i="5" s="1"/>
  <c r="G6828" i="5"/>
  <c r="R6828" i="5" s="1"/>
  <c r="G5601" i="5"/>
  <c r="R5601" i="5" s="1"/>
  <c r="G4623" i="5"/>
  <c r="R4623" i="5" s="1"/>
  <c r="G1011" i="5"/>
  <c r="R1011" i="5" s="1"/>
  <c r="G2236" i="5"/>
  <c r="R2236" i="5" s="1"/>
  <c r="G5027" i="5"/>
  <c r="R5027" i="5" s="1"/>
  <c r="G3931" i="5"/>
  <c r="R3931" i="5" s="1"/>
  <c r="G4716" i="5"/>
  <c r="R4716" i="5" s="1"/>
  <c r="G5743" i="5"/>
  <c r="R5743" i="5" s="1"/>
  <c r="G6688" i="5"/>
  <c r="R6688" i="5" s="1"/>
  <c r="G7306" i="5"/>
  <c r="R7306" i="5" s="1"/>
  <c r="G439" i="5"/>
  <c r="R439" i="5" s="1"/>
  <c r="G769" i="5"/>
  <c r="R769" i="5" s="1"/>
  <c r="G1973" i="5"/>
  <c r="R1973" i="5" s="1"/>
  <c r="G4153" i="5"/>
  <c r="R4153" i="5" s="1"/>
  <c r="G4698" i="5"/>
  <c r="R4698" i="5" s="1"/>
  <c r="G5337" i="5"/>
  <c r="R5337" i="5" s="1"/>
  <c r="G7442" i="5"/>
  <c r="R7442" i="5" s="1"/>
  <c r="G2063" i="5"/>
  <c r="R2063" i="5" s="1"/>
  <c r="G3057" i="5"/>
  <c r="R3057" i="5" s="1"/>
  <c r="G3728" i="5"/>
  <c r="R3728" i="5" s="1"/>
  <c r="G5375" i="5"/>
  <c r="R5375" i="5" s="1"/>
  <c r="G1539" i="5"/>
  <c r="R1539" i="5" s="1"/>
  <c r="G3249" i="5"/>
  <c r="R3249" i="5" s="1"/>
  <c r="G3304" i="5"/>
  <c r="R3304" i="5" s="1"/>
  <c r="G7381" i="5"/>
  <c r="R7381" i="5" s="1"/>
  <c r="G1830" i="5"/>
  <c r="R1830" i="5" s="1"/>
  <c r="G2625" i="5"/>
  <c r="R2625" i="5" s="1"/>
  <c r="G3444" i="5"/>
  <c r="R3444" i="5" s="1"/>
  <c r="G5199" i="5"/>
  <c r="R5199" i="5" s="1"/>
  <c r="G7349" i="5"/>
  <c r="R7349" i="5" s="1"/>
  <c r="G3283" i="5"/>
  <c r="R3283" i="5" s="1"/>
  <c r="G7529" i="5"/>
  <c r="R7529" i="5" s="1"/>
  <c r="G5200" i="5"/>
  <c r="R5200" i="5" s="1"/>
  <c r="G4373" i="5"/>
  <c r="R4373" i="5" s="1"/>
  <c r="G7331" i="5"/>
  <c r="R7331" i="5" s="1"/>
  <c r="G7404" i="5"/>
  <c r="R7404" i="5" s="1"/>
  <c r="G6956" i="5"/>
  <c r="R6956" i="5" s="1"/>
  <c r="G76" i="5"/>
  <c r="R76" i="5" s="1"/>
  <c r="G1812" i="5"/>
  <c r="R1812" i="5" s="1"/>
  <c r="G5188" i="5"/>
  <c r="R5188" i="5" s="1"/>
  <c r="G4746" i="5"/>
  <c r="R4746" i="5" s="1"/>
  <c r="G2196" i="5"/>
  <c r="R2196" i="5" s="1"/>
  <c r="G4927" i="5"/>
  <c r="R4927" i="5" s="1"/>
  <c r="G5267" i="5"/>
  <c r="R5267" i="5" s="1"/>
  <c r="G796" i="5"/>
  <c r="R796" i="5" s="1"/>
  <c r="G1321" i="5"/>
  <c r="R1321" i="5" s="1"/>
  <c r="G3104" i="5"/>
  <c r="R3104" i="5" s="1"/>
  <c r="G5045" i="5"/>
  <c r="R5045" i="5" s="1"/>
  <c r="G727" i="5"/>
  <c r="R727" i="5" s="1"/>
  <c r="G4059" i="5"/>
  <c r="R4059" i="5" s="1"/>
  <c r="G2181" i="5"/>
  <c r="R2181" i="5" s="1"/>
  <c r="G3704" i="5"/>
  <c r="R3704" i="5" s="1"/>
  <c r="G1149" i="5"/>
  <c r="R1149" i="5" s="1"/>
  <c r="G957" i="5"/>
  <c r="R957" i="5" s="1"/>
  <c r="G200" i="5"/>
  <c r="R200" i="5" s="1"/>
  <c r="G158" i="5"/>
  <c r="R158" i="5" s="1"/>
  <c r="G5559" i="5"/>
  <c r="R5559" i="5" s="1"/>
  <c r="G2258" i="5"/>
  <c r="R2258" i="5" s="1"/>
  <c r="G4382" i="5"/>
  <c r="R4382" i="5" s="1"/>
  <c r="G1795" i="5"/>
  <c r="R1795" i="5" s="1"/>
  <c r="G4488" i="5"/>
  <c r="R4488" i="5" s="1"/>
  <c r="G4086" i="5"/>
  <c r="R4086" i="5" s="1"/>
  <c r="G2923" i="5"/>
  <c r="R2923" i="5" s="1"/>
  <c r="G4242" i="5"/>
  <c r="R4242" i="5" s="1"/>
  <c r="G5389" i="5"/>
  <c r="R5389" i="5" s="1"/>
  <c r="G1468" i="5"/>
  <c r="R1468" i="5" s="1"/>
  <c r="G1488" i="5"/>
  <c r="R1488" i="5" s="1"/>
  <c r="G4413" i="5"/>
  <c r="R4413" i="5" s="1"/>
  <c r="G5140" i="5"/>
  <c r="R5140" i="5" s="1"/>
  <c r="G2195" i="5"/>
  <c r="R2195" i="5" s="1"/>
  <c r="G7889" i="5"/>
  <c r="R7889" i="5" s="1"/>
  <c r="G2549" i="5"/>
  <c r="R2549" i="5" s="1"/>
  <c r="G882" i="5"/>
  <c r="R882" i="5" s="1"/>
  <c r="G4157" i="5"/>
  <c r="R4157" i="5" s="1"/>
  <c r="G5269" i="5"/>
  <c r="R5269" i="5" s="1"/>
  <c r="G3114" i="5"/>
  <c r="R3114" i="5" s="1"/>
  <c r="G3183" i="5"/>
  <c r="R3183" i="5" s="1"/>
  <c r="G4961" i="5"/>
  <c r="R4961" i="5" s="1"/>
  <c r="G4484" i="5"/>
  <c r="R4484" i="5" s="1"/>
  <c r="G5344" i="5"/>
  <c r="R5344" i="5" s="1"/>
  <c r="G2930" i="5"/>
  <c r="R2930" i="5" s="1"/>
  <c r="G2071" i="5"/>
  <c r="R2071" i="5" s="1"/>
  <c r="G672" i="5"/>
  <c r="R672" i="5" s="1"/>
  <c r="G3068" i="5"/>
  <c r="R3068" i="5" s="1"/>
  <c r="G4033" i="5"/>
  <c r="R4033" i="5" s="1"/>
  <c r="G3420" i="5"/>
  <c r="R3420" i="5" s="1"/>
  <c r="G3937" i="5"/>
  <c r="R3937" i="5" s="1"/>
  <c r="G444" i="5"/>
  <c r="R444" i="5" s="1"/>
  <c r="G890" i="5"/>
  <c r="R890" i="5" s="1"/>
  <c r="G252" i="5"/>
  <c r="R252" i="5" s="1"/>
  <c r="G2157" i="5"/>
  <c r="R2157" i="5" s="1"/>
  <c r="G1352" i="5"/>
  <c r="R1352" i="5" s="1"/>
  <c r="G4984" i="5"/>
  <c r="R4984" i="5" s="1"/>
  <c r="G7341" i="5"/>
  <c r="R7341" i="5" s="1"/>
  <c r="G3415" i="5"/>
  <c r="R3415" i="5" s="1"/>
  <c r="G6412" i="5"/>
  <c r="R6412" i="5" s="1"/>
  <c r="G6259" i="5"/>
  <c r="R6259" i="5" s="1"/>
  <c r="G3647" i="5"/>
  <c r="R3647" i="5" s="1"/>
  <c r="G6194" i="5"/>
  <c r="R6194" i="5" s="1"/>
  <c r="G3152" i="5"/>
  <c r="R3152" i="5" s="1"/>
  <c r="G6456" i="5"/>
  <c r="R6456" i="5" s="1"/>
  <c r="G1946" i="5"/>
  <c r="R1946" i="5" s="1"/>
  <c r="G775" i="5"/>
  <c r="R775" i="5" s="1"/>
  <c r="G594" i="5"/>
  <c r="R594" i="5" s="1"/>
  <c r="G1097" i="5"/>
  <c r="R1097" i="5" s="1"/>
  <c r="G1439" i="5"/>
  <c r="R1439" i="5" s="1"/>
  <c r="G3235" i="5"/>
  <c r="R3235" i="5" s="1"/>
  <c r="G1623" i="5"/>
  <c r="R1623" i="5" s="1"/>
  <c r="G4504" i="5"/>
  <c r="R4504" i="5" s="1"/>
  <c r="G5116" i="5"/>
  <c r="R5116" i="5" s="1"/>
  <c r="G7489" i="5"/>
  <c r="R7489" i="5" s="1"/>
  <c r="G996" i="5"/>
  <c r="R996" i="5" s="1"/>
  <c r="G7282" i="5"/>
  <c r="R7282" i="5" s="1"/>
  <c r="G3646" i="5"/>
  <c r="R3646" i="5" s="1"/>
  <c r="G4227" i="5"/>
  <c r="R4227" i="5" s="1"/>
  <c r="G3849" i="5"/>
  <c r="R3849" i="5" s="1"/>
  <c r="G4360" i="5"/>
  <c r="R4360" i="5" s="1"/>
  <c r="G703" i="5"/>
  <c r="R703" i="5" s="1"/>
  <c r="G4862" i="5"/>
  <c r="R4862" i="5" s="1"/>
  <c r="G4012" i="5"/>
  <c r="R4012" i="5" s="1"/>
  <c r="G2898" i="5"/>
  <c r="R2898" i="5" s="1"/>
  <c r="G4335" i="5"/>
  <c r="R4335" i="5" s="1"/>
  <c r="G1041" i="5"/>
  <c r="R1041" i="5" s="1"/>
  <c r="G358" i="5"/>
  <c r="R358" i="5" s="1"/>
  <c r="G797" i="5"/>
  <c r="R797" i="5" s="1"/>
  <c r="G4220" i="5"/>
  <c r="R4220" i="5" s="1"/>
  <c r="G4770" i="5"/>
  <c r="R4770" i="5" s="1"/>
  <c r="G5371" i="5"/>
  <c r="R5371" i="5" s="1"/>
  <c r="G6218" i="5"/>
  <c r="R6218" i="5" s="1"/>
  <c r="G3794" i="5"/>
  <c r="R3794" i="5" s="1"/>
  <c r="G438" i="5"/>
  <c r="R438" i="5" s="1"/>
  <c r="G1611" i="5"/>
  <c r="R1611" i="5" s="1"/>
  <c r="G3297" i="5"/>
  <c r="R3297" i="5" s="1"/>
  <c r="G4920" i="5"/>
  <c r="R4920" i="5" s="1"/>
  <c r="G421" i="5"/>
  <c r="R421" i="5" s="1"/>
  <c r="G1559" i="5"/>
  <c r="R1559" i="5" s="1"/>
  <c r="G2357" i="5"/>
  <c r="R2357" i="5" s="1"/>
  <c r="G3973" i="5"/>
  <c r="R3973" i="5" s="1"/>
  <c r="G4483" i="5"/>
  <c r="R4483" i="5" s="1"/>
  <c r="G5087" i="5"/>
  <c r="R5087" i="5" s="1"/>
  <c r="G6163" i="5"/>
  <c r="R6163" i="5" s="1"/>
  <c r="G3699" i="5"/>
  <c r="R3699" i="5" s="1"/>
  <c r="G2705" i="5"/>
  <c r="R2705" i="5" s="1"/>
  <c r="G5911" i="5"/>
  <c r="R5911" i="5" s="1"/>
  <c r="G2079" i="5"/>
  <c r="R2079" i="5" s="1"/>
  <c r="G4697" i="5"/>
  <c r="R4697" i="5" s="1"/>
  <c r="G4423" i="5"/>
  <c r="R4423" i="5" s="1"/>
  <c r="G6208" i="5"/>
  <c r="R6208" i="5" s="1"/>
  <c r="G6892" i="5"/>
  <c r="R6892" i="5" s="1"/>
  <c r="G2988" i="5"/>
  <c r="R2988" i="5" s="1"/>
  <c r="G944" i="5"/>
  <c r="R944" i="5" s="1"/>
  <c r="G1258" i="5"/>
  <c r="R1258" i="5" s="1"/>
  <c r="G565" i="5"/>
  <c r="R565" i="5" s="1"/>
  <c r="G1049" i="5"/>
  <c r="R1049" i="5" s="1"/>
  <c r="G119" i="5"/>
  <c r="R119" i="5" s="1"/>
  <c r="G693" i="5"/>
  <c r="R693" i="5" s="1"/>
  <c r="G1170" i="5"/>
  <c r="R1170" i="5" s="1"/>
  <c r="G1854" i="5"/>
  <c r="R1854" i="5" s="1"/>
  <c r="G1836" i="5"/>
  <c r="R1836" i="5" s="1"/>
  <c r="G2573" i="5"/>
  <c r="R2573" i="5" s="1"/>
  <c r="G4079" i="5"/>
  <c r="R4079" i="5" s="1"/>
  <c r="G4602" i="5"/>
  <c r="R4602" i="5" s="1"/>
  <c r="G5219" i="5"/>
  <c r="R5219" i="5" s="1"/>
  <c r="G6071" i="5"/>
  <c r="R6071" i="5" s="1"/>
  <c r="G921" i="5"/>
  <c r="R921" i="5" s="1"/>
  <c r="G4663" i="5"/>
  <c r="R4663" i="5" s="1"/>
  <c r="G194" i="5"/>
  <c r="R194" i="5" s="1"/>
  <c r="G3751" i="5"/>
  <c r="R3751" i="5" s="1"/>
  <c r="G5342" i="5"/>
  <c r="R5342" i="5" s="1"/>
  <c r="G100" i="5"/>
  <c r="R100" i="5" s="1"/>
  <c r="G4375" i="5"/>
  <c r="R4375" i="5" s="1"/>
  <c r="G4978" i="5"/>
  <c r="R4978" i="5" s="1"/>
  <c r="G7290" i="5"/>
  <c r="R7290" i="5" s="1"/>
  <c r="G4496" i="5"/>
  <c r="R4496" i="5" s="1"/>
  <c r="G5112" i="5"/>
  <c r="R5112" i="5" s="1"/>
  <c r="G5895" i="5"/>
  <c r="R5895" i="5" s="1"/>
  <c r="G6464" i="5"/>
  <c r="R6464" i="5" s="1"/>
  <c r="G3502" i="5"/>
  <c r="R3502" i="5" s="1"/>
  <c r="G5397" i="5"/>
  <c r="R5397" i="5" s="1"/>
  <c r="G8206" i="5"/>
  <c r="R8206" i="5" s="1"/>
  <c r="G2172" i="5"/>
  <c r="R2172" i="5" s="1"/>
  <c r="G6362" i="5"/>
  <c r="R6362" i="5" s="1"/>
  <c r="G2189" i="5"/>
  <c r="R2189" i="5" s="1"/>
  <c r="G4169" i="5"/>
  <c r="R4169" i="5" s="1"/>
  <c r="G5357" i="5"/>
  <c r="R5357" i="5" s="1"/>
  <c r="G4232" i="5"/>
  <c r="R4232" i="5" s="1"/>
  <c r="G2445" i="5"/>
  <c r="R2445" i="5" s="1"/>
  <c r="G4141" i="5"/>
  <c r="R4141" i="5" s="1"/>
  <c r="G3712" i="5"/>
  <c r="R3712" i="5" s="1"/>
  <c r="G6588" i="5"/>
  <c r="R6588" i="5" s="1"/>
  <c r="G7441" i="5"/>
  <c r="R7441" i="5" s="1"/>
  <c r="G1176" i="5"/>
  <c r="R1176" i="5" s="1"/>
  <c r="G2179" i="5"/>
  <c r="R2179" i="5" s="1"/>
  <c r="G6011" i="5"/>
  <c r="R6011" i="5" s="1"/>
  <c r="G7294" i="5"/>
  <c r="R7294" i="5" s="1"/>
  <c r="G536" i="5"/>
  <c r="R536" i="5" s="1"/>
  <c r="G900" i="5"/>
  <c r="R900" i="5" s="1"/>
  <c r="G90" i="5"/>
  <c r="R90" i="5" s="1"/>
  <c r="G719" i="5"/>
  <c r="R719" i="5" s="1"/>
  <c r="G315" i="5"/>
  <c r="R315" i="5" s="1"/>
  <c r="G2046" i="5"/>
  <c r="R2046" i="5" s="1"/>
  <c r="G2899" i="5"/>
  <c r="R2899" i="5" s="1"/>
  <c r="G4252" i="5"/>
  <c r="R4252" i="5" s="1"/>
  <c r="G5411" i="5"/>
  <c r="R5411" i="5" s="1"/>
  <c r="G7530" i="5"/>
  <c r="R7530" i="5" s="1"/>
  <c r="G3174" i="5"/>
  <c r="R3174" i="5" s="1"/>
  <c r="G3852" i="5"/>
  <c r="R3852" i="5" s="1"/>
  <c r="G3332" i="5"/>
  <c r="R3332" i="5" s="1"/>
  <c r="G4429" i="5"/>
  <c r="R4429" i="5" s="1"/>
  <c r="G6295" i="5"/>
  <c r="R6295" i="5" s="1"/>
  <c r="G2493" i="5"/>
  <c r="R2493" i="5" s="1"/>
  <c r="G3395" i="5"/>
  <c r="R3395" i="5" s="1"/>
  <c r="G4010" i="5"/>
  <c r="R4010" i="5" s="1"/>
  <c r="G4512" i="5"/>
  <c r="R4512" i="5" s="1"/>
  <c r="G6175" i="5"/>
  <c r="R6175" i="5" s="1"/>
  <c r="G7465" i="5"/>
  <c r="R7465" i="5" s="1"/>
  <c r="G4630" i="5"/>
  <c r="R4630" i="5" s="1"/>
  <c r="G7437" i="5"/>
  <c r="R7437" i="5" s="1"/>
  <c r="G2038" i="5"/>
  <c r="R2038" i="5" s="1"/>
  <c r="G281" i="5"/>
  <c r="R281" i="5" s="1"/>
  <c r="G3146" i="5"/>
  <c r="R3146" i="5" s="1"/>
  <c r="G1765" i="5"/>
  <c r="R1765" i="5" s="1"/>
  <c r="G8196" i="5"/>
  <c r="R8196" i="5" s="1"/>
  <c r="G2861" i="5"/>
  <c r="R2861" i="5" s="1"/>
  <c r="G4446" i="5"/>
  <c r="R4446" i="5" s="1"/>
  <c r="G2525" i="5"/>
  <c r="R2525" i="5" s="1"/>
  <c r="G4186" i="5"/>
  <c r="R4186" i="5" s="1"/>
  <c r="G1573" i="5"/>
  <c r="R1573" i="5" s="1"/>
  <c r="G6347" i="5"/>
  <c r="R6347" i="5" s="1"/>
  <c r="G8145" i="5"/>
  <c r="R8145" i="5" s="1"/>
  <c r="G979" i="5"/>
  <c r="R979" i="5" s="1"/>
  <c r="G286" i="5"/>
  <c r="R286" i="5" s="1"/>
  <c r="G793" i="5"/>
  <c r="R793" i="5" s="1"/>
  <c r="G1307" i="5"/>
  <c r="R1307" i="5" s="1"/>
  <c r="G550" i="5"/>
  <c r="R550" i="5" s="1"/>
  <c r="G1902" i="5"/>
  <c r="R1902" i="5" s="1"/>
  <c r="G920" i="5"/>
  <c r="R920" i="5" s="1"/>
  <c r="G1890" i="5"/>
  <c r="R1890" i="5" s="1"/>
  <c r="G3573" i="5"/>
  <c r="R3573" i="5" s="1"/>
  <c r="G4650" i="5"/>
  <c r="R4650" i="5" s="1"/>
  <c r="G7386" i="5"/>
  <c r="R7386" i="5" s="1"/>
  <c r="G4699" i="5"/>
  <c r="R4699" i="5" s="1"/>
  <c r="G5314" i="5"/>
  <c r="R5314" i="5" s="1"/>
  <c r="G6355" i="5"/>
  <c r="R6355" i="5" s="1"/>
  <c r="G2276" i="5"/>
  <c r="R2276" i="5" s="1"/>
  <c r="G3800" i="5"/>
  <c r="R3800" i="5" s="1"/>
  <c r="G4799" i="5"/>
  <c r="R4799" i="5" s="1"/>
  <c r="G6184" i="5"/>
  <c r="R6184" i="5" s="1"/>
  <c r="G1401" i="5"/>
  <c r="R1401" i="5" s="1"/>
  <c r="G4411" i="5"/>
  <c r="R4411" i="5" s="1"/>
  <c r="G5004" i="5"/>
  <c r="R5004" i="5" s="1"/>
  <c r="G795" i="5"/>
  <c r="R795" i="5" s="1"/>
  <c r="G4035" i="5"/>
  <c r="R4035" i="5" s="1"/>
  <c r="G4529" i="5"/>
  <c r="R4529" i="5" s="1"/>
  <c r="G3568" i="5"/>
  <c r="R3568" i="5" s="1"/>
  <c r="G3514" i="5"/>
  <c r="R3514" i="5" s="1"/>
  <c r="G4776" i="5"/>
  <c r="R4776" i="5" s="1"/>
  <c r="G4551" i="5"/>
  <c r="R4551" i="5" s="1"/>
  <c r="G2165" i="5"/>
  <c r="R2165" i="5" s="1"/>
  <c r="G6268" i="5"/>
  <c r="R6268" i="5" s="1"/>
  <c r="G7364" i="5"/>
  <c r="R7364" i="5" s="1"/>
  <c r="G7805" i="5"/>
  <c r="R7805" i="5" s="1"/>
  <c r="G559" i="5"/>
  <c r="R559" i="5" s="1"/>
  <c r="G1096" i="5"/>
  <c r="R1096" i="5" s="1"/>
  <c r="G1237" i="5"/>
  <c r="R1237" i="5" s="1"/>
  <c r="G853" i="5"/>
  <c r="R853" i="5" s="1"/>
  <c r="G1358" i="5"/>
  <c r="R1358" i="5" s="1"/>
  <c r="G30" i="5"/>
  <c r="R30" i="5" s="1"/>
  <c r="G1183" i="5"/>
  <c r="R1183" i="5" s="1"/>
  <c r="G3743" i="5"/>
  <c r="R3743" i="5" s="1"/>
  <c r="G4846" i="5"/>
  <c r="R4846" i="5" s="1"/>
  <c r="G6293" i="5"/>
  <c r="R6293" i="5" s="1"/>
  <c r="G7236" i="5"/>
  <c r="R7236" i="5" s="1"/>
  <c r="G647" i="5"/>
  <c r="R647" i="5" s="1"/>
  <c r="G3367" i="5"/>
  <c r="R3367" i="5" s="1"/>
  <c r="G3959" i="5"/>
  <c r="R3959" i="5" s="1"/>
  <c r="G5619" i="5"/>
  <c r="R5619" i="5" s="1"/>
  <c r="G6345" i="5"/>
  <c r="R6345" i="5" s="1"/>
  <c r="G591" i="5"/>
  <c r="R591" i="5" s="1"/>
  <c r="G4545" i="5"/>
  <c r="R4545" i="5" s="1"/>
  <c r="G5146" i="5"/>
  <c r="R5146" i="5" s="1"/>
  <c r="G6215" i="5"/>
  <c r="R6215" i="5" s="1"/>
  <c r="G2814" i="5"/>
  <c r="R2814" i="5" s="1"/>
  <c r="G4672" i="5"/>
  <c r="R4672" i="5" s="1"/>
  <c r="G5331" i="5"/>
  <c r="R5331" i="5" s="1"/>
  <c r="G6140" i="5"/>
  <c r="R6140" i="5" s="1"/>
  <c r="G7470" i="5"/>
  <c r="R7470" i="5" s="1"/>
  <c r="G4219" i="5"/>
  <c r="R4219" i="5" s="1"/>
  <c r="G4709" i="5"/>
  <c r="R4709" i="5" s="1"/>
  <c r="G7456" i="5"/>
  <c r="R7456" i="5" s="1"/>
  <c r="G5107" i="5"/>
  <c r="R5107" i="5" s="1"/>
  <c r="G1835" i="5"/>
  <c r="R1835" i="5" s="1"/>
  <c r="G3997" i="5"/>
  <c r="R3997" i="5" s="1"/>
  <c r="G5161" i="5"/>
  <c r="R5161" i="5" s="1"/>
  <c r="G5449" i="5"/>
  <c r="R5449" i="5" s="1"/>
  <c r="G1572" i="5"/>
  <c r="R1572" i="5" s="1"/>
  <c r="G6417" i="5"/>
  <c r="R6417" i="5" s="1"/>
  <c r="G5505" i="5"/>
  <c r="R5505" i="5" s="1"/>
  <c r="G1525" i="5"/>
  <c r="R1525" i="5" s="1"/>
  <c r="G426" i="5"/>
  <c r="R426" i="5" s="1"/>
  <c r="G812" i="5"/>
  <c r="R812" i="5" s="1"/>
  <c r="G600" i="5"/>
  <c r="R600" i="5" s="1"/>
  <c r="G1120" i="5"/>
  <c r="R1120" i="5" s="1"/>
  <c r="G209" i="5"/>
  <c r="R209" i="5" s="1"/>
  <c r="G1238" i="5"/>
  <c r="R1238" i="5" s="1"/>
  <c r="G1951" i="5"/>
  <c r="R1951" i="5" s="1"/>
  <c r="G5313" i="5"/>
  <c r="R5313" i="5" s="1"/>
  <c r="G1040" i="5"/>
  <c r="R1040" i="5" s="1"/>
  <c r="G4771" i="5"/>
  <c r="R4771" i="5" s="1"/>
  <c r="G6377" i="5"/>
  <c r="R6377" i="5" s="1"/>
  <c r="G348" i="5"/>
  <c r="R348" i="5" s="1"/>
  <c r="G3856" i="5"/>
  <c r="R3856" i="5" s="1"/>
  <c r="G4355" i="5"/>
  <c r="R4355" i="5" s="1"/>
  <c r="G6223" i="5"/>
  <c r="R6223" i="5" s="1"/>
  <c r="G336" i="5"/>
  <c r="R336" i="5" s="1"/>
  <c r="G1469" i="5"/>
  <c r="R1469" i="5" s="1"/>
  <c r="G3912" i="5"/>
  <c r="R3912" i="5" s="1"/>
  <c r="G4431" i="5"/>
  <c r="R4431" i="5" s="1"/>
  <c r="G7366" i="5"/>
  <c r="R7366" i="5" s="1"/>
  <c r="G1807" i="5"/>
  <c r="R1807" i="5" s="1"/>
  <c r="G4569" i="5"/>
  <c r="R4569" i="5" s="1"/>
  <c r="G3241" i="5"/>
  <c r="R3241" i="5" s="1"/>
  <c r="G4766" i="5"/>
  <c r="R4766" i="5" s="1"/>
  <c r="G7493" i="5"/>
  <c r="R7493" i="5" s="1"/>
  <c r="G3581" i="5"/>
  <c r="R3581" i="5" s="1"/>
  <c r="G2378" i="5"/>
  <c r="R2378" i="5" s="1"/>
  <c r="G3038" i="5"/>
  <c r="R3038" i="5" s="1"/>
  <c r="G3263" i="5"/>
  <c r="R3263" i="5" s="1"/>
  <c r="G4573" i="5"/>
  <c r="R4573" i="5" s="1"/>
  <c r="G6243" i="5"/>
  <c r="R6243" i="5" s="1"/>
  <c r="G965" i="5"/>
  <c r="R965" i="5" s="1"/>
  <c r="G1848" i="5"/>
  <c r="R1848" i="5" s="1"/>
  <c r="G7302" i="5"/>
  <c r="R7302" i="5" s="1"/>
  <c r="G1016" i="5"/>
  <c r="R1016" i="5" s="1"/>
  <c r="G830" i="5"/>
  <c r="R830" i="5" s="1"/>
  <c r="G1365" i="5"/>
  <c r="R1365" i="5" s="1"/>
  <c r="G655" i="5"/>
  <c r="R655" i="5" s="1"/>
  <c r="G1141" i="5"/>
  <c r="R1141" i="5" s="1"/>
  <c r="G1255" i="5"/>
  <c r="R1255" i="5" s="1"/>
  <c r="G1972" i="5"/>
  <c r="R1972" i="5" s="1"/>
  <c r="G3632" i="5"/>
  <c r="R3632" i="5" s="1"/>
  <c r="G6182" i="5"/>
  <c r="R6182" i="5" s="1"/>
  <c r="G4258" i="5"/>
  <c r="R4258" i="5" s="1"/>
  <c r="G4798" i="5"/>
  <c r="R4798" i="5" s="1"/>
  <c r="G6391" i="5"/>
  <c r="R6391" i="5" s="1"/>
  <c r="G2343" i="5"/>
  <c r="R2343" i="5" s="1"/>
  <c r="G4368" i="5"/>
  <c r="R4368" i="5" s="1"/>
  <c r="G4888" i="5"/>
  <c r="R4888" i="5" s="1"/>
  <c r="G5425" i="5"/>
  <c r="R5425" i="5" s="1"/>
  <c r="G6237" i="5"/>
  <c r="R6237" i="5" s="1"/>
  <c r="G1526" i="5"/>
  <c r="R1526" i="5" s="1"/>
  <c r="G2313" i="5"/>
  <c r="R2313" i="5" s="1"/>
  <c r="G3944" i="5"/>
  <c r="R3944" i="5" s="1"/>
  <c r="G4448" i="5"/>
  <c r="R4448" i="5" s="1"/>
  <c r="G5051" i="5"/>
  <c r="R5051" i="5" s="1"/>
  <c r="G895" i="5"/>
  <c r="R895" i="5" s="1"/>
  <c r="G4077" i="5"/>
  <c r="R4077" i="5" s="1"/>
  <c r="G4579" i="5"/>
  <c r="R4579" i="5" s="1"/>
  <c r="G1811" i="5"/>
  <c r="R1811" i="5" s="1"/>
  <c r="G3894" i="5"/>
  <c r="R3894" i="5" s="1"/>
  <c r="G625" i="5"/>
  <c r="R625" i="5" s="1"/>
  <c r="G4800" i="5"/>
  <c r="R4800" i="5" s="1"/>
  <c r="G1064" i="5"/>
  <c r="R1064" i="5" s="1"/>
  <c r="G3319" i="5"/>
  <c r="R3319" i="5" s="1"/>
  <c r="G859" i="5"/>
  <c r="R859" i="5" s="1"/>
  <c r="G314" i="5"/>
  <c r="R314" i="5" s="1"/>
  <c r="G1006" i="5"/>
  <c r="R1006" i="5" s="1"/>
  <c r="G2338" i="5"/>
  <c r="R2338" i="5" s="1"/>
  <c r="G8077" i="5"/>
  <c r="R8077" i="5" s="1"/>
  <c r="G6139" i="5"/>
  <c r="R6139" i="5" s="1"/>
  <c r="G2675" i="5"/>
  <c r="R2675" i="5" s="1"/>
  <c r="G5262" i="5"/>
  <c r="R5262" i="5" s="1"/>
  <c r="G798" i="5"/>
  <c r="R798" i="5" s="1"/>
  <c r="G514" i="5"/>
  <c r="R514" i="5" s="1"/>
  <c r="G45" i="5"/>
  <c r="R45" i="5" s="1"/>
  <c r="G1185" i="5"/>
  <c r="R1185" i="5" s="1"/>
  <c r="G1299" i="5"/>
  <c r="R1299" i="5" s="1"/>
  <c r="G2023" i="5"/>
  <c r="R2023" i="5" s="1"/>
  <c r="G2866" i="5"/>
  <c r="R2866" i="5" s="1"/>
  <c r="G4233" i="5"/>
  <c r="R4233" i="5" s="1"/>
  <c r="G6232" i="5"/>
  <c r="R6232" i="5" s="1"/>
  <c r="G2133" i="5"/>
  <c r="R2133" i="5" s="1"/>
  <c r="G3836" i="5"/>
  <c r="R3836" i="5" s="1"/>
  <c r="G4887" i="5"/>
  <c r="R4887" i="5" s="1"/>
  <c r="G510" i="5"/>
  <c r="R510" i="5" s="1"/>
  <c r="G3313" i="5"/>
  <c r="R3313" i="5" s="1"/>
  <c r="G4419" i="5"/>
  <c r="R4419" i="5" s="1"/>
  <c r="G5490" i="5"/>
  <c r="R5490" i="5" s="1"/>
  <c r="G6284" i="5"/>
  <c r="R6284" i="5" s="1"/>
  <c r="G1577" i="5"/>
  <c r="R1577" i="5" s="1"/>
  <c r="G6159" i="5"/>
  <c r="R6159" i="5" s="1"/>
  <c r="G952" i="5"/>
  <c r="R952" i="5" s="1"/>
  <c r="G1912" i="5"/>
  <c r="R1912" i="5" s="1"/>
  <c r="G3513" i="5"/>
  <c r="R3513" i="5" s="1"/>
  <c r="G4121" i="5"/>
  <c r="R4121" i="5" s="1"/>
  <c r="G4609" i="5"/>
  <c r="R4609" i="5" s="1"/>
  <c r="G1996" i="5"/>
  <c r="R1996" i="5" s="1"/>
  <c r="G2998" i="5"/>
  <c r="R2998" i="5" s="1"/>
  <c r="G2156" i="5"/>
  <c r="R2156" i="5" s="1"/>
  <c r="G6123" i="5"/>
  <c r="R6123" i="5" s="1"/>
  <c r="G1544" i="5"/>
  <c r="R1544" i="5" s="1"/>
  <c r="G5222" i="5"/>
  <c r="R5222" i="5" s="1"/>
  <c r="G3812" i="5"/>
  <c r="R3812" i="5" s="1"/>
  <c r="G6189" i="5"/>
  <c r="R6189" i="5" s="1"/>
  <c r="G1071" i="5"/>
  <c r="R1071" i="5" s="1"/>
  <c r="G62" i="5"/>
  <c r="R62" i="5" s="1"/>
  <c r="G821" i="5"/>
  <c r="R821" i="5" s="1"/>
  <c r="G1315" i="5"/>
  <c r="R1315" i="5" s="1"/>
  <c r="G1089" i="5"/>
  <c r="R1089" i="5" s="1"/>
  <c r="G2062" i="5"/>
  <c r="R2062" i="5" s="1"/>
  <c r="G3702" i="5"/>
  <c r="R3702" i="5" s="1"/>
  <c r="G4797" i="5"/>
  <c r="R4797" i="5" s="1"/>
  <c r="G1217" i="5"/>
  <c r="R1217" i="5" s="1"/>
  <c r="G2180" i="5"/>
  <c r="R2180" i="5" s="1"/>
  <c r="G4899" i="5"/>
  <c r="R4899" i="5" s="1"/>
  <c r="G6470" i="5"/>
  <c r="R6470" i="5" s="1"/>
  <c r="G4954" i="5"/>
  <c r="R4954" i="5" s="1"/>
  <c r="G5111" i="5"/>
  <c r="R5111" i="5" s="1"/>
  <c r="G971" i="5"/>
  <c r="R971" i="5" s="1"/>
  <c r="G1945" i="5"/>
  <c r="R1945" i="5" s="1"/>
  <c r="G3546" i="5"/>
  <c r="R3546" i="5" s="1"/>
  <c r="G4151" i="5"/>
  <c r="R4151" i="5" s="1"/>
  <c r="G5294" i="5"/>
  <c r="R5294" i="5" s="1"/>
  <c r="G4152" i="5"/>
  <c r="R4152" i="5" s="1"/>
  <c r="G6286" i="5"/>
  <c r="R6286" i="5" s="1"/>
  <c r="G3510" i="5"/>
  <c r="R3510" i="5" s="1"/>
  <c r="G5003" i="5"/>
  <c r="R5003" i="5" s="1"/>
  <c r="G2278" i="5"/>
  <c r="R2278" i="5" s="1"/>
  <c r="G68" i="5"/>
  <c r="R68" i="5" s="1"/>
  <c r="G8073" i="5"/>
  <c r="R8073" i="5" s="1"/>
  <c r="G4115" i="5"/>
  <c r="R4115" i="5" s="1"/>
  <c r="G4905" i="5"/>
  <c r="R4905" i="5" s="1"/>
  <c r="G3310" i="5"/>
  <c r="R3310" i="5" s="1"/>
  <c r="G7857" i="5"/>
  <c r="R7857" i="5" s="1"/>
  <c r="G75" i="5"/>
  <c r="R75" i="5" s="1"/>
  <c r="G836" i="5"/>
  <c r="R836" i="5" s="1"/>
  <c r="G1340" i="5"/>
  <c r="R1340" i="5" s="1"/>
  <c r="G2078" i="5"/>
  <c r="R2078" i="5" s="1"/>
  <c r="G1114" i="5"/>
  <c r="R1114" i="5" s="1"/>
  <c r="G5420" i="5"/>
  <c r="R5420" i="5" s="1"/>
  <c r="G6278" i="5"/>
  <c r="R6278" i="5" s="1"/>
  <c r="G1249" i="5"/>
  <c r="R1249" i="5" s="1"/>
  <c r="G3861" i="5"/>
  <c r="R3861" i="5" s="1"/>
  <c r="G567" i="5"/>
  <c r="R567" i="5" s="1"/>
  <c r="G5571" i="5"/>
  <c r="R5571" i="5" s="1"/>
  <c r="G534" i="5"/>
  <c r="R534" i="5" s="1"/>
  <c r="G2517" i="5"/>
  <c r="R2517" i="5" s="1"/>
  <c r="G4528" i="5"/>
  <c r="R4528" i="5" s="1"/>
  <c r="G5130" i="5"/>
  <c r="R5130" i="5" s="1"/>
  <c r="G1000" i="5"/>
  <c r="R1000" i="5" s="1"/>
  <c r="G3567" i="5"/>
  <c r="R3567" i="5" s="1"/>
  <c r="G4168" i="5"/>
  <c r="R4168" i="5" s="1"/>
  <c r="G2239" i="5"/>
  <c r="R2239" i="5" s="1"/>
  <c r="G1148" i="5"/>
  <c r="R1148" i="5" s="1"/>
  <c r="G5039" i="5"/>
  <c r="R5039" i="5" s="1"/>
  <c r="G1778" i="5"/>
  <c r="R1778" i="5" s="1"/>
  <c r="G5113" i="5"/>
  <c r="R5113" i="5" s="1"/>
  <c r="G997" i="5"/>
  <c r="R997" i="5" s="1"/>
  <c r="G4947" i="5"/>
  <c r="R4947" i="5" s="1"/>
  <c r="G7471" i="5"/>
  <c r="R7471" i="5" s="1"/>
  <c r="G4264" i="5"/>
  <c r="R4264" i="5" s="1"/>
  <c r="G5176" i="5"/>
  <c r="R5176" i="5" s="1"/>
  <c r="G72" i="5"/>
  <c r="R72" i="5" s="1"/>
  <c r="G726" i="5"/>
  <c r="R726" i="5" s="1"/>
  <c r="G549" i="5"/>
  <c r="R549" i="5" s="1"/>
  <c r="G274" i="5"/>
  <c r="R274" i="5" s="1"/>
  <c r="G848" i="5"/>
  <c r="R848" i="5" s="1"/>
  <c r="G420" i="5"/>
  <c r="R420" i="5" s="1"/>
  <c r="G1438" i="5"/>
  <c r="R1438" i="5" s="1"/>
  <c r="G3186" i="5"/>
  <c r="R3186" i="5" s="1"/>
  <c r="G6443" i="5"/>
  <c r="R6443" i="5" s="1"/>
  <c r="G433" i="5"/>
  <c r="R433" i="5" s="1"/>
  <c r="G1565" i="5"/>
  <c r="R1565" i="5" s="1"/>
  <c r="G2371" i="5"/>
  <c r="R2371" i="5" s="1"/>
  <c r="G3345" i="5"/>
  <c r="R3345" i="5" s="1"/>
  <c r="G5060" i="5"/>
  <c r="R5060" i="5" s="1"/>
  <c r="G5903" i="5"/>
  <c r="R5903" i="5" s="1"/>
  <c r="G2781" i="5"/>
  <c r="R2781" i="5" s="1"/>
  <c r="G3535" i="5"/>
  <c r="R3535" i="5" s="1"/>
  <c r="G4572" i="5"/>
  <c r="R4572" i="5" s="1"/>
  <c r="G5122" i="5"/>
  <c r="R5122" i="5" s="1"/>
  <c r="G894" i="5"/>
  <c r="R894" i="5" s="1"/>
  <c r="G1853" i="5"/>
  <c r="R1853" i="5" s="1"/>
  <c r="G2810" i="5"/>
  <c r="R2810" i="5" s="1"/>
  <c r="G3607" i="5"/>
  <c r="R3607" i="5" s="1"/>
  <c r="G227" i="5"/>
  <c r="R227" i="5" s="1"/>
  <c r="G1284" i="5"/>
  <c r="R1284" i="5" s="1"/>
  <c r="G3071" i="5"/>
  <c r="R3071" i="5" s="1"/>
  <c r="G507" i="5"/>
  <c r="R507" i="5" s="1"/>
  <c r="G2657" i="5"/>
  <c r="R2657" i="5" s="1"/>
  <c r="G4666" i="5"/>
  <c r="R4666" i="5" s="1"/>
  <c r="G3615" i="5"/>
  <c r="R3615" i="5" s="1"/>
  <c r="G3511" i="5"/>
  <c r="R3511" i="5" s="1"/>
  <c r="G5491" i="5"/>
  <c r="R5491" i="5" s="1"/>
  <c r="G1779" i="5"/>
  <c r="R1779" i="5" s="1"/>
  <c r="G3738" i="5"/>
  <c r="R3738" i="5" s="1"/>
  <c r="G3603" i="5"/>
  <c r="R3603" i="5" s="1"/>
  <c r="G4601" i="5"/>
  <c r="R4601" i="5" s="1"/>
  <c r="G6314" i="5"/>
  <c r="R6314" i="5" s="1"/>
  <c r="G6395" i="5"/>
  <c r="R6395" i="5" s="1"/>
  <c r="G574" i="5"/>
  <c r="R574" i="5" s="1"/>
  <c r="G935" i="5"/>
  <c r="R935" i="5" s="1"/>
  <c r="G153" i="5"/>
  <c r="R153" i="5" s="1"/>
  <c r="G115" i="5"/>
  <c r="R115" i="5" s="1"/>
  <c r="G120" i="5"/>
  <c r="R120" i="5" s="1"/>
  <c r="G124" i="5"/>
  <c r="R124" i="5" s="1"/>
  <c r="G1292" i="5"/>
  <c r="R1292" i="5" s="1"/>
  <c r="G3220" i="5"/>
  <c r="R3220" i="5" s="1"/>
  <c r="G5565" i="5"/>
  <c r="R5565" i="5" s="1"/>
  <c r="G3386" i="5"/>
  <c r="R3386" i="5" s="1"/>
  <c r="G5001" i="5"/>
  <c r="R5001" i="5" s="1"/>
  <c r="G2016" i="5"/>
  <c r="R2016" i="5" s="1"/>
  <c r="G3608" i="5"/>
  <c r="R3608" i="5" s="1"/>
  <c r="G6160" i="5"/>
  <c r="R6160" i="5" s="1"/>
  <c r="G7486" i="5"/>
  <c r="R7486" i="5" s="1"/>
  <c r="G2305" i="5"/>
  <c r="R2305" i="5" s="1"/>
  <c r="G1334" i="5"/>
  <c r="R1334" i="5" s="1"/>
  <c r="G5156" i="5"/>
  <c r="R5156" i="5" s="1"/>
  <c r="G6323" i="5"/>
  <c r="R6323" i="5" s="1"/>
  <c r="G5053" i="5"/>
  <c r="R5053" i="5" s="1"/>
  <c r="G7545" i="5"/>
  <c r="R7545" i="5" s="1"/>
  <c r="G1599" i="5"/>
  <c r="R1599" i="5" s="1"/>
  <c r="G5066" i="5"/>
  <c r="R5066" i="5" s="1"/>
  <c r="G313" i="5"/>
  <c r="R313" i="5" s="1"/>
  <c r="G2783" i="5"/>
  <c r="R2783" i="5" s="1"/>
  <c r="G6075" i="5"/>
  <c r="R6075" i="5" s="1"/>
  <c r="G6820" i="5"/>
  <c r="R6820" i="5" s="1"/>
  <c r="G593" i="5"/>
  <c r="R593" i="5" s="1"/>
  <c r="G1135" i="5"/>
  <c r="R1135" i="5" s="1"/>
  <c r="G413" i="5"/>
  <c r="R413" i="5" s="1"/>
  <c r="G945" i="5"/>
  <c r="R945" i="5" s="1"/>
  <c r="G1397" i="5"/>
  <c r="R1397" i="5" s="1"/>
  <c r="G3018" i="5"/>
  <c r="R3018" i="5" s="1"/>
  <c r="G4898" i="5"/>
  <c r="R4898" i="5" s="1"/>
  <c r="G5511" i="5"/>
  <c r="R5511" i="5" s="1"/>
  <c r="G1322" i="5"/>
  <c r="R1322" i="5" s="1"/>
  <c r="G5613" i="5"/>
  <c r="R5613" i="5" s="1"/>
  <c r="G717" i="5"/>
  <c r="R717" i="5" s="1"/>
  <c r="G2505" i="5"/>
  <c r="R2505" i="5" s="1"/>
  <c r="G6396" i="5"/>
  <c r="R6396" i="5" s="1"/>
  <c r="G1686" i="5"/>
  <c r="R1686" i="5" s="1"/>
  <c r="G2601" i="5"/>
  <c r="R2601" i="5" s="1"/>
  <c r="G3478" i="5"/>
  <c r="R3478" i="5" s="1"/>
  <c r="G5365" i="5"/>
  <c r="R5365" i="5" s="1"/>
  <c r="G6176" i="5"/>
  <c r="R6176" i="5" s="1"/>
  <c r="G7508" i="5"/>
  <c r="R7508" i="5" s="1"/>
  <c r="G1389" i="5"/>
  <c r="R1389" i="5" s="1"/>
  <c r="G5148" i="5"/>
  <c r="R5148" i="5" s="1"/>
  <c r="G4062" i="5"/>
  <c r="R4062" i="5" s="1"/>
  <c r="G213" i="5"/>
  <c r="R213" i="5" s="1"/>
  <c r="G3099" i="5"/>
  <c r="R3099" i="5" s="1"/>
  <c r="G4695" i="5"/>
  <c r="R4695" i="5" s="1"/>
  <c r="G7154" i="5"/>
  <c r="R7154" i="5" s="1"/>
  <c r="G1724" i="5"/>
  <c r="R1724" i="5" s="1"/>
  <c r="G5132" i="5"/>
  <c r="R5132" i="5" s="1"/>
  <c r="G5065" i="5"/>
  <c r="R5065" i="5" s="1"/>
  <c r="F824" i="8"/>
  <c r="H824" i="8"/>
  <c r="I824" i="8"/>
  <c r="F522" i="8"/>
  <c r="H522" i="8"/>
  <c r="I522" i="8"/>
  <c r="F2296" i="8"/>
  <c r="H2296" i="8"/>
  <c r="I2296" i="8"/>
  <c r="F2501" i="8"/>
  <c r="I2501" i="8"/>
  <c r="H2501" i="8"/>
  <c r="F2070" i="8"/>
  <c r="I2070" i="8"/>
  <c r="H2070" i="8"/>
  <c r="F1986" i="8"/>
  <c r="I1986" i="8"/>
  <c r="H1986" i="8"/>
  <c r="F2455" i="8"/>
  <c r="I2455" i="8"/>
  <c r="H2455" i="8"/>
  <c r="F1022" i="8"/>
  <c r="I1022" i="8"/>
  <c r="H1022" i="8"/>
  <c r="F2058" i="8"/>
  <c r="H2058" i="8"/>
  <c r="I2058" i="8"/>
  <c r="F2040" i="8"/>
  <c r="I2040" i="8"/>
  <c r="H2040" i="8"/>
  <c r="F1936" i="8"/>
  <c r="H1936" i="8"/>
  <c r="I1936" i="8"/>
  <c r="F1445" i="8"/>
  <c r="I1445" i="8"/>
  <c r="H1445" i="8"/>
  <c r="F490" i="8"/>
  <c r="H490" i="8"/>
  <c r="I490" i="8"/>
  <c r="F3064" i="8"/>
  <c r="I3064" i="8"/>
  <c r="H3064" i="8"/>
  <c r="F3131" i="8"/>
  <c r="I3131" i="8"/>
  <c r="H3131" i="8"/>
  <c r="F1483" i="8"/>
  <c r="I1483" i="8"/>
  <c r="H1483" i="8"/>
  <c r="F2390" i="8"/>
  <c r="H2390" i="8"/>
  <c r="I2390" i="8"/>
  <c r="F1011" i="8"/>
  <c r="H1011" i="8"/>
  <c r="I1011" i="8"/>
  <c r="F2471" i="8"/>
  <c r="I2471" i="8"/>
  <c r="H2471" i="8"/>
  <c r="F1970" i="8"/>
  <c r="I1970" i="8"/>
  <c r="H1970" i="8"/>
  <c r="F2014" i="8"/>
  <c r="H2014" i="8"/>
  <c r="I2014" i="8"/>
  <c r="F2436" i="8"/>
  <c r="I2436" i="8"/>
  <c r="H2436" i="8"/>
  <c r="F2415" i="8"/>
  <c r="H2415" i="8"/>
  <c r="I2415" i="8"/>
  <c r="F2503" i="8"/>
  <c r="H2503" i="8"/>
  <c r="I2503" i="8"/>
  <c r="F2452" i="8"/>
  <c r="I2452" i="8"/>
  <c r="H2452" i="8"/>
  <c r="F1976" i="8"/>
  <c r="I1976" i="8"/>
  <c r="H1976" i="8"/>
  <c r="F2464" i="8"/>
  <c r="I2464" i="8"/>
  <c r="H2464" i="8"/>
  <c r="F1543" i="8"/>
  <c r="I1543" i="8"/>
  <c r="H1543" i="8"/>
  <c r="F2453" i="8"/>
  <c r="I2453" i="8"/>
  <c r="H2453" i="8"/>
  <c r="F1489" i="8"/>
  <c r="I1489" i="8"/>
  <c r="H1489" i="8"/>
  <c r="F2493" i="8"/>
  <c r="H2493" i="8"/>
  <c r="I2493" i="8"/>
  <c r="F2050" i="8"/>
  <c r="H2050" i="8"/>
  <c r="I2050" i="8"/>
  <c r="F2078" i="8"/>
  <c r="H2078" i="8"/>
  <c r="I2078" i="8"/>
  <c r="F2395" i="8"/>
  <c r="H2395" i="8"/>
  <c r="I2395" i="8"/>
  <c r="F1465" i="8"/>
  <c r="I1465" i="8"/>
  <c r="H1465" i="8"/>
  <c r="F2006" i="8"/>
  <c r="I2006" i="8"/>
  <c r="H2006" i="8"/>
  <c r="F1940" i="8"/>
  <c r="I1940" i="8"/>
  <c r="H1940" i="8"/>
  <c r="F1598" i="8"/>
  <c r="H1598" i="8"/>
  <c r="I1598" i="8"/>
  <c r="F2034" i="8"/>
  <c r="H2034" i="8"/>
  <c r="I2034" i="8"/>
  <c r="F2297" i="8"/>
  <c r="I2297" i="8"/>
  <c r="H2297" i="8"/>
  <c r="F3150" i="8"/>
  <c r="H3150" i="8"/>
  <c r="I3150" i="8"/>
  <c r="F2405" i="8"/>
  <c r="H2405" i="8"/>
  <c r="I2405" i="8"/>
  <c r="F2064" i="8"/>
  <c r="H2064" i="8"/>
  <c r="I2064" i="8"/>
  <c r="F1966" i="8"/>
  <c r="I1966" i="8"/>
  <c r="H1966" i="8"/>
  <c r="F1197" i="8"/>
  <c r="I1197" i="8"/>
  <c r="H1197" i="8"/>
  <c r="F830" i="8"/>
  <c r="I830" i="8"/>
  <c r="H830" i="8"/>
  <c r="F2416" i="8"/>
  <c r="H2416" i="8"/>
  <c r="I2416" i="8"/>
  <c r="F2447" i="8"/>
  <c r="I2447" i="8"/>
  <c r="H2447" i="8"/>
  <c r="F1435" i="8"/>
  <c r="H1435" i="8"/>
  <c r="I1435" i="8"/>
  <c r="F741" i="8"/>
  <c r="H741" i="8"/>
  <c r="I741" i="8"/>
  <c r="F1010" i="8"/>
  <c r="I1010" i="8"/>
  <c r="H1010" i="8"/>
  <c r="F2473" i="8"/>
  <c r="I2473" i="8"/>
  <c r="H2473" i="8"/>
  <c r="F2431" i="8"/>
  <c r="H2431" i="8"/>
  <c r="I2431" i="8"/>
  <c r="F2488" i="8"/>
  <c r="I2488" i="8"/>
  <c r="H2488" i="8"/>
  <c r="F532" i="8"/>
  <c r="H532" i="8"/>
  <c r="I532" i="8"/>
  <c r="F1187" i="8"/>
  <c r="I1187" i="8"/>
  <c r="H1187" i="8"/>
  <c r="F3113" i="8"/>
  <c r="H3113" i="8"/>
  <c r="I3113" i="8"/>
  <c r="F1994" i="8"/>
  <c r="I1994" i="8"/>
  <c r="H1994" i="8"/>
  <c r="F2484" i="8"/>
  <c r="H2484" i="8"/>
  <c r="I2484" i="8"/>
  <c r="F2461" i="8"/>
  <c r="I2461" i="8"/>
  <c r="H2461" i="8"/>
  <c r="F828" i="8"/>
  <c r="I828" i="8"/>
  <c r="H828" i="8"/>
  <c r="F1453" i="8"/>
  <c r="H1453" i="8"/>
  <c r="I1453" i="8"/>
  <c r="F2024" i="8"/>
  <c r="H2024" i="8"/>
  <c r="I2024" i="8"/>
  <c r="F2472" i="8"/>
  <c r="H2472" i="8"/>
  <c r="I2472" i="8"/>
  <c r="F615" i="8"/>
  <c r="I615" i="8"/>
  <c r="H615" i="8"/>
  <c r="F3080" i="8"/>
  <c r="I3080" i="8"/>
  <c r="H3080" i="8"/>
  <c r="F2716" i="8"/>
  <c r="H2716" i="8"/>
  <c r="I2716" i="8"/>
  <c r="F276" i="6" l="1"/>
  <c r="Q276" i="6" s="1"/>
  <c r="F3072" i="8"/>
  <c r="H3072" i="8"/>
  <c r="I3072" i="8"/>
  <c r="F2903" i="8"/>
  <c r="H2903" i="8"/>
  <c r="I2903" i="8"/>
  <c r="F3186" i="8"/>
  <c r="I3186" i="8"/>
  <c r="H3186" i="8"/>
  <c r="G4707" i="5"/>
  <c r="G193" i="5"/>
  <c r="R193" i="5" s="1"/>
  <c r="G5254" i="5"/>
  <c r="G8017" i="5"/>
  <c r="R8017" i="5" s="1"/>
  <c r="G4319" i="5"/>
  <c r="R4319" i="5" s="1"/>
  <c r="G7024" i="5"/>
  <c r="R7024" i="5" s="1"/>
  <c r="G7981" i="5"/>
  <c r="R7981" i="5" s="1"/>
  <c r="G679" i="5"/>
  <c r="R679" i="5" s="1"/>
  <c r="G5484" i="5"/>
  <c r="R5484" i="5" s="1"/>
  <c r="F573" i="6"/>
  <c r="Q573" i="6" s="1"/>
  <c r="G6087" i="5"/>
  <c r="R6087" i="5" s="1"/>
  <c r="G6303" i="5"/>
  <c r="R6303" i="5" s="1"/>
  <c r="G7128" i="5"/>
  <c r="R7128" i="5" s="1"/>
  <c r="F321" i="6"/>
  <c r="Q321" i="6" s="1"/>
  <c r="H62" i="5"/>
  <c r="G6600" i="5"/>
  <c r="R6600" i="5" s="1"/>
  <c r="G1275" i="5"/>
  <c r="H6139" i="5"/>
  <c r="S6139" i="5" s="1"/>
  <c r="F67" i="6"/>
  <c r="Q67" i="6" s="1"/>
  <c r="F249" i="6"/>
  <c r="Q249" i="6" s="1"/>
  <c r="G2264" i="5"/>
  <c r="R2264" i="5" s="1"/>
  <c r="G231" i="5"/>
  <c r="R231" i="5" s="1"/>
  <c r="G8009" i="5"/>
  <c r="R8009" i="5" s="1"/>
  <c r="G6508" i="5"/>
  <c r="R6508" i="5" s="1"/>
  <c r="H7302" i="5"/>
  <c r="F25" i="6"/>
  <c r="Q25" i="6" s="1"/>
  <c r="H6223" i="5"/>
  <c r="G7581" i="5"/>
  <c r="R7581" i="5" s="1"/>
  <c r="G2717" i="5"/>
  <c r="R2717" i="5" s="1"/>
  <c r="G7625" i="5"/>
  <c r="R7625" i="5" s="1"/>
  <c r="H647" i="5"/>
  <c r="S647" i="5" s="1"/>
  <c r="G3886" i="5"/>
  <c r="R3886" i="5" s="1"/>
  <c r="H30" i="5"/>
  <c r="S30" i="5" s="1"/>
  <c r="G6608" i="5"/>
  <c r="R6608" i="5" s="1"/>
  <c r="G4309" i="5"/>
  <c r="R4309" i="5" s="1"/>
  <c r="G6111" i="5"/>
  <c r="R6111" i="5" s="1"/>
  <c r="H2445" i="5"/>
  <c r="G5627" i="5"/>
  <c r="R5627" i="5" s="1"/>
  <c r="G6151" i="5"/>
  <c r="R6151" i="5" s="1"/>
  <c r="H4663" i="5"/>
  <c r="H119" i="5"/>
  <c r="G1005" i="5"/>
  <c r="G2045" i="5"/>
  <c r="R2045" i="5" s="1"/>
  <c r="G5447" i="5"/>
  <c r="G6816" i="5"/>
  <c r="R6816" i="5" s="1"/>
  <c r="F574" i="6"/>
  <c r="Q574" i="6" s="1"/>
  <c r="G6047" i="5"/>
  <c r="R6047" i="5" s="1"/>
  <c r="G6266" i="5"/>
  <c r="R6266" i="5" s="1"/>
  <c r="G5631" i="5"/>
  <c r="R5631" i="5" s="1"/>
  <c r="G5703" i="5"/>
  <c r="R5703" i="5" s="1"/>
  <c r="G323" i="5"/>
  <c r="R323" i="5" s="1"/>
  <c r="G3400" i="5"/>
  <c r="R3400" i="5" s="1"/>
  <c r="G8001" i="5"/>
  <c r="R8001" i="5" s="1"/>
  <c r="G7765" i="5"/>
  <c r="R7765" i="5" s="1"/>
  <c r="F621" i="6"/>
  <c r="Q621" i="6" s="1"/>
  <c r="G273" i="5"/>
  <c r="R273" i="5" s="1"/>
  <c r="G7335" i="5"/>
  <c r="R7335" i="5" s="1"/>
  <c r="G6844" i="5"/>
  <c r="R6844" i="5" s="1"/>
  <c r="H7306" i="5"/>
  <c r="G4607" i="5"/>
  <c r="R4607" i="5" s="1"/>
  <c r="F485" i="6"/>
  <c r="Q485" i="6" s="1"/>
  <c r="F421" i="6"/>
  <c r="Q421" i="6" s="1"/>
  <c r="H5021" i="5"/>
  <c r="G7044" i="5"/>
  <c r="R7044" i="5" s="1"/>
  <c r="G3176" i="5"/>
  <c r="R3176" i="5" s="1"/>
  <c r="H164" i="5"/>
  <c r="H3544" i="5"/>
  <c r="S3544" i="5" s="1"/>
  <c r="G7160" i="5"/>
  <c r="R7160" i="5" s="1"/>
  <c r="G8137" i="5"/>
  <c r="R8137" i="5" s="1"/>
  <c r="G6656" i="5"/>
  <c r="R6656" i="5" s="1"/>
  <c r="H7941" i="5"/>
  <c r="F432" i="6"/>
  <c r="Q432" i="6" s="1"/>
  <c r="G7601" i="5"/>
  <c r="R7601" i="5" s="1"/>
  <c r="G4758" i="5"/>
  <c r="R4758" i="5" s="1"/>
  <c r="G239" i="5"/>
  <c r="R239" i="5" s="1"/>
  <c r="G6872" i="5"/>
  <c r="R6872" i="5" s="1"/>
  <c r="H7845" i="5"/>
  <c r="G3148" i="5"/>
  <c r="R3148" i="5" s="1"/>
  <c r="G5987" i="5"/>
  <c r="R5987" i="5" s="1"/>
  <c r="G2473" i="5"/>
  <c r="R2473" i="5" s="1"/>
  <c r="H4256" i="5"/>
  <c r="H174" i="5"/>
  <c r="S174" i="5" s="1"/>
  <c r="G8169" i="5"/>
  <c r="R8169" i="5" s="1"/>
  <c r="F66" i="6"/>
  <c r="Q66" i="6" s="1"/>
  <c r="F450" i="6"/>
  <c r="Q450" i="6" s="1"/>
  <c r="G2284" i="5"/>
  <c r="R2284" i="5" s="1"/>
  <c r="G6147" i="5"/>
  <c r="R6147" i="5" s="1"/>
  <c r="G1140" i="5"/>
  <c r="R1140" i="5" s="1"/>
  <c r="H3654" i="5"/>
  <c r="S3654" i="5" s="1"/>
  <c r="G7781" i="5"/>
  <c r="R7781" i="5" s="1"/>
  <c r="G5300" i="5"/>
  <c r="R5300" i="5" s="1"/>
  <c r="G1622" i="5"/>
  <c r="R1622" i="5" s="1"/>
  <c r="F610" i="6"/>
  <c r="Q610" i="6" s="1"/>
  <c r="G6311" i="5"/>
  <c r="R6311" i="5" s="1"/>
  <c r="G3642" i="5"/>
  <c r="R3642" i="5" s="1"/>
  <c r="H2914" i="5"/>
  <c r="S2914" i="5" s="1"/>
  <c r="G1019" i="5"/>
  <c r="R1019" i="5" s="1"/>
  <c r="H2819" i="5"/>
  <c r="S2819" i="5" s="1"/>
  <c r="H2836" i="5"/>
  <c r="S2836" i="5" s="1"/>
  <c r="G7945" i="5"/>
  <c r="R7945" i="5" s="1"/>
  <c r="G2163" i="5"/>
  <c r="R2163" i="5" s="1"/>
  <c r="G872" i="5"/>
  <c r="R872" i="5" s="1"/>
  <c r="F548" i="6"/>
  <c r="Q548" i="6" s="1"/>
  <c r="H1907" i="5"/>
  <c r="S1907" i="5" s="1"/>
  <c r="F205" i="6"/>
  <c r="Q205" i="6" s="1"/>
  <c r="G5971" i="5"/>
  <c r="R5971" i="5" s="1"/>
  <c r="G427" i="5"/>
  <c r="R427" i="5" s="1"/>
  <c r="G6916" i="5"/>
  <c r="R6916" i="5" s="1"/>
  <c r="F50" i="7"/>
  <c r="Q50" i="7" s="1"/>
  <c r="F549" i="6"/>
  <c r="Q549" i="6" s="1"/>
  <c r="H6181" i="5"/>
  <c r="S6181" i="5" s="1"/>
  <c r="G7517" i="5"/>
  <c r="R7517" i="5" s="1"/>
  <c r="H2633" i="5"/>
  <c r="G2401" i="5"/>
  <c r="R2401" i="5" s="1"/>
  <c r="G5875" i="5"/>
  <c r="R5875" i="5" s="1"/>
  <c r="G552" i="5"/>
  <c r="R552" i="5" s="1"/>
  <c r="F449" i="6"/>
  <c r="Q449" i="6" s="1"/>
  <c r="G4476" i="5"/>
  <c r="R4476" i="5" s="1"/>
  <c r="F598" i="6"/>
  <c r="G4519" i="5"/>
  <c r="R4519" i="5" s="1"/>
  <c r="G3649" i="5"/>
  <c r="R3649" i="5" s="1"/>
  <c r="G969" i="5"/>
  <c r="R969" i="5" s="1"/>
  <c r="H4861" i="5"/>
  <c r="S4861" i="5" s="1"/>
  <c r="H6524" i="5"/>
  <c r="H7398" i="5"/>
  <c r="H6335" i="5"/>
  <c r="G2409" i="5"/>
  <c r="R2409" i="5" s="1"/>
  <c r="G3630" i="5"/>
  <c r="R3630" i="5" s="1"/>
  <c r="G3382" i="5"/>
  <c r="R3382" i="5" s="1"/>
  <c r="F172" i="6"/>
  <c r="Q172" i="6" s="1"/>
  <c r="H3268" i="5"/>
  <c r="S3268" i="5" s="1"/>
  <c r="H5499" i="5"/>
  <c r="G5879" i="5"/>
  <c r="R5879" i="5" s="1"/>
  <c r="G5923" i="5"/>
  <c r="R5923" i="5" s="1"/>
  <c r="H6023" i="5"/>
  <c r="F89" i="7"/>
  <c r="Q89" i="7" s="1"/>
  <c r="F612" i="6"/>
  <c r="Q612" i="6" s="1"/>
  <c r="G2745" i="5"/>
  <c r="R2745" i="5" s="1"/>
  <c r="G8101" i="5"/>
  <c r="R8101" i="5" s="1"/>
  <c r="H5577" i="5"/>
  <c r="G4571" i="5"/>
  <c r="R4571" i="5" s="1"/>
  <c r="G2155" i="5"/>
  <c r="R2155" i="5" s="1"/>
  <c r="G2769" i="5"/>
  <c r="R2769" i="5" s="1"/>
  <c r="G259" i="5"/>
  <c r="R259" i="5" s="1"/>
  <c r="H2609" i="5"/>
  <c r="G7737" i="5"/>
  <c r="R7737" i="5" s="1"/>
  <c r="H2533" i="5"/>
  <c r="S2533" i="5" s="1"/>
  <c r="F546" i="6"/>
  <c r="Q546" i="6" s="1"/>
  <c r="G6764" i="5"/>
  <c r="R6764" i="5" s="1"/>
  <c r="G4477" i="5"/>
  <c r="R4477" i="5" s="1"/>
  <c r="G7593" i="5"/>
  <c r="R7593" i="5" s="1"/>
  <c r="H4738" i="5"/>
  <c r="S4738" i="5" s="1"/>
  <c r="H7617" i="5"/>
  <c r="G879" i="5"/>
  <c r="R879" i="5" s="1"/>
  <c r="G8133" i="5"/>
  <c r="R8133" i="5" s="1"/>
  <c r="G5811" i="5"/>
  <c r="R5811" i="5" s="1"/>
  <c r="G6792" i="5"/>
  <c r="R6792" i="5" s="1"/>
  <c r="F398" i="6"/>
  <c r="Q398" i="6" s="1"/>
  <c r="F138" i="7"/>
  <c r="F568" i="6"/>
  <c r="Q568" i="6" s="1"/>
  <c r="G1828" i="5"/>
  <c r="R1828" i="5" s="1"/>
  <c r="G5699" i="5"/>
  <c r="R5699" i="5" s="1"/>
  <c r="F397" i="6"/>
  <c r="Q397" i="6" s="1"/>
  <c r="G5831" i="5"/>
  <c r="R5831" i="5" s="1"/>
  <c r="G6404" i="5"/>
  <c r="R6404" i="5" s="1"/>
  <c r="F390" i="6"/>
  <c r="Q390" i="6" s="1"/>
  <c r="G4209" i="5"/>
  <c r="H6852" i="5"/>
  <c r="G385" i="5"/>
  <c r="R385" i="5" s="1"/>
  <c r="G6796" i="5"/>
  <c r="R6796" i="5" s="1"/>
  <c r="G6155" i="5"/>
  <c r="R6155" i="5" s="1"/>
  <c r="G4076" i="5"/>
  <c r="R4076" i="5" s="1"/>
  <c r="G5767" i="5"/>
  <c r="R5767" i="5" s="1"/>
  <c r="H138" i="5"/>
  <c r="S138" i="5" s="1"/>
  <c r="H1531" i="5"/>
  <c r="G760" i="5"/>
  <c r="R760" i="5" s="1"/>
  <c r="H7905" i="5"/>
  <c r="G6267" i="5"/>
  <c r="R6267" i="5" s="1"/>
  <c r="H6504" i="5"/>
  <c r="G4336" i="5"/>
  <c r="R4336" i="5" s="1"/>
  <c r="G330" i="5"/>
  <c r="R330" i="5" s="1"/>
  <c r="G917" i="5"/>
  <c r="R917" i="5" s="1"/>
  <c r="G7088" i="5"/>
  <c r="R7088" i="5" s="1"/>
  <c r="G4524" i="5"/>
  <c r="R4524" i="5" s="1"/>
  <c r="G370" i="5"/>
  <c r="R370" i="5" s="1"/>
  <c r="G397" i="5"/>
  <c r="R397" i="5" s="1"/>
  <c r="G6856" i="5"/>
  <c r="R6856" i="5" s="1"/>
  <c r="F522" i="6"/>
  <c r="Q522" i="6" s="1"/>
  <c r="G4559" i="5"/>
  <c r="R4559" i="5" s="1"/>
  <c r="H6063" i="5"/>
  <c r="G4308" i="5"/>
  <c r="R4308" i="5" s="1"/>
  <c r="G1062" i="5"/>
  <c r="G2093" i="5"/>
  <c r="G388" i="5"/>
  <c r="R388" i="5" s="1"/>
  <c r="F211" i="6"/>
  <c r="Q211" i="6" s="1"/>
  <c r="G7797" i="5"/>
  <c r="R7797" i="5" s="1"/>
  <c r="G4490" i="5"/>
  <c r="R4490" i="5" s="1"/>
  <c r="H7154" i="5"/>
  <c r="S7154" i="5" s="1"/>
  <c r="G6245" i="5"/>
  <c r="R6245" i="5" s="1"/>
  <c r="G7092" i="5"/>
  <c r="R7092" i="5" s="1"/>
  <c r="G7801" i="5"/>
  <c r="R7801" i="5" s="1"/>
  <c r="G7518" i="5"/>
  <c r="R7518" i="5" s="1"/>
  <c r="H227" i="5"/>
  <c r="S227" i="5" s="1"/>
  <c r="H3535" i="5"/>
  <c r="S3535" i="5" s="1"/>
  <c r="F45" i="6"/>
  <c r="Q45" i="6" s="1"/>
  <c r="F148" i="6"/>
  <c r="Q148" i="6" s="1"/>
  <c r="G1262" i="5"/>
  <c r="R1262" i="5" s="1"/>
  <c r="F100" i="6"/>
  <c r="Q100" i="6" s="1"/>
  <c r="F160" i="6"/>
  <c r="Q160" i="6" s="1"/>
  <c r="H534" i="5"/>
  <c r="G1645" i="5"/>
  <c r="R1645" i="5" s="1"/>
  <c r="H6123" i="5"/>
  <c r="G7613" i="5"/>
  <c r="R7613" i="5" s="1"/>
  <c r="G5281" i="5"/>
  <c r="R5281" i="5" s="1"/>
  <c r="G2761" i="5"/>
  <c r="R2761" i="5" s="1"/>
  <c r="H45" i="5"/>
  <c r="F464" i="6"/>
  <c r="Q464" i="6" s="1"/>
  <c r="F220" i="6"/>
  <c r="Q220" i="6" s="1"/>
  <c r="G7020" i="5"/>
  <c r="R7020" i="5" s="1"/>
  <c r="G6888" i="5"/>
  <c r="R6888" i="5" s="1"/>
  <c r="H859" i="5"/>
  <c r="F200" i="6"/>
  <c r="Q200" i="6" s="1"/>
  <c r="G384" i="5"/>
  <c r="R384" i="5" s="1"/>
  <c r="F232" i="6"/>
  <c r="Q232" i="6" s="1"/>
  <c r="G7641" i="5"/>
  <c r="R7641" i="5" s="1"/>
  <c r="G3210" i="5"/>
  <c r="R3210" i="5" s="1"/>
  <c r="G4681" i="5"/>
  <c r="R4681" i="5" s="1"/>
  <c r="G114" i="5"/>
  <c r="R114" i="5" s="1"/>
  <c r="G74" i="5"/>
  <c r="R74" i="5" s="1"/>
  <c r="G6512" i="5"/>
  <c r="R6512" i="5" s="1"/>
  <c r="F587" i="6"/>
  <c r="Q587" i="6" s="1"/>
  <c r="G2649" i="5"/>
  <c r="R2649" i="5" s="1"/>
  <c r="H8145" i="5"/>
  <c r="F140" i="6"/>
  <c r="Q140" i="6" s="1"/>
  <c r="F87" i="7"/>
  <c r="Q87" i="7" s="1"/>
  <c r="G5647" i="5"/>
  <c r="R5647" i="5" s="1"/>
  <c r="G5260" i="5"/>
  <c r="R5260" i="5" s="1"/>
  <c r="G500" i="5"/>
  <c r="R500" i="5" s="1"/>
  <c r="G6968" i="5"/>
  <c r="R6968" i="5" s="1"/>
  <c r="H6588" i="5"/>
  <c r="H5895" i="5"/>
  <c r="G2397" i="5"/>
  <c r="R2397" i="5" s="1"/>
  <c r="G247" i="5"/>
  <c r="R247" i="5" s="1"/>
  <c r="F127" i="7"/>
  <c r="G2721" i="5"/>
  <c r="R2721" i="5" s="1"/>
  <c r="F605" i="6"/>
  <c r="Q605" i="6" s="1"/>
  <c r="G4734" i="5"/>
  <c r="R4734" i="5" s="1"/>
  <c r="G6043" i="5"/>
  <c r="R6043" i="5" s="1"/>
  <c r="G3489" i="5"/>
  <c r="R3489" i="5" s="1"/>
  <c r="G376" i="5"/>
  <c r="R376" i="5" s="1"/>
  <c r="H2549" i="5"/>
  <c r="S2549" i="5" s="1"/>
  <c r="G6800" i="5"/>
  <c r="R6800" i="5" s="1"/>
  <c r="F42" i="7"/>
  <c r="Q42" i="7" s="1"/>
  <c r="H2195" i="5"/>
  <c r="S2195" i="5" s="1"/>
  <c r="G5819" i="5"/>
  <c r="R5819" i="5" s="1"/>
  <c r="G2621" i="5"/>
  <c r="R2621" i="5" s="1"/>
  <c r="H4382" i="5"/>
  <c r="S4382" i="5" s="1"/>
  <c r="G6302" i="5"/>
  <c r="R6302" i="5" s="1"/>
  <c r="G7985" i="5"/>
  <c r="R7985" i="5" s="1"/>
  <c r="F43" i="6"/>
  <c r="Q43" i="6" s="1"/>
  <c r="G7885" i="5"/>
  <c r="R7885" i="5" s="1"/>
  <c r="G5983" i="5"/>
  <c r="R5983" i="5" s="1"/>
  <c r="G618" i="5"/>
  <c r="R618" i="5" s="1"/>
  <c r="H3931" i="5"/>
  <c r="H2521" i="5"/>
  <c r="S2521" i="5" s="1"/>
  <c r="G7749" i="5"/>
  <c r="R7749" i="5" s="1"/>
  <c r="G7789" i="5"/>
  <c r="R7789" i="5" s="1"/>
  <c r="G3234" i="5"/>
  <c r="R3234" i="5" s="1"/>
  <c r="G4292" i="5"/>
  <c r="R4292" i="5" s="1"/>
  <c r="F448" i="6"/>
  <c r="Q448" i="6" s="1"/>
  <c r="H4104" i="5"/>
  <c r="S4104" i="5" s="1"/>
  <c r="G7809" i="5"/>
  <c r="R7809" i="5" s="1"/>
  <c r="G1385" i="5"/>
  <c r="R1385" i="5" s="1"/>
  <c r="G6095" i="5"/>
  <c r="R6095" i="5" s="1"/>
  <c r="F170" i="6"/>
  <c r="Q170" i="6" s="1"/>
  <c r="G694" i="5"/>
  <c r="R694" i="5" s="1"/>
  <c r="F307" i="6"/>
  <c r="Q307" i="6" s="1"/>
  <c r="G7733" i="5"/>
  <c r="R7733" i="5" s="1"/>
  <c r="H1895" i="5"/>
  <c r="S1895" i="5" s="1"/>
  <c r="G4588" i="5"/>
  <c r="R4588" i="5" s="1"/>
  <c r="G4008" i="5"/>
  <c r="R4008" i="5" s="1"/>
  <c r="G3371" i="5"/>
  <c r="R3371" i="5" s="1"/>
  <c r="H3818" i="5"/>
  <c r="S3818" i="5" s="1"/>
  <c r="G3925" i="5"/>
  <c r="R3925" i="5" s="1"/>
  <c r="G4320" i="5"/>
  <c r="R4320" i="5" s="1"/>
  <c r="H7298" i="5"/>
  <c r="G7933" i="5"/>
  <c r="R7933" i="5" s="1"/>
  <c r="H157" i="5"/>
  <c r="F10" i="6"/>
  <c r="Q10" i="6" s="1"/>
  <c r="G2553" i="5"/>
  <c r="R2553" i="5" s="1"/>
  <c r="H6354" i="5"/>
  <c r="G7325" i="5"/>
  <c r="R7325" i="5" s="1"/>
  <c r="G911" i="5"/>
  <c r="R911" i="5" s="1"/>
  <c r="H2824" i="5"/>
  <c r="S2824" i="5" s="1"/>
  <c r="G7729" i="5"/>
  <c r="R7729" i="5" s="1"/>
  <c r="G3671" i="5"/>
  <c r="R3671" i="5" s="1"/>
  <c r="G6319" i="5"/>
  <c r="R6319" i="5" s="1"/>
  <c r="G4006" i="5"/>
  <c r="R4006" i="5" s="1"/>
  <c r="G680" i="5"/>
  <c r="R680" i="5" s="1"/>
  <c r="G6516" i="5"/>
  <c r="R6516" i="5" s="1"/>
  <c r="H7353" i="5"/>
  <c r="S7353" i="5" s="1"/>
  <c r="G1101" i="5"/>
  <c r="R1101" i="5" s="1"/>
  <c r="G6928" i="5"/>
  <c r="R6928" i="5" s="1"/>
  <c r="G3627" i="5"/>
  <c r="R3627" i="5" s="1"/>
  <c r="G5472" i="5"/>
  <c r="G7693" i="5"/>
  <c r="R7693" i="5" s="1"/>
  <c r="G5959" i="5"/>
  <c r="R5959" i="5" s="1"/>
  <c r="F466" i="6"/>
  <c r="Q466" i="6" s="1"/>
  <c r="F133" i="7"/>
  <c r="Q133" i="7" s="1"/>
  <c r="G5282" i="5"/>
  <c r="R5282" i="5" s="1"/>
  <c r="F147" i="6"/>
  <c r="Q147" i="6" s="1"/>
  <c r="G5799" i="5"/>
  <c r="R5799" i="5" s="1"/>
  <c r="G4977" i="5"/>
  <c r="R4977" i="5" s="1"/>
  <c r="G7549" i="5"/>
  <c r="R7549" i="5" s="1"/>
  <c r="G3824" i="5"/>
  <c r="R3824" i="5" s="1"/>
  <c r="G5306" i="5"/>
  <c r="R5306" i="5" s="1"/>
  <c r="G5827" i="5"/>
  <c r="R5827" i="5" s="1"/>
  <c r="G6860" i="5"/>
  <c r="R6860" i="5" s="1"/>
  <c r="G4269" i="5"/>
  <c r="R4269" i="5" s="1"/>
  <c r="G7208" i="5"/>
  <c r="R7208" i="5" s="1"/>
  <c r="F65" i="7"/>
  <c r="Q65" i="7" s="1"/>
  <c r="H5735" i="5"/>
  <c r="F628" i="6"/>
  <c r="Q628" i="6" s="1"/>
  <c r="H4995" i="5"/>
  <c r="G7673" i="5"/>
  <c r="R7673" i="5" s="1"/>
  <c r="G5105" i="5"/>
  <c r="R5105" i="5" s="1"/>
  <c r="G55" i="5"/>
  <c r="R55" i="5" s="1"/>
  <c r="H6015" i="5"/>
  <c r="F478" i="6"/>
  <c r="Q478" i="6" s="1"/>
  <c r="G4656" i="5"/>
  <c r="R4656" i="5" s="1"/>
  <c r="G6772" i="5"/>
  <c r="R6772" i="5" s="1"/>
  <c r="G7104" i="5"/>
  <c r="R7104" i="5" s="1"/>
  <c r="H4829" i="5"/>
  <c r="S4829" i="5" s="1"/>
  <c r="G4241" i="5"/>
  <c r="R4241" i="5" s="1"/>
  <c r="G8177" i="5"/>
  <c r="R8177" i="5" s="1"/>
  <c r="H418" i="5"/>
  <c r="G6768" i="5"/>
  <c r="R6768" i="5" s="1"/>
  <c r="H2557" i="5"/>
  <c r="S2557" i="5" s="1"/>
  <c r="G1586" i="5"/>
  <c r="R1586" i="5" s="1"/>
  <c r="G7709" i="5"/>
  <c r="R7709" i="5" s="1"/>
  <c r="G3992" i="5"/>
  <c r="R3992" i="5" s="1"/>
  <c r="F206" i="6"/>
  <c r="Q206" i="6" s="1"/>
  <c r="H152" i="5"/>
  <c r="G7553" i="5"/>
  <c r="R7553" i="5" s="1"/>
  <c r="G7961" i="5"/>
  <c r="R7961" i="5" s="1"/>
  <c r="G6304" i="5"/>
  <c r="R6304" i="5" s="1"/>
  <c r="G5779" i="5"/>
  <c r="R5779" i="5" s="1"/>
  <c r="G2274" i="5"/>
  <c r="R2274" i="5" s="1"/>
  <c r="G7136" i="5"/>
  <c r="R7136" i="5" s="1"/>
  <c r="G7637" i="5"/>
  <c r="R7637" i="5" s="1"/>
  <c r="G2569" i="5"/>
  <c r="R2569" i="5" s="1"/>
  <c r="G4281" i="5"/>
  <c r="R4281" i="5" s="1"/>
  <c r="G4116" i="5"/>
  <c r="R4116" i="5" s="1"/>
  <c r="G4032" i="5"/>
  <c r="R4032" i="5" s="1"/>
  <c r="G919" i="5"/>
  <c r="R919" i="5" s="1"/>
  <c r="G1220" i="5"/>
  <c r="R1220" i="5" s="1"/>
  <c r="H6896" i="5"/>
  <c r="G761" i="5"/>
  <c r="R761" i="5" s="1"/>
  <c r="H186" i="5"/>
  <c r="H3782" i="5"/>
  <c r="S3782" i="5" s="1"/>
  <c r="G1256" i="5"/>
  <c r="R1256" i="5" s="1"/>
  <c r="H3324" i="5"/>
  <c r="S3324" i="5" s="1"/>
  <c r="H8191" i="5"/>
  <c r="G6648" i="5"/>
  <c r="R6648" i="5" s="1"/>
  <c r="G8029" i="5"/>
  <c r="R8029" i="5" s="1"/>
  <c r="H2481" i="5"/>
  <c r="S2481" i="5" s="1"/>
  <c r="G3909" i="5"/>
  <c r="R3909" i="5" s="1"/>
  <c r="F482" i="6"/>
  <c r="Q482" i="6" s="1"/>
  <c r="F102" i="7"/>
  <c r="Q102" i="7" s="1"/>
  <c r="G7455" i="5"/>
  <c r="R7455" i="5" s="1"/>
  <c r="F517" i="6"/>
  <c r="Q517" i="6" s="1"/>
  <c r="G4754" i="5"/>
  <c r="R4754" i="5" s="1"/>
  <c r="F350" i="6"/>
  <c r="Q350" i="6" s="1"/>
  <c r="G5755" i="5"/>
  <c r="R5755" i="5" s="1"/>
  <c r="G4420" i="5"/>
  <c r="R4420" i="5" s="1"/>
  <c r="G3670" i="5"/>
  <c r="R3670" i="5" s="1"/>
  <c r="G2029" i="5"/>
  <c r="R2029" i="5" s="1"/>
  <c r="G691" i="5"/>
  <c r="R691" i="5" s="1"/>
  <c r="G7649" i="5"/>
  <c r="R7649" i="5" s="1"/>
  <c r="F529" i="6"/>
  <c r="Q529" i="6" s="1"/>
  <c r="H5001" i="5"/>
  <c r="S5001" i="5" s="1"/>
  <c r="G3679" i="5"/>
  <c r="R3679" i="5" s="1"/>
  <c r="G4310" i="5"/>
  <c r="R4310" i="5" s="1"/>
  <c r="H5511" i="5"/>
  <c r="H1135" i="5"/>
  <c r="G7278" i="5"/>
  <c r="R7278" i="5" s="1"/>
  <c r="G2234" i="5"/>
  <c r="R2234" i="5" s="1"/>
  <c r="G6876" i="5"/>
  <c r="R6876" i="5" s="1"/>
  <c r="G7557" i="5"/>
  <c r="R7557" i="5" s="1"/>
  <c r="G4225" i="5"/>
  <c r="R4225" i="5" s="1"/>
  <c r="G387" i="5"/>
  <c r="R387" i="5" s="1"/>
  <c r="G7829" i="5"/>
  <c r="R7829" i="5" s="1"/>
  <c r="G7080" i="5"/>
  <c r="R7080" i="5" s="1"/>
  <c r="F319" i="6"/>
  <c r="Q319" i="6" s="1"/>
  <c r="H8073" i="5"/>
  <c r="G2778" i="5"/>
  <c r="R2778" i="5" s="1"/>
  <c r="G3917" i="5"/>
  <c r="R3917" i="5" s="1"/>
  <c r="F589" i="6"/>
  <c r="Q589" i="6" s="1"/>
  <c r="F21" i="7"/>
  <c r="Q21" i="7" s="1"/>
  <c r="G2405" i="5"/>
  <c r="R2405" i="5" s="1"/>
  <c r="G5835" i="5"/>
  <c r="R5835" i="5" s="1"/>
  <c r="G977" i="5"/>
  <c r="R977" i="5" s="1"/>
  <c r="H830" i="5"/>
  <c r="S830" i="5" s="1"/>
  <c r="G8093" i="5"/>
  <c r="R8093" i="5" s="1"/>
  <c r="G4306" i="5"/>
  <c r="R4306" i="5" s="1"/>
  <c r="G5967" i="5"/>
  <c r="R5967" i="5" s="1"/>
  <c r="G5691" i="5"/>
  <c r="R5691" i="5" s="1"/>
  <c r="G5412" i="5"/>
  <c r="R5412" i="5" s="1"/>
  <c r="G7777" i="5"/>
  <c r="R7777" i="5" s="1"/>
  <c r="G4750" i="5"/>
  <c r="R4750" i="5" s="1"/>
  <c r="H5505" i="5"/>
  <c r="G1031" i="5"/>
  <c r="R1031" i="5" s="1"/>
  <c r="H7236" i="5"/>
  <c r="G3209" i="5"/>
  <c r="R3209" i="5" s="1"/>
  <c r="G751" i="5"/>
  <c r="R751" i="5" s="1"/>
  <c r="G6596" i="5"/>
  <c r="R6596" i="5" s="1"/>
  <c r="H3800" i="5"/>
  <c r="S3800" i="5" s="1"/>
  <c r="G2224" i="5"/>
  <c r="R2224" i="5" s="1"/>
  <c r="G4183" i="5"/>
  <c r="R4183" i="5" s="1"/>
  <c r="G1313" i="5"/>
  <c r="G2330" i="5"/>
  <c r="G8117" i="5"/>
  <c r="R8117" i="5" s="1"/>
  <c r="G6984" i="5"/>
  <c r="R6984" i="5" s="1"/>
  <c r="H3794" i="5"/>
  <c r="S3794" i="5" s="1"/>
  <c r="H2898" i="5"/>
  <c r="S2898" i="5" s="1"/>
  <c r="G2501" i="5"/>
  <c r="R2501" i="5" s="1"/>
  <c r="G5843" i="5"/>
  <c r="R5843" i="5" s="1"/>
  <c r="G7901" i="5"/>
  <c r="R7901" i="5" s="1"/>
  <c r="G4302" i="5"/>
  <c r="R4302" i="5" s="1"/>
  <c r="G8141" i="5"/>
  <c r="R8141" i="5" s="1"/>
  <c r="F101" i="7"/>
  <c r="Q101" i="7" s="1"/>
  <c r="G8213" i="5"/>
  <c r="R8213" i="5" s="1"/>
  <c r="H769" i="5"/>
  <c r="G2737" i="5"/>
  <c r="R2737" i="5" s="1"/>
  <c r="G7000" i="5"/>
  <c r="R7000" i="5" s="1"/>
  <c r="F480" i="6"/>
  <c r="Q480" i="6" s="1"/>
  <c r="F481" i="6"/>
  <c r="Q481" i="6" s="1"/>
  <c r="G3083" i="5"/>
  <c r="R3083" i="5" s="1"/>
  <c r="G925" i="5"/>
  <c r="R925" i="5" s="1"/>
  <c r="G7076" i="5"/>
  <c r="R7076" i="5" s="1"/>
  <c r="H3303" i="5"/>
  <c r="S3303" i="5" s="1"/>
  <c r="G5659" i="5"/>
  <c r="R5659" i="5" s="1"/>
  <c r="H6188" i="5"/>
  <c r="S6188" i="5" s="1"/>
  <c r="F22" i="7"/>
  <c r="Q22" i="7" s="1"/>
  <c r="G956" i="5"/>
  <c r="R956" i="5" s="1"/>
  <c r="H3199" i="5"/>
  <c r="S3199" i="5" s="1"/>
  <c r="G763" i="5"/>
  <c r="R763" i="5" s="1"/>
  <c r="H6572" i="5"/>
  <c r="G7653" i="5"/>
  <c r="R7653" i="5" s="1"/>
  <c r="G4005" i="5"/>
  <c r="R4005" i="5" s="1"/>
  <c r="G6936" i="5"/>
  <c r="R6936" i="5" s="1"/>
  <c r="H7893" i="5"/>
  <c r="F627" i="6"/>
  <c r="Q627" i="6" s="1"/>
  <c r="G5943" i="5"/>
  <c r="R5943" i="5" s="1"/>
  <c r="H2773" i="5"/>
  <c r="S2773" i="5" s="1"/>
  <c r="G6752" i="5"/>
  <c r="R6752" i="5" s="1"/>
  <c r="G6760" i="5"/>
  <c r="R6760" i="5" s="1"/>
  <c r="F234" i="6"/>
  <c r="Q234" i="6" s="1"/>
  <c r="H5747" i="5"/>
  <c r="F221" i="6"/>
  <c r="Q221" i="6" s="1"/>
  <c r="F484" i="6"/>
  <c r="Q484" i="6" s="1"/>
  <c r="G6616" i="5"/>
  <c r="R6616" i="5" s="1"/>
  <c r="G5947" i="5"/>
  <c r="R5947" i="5" s="1"/>
  <c r="G844" i="5"/>
  <c r="R844" i="5" s="1"/>
  <c r="G4720" i="5"/>
  <c r="R4720" i="5" s="1"/>
  <c r="G1917" i="5"/>
  <c r="R1917" i="5" s="1"/>
  <c r="F433" i="6"/>
  <c r="Q433" i="6" s="1"/>
  <c r="H1513" i="5"/>
  <c r="G8149" i="5"/>
  <c r="R8149" i="5" s="1"/>
  <c r="G4304" i="5"/>
  <c r="R4304" i="5" s="1"/>
  <c r="G3658" i="5"/>
  <c r="R3658" i="5" s="1"/>
  <c r="H4400" i="5"/>
  <c r="S4400" i="5" s="1"/>
  <c r="G3762" i="5"/>
  <c r="R3762" i="5" s="1"/>
  <c r="H142" i="5"/>
  <c r="G7813" i="5"/>
  <c r="R7813" i="5" s="1"/>
  <c r="G640" i="5"/>
  <c r="R640" i="5" s="1"/>
  <c r="G6740" i="5"/>
  <c r="R6740" i="5" s="1"/>
  <c r="G5695" i="5"/>
  <c r="R5695" i="5" s="1"/>
  <c r="G6996" i="5"/>
  <c r="R6996" i="5" s="1"/>
  <c r="G2741" i="5"/>
  <c r="R2741" i="5" s="1"/>
  <c r="G7004" i="5"/>
  <c r="R7004" i="5" s="1"/>
  <c r="G7701" i="5"/>
  <c r="R7701" i="5" s="1"/>
  <c r="G5687" i="5"/>
  <c r="R5687" i="5" s="1"/>
  <c r="G8157" i="5"/>
  <c r="R8157" i="5" s="1"/>
  <c r="G3770" i="5"/>
  <c r="R3770" i="5" s="1"/>
  <c r="G6920" i="5"/>
  <c r="R6920" i="5" s="1"/>
  <c r="F43" i="7"/>
  <c r="Q43" i="7" s="1"/>
  <c r="F451" i="6"/>
  <c r="Q451" i="6" s="1"/>
  <c r="G988" i="5"/>
  <c r="R988" i="5" s="1"/>
  <c r="G6952" i="5"/>
  <c r="R6952" i="5" s="1"/>
  <c r="F199" i="6"/>
  <c r="Q199" i="6" s="1"/>
  <c r="G5791" i="5"/>
  <c r="R5791" i="5" s="1"/>
  <c r="H129" i="5"/>
  <c r="S129" i="5" s="1"/>
  <c r="F616" i="6"/>
  <c r="Q616" i="6" s="1"/>
  <c r="G7969" i="5"/>
  <c r="R7969" i="5" s="1"/>
  <c r="H4845" i="5"/>
  <c r="S4845" i="5" s="1"/>
  <c r="H3289" i="5"/>
  <c r="S3289" i="5" s="1"/>
  <c r="F523" i="6"/>
  <c r="Q523" i="6" s="1"/>
  <c r="F320" i="6"/>
  <c r="Q320" i="6" s="1"/>
  <c r="G7514" i="5"/>
  <c r="R7514" i="5" s="1"/>
  <c r="G3413" i="5"/>
  <c r="R3413" i="5" s="1"/>
  <c r="G1639" i="5"/>
  <c r="R1639" i="5" s="1"/>
  <c r="G7861" i="5"/>
  <c r="R7861" i="5" s="1"/>
  <c r="F388" i="6"/>
  <c r="Q388" i="6" s="1"/>
  <c r="G7705" i="5"/>
  <c r="R7705" i="5" s="1"/>
  <c r="G5771" i="5"/>
  <c r="R5771" i="5" s="1"/>
  <c r="G346" i="5"/>
  <c r="R346" i="5" s="1"/>
  <c r="G4649" i="5"/>
  <c r="R4649" i="5" s="1"/>
  <c r="F387" i="6"/>
  <c r="Q387" i="6" s="1"/>
  <c r="G8053" i="5"/>
  <c r="R8053" i="5" s="1"/>
  <c r="G7785" i="5"/>
  <c r="R7785" i="5" s="1"/>
  <c r="G2135" i="5"/>
  <c r="R2135" i="5" s="1"/>
  <c r="H6716" i="5"/>
  <c r="H2477" i="5"/>
  <c r="S2477" i="5" s="1"/>
  <c r="G7697" i="5"/>
  <c r="R7697" i="5" s="1"/>
  <c r="G2733" i="5"/>
  <c r="R2733" i="5" s="1"/>
  <c r="H4671" i="5"/>
  <c r="S4671" i="5" s="1"/>
  <c r="H2794" i="5"/>
  <c r="S2794" i="5" s="1"/>
  <c r="G986" i="5"/>
  <c r="R986" i="5" s="1"/>
  <c r="G1164" i="5"/>
  <c r="R1164" i="5" s="1"/>
  <c r="H2437" i="5"/>
  <c r="G261" i="5"/>
  <c r="R261" i="5" s="1"/>
  <c r="G4305" i="5"/>
  <c r="R4305" i="5" s="1"/>
  <c r="G4145" i="5"/>
  <c r="R4145" i="5" s="1"/>
  <c r="H865" i="5"/>
  <c r="S865" i="5" s="1"/>
  <c r="H6430" i="5"/>
  <c r="G257" i="5"/>
  <c r="R257" i="5" s="1"/>
  <c r="F116" i="7"/>
  <c r="Q116" i="7" s="1"/>
  <c r="H2449" i="5"/>
  <c r="H3296" i="5"/>
  <c r="S3296" i="5" s="1"/>
  <c r="F88" i="7"/>
  <c r="Q88" i="7" s="1"/>
  <c r="H3439" i="5"/>
  <c r="S3439" i="5" s="1"/>
  <c r="H2669" i="5"/>
  <c r="S2669" i="5" s="1"/>
  <c r="G4952" i="5"/>
  <c r="R4952" i="5" s="1"/>
  <c r="G389" i="5"/>
  <c r="R389" i="5" s="1"/>
  <c r="G20" i="5"/>
  <c r="R20" i="5" s="1"/>
  <c r="H6435" i="5"/>
  <c r="S6435" i="5" s="1"/>
  <c r="F100" i="7"/>
  <c r="Q100" i="7" s="1"/>
  <c r="G7721" i="5"/>
  <c r="R7721" i="5" s="1"/>
  <c r="H3599" i="5"/>
  <c r="S3599" i="5" s="1"/>
  <c r="H7036" i="5"/>
  <c r="G6944" i="5"/>
  <c r="R6944" i="5" s="1"/>
  <c r="G7516" i="5"/>
  <c r="R7516" i="5" s="1"/>
  <c r="G7929" i="5"/>
  <c r="R7929" i="5" s="1"/>
  <c r="G7853" i="5"/>
  <c r="R7853" i="5" s="1"/>
  <c r="G3344" i="5"/>
  <c r="R3344" i="5" s="1"/>
  <c r="G1753" i="5"/>
  <c r="R1753" i="5" s="1"/>
  <c r="H3737" i="5"/>
  <c r="S3737" i="5" s="1"/>
  <c r="H2342" i="5"/>
  <c r="F389" i="6"/>
  <c r="Q389" i="6" s="1"/>
  <c r="F193" i="6"/>
  <c r="F162" i="6"/>
  <c r="Q162" i="6" s="1"/>
  <c r="G5683" i="5"/>
  <c r="R5683" i="5" s="1"/>
  <c r="G5763" i="5"/>
  <c r="R5763" i="5" s="1"/>
  <c r="G345" i="5"/>
  <c r="R345" i="5" s="1"/>
  <c r="H6452" i="5"/>
  <c r="H6119" i="5"/>
  <c r="G7645" i="5"/>
  <c r="R7645" i="5" s="1"/>
  <c r="F9" i="7"/>
  <c r="Q9" i="7" s="1"/>
  <c r="G6115" i="5"/>
  <c r="R6115" i="5" s="1"/>
  <c r="G4585" i="5"/>
  <c r="R4585" i="5" s="1"/>
  <c r="H178" i="5"/>
  <c r="S178" i="5" s="1"/>
  <c r="F636" i="6"/>
  <c r="Q636" i="6" s="1"/>
  <c r="G3641" i="5"/>
  <c r="R3641" i="5" s="1"/>
  <c r="G6756" i="5"/>
  <c r="R6756" i="5" s="1"/>
  <c r="H7012" i="5"/>
  <c r="G4291" i="5"/>
  <c r="R4291" i="5" s="1"/>
  <c r="H8069" i="5"/>
  <c r="G7745" i="5"/>
  <c r="R7745" i="5" s="1"/>
  <c r="G1413" i="5"/>
  <c r="R1413" i="5" s="1"/>
  <c r="G7385" i="5"/>
  <c r="R7385" i="5" s="1"/>
  <c r="H6548" i="5"/>
  <c r="H7184" i="5"/>
  <c r="S7184" i="5" s="1"/>
  <c r="G2753" i="5"/>
  <c r="R2753" i="5" s="1"/>
  <c r="F409" i="6"/>
  <c r="Q409" i="6" s="1"/>
  <c r="H5887" i="5"/>
  <c r="G6904" i="5"/>
  <c r="R6904" i="5" s="1"/>
  <c r="H2711" i="5"/>
  <c r="S2711" i="5" s="1"/>
  <c r="G2429" i="5"/>
  <c r="R2429" i="5" s="1"/>
  <c r="G3910" i="5"/>
  <c r="R3910" i="5" s="1"/>
  <c r="H6447" i="5"/>
  <c r="G57" i="5"/>
  <c r="R57" i="5" s="1"/>
  <c r="G1728" i="5"/>
  <c r="H5065" i="5"/>
  <c r="S5065" i="5" s="1"/>
  <c r="H2505" i="5"/>
  <c r="S2505" i="5" s="1"/>
  <c r="G3758" i="5"/>
  <c r="R3758" i="5" s="1"/>
  <c r="G6748" i="5"/>
  <c r="R6748" i="5" s="1"/>
  <c r="G2374" i="5"/>
  <c r="F479" i="6"/>
  <c r="Q479" i="6" s="1"/>
  <c r="G368" i="5"/>
  <c r="R368" i="5" s="1"/>
  <c r="G6744" i="5"/>
  <c r="R6744" i="5" s="1"/>
  <c r="G4307" i="5"/>
  <c r="R4307" i="5" s="1"/>
  <c r="H6395" i="5"/>
  <c r="G7685" i="5"/>
  <c r="R7685" i="5" s="1"/>
  <c r="G6320" i="5"/>
  <c r="R6320" i="5" s="1"/>
  <c r="H1912" i="5"/>
  <c r="S1912" i="5" s="1"/>
  <c r="G2085" i="5"/>
  <c r="G5453" i="5"/>
  <c r="G6388" i="5"/>
  <c r="F103" i="7"/>
  <c r="Q103" i="7" s="1"/>
  <c r="G6912" i="5"/>
  <c r="R6912" i="5" s="1"/>
  <c r="F306" i="6"/>
  <c r="Q306" i="6" s="1"/>
  <c r="F46" i="6"/>
  <c r="Q46" i="6" s="1"/>
  <c r="G7873" i="5"/>
  <c r="R7873" i="5" s="1"/>
  <c r="G7753" i="5"/>
  <c r="R7753" i="5" s="1"/>
  <c r="H4766" i="5"/>
  <c r="G4247" i="5"/>
  <c r="R4247" i="5" s="1"/>
  <c r="H6345" i="5"/>
  <c r="H793" i="5"/>
  <c r="G6736" i="5"/>
  <c r="R6736" i="5" s="1"/>
  <c r="G5097" i="5"/>
  <c r="R5097" i="5" s="1"/>
  <c r="F201" i="6"/>
  <c r="Q201" i="6" s="1"/>
  <c r="H2525" i="5"/>
  <c r="S2525" i="5" s="1"/>
  <c r="H3395" i="5"/>
  <c r="S3395" i="5" s="1"/>
  <c r="H90" i="5"/>
  <c r="S90" i="5" s="1"/>
  <c r="G7741" i="5"/>
  <c r="R7741" i="5" s="1"/>
  <c r="G2002" i="5"/>
  <c r="R2002" i="5" s="1"/>
  <c r="G6612" i="5"/>
  <c r="R6612" i="5" s="1"/>
  <c r="F446" i="6"/>
  <c r="Q446" i="6" s="1"/>
  <c r="G3228" i="5"/>
  <c r="R3228" i="5" s="1"/>
  <c r="G56" i="5"/>
  <c r="R56" i="5" s="1"/>
  <c r="G3859" i="5"/>
  <c r="R3859" i="5" s="1"/>
  <c r="H6412" i="5"/>
  <c r="S6412" i="5" s="1"/>
  <c r="H3937" i="5"/>
  <c r="H3420" i="5"/>
  <c r="S3420" i="5" s="1"/>
  <c r="G683" i="5"/>
  <c r="R683" i="5" s="1"/>
  <c r="H7889" i="5"/>
  <c r="G3664" i="5"/>
  <c r="R3664" i="5" s="1"/>
  <c r="G3916" i="5"/>
  <c r="R3916" i="5" s="1"/>
  <c r="G295" i="5"/>
  <c r="R295" i="5" s="1"/>
  <c r="H6956" i="5"/>
  <c r="G5663" i="5"/>
  <c r="R5663" i="5" s="1"/>
  <c r="H2625" i="5"/>
  <c r="S2625" i="5" s="1"/>
  <c r="G4337" i="5"/>
  <c r="R4337" i="5" s="1"/>
  <c r="G1988" i="5"/>
  <c r="R1988" i="5" s="1"/>
  <c r="F557" i="6"/>
  <c r="Q557" i="6" s="1"/>
  <c r="F588" i="6"/>
  <c r="Q588" i="6" s="1"/>
  <c r="H2561" i="5"/>
  <c r="S2561" i="5" s="1"/>
  <c r="H906" i="5"/>
  <c r="S906" i="5" s="1"/>
  <c r="G6724" i="5"/>
  <c r="R6724" i="5" s="1"/>
  <c r="G6880" i="5"/>
  <c r="R6880" i="5" s="1"/>
  <c r="H1519" i="5"/>
  <c r="G7661" i="5"/>
  <c r="R7661" i="5" s="1"/>
  <c r="G5915" i="5"/>
  <c r="R5915" i="5" s="1"/>
  <c r="G2413" i="5"/>
  <c r="R2413" i="5" s="1"/>
  <c r="G255" i="5"/>
  <c r="R255" i="5" s="1"/>
  <c r="H5234" i="5"/>
  <c r="G2629" i="5"/>
  <c r="R2629" i="5" s="1"/>
  <c r="G7849" i="5"/>
  <c r="R7849" i="5" s="1"/>
  <c r="G3343" i="5"/>
  <c r="R3343" i="5" s="1"/>
  <c r="H4392" i="5"/>
  <c r="S4392" i="5" s="1"/>
  <c r="G822" i="5"/>
  <c r="R822" i="5" s="1"/>
  <c r="H3056" i="5"/>
  <c r="S3056" i="5" s="1"/>
  <c r="F24" i="6"/>
  <c r="Q24" i="6" s="1"/>
  <c r="G7817" i="5"/>
  <c r="R7817" i="5" s="1"/>
  <c r="G4023" i="5"/>
  <c r="R4023" i="5" s="1"/>
  <c r="G7869" i="5"/>
  <c r="R7869" i="5" s="1"/>
  <c r="G6079" i="5"/>
  <c r="R6079" i="5" s="1"/>
  <c r="H6283" i="5"/>
  <c r="G855" i="5"/>
  <c r="R855" i="5" s="1"/>
  <c r="G258" i="5"/>
  <c r="R258" i="5" s="1"/>
  <c r="G4217" i="5"/>
  <c r="R4217" i="5" s="1"/>
  <c r="G3240" i="5"/>
  <c r="R3240" i="5" s="1"/>
  <c r="H5008" i="5"/>
  <c r="S5008" i="5" s="1"/>
  <c r="G6924" i="5"/>
  <c r="R6924" i="5" s="1"/>
  <c r="G764" i="5"/>
  <c r="R764" i="5" s="1"/>
  <c r="G4268" i="5"/>
  <c r="R4268" i="5" s="1"/>
  <c r="H7462" i="5"/>
  <c r="F279" i="6"/>
  <c r="Q279" i="6" s="1"/>
  <c r="F547" i="6"/>
  <c r="Q547" i="6" s="1"/>
  <c r="G7429" i="5"/>
  <c r="R7429" i="5" s="1"/>
  <c r="G2790" i="5"/>
  <c r="R2790" i="5" s="1"/>
  <c r="F351" i="6"/>
  <c r="Q351" i="6" s="1"/>
  <c r="F637" i="6"/>
  <c r="Q637" i="6" s="1"/>
  <c r="G4311" i="5"/>
  <c r="R4311" i="5" s="1"/>
  <c r="G5951" i="5"/>
  <c r="R5951" i="5" s="1"/>
  <c r="G2294" i="5"/>
  <c r="R2294" i="5" s="1"/>
  <c r="G2417" i="5"/>
  <c r="R2417" i="5" s="1"/>
  <c r="G8097" i="5"/>
  <c r="R8097" i="5" s="1"/>
  <c r="G5091" i="5"/>
  <c r="R5091" i="5" s="1"/>
  <c r="G5775" i="5"/>
  <c r="R5775" i="5" s="1"/>
  <c r="F297" i="6"/>
  <c r="Q297" i="6" s="1"/>
  <c r="G6500" i="5"/>
  <c r="R6500" i="5" s="1"/>
  <c r="G5907" i="5"/>
  <c r="R5907" i="5" s="1"/>
  <c r="G2254" i="5"/>
  <c r="R2254" i="5" s="1"/>
  <c r="G8065" i="5"/>
  <c r="R8065" i="5" s="1"/>
  <c r="H6027" i="5"/>
  <c r="H5919" i="5"/>
  <c r="F248" i="6"/>
  <c r="Q248" i="6" s="1"/>
  <c r="F638" i="6"/>
  <c r="Q638" i="6" s="1"/>
  <c r="G5931" i="5"/>
  <c r="R5931" i="5" s="1"/>
  <c r="G5999" i="5"/>
  <c r="R5999" i="5" s="1"/>
  <c r="H2645" i="5"/>
  <c r="H5891" i="5"/>
  <c r="G1029" i="5"/>
  <c r="R1029" i="5" s="1"/>
  <c r="G360" i="5"/>
  <c r="R360" i="5" s="1"/>
  <c r="G7989" i="5"/>
  <c r="R7989" i="5" s="1"/>
  <c r="G3961" i="5"/>
  <c r="R3961" i="5" s="1"/>
  <c r="G5210" i="5"/>
  <c r="R5210" i="5" s="1"/>
  <c r="G4350" i="5"/>
  <c r="R4350" i="5" s="1"/>
  <c r="G8081" i="5"/>
  <c r="R8081" i="5" s="1"/>
  <c r="H5927" i="5"/>
  <c r="H5043" i="5"/>
  <c r="G296" i="5"/>
  <c r="R296" i="5" s="1"/>
  <c r="G6660" i="5"/>
  <c r="R6660" i="5" s="1"/>
  <c r="G8005" i="5"/>
  <c r="R8005" i="5" s="1"/>
  <c r="F579" i="6"/>
  <c r="Q579" i="6" s="1"/>
  <c r="G5955" i="5"/>
  <c r="R5955" i="5" s="1"/>
  <c r="G7793" i="5"/>
  <c r="R7793" i="5" s="1"/>
  <c r="G8109" i="5"/>
  <c r="R8109" i="5" s="1"/>
  <c r="G667" i="5"/>
  <c r="R667" i="5" s="1"/>
  <c r="H7028" i="5"/>
  <c r="G8113" i="5"/>
  <c r="R8113" i="5" s="1"/>
  <c r="G5418" i="5"/>
  <c r="R5418" i="5" s="1"/>
  <c r="H3317" i="5"/>
  <c r="S3317" i="5" s="1"/>
  <c r="G4286" i="5"/>
  <c r="R4286" i="5" s="1"/>
  <c r="F626" i="6"/>
  <c r="Q626" i="6" s="1"/>
  <c r="G7172" i="5"/>
  <c r="R7172" i="5" s="1"/>
  <c r="G5671" i="5"/>
  <c r="R5671" i="5" s="1"/>
  <c r="H4796" i="5"/>
  <c r="G758" i="5"/>
  <c r="R758" i="5" s="1"/>
  <c r="G6836" i="5"/>
  <c r="R6836" i="5" s="1"/>
  <c r="G8161" i="5"/>
  <c r="R8161" i="5" s="1"/>
  <c r="G1403" i="5"/>
  <c r="R1403" i="5" s="1"/>
  <c r="F19" i="6"/>
  <c r="Q19" i="6" s="1"/>
  <c r="F78" i="7"/>
  <c r="Q78" i="7" s="1"/>
  <c r="H1806" i="5"/>
  <c r="S1806" i="5" s="1"/>
  <c r="H7196" i="5"/>
  <c r="S7196" i="5" s="1"/>
  <c r="H6230" i="5"/>
  <c r="S6230" i="5" s="1"/>
  <c r="G5715" i="5"/>
  <c r="R5715" i="5" s="1"/>
  <c r="H2963" i="5"/>
  <c r="S2963" i="5" s="1"/>
  <c r="G8013" i="5"/>
  <c r="R8013" i="5" s="1"/>
  <c r="G7913" i="5"/>
  <c r="R7913" i="5" s="1"/>
  <c r="H4853" i="5"/>
  <c r="S4853" i="5" s="1"/>
  <c r="H2922" i="5"/>
  <c r="S2922" i="5" s="1"/>
  <c r="H7132" i="5"/>
  <c r="H1537" i="5"/>
  <c r="H2893" i="5"/>
  <c r="S2893" i="5" s="1"/>
  <c r="G5345" i="5"/>
  <c r="R5345" i="5" s="1"/>
  <c r="H4470" i="5"/>
  <c r="S4470" i="5" s="1"/>
  <c r="G2129" i="5"/>
  <c r="R2129" i="5" s="1"/>
  <c r="H7148" i="5"/>
  <c r="S7148" i="5" s="1"/>
  <c r="G5795" i="5"/>
  <c r="R5795" i="5" s="1"/>
  <c r="G6107" i="5"/>
  <c r="R6107" i="5" s="1"/>
  <c r="H6193" i="5"/>
  <c r="S6193" i="5" s="1"/>
  <c r="G8121" i="5"/>
  <c r="R8121" i="5" s="1"/>
  <c r="G1210" i="5"/>
  <c r="G8105" i="5"/>
  <c r="R8105" i="5" s="1"/>
  <c r="H124" i="5"/>
  <c r="S124" i="5" s="1"/>
  <c r="G2171" i="5"/>
  <c r="R2171" i="5" s="1"/>
  <c r="H3607" i="5"/>
  <c r="S3607" i="5" s="1"/>
  <c r="G2725" i="5"/>
  <c r="R2725" i="5" s="1"/>
  <c r="F260" i="6"/>
  <c r="Q260" i="6" s="1"/>
  <c r="H5613" i="5"/>
  <c r="H6820" i="5"/>
  <c r="G7909" i="5"/>
  <c r="R7909" i="5" s="1"/>
  <c r="F567" i="6"/>
  <c r="Q567" i="6" s="1"/>
  <c r="F304" i="6"/>
  <c r="Q304" i="6" s="1"/>
  <c r="G375" i="5"/>
  <c r="R375" i="5" s="1"/>
  <c r="G663" i="5"/>
  <c r="R663" i="5" s="1"/>
  <c r="G6960" i="5"/>
  <c r="R6960" i="5" s="1"/>
  <c r="F15" i="7"/>
  <c r="Q15" i="7" s="1"/>
  <c r="G3215" i="5"/>
  <c r="R3215" i="5" s="1"/>
  <c r="G3406" i="5"/>
  <c r="R3406" i="5" s="1"/>
  <c r="H3310" i="5"/>
  <c r="S3310" i="5" s="1"/>
  <c r="G542" i="5"/>
  <c r="R542" i="5" s="1"/>
  <c r="G4316" i="5"/>
  <c r="R4316" i="5" s="1"/>
  <c r="F272" i="6"/>
  <c r="Q272" i="6" s="1"/>
  <c r="G2757" i="5"/>
  <c r="R2757" i="5" s="1"/>
  <c r="H6075" i="5"/>
  <c r="G449" i="5"/>
  <c r="R449" i="5" s="1"/>
  <c r="G4558" i="5"/>
  <c r="R4558" i="5" s="1"/>
  <c r="H5565" i="5"/>
  <c r="G4137" i="5"/>
  <c r="R4137" i="5" s="1"/>
  <c r="G7917" i="5"/>
  <c r="R7917" i="5" s="1"/>
  <c r="G7629" i="5"/>
  <c r="R7629" i="5" s="1"/>
  <c r="G2311" i="5"/>
  <c r="R2311" i="5" s="1"/>
  <c r="H5571" i="5"/>
  <c r="G6059" i="5"/>
  <c r="R6059" i="5" s="1"/>
  <c r="G8037" i="5"/>
  <c r="R8037" i="5" s="1"/>
  <c r="G6135" i="5"/>
  <c r="R6135" i="5" s="1"/>
  <c r="F35" i="6"/>
  <c r="Q35" i="6" s="1"/>
  <c r="G8173" i="5"/>
  <c r="R8173" i="5" s="1"/>
  <c r="H3812" i="5"/>
  <c r="S3812" i="5" s="1"/>
  <c r="G299" i="5"/>
  <c r="R299" i="5" s="1"/>
  <c r="F635" i="6"/>
  <c r="Q635" i="6" s="1"/>
  <c r="H655" i="5"/>
  <c r="S655" i="5" s="1"/>
  <c r="G333" i="5"/>
  <c r="R333" i="5" s="1"/>
  <c r="G7286" i="5"/>
  <c r="R7286" i="5" s="1"/>
  <c r="G6672" i="5"/>
  <c r="R6672" i="5" s="1"/>
  <c r="G5655" i="5"/>
  <c r="R5655" i="5" s="1"/>
  <c r="G5037" i="5"/>
  <c r="R5037" i="5" s="1"/>
  <c r="G7052" i="5"/>
  <c r="R7052" i="5" s="1"/>
  <c r="G7689" i="5"/>
  <c r="R7689" i="5" s="1"/>
  <c r="G6359" i="5"/>
  <c r="R6359" i="5" s="1"/>
  <c r="G2117" i="5"/>
  <c r="R2117" i="5" s="1"/>
  <c r="G5979" i="5"/>
  <c r="R5979" i="5" s="1"/>
  <c r="G1616" i="5"/>
  <c r="R1616" i="5" s="1"/>
  <c r="G1077" i="5"/>
  <c r="R1077" i="5" s="1"/>
  <c r="H286" i="5"/>
  <c r="F184" i="6"/>
  <c r="Q184" i="6" s="1"/>
  <c r="F73" i="6"/>
  <c r="Q73" i="6" s="1"/>
  <c r="G6091" i="5"/>
  <c r="R6091" i="5" s="1"/>
  <c r="G6264" i="5"/>
  <c r="R6264" i="5" s="1"/>
  <c r="H6011" i="5"/>
  <c r="H7441" i="5"/>
  <c r="G3613" i="5"/>
  <c r="R3613" i="5" s="1"/>
  <c r="G7897" i="5"/>
  <c r="R7897" i="5" s="1"/>
  <c r="G25" i="5"/>
  <c r="R25" i="5" s="1"/>
  <c r="G1995" i="5"/>
  <c r="R1995" i="5" s="1"/>
  <c r="G508" i="5"/>
  <c r="R508" i="5" s="1"/>
  <c r="G8129" i="5"/>
  <c r="R8129" i="5" s="1"/>
  <c r="F305" i="6"/>
  <c r="Q305" i="6" s="1"/>
  <c r="G6131" i="5"/>
  <c r="R6131" i="5" s="1"/>
  <c r="H5559" i="5"/>
  <c r="F396" i="6"/>
  <c r="Q396" i="6" s="1"/>
  <c r="F53" i="6"/>
  <c r="Q53" i="6" s="1"/>
  <c r="G3873" i="5"/>
  <c r="R3873" i="5" s="1"/>
  <c r="H6688" i="5"/>
  <c r="H5027" i="5"/>
  <c r="S5027" i="5" s="1"/>
  <c r="G390" i="5"/>
  <c r="R390" i="5" s="1"/>
  <c r="G3626" i="5"/>
  <c r="R3626" i="5" s="1"/>
  <c r="F541" i="6"/>
  <c r="Q541" i="6" s="1"/>
  <c r="G391" i="5"/>
  <c r="R391" i="5" s="1"/>
  <c r="G6972" i="5"/>
  <c r="R6972" i="5" s="1"/>
  <c r="G8165" i="5"/>
  <c r="R8165" i="5" s="1"/>
  <c r="G217" i="5"/>
  <c r="R217" i="5" s="1"/>
  <c r="F410" i="6"/>
  <c r="Q410" i="6" s="1"/>
  <c r="F622" i="6"/>
  <c r="Q622" i="6" s="1"/>
  <c r="F604" i="6"/>
  <c r="Q604" i="6" s="1"/>
  <c r="G357" i="5"/>
  <c r="R357" i="5" s="1"/>
  <c r="G4058" i="5"/>
  <c r="R4058" i="5" s="1"/>
  <c r="G8021" i="5"/>
  <c r="R8021" i="5" s="1"/>
  <c r="F495" i="6"/>
  <c r="Q495" i="6" s="1"/>
  <c r="H134" i="5"/>
  <c r="S134" i="5" s="1"/>
  <c r="H7314" i="5"/>
  <c r="F496" i="6"/>
  <c r="Q496" i="6" s="1"/>
  <c r="G6532" i="5"/>
  <c r="R6532" i="5" s="1"/>
  <c r="G7993" i="5"/>
  <c r="R7993" i="5" s="1"/>
  <c r="H3064" i="5"/>
  <c r="S3064" i="5" s="1"/>
  <c r="G4049" i="5"/>
  <c r="R4049" i="5" s="1"/>
  <c r="G6964" i="5"/>
  <c r="R6964" i="5" s="1"/>
  <c r="G7056" i="5"/>
  <c r="R7056" i="5" s="1"/>
  <c r="G3907" i="5"/>
  <c r="R3907" i="5" s="1"/>
  <c r="G6440" i="5"/>
  <c r="R6440" i="5" s="1"/>
  <c r="H3043" i="5"/>
  <c r="S3043" i="5" s="1"/>
  <c r="G6039" i="5"/>
  <c r="R6039" i="5" s="1"/>
  <c r="H7178" i="5"/>
  <c r="S7178" i="5" s="1"/>
  <c r="G3892" i="5"/>
  <c r="R3892" i="5" s="1"/>
  <c r="H3158" i="5"/>
  <c r="S3158" i="5" s="1"/>
  <c r="G7773" i="5"/>
  <c r="R7773" i="5" s="1"/>
  <c r="H5731" i="5"/>
  <c r="F318" i="6"/>
  <c r="Q318" i="6" s="1"/>
  <c r="G3430" i="5"/>
  <c r="R3430" i="5" s="1"/>
  <c r="G6704" i="5"/>
  <c r="R6704" i="5" s="1"/>
  <c r="G7048" i="5"/>
  <c r="R7048" i="5" s="1"/>
  <c r="G3858" i="5"/>
  <c r="R3858" i="5" s="1"/>
  <c r="G40" i="5"/>
  <c r="R40" i="5" s="1"/>
  <c r="G7112" i="5"/>
  <c r="R7112" i="5" s="1"/>
  <c r="G6624" i="5"/>
  <c r="R6624" i="5" s="1"/>
  <c r="G4303" i="5"/>
  <c r="R4303" i="5" s="1"/>
  <c r="G5495" i="5"/>
  <c r="R5495" i="5" s="1"/>
  <c r="G7100" i="5"/>
  <c r="R7100" i="5" s="1"/>
  <c r="G6592" i="5"/>
  <c r="R6592" i="5" s="1"/>
  <c r="G5207" i="5"/>
  <c r="R5207" i="5" s="1"/>
  <c r="G4287" i="5"/>
  <c r="R4287" i="5" s="1"/>
  <c r="G7064" i="5"/>
  <c r="R7064" i="5" s="1"/>
  <c r="F462" i="6"/>
  <c r="Q462" i="6" s="1"/>
  <c r="G7757" i="5"/>
  <c r="R7757" i="5" s="1"/>
  <c r="H3594" i="5"/>
  <c r="S3594" i="5" s="1"/>
  <c r="G620" i="5"/>
  <c r="R620" i="5" s="1"/>
  <c r="F115" i="7"/>
  <c r="Q115" i="7" s="1"/>
  <c r="G3911" i="5"/>
  <c r="R3911" i="5" s="1"/>
  <c r="H204" i="5"/>
  <c r="S204" i="5" s="1"/>
  <c r="H4837" i="5"/>
  <c r="S4837" i="5" s="1"/>
  <c r="G6255" i="5"/>
  <c r="R6255" i="5" s="1"/>
  <c r="G5939" i="5"/>
  <c r="R5939" i="5" s="1"/>
  <c r="G950" i="5"/>
  <c r="R950" i="5" s="1"/>
  <c r="G109" i="5"/>
  <c r="R109" i="5" s="1"/>
  <c r="H6552" i="5"/>
  <c r="H5711" i="5"/>
  <c r="G5859" i="5"/>
  <c r="R5859" i="5" s="1"/>
  <c r="G7124" i="5"/>
  <c r="R7124" i="5" s="1"/>
  <c r="F52" i="7"/>
  <c r="Q52" i="7" s="1"/>
  <c r="H4179" i="5"/>
  <c r="F54" i="6"/>
  <c r="Q54" i="6" s="1"/>
  <c r="H4877" i="5"/>
  <c r="S4877" i="5" s="1"/>
  <c r="H3275" i="5"/>
  <c r="S3275" i="5" s="1"/>
  <c r="G7343" i="5"/>
  <c r="R7343" i="5" s="1"/>
  <c r="G5402" i="5"/>
  <c r="R5402" i="5" s="1"/>
  <c r="G5867" i="5"/>
  <c r="R5867" i="5" s="1"/>
  <c r="H222" i="5"/>
  <c r="G4085" i="5"/>
  <c r="R4085" i="5" s="1"/>
  <c r="G6784" i="5"/>
  <c r="R6784" i="5" s="1"/>
  <c r="G7096" i="5"/>
  <c r="R7096" i="5" s="1"/>
  <c r="H3776" i="5"/>
  <c r="S3776" i="5" s="1"/>
  <c r="G246" i="5"/>
  <c r="R246" i="5" s="1"/>
  <c r="G4582" i="5"/>
  <c r="R4582" i="5" s="1"/>
  <c r="G6556" i="5"/>
  <c r="R6556" i="5" s="1"/>
  <c r="G6680" i="5"/>
  <c r="R6680" i="5" s="1"/>
  <c r="H3204" i="5"/>
  <c r="G5899" i="5"/>
  <c r="R5899" i="5" s="1"/>
  <c r="G3387" i="5"/>
  <c r="R3387" i="5" s="1"/>
  <c r="G297" i="5"/>
  <c r="R297" i="5" s="1"/>
  <c r="G477" i="5"/>
  <c r="R477" i="5" s="1"/>
  <c r="G2077" i="5"/>
  <c r="G759" i="5"/>
  <c r="R759" i="5" s="1"/>
  <c r="F371" i="6"/>
  <c r="Q371" i="6" s="1"/>
  <c r="G918" i="5"/>
  <c r="R918" i="5" s="1"/>
  <c r="G3752" i="5"/>
  <c r="R3752" i="5" s="1"/>
  <c r="H467" i="5"/>
  <c r="F198" i="6"/>
  <c r="Q198" i="6" s="1"/>
  <c r="G4040" i="5"/>
  <c r="R4040" i="5" s="1"/>
  <c r="G7977" i="5"/>
  <c r="R7977" i="5" s="1"/>
  <c r="F331" i="6"/>
  <c r="Q331" i="6" s="1"/>
  <c r="F161" i="6"/>
  <c r="Q161" i="6" s="1"/>
  <c r="H3134" i="5"/>
  <c r="G6360" i="5"/>
  <c r="R6360" i="5" s="1"/>
  <c r="G1587" i="5"/>
  <c r="R1587" i="5" s="1"/>
  <c r="G7665" i="5"/>
  <c r="R7665" i="5" s="1"/>
  <c r="H5583" i="5"/>
  <c r="H7190" i="5"/>
  <c r="S7190" i="5" s="1"/>
  <c r="G7925" i="5"/>
  <c r="R7925" i="5" s="1"/>
  <c r="G7833" i="5"/>
  <c r="R7833" i="5" s="1"/>
  <c r="G1093" i="5"/>
  <c r="R1093" i="5" s="1"/>
  <c r="F617" i="6"/>
  <c r="Q617" i="6" s="1"/>
  <c r="F250" i="6"/>
  <c r="Q250" i="6" s="1"/>
  <c r="H2485" i="5"/>
  <c r="S2485" i="5" s="1"/>
  <c r="G2617" i="5"/>
  <c r="R2617" i="5" s="1"/>
  <c r="G5031" i="5"/>
  <c r="R5031" i="5" s="1"/>
  <c r="F14" i="7"/>
  <c r="Q14" i="7" s="1"/>
  <c r="G4410" i="5"/>
  <c r="R4410" i="5" s="1"/>
  <c r="G67" i="5"/>
  <c r="R67" i="5" s="1"/>
  <c r="G5667" i="5"/>
  <c r="R5667" i="5" s="1"/>
  <c r="H6812" i="5"/>
  <c r="F77" i="7"/>
  <c r="Q77" i="7" s="1"/>
  <c r="F483" i="6"/>
  <c r="Q483" i="6" s="1"/>
  <c r="H4972" i="5"/>
  <c r="S4972" i="5" s="1"/>
  <c r="G2240" i="5"/>
  <c r="R2240" i="5" s="1"/>
  <c r="H3391" i="5"/>
  <c r="S3391" i="5" s="1"/>
  <c r="G3084" i="5"/>
  <c r="R3084" i="5" s="1"/>
  <c r="H8085" i="5"/>
  <c r="H6720" i="5"/>
  <c r="H7266" i="5"/>
  <c r="H6804" i="5"/>
  <c r="G7681" i="5"/>
  <c r="R7681" i="5" s="1"/>
  <c r="H6832" i="5"/>
  <c r="H733" i="5"/>
  <c r="G4290" i="5"/>
  <c r="R4290" i="5" s="1"/>
  <c r="G817" i="5"/>
  <c r="R817" i="5" s="1"/>
  <c r="G7677" i="5"/>
  <c r="R7677" i="5" s="1"/>
  <c r="F210" i="6"/>
  <c r="H2799" i="5"/>
  <c r="S2799" i="5" s="1"/>
  <c r="H147" i="5"/>
  <c r="S147" i="5" s="1"/>
  <c r="G5098" i="5"/>
  <c r="R5098" i="5" s="1"/>
  <c r="G8" i="5"/>
  <c r="R8" i="5" s="1"/>
  <c r="G5280" i="5"/>
  <c r="R5280" i="5" s="1"/>
  <c r="G5336" i="5"/>
  <c r="H1525" i="5"/>
  <c r="H6417" i="5"/>
  <c r="S6417" i="5" s="1"/>
  <c r="H5619" i="5"/>
  <c r="G8033" i="5"/>
  <c r="R8033" i="5" s="1"/>
  <c r="H7805" i="5"/>
  <c r="F28" i="7"/>
  <c r="Q28" i="7" s="1"/>
  <c r="G6664" i="5"/>
  <c r="R6664" i="5" s="1"/>
  <c r="F36" i="6"/>
  <c r="Q36" i="6" s="1"/>
  <c r="G2453" i="5"/>
  <c r="R2453" i="5" s="1"/>
  <c r="G1360" i="5"/>
  <c r="R1360" i="5" s="1"/>
  <c r="H2493" i="5"/>
  <c r="S2493" i="5" s="1"/>
  <c r="G5523" i="5"/>
  <c r="R5523" i="5" s="1"/>
  <c r="G7921" i="5"/>
  <c r="R7921" i="5" s="1"/>
  <c r="H4496" i="5"/>
  <c r="S4496" i="5" s="1"/>
  <c r="H6071" i="5"/>
  <c r="S6071" i="5" s="1"/>
  <c r="G324" i="5"/>
  <c r="R324" i="5" s="1"/>
  <c r="G1124" i="5"/>
  <c r="H5911" i="5"/>
  <c r="G6908" i="5"/>
  <c r="R6908" i="5" s="1"/>
  <c r="G332" i="5"/>
  <c r="R332" i="5" s="1"/>
  <c r="G4951" i="5"/>
  <c r="R4951" i="5" s="1"/>
  <c r="G4606" i="5"/>
  <c r="R4606" i="5" s="1"/>
  <c r="G5783" i="5"/>
  <c r="R5783" i="5" s="1"/>
  <c r="G6708" i="5"/>
  <c r="R6708" i="5" s="1"/>
  <c r="H2930" i="5"/>
  <c r="S2930" i="5" s="1"/>
  <c r="G541" i="5"/>
  <c r="R541" i="5" s="1"/>
  <c r="G5803" i="5"/>
  <c r="R5803" i="5" s="1"/>
  <c r="G2804" i="5"/>
  <c r="R2804" i="5" s="1"/>
  <c r="F497" i="6"/>
  <c r="Q497" i="6" s="1"/>
  <c r="G7008" i="5"/>
  <c r="R7008" i="5" s="1"/>
  <c r="H7404" i="5"/>
  <c r="G4313" i="5"/>
  <c r="R4313" i="5" s="1"/>
  <c r="G386" i="5"/>
  <c r="R386" i="5" s="1"/>
  <c r="H5743" i="5"/>
  <c r="H4623" i="5"/>
  <c r="S4623" i="5" s="1"/>
  <c r="G2663" i="5"/>
  <c r="R2663" i="5" s="1"/>
  <c r="H1757" i="5"/>
  <c r="G4067" i="5"/>
  <c r="R4067" i="5" s="1"/>
  <c r="H7262" i="5"/>
  <c r="G6780" i="5"/>
  <c r="R6780" i="5" s="1"/>
  <c r="F117" i="7"/>
  <c r="Q117" i="7" s="1"/>
  <c r="G6700" i="5"/>
  <c r="R6700" i="5" s="1"/>
  <c r="H2973" i="5"/>
  <c r="S2973" i="5" s="1"/>
  <c r="H95" i="5"/>
  <c r="S95" i="5" s="1"/>
  <c r="G3888" i="5"/>
  <c r="R3888" i="5" s="1"/>
  <c r="H404" i="5"/>
  <c r="G5404" i="5"/>
  <c r="R5404" i="5" s="1"/>
  <c r="F333" i="6"/>
  <c r="Q333" i="6" s="1"/>
  <c r="G1558" i="5"/>
  <c r="R1558" i="5" s="1"/>
  <c r="G1338" i="5"/>
  <c r="G739" i="5"/>
  <c r="G2021" i="5"/>
  <c r="G5248" i="5"/>
  <c r="F380" i="6"/>
  <c r="Q380" i="6" s="1"/>
  <c r="H7202" i="5"/>
  <c r="S7202" i="5" s="1"/>
  <c r="G6051" i="5"/>
  <c r="R6051" i="5" s="1"/>
  <c r="H2597" i="5"/>
  <c r="G682" i="5"/>
  <c r="R682" i="5" s="1"/>
  <c r="G5535" i="5"/>
  <c r="R5535" i="5" s="1"/>
  <c r="H6035" i="5"/>
  <c r="G2009" i="5"/>
  <c r="R2009" i="5" s="1"/>
  <c r="H4110" i="5"/>
  <c r="S4110" i="5" s="1"/>
  <c r="G6628" i="5"/>
  <c r="R6628" i="5" s="1"/>
  <c r="G6584" i="5"/>
  <c r="R6584" i="5" s="1"/>
  <c r="G300" i="5"/>
  <c r="R300" i="5" s="1"/>
  <c r="H7841" i="5"/>
  <c r="G7577" i="5"/>
  <c r="R7577" i="5" s="1"/>
  <c r="F86" i="7"/>
  <c r="Q86" i="7" s="1"/>
  <c r="G6864" i="5"/>
  <c r="R6864" i="5" s="1"/>
  <c r="H7416" i="5"/>
  <c r="F349" i="6"/>
  <c r="Q349" i="6" s="1"/>
  <c r="G2267" i="5"/>
  <c r="G2257" i="5"/>
  <c r="G2297" i="5"/>
  <c r="G2241" i="5"/>
  <c r="G2277" i="5"/>
  <c r="G2287" i="5"/>
  <c r="G5115" i="5"/>
  <c r="G2365" i="5"/>
  <c r="G5079" i="5"/>
  <c r="H6007" i="5"/>
  <c r="H7435" i="5"/>
  <c r="G8201" i="5"/>
  <c r="R8201" i="5" s="1"/>
  <c r="G5635" i="5"/>
  <c r="R5635" i="5" s="1"/>
  <c r="G6462" i="5"/>
  <c r="R6462" i="5" s="1"/>
  <c r="G7220" i="5"/>
  <c r="R7220" i="5" s="1"/>
  <c r="G3378" i="5"/>
  <c r="R3378" i="5" s="1"/>
  <c r="H7422" i="5"/>
  <c r="S7422" i="5" s="1"/>
  <c r="H6031" i="5"/>
  <c r="H6425" i="5"/>
  <c r="S6425" i="5" s="1"/>
  <c r="G4318" i="5"/>
  <c r="R4318" i="5" s="1"/>
  <c r="H2425" i="5"/>
  <c r="H5553" i="5"/>
  <c r="G4317" i="5"/>
  <c r="R4317" i="5" s="1"/>
  <c r="H826" i="5"/>
  <c r="G8041" i="5"/>
  <c r="R8041" i="5" s="1"/>
  <c r="G5991" i="5"/>
  <c r="R5991" i="5" s="1"/>
  <c r="G6992" i="5"/>
  <c r="R6992" i="5" s="1"/>
  <c r="G7621" i="5"/>
  <c r="R7621" i="5" s="1"/>
  <c r="G4159" i="5"/>
  <c r="R4159" i="5" s="1"/>
  <c r="G699" i="5"/>
  <c r="G1039" i="5"/>
  <c r="G4263" i="5"/>
  <c r="G6728" i="5"/>
  <c r="R6728" i="5" s="1"/>
  <c r="H5883" i="5"/>
  <c r="H2509" i="5"/>
  <c r="S2509" i="5" s="1"/>
  <c r="G3081" i="5"/>
  <c r="R3081" i="5" s="1"/>
  <c r="G6948" i="5"/>
  <c r="R6948" i="5" s="1"/>
  <c r="H2958" i="5"/>
  <c r="S2958" i="5" s="1"/>
  <c r="G6696" i="5"/>
  <c r="R6696" i="5" s="1"/>
  <c r="G5651" i="5"/>
  <c r="R5651" i="5" s="1"/>
  <c r="H5739" i="5"/>
  <c r="H7166" i="5"/>
  <c r="S7166" i="5" s="1"/>
  <c r="G4632" i="5"/>
  <c r="R4632" i="5" s="1"/>
  <c r="G2235" i="5"/>
  <c r="R2235" i="5" s="1"/>
  <c r="H5547" i="5"/>
  <c r="F494" i="6"/>
  <c r="Q494" i="6" s="1"/>
  <c r="H5529" i="5"/>
  <c r="H5623" i="5"/>
  <c r="G3648" i="5"/>
  <c r="R3648" i="5" s="1"/>
  <c r="G6604" i="5"/>
  <c r="R6604" i="5" s="1"/>
  <c r="G5807" i="5"/>
  <c r="R5807" i="5" s="1"/>
  <c r="G6055" i="5"/>
  <c r="R6055" i="5" s="1"/>
  <c r="G6536" i="5"/>
  <c r="R6536" i="5" s="1"/>
  <c r="H5719" i="5"/>
  <c r="G3893" i="5"/>
  <c r="R3893" i="5" s="1"/>
  <c r="G7973" i="5"/>
  <c r="R7973" i="5" s="1"/>
  <c r="G2537" i="5"/>
  <c r="R2537" i="5" s="1"/>
  <c r="G6520" i="5"/>
  <c r="R6520" i="5" s="1"/>
  <c r="G8049" i="5"/>
  <c r="R8049" i="5" s="1"/>
  <c r="G7633" i="5"/>
  <c r="R7633" i="5" s="1"/>
  <c r="G3723" i="5"/>
  <c r="R3723" i="5" s="1"/>
  <c r="G695" i="5"/>
  <c r="R695" i="5" s="1"/>
  <c r="G3669" i="5"/>
  <c r="R3669" i="5" s="1"/>
  <c r="G4239" i="5"/>
  <c r="R4239" i="5" s="1"/>
  <c r="F44" i="6"/>
  <c r="Q44" i="6" s="1"/>
  <c r="G6636" i="5"/>
  <c r="R6636" i="5" s="1"/>
  <c r="F233" i="6"/>
  <c r="Q233" i="6" s="1"/>
  <c r="H6291" i="5"/>
  <c r="G12" i="5"/>
  <c r="R12" i="5" s="1"/>
  <c r="G7657" i="5"/>
  <c r="R7657" i="5" s="1"/>
  <c r="G2780" i="5"/>
  <c r="R2780" i="5" s="1"/>
  <c r="G256" i="5"/>
  <c r="R256" i="5" s="1"/>
  <c r="F8" i="7"/>
  <c r="Q8" i="7" s="1"/>
  <c r="G4408" i="5"/>
  <c r="R4408" i="5" s="1"/>
  <c r="G6808" i="5"/>
  <c r="R6808" i="5" s="1"/>
  <c r="H2513" i="5"/>
  <c r="S2513" i="5" s="1"/>
  <c r="H807" i="5"/>
  <c r="G1048" i="5"/>
  <c r="G5058" i="5"/>
  <c r="H5541" i="5"/>
  <c r="G2637" i="5"/>
  <c r="R2637" i="5" s="1"/>
  <c r="G2681" i="5"/>
  <c r="R2681" i="5" s="1"/>
  <c r="H2829" i="5"/>
  <c r="S2829" i="5" s="1"/>
  <c r="H2529" i="5"/>
  <c r="S2529" i="5" s="1"/>
  <c r="G999" i="5"/>
  <c r="R999" i="5" s="1"/>
  <c r="G1564" i="5"/>
  <c r="R1564" i="5" s="1"/>
  <c r="G6884" i="5"/>
  <c r="R6884" i="5" s="1"/>
  <c r="H3282" i="5"/>
  <c r="S3282" i="5" s="1"/>
  <c r="F177" i="6"/>
  <c r="Q177" i="6" s="1"/>
  <c r="H6692" i="5"/>
  <c r="G4696" i="5"/>
  <c r="R4696" i="5" s="1"/>
  <c r="G4351" i="5"/>
  <c r="R4351" i="5" s="1"/>
  <c r="G5863" i="5"/>
  <c r="R5863" i="5" s="1"/>
  <c r="F29" i="7"/>
  <c r="Q29" i="7" s="1"/>
  <c r="H35" i="5"/>
  <c r="S35" i="5" s="1"/>
  <c r="G886" i="5"/>
  <c r="R886" i="5" s="1"/>
  <c r="G1320" i="5"/>
  <c r="G5324" i="5"/>
  <c r="G6489" i="5"/>
  <c r="H213" i="5"/>
  <c r="S213" i="5" s="1"/>
  <c r="G457" i="5"/>
  <c r="R457" i="5" s="1"/>
  <c r="G3688" i="5"/>
  <c r="R3688" i="5" s="1"/>
  <c r="G3668" i="5"/>
  <c r="R3668" i="5" s="1"/>
  <c r="H7508" i="5"/>
  <c r="S7508" i="5" s="1"/>
  <c r="G6378" i="5"/>
  <c r="R6378" i="5" s="1"/>
  <c r="G3890" i="5"/>
  <c r="R3890" i="5" s="1"/>
  <c r="H894" i="5"/>
  <c r="S894" i="5" s="1"/>
  <c r="G8181" i="5"/>
  <c r="R8181" i="5" s="1"/>
  <c r="H3567" i="5"/>
  <c r="S3567" i="5" s="1"/>
  <c r="H7857" i="5"/>
  <c r="F30" i="7"/>
  <c r="Q30" i="7" s="1"/>
  <c r="G1203" i="5"/>
  <c r="R1203" i="5" s="1"/>
  <c r="G383" i="5"/>
  <c r="R383" i="5" s="1"/>
  <c r="G7072" i="5"/>
  <c r="R7072" i="5" s="1"/>
  <c r="G1182" i="5"/>
  <c r="H2675" i="5"/>
  <c r="S2675" i="5" s="1"/>
  <c r="G4293" i="5"/>
  <c r="R4293" i="5" s="1"/>
  <c r="G6668" i="5"/>
  <c r="R6668" i="5" s="1"/>
  <c r="G4349" i="5"/>
  <c r="R4349" i="5" s="1"/>
  <c r="G5639" i="5"/>
  <c r="R5639" i="5" s="1"/>
  <c r="H1811" i="5"/>
  <c r="S1811" i="5" s="1"/>
  <c r="G5707" i="5"/>
  <c r="R5707" i="5" s="1"/>
  <c r="G2765" i="5"/>
  <c r="R2765" i="5" s="1"/>
  <c r="G3887" i="5"/>
  <c r="R3887" i="5" s="1"/>
  <c r="G878" i="5"/>
  <c r="R878" i="5" s="1"/>
  <c r="G2729" i="5"/>
  <c r="R2729" i="5" s="1"/>
  <c r="G1347" i="5"/>
  <c r="R1347" i="5" s="1"/>
  <c r="G7881" i="5"/>
  <c r="R7881" i="5" s="1"/>
  <c r="G4989" i="5"/>
  <c r="R4989" i="5" s="1"/>
  <c r="G2541" i="5"/>
  <c r="R2541" i="5" s="1"/>
  <c r="G4342" i="5"/>
  <c r="R4342" i="5" s="1"/>
  <c r="G7258" i="5"/>
  <c r="R7258" i="5" s="1"/>
  <c r="G1404" i="5"/>
  <c r="R1404" i="5" s="1"/>
  <c r="H2179" i="5"/>
  <c r="S2179" i="5" s="1"/>
  <c r="H7290" i="5"/>
  <c r="S7290" i="5" s="1"/>
  <c r="G3866" i="5"/>
  <c r="R3866" i="5" s="1"/>
  <c r="H100" i="5"/>
  <c r="S100" i="5" s="1"/>
  <c r="G3142" i="5"/>
  <c r="R3142" i="5" s="1"/>
  <c r="G5287" i="5"/>
  <c r="R5287" i="5" s="1"/>
  <c r="G4409" i="5"/>
  <c r="R4409" i="5" s="1"/>
  <c r="G564" i="5"/>
  <c r="R564" i="5" s="1"/>
  <c r="G3977" i="5"/>
  <c r="R3977" i="5" s="1"/>
  <c r="H3152" i="5"/>
  <c r="S3152" i="5" s="1"/>
  <c r="G4341" i="5"/>
  <c r="R4341" i="5" s="1"/>
  <c r="G50" i="5"/>
  <c r="R50" i="5" s="1"/>
  <c r="H200" i="5"/>
  <c r="S200" i="5" s="1"/>
  <c r="G1276" i="5"/>
  <c r="R1276" i="5" s="1"/>
  <c r="G6127" i="5"/>
  <c r="R6127" i="5" s="1"/>
  <c r="G1069" i="5"/>
  <c r="R1069" i="5" s="1"/>
  <c r="G7669" i="5"/>
  <c r="R7669" i="5" s="1"/>
  <c r="F431" i="6"/>
  <c r="Q431" i="6" s="1"/>
  <c r="H6828" i="5"/>
  <c r="F535" i="6"/>
  <c r="Q535" i="6" s="1"/>
  <c r="F247" i="6"/>
  <c r="Q247" i="6" s="1"/>
  <c r="G3659" i="5"/>
  <c r="R3659" i="5" s="1"/>
  <c r="H2978" i="5"/>
  <c r="S2978" i="5" s="1"/>
  <c r="G7569" i="5"/>
  <c r="R7569" i="5" s="1"/>
  <c r="H2203" i="5"/>
  <c r="S2203" i="5" s="1"/>
  <c r="G4641" i="5"/>
  <c r="R4641" i="5" s="1"/>
  <c r="H3636" i="5"/>
  <c r="S3636" i="5" s="1"/>
  <c r="G8057" i="5"/>
  <c r="R8057" i="5" s="1"/>
  <c r="H2906" i="5"/>
  <c r="S2906" i="5" s="1"/>
  <c r="G6301" i="5"/>
  <c r="R6301" i="5" s="1"/>
  <c r="G5871" i="5"/>
  <c r="R5871" i="5" s="1"/>
  <c r="G2380" i="5"/>
  <c r="R2380" i="5" s="1"/>
  <c r="H5589" i="5"/>
  <c r="G2211" i="5"/>
  <c r="R2211" i="5" s="1"/>
  <c r="G1248" i="5"/>
  <c r="R1248" i="5" s="1"/>
  <c r="G7877" i="5"/>
  <c r="R7877" i="5" s="1"/>
  <c r="F528" i="6"/>
  <c r="Q528" i="6" s="1"/>
  <c r="H6496" i="5"/>
  <c r="F218" i="6"/>
  <c r="Q218" i="6" s="1"/>
  <c r="H5595" i="5"/>
  <c r="F556" i="6"/>
  <c r="Q556" i="6" s="1"/>
  <c r="F542" i="6"/>
  <c r="Q542" i="6" s="1"/>
  <c r="G2147" i="5"/>
  <c r="R2147" i="5" s="1"/>
  <c r="G7713" i="5"/>
  <c r="R7713" i="5" s="1"/>
  <c r="H3352" i="5"/>
  <c r="S3352" i="5" s="1"/>
  <c r="G2469" i="5"/>
  <c r="R2469" i="5" s="1"/>
  <c r="G5675" i="5"/>
  <c r="R5675" i="5" s="1"/>
  <c r="H1901" i="5"/>
  <c r="S1901" i="5" s="1"/>
  <c r="G3217" i="5"/>
  <c r="R3217" i="5" s="1"/>
  <c r="H2693" i="5"/>
  <c r="S2693" i="5" s="1"/>
  <c r="G962" i="5"/>
  <c r="R962" i="5" s="1"/>
  <c r="G540" i="5"/>
  <c r="R540" i="5" s="1"/>
  <c r="G6980" i="5"/>
  <c r="R6980" i="5" s="1"/>
  <c r="G7825" i="5"/>
  <c r="R7825" i="5" s="1"/>
  <c r="G3889" i="5"/>
  <c r="R3889" i="5" s="1"/>
  <c r="G2613" i="5"/>
  <c r="R2613" i="5" s="1"/>
  <c r="G2385" i="5"/>
  <c r="R2385" i="5" s="1"/>
  <c r="G2053" i="5"/>
  <c r="R2053" i="5" s="1"/>
  <c r="F235" i="6"/>
  <c r="Q235" i="6" s="1"/>
  <c r="G6564" i="5"/>
  <c r="R6564" i="5" s="1"/>
  <c r="G7561" i="5"/>
  <c r="R7561" i="5" s="1"/>
  <c r="G6003" i="5"/>
  <c r="R6003" i="5" s="1"/>
  <c r="G7837" i="5"/>
  <c r="R7837" i="5" s="1"/>
  <c r="G4338" i="5"/>
  <c r="R4338" i="5" s="1"/>
  <c r="G6988" i="5"/>
  <c r="R6988" i="5" s="1"/>
  <c r="G2497" i="5"/>
  <c r="R2497" i="5" s="1"/>
  <c r="G5823" i="5"/>
  <c r="R5823" i="5" s="1"/>
  <c r="G7216" i="5"/>
  <c r="R7216" i="5" s="1"/>
  <c r="H2687" i="5"/>
  <c r="S2687" i="5" s="1"/>
  <c r="G7585" i="5"/>
  <c r="R7585" i="5" s="1"/>
  <c r="G6676" i="5"/>
  <c r="R6676" i="5" s="1"/>
  <c r="F55" i="6"/>
  <c r="Q55" i="6" s="1"/>
  <c r="F344" i="6"/>
  <c r="Q344" i="6" s="1"/>
  <c r="G7565" i="5"/>
  <c r="R7565" i="5" s="1"/>
  <c r="H2983" i="5"/>
  <c r="S2983" i="5" s="1"/>
  <c r="G3216" i="5"/>
  <c r="R3216" i="5" s="1"/>
  <c r="G6712" i="5"/>
  <c r="R6712" i="5" s="1"/>
  <c r="H1685" i="5"/>
  <c r="S1685" i="5" s="1"/>
  <c r="G5759" i="5"/>
  <c r="R5759" i="5" s="1"/>
  <c r="G170" i="5"/>
  <c r="R170" i="5" s="1"/>
  <c r="G7270" i="5"/>
  <c r="R7270" i="5" s="1"/>
  <c r="H6684" i="5"/>
  <c r="G6976" i="5"/>
  <c r="R6976" i="5" s="1"/>
  <c r="F290" i="6"/>
  <c r="Q290" i="6" s="1"/>
  <c r="G2605" i="5"/>
  <c r="R2605" i="5" s="1"/>
  <c r="G6652" i="5"/>
  <c r="R6652" i="5" s="1"/>
  <c r="G7725" i="5"/>
  <c r="R7725" i="5" s="1"/>
  <c r="G3399" i="5"/>
  <c r="R3399" i="5" s="1"/>
  <c r="G7965" i="5"/>
  <c r="R7965" i="5" s="1"/>
  <c r="G6315" i="5"/>
  <c r="R6315" i="5" s="1"/>
  <c r="F44" i="7"/>
  <c r="Q44" i="7" s="1"/>
  <c r="G5679" i="5"/>
  <c r="R5679" i="5" s="1"/>
  <c r="H7310" i="5"/>
  <c r="G5205" i="5"/>
  <c r="R5205" i="5" s="1"/>
  <c r="G7953" i="5"/>
  <c r="R7953" i="5" s="1"/>
  <c r="G7068" i="5"/>
  <c r="R7068" i="5" s="1"/>
  <c r="H5723" i="5"/>
  <c r="F132" i="7"/>
  <c r="G1552" i="5"/>
  <c r="R1552" i="5" s="1"/>
  <c r="G4983" i="5"/>
  <c r="R4983" i="5" s="1"/>
  <c r="H6019" i="5"/>
  <c r="F183" i="6"/>
  <c r="Q183" i="6" s="1"/>
  <c r="F33" i="6"/>
  <c r="Q33" i="6" s="1"/>
  <c r="G8045" i="5"/>
  <c r="R8045" i="5" s="1"/>
  <c r="F149" i="6"/>
  <c r="Q149" i="6" s="1"/>
  <c r="G5815" i="5"/>
  <c r="R5815" i="5" s="1"/>
  <c r="G2653" i="5"/>
  <c r="R2653" i="5" s="1"/>
  <c r="G329" i="5"/>
  <c r="R329" i="5" s="1"/>
  <c r="G1175" i="5"/>
  <c r="G1692" i="5"/>
  <c r="G6482" i="5"/>
  <c r="G2581" i="5"/>
  <c r="R2581" i="5" s="1"/>
  <c r="H266" i="5"/>
  <c r="G6868" i="5"/>
  <c r="R6868" i="5" s="1"/>
  <c r="G80" i="5"/>
  <c r="R80" i="5" s="1"/>
  <c r="G6568" i="5"/>
  <c r="R6568" i="5" s="1"/>
  <c r="G7120" i="5"/>
  <c r="R7120" i="5" s="1"/>
  <c r="G5851" i="5"/>
  <c r="R5851" i="5" s="1"/>
  <c r="G5995" i="5"/>
  <c r="R5995" i="5" s="1"/>
  <c r="G1154" i="5"/>
  <c r="R1154" i="5" s="1"/>
  <c r="G7379" i="5"/>
  <c r="R7379" i="5" s="1"/>
  <c r="G4762" i="5"/>
  <c r="R4762" i="5" s="1"/>
  <c r="G6468" i="5"/>
  <c r="R6468" i="5" s="1"/>
  <c r="G2318" i="5"/>
  <c r="R2318" i="5" s="1"/>
  <c r="G8153" i="5"/>
  <c r="R8153" i="5" s="1"/>
  <c r="H2187" i="5"/>
  <c r="S2187" i="5" s="1"/>
  <c r="G5293" i="5"/>
  <c r="R5293" i="5" s="1"/>
  <c r="G7957" i="5"/>
  <c r="R7957" i="5" s="1"/>
  <c r="H7410" i="5"/>
  <c r="G7865" i="5"/>
  <c r="R7865" i="5" s="1"/>
  <c r="G26" i="5"/>
  <c r="R26" i="5" s="1"/>
  <c r="G6560" i="5"/>
  <c r="R6560" i="5" s="1"/>
  <c r="G7212" i="5"/>
  <c r="R7212" i="5" s="1"/>
  <c r="G6461" i="5"/>
  <c r="R6461" i="5" s="1"/>
  <c r="G2699" i="5"/>
  <c r="R2699" i="5" s="1"/>
  <c r="H4438" i="5"/>
  <c r="S4438" i="5" s="1"/>
  <c r="G1739" i="5"/>
  <c r="G3261" i="5"/>
  <c r="G7144" i="5"/>
  <c r="R7144" i="5" s="1"/>
  <c r="F41" i="7"/>
  <c r="Q41" i="7" s="1"/>
  <c r="H6824" i="5"/>
  <c r="H651" i="5"/>
  <c r="S651" i="5" s="1"/>
  <c r="H3788" i="5"/>
  <c r="S3788" i="5" s="1"/>
  <c r="H182" i="5"/>
  <c r="S182" i="5" s="1"/>
  <c r="G516" i="5"/>
  <c r="R516" i="5" s="1"/>
  <c r="G6528" i="5"/>
  <c r="R6528" i="5" s="1"/>
  <c r="F219" i="6"/>
  <c r="Q219" i="6" s="1"/>
  <c r="G2441" i="5"/>
  <c r="R2441" i="5" s="1"/>
  <c r="G7040" i="5"/>
  <c r="R7040" i="5" s="1"/>
  <c r="F580" i="6"/>
  <c r="Q580" i="6" s="1"/>
  <c r="F536" i="6"/>
  <c r="Q536" i="6" s="1"/>
  <c r="G6632" i="5"/>
  <c r="R6632" i="5" s="1"/>
  <c r="G3700" i="5"/>
  <c r="R3700" i="5" s="1"/>
  <c r="G6300" i="5"/>
  <c r="R6300" i="5" s="1"/>
  <c r="G916" i="5"/>
  <c r="R916" i="5" s="1"/>
  <c r="H2517" i="5"/>
  <c r="S2517" i="5" s="1"/>
  <c r="G2123" i="5"/>
  <c r="R2123" i="5" s="1"/>
  <c r="H2601" i="5"/>
  <c r="H717" i="5"/>
  <c r="G2991" i="5"/>
  <c r="R2991" i="5" s="1"/>
  <c r="G4346" i="5"/>
  <c r="R4346" i="5" s="1"/>
  <c r="G4248" i="5"/>
  <c r="R4248" i="5" s="1"/>
  <c r="H2657" i="5"/>
  <c r="S2657" i="5" s="1"/>
  <c r="H5903" i="5"/>
  <c r="G1557" i="5"/>
  <c r="R1557" i="5" s="1"/>
  <c r="H726" i="5"/>
  <c r="G2421" i="5"/>
  <c r="R2421" i="5" s="1"/>
  <c r="G5466" i="5"/>
  <c r="R5466" i="5" s="1"/>
  <c r="G8125" i="5"/>
  <c r="R8125" i="5" s="1"/>
  <c r="F508" i="6"/>
  <c r="Q508" i="6" s="1"/>
  <c r="H8077" i="5"/>
  <c r="G7108" i="5"/>
  <c r="R7108" i="5" s="1"/>
  <c r="G7589" i="5"/>
  <c r="R7589" i="5" s="1"/>
  <c r="F447" i="6"/>
  <c r="Q447" i="6" s="1"/>
  <c r="G4288" i="5"/>
  <c r="R4288" i="5" s="1"/>
  <c r="H2814" i="5"/>
  <c r="S2814" i="5" s="1"/>
  <c r="G7937" i="5"/>
  <c r="R7937" i="5" s="1"/>
  <c r="F348" i="6"/>
  <c r="Q348" i="6" s="1"/>
  <c r="G4482" i="5"/>
  <c r="R4482" i="5" s="1"/>
  <c r="G5935" i="5"/>
  <c r="R5935" i="5" s="1"/>
  <c r="G4215" i="5"/>
  <c r="R4215" i="5" s="1"/>
  <c r="G7949" i="5"/>
  <c r="R7949" i="5" s="1"/>
  <c r="G6244" i="5"/>
  <c r="R6244" i="5" s="1"/>
  <c r="G1593" i="5"/>
  <c r="R1593" i="5" s="1"/>
  <c r="G7573" i="5"/>
  <c r="R7573" i="5" s="1"/>
  <c r="H7294" i="5"/>
  <c r="G7821" i="5"/>
  <c r="R7821" i="5" s="1"/>
  <c r="F90" i="6"/>
  <c r="Q90" i="6" s="1"/>
  <c r="F110" i="6"/>
  <c r="Q110" i="6" s="1"/>
  <c r="F452" i="6"/>
  <c r="Q452" i="6" s="1"/>
  <c r="F171" i="6"/>
  <c r="Q171" i="6" s="1"/>
  <c r="H6892" i="5"/>
  <c r="H2705" i="5"/>
  <c r="S2705" i="5" s="1"/>
  <c r="H7282" i="5"/>
  <c r="S7282" i="5" s="1"/>
  <c r="G6620" i="5"/>
  <c r="R6620" i="5" s="1"/>
  <c r="G7116" i="5"/>
  <c r="R7116" i="5" s="1"/>
  <c r="H4746" i="5"/>
  <c r="G7609" i="5"/>
  <c r="R7609" i="5" s="1"/>
  <c r="F118" i="7"/>
  <c r="Q118" i="7" s="1"/>
  <c r="G4598" i="5"/>
  <c r="R4598" i="5" s="1"/>
  <c r="G2465" i="5"/>
  <c r="R2465" i="5" s="1"/>
  <c r="G2545" i="5"/>
  <c r="R2545" i="5" s="1"/>
  <c r="H4716" i="5"/>
  <c r="G6103" i="5"/>
  <c r="R6103" i="5" s="1"/>
  <c r="H5601" i="5"/>
  <c r="H3425" i="5"/>
  <c r="S3425" i="5" s="1"/>
  <c r="G6940" i="5"/>
  <c r="R6940" i="5" s="1"/>
  <c r="H6067" i="5"/>
  <c r="G4557" i="5"/>
  <c r="R4557" i="5" s="1"/>
  <c r="G2461" i="5"/>
  <c r="R2461" i="5" s="1"/>
  <c r="G5517" i="5"/>
  <c r="R5517" i="5" s="1"/>
  <c r="G2217" i="5"/>
  <c r="R2217" i="5" s="1"/>
  <c r="G344" i="5"/>
  <c r="R344" i="5" s="1"/>
  <c r="G3631" i="5"/>
  <c r="R3631" i="5" s="1"/>
  <c r="G6776" i="5"/>
  <c r="R6776" i="5" s="1"/>
  <c r="G3766" i="5"/>
  <c r="R3766" i="5" s="1"/>
  <c r="G4027" i="5"/>
  <c r="R4027" i="5" s="1"/>
  <c r="G5643" i="5"/>
  <c r="R5643" i="5" s="1"/>
  <c r="G4788" i="5"/>
  <c r="R4788" i="5" s="1"/>
  <c r="G4091" i="5"/>
  <c r="R4091" i="5" s="1"/>
  <c r="H7769" i="5"/>
  <c r="G7318" i="5"/>
  <c r="R7318" i="5" s="1"/>
  <c r="G4271" i="5"/>
  <c r="R4271" i="5" s="1"/>
  <c r="G1055" i="5"/>
  <c r="G3163" i="5"/>
  <c r="F379" i="6"/>
  <c r="Q379" i="6" s="1"/>
  <c r="H2871" i="5"/>
  <c r="S2871" i="5" s="1"/>
  <c r="G5204" i="5"/>
  <c r="R5204" i="5" s="1"/>
  <c r="G5225" i="5"/>
  <c r="R5225" i="5" s="1"/>
  <c r="G235" i="5"/>
  <c r="R235" i="5" s="1"/>
  <c r="H6580" i="5"/>
  <c r="G7605" i="5"/>
  <c r="R7605" i="5" s="1"/>
  <c r="G7997" i="5"/>
  <c r="R7997" i="5" s="1"/>
  <c r="G5839" i="5"/>
  <c r="R5839" i="5" s="1"/>
  <c r="H659" i="5"/>
  <c r="S659" i="5" s="1"/>
  <c r="G2433" i="5"/>
  <c r="R2433" i="5" s="1"/>
  <c r="G2457" i="5"/>
  <c r="R2457" i="5" s="1"/>
  <c r="H7084" i="5"/>
  <c r="F518" i="6"/>
  <c r="Q518" i="6" s="1"/>
  <c r="F463" i="6"/>
  <c r="Q463" i="6" s="1"/>
  <c r="G3865" i="5"/>
  <c r="R3865" i="5" s="1"/>
  <c r="H8089" i="5"/>
  <c r="G7597" i="5"/>
  <c r="R7597" i="5" s="1"/>
  <c r="G6644" i="5"/>
  <c r="R6644" i="5" s="1"/>
  <c r="F445" i="6"/>
  <c r="Q445" i="6" s="1"/>
  <c r="H2938" i="5"/>
  <c r="S2938" i="5" s="1"/>
  <c r="G2989" i="5"/>
  <c r="R2989" i="5" s="1"/>
  <c r="G5975" i="5"/>
  <c r="R5975" i="5" s="1"/>
  <c r="G582" i="5"/>
  <c r="G1717" i="5"/>
  <c r="G5318" i="5"/>
  <c r="H3435" i="5"/>
  <c r="S3435" i="5" s="1"/>
  <c r="G3248" i="5"/>
  <c r="R3248" i="5" s="1"/>
  <c r="G7016" i="5"/>
  <c r="R7016" i="5" s="1"/>
  <c r="H7358" i="5"/>
  <c r="S7358" i="5" s="1"/>
  <c r="H5607" i="5"/>
  <c r="G5855" i="5"/>
  <c r="R5855" i="5" s="1"/>
  <c r="G3703" i="5"/>
  <c r="R3703" i="5" s="1"/>
  <c r="G7761" i="5"/>
  <c r="R7761" i="5" s="1"/>
  <c r="G6099" i="5"/>
  <c r="R6099" i="5" s="1"/>
  <c r="H6900" i="5"/>
  <c r="G8223" i="5"/>
  <c r="R8223" i="5" s="1"/>
  <c r="G4031" i="5"/>
  <c r="R4031" i="5" s="1"/>
  <c r="G6640" i="5"/>
  <c r="R6640" i="5" s="1"/>
  <c r="F343" i="6"/>
  <c r="Q343" i="6" s="1"/>
  <c r="G6363" i="5"/>
  <c r="R6363" i="5" s="1"/>
  <c r="G3666" i="5"/>
  <c r="R3666" i="5" s="1"/>
  <c r="G6540" i="5"/>
  <c r="R6540" i="5" s="1"/>
  <c r="G1592" i="5"/>
  <c r="R1592" i="5" s="1"/>
  <c r="H6421" i="5"/>
  <c r="S6421" i="5" s="1"/>
  <c r="G6840" i="5"/>
  <c r="R6840" i="5" s="1"/>
  <c r="G572" i="5"/>
  <c r="G1119" i="5"/>
  <c r="G3984" i="5"/>
  <c r="F189" i="6"/>
  <c r="H6083" i="5"/>
  <c r="H4821" i="5"/>
  <c r="S4821" i="5" s="1"/>
  <c r="G4742" i="5"/>
  <c r="R4742" i="5" s="1"/>
  <c r="G989" i="5"/>
  <c r="R989" i="5" s="1"/>
  <c r="H6576" i="5"/>
  <c r="F66" i="7"/>
  <c r="Q66" i="7" s="1"/>
  <c r="F20" i="7"/>
  <c r="Q20" i="7" s="1"/>
  <c r="G16" i="5"/>
  <c r="R16" i="5" s="1"/>
  <c r="F178" i="6"/>
  <c r="Q178" i="6" s="1"/>
  <c r="G501" i="5"/>
  <c r="R501" i="5" s="1"/>
  <c r="F51" i="7"/>
  <c r="Q51" i="7" s="1"/>
  <c r="G294" i="5"/>
  <c r="R294" i="5" s="1"/>
  <c r="G105" i="5"/>
  <c r="R105" i="5" s="1"/>
  <c r="F34" i="6"/>
  <c r="Q34" i="6" s="1"/>
  <c r="H3806" i="5"/>
  <c r="S3806" i="5" s="1"/>
  <c r="H7347" i="5"/>
  <c r="G4097" i="5"/>
  <c r="R4097" i="5" s="1"/>
  <c r="G5847" i="5"/>
  <c r="R5847" i="5" s="1"/>
  <c r="G6848" i="5"/>
  <c r="R6848" i="5" s="1"/>
  <c r="G6932" i="5"/>
  <c r="R6932" i="5" s="1"/>
  <c r="G7060" i="5"/>
  <c r="R7060" i="5" s="1"/>
  <c r="H5727" i="5"/>
  <c r="H4781" i="5"/>
  <c r="S4781" i="5" s="1"/>
  <c r="H6408" i="5"/>
  <c r="S6408" i="5" s="1"/>
  <c r="G245" i="5"/>
  <c r="R245" i="5" s="1"/>
  <c r="H2489" i="5"/>
  <c r="S2489" i="5" s="1"/>
  <c r="H7032" i="5"/>
  <c r="F558" i="6"/>
  <c r="Q558" i="6" s="1"/>
  <c r="H279" i="5"/>
  <c r="G5787" i="5"/>
  <c r="R5787" i="5" s="1"/>
  <c r="G6788" i="5"/>
  <c r="R6788" i="5" s="1"/>
  <c r="H85" i="5"/>
  <c r="S85" i="5" s="1"/>
  <c r="H2304" i="5"/>
  <c r="H4869" i="5"/>
  <c r="S4869" i="5" s="1"/>
  <c r="G689" i="5"/>
  <c r="R689" i="5" s="1"/>
  <c r="G6544" i="5"/>
  <c r="R6544" i="5" s="1"/>
  <c r="G7140" i="5"/>
  <c r="R7140" i="5" s="1"/>
  <c r="G3170" i="5"/>
  <c r="R3170" i="5" s="1"/>
  <c r="G1543" i="5"/>
  <c r="R1543" i="5" s="1"/>
  <c r="G835" i="5"/>
  <c r="R835" i="5" s="1"/>
  <c r="H7274" i="5"/>
  <c r="G2139" i="5"/>
  <c r="R2139" i="5" s="1"/>
  <c r="G208" i="5"/>
  <c r="R208" i="5" s="1"/>
  <c r="G1282" i="5"/>
  <c r="G3943" i="5"/>
  <c r="H5369" i="5"/>
  <c r="S5369" i="5" s="1"/>
  <c r="H747" i="5"/>
  <c r="H6401" i="5"/>
  <c r="G2641" i="5"/>
  <c r="R2641" i="5" s="1"/>
  <c r="G4250" i="5"/>
  <c r="R4250" i="5" s="1"/>
  <c r="G7717" i="5"/>
  <c r="R7717" i="5" s="1"/>
  <c r="F461" i="6"/>
  <c r="Q461" i="6" s="1"/>
  <c r="G4430" i="5"/>
  <c r="R4430" i="5" s="1"/>
  <c r="G4347" i="5"/>
  <c r="R4347" i="5" s="1"/>
  <c r="G8061" i="5"/>
  <c r="R8061" i="5" s="1"/>
  <c r="G933" i="5"/>
  <c r="R933" i="5" s="1"/>
  <c r="G6732" i="5"/>
  <c r="R6732" i="5" s="1"/>
  <c r="G2749" i="5"/>
  <c r="R2749" i="5" s="1"/>
  <c r="H4231" i="5"/>
  <c r="H1085" i="5"/>
  <c r="F465" i="6"/>
  <c r="Q465" i="6" s="1"/>
  <c r="G4218" i="5"/>
  <c r="R4218" i="5" s="1"/>
  <c r="H2565" i="5"/>
  <c r="S2565" i="5" s="1"/>
  <c r="G5751" i="5"/>
  <c r="R5751" i="5" s="1"/>
  <c r="G942" i="5"/>
  <c r="R942" i="5" s="1"/>
  <c r="G4191" i="5"/>
  <c r="R4191" i="5" s="1"/>
  <c r="G4657" i="5"/>
  <c r="R4657" i="5" s="1"/>
  <c r="G4034" i="5"/>
  <c r="R4034" i="5" s="1"/>
  <c r="G5963" i="5"/>
  <c r="R5963" i="5" s="1"/>
  <c r="G8025" i="5"/>
  <c r="R8025" i="5" s="1"/>
  <c r="G374" i="5"/>
  <c r="R374" i="5" s="1"/>
  <c r="G1010" i="5"/>
  <c r="G5174" i="5"/>
  <c r="G4895" i="5"/>
  <c r="F3292" i="8"/>
  <c r="I3292" i="8"/>
  <c r="H3292" i="8"/>
  <c r="F3471" i="8"/>
  <c r="I3471" i="8"/>
  <c r="H3471" i="8"/>
  <c r="F3431" i="8"/>
  <c r="H3431" i="8"/>
  <c r="I3431" i="8"/>
  <c r="F3239" i="8"/>
  <c r="I3239" i="8"/>
  <c r="H3239" i="8"/>
  <c r="F3156" i="8"/>
  <c r="H3156" i="8"/>
  <c r="I3156" i="8"/>
  <c r="F3144" i="8"/>
  <c r="H3144" i="8"/>
  <c r="I3144" i="8"/>
  <c r="F3232" i="8"/>
  <c r="I3232" i="8"/>
  <c r="H3232" i="8"/>
  <c r="F3290" i="8"/>
  <c r="H3290" i="8"/>
  <c r="I3290" i="8"/>
  <c r="F3140" i="8"/>
  <c r="H3140" i="8"/>
  <c r="I3140" i="8"/>
  <c r="F3216" i="8"/>
  <c r="H3216" i="8"/>
  <c r="I3216" i="8"/>
  <c r="F3429" i="8"/>
  <c r="H3429" i="8"/>
  <c r="I3429" i="8"/>
  <c r="F3288" i="8"/>
  <c r="H3288" i="8"/>
  <c r="I3288" i="8"/>
  <c r="F3152" i="8"/>
  <c r="I3152" i="8"/>
  <c r="H3152" i="8"/>
  <c r="F3473" i="8"/>
  <c r="H3473" i="8"/>
  <c r="I3473" i="8"/>
  <c r="F3148" i="8"/>
  <c r="I3148" i="8"/>
  <c r="H3148" i="8"/>
  <c r="F3180" i="8"/>
  <c r="H3180" i="8"/>
  <c r="I3180" i="8"/>
  <c r="F3174" i="8"/>
  <c r="I3174" i="8"/>
  <c r="H3174" i="8"/>
  <c r="F3182" i="8"/>
  <c r="I3182" i="8"/>
  <c r="H3182" i="8"/>
  <c r="F3178" i="8"/>
  <c r="H3178" i="8"/>
  <c r="I3178" i="8"/>
  <c r="F3114" i="8"/>
  <c r="I3114" i="8"/>
  <c r="H3114" i="8"/>
  <c r="F3184" i="8"/>
  <c r="I3184" i="8"/>
  <c r="H3184" i="8"/>
  <c r="F3085" i="8"/>
  <c r="I3085" i="8"/>
  <c r="H3085" i="8"/>
  <c r="F3279" i="8"/>
  <c r="H3279" i="8"/>
  <c r="I3279" i="8"/>
  <c r="F3209" i="8"/>
  <c r="H3209" i="8"/>
  <c r="I3209" i="8"/>
  <c r="F3112" i="8"/>
  <c r="H3112" i="8"/>
  <c r="I3112" i="8"/>
  <c r="F3425" i="8"/>
  <c r="I3425" i="8"/>
  <c r="H3425" i="8"/>
  <c r="G188" i="6" l="1"/>
  <c r="R188" i="6" s="1"/>
  <c r="Q189" i="6"/>
  <c r="G210" i="6"/>
  <c r="R210" i="6" s="1"/>
  <c r="Q210" i="6"/>
  <c r="G193" i="6"/>
  <c r="R193" i="6" s="1"/>
  <c r="Q193" i="6"/>
  <c r="G597" i="6"/>
  <c r="R597" i="6" s="1"/>
  <c r="Q598" i="6"/>
  <c r="G131" i="7"/>
  <c r="R131" i="7" s="1"/>
  <c r="Q132" i="7"/>
  <c r="G126" i="7"/>
  <c r="R126" i="7" s="1"/>
  <c r="Q127" i="7"/>
  <c r="G137" i="7"/>
  <c r="R137" i="7" s="1"/>
  <c r="Q138" i="7"/>
  <c r="E3220" i="8"/>
  <c r="S7274" i="5"/>
  <c r="E371" i="8"/>
  <c r="S2304" i="5"/>
  <c r="E2100" i="8"/>
  <c r="S6083" i="5"/>
  <c r="E1880" i="8"/>
  <c r="S5903" i="5"/>
  <c r="E1817" i="8"/>
  <c r="S5739" i="5"/>
  <c r="E3433" i="8"/>
  <c r="S8085" i="5"/>
  <c r="E3264" i="8"/>
  <c r="S7441" i="5"/>
  <c r="E1888" i="8"/>
  <c r="S5927" i="5"/>
  <c r="E1874" i="8"/>
  <c r="S5891" i="5"/>
  <c r="E1231" i="8"/>
  <c r="S4766" i="5"/>
  <c r="E3018" i="8"/>
  <c r="S7012" i="5"/>
  <c r="E2695" i="8"/>
  <c r="S6430" i="5"/>
  <c r="E3230" i="8"/>
  <c r="F3230" i="8" s="1"/>
  <c r="S7298" i="5"/>
  <c r="E2088" i="8"/>
  <c r="S6063" i="5"/>
  <c r="E2616" i="8"/>
  <c r="S6335" i="5"/>
  <c r="E2683" i="8"/>
  <c r="S6401" i="5"/>
  <c r="E3249" i="8"/>
  <c r="S7347" i="5"/>
  <c r="E1183" i="8"/>
  <c r="S4716" i="5"/>
  <c r="E3427" i="8"/>
  <c r="S8077" i="5"/>
  <c r="E2907" i="8"/>
  <c r="S6828" i="5"/>
  <c r="E1415" i="8"/>
  <c r="S5541" i="5"/>
  <c r="E1499" i="8"/>
  <c r="S5623" i="5"/>
  <c r="E153" i="8"/>
  <c r="S826" i="5"/>
  <c r="E3211" i="8"/>
  <c r="S7262" i="5"/>
  <c r="E3258" i="8"/>
  <c r="S7404" i="5"/>
  <c r="E913" i="8"/>
  <c r="S3134" i="5"/>
  <c r="E924" i="8"/>
  <c r="S3204" i="5"/>
  <c r="E1118" i="8"/>
  <c r="S4179" i="5"/>
  <c r="E1921" i="8"/>
  <c r="S6011" i="5"/>
  <c r="E1419" i="8"/>
  <c r="S5565" i="5"/>
  <c r="E588" i="8"/>
  <c r="S2645" i="5"/>
  <c r="E2706" i="8"/>
  <c r="S6447" i="5"/>
  <c r="E2315" i="8"/>
  <c r="S6119" i="5"/>
  <c r="E377" i="8"/>
  <c r="S2342" i="5"/>
  <c r="E3026" i="8"/>
  <c r="S7036" i="5"/>
  <c r="E3137" i="8"/>
  <c r="S7236" i="5"/>
  <c r="E2937" i="8"/>
  <c r="S6896" i="5"/>
  <c r="E159" i="8"/>
  <c r="S859" i="5"/>
  <c r="E3257" i="8"/>
  <c r="S7398" i="5"/>
  <c r="E3368" i="8"/>
  <c r="S7845" i="5"/>
  <c r="E476" i="8"/>
  <c r="S2445" i="5"/>
  <c r="E2938" i="8"/>
  <c r="S6900" i="5"/>
  <c r="E143" i="8"/>
  <c r="S747" i="5"/>
  <c r="E3434" i="8"/>
  <c r="S8089" i="5"/>
  <c r="E3228" i="8"/>
  <c r="S7294" i="5"/>
  <c r="E2868" i="8"/>
  <c r="S6684" i="5"/>
  <c r="E1413" i="8"/>
  <c r="S5529" i="5"/>
  <c r="E3260" i="8"/>
  <c r="S7416" i="5"/>
  <c r="E92" i="8"/>
  <c r="S404" i="5"/>
  <c r="E135" i="8"/>
  <c r="S733" i="5"/>
  <c r="E50" i="8"/>
  <c r="S222" i="5"/>
  <c r="E1815" i="8"/>
  <c r="S5731" i="5"/>
  <c r="E3237" i="8"/>
  <c r="S7314" i="5"/>
  <c r="E3267" i="8"/>
  <c r="S7462" i="5"/>
  <c r="E2753" i="8"/>
  <c r="S6548" i="5"/>
  <c r="E2707" i="8"/>
  <c r="S6452" i="5"/>
  <c r="E249" i="8"/>
  <c r="S1513" i="5"/>
  <c r="E3380" i="8"/>
  <c r="S7893" i="5"/>
  <c r="E1274" i="8"/>
  <c r="S4995" i="5"/>
  <c r="E2333" i="8"/>
  <c r="S6123" i="5"/>
  <c r="E1421" i="8"/>
  <c r="S5577" i="5"/>
  <c r="E1408" i="8"/>
  <c r="S5499" i="5"/>
  <c r="E2742" i="8"/>
  <c r="S6524" i="5"/>
  <c r="E1814" i="8"/>
  <c r="S5727" i="5"/>
  <c r="E3259" i="8"/>
  <c r="S7410" i="5"/>
  <c r="E78" i="8"/>
  <c r="S266" i="5"/>
  <c r="E1813" i="8"/>
  <c r="S5723" i="5"/>
  <c r="E1423" i="8"/>
  <c r="S5589" i="5"/>
  <c r="E3371" i="8"/>
  <c r="S7857" i="5"/>
  <c r="E1812" i="8"/>
  <c r="S5719" i="5"/>
  <c r="E1417" i="8"/>
  <c r="S5553" i="5"/>
  <c r="E284" i="8"/>
  <c r="S1757" i="5"/>
  <c r="E3358" i="8"/>
  <c r="S7805" i="5"/>
  <c r="E2908" i="8"/>
  <c r="S6832" i="5"/>
  <c r="E2869" i="8"/>
  <c r="S6688" i="5"/>
  <c r="E2905" i="8"/>
  <c r="S6820" i="5"/>
  <c r="E2612" i="8"/>
  <c r="S6283" i="5"/>
  <c r="E3379" i="8"/>
  <c r="S7889" i="5"/>
  <c r="E1819" i="8"/>
  <c r="S5747" i="5"/>
  <c r="E1409" i="8"/>
  <c r="S5505" i="5"/>
  <c r="E3426" i="8"/>
  <c r="S8073" i="5"/>
  <c r="E3480" i="8"/>
  <c r="S8191" i="5"/>
  <c r="E2618" i="8"/>
  <c r="S6354" i="5"/>
  <c r="E2725" i="8"/>
  <c r="S6504" i="5"/>
  <c r="E3235" i="8"/>
  <c r="S7306" i="5"/>
  <c r="E2603" i="8"/>
  <c r="S6223" i="5"/>
  <c r="E80" i="8"/>
  <c r="S279" i="5"/>
  <c r="E2813" i="8"/>
  <c r="S6576" i="5"/>
  <c r="E1426" i="8"/>
  <c r="S5607" i="5"/>
  <c r="E2087" i="8"/>
  <c r="S6067" i="5"/>
  <c r="E2936" i="8"/>
  <c r="S6892" i="5"/>
  <c r="E1424" i="8"/>
  <c r="S5595" i="5"/>
  <c r="E150" i="8"/>
  <c r="S807" i="5"/>
  <c r="E1416" i="8"/>
  <c r="S5547" i="5"/>
  <c r="E421" i="8"/>
  <c r="S2425" i="5"/>
  <c r="E1930" i="8"/>
  <c r="S6035" i="5"/>
  <c r="E1420" i="8"/>
  <c r="S5571" i="5"/>
  <c r="E2096" i="8"/>
  <c r="S6075" i="5"/>
  <c r="E1427" i="8"/>
  <c r="S5613" i="5"/>
  <c r="E250" i="8"/>
  <c r="S1519" i="5"/>
  <c r="E34" i="8"/>
  <c r="S142" i="5"/>
  <c r="E1816" i="8"/>
  <c r="S5735" i="5"/>
  <c r="E108" i="8"/>
  <c r="S534" i="5"/>
  <c r="E38" i="8"/>
  <c r="S164" i="5"/>
  <c r="E194" i="8"/>
  <c r="S1085" i="5"/>
  <c r="E2814" i="8"/>
  <c r="S6580" i="5"/>
  <c r="E133" i="8"/>
  <c r="S717" i="5"/>
  <c r="E2613" i="8"/>
  <c r="S6291" i="5"/>
  <c r="E1493" i="8"/>
  <c r="S5619" i="5"/>
  <c r="E2900" i="8"/>
  <c r="S6804" i="5"/>
  <c r="E1422" i="8"/>
  <c r="S5583" i="5"/>
  <c r="E1607" i="8"/>
  <c r="S5711" i="5"/>
  <c r="E253" i="8"/>
  <c r="S1537" i="5"/>
  <c r="E149" i="8"/>
  <c r="S793" i="5"/>
  <c r="E2623" i="8"/>
  <c r="S6395" i="5"/>
  <c r="E477" i="8"/>
  <c r="S2449" i="5"/>
  <c r="E473" i="8"/>
  <c r="S2437" i="5"/>
  <c r="E2876" i="8"/>
  <c r="S6716" i="5"/>
  <c r="E146" i="8"/>
  <c r="S769" i="5"/>
  <c r="E201" i="8"/>
  <c r="S1135" i="5"/>
  <c r="E1876" i="8"/>
  <c r="S5895" i="5"/>
  <c r="E3460" i="8"/>
  <c r="S8145" i="5"/>
  <c r="E3383" i="8"/>
  <c r="S7905" i="5"/>
  <c r="E3311" i="8"/>
  <c r="S7617" i="5"/>
  <c r="E579" i="8"/>
  <c r="S2609" i="5"/>
  <c r="E585" i="8"/>
  <c r="S2633" i="5"/>
  <c r="E1130" i="8"/>
  <c r="S4256" i="5"/>
  <c r="E29" i="8"/>
  <c r="S119" i="5"/>
  <c r="E3234" i="8"/>
  <c r="S7302" i="5"/>
  <c r="E1126" i="8"/>
  <c r="S4231" i="5"/>
  <c r="E3025" i="8"/>
  <c r="S7032" i="5"/>
  <c r="E3038" i="8"/>
  <c r="S7084" i="5"/>
  <c r="E134" i="8"/>
  <c r="S726" i="5"/>
  <c r="E577" i="8"/>
  <c r="S2601" i="5"/>
  <c r="E2722" i="8"/>
  <c r="S6496" i="5"/>
  <c r="E3263" i="8"/>
  <c r="S7435" i="5"/>
  <c r="E3367" i="8"/>
  <c r="S7841" i="5"/>
  <c r="E1818" i="8"/>
  <c r="S5743" i="5"/>
  <c r="E1884" i="8"/>
  <c r="S5911" i="5"/>
  <c r="E3212" i="8"/>
  <c r="S7266" i="5"/>
  <c r="E2757" i="8"/>
  <c r="S6552" i="5"/>
  <c r="E81" i="8"/>
  <c r="S286" i="5"/>
  <c r="E3050" i="8"/>
  <c r="S7132" i="5"/>
  <c r="E1241" i="8"/>
  <c r="S4796" i="5"/>
  <c r="E3024" i="8"/>
  <c r="S7028" i="5"/>
  <c r="E1886" i="8"/>
  <c r="S5919" i="5"/>
  <c r="E1074" i="8"/>
  <c r="S3937" i="5"/>
  <c r="E2617" i="8"/>
  <c r="S6345" i="5"/>
  <c r="E1873" i="8"/>
  <c r="S5887" i="5"/>
  <c r="E3424" i="8"/>
  <c r="S8069" i="5"/>
  <c r="E2812" i="8"/>
  <c r="S6572" i="5"/>
  <c r="E1410" i="8"/>
  <c r="S5511" i="5"/>
  <c r="E93" i="8"/>
  <c r="S418" i="5"/>
  <c r="E1922" i="8"/>
  <c r="S6015" i="5"/>
  <c r="E37" i="8"/>
  <c r="S157" i="5"/>
  <c r="E1073" i="8"/>
  <c r="S3931" i="5"/>
  <c r="E2816" i="8"/>
  <c r="S6588" i="5"/>
  <c r="E14" i="8"/>
  <c r="S45" i="5"/>
  <c r="E2923" i="8"/>
  <c r="S6852" i="5"/>
  <c r="E1177" i="8"/>
  <c r="S4663" i="5"/>
  <c r="E3349" i="8"/>
  <c r="S7769" i="5"/>
  <c r="E1425" i="8"/>
  <c r="S5601" i="5"/>
  <c r="E1210" i="8"/>
  <c r="S4746" i="5"/>
  <c r="E2906" i="8"/>
  <c r="S6824" i="5"/>
  <c r="E1923" i="8"/>
  <c r="S6019" i="5"/>
  <c r="E3236" i="8"/>
  <c r="S7310" i="5"/>
  <c r="E2870" i="8"/>
  <c r="S6692" i="5"/>
  <c r="E1872" i="8"/>
  <c r="S5883" i="5"/>
  <c r="E1928" i="8"/>
  <c r="S6031" i="5"/>
  <c r="E1920" i="8"/>
  <c r="S6007" i="5"/>
  <c r="E576" i="8"/>
  <c r="S2597" i="5"/>
  <c r="E251" i="8"/>
  <c r="S1525" i="5"/>
  <c r="E2877" i="8"/>
  <c r="S6720" i="5"/>
  <c r="E2902" i="8"/>
  <c r="S6812" i="5"/>
  <c r="E99" i="8"/>
  <c r="S467" i="5"/>
  <c r="E1418" i="8"/>
  <c r="S5559" i="5"/>
  <c r="E1286" i="8"/>
  <c r="S5043" i="5"/>
  <c r="E1926" i="8"/>
  <c r="S6027" i="5"/>
  <c r="E1333" i="8"/>
  <c r="S5234" i="5"/>
  <c r="E2991" i="8"/>
  <c r="S6956" i="5"/>
  <c r="E43" i="8"/>
  <c r="S186" i="5"/>
  <c r="E36" i="8"/>
  <c r="S152" i="5"/>
  <c r="E252" i="8"/>
  <c r="S1531" i="5"/>
  <c r="E1924" i="8"/>
  <c r="S6023" i="5"/>
  <c r="E3392" i="8"/>
  <c r="S7941" i="5"/>
  <c r="E1278" i="8"/>
  <c r="S5021" i="5"/>
  <c r="E17" i="8"/>
  <c r="S62" i="5"/>
  <c r="E1361" i="8"/>
  <c r="E3251" i="8"/>
  <c r="E872" i="8"/>
  <c r="E716" i="8"/>
  <c r="E977" i="8"/>
  <c r="E880" i="8"/>
  <c r="E897" i="8"/>
  <c r="E124" i="8"/>
  <c r="E983" i="8"/>
  <c r="E3097" i="8"/>
  <c r="E316" i="8"/>
  <c r="E849" i="8"/>
  <c r="E871" i="8"/>
  <c r="E313" i="8"/>
  <c r="E516" i="8"/>
  <c r="E1142" i="8"/>
  <c r="E974" i="8"/>
  <c r="E992" i="8"/>
  <c r="E2384" i="8"/>
  <c r="E2687" i="8"/>
  <c r="E719" i="8"/>
  <c r="E48" i="8"/>
  <c r="E24" i="8"/>
  <c r="E507" i="8"/>
  <c r="E1038" i="8"/>
  <c r="E934" i="8"/>
  <c r="E1250" i="8"/>
  <c r="E874" i="8"/>
  <c r="E298" i="8"/>
  <c r="E3095" i="8"/>
  <c r="E715" i="8"/>
  <c r="E852" i="8"/>
  <c r="E923" i="8"/>
  <c r="E1041" i="8"/>
  <c r="E154" i="8"/>
  <c r="E1249" i="8"/>
  <c r="E857" i="8"/>
  <c r="E1107" i="8"/>
  <c r="E51" i="8"/>
  <c r="E315" i="8"/>
  <c r="E873" i="8"/>
  <c r="E11" i="8"/>
  <c r="E876" i="8"/>
  <c r="E1254" i="8"/>
  <c r="E508" i="8"/>
  <c r="E1248" i="8"/>
  <c r="E962" i="8"/>
  <c r="E721" i="8"/>
  <c r="E276" i="8"/>
  <c r="E988" i="8"/>
  <c r="E45" i="8"/>
  <c r="E164" i="8"/>
  <c r="E518" i="8"/>
  <c r="E514" i="8"/>
  <c r="E883" i="8"/>
  <c r="E1172" i="8"/>
  <c r="E509" i="8"/>
  <c r="E1255" i="8"/>
  <c r="E46" i="8"/>
  <c r="E939" i="8"/>
  <c r="E30" i="8"/>
  <c r="E3089" i="8"/>
  <c r="E1252" i="8"/>
  <c r="E1276" i="8"/>
  <c r="E583" i="8"/>
  <c r="E1017" i="8"/>
  <c r="E982" i="8"/>
  <c r="E965" i="8"/>
  <c r="E160" i="8"/>
  <c r="E1178" i="8"/>
  <c r="E31" i="8"/>
  <c r="E1042" i="8"/>
  <c r="E3250" i="8"/>
  <c r="E2597" i="8"/>
  <c r="E964" i="8"/>
  <c r="E42" i="8"/>
  <c r="E718" i="8"/>
  <c r="E314" i="8"/>
  <c r="E25" i="8"/>
  <c r="E299" i="8"/>
  <c r="E858" i="8"/>
  <c r="E513" i="8"/>
  <c r="E2694" i="8"/>
  <c r="E956" i="8"/>
  <c r="E32" i="8"/>
  <c r="E961" i="8"/>
  <c r="E941" i="8"/>
  <c r="E356" i="8"/>
  <c r="E122" i="8"/>
  <c r="E515" i="8"/>
  <c r="E571" i="8"/>
  <c r="E22" i="8"/>
  <c r="E2684" i="8"/>
  <c r="E125" i="8"/>
  <c r="E866" i="8"/>
  <c r="E713" i="8"/>
  <c r="E1040" i="8"/>
  <c r="E3092" i="8"/>
  <c r="E875" i="8"/>
  <c r="E2686" i="8"/>
  <c r="E917" i="8"/>
  <c r="E1154" i="8"/>
  <c r="E166" i="8"/>
  <c r="E512" i="8"/>
  <c r="E722" i="8"/>
  <c r="E41" i="8"/>
  <c r="E2598" i="8"/>
  <c r="E569" i="8"/>
  <c r="E1045" i="8"/>
  <c r="E519" i="8"/>
  <c r="E123" i="8"/>
  <c r="E1148" i="8"/>
  <c r="E885" i="8"/>
  <c r="E359" i="8"/>
  <c r="E916" i="8"/>
  <c r="E3227" i="8"/>
  <c r="E3283" i="8"/>
  <c r="E3261" i="8"/>
  <c r="E35" i="8"/>
  <c r="E1270" i="8"/>
  <c r="E881" i="8"/>
  <c r="E940" i="8"/>
  <c r="E899" i="8"/>
  <c r="E570" i="8"/>
  <c r="E2685" i="8"/>
  <c r="E23" i="8"/>
  <c r="E1289" i="8"/>
  <c r="E2696" i="8"/>
  <c r="E937" i="8"/>
  <c r="E505" i="8"/>
  <c r="E1039" i="8"/>
  <c r="E933" i="8"/>
  <c r="E1253" i="8"/>
  <c r="E947" i="8"/>
  <c r="E354" i="8"/>
  <c r="E935" i="8"/>
  <c r="E3098" i="8"/>
  <c r="E853" i="8"/>
  <c r="E981" i="8"/>
  <c r="E3094" i="8"/>
  <c r="E900" i="8"/>
  <c r="E1283" i="8"/>
  <c r="E870" i="8"/>
  <c r="E957" i="8"/>
  <c r="E936" i="8"/>
  <c r="E938" i="8"/>
  <c r="E567" i="8"/>
  <c r="E1190" i="8"/>
  <c r="E859" i="8"/>
  <c r="E1238" i="8"/>
  <c r="E1043" i="8"/>
  <c r="E855" i="8"/>
  <c r="E3225" i="8"/>
  <c r="E355" i="8"/>
  <c r="E884" i="8"/>
  <c r="E12" i="8"/>
  <c r="E1109" i="8"/>
  <c r="E1156" i="8"/>
  <c r="E3096" i="8"/>
  <c r="E1044" i="8"/>
  <c r="E2599" i="8"/>
  <c r="E2604" i="8"/>
  <c r="E1143" i="8"/>
  <c r="E517" i="8"/>
  <c r="E1251" i="8"/>
  <c r="E1144" i="8"/>
  <c r="E1275" i="8"/>
  <c r="E506" i="8"/>
  <c r="E3090" i="8"/>
  <c r="E33" i="8"/>
  <c r="E856" i="8"/>
  <c r="E40" i="8"/>
  <c r="E975" i="8"/>
  <c r="H7331" i="5"/>
  <c r="G8217" i="5"/>
  <c r="H8217" i="5" s="1"/>
  <c r="H3174" i="5"/>
  <c r="S3174" i="5" s="1"/>
  <c r="H870" i="5"/>
  <c r="S870" i="5" s="1"/>
  <c r="G1224" i="5"/>
  <c r="G23" i="6"/>
  <c r="R23" i="6" s="1"/>
  <c r="G566" i="6"/>
  <c r="R566" i="6" s="1"/>
  <c r="H5410" i="5"/>
  <c r="S5410" i="5" s="1"/>
  <c r="H1161" i="5"/>
  <c r="S1161" i="5" s="1"/>
  <c r="G7249" i="5"/>
  <c r="H5104" i="5"/>
  <c r="S5104" i="5" s="1"/>
  <c r="G626" i="6"/>
  <c r="R626" i="6" s="1"/>
  <c r="G4904" i="5"/>
  <c r="H4904" i="5" s="1"/>
  <c r="S4904" i="5" s="1"/>
  <c r="G6475" i="5"/>
  <c r="G3579" i="5"/>
  <c r="G13" i="7"/>
  <c r="R13" i="7" s="1"/>
  <c r="G7448" i="5"/>
  <c r="H3856" i="5"/>
  <c r="H1015" i="5"/>
  <c r="S1015" i="5" s="1"/>
  <c r="G8" i="7"/>
  <c r="R8" i="7" s="1"/>
  <c r="H1994" i="5"/>
  <c r="S1994" i="5" s="1"/>
  <c r="H4567" i="5"/>
  <c r="H4418" i="5"/>
  <c r="S4418" i="5" s="1"/>
  <c r="H2115" i="5"/>
  <c r="H2788" i="5"/>
  <c r="S2788" i="5" s="1"/>
  <c r="H169" i="5"/>
  <c r="H842" i="5"/>
  <c r="S842" i="5" s="1"/>
  <c r="H4518" i="5"/>
  <c r="S4518" i="5" s="1"/>
  <c r="H1255" i="5"/>
  <c r="S1255" i="5" s="1"/>
  <c r="H3146" i="5"/>
  <c r="S3146" i="5" s="1"/>
  <c r="H2222" i="5"/>
  <c r="S2222" i="5" s="1"/>
  <c r="H2208" i="5"/>
  <c r="S2208" i="5" s="1"/>
  <c r="H3140" i="5"/>
  <c r="S3140" i="5" s="1"/>
  <c r="H4704" i="5"/>
  <c r="H243" i="5"/>
  <c r="S243" i="5" s="1"/>
  <c r="G29" i="6"/>
  <c r="R29" i="6" s="1"/>
  <c r="H7427" i="5"/>
  <c r="H2121" i="5"/>
  <c r="S2121" i="5" s="1"/>
  <c r="H1217" i="5"/>
  <c r="G182" i="6"/>
  <c r="R182" i="6" s="1"/>
  <c r="H3751" i="5"/>
  <c r="S3751" i="5" s="1"/>
  <c r="G38" i="7"/>
  <c r="R38" i="7" s="1"/>
  <c r="H932" i="5"/>
  <c r="H941" i="5"/>
  <c r="S941" i="5" s="1"/>
  <c r="H4695" i="5"/>
  <c r="H1401" i="5"/>
  <c r="S1401" i="5" s="1"/>
  <c r="G384" i="6"/>
  <c r="R384" i="6" s="1"/>
  <c r="H8153" i="5"/>
  <c r="S8153" i="5" s="1"/>
  <c r="H1154" i="5"/>
  <c r="S1154" i="5" s="1"/>
  <c r="H7725" i="5"/>
  <c r="S7725" i="5" s="1"/>
  <c r="H5639" i="5"/>
  <c r="S5639" i="5" s="1"/>
  <c r="H4408" i="5"/>
  <c r="S4408" i="5" s="1"/>
  <c r="H4239" i="5"/>
  <c r="S4239" i="5" s="1"/>
  <c r="H5079" i="5"/>
  <c r="S5079" i="5" s="1"/>
  <c r="H6584" i="5"/>
  <c r="S6584" i="5" s="1"/>
  <c r="H6780" i="5"/>
  <c r="S6780" i="5" s="1"/>
  <c r="H5783" i="5"/>
  <c r="S5783" i="5" s="1"/>
  <c r="H7833" i="5"/>
  <c r="S7833" i="5" s="1"/>
  <c r="H4040" i="5"/>
  <c r="S4040" i="5" s="1"/>
  <c r="H5939" i="5"/>
  <c r="S5939" i="5" s="1"/>
  <c r="H7064" i="5"/>
  <c r="S7064" i="5" s="1"/>
  <c r="H7100" i="5"/>
  <c r="S7100" i="5" s="1"/>
  <c r="H6440" i="5"/>
  <c r="S6440" i="5" s="1"/>
  <c r="H6972" i="5"/>
  <c r="S6972" i="5" s="1"/>
  <c r="H3626" i="5"/>
  <c r="S3626" i="5" s="1"/>
  <c r="H2311" i="5"/>
  <c r="S2311" i="5" s="1"/>
  <c r="H7913" i="5"/>
  <c r="S7913" i="5" s="1"/>
  <c r="H5715" i="5"/>
  <c r="S5715" i="5" s="1"/>
  <c r="H8161" i="5"/>
  <c r="S8161" i="5" s="1"/>
  <c r="H6836" i="5"/>
  <c r="S6836" i="5" s="1"/>
  <c r="H8065" i="5"/>
  <c r="S8065" i="5" s="1"/>
  <c r="H2254" i="5"/>
  <c r="S2254" i="5" s="1"/>
  <c r="H5091" i="5"/>
  <c r="S5091" i="5" s="1"/>
  <c r="H5951" i="5"/>
  <c r="S5951" i="5" s="1"/>
  <c r="H6924" i="5"/>
  <c r="S6924" i="5" s="1"/>
  <c r="H6724" i="5"/>
  <c r="S6724" i="5" s="1"/>
  <c r="F408" i="6"/>
  <c r="Q408" i="6" s="1"/>
  <c r="H7753" i="5"/>
  <c r="S7753" i="5" s="1"/>
  <c r="F82" i="6"/>
  <c r="Q82" i="6" s="1"/>
  <c r="H368" i="5"/>
  <c r="S368" i="5" s="1"/>
  <c r="H6904" i="5"/>
  <c r="S6904" i="5" s="1"/>
  <c r="H7745" i="5"/>
  <c r="S7745" i="5" s="1"/>
  <c r="F271" i="6"/>
  <c r="H5791" i="5"/>
  <c r="S5791" i="5" s="1"/>
  <c r="H6952" i="5"/>
  <c r="S6952" i="5" s="1"/>
  <c r="H8157" i="5"/>
  <c r="S8157" i="5" s="1"/>
  <c r="H5687" i="5"/>
  <c r="S5687" i="5" s="1"/>
  <c r="H2741" i="5"/>
  <c r="S2741" i="5" s="1"/>
  <c r="H8149" i="5"/>
  <c r="S8149" i="5" s="1"/>
  <c r="H4720" i="5"/>
  <c r="H5947" i="5"/>
  <c r="S5947" i="5" s="1"/>
  <c r="H6760" i="5"/>
  <c r="S6760" i="5" s="1"/>
  <c r="H925" i="5"/>
  <c r="S925" i="5" s="1"/>
  <c r="H8213" i="5"/>
  <c r="S8213" i="5" s="1"/>
  <c r="H8141" i="5"/>
  <c r="S8141" i="5" s="1"/>
  <c r="H7901" i="5"/>
  <c r="S7901" i="5" s="1"/>
  <c r="H2501" i="5"/>
  <c r="H8117" i="5"/>
  <c r="S8117" i="5" s="1"/>
  <c r="G3483" i="5"/>
  <c r="H4183" i="5"/>
  <c r="S4183" i="5" s="1"/>
  <c r="H6648" i="5"/>
  <c r="S6648" i="5" s="1"/>
  <c r="H2274" i="5"/>
  <c r="S2274" i="5" s="1"/>
  <c r="H7553" i="5"/>
  <c r="S7553" i="5" s="1"/>
  <c r="G7485" i="5"/>
  <c r="H3824" i="5"/>
  <c r="F296" i="6"/>
  <c r="H7933" i="5"/>
  <c r="S7933" i="5" s="1"/>
  <c r="H2378" i="5"/>
  <c r="H2133" i="5"/>
  <c r="H7797" i="5"/>
  <c r="S7797" i="5" s="1"/>
  <c r="H6796" i="5"/>
  <c r="S6796" i="5" s="1"/>
  <c r="H5811" i="5"/>
  <c r="S5811" i="5" s="1"/>
  <c r="H8133" i="5"/>
  <c r="S8133" i="5" s="1"/>
  <c r="H7737" i="5"/>
  <c r="S7737" i="5" s="1"/>
  <c r="H3382" i="5"/>
  <c r="S3382" i="5" s="1"/>
  <c r="H2409" i="5"/>
  <c r="S2409" i="5" s="1"/>
  <c r="H4476" i="5"/>
  <c r="S4476" i="5" s="1"/>
  <c r="H7781" i="5"/>
  <c r="S7781" i="5" s="1"/>
  <c r="H4758" i="5"/>
  <c r="S4758" i="5" s="1"/>
  <c r="H3646" i="5"/>
  <c r="S3646" i="5" s="1"/>
  <c r="H6608" i="5"/>
  <c r="S6608" i="5" s="1"/>
  <c r="H7625" i="5"/>
  <c r="S7625" i="5" s="1"/>
  <c r="G1571" i="5"/>
  <c r="R1571" i="5" s="1"/>
  <c r="G4197" i="5"/>
  <c r="G1730" i="5"/>
  <c r="G599" i="5"/>
  <c r="G976" i="5"/>
  <c r="G7254" i="5"/>
  <c r="G7244" i="5"/>
  <c r="G3742" i="5"/>
  <c r="G2336" i="5"/>
  <c r="H1010" i="5"/>
  <c r="H4097" i="5"/>
  <c r="S4097" i="5" s="1"/>
  <c r="H572" i="5"/>
  <c r="S572" i="5" s="1"/>
  <c r="H6540" i="5"/>
  <c r="S6540" i="5" s="1"/>
  <c r="H6099" i="5"/>
  <c r="S6099" i="5" s="1"/>
  <c r="H2545" i="5"/>
  <c r="S2545" i="5" s="1"/>
  <c r="H7116" i="5"/>
  <c r="S7116" i="5" s="1"/>
  <c r="H8125" i="5"/>
  <c r="S8125" i="5" s="1"/>
  <c r="H916" i="5"/>
  <c r="S916" i="5" s="1"/>
  <c r="H7957" i="5"/>
  <c r="S7957" i="5" s="1"/>
  <c r="H5815" i="5"/>
  <c r="S5815" i="5" s="1"/>
  <c r="H6712" i="5"/>
  <c r="S6712" i="5" s="1"/>
  <c r="H540" i="5"/>
  <c r="S540" i="5" s="1"/>
  <c r="H7569" i="5"/>
  <c r="S7569" i="5" s="1"/>
  <c r="H6127" i="5"/>
  <c r="S6127" i="5" s="1"/>
  <c r="H7881" i="5"/>
  <c r="S7881" i="5" s="1"/>
  <c r="H1320" i="5"/>
  <c r="S1320" i="5" s="1"/>
  <c r="G176" i="6"/>
  <c r="R176" i="6" s="1"/>
  <c r="H1039" i="5"/>
  <c r="S1039" i="5" s="1"/>
  <c r="H7621" i="5"/>
  <c r="S7621" i="5" s="1"/>
  <c r="H8041" i="5"/>
  <c r="S8041" i="5" s="1"/>
  <c r="H3865" i="5"/>
  <c r="S3865" i="5" s="1"/>
  <c r="H5839" i="5"/>
  <c r="S5839" i="5" s="1"/>
  <c r="H7605" i="5"/>
  <c r="S7605" i="5" s="1"/>
  <c r="H3163" i="5"/>
  <c r="H5643" i="5"/>
  <c r="S5643" i="5" s="1"/>
  <c r="H2461" i="5"/>
  <c r="S2461" i="5" s="1"/>
  <c r="H5935" i="5"/>
  <c r="S5935" i="5" s="1"/>
  <c r="H7108" i="5"/>
  <c r="S7108" i="5" s="1"/>
  <c r="H2699" i="5"/>
  <c r="H1692" i="5"/>
  <c r="S1692" i="5" s="1"/>
  <c r="H4983" i="5"/>
  <c r="S4983" i="5" s="1"/>
  <c r="H7068" i="5"/>
  <c r="S7068" i="5" s="1"/>
  <c r="H6976" i="5"/>
  <c r="S6976" i="5" s="1"/>
  <c r="H8222" i="5"/>
  <c r="S8222" i="5" s="1"/>
  <c r="H6676" i="5"/>
  <c r="S6676" i="5" s="1"/>
  <c r="H2497" i="5"/>
  <c r="S2497" i="5" s="1"/>
  <c r="H7377" i="5"/>
  <c r="H2469" i="5"/>
  <c r="S2469" i="5" s="1"/>
  <c r="H50" i="5"/>
  <c r="S50" i="5" s="1"/>
  <c r="H7072" i="5"/>
  <c r="S7072" i="5" s="1"/>
  <c r="H457" i="5"/>
  <c r="S457" i="5" s="1"/>
  <c r="H5863" i="5"/>
  <c r="S5863" i="5" s="1"/>
  <c r="H6884" i="5"/>
  <c r="S6884" i="5" s="1"/>
  <c r="H2637" i="5"/>
  <c r="S2637" i="5" s="1"/>
  <c r="H6604" i="5"/>
  <c r="S6604" i="5" s="1"/>
  <c r="H6051" i="5"/>
  <c r="S6051" i="5" s="1"/>
  <c r="H1338" i="5"/>
  <c r="S1338" i="5" s="1"/>
  <c r="F365" i="6"/>
  <c r="Q365" i="6" s="1"/>
  <c r="H5523" i="5"/>
  <c r="S5523" i="5" s="1"/>
  <c r="H5336" i="5"/>
  <c r="S5336" i="5" s="1"/>
  <c r="H5031" i="5"/>
  <c r="S5031" i="5" s="1"/>
  <c r="H7665" i="5"/>
  <c r="S7665" i="5" s="1"/>
  <c r="H2127" i="5"/>
  <c r="H7112" i="5"/>
  <c r="S7112" i="5" s="1"/>
  <c r="H6532" i="5"/>
  <c r="S6532" i="5" s="1"/>
  <c r="H25" i="5"/>
  <c r="S25" i="5" s="1"/>
  <c r="H853" i="5"/>
  <c r="S853" i="5" s="1"/>
  <c r="H7052" i="5"/>
  <c r="S7052" i="5" s="1"/>
  <c r="H6672" i="5"/>
  <c r="S6672" i="5" s="1"/>
  <c r="H821" i="5"/>
  <c r="S821" i="5" s="1"/>
  <c r="H8113" i="5"/>
  <c r="S8113" i="5" s="1"/>
  <c r="H3240" i="5"/>
  <c r="S3240" i="5" s="1"/>
  <c r="H6612" i="5"/>
  <c r="S6612" i="5" s="1"/>
  <c r="H7741" i="5"/>
  <c r="S7741" i="5" s="1"/>
  <c r="H6736" i="5"/>
  <c r="S6736" i="5" s="1"/>
  <c r="H4247" i="5"/>
  <c r="S4247" i="5" s="1"/>
  <c r="H7685" i="5"/>
  <c r="S7685" i="5" s="1"/>
  <c r="H5683" i="5"/>
  <c r="S5683" i="5" s="1"/>
  <c r="F109" i="6"/>
  <c r="H7697" i="5"/>
  <c r="S7697" i="5" s="1"/>
  <c r="H1750" i="5"/>
  <c r="H2737" i="5"/>
  <c r="S2737" i="5" s="1"/>
  <c r="H5691" i="5"/>
  <c r="S5691" i="5" s="1"/>
  <c r="H2778" i="5"/>
  <c r="S2778" i="5" s="1"/>
  <c r="H6876" i="5"/>
  <c r="S6876" i="5" s="1"/>
  <c r="F342" i="6"/>
  <c r="Q342" i="6" s="1"/>
  <c r="H7339" i="5"/>
  <c r="H6768" i="5"/>
  <c r="S6768" i="5" s="1"/>
  <c r="H7325" i="5"/>
  <c r="S7325" i="5" s="1"/>
  <c r="G170" i="6"/>
  <c r="R170" i="6" s="1"/>
  <c r="H5983" i="5"/>
  <c r="S5983" i="5" s="1"/>
  <c r="H7885" i="5"/>
  <c r="S7885" i="5" s="1"/>
  <c r="H6968" i="5"/>
  <c r="S6968" i="5" s="1"/>
  <c r="H5647" i="5"/>
  <c r="S5647" i="5" s="1"/>
  <c r="H507" i="5"/>
  <c r="H7092" i="5"/>
  <c r="S7092" i="5" s="1"/>
  <c r="H2745" i="5"/>
  <c r="S2745" i="5" s="1"/>
  <c r="H1622" i="5"/>
  <c r="S1622" i="5" s="1"/>
  <c r="G621" i="6"/>
  <c r="R621" i="6" s="1"/>
  <c r="H5631" i="5"/>
  <c r="S5631" i="5" s="1"/>
  <c r="H2045" i="5"/>
  <c r="S2045" i="5" s="1"/>
  <c r="H8009" i="5"/>
  <c r="S8009" i="5" s="1"/>
  <c r="H2264" i="5"/>
  <c r="S2264" i="5" s="1"/>
  <c r="H7981" i="5"/>
  <c r="S7981" i="5" s="1"/>
  <c r="G4544" i="5"/>
  <c r="G1719" i="5"/>
  <c r="G4885" i="5"/>
  <c r="G3950" i="5"/>
  <c r="G1111" i="5"/>
  <c r="H6640" i="5"/>
  <c r="S6640" i="5" s="1"/>
  <c r="G5395" i="5"/>
  <c r="H2541" i="5"/>
  <c r="S2541" i="5" s="1"/>
  <c r="H2765" i="5"/>
  <c r="S2765" i="5" s="1"/>
  <c r="H5707" i="5"/>
  <c r="S5707" i="5" s="1"/>
  <c r="H886" i="5"/>
  <c r="S886" i="5" s="1"/>
  <c r="F150" i="6"/>
  <c r="Q150" i="6" s="1"/>
  <c r="H6808" i="5"/>
  <c r="S6808" i="5" s="1"/>
  <c r="H6636" i="5"/>
  <c r="S6636" i="5" s="1"/>
  <c r="H3723" i="5"/>
  <c r="S3723" i="5" s="1"/>
  <c r="H8049" i="5"/>
  <c r="S8049" i="5" s="1"/>
  <c r="H6536" i="5"/>
  <c r="S6536" i="5" s="1"/>
  <c r="H6055" i="5"/>
  <c r="S6055" i="5" s="1"/>
  <c r="H5807" i="5"/>
  <c r="S5807" i="5" s="1"/>
  <c r="H6948" i="5"/>
  <c r="S6948" i="5" s="1"/>
  <c r="H6728" i="5"/>
  <c r="S6728" i="5" s="1"/>
  <c r="H6992" i="5"/>
  <c r="S6992" i="5" s="1"/>
  <c r="G520" i="5"/>
  <c r="H6628" i="5"/>
  <c r="S6628" i="5" s="1"/>
  <c r="H5803" i="5"/>
  <c r="S5803" i="5" s="1"/>
  <c r="H6708" i="5"/>
  <c r="S6708" i="5" s="1"/>
  <c r="H4606" i="5"/>
  <c r="S4606" i="5" s="1"/>
  <c r="H4951" i="5"/>
  <c r="S4951" i="5" s="1"/>
  <c r="H7925" i="5"/>
  <c r="S7925" i="5" s="1"/>
  <c r="H6680" i="5"/>
  <c r="S6680" i="5" s="1"/>
  <c r="H7096" i="5"/>
  <c r="S7096" i="5" s="1"/>
  <c r="H5402" i="5"/>
  <c r="S5402" i="5" s="1"/>
  <c r="H7124" i="5"/>
  <c r="S7124" i="5" s="1"/>
  <c r="H7757" i="5"/>
  <c r="S7757" i="5" s="1"/>
  <c r="H7056" i="5"/>
  <c r="S7056" i="5" s="1"/>
  <c r="H4049" i="5"/>
  <c r="S4049" i="5" s="1"/>
  <c r="H6131" i="5"/>
  <c r="S6131" i="5" s="1"/>
  <c r="F19" i="7"/>
  <c r="Q19" i="7" s="1"/>
  <c r="H1616" i="5"/>
  <c r="S1616" i="5" s="1"/>
  <c r="H8037" i="5"/>
  <c r="S8037" i="5" s="1"/>
  <c r="H7629" i="5"/>
  <c r="S7629" i="5" s="1"/>
  <c r="H6960" i="5"/>
  <c r="S6960" i="5" s="1"/>
  <c r="H8013" i="5"/>
  <c r="S8013" i="5" s="1"/>
  <c r="H758" i="5"/>
  <c r="S758" i="5" s="1"/>
  <c r="H5907" i="5"/>
  <c r="S5907" i="5" s="1"/>
  <c r="H8097" i="5"/>
  <c r="S8097" i="5" s="1"/>
  <c r="H7661" i="5"/>
  <c r="S7661" i="5" s="1"/>
  <c r="H7873" i="5"/>
  <c r="S7873" i="5" s="1"/>
  <c r="H2429" i="5"/>
  <c r="S2429" i="5" s="1"/>
  <c r="H2753" i="5"/>
  <c r="S2753" i="5" s="1"/>
  <c r="H7853" i="5"/>
  <c r="S7853" i="5" s="1"/>
  <c r="H7701" i="5"/>
  <c r="S7701" i="5" s="1"/>
  <c r="H6996" i="5"/>
  <c r="S6996" i="5" s="1"/>
  <c r="H5695" i="5"/>
  <c r="S5695" i="5" s="1"/>
  <c r="H3658" i="5"/>
  <c r="S3658" i="5" s="1"/>
  <c r="H6616" i="5"/>
  <c r="S6616" i="5" s="1"/>
  <c r="H6752" i="5"/>
  <c r="S6752" i="5" s="1"/>
  <c r="H4005" i="5"/>
  <c r="S4005" i="5" s="1"/>
  <c r="H956" i="5"/>
  <c r="S956" i="5" s="1"/>
  <c r="H5659" i="5"/>
  <c r="S5659" i="5" s="1"/>
  <c r="H2330" i="5"/>
  <c r="S2330" i="5" s="1"/>
  <c r="H5835" i="5"/>
  <c r="S5835" i="5" s="1"/>
  <c r="H2405" i="5"/>
  <c r="S2405" i="5" s="1"/>
  <c r="H3679" i="5"/>
  <c r="S3679" i="5" s="1"/>
  <c r="H4754" i="5"/>
  <c r="S4754" i="5" s="1"/>
  <c r="H5779" i="5"/>
  <c r="S5779" i="5" s="1"/>
  <c r="H6860" i="5"/>
  <c r="S6860" i="5" s="1"/>
  <c r="H4977" i="5"/>
  <c r="S4977" i="5" s="1"/>
  <c r="H6928" i="5"/>
  <c r="S6928" i="5" s="1"/>
  <c r="H2001" i="5"/>
  <c r="F197" i="6"/>
  <c r="H7733" i="5"/>
  <c r="S7733" i="5" s="1"/>
  <c r="H7809" i="5"/>
  <c r="S7809" i="5" s="1"/>
  <c r="G40" i="6"/>
  <c r="R40" i="6" s="1"/>
  <c r="H4734" i="5"/>
  <c r="H5767" i="5"/>
  <c r="S5767" i="5" s="1"/>
  <c r="H1828" i="5"/>
  <c r="F64" i="7"/>
  <c r="Q64" i="7" s="1"/>
  <c r="H7593" i="5"/>
  <c r="S7593" i="5" s="1"/>
  <c r="H4523" i="5"/>
  <c r="S4523" i="5" s="1"/>
  <c r="H6916" i="5"/>
  <c r="S6916" i="5" s="1"/>
  <c r="H6872" i="5"/>
  <c r="S6872" i="5" s="1"/>
  <c r="H6656" i="5"/>
  <c r="S6656" i="5" s="1"/>
  <c r="H8137" i="5"/>
  <c r="S8137" i="5" s="1"/>
  <c r="F370" i="6"/>
  <c r="Q370" i="6" s="1"/>
  <c r="H5627" i="5"/>
  <c r="S5627" i="5" s="1"/>
  <c r="H6111" i="5"/>
  <c r="S6111" i="5" s="1"/>
  <c r="H2717" i="5"/>
  <c r="S2717" i="5" s="1"/>
  <c r="H6600" i="5"/>
  <c r="S6600" i="5" s="1"/>
  <c r="G1236" i="5"/>
  <c r="G5085" i="5"/>
  <c r="G1168" i="5"/>
  <c r="G1708" i="5"/>
  <c r="G2037" i="5"/>
  <c r="R2037" i="5" s="1"/>
  <c r="G2324" i="5"/>
  <c r="G2069" i="5"/>
  <c r="R2069" i="5" s="1"/>
  <c r="G1129" i="5"/>
  <c r="G3357" i="5"/>
  <c r="G1024" i="5"/>
  <c r="G4364" i="5"/>
  <c r="G4203" i="5"/>
  <c r="H2465" i="5"/>
  <c r="S2465" i="5" s="1"/>
  <c r="H7609" i="5"/>
  <c r="S7609" i="5" s="1"/>
  <c r="H6620" i="5"/>
  <c r="S6620" i="5" s="1"/>
  <c r="H5466" i="5"/>
  <c r="S5466" i="5" s="1"/>
  <c r="H7865" i="5"/>
  <c r="S7865" i="5" s="1"/>
  <c r="H2318" i="5"/>
  <c r="S2318" i="5" s="1"/>
  <c r="H7965" i="5"/>
  <c r="S7965" i="5" s="1"/>
  <c r="H5174" i="5"/>
  <c r="S5174" i="5" s="1"/>
  <c r="H5751" i="5"/>
  <c r="S5751" i="5" s="1"/>
  <c r="H1282" i="5"/>
  <c r="H5787" i="5"/>
  <c r="S5787" i="5" s="1"/>
  <c r="H5975" i="5"/>
  <c r="S5975" i="5" s="1"/>
  <c r="H6644" i="5"/>
  <c r="S6644" i="5" s="1"/>
  <c r="H2433" i="5"/>
  <c r="S2433" i="5" s="1"/>
  <c r="H7997" i="5"/>
  <c r="S7997" i="5" s="1"/>
  <c r="G1740" i="5"/>
  <c r="H7318" i="5"/>
  <c r="S7318" i="5" s="1"/>
  <c r="H4091" i="5"/>
  <c r="S4091" i="5" s="1"/>
  <c r="H4027" i="5"/>
  <c r="S4027" i="5" s="1"/>
  <c r="H6776" i="5"/>
  <c r="S6776" i="5" s="1"/>
  <c r="H6940" i="5"/>
  <c r="S6940" i="5" s="1"/>
  <c r="H6103" i="5"/>
  <c r="S6103" i="5" s="1"/>
  <c r="F139" i="6"/>
  <c r="H1557" i="5"/>
  <c r="S1557" i="5" s="1"/>
  <c r="H2441" i="5"/>
  <c r="S2441" i="5" s="1"/>
  <c r="H6461" i="5"/>
  <c r="S6461" i="5" s="1"/>
  <c r="H7953" i="5"/>
  <c r="S7953" i="5" s="1"/>
  <c r="H7270" i="5"/>
  <c r="S7270" i="5" s="1"/>
  <c r="H7585" i="5"/>
  <c r="S7585" i="5" s="1"/>
  <c r="H7216" i="5"/>
  <c r="S7216" i="5" s="1"/>
  <c r="H2147" i="5"/>
  <c r="S2147" i="5" s="1"/>
  <c r="H7877" i="5"/>
  <c r="S7877" i="5" s="1"/>
  <c r="H8057" i="5"/>
  <c r="S8057" i="5" s="1"/>
  <c r="H7669" i="5"/>
  <c r="S7669" i="5" s="1"/>
  <c r="H383" i="5"/>
  <c r="S383" i="5" s="1"/>
  <c r="H2681" i="5"/>
  <c r="H5058" i="5"/>
  <c r="S5058" i="5" s="1"/>
  <c r="H5651" i="5"/>
  <c r="S5651" i="5" s="1"/>
  <c r="H699" i="5"/>
  <c r="S699" i="5" s="1"/>
  <c r="H3378" i="5"/>
  <c r="S3378" i="5" s="1"/>
  <c r="H2021" i="5"/>
  <c r="S2021" i="5" s="1"/>
  <c r="H4067" i="5"/>
  <c r="S4067" i="5" s="1"/>
  <c r="H1124" i="5"/>
  <c r="H67" i="5"/>
  <c r="S67" i="5" s="1"/>
  <c r="F83" i="6"/>
  <c r="Q83" i="6" s="1"/>
  <c r="H4085" i="5"/>
  <c r="S4085" i="5" s="1"/>
  <c r="H994" i="5"/>
  <c r="F18" i="6"/>
  <c r="H7773" i="5"/>
  <c r="S7773" i="5" s="1"/>
  <c r="H2008" i="5"/>
  <c r="G540" i="6"/>
  <c r="R540" i="6" s="1"/>
  <c r="H7897" i="5"/>
  <c r="S7897" i="5" s="1"/>
  <c r="H7286" i="5"/>
  <c r="S7286" i="5" s="1"/>
  <c r="H7909" i="5"/>
  <c r="S7909" i="5" s="1"/>
  <c r="H2725" i="5"/>
  <c r="S2725" i="5" s="1"/>
  <c r="H8081" i="5"/>
  <c r="S8081" i="5" s="1"/>
  <c r="H7989" i="5"/>
  <c r="S7989" i="5" s="1"/>
  <c r="H5999" i="5"/>
  <c r="S5999" i="5" s="1"/>
  <c r="H1076" i="5"/>
  <c r="H7817" i="5"/>
  <c r="S7817" i="5" s="1"/>
  <c r="H3343" i="5"/>
  <c r="S3343" i="5" s="1"/>
  <c r="H2413" i="5"/>
  <c r="S2413" i="5" s="1"/>
  <c r="H6744" i="5"/>
  <c r="S6744" i="5" s="1"/>
  <c r="H6748" i="5"/>
  <c r="S6748" i="5" s="1"/>
  <c r="H4190" i="5"/>
  <c r="H7861" i="5"/>
  <c r="S7861" i="5" s="1"/>
  <c r="H5342" i="5"/>
  <c r="H7080" i="5"/>
  <c r="S7080" i="5" s="1"/>
  <c r="H2234" i="5"/>
  <c r="S2234" i="5" s="1"/>
  <c r="H6243" i="5"/>
  <c r="G516" i="6"/>
  <c r="R516" i="6" s="1"/>
  <c r="H4786" i="5"/>
  <c r="H55" i="5"/>
  <c r="S55" i="5" s="1"/>
  <c r="H5472" i="5"/>
  <c r="S5472" i="5" s="1"/>
  <c r="H1101" i="5"/>
  <c r="S1101" i="5" s="1"/>
  <c r="H7729" i="5"/>
  <c r="S7729" i="5" s="1"/>
  <c r="H4555" i="5"/>
  <c r="H7789" i="5"/>
  <c r="S7789" i="5" s="1"/>
  <c r="H7641" i="5"/>
  <c r="S7641" i="5" s="1"/>
  <c r="H6888" i="5"/>
  <c r="S6888" i="5" s="1"/>
  <c r="H2761" i="5"/>
  <c r="S2761" i="5" s="1"/>
  <c r="G7253" i="5"/>
  <c r="H1062" i="5"/>
  <c r="S1062" i="5" s="1"/>
  <c r="H7088" i="5"/>
  <c r="S7088" i="5" s="1"/>
  <c r="H4209" i="5"/>
  <c r="H251" i="5"/>
  <c r="S251" i="5" s="1"/>
  <c r="G546" i="6"/>
  <c r="R546" i="6" s="1"/>
  <c r="H4114" i="5"/>
  <c r="S4114" i="5" s="1"/>
  <c r="H5875" i="5"/>
  <c r="S5875" i="5" s="1"/>
  <c r="G205" i="6"/>
  <c r="R205" i="6" s="1"/>
  <c r="H2284" i="5"/>
  <c r="S2284" i="5" s="1"/>
  <c r="H8169" i="5"/>
  <c r="S8169" i="5" s="1"/>
  <c r="H7765" i="5"/>
  <c r="S7765" i="5" s="1"/>
  <c r="H323" i="5"/>
  <c r="H231" i="5"/>
  <c r="S231" i="5" s="1"/>
  <c r="H5484" i="5"/>
  <c r="S5484" i="5" s="1"/>
  <c r="G4687" i="5"/>
  <c r="G2101" i="5"/>
  <c r="G4944" i="5"/>
  <c r="G4150" i="5"/>
  <c r="G5394" i="5"/>
  <c r="H2641" i="5"/>
  <c r="H3943" i="5"/>
  <c r="S3943" i="5" s="1"/>
  <c r="H2139" i="5"/>
  <c r="S2139" i="5" s="1"/>
  <c r="H7140" i="5"/>
  <c r="S7140" i="5" s="1"/>
  <c r="H6848" i="5"/>
  <c r="S6848" i="5" s="1"/>
  <c r="H7761" i="5"/>
  <c r="S7761" i="5" s="1"/>
  <c r="H5855" i="5"/>
  <c r="S5855" i="5" s="1"/>
  <c r="H2457" i="5"/>
  <c r="S2457" i="5" s="1"/>
  <c r="H3261" i="5"/>
  <c r="S3261" i="5" s="1"/>
  <c r="H5995" i="5"/>
  <c r="S5995" i="5" s="1"/>
  <c r="H80" i="5"/>
  <c r="H6003" i="5"/>
  <c r="S6003" i="5" s="1"/>
  <c r="G1729" i="5"/>
  <c r="H4762" i="5"/>
  <c r="S4762" i="5" s="1"/>
  <c r="H5851" i="5"/>
  <c r="S5851" i="5" s="1"/>
  <c r="H6568" i="5"/>
  <c r="S6568" i="5" s="1"/>
  <c r="H5679" i="5"/>
  <c r="S5679" i="5" s="1"/>
  <c r="H3399" i="5"/>
  <c r="S3399" i="5" s="1"/>
  <c r="H6652" i="5"/>
  <c r="S6652" i="5" s="1"/>
  <c r="H2053" i="5"/>
  <c r="S2053" i="5" s="1"/>
  <c r="H2613" i="5"/>
  <c r="H7825" i="5"/>
  <c r="S7825" i="5" s="1"/>
  <c r="H4641" i="5"/>
  <c r="S4641" i="5" s="1"/>
  <c r="H5287" i="5"/>
  <c r="S5287" i="5" s="1"/>
  <c r="H2729" i="5"/>
  <c r="S2729" i="5" s="1"/>
  <c r="H1182" i="5"/>
  <c r="S1182" i="5" s="1"/>
  <c r="H5111" i="5"/>
  <c r="H5535" i="5"/>
  <c r="S5535" i="5" s="1"/>
  <c r="H6700" i="5"/>
  <c r="S6700" i="5" s="1"/>
  <c r="H6908" i="5"/>
  <c r="S6908" i="5" s="1"/>
  <c r="H817" i="5"/>
  <c r="S817" i="5" s="1"/>
  <c r="H1093" i="5"/>
  <c r="S1093" i="5" s="1"/>
  <c r="H7977" i="5"/>
  <c r="S7977" i="5" s="1"/>
  <c r="H6556" i="5"/>
  <c r="S6556" i="5" s="1"/>
  <c r="H6255" i="5"/>
  <c r="S6255" i="5" s="1"/>
  <c r="H5495" i="5"/>
  <c r="H7048" i="5"/>
  <c r="S7048" i="5" s="1"/>
  <c r="H6704" i="5"/>
  <c r="S6704" i="5" s="1"/>
  <c r="H6039" i="5"/>
  <c r="S6039" i="5" s="1"/>
  <c r="H6964" i="5"/>
  <c r="S6964" i="5" s="1"/>
  <c r="H8021" i="5"/>
  <c r="S8021" i="5" s="1"/>
  <c r="H2988" i="5"/>
  <c r="H6091" i="5"/>
  <c r="S6091" i="5" s="1"/>
  <c r="H8173" i="5"/>
  <c r="S8173" i="5" s="1"/>
  <c r="H6059" i="5"/>
  <c r="S6059" i="5" s="1"/>
  <c r="H4137" i="5"/>
  <c r="S4137" i="5" s="1"/>
  <c r="H663" i="5"/>
  <c r="S663" i="5" s="1"/>
  <c r="H8121" i="5"/>
  <c r="S8121" i="5" s="1"/>
  <c r="H5671" i="5"/>
  <c r="S5671" i="5" s="1"/>
  <c r="H7172" i="5"/>
  <c r="H8005" i="5"/>
  <c r="S8005" i="5" s="1"/>
  <c r="H6500" i="5"/>
  <c r="S6500" i="5" s="1"/>
  <c r="H5775" i="5"/>
  <c r="S5775" i="5" s="1"/>
  <c r="H2417" i="5"/>
  <c r="S2417" i="5" s="1"/>
  <c r="H6388" i="5"/>
  <c r="S6388" i="5" s="1"/>
  <c r="H3386" i="5"/>
  <c r="H7385" i="5"/>
  <c r="S7385" i="5" s="1"/>
  <c r="H3641" i="5"/>
  <c r="S3641" i="5" s="1"/>
  <c r="H7929" i="5"/>
  <c r="S7929" i="5" s="1"/>
  <c r="H983" i="5"/>
  <c r="H3770" i="5"/>
  <c r="H7004" i="5"/>
  <c r="S7004" i="5" s="1"/>
  <c r="H6740" i="5"/>
  <c r="S6740" i="5" s="1"/>
  <c r="H3762" i="5"/>
  <c r="S3762" i="5" s="1"/>
  <c r="H5943" i="5"/>
  <c r="S5943" i="5" s="1"/>
  <c r="H6936" i="5"/>
  <c r="S6936" i="5" s="1"/>
  <c r="H7653" i="5"/>
  <c r="S7653" i="5" s="1"/>
  <c r="H4750" i="5"/>
  <c r="S4750" i="5" s="1"/>
  <c r="H8029" i="5"/>
  <c r="S8029" i="5" s="1"/>
  <c r="H7637" i="5"/>
  <c r="S7637" i="5" s="1"/>
  <c r="H1586" i="5"/>
  <c r="S1586" i="5" s="1"/>
  <c r="H8177" i="5"/>
  <c r="S8177" i="5" s="1"/>
  <c r="H7208" i="5"/>
  <c r="S7208" i="5" s="1"/>
  <c r="H5827" i="5"/>
  <c r="S5827" i="5" s="1"/>
  <c r="H5799" i="5"/>
  <c r="S5799" i="5" s="1"/>
  <c r="H6043" i="5"/>
  <c r="S6043" i="5" s="1"/>
  <c r="H2721" i="5"/>
  <c r="S2721" i="5" s="1"/>
  <c r="H6512" i="5"/>
  <c r="S6512" i="5" s="1"/>
  <c r="H114" i="5"/>
  <c r="H1262" i="5"/>
  <c r="S1262" i="5" s="1"/>
  <c r="G7243" i="5"/>
  <c r="H6856" i="5"/>
  <c r="S6856" i="5" s="1"/>
  <c r="H4076" i="5"/>
  <c r="S4076" i="5" s="1"/>
  <c r="G1242" i="5"/>
  <c r="H5831" i="5"/>
  <c r="S5831" i="5" s="1"/>
  <c r="H7945" i="5"/>
  <c r="S7945" i="5" s="1"/>
  <c r="H1140" i="5"/>
  <c r="S1140" i="5" s="1"/>
  <c r="H239" i="5"/>
  <c r="S239" i="5" s="1"/>
  <c r="H7601" i="5"/>
  <c r="S7601" i="5" s="1"/>
  <c r="H1005" i="5"/>
  <c r="H7581" i="5"/>
  <c r="S7581" i="5" s="1"/>
  <c r="G1598" i="5"/>
  <c r="G1147" i="5"/>
  <c r="G7370" i="5"/>
  <c r="G6249" i="5"/>
  <c r="G5073" i="5"/>
  <c r="G4945" i="5"/>
  <c r="G1395" i="5"/>
  <c r="G1799" i="5"/>
  <c r="R1799" i="5" s="1"/>
  <c r="G3508" i="5"/>
  <c r="G5013" i="5"/>
  <c r="G4149" i="5"/>
  <c r="G1196" i="5"/>
  <c r="G1706" i="5"/>
  <c r="H329" i="5"/>
  <c r="F611" i="6"/>
  <c r="Q611" i="6" s="1"/>
  <c r="H6544" i="5"/>
  <c r="S6544" i="5" s="1"/>
  <c r="H7060" i="5"/>
  <c r="S7060" i="5" s="1"/>
  <c r="H4742" i="5"/>
  <c r="S4742" i="5" s="1"/>
  <c r="H3984" i="5"/>
  <c r="S3984" i="5" s="1"/>
  <c r="H6840" i="5"/>
  <c r="S6840" i="5" s="1"/>
  <c r="H1592" i="5"/>
  <c r="S1592" i="5" s="1"/>
  <c r="H4598" i="5"/>
  <c r="S4598" i="5" s="1"/>
  <c r="H2421" i="5"/>
  <c r="S2421" i="5" s="1"/>
  <c r="H5324" i="5"/>
  <c r="S5324" i="5" s="1"/>
  <c r="H7633" i="5"/>
  <c r="S7633" i="5" s="1"/>
  <c r="H2537" i="5"/>
  <c r="S2537" i="5" s="1"/>
  <c r="F357" i="6"/>
  <c r="Q357" i="6" s="1"/>
  <c r="H4263" i="5"/>
  <c r="H5991" i="5"/>
  <c r="S5991" i="5" s="1"/>
  <c r="H8025" i="5"/>
  <c r="S8025" i="5" s="1"/>
  <c r="H835" i="5"/>
  <c r="S835" i="5" s="1"/>
  <c r="H1119" i="5"/>
  <c r="H7597" i="5"/>
  <c r="S7597" i="5" s="1"/>
  <c r="H235" i="5"/>
  <c r="S235" i="5" s="1"/>
  <c r="H3766" i="5"/>
  <c r="S3766" i="5" s="1"/>
  <c r="H7573" i="5"/>
  <c r="S7573" i="5" s="1"/>
  <c r="H7949" i="5"/>
  <c r="S7949" i="5" s="1"/>
  <c r="H7040" i="5"/>
  <c r="S7040" i="5" s="1"/>
  <c r="H7212" i="5"/>
  <c r="S7212" i="5" s="1"/>
  <c r="H2605" i="5"/>
  <c r="S2605" i="5" s="1"/>
  <c r="H5823" i="5"/>
  <c r="S5823" i="5" s="1"/>
  <c r="H1069" i="5"/>
  <c r="S1069" i="5" s="1"/>
  <c r="H7258" i="5"/>
  <c r="S7258" i="5" s="1"/>
  <c r="H1203" i="5"/>
  <c r="S1203" i="5" s="1"/>
  <c r="H1564" i="5"/>
  <c r="S1564" i="5" s="1"/>
  <c r="H1048" i="5"/>
  <c r="S1048" i="5" s="1"/>
  <c r="H12" i="5"/>
  <c r="S12" i="5" s="1"/>
  <c r="H6696" i="5"/>
  <c r="S6696" i="5" s="1"/>
  <c r="H7220" i="5"/>
  <c r="S7220" i="5" s="1"/>
  <c r="F364" i="6"/>
  <c r="Q364" i="6" s="1"/>
  <c r="H7921" i="5"/>
  <c r="S7921" i="5" s="1"/>
  <c r="H2453" i="5"/>
  <c r="H7681" i="5"/>
  <c r="S7681" i="5" s="1"/>
  <c r="H5667" i="5"/>
  <c r="S5667" i="5" s="1"/>
  <c r="H5899" i="5"/>
  <c r="S5899" i="5" s="1"/>
  <c r="H6784" i="5"/>
  <c r="S6784" i="5" s="1"/>
  <c r="H109" i="5"/>
  <c r="H8129" i="5"/>
  <c r="S8129" i="5" s="1"/>
  <c r="H7689" i="5"/>
  <c r="S7689" i="5" s="1"/>
  <c r="H5037" i="5"/>
  <c r="S5037" i="5" s="1"/>
  <c r="H2757" i="5"/>
  <c r="S2757" i="5" s="1"/>
  <c r="H8105" i="5"/>
  <c r="S8105" i="5" s="1"/>
  <c r="F289" i="6"/>
  <c r="Q289" i="6" s="1"/>
  <c r="H5418" i="5"/>
  <c r="S5418" i="5" s="1"/>
  <c r="H667" i="5"/>
  <c r="S667" i="5" s="1"/>
  <c r="H7793" i="5"/>
  <c r="S7793" i="5" s="1"/>
  <c r="H5931" i="5"/>
  <c r="S5931" i="5" s="1"/>
  <c r="H4268" i="5"/>
  <c r="S4268" i="5" s="1"/>
  <c r="H7869" i="5"/>
  <c r="S7869" i="5" s="1"/>
  <c r="H5915" i="5"/>
  <c r="S5915" i="5" s="1"/>
  <c r="H3758" i="5"/>
  <c r="S3758" i="5" s="1"/>
  <c r="H4145" i="5"/>
  <c r="S4145" i="5" s="1"/>
  <c r="H7785" i="5"/>
  <c r="S7785" i="5" s="1"/>
  <c r="H5771" i="5"/>
  <c r="S5771" i="5" s="1"/>
  <c r="H6920" i="5"/>
  <c r="S6920" i="5" s="1"/>
  <c r="H7813" i="5"/>
  <c r="S7813" i="5" s="1"/>
  <c r="G1303" i="5"/>
  <c r="H5967" i="5"/>
  <c r="S5967" i="5" s="1"/>
  <c r="H8093" i="5"/>
  <c r="S8093" i="5" s="1"/>
  <c r="H514" i="5"/>
  <c r="H7829" i="5"/>
  <c r="S7829" i="5" s="1"/>
  <c r="H7278" i="5"/>
  <c r="S7278" i="5" s="1"/>
  <c r="H7104" i="5"/>
  <c r="S7104" i="5" s="1"/>
  <c r="H3169" i="5"/>
  <c r="S3169" i="5" s="1"/>
  <c r="H6516" i="5"/>
  <c r="S6516" i="5" s="1"/>
  <c r="H3925" i="5"/>
  <c r="S3925" i="5" s="1"/>
  <c r="H7749" i="5"/>
  <c r="S7749" i="5" s="1"/>
  <c r="H618" i="5"/>
  <c r="S618" i="5" s="1"/>
  <c r="H7985" i="5"/>
  <c r="S7985" i="5" s="1"/>
  <c r="H2621" i="5"/>
  <c r="H6800" i="5"/>
  <c r="S6800" i="5" s="1"/>
  <c r="H2649" i="5"/>
  <c r="S2649" i="5" s="1"/>
  <c r="H4681" i="5"/>
  <c r="S4681" i="5" s="1"/>
  <c r="H7020" i="5"/>
  <c r="S7020" i="5" s="1"/>
  <c r="H1645" i="5"/>
  <c r="S1645" i="5" s="1"/>
  <c r="G7248" i="5"/>
  <c r="G1230" i="5"/>
  <c r="H2155" i="5"/>
  <c r="S2155" i="5" s="1"/>
  <c r="H5923" i="5"/>
  <c r="S5923" i="5" s="1"/>
  <c r="H1383" i="5"/>
  <c r="H2473" i="5"/>
  <c r="S2473" i="5" s="1"/>
  <c r="H7044" i="5"/>
  <c r="S7044" i="5" s="1"/>
  <c r="H5703" i="5"/>
  <c r="S5703" i="5" s="1"/>
  <c r="H6047" i="5"/>
  <c r="S6047" i="5" s="1"/>
  <c r="H6816" i="5"/>
  <c r="S6816" i="5" s="1"/>
  <c r="H7024" i="5"/>
  <c r="S7024" i="5" s="1"/>
  <c r="H8017" i="5"/>
  <c r="S8017" i="5" s="1"/>
  <c r="G3525" i="5"/>
  <c r="G1289" i="5"/>
  <c r="G2384" i="5"/>
  <c r="H1175" i="5"/>
  <c r="S1175" i="5" s="1"/>
  <c r="H2653" i="5"/>
  <c r="S2653" i="5" s="1"/>
  <c r="H5759" i="5"/>
  <c r="S5759" i="5" s="1"/>
  <c r="H7837" i="5"/>
  <c r="S7837" i="5" s="1"/>
  <c r="H7561" i="5"/>
  <c r="S7561" i="5" s="1"/>
  <c r="H6980" i="5"/>
  <c r="S6980" i="5" s="1"/>
  <c r="H4989" i="5"/>
  <c r="S4989" i="5" s="1"/>
  <c r="H878" i="5"/>
  <c r="S878" i="5" s="1"/>
  <c r="H6668" i="5"/>
  <c r="S6668" i="5" s="1"/>
  <c r="H8181" i="5"/>
  <c r="S8181" i="5" s="1"/>
  <c r="H6520" i="5"/>
  <c r="S6520" i="5" s="1"/>
  <c r="H7973" i="5"/>
  <c r="S7973" i="5" s="1"/>
  <c r="H6864" i="5"/>
  <c r="S6864" i="5" s="1"/>
  <c r="H7577" i="5"/>
  <c r="S7577" i="5" s="1"/>
  <c r="H2804" i="5"/>
  <c r="S2804" i="5" s="1"/>
  <c r="H7677" i="5"/>
  <c r="S7677" i="5" s="1"/>
  <c r="H2077" i="5"/>
  <c r="S2077" i="5" s="1"/>
  <c r="F84" i="6"/>
  <c r="Q84" i="6" s="1"/>
  <c r="H5859" i="5"/>
  <c r="S5859" i="5" s="1"/>
  <c r="H6592" i="5"/>
  <c r="S6592" i="5" s="1"/>
  <c r="H3430" i="5"/>
  <c r="H4058" i="5"/>
  <c r="S4058" i="5" s="1"/>
  <c r="H8165" i="5"/>
  <c r="S8165" i="5" s="1"/>
  <c r="H3613" i="5"/>
  <c r="S3613" i="5" s="1"/>
  <c r="H5979" i="5"/>
  <c r="S5979" i="5" s="1"/>
  <c r="H6135" i="5"/>
  <c r="H7917" i="5"/>
  <c r="S7917" i="5" s="1"/>
  <c r="H6660" i="5"/>
  <c r="S6660" i="5" s="1"/>
  <c r="H2294" i="5"/>
  <c r="S2294" i="5" s="1"/>
  <c r="H6880" i="5"/>
  <c r="S6880" i="5" s="1"/>
  <c r="H3228" i="5"/>
  <c r="S3228" i="5" s="1"/>
  <c r="F358" i="6"/>
  <c r="Q358" i="6" s="1"/>
  <c r="G2364" i="5"/>
  <c r="H6756" i="5"/>
  <c r="S6756" i="5" s="1"/>
  <c r="H6115" i="5"/>
  <c r="S6115" i="5" s="1"/>
  <c r="H6944" i="5"/>
  <c r="S6944" i="5" s="1"/>
  <c r="H7721" i="5"/>
  <c r="S7721" i="5" s="1"/>
  <c r="H7969" i="5"/>
  <c r="S7969" i="5" s="1"/>
  <c r="H640" i="5"/>
  <c r="S640" i="5" s="1"/>
  <c r="H1917" i="5"/>
  <c r="H7076" i="5"/>
  <c r="S7076" i="5" s="1"/>
  <c r="H5843" i="5"/>
  <c r="S5843" i="5" s="1"/>
  <c r="H6984" i="5"/>
  <c r="S6984" i="5" s="1"/>
  <c r="H7777" i="5"/>
  <c r="S7777" i="5" s="1"/>
  <c r="H4225" i="5"/>
  <c r="S4225" i="5" s="1"/>
  <c r="H7649" i="5"/>
  <c r="S7649" i="5" s="1"/>
  <c r="H5755" i="5"/>
  <c r="S5755" i="5" s="1"/>
  <c r="H7455" i="5"/>
  <c r="S7455" i="5" s="1"/>
  <c r="F341" i="6"/>
  <c r="Q341" i="6" s="1"/>
  <c r="H2569" i="5"/>
  <c r="H7136" i="5"/>
  <c r="S7136" i="5" s="1"/>
  <c r="H7961" i="5"/>
  <c r="S7961" i="5" s="1"/>
  <c r="H7709" i="5"/>
  <c r="S7709" i="5" s="1"/>
  <c r="H5306" i="5"/>
  <c r="S5306" i="5" s="1"/>
  <c r="H7549" i="5"/>
  <c r="S7549" i="5" s="1"/>
  <c r="H6155" i="5"/>
  <c r="S6155" i="5" s="1"/>
  <c r="H5699" i="5"/>
  <c r="S5699" i="5" s="1"/>
  <c r="H6792" i="5"/>
  <c r="S6792" i="5" s="1"/>
  <c r="H6764" i="5"/>
  <c r="S6764" i="5" s="1"/>
  <c r="H4655" i="5"/>
  <c r="H969" i="5"/>
  <c r="S969" i="5" s="1"/>
  <c r="H5971" i="5"/>
  <c r="S5971" i="5" s="1"/>
  <c r="H2163" i="5"/>
  <c r="S2163" i="5" s="1"/>
  <c r="H5300" i="5"/>
  <c r="S5300" i="5" s="1"/>
  <c r="H6147" i="5"/>
  <c r="S6147" i="5" s="1"/>
  <c r="H7160" i="5"/>
  <c r="H4335" i="5"/>
  <c r="H5447" i="5"/>
  <c r="H6151" i="5"/>
  <c r="S6151" i="5" s="1"/>
  <c r="H1275" i="5"/>
  <c r="H7128" i="5"/>
  <c r="S7128" i="5" s="1"/>
  <c r="H72" i="5"/>
  <c r="H193" i="5"/>
  <c r="G5363" i="5"/>
  <c r="G671" i="5"/>
  <c r="G1741" i="5"/>
  <c r="G5312" i="5"/>
  <c r="G1189" i="5"/>
  <c r="G3256" i="5"/>
  <c r="G2061" i="5"/>
  <c r="R2061" i="5" s="1"/>
  <c r="G1707" i="5"/>
  <c r="G3500" i="5"/>
  <c r="G2363" i="5"/>
  <c r="G5330" i="5"/>
  <c r="G1332" i="5"/>
  <c r="G7469" i="5"/>
  <c r="H7717" i="5"/>
  <c r="S7717" i="5" s="1"/>
  <c r="H6932" i="5"/>
  <c r="S6932" i="5" s="1"/>
  <c r="H5847" i="5"/>
  <c r="S5847" i="5" s="1"/>
  <c r="H105" i="5"/>
  <c r="H16" i="5"/>
  <c r="H4031" i="5"/>
  <c r="S4031" i="5" s="1"/>
  <c r="H7016" i="5"/>
  <c r="S7016" i="5" s="1"/>
  <c r="H582" i="5"/>
  <c r="S582" i="5" s="1"/>
  <c r="H7937" i="5"/>
  <c r="S7937" i="5" s="1"/>
  <c r="H7120" i="5"/>
  <c r="S7120" i="5" s="1"/>
  <c r="H6564" i="5"/>
  <c r="S6564" i="5" s="1"/>
  <c r="H962" i="5"/>
  <c r="S962" i="5" s="1"/>
  <c r="H739" i="5"/>
  <c r="S739" i="5" s="1"/>
  <c r="H4895" i="5"/>
  <c r="S4895" i="5" s="1"/>
  <c r="H5963" i="5"/>
  <c r="S5963" i="5" s="1"/>
  <c r="H2749" i="5"/>
  <c r="S2749" i="5" s="1"/>
  <c r="H6732" i="5"/>
  <c r="S6732" i="5" s="1"/>
  <c r="H8061" i="5"/>
  <c r="S8061" i="5" s="1"/>
  <c r="H208" i="5"/>
  <c r="H6788" i="5"/>
  <c r="S6788" i="5" s="1"/>
  <c r="H5318" i="5"/>
  <c r="S5318" i="5" s="1"/>
  <c r="H1055" i="5"/>
  <c r="S1055" i="5" s="1"/>
  <c r="H5517" i="5"/>
  <c r="S5517" i="5" s="1"/>
  <c r="H7821" i="5"/>
  <c r="S7821" i="5" s="1"/>
  <c r="H4215" i="5"/>
  <c r="S4215" i="5" s="1"/>
  <c r="G348" i="6"/>
  <c r="R348" i="6" s="1"/>
  <c r="H7589" i="5"/>
  <c r="S7589" i="5" s="1"/>
  <c r="H4346" i="5"/>
  <c r="S4346" i="5" s="1"/>
  <c r="H6632" i="5"/>
  <c r="S6632" i="5" s="1"/>
  <c r="H6528" i="5"/>
  <c r="S6528" i="5" s="1"/>
  <c r="H7144" i="5"/>
  <c r="S7144" i="5" s="1"/>
  <c r="H6560" i="5"/>
  <c r="S6560" i="5" s="1"/>
  <c r="H6868" i="5"/>
  <c r="S6868" i="5" s="1"/>
  <c r="H8045" i="5"/>
  <c r="S8045" i="5" s="1"/>
  <c r="H7565" i="5"/>
  <c r="S7565" i="5" s="1"/>
  <c r="H6988" i="5"/>
  <c r="S6988" i="5" s="1"/>
  <c r="H5675" i="5"/>
  <c r="S5675" i="5" s="1"/>
  <c r="H7713" i="5"/>
  <c r="S7713" i="5" s="1"/>
  <c r="H1248" i="5"/>
  <c r="S1248" i="5" s="1"/>
  <c r="H5871" i="5"/>
  <c r="S5871" i="5" s="1"/>
  <c r="G534" i="6"/>
  <c r="R534" i="6" s="1"/>
  <c r="H7657" i="5"/>
  <c r="S7657" i="5" s="1"/>
  <c r="H5635" i="5"/>
  <c r="S5635" i="5" s="1"/>
  <c r="H5248" i="5"/>
  <c r="S5248" i="5" s="1"/>
  <c r="H2663" i="5"/>
  <c r="H7008" i="5"/>
  <c r="S7008" i="5" s="1"/>
  <c r="H6664" i="5"/>
  <c r="S6664" i="5" s="1"/>
  <c r="H8033" i="5"/>
  <c r="S8033" i="5" s="1"/>
  <c r="H8" i="5"/>
  <c r="S8" i="5" s="1"/>
  <c r="H2617" i="5"/>
  <c r="F332" i="6"/>
  <c r="Q332" i="6" s="1"/>
  <c r="H5867" i="5"/>
  <c r="S5867" i="5" s="1"/>
  <c r="H950" i="5"/>
  <c r="S950" i="5" s="1"/>
  <c r="H6624" i="5"/>
  <c r="S6624" i="5" s="1"/>
  <c r="H40" i="5"/>
  <c r="S40" i="5" s="1"/>
  <c r="H7993" i="5"/>
  <c r="S7993" i="5" s="1"/>
  <c r="H217" i="5"/>
  <c r="H4157" i="5"/>
  <c r="S4157" i="5" s="1"/>
  <c r="H5655" i="5"/>
  <c r="S5655" i="5" s="1"/>
  <c r="H2171" i="5"/>
  <c r="S2171" i="5" s="1"/>
  <c r="H1210" i="5"/>
  <c r="S1210" i="5" s="1"/>
  <c r="H6107" i="5"/>
  <c r="S6107" i="5" s="1"/>
  <c r="H5795" i="5"/>
  <c r="S5795" i="5" s="1"/>
  <c r="G7542" i="5"/>
  <c r="H8109" i="5"/>
  <c r="S8109" i="5" s="1"/>
  <c r="H5955" i="5"/>
  <c r="S5955" i="5" s="1"/>
  <c r="G579" i="6"/>
  <c r="R579" i="6" s="1"/>
  <c r="H6079" i="5"/>
  <c r="S6079" i="5" s="1"/>
  <c r="H4023" i="5"/>
  <c r="S4023" i="5" s="1"/>
  <c r="H7849" i="5"/>
  <c r="S7849" i="5" s="1"/>
  <c r="H2629" i="5"/>
  <c r="H5663" i="5"/>
  <c r="S5663" i="5" s="1"/>
  <c r="H5097" i="5"/>
  <c r="S5097" i="5" s="1"/>
  <c r="H6912" i="5"/>
  <c r="S6912" i="5" s="1"/>
  <c r="H5453" i="5"/>
  <c r="H2085" i="5"/>
  <c r="S2085" i="5" s="1"/>
  <c r="H7645" i="5"/>
  <c r="S7645" i="5" s="1"/>
  <c r="H5763" i="5"/>
  <c r="S5763" i="5" s="1"/>
  <c r="H2733" i="5"/>
  <c r="S2733" i="5" s="1"/>
  <c r="H8053" i="5"/>
  <c r="S8053" i="5" s="1"/>
  <c r="H4649" i="5"/>
  <c r="S4649" i="5" s="1"/>
  <c r="H7705" i="5"/>
  <c r="S7705" i="5" s="1"/>
  <c r="H1639" i="5"/>
  <c r="S1639" i="5" s="1"/>
  <c r="G616" i="6"/>
  <c r="R616" i="6" s="1"/>
  <c r="H7000" i="5"/>
  <c r="S7000" i="5" s="1"/>
  <c r="G3475" i="5"/>
  <c r="H6596" i="5"/>
  <c r="S6596" i="5" s="1"/>
  <c r="H7557" i="5"/>
  <c r="S7557" i="5" s="1"/>
  <c r="H2029" i="5"/>
  <c r="S2029" i="5" s="1"/>
  <c r="H1987" i="5"/>
  <c r="H6772" i="5"/>
  <c r="S6772" i="5" s="1"/>
  <c r="H7673" i="5"/>
  <c r="S7673" i="5" s="1"/>
  <c r="H5959" i="5"/>
  <c r="S5959" i="5" s="1"/>
  <c r="H7693" i="5"/>
  <c r="S7693" i="5" s="1"/>
  <c r="H2553" i="5"/>
  <c r="H6095" i="5"/>
  <c r="S6095" i="5" s="1"/>
  <c r="H3234" i="5"/>
  <c r="S3234" i="5" s="1"/>
  <c r="H5819" i="5"/>
  <c r="S5819" i="5" s="1"/>
  <c r="H2397" i="5"/>
  <c r="S2397" i="5" s="1"/>
  <c r="H500" i="5"/>
  <c r="S500" i="5" s="1"/>
  <c r="H7613" i="5"/>
  <c r="S7613" i="5" s="1"/>
  <c r="H7801" i="5"/>
  <c r="S7801" i="5" s="1"/>
  <c r="H2093" i="5"/>
  <c r="S2093" i="5" s="1"/>
  <c r="H4428" i="5"/>
  <c r="H2769" i="5"/>
  <c r="S2769" i="5" s="1"/>
  <c r="H8101" i="5"/>
  <c r="S8101" i="5" s="1"/>
  <c r="H5879" i="5"/>
  <c r="S5879" i="5" s="1"/>
  <c r="H2401" i="5"/>
  <c r="S2401" i="5" s="1"/>
  <c r="H5987" i="5"/>
  <c r="S5987" i="5" s="1"/>
  <c r="H4276" i="5"/>
  <c r="S4276" i="5" s="1"/>
  <c r="H6844" i="5"/>
  <c r="S6844" i="5" s="1"/>
  <c r="H8001" i="5"/>
  <c r="S8001" i="5" s="1"/>
  <c r="H3959" i="5"/>
  <c r="H6508" i="5"/>
  <c r="S6508" i="5" s="1"/>
  <c r="H6087" i="5"/>
  <c r="S6087" i="5" s="1"/>
  <c r="H5254" i="5"/>
  <c r="S5254" i="5" s="1"/>
  <c r="G5396" i="5"/>
  <c r="G1326" i="5"/>
  <c r="G5160" i="5"/>
  <c r="G8233" i="5"/>
  <c r="R8233" i="5" s="1"/>
  <c r="G1718" i="5"/>
  <c r="G609" i="5"/>
  <c r="G7477" i="5"/>
  <c r="G138" i="6" l="1"/>
  <c r="R138" i="6" s="1"/>
  <c r="Q139" i="6"/>
  <c r="G18" i="6"/>
  <c r="R18" i="6" s="1"/>
  <c r="Q18" i="6"/>
  <c r="G268" i="6"/>
  <c r="R268" i="6" s="1"/>
  <c r="Q271" i="6"/>
  <c r="G295" i="6"/>
  <c r="R295" i="6" s="1"/>
  <c r="Q296" i="6"/>
  <c r="G197" i="6"/>
  <c r="R197" i="6" s="1"/>
  <c r="Q197" i="6"/>
  <c r="G108" i="6"/>
  <c r="R108" i="6" s="1"/>
  <c r="Q109" i="6"/>
  <c r="H3230" i="8"/>
  <c r="E1077" i="8"/>
  <c r="S3959" i="5"/>
  <c r="E85" i="8"/>
  <c r="S329" i="5"/>
  <c r="E587" i="8"/>
  <c r="S2641" i="5"/>
  <c r="E84" i="8"/>
  <c r="S323" i="5"/>
  <c r="E1166" i="8"/>
  <c r="S4567" i="5"/>
  <c r="E568" i="8"/>
  <c r="S2553" i="5"/>
  <c r="E963" i="8"/>
  <c r="S3430" i="5"/>
  <c r="E918" i="8"/>
  <c r="S3163" i="5"/>
  <c r="E184" i="8"/>
  <c r="S1010" i="5"/>
  <c r="E1380" i="8"/>
  <c r="S5447" i="5"/>
  <c r="E1176" i="8"/>
  <c r="S4655" i="5"/>
  <c r="E1357" i="8"/>
  <c r="S5342" i="5"/>
  <c r="E193" i="8"/>
  <c r="S1076" i="5"/>
  <c r="E717" i="8"/>
  <c r="S2681" i="5"/>
  <c r="E283" i="8"/>
  <c r="S1750" i="5"/>
  <c r="E174" i="8"/>
  <c r="S932" i="5"/>
  <c r="E49" i="8"/>
  <c r="S217" i="5"/>
  <c r="E2606" i="8"/>
  <c r="S6243" i="5"/>
  <c r="E584" i="8"/>
  <c r="S2629" i="5"/>
  <c r="E238" i="8"/>
  <c r="S1383" i="5"/>
  <c r="E494" i="8"/>
  <c r="S2453" i="5"/>
  <c r="E1131" i="8"/>
  <c r="S4263" i="5"/>
  <c r="E28" i="8"/>
  <c r="S114" i="5"/>
  <c r="E3487" i="8"/>
  <c r="S8217" i="5"/>
  <c r="E383" i="8"/>
  <c r="S2378" i="5"/>
  <c r="E26" i="8"/>
  <c r="S105" i="5"/>
  <c r="E3091" i="8"/>
  <c r="S7160" i="5"/>
  <c r="E572" i="8"/>
  <c r="S2569" i="5"/>
  <c r="E2368" i="8"/>
  <c r="S6135" i="5"/>
  <c r="E27" i="8"/>
  <c r="S109" i="5"/>
  <c r="E181" i="8"/>
  <c r="S983" i="5"/>
  <c r="E1396" i="8"/>
  <c r="S5495" i="5"/>
  <c r="E1120" i="8"/>
  <c r="S4190" i="5"/>
  <c r="E223" i="8"/>
  <c r="S1282" i="5"/>
  <c r="E104" i="8"/>
  <c r="S507" i="5"/>
  <c r="E3248" i="8"/>
  <c r="S7339" i="5"/>
  <c r="E347" i="8"/>
  <c r="S2127" i="5"/>
  <c r="E3254" i="8"/>
  <c r="S7377" i="5"/>
  <c r="E720" i="8"/>
  <c r="S2699" i="5"/>
  <c r="E1046" i="8"/>
  <c r="S3824" i="5"/>
  <c r="E511" i="8"/>
  <c r="S2501" i="5"/>
  <c r="E3247" i="8"/>
  <c r="S7331" i="5"/>
  <c r="E714" i="8"/>
  <c r="S2663" i="5"/>
  <c r="E1137" i="8"/>
  <c r="S4335" i="5"/>
  <c r="E582" i="8"/>
  <c r="S2621" i="5"/>
  <c r="E199" i="8"/>
  <c r="S1124" i="5"/>
  <c r="E1301" i="8"/>
  <c r="S5111" i="5"/>
  <c r="E21" i="8"/>
  <c r="S80" i="5"/>
  <c r="E8" i="8"/>
  <c r="S16" i="5"/>
  <c r="E1037" i="8"/>
  <c r="S3770" i="5"/>
  <c r="E580" i="8"/>
  <c r="S2613" i="5"/>
  <c r="E331" i="8"/>
  <c r="S2008" i="5"/>
  <c r="E1184" i="8"/>
  <c r="S4720" i="5"/>
  <c r="E1182" i="8"/>
  <c r="S4704" i="5"/>
  <c r="E39" i="8"/>
  <c r="S169" i="5"/>
  <c r="E1065" i="8"/>
  <c r="S3856" i="5"/>
  <c r="E1381" i="8"/>
  <c r="S5453" i="5"/>
  <c r="E47" i="8"/>
  <c r="S208" i="5"/>
  <c r="E44" i="8"/>
  <c r="S193" i="5"/>
  <c r="E105" i="8"/>
  <c r="S514" i="5"/>
  <c r="E198" i="8"/>
  <c r="S1119" i="5"/>
  <c r="E1240" i="8"/>
  <c r="S4786" i="5"/>
  <c r="E330" i="8"/>
  <c r="S2001" i="5"/>
  <c r="E345" i="8"/>
  <c r="S2115" i="5"/>
  <c r="E328" i="8"/>
  <c r="S1987" i="5"/>
  <c r="E581" i="8"/>
  <c r="S2617" i="5"/>
  <c r="E19" i="8"/>
  <c r="S72" i="5"/>
  <c r="E317" i="8"/>
  <c r="S1917" i="5"/>
  <c r="E183" i="8"/>
  <c r="S1005" i="5"/>
  <c r="E3093" i="8"/>
  <c r="S7172" i="5"/>
  <c r="E886" i="8"/>
  <c r="S2988" i="5"/>
  <c r="E182" i="8"/>
  <c r="S994" i="5"/>
  <c r="E302" i="8"/>
  <c r="S1828" i="5"/>
  <c r="E213" i="8"/>
  <c r="S1217" i="5"/>
  <c r="E1147" i="8"/>
  <c r="S4428" i="5"/>
  <c r="E222" i="8"/>
  <c r="S1275" i="5"/>
  <c r="E955" i="8"/>
  <c r="S3386" i="5"/>
  <c r="E1123" i="8"/>
  <c r="S4209" i="5"/>
  <c r="E1165" i="8"/>
  <c r="S4555" i="5"/>
  <c r="E1189" i="8"/>
  <c r="S4734" i="5"/>
  <c r="E348" i="8"/>
  <c r="S2133" i="5"/>
  <c r="E1181" i="8"/>
  <c r="S4695" i="5"/>
  <c r="E3262" i="8"/>
  <c r="S7427" i="5"/>
  <c r="E1337" i="8"/>
  <c r="E334" i="8"/>
  <c r="E1833" i="8"/>
  <c r="E3466" i="8"/>
  <c r="E75" i="8"/>
  <c r="E3317" i="8"/>
  <c r="E1906" i="8"/>
  <c r="E3384" i="8"/>
  <c r="E350" i="8"/>
  <c r="E3395" i="8"/>
  <c r="E2854" i="8"/>
  <c r="E2885" i="8"/>
  <c r="E145" i="8"/>
  <c r="E3346" i="8"/>
  <c r="E2901" i="8"/>
  <c r="E1546" i="8"/>
  <c r="E3040" i="8"/>
  <c r="E3378" i="8"/>
  <c r="E1356" i="8"/>
  <c r="E3035" i="8"/>
  <c r="E3488" i="8"/>
  <c r="E3044" i="8"/>
  <c r="E1858" i="8"/>
  <c r="E3312" i="8"/>
  <c r="E2334" i="8"/>
  <c r="E2219" i="8"/>
  <c r="E3313" i="8"/>
  <c r="E953" i="8"/>
  <c r="E173" i="8"/>
  <c r="E88" i="8"/>
  <c r="E2978" i="8"/>
  <c r="E3464" i="8"/>
  <c r="E2894" i="8"/>
  <c r="E362" i="8"/>
  <c r="E1146" i="8"/>
  <c r="E3334" i="8"/>
  <c r="E3319" i="8"/>
  <c r="E3036" i="8"/>
  <c r="E2886" i="8"/>
  <c r="E2932" i="8"/>
  <c r="E1889" i="8"/>
  <c r="E3441" i="8"/>
  <c r="E1354" i="8"/>
  <c r="E1081" i="8"/>
  <c r="E2752" i="8"/>
  <c r="E3405" i="8"/>
  <c r="E1867" i="8"/>
  <c r="E3415" i="8"/>
  <c r="E2880" i="8"/>
  <c r="E178" i="8"/>
  <c r="E3019" i="8"/>
  <c r="E2394" i="8"/>
  <c r="E3397" i="8"/>
  <c r="E1901" i="8"/>
  <c r="E854" i="8"/>
  <c r="E3366" i="8"/>
  <c r="E503" i="8"/>
  <c r="E3043" i="8"/>
  <c r="E2975" i="8"/>
  <c r="E3355" i="8"/>
  <c r="E3117" i="8"/>
  <c r="E257" i="8"/>
  <c r="E578" i="8"/>
  <c r="E3100" i="8"/>
  <c r="E3013" i="8"/>
  <c r="E3255" i="8"/>
  <c r="E1571" i="8"/>
  <c r="E3468" i="8"/>
  <c r="E2993" i="8"/>
  <c r="E495" i="8"/>
  <c r="E349" i="8"/>
  <c r="E369" i="8"/>
  <c r="E3354" i="8"/>
  <c r="E3404" i="8"/>
  <c r="E952" i="8"/>
  <c r="E90" i="8"/>
  <c r="E1841" i="8"/>
  <c r="E1389" i="8"/>
  <c r="E2819" i="8"/>
  <c r="E2930" i="8"/>
  <c r="E2979" i="8"/>
  <c r="E413" i="8"/>
  <c r="E2823" i="8"/>
  <c r="E3370" i="8"/>
  <c r="E3322" i="8"/>
  <c r="E2335" i="8"/>
  <c r="E3048" i="8"/>
  <c r="E2985" i="8"/>
  <c r="E3402" i="8"/>
  <c r="E1902" i="8"/>
  <c r="E1574" i="8"/>
  <c r="E929" i="8"/>
  <c r="E152" i="8"/>
  <c r="E1412" i="8"/>
  <c r="E15" i="8"/>
  <c r="E2996" i="8"/>
  <c r="E1066" i="8"/>
  <c r="E188" i="8"/>
  <c r="E3299" i="8"/>
  <c r="E3449" i="8"/>
  <c r="E2750" i="8"/>
  <c r="E2821" i="8"/>
  <c r="E3341" i="8"/>
  <c r="E3390" i="8"/>
  <c r="E3295" i="8"/>
  <c r="E3446" i="8"/>
  <c r="E775" i="8"/>
  <c r="E1894" i="8"/>
  <c r="E1608" i="8"/>
  <c r="E2697" i="8"/>
  <c r="E241" i="8"/>
  <c r="E346" i="8"/>
  <c r="E915" i="8"/>
  <c r="E3049" i="8"/>
  <c r="E1854" i="8"/>
  <c r="E220" i="8"/>
  <c r="E1853" i="8"/>
  <c r="E1211" i="8"/>
  <c r="E2882" i="8"/>
  <c r="E268" i="8"/>
  <c r="E3318" i="8"/>
  <c r="E1569" i="8"/>
  <c r="E1868" i="8"/>
  <c r="E1138" i="8"/>
  <c r="E190" i="8"/>
  <c r="E212" i="8"/>
  <c r="E2857" i="8"/>
  <c r="E218" i="8"/>
  <c r="E3418" i="8"/>
  <c r="E3051" i="8"/>
  <c r="E1125" i="8"/>
  <c r="E121" i="8"/>
  <c r="E3479" i="8"/>
  <c r="E1832" i="8"/>
  <c r="E3411" i="8"/>
  <c r="E1260" i="8"/>
  <c r="E3020" i="8"/>
  <c r="E3344" i="8"/>
  <c r="E127" i="8"/>
  <c r="E3327" i="8"/>
  <c r="E3394" i="8"/>
  <c r="E54" i="8"/>
  <c r="E3413" i="8"/>
  <c r="E420" i="8"/>
  <c r="E1341" i="8"/>
  <c r="E958" i="8"/>
  <c r="E1863" i="8"/>
  <c r="E3372" i="8"/>
  <c r="E3428" i="8"/>
  <c r="E3226" i="8"/>
  <c r="E131" i="8"/>
  <c r="E3116" i="8"/>
  <c r="E2255" i="8"/>
  <c r="E3406" i="8"/>
  <c r="E2824" i="8"/>
  <c r="E1834" i="8"/>
  <c r="E3359" i="8"/>
  <c r="E1271" i="8"/>
  <c r="E1856" i="8"/>
  <c r="E993" i="8"/>
  <c r="E3410" i="8"/>
  <c r="E1367" i="8"/>
  <c r="E1267" i="8"/>
  <c r="E2828" i="8"/>
  <c r="E1847" i="8"/>
  <c r="E163" i="8"/>
  <c r="E367" i="8"/>
  <c r="E2931" i="8"/>
  <c r="E2859" i="8"/>
  <c r="E2820" i="8"/>
  <c r="E3034" i="8"/>
  <c r="E109" i="8"/>
  <c r="E3046" i="8"/>
  <c r="E113" i="8"/>
  <c r="E368" i="8"/>
  <c r="E1575" i="8"/>
  <c r="E1293" i="8"/>
  <c r="E3385" i="8"/>
  <c r="E3042" i="8"/>
  <c r="E1548" i="8"/>
  <c r="E219" i="8"/>
  <c r="E329" i="8"/>
  <c r="E2104" i="8"/>
  <c r="E846" i="8"/>
  <c r="E1133" i="8"/>
  <c r="E410" i="8"/>
  <c r="E3330" i="8"/>
  <c r="E3296" i="8"/>
  <c r="E3333" i="8"/>
  <c r="E819" i="8"/>
  <c r="E2789" i="8"/>
  <c r="E1347" i="8"/>
  <c r="E3435" i="8"/>
  <c r="E2735" i="8"/>
  <c r="E3469" i="8"/>
  <c r="E419" i="8"/>
  <c r="E1933" i="8"/>
  <c r="E2729" i="8"/>
  <c r="E1903" i="8"/>
  <c r="E1896" i="8"/>
  <c r="E1175" i="8"/>
  <c r="E3369" i="8"/>
  <c r="E1895" i="8"/>
  <c r="E353" i="8"/>
  <c r="E13" i="8"/>
  <c r="E3321" i="8"/>
  <c r="E3335" i="8"/>
  <c r="E2929" i="8"/>
  <c r="E3304" i="8"/>
  <c r="E1897" i="8"/>
  <c r="E1093" i="8"/>
  <c r="E2504" i="8"/>
  <c r="E352" i="8"/>
  <c r="E2890" i="8"/>
  <c r="E3399" i="8"/>
  <c r="E2817" i="8"/>
  <c r="E3301" i="8"/>
  <c r="E2858" i="8"/>
  <c r="E3022" i="8"/>
  <c r="E351" i="8"/>
  <c r="E1179" i="8"/>
  <c r="E1898" i="8"/>
  <c r="E1836" i="8"/>
  <c r="E1034" i="8"/>
  <c r="E1374" i="8"/>
  <c r="E833" i="8"/>
  <c r="E2871" i="8"/>
  <c r="E211" i="8"/>
  <c r="E3300" i="8"/>
  <c r="E1169" i="8"/>
  <c r="E1206" i="8"/>
  <c r="E3307" i="8"/>
  <c r="E733" i="8"/>
  <c r="E259" i="8"/>
  <c r="E3320" i="8"/>
  <c r="E1837" i="8"/>
  <c r="E3448" i="8"/>
  <c r="E2217" i="8"/>
  <c r="E2873" i="8"/>
  <c r="E195" i="8"/>
  <c r="E2872" i="8"/>
  <c r="E1174" i="8"/>
  <c r="E1573" i="8"/>
  <c r="E1907" i="8"/>
  <c r="E3347" i="8"/>
  <c r="E1075" i="8"/>
  <c r="E3039" i="8"/>
  <c r="E2884" i="8"/>
  <c r="E1552" i="8"/>
  <c r="E2708" i="8"/>
  <c r="E2982" i="8"/>
  <c r="E472" i="8"/>
  <c r="E1829" i="8"/>
  <c r="E3309" i="8"/>
  <c r="E723" i="8"/>
  <c r="E3340" i="8"/>
  <c r="E2926" i="8"/>
  <c r="E375" i="8"/>
  <c r="E3041" i="8"/>
  <c r="E1170" i="8"/>
  <c r="E1954" i="8"/>
  <c r="E2831" i="8"/>
  <c r="E3409" i="8"/>
  <c r="E265" i="8"/>
  <c r="E850" i="8"/>
  <c r="E3328" i="8"/>
  <c r="E3444" i="8"/>
  <c r="E3030" i="8"/>
  <c r="E3323" i="8"/>
  <c r="E586" i="8"/>
  <c r="E1272" i="8"/>
  <c r="E1890" i="8"/>
  <c r="E2875" i="8"/>
  <c r="E566" i="8"/>
  <c r="E1106" i="8"/>
  <c r="E991" i="8"/>
  <c r="E3453" i="8"/>
  <c r="E3356" i="8"/>
  <c r="E2887" i="8"/>
  <c r="E3463" i="8"/>
  <c r="E3345" i="8"/>
  <c r="E3033" i="8"/>
  <c r="E1094" i="8"/>
  <c r="E175" i="8"/>
  <c r="E1159" i="8"/>
  <c r="E161" i="8"/>
  <c r="E2290" i="8"/>
  <c r="E1547" i="8"/>
  <c r="E1411" i="8"/>
  <c r="E3422" i="8"/>
  <c r="E114" i="8"/>
  <c r="E3336" i="8"/>
  <c r="E189" i="8"/>
  <c r="E1036" i="8"/>
  <c r="E2081" i="8"/>
  <c r="E3401" i="8"/>
  <c r="E3442" i="8"/>
  <c r="E2825" i="8"/>
  <c r="E3014" i="8"/>
  <c r="E1572" i="8"/>
  <c r="E2783" i="8"/>
  <c r="E1257" i="8"/>
  <c r="E3047" i="8"/>
  <c r="E1899" i="8"/>
  <c r="E2897" i="8"/>
  <c r="E3351" i="8"/>
  <c r="E3337" i="8"/>
  <c r="E370" i="8"/>
  <c r="E985" i="8"/>
  <c r="E1864" i="8"/>
  <c r="E2927" i="8"/>
  <c r="E162" i="8"/>
  <c r="E597" i="8"/>
  <c r="E2904" i="8"/>
  <c r="E593" i="8"/>
  <c r="E3353" i="8"/>
  <c r="E1885" i="8"/>
  <c r="E2895" i="8"/>
  <c r="E3208" i="8"/>
  <c r="E3306" i="8"/>
  <c r="E562" i="8"/>
  <c r="E56" i="8"/>
  <c r="E1099" i="8"/>
  <c r="E1949" i="8"/>
  <c r="E3316" i="8"/>
  <c r="E2981" i="8"/>
  <c r="E3389" i="8"/>
  <c r="E2724" i="8"/>
  <c r="E126" i="8"/>
  <c r="E3029" i="8"/>
  <c r="E1414" i="8"/>
  <c r="E2806" i="8"/>
  <c r="E1393" i="8"/>
  <c r="E191" i="8"/>
  <c r="E3339" i="8"/>
  <c r="E2883" i="8"/>
  <c r="E416" i="8"/>
  <c r="E3381" i="8"/>
  <c r="E1102" i="8"/>
  <c r="E3324" i="8"/>
  <c r="E3303" i="8"/>
  <c r="E2893" i="8"/>
  <c r="E2832" i="8"/>
  <c r="E1322" i="8"/>
  <c r="E499" i="8"/>
  <c r="E2295" i="8"/>
  <c r="E2948" i="8"/>
  <c r="E1838" i="8"/>
  <c r="E1568" i="8"/>
  <c r="E1577" i="8"/>
  <c r="E820" i="8"/>
  <c r="E2992" i="8"/>
  <c r="E1095" i="8"/>
  <c r="E2861" i="8"/>
  <c r="E2874" i="8"/>
  <c r="E2748" i="8"/>
  <c r="E1606" i="8"/>
  <c r="E1551" i="8"/>
  <c r="E3243" i="8"/>
  <c r="E1576" i="8"/>
  <c r="E1129" i="8"/>
  <c r="E158" i="8"/>
  <c r="E2933" i="8"/>
  <c r="E501" i="8"/>
  <c r="E277" i="8"/>
  <c r="E496" i="8"/>
  <c r="E1849" i="8"/>
  <c r="E1224" i="8"/>
  <c r="E1848" i="8"/>
  <c r="E3382" i="8"/>
  <c r="E1893" i="8"/>
  <c r="E366" i="8"/>
  <c r="E2815" i="8"/>
  <c r="E1128" i="8"/>
  <c r="E3338" i="8"/>
  <c r="E62" i="8"/>
  <c r="E156" i="8"/>
  <c r="E185" i="8"/>
  <c r="E1300" i="8"/>
  <c r="E920" i="8"/>
  <c r="E3298" i="8"/>
  <c r="E2740" i="8"/>
  <c r="E3297" i="8"/>
  <c r="E1087" i="8"/>
  <c r="E3053" i="8"/>
  <c r="E1124" i="8"/>
  <c r="E1353" i="8"/>
  <c r="E2896" i="8"/>
  <c r="E136" i="8"/>
  <c r="E1604" i="8"/>
  <c r="E3294" i="8"/>
  <c r="E3002" i="8"/>
  <c r="E2984" i="8"/>
  <c r="E927" i="8"/>
  <c r="E2855" i="8"/>
  <c r="E1273" i="8"/>
  <c r="E207" i="8"/>
  <c r="E1951" i="8"/>
  <c r="E2899" i="8"/>
  <c r="E1071" i="8"/>
  <c r="E1114" i="8"/>
  <c r="E1285" i="8"/>
  <c r="E1878" i="8"/>
  <c r="E192" i="8"/>
  <c r="E3101" i="8"/>
  <c r="E3315" i="8"/>
  <c r="E202" i="8"/>
  <c r="E2924" i="8"/>
  <c r="E1892" i="8"/>
  <c r="E3363" i="8"/>
  <c r="E1862" i="8"/>
  <c r="E53" i="8"/>
  <c r="E1869" i="8"/>
  <c r="E196" i="8"/>
  <c r="E364" i="8"/>
  <c r="E945" i="8"/>
  <c r="E1288" i="8"/>
  <c r="E3421" i="8"/>
  <c r="E475" i="8"/>
  <c r="E1088" i="8"/>
  <c r="E3398" i="8"/>
  <c r="E1545" i="8"/>
  <c r="E177" i="8"/>
  <c r="E3011" i="8"/>
  <c r="E448" i="8"/>
  <c r="E3437" i="8"/>
  <c r="E3314" i="8"/>
  <c r="E3388" i="8"/>
  <c r="E1846" i="8"/>
  <c r="E3419" i="8"/>
  <c r="E845" i="8"/>
  <c r="E2994" i="8"/>
  <c r="E3331" i="8"/>
  <c r="E2881" i="8"/>
  <c r="E10" i="8"/>
  <c r="E1284" i="8"/>
  <c r="E231" i="8"/>
  <c r="E1866" i="8"/>
  <c r="E1549" i="8"/>
  <c r="E228" i="8"/>
  <c r="E3352" i="8"/>
  <c r="E2833" i="8"/>
  <c r="E3456" i="8"/>
  <c r="E2990" i="8"/>
  <c r="E3343" i="8"/>
  <c r="E3423" i="8"/>
  <c r="E372" i="8"/>
  <c r="E3365" i="8"/>
  <c r="E412" i="8"/>
  <c r="E3357" i="8"/>
  <c r="E1851" i="8"/>
  <c r="E2892" i="8"/>
  <c r="E3407" i="8"/>
  <c r="E928" i="8"/>
  <c r="E3012" i="8"/>
  <c r="E751" i="8"/>
  <c r="E2946" i="8"/>
  <c r="E2099" i="8"/>
  <c r="E1566" i="8"/>
  <c r="E176" i="8"/>
  <c r="E1336" i="8"/>
  <c r="E3003" i="8"/>
  <c r="E2744" i="8"/>
  <c r="E3362" i="8"/>
  <c r="E1861" i="8"/>
  <c r="E179" i="8"/>
  <c r="E2593" i="8"/>
  <c r="E1348" i="8"/>
  <c r="E3266" i="8"/>
  <c r="E3374" i="8"/>
  <c r="E3329" i="8"/>
  <c r="E3387" i="8"/>
  <c r="E1110" i="8"/>
  <c r="E834" i="8"/>
  <c r="E1391" i="8"/>
  <c r="E3037" i="8"/>
  <c r="E3361" i="8"/>
  <c r="E3219" i="8"/>
  <c r="E1103" i="8"/>
  <c r="E1900" i="8"/>
  <c r="E373" i="8"/>
  <c r="E1160" i="8"/>
  <c r="E1219" i="8"/>
  <c r="E1083" i="8"/>
  <c r="E3332" i="8"/>
  <c r="E1882" i="8"/>
  <c r="E3416" i="8"/>
  <c r="E3031" i="8"/>
  <c r="E3004" i="8"/>
  <c r="E1006" i="8"/>
  <c r="E564" i="8"/>
  <c r="E777" i="8"/>
  <c r="E2891" i="8"/>
  <c r="E774" i="8"/>
  <c r="E3342" i="8"/>
  <c r="E2747" i="8"/>
  <c r="E1953" i="8"/>
  <c r="E98" i="8"/>
  <c r="E510" i="8"/>
  <c r="E3377" i="8"/>
  <c r="E3396" i="8"/>
  <c r="E1155" i="8"/>
  <c r="E2898" i="8"/>
  <c r="E3485" i="8"/>
  <c r="E3461" i="8"/>
  <c r="E1842" i="8"/>
  <c r="E2940" i="8"/>
  <c r="E2878" i="8"/>
  <c r="E987" i="8"/>
  <c r="E1891" i="8"/>
  <c r="E1145" i="8"/>
  <c r="E204" i="8"/>
  <c r="E1019" i="8"/>
  <c r="E914" i="8"/>
  <c r="E851" i="8"/>
  <c r="E205" i="8"/>
  <c r="E3439" i="8"/>
  <c r="E103" i="8"/>
  <c r="E3028" i="8"/>
  <c r="E1887" i="8"/>
  <c r="E269" i="8"/>
  <c r="E118" i="8"/>
  <c r="E750" i="8"/>
  <c r="E2853" i="8"/>
  <c r="E3052" i="8"/>
  <c r="E342" i="8"/>
  <c r="E3325" i="8"/>
  <c r="E2818" i="8"/>
  <c r="E3420" i="8"/>
  <c r="E341" i="8"/>
  <c r="E3465" i="8"/>
  <c r="E340" i="8"/>
  <c r="E1605" i="8"/>
  <c r="E2736" i="8"/>
  <c r="E3222" i="8"/>
  <c r="E1904" i="8"/>
  <c r="E260" i="8"/>
  <c r="E3032" i="8"/>
  <c r="E3393" i="8"/>
  <c r="E3414" i="8"/>
  <c r="E1113" i="8"/>
  <c r="E2608" i="8"/>
  <c r="E151" i="8"/>
  <c r="E1230" i="8"/>
  <c r="E1905" i="8"/>
  <c r="E2912" i="8"/>
  <c r="E1098" i="8"/>
  <c r="E2911" i="8"/>
  <c r="E1871" i="8"/>
  <c r="E3310" i="8"/>
  <c r="E2218" i="8"/>
  <c r="E1294" i="8"/>
  <c r="E1843" i="8"/>
  <c r="E1116" i="8"/>
  <c r="E6" i="8"/>
  <c r="E2829" i="8"/>
  <c r="E3391" i="8"/>
  <c r="E2980" i="8"/>
  <c r="E1831" i="8"/>
  <c r="E1859" i="8"/>
  <c r="E2299" i="8"/>
  <c r="E3386" i="8"/>
  <c r="E1097" i="8"/>
  <c r="E3326" i="8"/>
  <c r="E3400" i="8"/>
  <c r="E3001" i="8"/>
  <c r="E3403" i="8"/>
  <c r="E919" i="8"/>
  <c r="E3364" i="8"/>
  <c r="E3360" i="8"/>
  <c r="E1132" i="8"/>
  <c r="E3451" i="8"/>
  <c r="E1570" i="8"/>
  <c r="E7" i="8"/>
  <c r="E1852" i="8"/>
  <c r="E3027" i="8"/>
  <c r="E155" i="8"/>
  <c r="E2910" i="8"/>
  <c r="E3302" i="8"/>
  <c r="E1844" i="8"/>
  <c r="E1035" i="8"/>
  <c r="E989" i="8"/>
  <c r="E2622" i="8"/>
  <c r="E3408" i="8"/>
  <c r="E3412" i="8"/>
  <c r="E2765" i="8"/>
  <c r="E2945" i="8"/>
  <c r="E208" i="8"/>
  <c r="E337" i="8"/>
  <c r="E932" i="8"/>
  <c r="E3348" i="8"/>
  <c r="E2934" i="8"/>
  <c r="E16" i="8"/>
  <c r="E742" i="8"/>
  <c r="E3350" i="8"/>
  <c r="E18" i="8"/>
  <c r="E333" i="8"/>
  <c r="E3376" i="8"/>
  <c r="E256" i="8"/>
  <c r="E3240" i="8"/>
  <c r="E3373" i="8"/>
  <c r="E3455" i="8"/>
  <c r="E3305" i="8"/>
  <c r="E995" i="8"/>
  <c r="E3375" i="8"/>
  <c r="E264" i="8"/>
  <c r="E2879" i="8"/>
  <c r="E2830" i="8"/>
  <c r="E336" i="8"/>
  <c r="E2822" i="8"/>
  <c r="E3045" i="8"/>
  <c r="E2860" i="8"/>
  <c r="E3308" i="8"/>
  <c r="E3417" i="8"/>
  <c r="E172" i="8"/>
  <c r="E414" i="8"/>
  <c r="E1119" i="8"/>
  <c r="E2909" i="8"/>
  <c r="E2995" i="8"/>
  <c r="E1839" i="8"/>
  <c r="E1291" i="8"/>
  <c r="E3462" i="8"/>
  <c r="E360" i="8"/>
  <c r="E1368" i="8"/>
  <c r="G19" i="7"/>
  <c r="R19" i="7" s="1"/>
  <c r="G610" i="6"/>
  <c r="R610" i="6" s="1"/>
  <c r="H3579" i="5"/>
  <c r="S3579" i="5" s="1"/>
  <c r="H1224" i="5"/>
  <c r="G341" i="6"/>
  <c r="R341" i="6" s="1"/>
  <c r="H5330" i="5"/>
  <c r="S5330" i="5" s="1"/>
  <c r="H3500" i="5"/>
  <c r="H3256" i="5"/>
  <c r="H6249" i="5"/>
  <c r="S6249" i="5" s="1"/>
  <c r="H1024" i="5"/>
  <c r="H7248" i="5"/>
  <c r="S7248" i="5" s="1"/>
  <c r="H1598" i="5"/>
  <c r="S1598" i="5" s="1"/>
  <c r="H7243" i="5"/>
  <c r="H42" i="8"/>
  <c r="H4203" i="5"/>
  <c r="H2069" i="5"/>
  <c r="S2069" i="5" s="1"/>
  <c r="F32" i="8"/>
  <c r="H2336" i="5"/>
  <c r="S2336" i="5" s="1"/>
  <c r="H1571" i="5"/>
  <c r="S1571" i="5" s="1"/>
  <c r="H1395" i="5"/>
  <c r="H7253" i="5"/>
  <c r="S7253" i="5" s="1"/>
  <c r="H609" i="5"/>
  <c r="S609" i="5" s="1"/>
  <c r="H40" i="8"/>
  <c r="H3475" i="5"/>
  <c r="H7469" i="5"/>
  <c r="S7469" i="5" s="1"/>
  <c r="H2363" i="5"/>
  <c r="S2363" i="5" s="1"/>
  <c r="H1189" i="5"/>
  <c r="S1189" i="5" s="1"/>
  <c r="H671" i="5"/>
  <c r="S671" i="5" s="1"/>
  <c r="H1230" i="5"/>
  <c r="H1242" i="5"/>
  <c r="S1242" i="5" s="1"/>
  <c r="F41" i="8"/>
  <c r="H1111" i="5"/>
  <c r="S1111" i="5" s="1"/>
  <c r="F45" i="8"/>
  <c r="H5160" i="5"/>
  <c r="S5160" i="5" s="1"/>
  <c r="F33" i="8"/>
  <c r="H1289" i="5"/>
  <c r="H4687" i="5"/>
  <c r="H4364" i="5"/>
  <c r="S4364" i="5" s="1"/>
  <c r="H3357" i="5"/>
  <c r="S3357" i="5" s="1"/>
  <c r="H1168" i="5"/>
  <c r="S1168" i="5" s="1"/>
  <c r="H1236" i="5"/>
  <c r="H520" i="5"/>
  <c r="S520" i="5" s="1"/>
  <c r="H976" i="5"/>
  <c r="S976" i="5" s="1"/>
  <c r="H2101" i="5"/>
  <c r="S2101" i="5" s="1"/>
  <c r="H7477" i="5"/>
  <c r="S7477" i="5" s="1"/>
  <c r="H2384" i="5"/>
  <c r="H5085" i="5"/>
  <c r="S5085" i="5" s="1"/>
  <c r="F51" i="8"/>
  <c r="H2061" i="5"/>
  <c r="S2061" i="5" s="1"/>
  <c r="H5363" i="5"/>
  <c r="H4149" i="5"/>
  <c r="H1147" i="5"/>
  <c r="S1147" i="5" s="1"/>
  <c r="H2324" i="5"/>
  <c r="S2324" i="5" s="1"/>
  <c r="H4544" i="5"/>
  <c r="S4544" i="5" s="1"/>
  <c r="H3742" i="5"/>
  <c r="H1326" i="5"/>
  <c r="S1326" i="5" s="1"/>
  <c r="H1332" i="5"/>
  <c r="S1332" i="5" s="1"/>
  <c r="H5312" i="5"/>
  <c r="S5312" i="5" s="1"/>
  <c r="H3525" i="5"/>
  <c r="S3525" i="5" s="1"/>
  <c r="H1303" i="5"/>
  <c r="S1303" i="5" s="1"/>
  <c r="H5073" i="5"/>
  <c r="S5073" i="5" s="1"/>
  <c r="H5394" i="5"/>
  <c r="S5394" i="5" s="1"/>
  <c r="H4944" i="5"/>
  <c r="S4944" i="5" s="1"/>
  <c r="H1129" i="5"/>
  <c r="G81" i="6"/>
  <c r="R81" i="6" s="1"/>
  <c r="H4197" i="5"/>
  <c r="H7485" i="5"/>
  <c r="S7485" i="5" s="1"/>
  <c r="H1196" i="5"/>
  <c r="S1196" i="5" s="1"/>
  <c r="H5013" i="5"/>
  <c r="S5013" i="5" s="1"/>
  <c r="F48" i="8"/>
  <c r="H2037" i="5"/>
  <c r="S2037" i="5" s="1"/>
  <c r="H599" i="5"/>
  <c r="S599" i="5" s="1"/>
  <c r="F42" i="8"/>
  <c r="F40" i="8"/>
  <c r="I40" i="8" l="1"/>
  <c r="I3230" i="8"/>
  <c r="I42" i="8"/>
  <c r="E1121" i="8"/>
  <c r="S4197" i="5"/>
  <c r="E1360" i="8"/>
  <c r="S5363" i="5"/>
  <c r="E186" i="8"/>
  <c r="S1024" i="5"/>
  <c r="E216" i="8"/>
  <c r="S1236" i="5"/>
  <c r="E200" i="8"/>
  <c r="S1129" i="5"/>
  <c r="E969" i="8"/>
  <c r="S3475" i="5"/>
  <c r="E931" i="8"/>
  <c r="S3256" i="5"/>
  <c r="E1115" i="8"/>
  <c r="S4149" i="5"/>
  <c r="E258" i="8"/>
  <c r="E1018" i="8"/>
  <c r="S3742" i="5"/>
  <c r="E1122" i="8"/>
  <c r="S4203" i="5"/>
  <c r="E971" i="8"/>
  <c r="S3500" i="5"/>
  <c r="E384" i="8"/>
  <c r="S2384" i="5"/>
  <c r="E224" i="8"/>
  <c r="S1289" i="5"/>
  <c r="E240" i="8"/>
  <c r="S1395" i="5"/>
  <c r="E214" i="8"/>
  <c r="S1224" i="5"/>
  <c r="E1180" i="8"/>
  <c r="S4687" i="5"/>
  <c r="E215" i="8"/>
  <c r="S1230" i="5"/>
  <c r="E3164" i="8"/>
  <c r="S7243" i="5"/>
  <c r="E1290" i="8"/>
  <c r="E230" i="8"/>
  <c r="E338" i="8"/>
  <c r="E217" i="8"/>
  <c r="E973" i="8"/>
  <c r="E117" i="8"/>
  <c r="E376" i="8"/>
  <c r="E343" i="8"/>
  <c r="E1320" i="8"/>
  <c r="E1266" i="8"/>
  <c r="E1292" i="8"/>
  <c r="E197" i="8"/>
  <c r="E1355" i="8"/>
  <c r="E1366" i="8"/>
  <c r="E1163" i="8"/>
  <c r="E106" i="8"/>
  <c r="E128" i="8"/>
  <c r="E3172" i="8"/>
  <c r="E209" i="8"/>
  <c r="E2607" i="8"/>
  <c r="E116" i="8"/>
  <c r="E335" i="8"/>
  <c r="E226" i="8"/>
  <c r="E948" i="8"/>
  <c r="E381" i="8"/>
  <c r="E3185" i="8"/>
  <c r="E261" i="8"/>
  <c r="E203" i="8"/>
  <c r="E3270" i="8"/>
  <c r="E206" i="8"/>
  <c r="E1277" i="8"/>
  <c r="E1140" i="8"/>
  <c r="E3269" i="8"/>
  <c r="E210" i="8"/>
  <c r="E3271" i="8"/>
  <c r="E1352" i="8"/>
  <c r="E374" i="8"/>
  <c r="E339" i="8"/>
  <c r="E979" i="8"/>
  <c r="E229" i="8"/>
  <c r="E180" i="8"/>
  <c r="H41" i="8"/>
  <c r="H51" i="8"/>
  <c r="H48" i="8"/>
  <c r="H45" i="8"/>
  <c r="H33" i="8"/>
  <c r="G1966" i="5"/>
  <c r="G5283" i="5"/>
  <c r="R5283" i="5" s="1"/>
  <c r="F54" i="7"/>
  <c r="Q54" i="7" s="1"/>
  <c r="G5212" i="5"/>
  <c r="R5212" i="5" s="1"/>
  <c r="G4295" i="5"/>
  <c r="R4295" i="5" s="1"/>
  <c r="G3105" i="5"/>
  <c r="G1629" i="5"/>
  <c r="R1629" i="5" s="1"/>
  <c r="G350" i="5"/>
  <c r="R350" i="5" s="1"/>
  <c r="H32" i="8"/>
  <c r="G5189" i="5"/>
  <c r="H1123" i="8"/>
  <c r="G5227" i="5"/>
  <c r="R5227" i="5" s="1"/>
  <c r="G1934" i="5"/>
  <c r="R1934" i="5" s="1"/>
  <c r="H1381" i="8"/>
  <c r="G3878" i="5"/>
  <c r="R3878" i="5" s="1"/>
  <c r="G4592" i="5"/>
  <c r="R4592" i="5" s="1"/>
  <c r="G4322" i="5"/>
  <c r="R4322" i="5" s="1"/>
  <c r="F198" i="8"/>
  <c r="G6327" i="5"/>
  <c r="R6327" i="5" s="1"/>
  <c r="G2250" i="5"/>
  <c r="H222" i="8"/>
  <c r="F105" i="7"/>
  <c r="Q105" i="7" s="1"/>
  <c r="F199" i="8"/>
  <c r="H183" i="8"/>
  <c r="G5211" i="5"/>
  <c r="R5211" i="5" s="1"/>
  <c r="F1131" i="8"/>
  <c r="G5213" i="5"/>
  <c r="R5213" i="5" s="1"/>
  <c r="G6271" i="5"/>
  <c r="R6271" i="5" s="1"/>
  <c r="G301" i="5"/>
  <c r="R301" i="5" s="1"/>
  <c r="G362" i="5"/>
  <c r="R362" i="5" s="1"/>
  <c r="G4635" i="5"/>
  <c r="R4635" i="5" s="1"/>
  <c r="G3673" i="5"/>
  <c r="R3673" i="5" s="1"/>
  <c r="G1663" i="5"/>
  <c r="G1953" i="5"/>
  <c r="R1953" i="5" s="1"/>
  <c r="G2862" i="5"/>
  <c r="G3024" i="5"/>
  <c r="G1867" i="5"/>
  <c r="G752" i="5"/>
  <c r="G2944" i="5"/>
  <c r="G7504" i="5"/>
  <c r="G1885" i="5"/>
  <c r="H29" i="8"/>
  <c r="G3672" i="5"/>
  <c r="R3672" i="5" s="1"/>
  <c r="G6200" i="5"/>
  <c r="G316" i="5"/>
  <c r="R316" i="5" s="1"/>
  <c r="G3998" i="5"/>
  <c r="R3998" i="5" s="1"/>
  <c r="G3999" i="5"/>
  <c r="R3999" i="5" s="1"/>
  <c r="G302" i="5"/>
  <c r="R302" i="5" s="1"/>
  <c r="G5129" i="5"/>
  <c r="G2373" i="5"/>
  <c r="F223" i="8"/>
  <c r="G4807" i="5"/>
  <c r="G3848" i="5"/>
  <c r="G4591" i="5"/>
  <c r="R4591" i="5" s="1"/>
  <c r="G5137" i="5"/>
  <c r="G3879" i="5"/>
  <c r="R3879" i="5" s="1"/>
  <c r="G849" i="5"/>
  <c r="F3487" i="8"/>
  <c r="G6331" i="5"/>
  <c r="R6331" i="5" s="1"/>
  <c r="G2857" i="5"/>
  <c r="F1380" i="8"/>
  <c r="G1929" i="5"/>
  <c r="G3831" i="5"/>
  <c r="G317" i="5"/>
  <c r="R317" i="5" s="1"/>
  <c r="F120" i="7"/>
  <c r="Q120" i="7" s="1"/>
  <c r="G6270" i="5"/>
  <c r="R6270" i="5" s="1"/>
  <c r="G3187" i="5"/>
  <c r="R3187" i="5" s="1"/>
  <c r="G776" i="5"/>
  <c r="F91" i="7"/>
  <c r="Q91" i="7" s="1"/>
  <c r="F68" i="7"/>
  <c r="Q68" i="7" s="1"/>
  <c r="G2842" i="5"/>
  <c r="G1668" i="5"/>
  <c r="F119" i="7"/>
  <c r="Q119" i="7" s="1"/>
  <c r="G6210" i="5"/>
  <c r="R6210" i="5" s="1"/>
  <c r="G3115" i="5"/>
  <c r="G3705" i="5"/>
  <c r="R3705" i="5" s="1"/>
  <c r="G1861" i="5"/>
  <c r="G3252" i="5"/>
  <c r="G3706" i="5"/>
  <c r="R3706" i="5" s="1"/>
  <c r="G6279" i="5"/>
  <c r="R6279" i="5" s="1"/>
  <c r="G4933" i="5"/>
  <c r="G6382" i="5"/>
  <c r="G3692" i="5"/>
  <c r="R3692" i="5" s="1"/>
  <c r="G1794" i="5"/>
  <c r="R1794" i="5" s="1"/>
  <c r="G5480" i="5"/>
  <c r="G3085" i="5"/>
  <c r="R3085" i="5" s="1"/>
  <c r="G5226" i="5"/>
  <c r="R5226" i="5" s="1"/>
  <c r="G6328" i="5"/>
  <c r="R6328" i="5" s="1"/>
  <c r="G6369" i="5"/>
  <c r="R6369" i="5" s="1"/>
  <c r="G349" i="5"/>
  <c r="R349" i="5" s="1"/>
  <c r="F104" i="7"/>
  <c r="Q104" i="7" s="1"/>
  <c r="F53" i="7"/>
  <c r="Q53" i="7" s="1"/>
  <c r="H34" i="8"/>
  <c r="G4321" i="5"/>
  <c r="R4321" i="5" s="1"/>
  <c r="G4294" i="5"/>
  <c r="R4294" i="5" s="1"/>
  <c r="F918" i="8"/>
  <c r="G3222" i="5"/>
  <c r="R3222" i="5" s="1"/>
  <c r="G3195" i="5"/>
  <c r="R3195" i="5" s="1"/>
  <c r="G5384" i="5"/>
  <c r="G4966" i="5"/>
  <c r="G2889" i="5"/>
  <c r="F184" i="8"/>
  <c r="F90" i="7"/>
  <c r="Q90" i="7" s="1"/>
  <c r="F67" i="7"/>
  <c r="Q67" i="7" s="1"/>
  <c r="F1182" i="8"/>
  <c r="G5228" i="5"/>
  <c r="R5228" i="5" s="1"/>
  <c r="G3221" i="5"/>
  <c r="R3221" i="5" s="1"/>
  <c r="G361" i="5"/>
  <c r="R361" i="5" s="1"/>
  <c r="G3693" i="5"/>
  <c r="R3693" i="5" s="1"/>
  <c r="I1381" i="8" l="1"/>
  <c r="I48" i="8"/>
  <c r="I41" i="8"/>
  <c r="I1123" i="8"/>
  <c r="I29" i="8"/>
  <c r="I34" i="8"/>
  <c r="I222" i="8"/>
  <c r="I51" i="8"/>
  <c r="I32" i="8"/>
  <c r="I183" i="8"/>
  <c r="I33" i="8"/>
  <c r="I45" i="8"/>
  <c r="H214" i="8"/>
  <c r="G4812" i="5"/>
  <c r="H4811" i="5" s="1"/>
  <c r="S4811" i="5" s="1"/>
  <c r="G3052" i="5"/>
  <c r="G1787" i="5"/>
  <c r="R1787" i="5" s="1"/>
  <c r="G5054" i="5"/>
  <c r="G3039" i="5"/>
  <c r="G3968" i="5"/>
  <c r="G2954" i="5"/>
  <c r="G1271" i="5"/>
  <c r="G709" i="5"/>
  <c r="H707" i="5" s="1"/>
  <c r="G3125" i="5"/>
  <c r="G5489" i="5"/>
  <c r="H5488" i="5" s="1"/>
  <c r="G4926" i="5"/>
  <c r="G3019" i="5"/>
  <c r="G3029" i="5"/>
  <c r="G4817" i="5"/>
  <c r="G1924" i="5"/>
  <c r="G5242" i="5"/>
  <c r="H5241" i="5" s="1"/>
  <c r="G1372" i="5"/>
  <c r="G1824" i="5"/>
  <c r="H1822" i="5" s="1"/>
  <c r="S1822" i="5" s="1"/>
  <c r="H198" i="8"/>
  <c r="F183" i="8"/>
  <c r="G61" i="7"/>
  <c r="R61" i="7" s="1"/>
  <c r="F214" i="8"/>
  <c r="H918" i="8"/>
  <c r="H1380" i="8"/>
  <c r="H199" i="8"/>
  <c r="H3487" i="8"/>
  <c r="G48" i="7"/>
  <c r="R48" i="7" s="1"/>
  <c r="F1381" i="8"/>
  <c r="F29" i="8"/>
  <c r="H1131" i="8"/>
  <c r="F222" i="8"/>
  <c r="H223" i="8"/>
  <c r="G97" i="7"/>
  <c r="R97" i="7" s="1"/>
  <c r="F34" i="8"/>
  <c r="F1123" i="8"/>
  <c r="G83" i="7"/>
  <c r="R83" i="7" s="1"/>
  <c r="G488" i="5"/>
  <c r="H184" i="8"/>
  <c r="F164" i="8"/>
  <c r="H164" i="8"/>
  <c r="G1501" i="5"/>
  <c r="H2696" i="8"/>
  <c r="F2696" i="8"/>
  <c r="H6275" i="5"/>
  <c r="G1030" i="5"/>
  <c r="F983" i="8"/>
  <c r="H983" i="8"/>
  <c r="F2687" i="8"/>
  <c r="H2687" i="8"/>
  <c r="H25" i="8"/>
  <c r="F25" i="8"/>
  <c r="G2590" i="5"/>
  <c r="R2590" i="5" s="1"/>
  <c r="F3250" i="8"/>
  <c r="H3250" i="8"/>
  <c r="F3094" i="8"/>
  <c r="H3094" i="8"/>
  <c r="H5204" i="5"/>
  <c r="S5204" i="5" s="1"/>
  <c r="F362" i="8"/>
  <c r="H362" i="8"/>
  <c r="F510" i="6"/>
  <c r="Q510" i="6" s="1"/>
  <c r="H852" i="8"/>
  <c r="F852" i="8"/>
  <c r="F507" i="8"/>
  <c r="H507" i="8"/>
  <c r="G4634" i="5"/>
  <c r="R4634" i="5" s="1"/>
  <c r="F509" i="6"/>
  <c r="Q509" i="6" s="1"/>
  <c r="F1924" i="8"/>
  <c r="H1924" i="8"/>
  <c r="F3098" i="8"/>
  <c r="H3098" i="8"/>
  <c r="G3009" i="5"/>
  <c r="G3034" i="5"/>
  <c r="G2847" i="5"/>
  <c r="H5279" i="5"/>
  <c r="S5279" i="5" s="1"/>
  <c r="G3901" i="5"/>
  <c r="G1658" i="5"/>
  <c r="G3095" i="5"/>
  <c r="G1612" i="5"/>
  <c r="F360" i="8"/>
  <c r="H360" i="8"/>
  <c r="F569" i="8"/>
  <c r="H569" i="8"/>
  <c r="H3081" i="5"/>
  <c r="S3081" i="5" s="1"/>
  <c r="F342" i="8"/>
  <c r="F1249" i="8"/>
  <c r="H1249" i="8"/>
  <c r="H3992" i="5"/>
  <c r="S3992" i="5" s="1"/>
  <c r="H3258" i="8"/>
  <c r="F3258" i="8"/>
  <c r="H7502" i="5"/>
  <c r="S7502" i="5" s="1"/>
  <c r="H751" i="5"/>
  <c r="F250" i="8"/>
  <c r="H250" i="8"/>
  <c r="I250" i="8" s="1"/>
  <c r="F559" i="6"/>
  <c r="Q559" i="6" s="1"/>
  <c r="F3096" i="8"/>
  <c r="H3096" i="8"/>
  <c r="F152" i="6"/>
  <c r="Q152" i="6" s="1"/>
  <c r="H5382" i="5"/>
  <c r="S5382" i="5" s="1"/>
  <c r="F849" i="8"/>
  <c r="H849" i="8"/>
  <c r="F2604" i="8"/>
  <c r="H2604" i="8"/>
  <c r="F713" i="8"/>
  <c r="H713" i="8"/>
  <c r="G5461" i="5"/>
  <c r="R5461" i="5" s="1"/>
  <c r="H881" i="8"/>
  <c r="F881" i="8"/>
  <c r="H4932" i="5"/>
  <c r="F875" i="8"/>
  <c r="H875" i="8"/>
  <c r="F161" i="8"/>
  <c r="H161" i="8"/>
  <c r="F606" i="6"/>
  <c r="F1322" i="8"/>
  <c r="H1156" i="8"/>
  <c r="F1156" i="8"/>
  <c r="F1928" i="8"/>
  <c r="H1928" i="8"/>
  <c r="H848" i="5"/>
  <c r="S848" i="5" s="1"/>
  <c r="F2599" i="8"/>
  <c r="H2599" i="8"/>
  <c r="H4579" i="5"/>
  <c r="S4579" i="5" s="1"/>
  <c r="H1154" i="8"/>
  <c r="F1154" i="8"/>
  <c r="G308" i="5"/>
  <c r="R308" i="5" s="1"/>
  <c r="H1253" i="8"/>
  <c r="F1253" i="8"/>
  <c r="H2371" i="5"/>
  <c r="F579" i="8"/>
  <c r="H579" i="8"/>
  <c r="F721" i="8"/>
  <c r="H721" i="8"/>
  <c r="F30" i="8"/>
  <c r="H30" i="8"/>
  <c r="I30" i="8" s="1"/>
  <c r="F1252" i="8"/>
  <c r="H1252" i="8"/>
  <c r="H2943" i="5"/>
  <c r="S2943" i="5" s="1"/>
  <c r="G2591" i="5"/>
  <c r="R2591" i="5" s="1"/>
  <c r="H3023" i="5"/>
  <c r="S3023" i="5" s="1"/>
  <c r="F915" i="8"/>
  <c r="H915" i="8"/>
  <c r="G1546" i="5"/>
  <c r="R1546" i="5" s="1"/>
  <c r="F1926" i="8"/>
  <c r="H1926" i="8"/>
  <c r="F252" i="8"/>
  <c r="H252" i="8"/>
  <c r="G437" i="5"/>
  <c r="R437" i="5" s="1"/>
  <c r="H1257" i="8"/>
  <c r="F1159" i="8"/>
  <c r="H1159" i="8"/>
  <c r="H974" i="8"/>
  <c r="F974" i="8"/>
  <c r="G5263" i="5"/>
  <c r="R5263" i="5" s="1"/>
  <c r="F885" i="8"/>
  <c r="H885" i="8"/>
  <c r="H367" i="8"/>
  <c r="H5188" i="5"/>
  <c r="G5181" i="5"/>
  <c r="G4550" i="5"/>
  <c r="G4617" i="5"/>
  <c r="G2884" i="5"/>
  <c r="G3365" i="5"/>
  <c r="G2359" i="5"/>
  <c r="G3130" i="5"/>
  <c r="G3100" i="5"/>
  <c r="G3589" i="5"/>
  <c r="H354" i="5"/>
  <c r="S354" i="5" s="1"/>
  <c r="F31" i="8"/>
  <c r="H31" i="8"/>
  <c r="F560" i="6"/>
  <c r="Q560" i="6" s="1"/>
  <c r="F571" i="8"/>
  <c r="H571" i="8"/>
  <c r="F1920" i="8"/>
  <c r="H1920" i="8"/>
  <c r="F160" i="8"/>
  <c r="H160" i="8"/>
  <c r="F856" i="8"/>
  <c r="H856" i="8"/>
  <c r="F1815" i="8"/>
  <c r="H1815" i="8"/>
  <c r="F2902" i="8"/>
  <c r="H2902" i="8"/>
  <c r="F3260" i="8"/>
  <c r="H3260" i="8"/>
  <c r="F3234" i="8"/>
  <c r="H3234" i="8"/>
  <c r="F897" i="8"/>
  <c r="H897" i="8"/>
  <c r="F3249" i="8"/>
  <c r="H3249" i="8"/>
  <c r="F853" i="8"/>
  <c r="H853" i="8"/>
  <c r="F874" i="8"/>
  <c r="H874" i="8"/>
  <c r="F2096" i="8"/>
  <c r="H2096" i="8"/>
  <c r="G1411" i="5"/>
  <c r="F2598" i="8"/>
  <c r="H2598" i="8"/>
  <c r="F1275" i="8"/>
  <c r="H1275" i="8"/>
  <c r="F122" i="8"/>
  <c r="H122" i="8"/>
  <c r="F876" i="8"/>
  <c r="H876" i="8"/>
  <c r="G5377" i="5"/>
  <c r="R5377" i="5" s="1"/>
  <c r="F590" i="6"/>
  <c r="Q590" i="6" s="1"/>
  <c r="F505" i="8"/>
  <c r="H505" i="8"/>
  <c r="G2574" i="5"/>
  <c r="R2574" i="5" s="1"/>
  <c r="F1921" i="8"/>
  <c r="H1921" i="8"/>
  <c r="H6206" i="5"/>
  <c r="G111" i="7"/>
  <c r="R111" i="7" s="1"/>
  <c r="H1667" i="5"/>
  <c r="S1667" i="5" s="1"/>
  <c r="H2841" i="5"/>
  <c r="S2841" i="5" s="1"/>
  <c r="F873" i="8"/>
  <c r="H873" i="8"/>
  <c r="H3830" i="5"/>
  <c r="S3830" i="5" s="1"/>
  <c r="F2684" i="8"/>
  <c r="H2684" i="8"/>
  <c r="F718" i="8"/>
  <c r="H718" i="8"/>
  <c r="H5136" i="5"/>
  <c r="G4727" i="5"/>
  <c r="R4727" i="5" s="1"/>
  <c r="F3251" i="8"/>
  <c r="H3251" i="8"/>
  <c r="H366" i="8"/>
  <c r="F519" i="8"/>
  <c r="H519" i="8"/>
  <c r="G5462" i="5"/>
  <c r="F583" i="8"/>
  <c r="H583" i="8"/>
  <c r="F369" i="8"/>
  <c r="F517" i="8"/>
  <c r="H517" i="8"/>
  <c r="H1391" i="8"/>
  <c r="H253" i="8"/>
  <c r="F253" i="8"/>
  <c r="F3257" i="8"/>
  <c r="H3257" i="8"/>
  <c r="F208" i="8"/>
  <c r="F368" i="8"/>
  <c r="G1366" i="5"/>
  <c r="F46" i="8"/>
  <c r="H46" i="8"/>
  <c r="H1255" i="8"/>
  <c r="F1255" i="8"/>
  <c r="F1922" i="8"/>
  <c r="H1922" i="8"/>
  <c r="F467" i="6"/>
  <c r="Q467" i="6" s="1"/>
  <c r="F3225" i="8"/>
  <c r="H3225" i="8"/>
  <c r="H2248" i="5"/>
  <c r="S2248" i="5" s="1"/>
  <c r="F499" i="6"/>
  <c r="Q499" i="6" s="1"/>
  <c r="F151" i="6"/>
  <c r="Q151" i="6" s="1"/>
  <c r="F914" i="8"/>
  <c r="H914" i="8"/>
  <c r="H190" i="8"/>
  <c r="G1773" i="5"/>
  <c r="R1773" i="5" s="1"/>
  <c r="H3873" i="5"/>
  <c r="F570" i="8"/>
  <c r="H570" i="8"/>
  <c r="F1040" i="8"/>
  <c r="H1040" i="8"/>
  <c r="F3259" i="8"/>
  <c r="H3259" i="8"/>
  <c r="F223" i="6"/>
  <c r="Q223" i="6" s="1"/>
  <c r="G1653" i="5"/>
  <c r="G2353" i="5"/>
  <c r="G1742" i="5"/>
  <c r="G7495" i="5"/>
  <c r="G1959" i="5"/>
  <c r="G21" i="5"/>
  <c r="R21" i="5" s="1"/>
  <c r="G2969" i="5"/>
  <c r="G6469" i="5"/>
  <c r="G5145" i="5"/>
  <c r="F956" i="8"/>
  <c r="H956" i="8"/>
  <c r="F859" i="8"/>
  <c r="H859" i="8"/>
  <c r="F957" i="8"/>
  <c r="H957" i="8"/>
  <c r="F716" i="8"/>
  <c r="H716" i="8"/>
  <c r="F872" i="8"/>
  <c r="H872" i="8"/>
  <c r="H975" i="8"/>
  <c r="F975" i="8"/>
  <c r="F498" i="6"/>
  <c r="Q498" i="6" s="1"/>
  <c r="F143" i="8"/>
  <c r="H143" i="8"/>
  <c r="F1073" i="8"/>
  <c r="H1073" i="8"/>
  <c r="F962" i="8"/>
  <c r="H962" i="8"/>
  <c r="H313" i="8"/>
  <c r="F313" i="8"/>
  <c r="H3191" i="5"/>
  <c r="H4285" i="5"/>
  <c r="H228" i="8"/>
  <c r="F114" i="8"/>
  <c r="F719" i="8"/>
  <c r="H719" i="8"/>
  <c r="F1041" i="8"/>
  <c r="H1041" i="8"/>
  <c r="F965" i="8"/>
  <c r="H965" i="8"/>
  <c r="H883" i="8"/>
  <c r="F883" i="8"/>
  <c r="H2623" i="8"/>
  <c r="F2623" i="8"/>
  <c r="F591" i="6"/>
  <c r="Q591" i="6" s="1"/>
  <c r="G1680" i="5"/>
  <c r="R1680" i="5" s="1"/>
  <c r="H2622" i="8"/>
  <c r="F979" i="8"/>
  <c r="H6373" i="5"/>
  <c r="F3095" i="8"/>
  <c r="H3095" i="8"/>
  <c r="F298" i="8"/>
  <c r="H298" i="8"/>
  <c r="H375" i="8"/>
  <c r="H1928" i="5"/>
  <c r="S1928" i="5" s="1"/>
  <c r="H2856" i="5"/>
  <c r="S2856" i="5" s="1"/>
  <c r="H314" i="8"/>
  <c r="F314" i="8"/>
  <c r="H1964" i="5"/>
  <c r="F3092" i="8"/>
  <c r="H3092" i="8"/>
  <c r="H131" i="8"/>
  <c r="F56" i="6"/>
  <c r="Q56" i="6" s="1"/>
  <c r="F23" i="8"/>
  <c r="H23" i="8"/>
  <c r="F1143" i="8"/>
  <c r="H1143" i="8"/>
  <c r="H11" i="8"/>
  <c r="F11" i="8"/>
  <c r="F1248" i="8"/>
  <c r="H1248" i="8"/>
  <c r="F508" i="8"/>
  <c r="H508" i="8"/>
  <c r="H1865" i="5"/>
  <c r="S1865" i="5" s="1"/>
  <c r="F1075" i="8"/>
  <c r="F1817" i="8"/>
  <c r="H1817" i="8"/>
  <c r="H370" i="8"/>
  <c r="G3339" i="5"/>
  <c r="R3339" i="5" s="1"/>
  <c r="F281" i="6"/>
  <c r="Q281" i="6" s="1"/>
  <c r="F1190" i="8"/>
  <c r="H1190" i="8"/>
  <c r="F870" i="8"/>
  <c r="H870" i="8"/>
  <c r="F123" i="8"/>
  <c r="H123" i="8"/>
  <c r="H2597" i="8"/>
  <c r="F2597" i="8"/>
  <c r="H1238" i="8"/>
  <c r="F1238" i="8"/>
  <c r="F57" i="6"/>
  <c r="Q57" i="6" s="1"/>
  <c r="G1720" i="5"/>
  <c r="G4919" i="5"/>
  <c r="G681" i="5"/>
  <c r="G5153" i="5"/>
  <c r="G3090" i="5"/>
  <c r="G8229" i="5"/>
  <c r="R8229" i="5" s="1"/>
  <c r="G1891" i="5"/>
  <c r="G4912" i="5"/>
  <c r="G5167" i="5"/>
  <c r="H3215" i="5"/>
  <c r="S3215" i="5" s="1"/>
  <c r="F3371" i="8"/>
  <c r="H3371" i="8"/>
  <c r="F640" i="6"/>
  <c r="Q640" i="6" s="1"/>
  <c r="F2100" i="8"/>
  <c r="H2100" i="8"/>
  <c r="F1044" i="8"/>
  <c r="H1044" i="8"/>
  <c r="G5378" i="5"/>
  <c r="H159" i="8"/>
  <c r="F159" i="8"/>
  <c r="H1254" i="8"/>
  <c r="F1254" i="8"/>
  <c r="G1940" i="5"/>
  <c r="H1182" i="8"/>
  <c r="F336" i="8"/>
  <c r="F518" i="8"/>
  <c r="H518" i="8"/>
  <c r="H1042" i="8"/>
  <c r="F1042" i="8"/>
  <c r="F1130" i="8"/>
  <c r="H1130" i="8"/>
  <c r="F252" i="6"/>
  <c r="Q252" i="6" s="1"/>
  <c r="H3380" i="8"/>
  <c r="F3380" i="8"/>
  <c r="F866" i="8"/>
  <c r="H866" i="8"/>
  <c r="H4965" i="5"/>
  <c r="H880" i="8"/>
  <c r="F880" i="8"/>
  <c r="G4728" i="5"/>
  <c r="R4728" i="5" s="1"/>
  <c r="F2900" i="8"/>
  <c r="H2900" i="8"/>
  <c r="F35" i="8"/>
  <c r="H35" i="8"/>
  <c r="F166" i="8"/>
  <c r="H166" i="8"/>
  <c r="F423" i="6"/>
  <c r="Q423" i="6" s="1"/>
  <c r="G1606" i="5"/>
  <c r="R1606" i="5" s="1"/>
  <c r="F1045" i="8"/>
  <c r="H1045" i="8"/>
  <c r="F308" i="6"/>
  <c r="Q308" i="6" s="1"/>
  <c r="F516" i="8"/>
  <c r="H516" i="8"/>
  <c r="F3228" i="8"/>
  <c r="H3228" i="8"/>
  <c r="G528" i="5"/>
  <c r="F1337" i="8"/>
  <c r="F512" i="8"/>
  <c r="H512" i="8"/>
  <c r="F851" i="8"/>
  <c r="H851" i="8"/>
  <c r="H775" i="5"/>
  <c r="F32" i="7"/>
  <c r="Q32" i="7" s="1"/>
  <c r="F1017" i="8"/>
  <c r="H1017" i="8"/>
  <c r="F3261" i="8"/>
  <c r="H3261" i="8"/>
  <c r="H4925" i="5"/>
  <c r="F2686" i="8"/>
  <c r="H2686" i="8"/>
  <c r="H1260" i="8"/>
  <c r="G2582" i="5"/>
  <c r="R2582" i="5" s="1"/>
  <c r="F514" i="8"/>
  <c r="H514" i="8"/>
  <c r="F715" i="8"/>
  <c r="H715" i="8"/>
  <c r="F3097" i="8"/>
  <c r="H3097" i="8"/>
  <c r="H6198" i="5"/>
  <c r="F1107" i="8"/>
  <c r="H1107" i="8"/>
  <c r="H1951" i="5"/>
  <c r="S1951" i="5" s="1"/>
  <c r="F1081" i="8"/>
  <c r="F1819" i="8"/>
  <c r="H1819" i="8"/>
  <c r="H1301" i="8"/>
  <c r="F2694" i="8"/>
  <c r="H2694" i="8"/>
  <c r="F237" i="6"/>
  <c r="Q237" i="6" s="1"/>
  <c r="F722" i="8"/>
  <c r="H722" i="8"/>
  <c r="F251" i="8"/>
  <c r="H251" i="8"/>
  <c r="I251" i="8" s="1"/>
  <c r="H988" i="8"/>
  <c r="F988" i="8"/>
  <c r="F62" i="8"/>
  <c r="H62" i="8"/>
  <c r="F515" i="8"/>
  <c r="H515" i="8"/>
  <c r="H932" i="8"/>
  <c r="F857" i="8"/>
  <c r="H857" i="8"/>
  <c r="F1038" i="8"/>
  <c r="H1038" i="8"/>
  <c r="H916" i="8"/>
  <c r="F916" i="8"/>
  <c r="F900" i="8"/>
  <c r="H900" i="8"/>
  <c r="F1142" i="8"/>
  <c r="H1142" i="8"/>
  <c r="F639" i="6"/>
  <c r="Q639" i="6" s="1"/>
  <c r="H3104" i="5"/>
  <c r="S3104" i="5" s="1"/>
  <c r="G3333" i="5"/>
  <c r="R3333" i="5" s="1"/>
  <c r="G451" i="5"/>
  <c r="G4940" i="5"/>
  <c r="G1700" i="5"/>
  <c r="G4019" i="5"/>
  <c r="G1947" i="5"/>
  <c r="R1947" i="5" s="1"/>
  <c r="G3077" i="5"/>
  <c r="G2393" i="5"/>
  <c r="G3120" i="5"/>
  <c r="G493" i="5"/>
  <c r="F1270" i="8"/>
  <c r="H1270" i="8"/>
  <c r="F1930" i="8"/>
  <c r="H1930" i="8"/>
  <c r="F276" i="8"/>
  <c r="H276" i="8"/>
  <c r="F1291" i="8"/>
  <c r="G2230" i="5"/>
  <c r="H2616" i="8"/>
  <c r="F2616" i="8"/>
  <c r="F207" i="8"/>
  <c r="F212" i="8"/>
  <c r="F506" i="8"/>
  <c r="H506" i="8"/>
  <c r="F1144" i="8"/>
  <c r="H1144" i="8"/>
  <c r="F858" i="8"/>
  <c r="H858" i="8"/>
  <c r="F981" i="8"/>
  <c r="H981" i="8"/>
  <c r="F3235" i="8"/>
  <c r="H3235" i="8"/>
  <c r="F434" i="6"/>
  <c r="Q434" i="6" s="1"/>
  <c r="F340" i="8"/>
  <c r="H3246" i="5"/>
  <c r="H1859" i="5"/>
  <c r="S1859" i="5" s="1"/>
  <c r="H3699" i="5"/>
  <c r="S3699" i="5" s="1"/>
  <c r="H1172" i="8"/>
  <c r="F1172" i="8"/>
  <c r="F923" i="8"/>
  <c r="H923" i="8"/>
  <c r="H3114" i="5"/>
  <c r="S3114" i="5" s="1"/>
  <c r="F575" i="6"/>
  <c r="F964" i="8"/>
  <c r="H964" i="8"/>
  <c r="H156" i="8"/>
  <c r="F156" i="8"/>
  <c r="F125" i="8"/>
  <c r="H125" i="8"/>
  <c r="F316" i="8"/>
  <c r="H316" i="8"/>
  <c r="G3211" i="5"/>
  <c r="R3211" i="5" s="1"/>
  <c r="F1283" i="8"/>
  <c r="H1283" i="8"/>
  <c r="F1353" i="8"/>
  <c r="G4170" i="5"/>
  <c r="F2384" i="8"/>
  <c r="H2384" i="8"/>
  <c r="G2583" i="5"/>
  <c r="R2583" i="5" s="1"/>
  <c r="F113" i="8"/>
  <c r="H5128" i="5"/>
  <c r="F855" i="8"/>
  <c r="H855" i="8"/>
  <c r="F1354" i="8"/>
  <c r="G1426" i="5"/>
  <c r="F1812" i="8"/>
  <c r="H1812" i="8"/>
  <c r="H154" i="8"/>
  <c r="F154" i="8"/>
  <c r="F79" i="7"/>
  <c r="Q79" i="7" s="1"/>
  <c r="F249" i="8"/>
  <c r="H249" i="8"/>
  <c r="G5352" i="5"/>
  <c r="F2991" i="8"/>
  <c r="H2991" i="8"/>
  <c r="F1251" i="8"/>
  <c r="H1251" i="8"/>
  <c r="F567" i="8"/>
  <c r="H567" i="8"/>
  <c r="G1780" i="5"/>
  <c r="F1074" i="8"/>
  <c r="H1074" i="8"/>
  <c r="F222" i="6"/>
  <c r="Q222" i="6" s="1"/>
  <c r="F3283" i="8"/>
  <c r="H3283" i="8"/>
  <c r="G1709" i="5"/>
  <c r="G1837" i="5"/>
  <c r="G7393" i="5"/>
  <c r="R7393" i="5" s="1"/>
  <c r="G1843" i="5"/>
  <c r="G2999" i="5"/>
  <c r="G2218" i="5"/>
  <c r="G3110" i="5"/>
  <c r="G1353" i="5"/>
  <c r="G5197" i="5"/>
  <c r="G5390" i="5"/>
  <c r="H982" i="8"/>
  <c r="F982" i="8"/>
  <c r="H12" i="8"/>
  <c r="F12" i="8"/>
  <c r="H3263" i="8"/>
  <c r="F3263" i="8"/>
  <c r="F977" i="8"/>
  <c r="H977" i="8"/>
  <c r="H1276" i="8"/>
  <c r="F1276" i="8"/>
  <c r="G7226" i="5"/>
  <c r="R7226" i="5" s="1"/>
  <c r="F1043" i="8"/>
  <c r="H1043" i="8"/>
  <c r="F1288" i="8"/>
  <c r="F884" i="8"/>
  <c r="H884" i="8"/>
  <c r="H917" i="8"/>
  <c r="F917" i="8"/>
  <c r="F309" i="6"/>
  <c r="Q309" i="6" s="1"/>
  <c r="F3358" i="8"/>
  <c r="H3358" i="8"/>
  <c r="F251" i="6"/>
  <c r="Q251" i="6" s="1"/>
  <c r="F22" i="8"/>
  <c r="H22" i="8"/>
  <c r="F513" i="8"/>
  <c r="H513" i="8"/>
  <c r="H1289" i="8"/>
  <c r="F1289" i="8"/>
  <c r="H4301" i="5"/>
  <c r="S4301" i="5" s="1"/>
  <c r="H344" i="5"/>
  <c r="S344" i="5" s="1"/>
  <c r="H5219" i="5"/>
  <c r="F11" i="6"/>
  <c r="Q11" i="6" s="1"/>
  <c r="H5478" i="5"/>
  <c r="S5478" i="5" s="1"/>
  <c r="H1792" i="5"/>
  <c r="G6238" i="5"/>
  <c r="R6238" i="5" s="1"/>
  <c r="F3392" i="8"/>
  <c r="H3392" i="8"/>
  <c r="F3227" i="8"/>
  <c r="H3227" i="8"/>
  <c r="F947" i="8"/>
  <c r="H947" i="8"/>
  <c r="F1818" i="8"/>
  <c r="H1818" i="8"/>
  <c r="F992" i="8"/>
  <c r="H992" i="8"/>
  <c r="H3967" i="5"/>
  <c r="F2685" i="8"/>
  <c r="H2685" i="8"/>
  <c r="G912" i="5"/>
  <c r="H3124" i="5"/>
  <c r="S3124" i="5" s="1"/>
  <c r="H277" i="8"/>
  <c r="H3183" i="5"/>
  <c r="G1553" i="5"/>
  <c r="R1553" i="5" s="1"/>
  <c r="F899" i="8"/>
  <c r="H899" i="8"/>
  <c r="H3846" i="5"/>
  <c r="F509" i="8"/>
  <c r="H509" i="8"/>
  <c r="F468" i="6"/>
  <c r="Q468" i="6" s="1"/>
  <c r="F3220" i="8"/>
  <c r="H3220" i="8"/>
  <c r="H4806" i="5"/>
  <c r="S4806" i="5" s="1"/>
  <c r="F364" i="8"/>
  <c r="F1814" i="8"/>
  <c r="H1814" i="8"/>
  <c r="H2861" i="5"/>
  <c r="S2861" i="5" s="1"/>
  <c r="H1662" i="5"/>
  <c r="S1662" i="5" s="1"/>
  <c r="F3368" i="8"/>
  <c r="H3368" i="8"/>
  <c r="F191" i="8"/>
  <c r="F961" i="8"/>
  <c r="H961" i="8"/>
  <c r="F31" i="7"/>
  <c r="Q31" i="7" s="1"/>
  <c r="F188" i="8"/>
  <c r="F231" i="8"/>
  <c r="H1336" i="8"/>
  <c r="F335" i="6"/>
  <c r="Q335" i="6" s="1"/>
  <c r="F323" i="6"/>
  <c r="Q323" i="6" s="1"/>
  <c r="H333" i="8"/>
  <c r="F189" i="8"/>
  <c r="F1183" i="8"/>
  <c r="H1183" i="8"/>
  <c r="F1250" i="8"/>
  <c r="H1250" i="8"/>
  <c r="F1813" i="8"/>
  <c r="H1813" i="8"/>
  <c r="F871" i="8"/>
  <c r="H871" i="8"/>
  <c r="F1816" i="8"/>
  <c r="H1816" i="8"/>
  <c r="F334" i="6"/>
  <c r="Q334" i="6" s="1"/>
  <c r="F1178" i="8"/>
  <c r="H1178" i="8"/>
  <c r="G2867" i="5"/>
  <c r="G690" i="5"/>
  <c r="G3951" i="5"/>
  <c r="G4356" i="5"/>
  <c r="G788" i="5"/>
  <c r="G1298" i="5"/>
  <c r="G4959" i="5"/>
  <c r="G2949" i="5"/>
  <c r="G1849" i="5"/>
  <c r="F124" i="8"/>
  <c r="H124" i="8"/>
  <c r="H2888" i="5"/>
  <c r="S2888" i="5" s="1"/>
  <c r="H1148" i="8"/>
  <c r="F1148" i="8"/>
  <c r="G7365" i="5"/>
  <c r="F359" i="8"/>
  <c r="H359" i="8"/>
  <c r="F435" i="6"/>
  <c r="Q435" i="6" s="1"/>
  <c r="F1356" i="8"/>
  <c r="G4886" i="5"/>
  <c r="G636" i="5"/>
  <c r="F3090" i="8"/>
  <c r="H3090" i="8"/>
  <c r="H3051" i="5"/>
  <c r="S3051" i="5" s="1"/>
  <c r="F299" i="8"/>
  <c r="H299" i="8"/>
  <c r="F136" i="8"/>
  <c r="F3089" i="8"/>
  <c r="H3089" i="8"/>
  <c r="G2575" i="5"/>
  <c r="R2575" i="5" s="1"/>
  <c r="F24" i="8"/>
  <c r="H24" i="8"/>
  <c r="F1118" i="8"/>
  <c r="H1118" i="8"/>
  <c r="G789" i="5"/>
  <c r="H3664" i="5"/>
  <c r="S3664" i="5" s="1"/>
  <c r="G293" i="5"/>
  <c r="R293" i="5" s="1"/>
  <c r="F12" i="6"/>
  <c r="Q12" i="6" s="1"/>
  <c r="H1883" i="5"/>
  <c r="S1883" i="5" s="1"/>
  <c r="F1923" i="8"/>
  <c r="H1923" i="8"/>
  <c r="G1607" i="5"/>
  <c r="R1607" i="5" s="1"/>
  <c r="G2111" i="5"/>
  <c r="F322" i="6"/>
  <c r="Q322" i="6" s="1"/>
  <c r="F236" i="6"/>
  <c r="Q236" i="6" s="1"/>
  <c r="F1039" i="8"/>
  <c r="H1039" i="8"/>
  <c r="F1109" i="8"/>
  <c r="H1109" i="8"/>
  <c r="G6173" i="5"/>
  <c r="H1933" i="5"/>
  <c r="S1933" i="5" s="1"/>
  <c r="F315" i="8"/>
  <c r="H315" i="8"/>
  <c r="H1628" i="5"/>
  <c r="S1628" i="5" s="1"/>
  <c r="F3050" i="8"/>
  <c r="H3050" i="8"/>
  <c r="G1731" i="5"/>
  <c r="G1766" i="5"/>
  <c r="R1766" i="5" s="1"/>
  <c r="G1939" i="5"/>
  <c r="G4374" i="5"/>
  <c r="G3014" i="5"/>
  <c r="G3004" i="5"/>
  <c r="G2348" i="5"/>
  <c r="G3575" i="5"/>
  <c r="G2852" i="5"/>
  <c r="H1322" i="8"/>
  <c r="H1785" i="5" l="1"/>
  <c r="O251" i="8"/>
  <c r="P251" i="8" s="1"/>
  <c r="R251" i="8" s="1"/>
  <c r="O30" i="8"/>
  <c r="P30" i="8" s="1"/>
  <c r="R30" i="8" s="1"/>
  <c r="O250" i="8"/>
  <c r="P250" i="8" s="1"/>
  <c r="R250" i="8" s="1"/>
  <c r="I3220" i="8"/>
  <c r="I964" i="8"/>
  <c r="I883" i="8"/>
  <c r="I2684" i="8"/>
  <c r="I2902" i="8"/>
  <c r="I875" i="8"/>
  <c r="I1249" i="8"/>
  <c r="I1250" i="8"/>
  <c r="I1336" i="8"/>
  <c r="I992" i="8"/>
  <c r="I3392" i="8"/>
  <c r="I3358" i="8"/>
  <c r="I1043" i="8"/>
  <c r="I3263" i="8"/>
  <c r="I154" i="8"/>
  <c r="I858" i="8"/>
  <c r="I1270" i="8"/>
  <c r="I900" i="8"/>
  <c r="I932" i="8"/>
  <c r="I715" i="8"/>
  <c r="I35" i="8"/>
  <c r="I866" i="8"/>
  <c r="I1042" i="8"/>
  <c r="I3371" i="8"/>
  <c r="I2597" i="8"/>
  <c r="I1248" i="8"/>
  <c r="I2622" i="8"/>
  <c r="I965" i="8"/>
  <c r="I143" i="8"/>
  <c r="I517" i="8"/>
  <c r="I366" i="8"/>
  <c r="I1921" i="8"/>
  <c r="I876" i="8"/>
  <c r="I915" i="8"/>
  <c r="I852" i="8"/>
  <c r="I3283" i="8"/>
  <c r="I2604" i="8"/>
  <c r="I3098" i="8"/>
  <c r="I3250" i="8"/>
  <c r="I184" i="8"/>
  <c r="I3089" i="8"/>
  <c r="I1148" i="8"/>
  <c r="I2991" i="8"/>
  <c r="I1812" i="8"/>
  <c r="I316" i="8"/>
  <c r="I2616" i="8"/>
  <c r="I515" i="8"/>
  <c r="I722" i="8"/>
  <c r="I3261" i="8"/>
  <c r="I512" i="8"/>
  <c r="I518" i="8"/>
  <c r="I159" i="8"/>
  <c r="I123" i="8"/>
  <c r="I370" i="8"/>
  <c r="I131" i="8"/>
  <c r="I375" i="8"/>
  <c r="I957" i="8"/>
  <c r="I3259" i="8"/>
  <c r="I190" i="8"/>
  <c r="I3251" i="8"/>
  <c r="I2096" i="8"/>
  <c r="I897" i="8"/>
  <c r="I1815" i="8"/>
  <c r="I571" i="8"/>
  <c r="I367" i="8"/>
  <c r="I1257" i="8"/>
  <c r="I721" i="8"/>
  <c r="I849" i="8"/>
  <c r="I1924" i="8"/>
  <c r="I315" i="8"/>
  <c r="I3225" i="8"/>
  <c r="I1928" i="8"/>
  <c r="I1322" i="8"/>
  <c r="I1816" i="8"/>
  <c r="I1183" i="8"/>
  <c r="I509" i="8"/>
  <c r="I277" i="8"/>
  <c r="I1818" i="8"/>
  <c r="I1289" i="8"/>
  <c r="I12" i="8"/>
  <c r="I1074" i="8"/>
  <c r="I2384" i="8"/>
  <c r="I1144" i="8"/>
  <c r="I514" i="8"/>
  <c r="I1045" i="8"/>
  <c r="I2900" i="8"/>
  <c r="I1817" i="8"/>
  <c r="I3092" i="8"/>
  <c r="I298" i="8"/>
  <c r="I1041" i="8"/>
  <c r="I914" i="8"/>
  <c r="I1922" i="8"/>
  <c r="I873" i="8"/>
  <c r="I122" i="8"/>
  <c r="I885" i="8"/>
  <c r="I1154" i="8"/>
  <c r="I1156" i="8"/>
  <c r="I362" i="8"/>
  <c r="I198" i="8"/>
  <c r="I3090" i="8"/>
  <c r="I516" i="8"/>
  <c r="I228" i="8"/>
  <c r="I1920" i="8"/>
  <c r="I1923" i="8"/>
  <c r="I1814" i="8"/>
  <c r="I513" i="8"/>
  <c r="I125" i="8"/>
  <c r="I923" i="8"/>
  <c r="I916" i="8"/>
  <c r="I62" i="8"/>
  <c r="I1107" i="8"/>
  <c r="I1017" i="8"/>
  <c r="I3380" i="8"/>
  <c r="I1044" i="8"/>
  <c r="I870" i="8"/>
  <c r="I11" i="8"/>
  <c r="I313" i="8"/>
  <c r="I859" i="8"/>
  <c r="I1040" i="8"/>
  <c r="I3257" i="8"/>
  <c r="I583" i="8"/>
  <c r="I874" i="8"/>
  <c r="I3234" i="8"/>
  <c r="I856" i="8"/>
  <c r="I252" i="8"/>
  <c r="I579" i="8"/>
  <c r="I881" i="8"/>
  <c r="I569" i="8"/>
  <c r="I25" i="8"/>
  <c r="I2696" i="8"/>
  <c r="I3487" i="8"/>
  <c r="I3368" i="8"/>
  <c r="I1251" i="8"/>
  <c r="I851" i="8"/>
  <c r="I716" i="8"/>
  <c r="I1131" i="8"/>
  <c r="I1109" i="8"/>
  <c r="I1118" i="8"/>
  <c r="I124" i="8"/>
  <c r="I3050" i="8"/>
  <c r="I299" i="8"/>
  <c r="I871" i="8"/>
  <c r="I961" i="8"/>
  <c r="I947" i="8"/>
  <c r="I917" i="8"/>
  <c r="I1276" i="8"/>
  <c r="I982" i="8"/>
  <c r="I249" i="8"/>
  <c r="I3235" i="8"/>
  <c r="I506" i="8"/>
  <c r="I276" i="8"/>
  <c r="I1038" i="8"/>
  <c r="I2694" i="8"/>
  <c r="I1182" i="8"/>
  <c r="I1143" i="8"/>
  <c r="I3095" i="8"/>
  <c r="I719" i="8"/>
  <c r="I962" i="8"/>
  <c r="I975" i="8"/>
  <c r="I505" i="8"/>
  <c r="I1275" i="8"/>
  <c r="I31" i="8"/>
  <c r="I2599" i="8"/>
  <c r="I2687" i="8"/>
  <c r="I199" i="8"/>
  <c r="I1391" i="8"/>
  <c r="I1159" i="8"/>
  <c r="I1039" i="8"/>
  <c r="I359" i="8"/>
  <c r="I884" i="8"/>
  <c r="I977" i="8"/>
  <c r="I855" i="8"/>
  <c r="I1260" i="8"/>
  <c r="I3228" i="8"/>
  <c r="I1130" i="8"/>
  <c r="I2100" i="8"/>
  <c r="I1190" i="8"/>
  <c r="I2623" i="8"/>
  <c r="I872" i="8"/>
  <c r="I956" i="8"/>
  <c r="I570" i="8"/>
  <c r="I1255" i="8"/>
  <c r="I718" i="8"/>
  <c r="I853" i="8"/>
  <c r="I3260" i="8"/>
  <c r="I160" i="8"/>
  <c r="I1926" i="8"/>
  <c r="I1252" i="8"/>
  <c r="I161" i="8"/>
  <c r="I713" i="8"/>
  <c r="I3096" i="8"/>
  <c r="I3258" i="8"/>
  <c r="I360" i="8"/>
  <c r="I507" i="8"/>
  <c r="I3094" i="8"/>
  <c r="I164" i="8"/>
  <c r="I223" i="8"/>
  <c r="I1380" i="8"/>
  <c r="I1178" i="8"/>
  <c r="I1819" i="8"/>
  <c r="I1254" i="8"/>
  <c r="I3249" i="8"/>
  <c r="I1253" i="8"/>
  <c r="I333" i="8"/>
  <c r="I2685" i="8"/>
  <c r="I22" i="8"/>
  <c r="I567" i="8"/>
  <c r="I24" i="8"/>
  <c r="I1813" i="8"/>
  <c r="I899" i="8"/>
  <c r="I3227" i="8"/>
  <c r="I1283" i="8"/>
  <c r="I156" i="8"/>
  <c r="I1172" i="8"/>
  <c r="I981" i="8"/>
  <c r="I1930" i="8"/>
  <c r="I1142" i="8"/>
  <c r="I857" i="8"/>
  <c r="I988" i="8"/>
  <c r="I1301" i="8"/>
  <c r="I3097" i="8"/>
  <c r="I2686" i="8"/>
  <c r="I166" i="8"/>
  <c r="I880" i="8"/>
  <c r="I1238" i="8"/>
  <c r="I508" i="8"/>
  <c r="I23" i="8"/>
  <c r="I314" i="8"/>
  <c r="I1073" i="8"/>
  <c r="I46" i="8"/>
  <c r="I253" i="8"/>
  <c r="I519" i="8"/>
  <c r="I2598" i="8"/>
  <c r="I974" i="8"/>
  <c r="I983" i="8"/>
  <c r="I918" i="8"/>
  <c r="I214" i="8"/>
  <c r="G572" i="6"/>
  <c r="R572" i="6" s="1"/>
  <c r="Q575" i="6"/>
  <c r="G602" i="6"/>
  <c r="R602" i="6" s="1"/>
  <c r="Q606" i="6"/>
  <c r="E1078" i="8"/>
  <c r="S3967" i="5"/>
  <c r="E1316" i="8"/>
  <c r="S5128" i="5"/>
  <c r="E1269" i="8"/>
  <c r="S4965" i="5"/>
  <c r="E1067" i="8"/>
  <c r="S3873" i="5"/>
  <c r="E2601" i="8"/>
  <c r="S6206" i="5"/>
  <c r="E1263" i="8"/>
  <c r="S4925" i="5"/>
  <c r="E1134" i="8"/>
  <c r="S4285" i="5"/>
  <c r="E1324" i="8"/>
  <c r="S5188" i="5"/>
  <c r="E921" i="8"/>
  <c r="S3183" i="5"/>
  <c r="E930" i="8"/>
  <c r="S3246" i="5"/>
  <c r="E922" i="8"/>
  <c r="S3191" i="5"/>
  <c r="E1264" i="8"/>
  <c r="S4932" i="5"/>
  <c r="E2611" i="8"/>
  <c r="S6275" i="5"/>
  <c r="E288" i="8"/>
  <c r="S1785" i="5"/>
  <c r="E144" i="8"/>
  <c r="S751" i="5"/>
  <c r="E289" i="8"/>
  <c r="S1792" i="5"/>
  <c r="E1064" i="8"/>
  <c r="S3846" i="5"/>
  <c r="E325" i="8"/>
  <c r="S1964" i="5"/>
  <c r="E1317" i="8"/>
  <c r="S5136" i="5"/>
  <c r="E1334" i="8"/>
  <c r="S5241" i="5"/>
  <c r="E1395" i="8"/>
  <c r="S5488" i="5"/>
  <c r="E2600" i="8"/>
  <c r="S6198" i="5"/>
  <c r="E382" i="8"/>
  <c r="S2371" i="5"/>
  <c r="E132" i="8"/>
  <c r="S707" i="5"/>
  <c r="E1332" i="8"/>
  <c r="S5219" i="5"/>
  <c r="E147" i="8"/>
  <c r="S775" i="5"/>
  <c r="E2620" i="8"/>
  <c r="S6373" i="5"/>
  <c r="E926" i="8"/>
  <c r="E1135" i="8"/>
  <c r="E365" i="8"/>
  <c r="E87" i="8"/>
  <c r="E893" i="8"/>
  <c r="E1364" i="8"/>
  <c r="E1340" i="8"/>
  <c r="E323" i="8"/>
  <c r="E3282" i="8"/>
  <c r="E1082" i="8"/>
  <c r="E864" i="8"/>
  <c r="E898" i="8"/>
  <c r="E1245" i="8"/>
  <c r="E909" i="8"/>
  <c r="E308" i="8"/>
  <c r="E863" i="8"/>
  <c r="E877" i="8"/>
  <c r="E903" i="8"/>
  <c r="E907" i="8"/>
  <c r="E266" i="8"/>
  <c r="E320" i="8"/>
  <c r="E869" i="8"/>
  <c r="E272" i="8"/>
  <c r="E1392" i="8"/>
  <c r="E86" i="8"/>
  <c r="E1331" i="8"/>
  <c r="E307" i="8"/>
  <c r="E311" i="8"/>
  <c r="E994" i="8"/>
  <c r="E911" i="8"/>
  <c r="E997" i="8"/>
  <c r="E319" i="8"/>
  <c r="E1058" i="8"/>
  <c r="E860" i="8"/>
  <c r="E1168" i="8"/>
  <c r="E157" i="8"/>
  <c r="E273" i="8"/>
  <c r="E1246" i="8"/>
  <c r="E301" i="8"/>
  <c r="G75" i="7"/>
  <c r="R75" i="7" s="1"/>
  <c r="H1269" i="5"/>
  <c r="S1269" i="5" s="1"/>
  <c r="H486" i="5"/>
  <c r="H113" i="8"/>
  <c r="H208" i="8"/>
  <c r="F228" i="8"/>
  <c r="H3038" i="5"/>
  <c r="S3038" i="5" s="1"/>
  <c r="H5051" i="5"/>
  <c r="S5051" i="5" s="1"/>
  <c r="H1370" i="5"/>
  <c r="F190" i="8"/>
  <c r="F1260" i="8"/>
  <c r="F932" i="8"/>
  <c r="F131" i="8"/>
  <c r="H3028" i="5"/>
  <c r="S3028" i="5" s="1"/>
  <c r="H4816" i="5"/>
  <c r="S4816" i="5" s="1"/>
  <c r="G144" i="6"/>
  <c r="R144" i="6" s="1"/>
  <c r="H369" i="8"/>
  <c r="H2953" i="5"/>
  <c r="S2953" i="5" s="1"/>
  <c r="F375" i="8"/>
  <c r="H3018" i="5"/>
  <c r="S3018" i="5" s="1"/>
  <c r="H368" i="8"/>
  <c r="F1257" i="8"/>
  <c r="H342" i="8"/>
  <c r="H114" i="8"/>
  <c r="F370" i="8"/>
  <c r="H1922" i="5"/>
  <c r="S1922" i="5" s="1"/>
  <c r="F367" i="8"/>
  <c r="H979" i="8"/>
  <c r="H1075" i="8"/>
  <c r="F1391" i="8"/>
  <c r="F2622" i="8"/>
  <c r="F333" i="8"/>
  <c r="H340" i="8"/>
  <c r="F1336" i="8"/>
  <c r="H1081" i="8"/>
  <c r="F277" i="8"/>
  <c r="H212" i="8"/>
  <c r="H336" i="8"/>
  <c r="H207" i="8"/>
  <c r="H191" i="8"/>
  <c r="H364" i="8"/>
  <c r="G215" i="6"/>
  <c r="R215" i="6" s="1"/>
  <c r="H1291" i="8"/>
  <c r="H188" i="8"/>
  <c r="H189" i="8"/>
  <c r="H1353" i="8"/>
  <c r="H1337" i="8"/>
  <c r="H1354" i="8"/>
  <c r="H1288" i="8"/>
  <c r="F1301" i="8"/>
  <c r="G243" i="6"/>
  <c r="R243" i="6" s="1"/>
  <c r="G229" i="6"/>
  <c r="R229" i="6" s="1"/>
  <c r="G26" i="7"/>
  <c r="R26" i="7" s="1"/>
  <c r="G493" i="6"/>
  <c r="R493" i="6" s="1"/>
  <c r="H231" i="8"/>
  <c r="F366" i="8"/>
  <c r="H136" i="8"/>
  <c r="H2109" i="5"/>
  <c r="S2109" i="5" s="1"/>
  <c r="F2869" i="8"/>
  <c r="H2869" i="8"/>
  <c r="H632" i="5"/>
  <c r="F302" i="8"/>
  <c r="H302" i="8"/>
  <c r="H4958" i="5"/>
  <c r="F1420" i="8"/>
  <c r="H1420" i="8"/>
  <c r="F1177" i="8"/>
  <c r="H1177" i="8"/>
  <c r="G8" i="6"/>
  <c r="R8" i="6" s="1"/>
  <c r="F152" i="8"/>
  <c r="H152" i="8"/>
  <c r="F1037" i="8"/>
  <c r="H1037" i="8"/>
  <c r="H1841" i="5"/>
  <c r="S1841" i="5" s="1"/>
  <c r="H1778" i="5"/>
  <c r="F588" i="8"/>
  <c r="H588" i="8"/>
  <c r="F2613" i="8"/>
  <c r="H2613" i="8"/>
  <c r="H935" i="8"/>
  <c r="F935" i="8"/>
  <c r="F1181" i="8"/>
  <c r="H1181" i="8"/>
  <c r="F81" i="8"/>
  <c r="H81" i="8"/>
  <c r="H492" i="5"/>
  <c r="H4018" i="5"/>
  <c r="S4018" i="5" s="1"/>
  <c r="H2581" i="5"/>
  <c r="F3311" i="8"/>
  <c r="H3311" i="8"/>
  <c r="F158" i="8"/>
  <c r="H158" i="8"/>
  <c r="H1133" i="8"/>
  <c r="F1133" i="8"/>
  <c r="H5166" i="5"/>
  <c r="H150" i="8"/>
  <c r="F150" i="8"/>
  <c r="F146" i="8"/>
  <c r="H146" i="8"/>
  <c r="F3383" i="8"/>
  <c r="H3383" i="8"/>
  <c r="F2683" i="8"/>
  <c r="H2683" i="8"/>
  <c r="H5144" i="5"/>
  <c r="H20" i="5"/>
  <c r="F939" i="8"/>
  <c r="H939" i="8"/>
  <c r="H1364" i="5"/>
  <c r="F2725" i="8"/>
  <c r="H2725" i="8"/>
  <c r="F3018" i="8"/>
  <c r="H3018" i="8"/>
  <c r="F1126" i="8"/>
  <c r="H1126" i="8"/>
  <c r="F1166" i="8"/>
  <c r="H1166" i="8"/>
  <c r="H2883" i="5"/>
  <c r="S2883" i="5" s="1"/>
  <c r="F92" i="6"/>
  <c r="Q92" i="6" s="1"/>
  <c r="F717" i="8"/>
  <c r="H717" i="8"/>
  <c r="F511" i="8"/>
  <c r="H511" i="8"/>
  <c r="F568" i="8"/>
  <c r="H568" i="8"/>
  <c r="H1611" i="5"/>
  <c r="S1611" i="5" s="1"/>
  <c r="H3033" i="5"/>
  <c r="S3033" i="5" s="1"/>
  <c r="H284" i="8"/>
  <c r="I284" i="8" s="1"/>
  <c r="F284" i="8"/>
  <c r="G901" i="5"/>
  <c r="F720" i="8"/>
  <c r="H720" i="8"/>
  <c r="F421" i="8"/>
  <c r="H421" i="8"/>
  <c r="H786" i="5"/>
  <c r="S786" i="5" s="1"/>
  <c r="F1274" i="8"/>
  <c r="H1274" i="8"/>
  <c r="H1356" i="8"/>
  <c r="H3003" i="5"/>
  <c r="S3003" i="5" s="1"/>
  <c r="F1423" i="8"/>
  <c r="H1423" i="8"/>
  <c r="H7363" i="5"/>
  <c r="H4355" i="5"/>
  <c r="H2866" i="5"/>
  <c r="S2866" i="5" s="1"/>
  <c r="H3262" i="8"/>
  <c r="F3262" i="8"/>
  <c r="F377" i="8"/>
  <c r="H377" i="8"/>
  <c r="F102" i="6"/>
  <c r="Q102" i="6" s="1"/>
  <c r="F38" i="8"/>
  <c r="H38" i="8"/>
  <c r="F2876" i="8"/>
  <c r="H2876" i="8"/>
  <c r="F2938" i="8"/>
  <c r="H2938" i="8"/>
  <c r="H5196" i="5"/>
  <c r="H2215" i="5"/>
  <c r="S2215" i="5" s="1"/>
  <c r="F108" i="8"/>
  <c r="H108" i="8"/>
  <c r="I108" i="8" s="1"/>
  <c r="F134" i="8"/>
  <c r="H134" i="8"/>
  <c r="H27" i="8"/>
  <c r="F27" i="8"/>
  <c r="F1886" i="8"/>
  <c r="H1886" i="8"/>
  <c r="H3208" i="5"/>
  <c r="F2908" i="8"/>
  <c r="H2908" i="8"/>
  <c r="F3264" i="8"/>
  <c r="H3264" i="8"/>
  <c r="F936" i="8"/>
  <c r="H936" i="8"/>
  <c r="I936" i="8" s="1"/>
  <c r="F3024" i="8"/>
  <c r="H3024" i="8"/>
  <c r="F3427" i="8"/>
  <c r="H3427" i="8"/>
  <c r="H449" i="5"/>
  <c r="S449" i="5" s="1"/>
  <c r="G632" i="6"/>
  <c r="R632" i="6" s="1"/>
  <c r="F1421" i="8"/>
  <c r="H1421" i="8"/>
  <c r="F1116" i="8"/>
  <c r="H1116" i="8"/>
  <c r="F1876" i="8"/>
  <c r="H1876" i="8"/>
  <c r="F1184" i="8"/>
  <c r="H1184" i="8"/>
  <c r="H8227" i="5"/>
  <c r="S8227" i="5" s="1"/>
  <c r="H3267" i="8"/>
  <c r="F3267" i="8"/>
  <c r="H75" i="8"/>
  <c r="F75" i="8"/>
  <c r="F371" i="8"/>
  <c r="H371" i="8"/>
  <c r="H3247" i="8"/>
  <c r="F3247" i="8"/>
  <c r="H80" i="8"/>
  <c r="F80" i="8"/>
  <c r="F1873" i="8"/>
  <c r="H1873" i="8"/>
  <c r="H1361" i="8"/>
  <c r="F1361" i="8"/>
  <c r="H1424" i="8"/>
  <c r="F1424" i="8"/>
  <c r="F3093" i="8"/>
  <c r="H3093" i="8"/>
  <c r="H2357" i="5"/>
  <c r="H5180" i="5"/>
  <c r="F941" i="8"/>
  <c r="H941" i="8"/>
  <c r="H437" i="5"/>
  <c r="F581" i="8"/>
  <c r="H581" i="8"/>
  <c r="H3900" i="5"/>
  <c r="F2923" i="8"/>
  <c r="H2923" i="8"/>
  <c r="G6172" i="5"/>
  <c r="F1210" i="8"/>
  <c r="H1210" i="8"/>
  <c r="G1873" i="5"/>
  <c r="G5124" i="5"/>
  <c r="G1391" i="5"/>
  <c r="F75" i="6"/>
  <c r="Q75" i="6" s="1"/>
  <c r="F1422" i="8"/>
  <c r="H1422" i="8"/>
  <c r="F85" i="8"/>
  <c r="H85" i="8"/>
  <c r="H4373" i="5"/>
  <c r="G315" i="6"/>
  <c r="R315" i="6" s="1"/>
  <c r="F3379" i="8"/>
  <c r="H3379" i="8"/>
  <c r="H194" i="8"/>
  <c r="F194" i="8"/>
  <c r="H4885" i="5"/>
  <c r="S4885" i="5" s="1"/>
  <c r="H2695" i="8"/>
  <c r="F2695" i="8"/>
  <c r="F399" i="6"/>
  <c r="Q399" i="6" s="1"/>
  <c r="H1847" i="5"/>
  <c r="S1847" i="5" s="1"/>
  <c r="G329" i="6"/>
  <c r="R329" i="6" s="1"/>
  <c r="F78" i="8"/>
  <c r="H78" i="8"/>
  <c r="H1550" i="5"/>
  <c r="H2603" i="8"/>
  <c r="F2603" i="8"/>
  <c r="F2753" i="8"/>
  <c r="H2753" i="8"/>
  <c r="F354" i="8"/>
  <c r="H354" i="8"/>
  <c r="I354" i="8" s="1"/>
  <c r="F261" i="6"/>
  <c r="Q261" i="6" s="1"/>
  <c r="H3076" i="5"/>
  <c r="S3076" i="5" s="1"/>
  <c r="F26" i="8"/>
  <c r="H26" i="8"/>
  <c r="F422" i="6"/>
  <c r="G301" i="6"/>
  <c r="R301" i="6" s="1"/>
  <c r="H679" i="5"/>
  <c r="S679" i="5" s="1"/>
  <c r="H21" i="8"/>
  <c r="F21" i="8"/>
  <c r="H135" i="8"/>
  <c r="F135" i="8"/>
  <c r="H3337" i="5"/>
  <c r="F2706" i="8"/>
  <c r="H2706" i="8"/>
  <c r="I2706" i="8" s="1"/>
  <c r="F3426" i="8"/>
  <c r="H3426" i="8"/>
  <c r="H1019" i="8"/>
  <c r="F1019" i="8"/>
  <c r="F577" i="8"/>
  <c r="H577" i="8"/>
  <c r="F576" i="8"/>
  <c r="H576" i="8"/>
  <c r="H4726" i="5"/>
  <c r="S4726" i="5" s="1"/>
  <c r="F2936" i="8"/>
  <c r="H2936" i="8"/>
  <c r="H2573" i="5"/>
  <c r="S2573" i="5" s="1"/>
  <c r="F585" i="8"/>
  <c r="H585" i="8"/>
  <c r="F3026" i="8"/>
  <c r="H3026" i="8"/>
  <c r="H49" i="8"/>
  <c r="I49" i="8" s="1"/>
  <c r="F49" i="8"/>
  <c r="F47" i="8"/>
  <c r="H47" i="8"/>
  <c r="F91" i="6"/>
  <c r="Q91" i="6" s="1"/>
  <c r="H5459" i="5"/>
  <c r="H1278" i="8"/>
  <c r="F1278" i="8"/>
  <c r="F8" i="8"/>
  <c r="H8" i="8"/>
  <c r="I8" i="8" s="1"/>
  <c r="G553" i="6"/>
  <c r="R553" i="6" s="1"/>
  <c r="H3094" i="5"/>
  <c r="S3094" i="5" s="1"/>
  <c r="F477" i="8"/>
  <c r="H477" i="8"/>
  <c r="G4772" i="5"/>
  <c r="F584" i="8"/>
  <c r="H584" i="8"/>
  <c r="G3952" i="5"/>
  <c r="H2618" i="8"/>
  <c r="F2618" i="8"/>
  <c r="H3573" i="5"/>
  <c r="S3573" i="5" s="1"/>
  <c r="H84" i="8"/>
  <c r="F84" i="8"/>
  <c r="F3211" i="8"/>
  <c r="H3211" i="8"/>
  <c r="H1160" i="8"/>
  <c r="F1160" i="8"/>
  <c r="H1296" i="5"/>
  <c r="S1296" i="5" s="1"/>
  <c r="F317" i="8"/>
  <c r="H317" i="8"/>
  <c r="F1410" i="8"/>
  <c r="H1410" i="8"/>
  <c r="F1499" i="8"/>
  <c r="H1499" i="8"/>
  <c r="F920" i="8"/>
  <c r="H920" i="8"/>
  <c r="F3038" i="8"/>
  <c r="H3038" i="8"/>
  <c r="F3424" i="8"/>
  <c r="H3424" i="8"/>
  <c r="H7224" i="5"/>
  <c r="S7224" i="5" s="1"/>
  <c r="H7391" i="5"/>
  <c r="F241" i="8"/>
  <c r="H241" i="8"/>
  <c r="F3091" i="8"/>
  <c r="H3091" i="8"/>
  <c r="G4133" i="5"/>
  <c r="F99" i="8"/>
  <c r="H99" i="8"/>
  <c r="F2816" i="8"/>
  <c r="H2816" i="8"/>
  <c r="F913" i="8"/>
  <c r="H913" i="8"/>
  <c r="F934" i="8"/>
  <c r="H934" i="8"/>
  <c r="I934" i="8" s="1"/>
  <c r="H213" i="8"/>
  <c r="F213" i="8"/>
  <c r="F924" i="8"/>
  <c r="H924" i="8"/>
  <c r="I924" i="8" s="1"/>
  <c r="F587" i="8"/>
  <c r="H587" i="8"/>
  <c r="H329" i="8"/>
  <c r="F329" i="8"/>
  <c r="H2228" i="5"/>
  <c r="S2228" i="5" s="1"/>
  <c r="H3331" i="5"/>
  <c r="F2722" i="8"/>
  <c r="H2722" i="8"/>
  <c r="F3434" i="8"/>
  <c r="H3434" i="8"/>
  <c r="F572" i="8"/>
  <c r="H572" i="8"/>
  <c r="F1419" i="8"/>
  <c r="H1419" i="8"/>
  <c r="F1872" i="8"/>
  <c r="H1872" i="8"/>
  <c r="H4911" i="5"/>
  <c r="H3089" i="5"/>
  <c r="S3089" i="5" s="1"/>
  <c r="F355" i="8"/>
  <c r="H355" i="8"/>
  <c r="H963" i="8"/>
  <c r="F963" i="8"/>
  <c r="G50" i="6"/>
  <c r="R50" i="6" s="1"/>
  <c r="H6468" i="5"/>
  <c r="S6468" i="5" s="1"/>
  <c r="H2352" i="5"/>
  <c r="S2352" i="5" s="1"/>
  <c r="F2814" i="8"/>
  <c r="H2814" i="8"/>
  <c r="H1771" i="5"/>
  <c r="F3236" i="8"/>
  <c r="H3236" i="8"/>
  <c r="H175" i="8"/>
  <c r="F175" i="8"/>
  <c r="G584" i="6"/>
  <c r="R584" i="6" s="1"/>
  <c r="H3433" i="8"/>
  <c r="F3433" i="8"/>
  <c r="F2907" i="8"/>
  <c r="H2907" i="8"/>
  <c r="H3099" i="5"/>
  <c r="S3099" i="5" s="1"/>
  <c r="H4615" i="5"/>
  <c r="S4615" i="5" s="1"/>
  <c r="G1941" i="5"/>
  <c r="H5260" i="5"/>
  <c r="S5260" i="5" s="1"/>
  <c r="F1874" i="8"/>
  <c r="H1874" i="8"/>
  <c r="H308" i="5"/>
  <c r="F476" i="8"/>
  <c r="H476" i="8"/>
  <c r="F473" i="8"/>
  <c r="H473" i="8"/>
  <c r="F3237" i="8"/>
  <c r="H3237" i="8"/>
  <c r="F43" i="8"/>
  <c r="H43" i="8"/>
  <c r="G6161" i="5"/>
  <c r="F359" i="6"/>
  <c r="G1441" i="5"/>
  <c r="G1378" i="5"/>
  <c r="G1732" i="5"/>
  <c r="G5359" i="5"/>
  <c r="H1764" i="5"/>
  <c r="F2812" i="8"/>
  <c r="H2812" i="8"/>
  <c r="F3137" i="8"/>
  <c r="H3137" i="8"/>
  <c r="F2707" i="8"/>
  <c r="H2707" i="8"/>
  <c r="I2707" i="8" s="1"/>
  <c r="H3013" i="5"/>
  <c r="S3013" i="5" s="1"/>
  <c r="F2742" i="8"/>
  <c r="H2742" i="8"/>
  <c r="F219" i="8"/>
  <c r="H219" i="8"/>
  <c r="H17" i="8"/>
  <c r="F17" i="8"/>
  <c r="H2948" i="5"/>
  <c r="S2948" i="5" s="1"/>
  <c r="F1409" i="8"/>
  <c r="H1409" i="8"/>
  <c r="F3025" i="8"/>
  <c r="H3025" i="8"/>
  <c r="F2905" i="8"/>
  <c r="H2905" i="8"/>
  <c r="F133" i="8"/>
  <c r="H133" i="8"/>
  <c r="F1413" i="8"/>
  <c r="H1413" i="8"/>
  <c r="H1351" i="5"/>
  <c r="H2998" i="5"/>
  <c r="S2998" i="5" s="1"/>
  <c r="F39" i="8"/>
  <c r="H39" i="8"/>
  <c r="F163" i="6"/>
  <c r="Q163" i="6" s="1"/>
  <c r="H3119" i="5"/>
  <c r="S3119" i="5" s="1"/>
  <c r="F1427" i="8"/>
  <c r="H1427" i="8"/>
  <c r="F174" i="8"/>
  <c r="H174" i="8"/>
  <c r="F44" i="8"/>
  <c r="H44" i="8"/>
  <c r="H1604" i="5"/>
  <c r="S1604" i="5" s="1"/>
  <c r="F291" i="6"/>
  <c r="F2757" i="8"/>
  <c r="H2757" i="8"/>
  <c r="F1607" i="8"/>
  <c r="H1607" i="8"/>
  <c r="F1425" i="8"/>
  <c r="H1425" i="8"/>
  <c r="H1957" i="5"/>
  <c r="F3349" i="8"/>
  <c r="H3349" i="8"/>
  <c r="F3212" i="8"/>
  <c r="H3212" i="8"/>
  <c r="H3364" i="5"/>
  <c r="F1146" i="8"/>
  <c r="H1146" i="8"/>
  <c r="H1300" i="8"/>
  <c r="F1300" i="8"/>
  <c r="F185" i="8"/>
  <c r="H185" i="8"/>
  <c r="H201" i="8"/>
  <c r="F201" i="8"/>
  <c r="F1396" i="8"/>
  <c r="H1396" i="8"/>
  <c r="H3008" i="5"/>
  <c r="S3008" i="5" s="1"/>
  <c r="G505" i="6"/>
  <c r="R505" i="6" s="1"/>
  <c r="H2589" i="5"/>
  <c r="S2589" i="5" s="1"/>
  <c r="G1721" i="5"/>
  <c r="F1416" i="8"/>
  <c r="H1416" i="8"/>
  <c r="F1110" i="8"/>
  <c r="H1110" i="8"/>
  <c r="F2877" i="8"/>
  <c r="H2877" i="8"/>
  <c r="F1415" i="8"/>
  <c r="H1415" i="8"/>
  <c r="F714" i="8"/>
  <c r="H714" i="8"/>
  <c r="F1286" i="8"/>
  <c r="H1286" i="8"/>
  <c r="H1945" i="5"/>
  <c r="S1945" i="5" s="1"/>
  <c r="F582" i="8"/>
  <c r="H582" i="8"/>
  <c r="F2868" i="8"/>
  <c r="H2868" i="8"/>
  <c r="H4918" i="5"/>
  <c r="G1983" i="5"/>
  <c r="H14" i="8"/>
  <c r="I14" i="8" s="1"/>
  <c r="F14" i="8"/>
  <c r="F3488" i="8"/>
  <c r="H3488" i="8"/>
  <c r="I3488" i="8" s="1"/>
  <c r="F36" i="8"/>
  <c r="H36" i="8"/>
  <c r="F356" i="8"/>
  <c r="H356" i="8"/>
  <c r="I356" i="8" s="1"/>
  <c r="F1333" i="8"/>
  <c r="H1333" i="8"/>
  <c r="F1426" i="8"/>
  <c r="H1426" i="8"/>
  <c r="H1543" i="5"/>
  <c r="S1543" i="5" s="1"/>
  <c r="F3460" i="8"/>
  <c r="H3460" i="8"/>
  <c r="H1657" i="5"/>
  <c r="S1657" i="5" s="1"/>
  <c r="F149" i="8"/>
  <c r="H149" i="8"/>
  <c r="I149" i="8" s="1"/>
  <c r="G7496" i="5"/>
  <c r="G1674" i="5"/>
  <c r="G1855" i="5"/>
  <c r="G1701" i="5"/>
  <c r="G1879" i="5"/>
  <c r="H2347" i="5"/>
  <c r="S2347" i="5" s="1"/>
  <c r="F1417" i="8"/>
  <c r="H1417" i="8"/>
  <c r="H293" i="5"/>
  <c r="F1888" i="8"/>
  <c r="H1888" i="8"/>
  <c r="F345" i="8"/>
  <c r="H345" i="8"/>
  <c r="H689" i="5"/>
  <c r="S689" i="5" s="1"/>
  <c r="F2315" i="8"/>
  <c r="H2315" i="8"/>
  <c r="G3838" i="5"/>
  <c r="F2813" i="8"/>
  <c r="H2813" i="8"/>
  <c r="F1231" i="8"/>
  <c r="H1231" i="8"/>
  <c r="H910" i="5"/>
  <c r="S910" i="5" s="1"/>
  <c r="H5388" i="5"/>
  <c r="S5388" i="5" s="1"/>
  <c r="H3109" i="5"/>
  <c r="S3109" i="5" s="1"/>
  <c r="H1835" i="5"/>
  <c r="S1835" i="5" s="1"/>
  <c r="F400" i="6"/>
  <c r="Q400" i="6" s="1"/>
  <c r="H5349" i="5"/>
  <c r="G429" i="6"/>
  <c r="R429" i="6" s="1"/>
  <c r="H4939" i="5"/>
  <c r="S4939" i="5" s="1"/>
  <c r="F3480" i="8"/>
  <c r="H3480" i="8"/>
  <c r="F2333" i="8"/>
  <c r="H2333" i="8"/>
  <c r="F164" i="6"/>
  <c r="Q164" i="6" s="1"/>
  <c r="F1065" i="8"/>
  <c r="H1065" i="8"/>
  <c r="F1241" i="8"/>
  <c r="H1241" i="8"/>
  <c r="H527" i="5"/>
  <c r="F2088" i="8"/>
  <c r="H2088" i="8"/>
  <c r="H205" i="8"/>
  <c r="F205" i="8"/>
  <c r="F1880" i="8"/>
  <c r="H1880" i="8"/>
  <c r="F494" i="8"/>
  <c r="H494" i="8"/>
  <c r="F280" i="6"/>
  <c r="H2968" i="5"/>
  <c r="S2968" i="5" s="1"/>
  <c r="H1651" i="5"/>
  <c r="S1651" i="5" s="1"/>
  <c r="F580" i="8"/>
  <c r="H580" i="8"/>
  <c r="F2612" i="8"/>
  <c r="H2612" i="8"/>
  <c r="G460" i="6"/>
  <c r="R460" i="6" s="1"/>
  <c r="F991" i="8"/>
  <c r="H991" i="8"/>
  <c r="F919" i="8"/>
  <c r="H919" i="8"/>
  <c r="F74" i="6"/>
  <c r="Q74" i="6" s="1"/>
  <c r="F1493" i="8"/>
  <c r="H1493" i="8"/>
  <c r="H5375" i="5"/>
  <c r="S5375" i="5" s="1"/>
  <c r="F2906" i="8"/>
  <c r="H2906" i="8"/>
  <c r="F262" i="6"/>
  <c r="Q262" i="6" s="1"/>
  <c r="H3129" i="5"/>
  <c r="S3129" i="5" s="1"/>
  <c r="H4549" i="5"/>
  <c r="S4549" i="5" s="1"/>
  <c r="F2617" i="8"/>
  <c r="H2617" i="8"/>
  <c r="F1408" i="8"/>
  <c r="H1408" i="8"/>
  <c r="H2846" i="5"/>
  <c r="S2846" i="5" s="1"/>
  <c r="H92" i="8"/>
  <c r="F92" i="8"/>
  <c r="H4629" i="5"/>
  <c r="S4629" i="5" s="1"/>
  <c r="F2087" i="8"/>
  <c r="H2087" i="8"/>
  <c r="F937" i="8"/>
  <c r="H937" i="8"/>
  <c r="H1029" i="5"/>
  <c r="S1029" i="5" s="1"/>
  <c r="G1710" i="5"/>
  <c r="H2851" i="5"/>
  <c r="S2851" i="5" s="1"/>
  <c r="G7497" i="5"/>
  <c r="F1418" i="8"/>
  <c r="H1418" i="8"/>
  <c r="F1189" i="8"/>
  <c r="H1189" i="8"/>
  <c r="F1884" i="8"/>
  <c r="H1884" i="8"/>
  <c r="F933" i="8"/>
  <c r="H933" i="8"/>
  <c r="H2391" i="5"/>
  <c r="S2391" i="5" s="1"/>
  <c r="H93" i="8"/>
  <c r="F93" i="8"/>
  <c r="F2368" i="8"/>
  <c r="H2368" i="8"/>
  <c r="F3367" i="8"/>
  <c r="H3367" i="8"/>
  <c r="F1368" i="8"/>
  <c r="H1368" i="8"/>
  <c r="F37" i="8"/>
  <c r="H37" i="8"/>
  <c r="H1889" i="5"/>
  <c r="S1889" i="5" s="1"/>
  <c r="H5152" i="5"/>
  <c r="F346" i="8"/>
  <c r="H346" i="8"/>
  <c r="F412" i="6"/>
  <c r="Q412" i="6" s="1"/>
  <c r="F411" i="6"/>
  <c r="Q411" i="6" s="1"/>
  <c r="G4331" i="5"/>
  <c r="H1046" i="8"/>
  <c r="F1046" i="8"/>
  <c r="F2937" i="8"/>
  <c r="H2937" i="8"/>
  <c r="F2870" i="8"/>
  <c r="H2870" i="8"/>
  <c r="H3587" i="5"/>
  <c r="S3587" i="5" s="1"/>
  <c r="F50" i="8"/>
  <c r="H50" i="8"/>
  <c r="H938" i="8"/>
  <c r="F938" i="8"/>
  <c r="F28" i="8"/>
  <c r="H28" i="8"/>
  <c r="F101" i="6"/>
  <c r="Q101" i="6" s="1"/>
  <c r="F940" i="8"/>
  <c r="H940" i="8"/>
  <c r="F153" i="8"/>
  <c r="H153" i="8"/>
  <c r="G1818" i="5"/>
  <c r="G2017" i="5"/>
  <c r="G2879" i="5"/>
  <c r="G1743" i="5"/>
  <c r="G1635" i="5"/>
  <c r="O2706" i="8" l="1"/>
  <c r="P2706" i="8" s="1"/>
  <c r="R2706" i="8" s="1"/>
  <c r="O934" i="8"/>
  <c r="P934" i="8" s="1"/>
  <c r="R934" i="8" s="1"/>
  <c r="O936" i="8"/>
  <c r="P936" i="8" s="1"/>
  <c r="R936" i="8" s="1"/>
  <c r="O3488" i="8"/>
  <c r="P3488" i="8" s="1"/>
  <c r="R3488" i="8" s="1"/>
  <c r="S250" i="8"/>
  <c r="O149" i="8"/>
  <c r="P149" i="8" s="1"/>
  <c r="R149" i="8" s="1"/>
  <c r="O924" i="8"/>
  <c r="P924" i="8" s="1"/>
  <c r="R924" i="8" s="1"/>
  <c r="O284" i="8"/>
  <c r="P284" i="8" s="1"/>
  <c r="R284" i="8" s="1"/>
  <c r="S30" i="8"/>
  <c r="O14" i="8"/>
  <c r="P14" i="8" s="1"/>
  <c r="R14" i="8" s="1"/>
  <c r="O8" i="8"/>
  <c r="P8" i="8" s="1"/>
  <c r="R8" i="8" s="1"/>
  <c r="O354" i="8"/>
  <c r="P354" i="8" s="1"/>
  <c r="R354" i="8" s="1"/>
  <c r="O108" i="8"/>
  <c r="P108" i="8" s="1"/>
  <c r="R108" i="8" s="1"/>
  <c r="O2707" i="8"/>
  <c r="P2707" i="8" s="1"/>
  <c r="R2707" i="8" s="1"/>
  <c r="O356" i="8"/>
  <c r="P356" i="8" s="1"/>
  <c r="R356" i="8" s="1"/>
  <c r="O49" i="8"/>
  <c r="P49" i="8" s="1"/>
  <c r="R49" i="8" s="1"/>
  <c r="S251" i="8"/>
  <c r="I1368" i="8"/>
  <c r="I3460" i="8"/>
  <c r="I3025" i="8"/>
  <c r="I963" i="8"/>
  <c r="I213" i="8"/>
  <c r="I1410" i="8"/>
  <c r="I3026" i="8"/>
  <c r="I2333" i="8"/>
  <c r="I241" i="8"/>
  <c r="I47" i="8"/>
  <c r="I941" i="8"/>
  <c r="I371" i="8"/>
  <c r="I134" i="8"/>
  <c r="I3262" i="8"/>
  <c r="I717" i="8"/>
  <c r="I935" i="8"/>
  <c r="I191" i="8"/>
  <c r="I114" i="8"/>
  <c r="I1046" i="8"/>
  <c r="I494" i="8"/>
  <c r="I3480" i="8"/>
  <c r="I1286" i="8"/>
  <c r="I1396" i="8"/>
  <c r="I1425" i="8"/>
  <c r="I39" i="8"/>
  <c r="I17" i="8"/>
  <c r="I175" i="8"/>
  <c r="I1499" i="8"/>
  <c r="I1160" i="8"/>
  <c r="I2923" i="8"/>
  <c r="I38" i="8"/>
  <c r="I2725" i="8"/>
  <c r="I336" i="8"/>
  <c r="I940" i="8"/>
  <c r="I93" i="8"/>
  <c r="I1418" i="8"/>
  <c r="I2087" i="8"/>
  <c r="I2617" i="8"/>
  <c r="I1493" i="8"/>
  <c r="I2612" i="8"/>
  <c r="I1241" i="8"/>
  <c r="I219" i="8"/>
  <c r="I476" i="8"/>
  <c r="I3236" i="8"/>
  <c r="I1419" i="8"/>
  <c r="I99" i="8"/>
  <c r="I3211" i="8"/>
  <c r="I584" i="8"/>
  <c r="I3379" i="8"/>
  <c r="I75" i="8"/>
  <c r="I1116" i="8"/>
  <c r="I3024" i="8"/>
  <c r="I421" i="8"/>
  <c r="I3383" i="8"/>
  <c r="I1133" i="8"/>
  <c r="I81" i="8"/>
  <c r="I588" i="8"/>
  <c r="I189" i="8"/>
  <c r="I212" i="8"/>
  <c r="I1075" i="8"/>
  <c r="I368" i="8"/>
  <c r="I208" i="8"/>
  <c r="I1231" i="8"/>
  <c r="I1607" i="8"/>
  <c r="I2907" i="8"/>
  <c r="I2753" i="8"/>
  <c r="I3093" i="8"/>
  <c r="I1886" i="8"/>
  <c r="I1423" i="8"/>
  <c r="I568" i="8"/>
  <c r="I1166" i="8"/>
  <c r="I158" i="8"/>
  <c r="I1177" i="8"/>
  <c r="I2869" i="8"/>
  <c r="I188" i="8"/>
  <c r="I979" i="8"/>
  <c r="I113" i="8"/>
  <c r="I2870" i="8"/>
  <c r="I933" i="8"/>
  <c r="I580" i="8"/>
  <c r="I1065" i="8"/>
  <c r="I36" i="8"/>
  <c r="I2868" i="8"/>
  <c r="I201" i="8"/>
  <c r="I3212" i="8"/>
  <c r="I2742" i="8"/>
  <c r="I43" i="8"/>
  <c r="I355" i="8"/>
  <c r="I572" i="8"/>
  <c r="I1278" i="8"/>
  <c r="I581" i="8"/>
  <c r="I80" i="8"/>
  <c r="I3267" i="8"/>
  <c r="I1421" i="8"/>
  <c r="I377" i="8"/>
  <c r="I720" i="8"/>
  <c r="I939" i="8"/>
  <c r="I146" i="8"/>
  <c r="I1181" i="8"/>
  <c r="I1291" i="8"/>
  <c r="I1081" i="8"/>
  <c r="I28" i="8"/>
  <c r="I3367" i="8"/>
  <c r="I919" i="8"/>
  <c r="I2813" i="8"/>
  <c r="I1415" i="8"/>
  <c r="I1427" i="8"/>
  <c r="I1409" i="8"/>
  <c r="I2814" i="8"/>
  <c r="I329" i="8"/>
  <c r="I3038" i="8"/>
  <c r="I84" i="8"/>
  <c r="I577" i="8"/>
  <c r="I346" i="8"/>
  <c r="I1888" i="8"/>
  <c r="I185" i="8"/>
  <c r="I2757" i="8"/>
  <c r="I1413" i="8"/>
  <c r="I1874" i="8"/>
  <c r="I3091" i="8"/>
  <c r="I317" i="8"/>
  <c r="I477" i="8"/>
  <c r="I585" i="8"/>
  <c r="I26" i="8"/>
  <c r="I2938" i="8"/>
  <c r="I511" i="8"/>
  <c r="I1126" i="8"/>
  <c r="I3311" i="8"/>
  <c r="I1420" i="8"/>
  <c r="I2937" i="8"/>
  <c r="I1884" i="8"/>
  <c r="I92" i="8"/>
  <c r="I205" i="8"/>
  <c r="I1426" i="8"/>
  <c r="I582" i="8"/>
  <c r="I3349" i="8"/>
  <c r="I3237" i="8"/>
  <c r="I3433" i="8"/>
  <c r="I3434" i="8"/>
  <c r="I587" i="8"/>
  <c r="I913" i="8"/>
  <c r="I2603" i="8"/>
  <c r="I2695" i="8"/>
  <c r="I85" i="8"/>
  <c r="I1210" i="8"/>
  <c r="I1424" i="8"/>
  <c r="I3247" i="8"/>
  <c r="I1184" i="8"/>
  <c r="I3264" i="8"/>
  <c r="I27" i="8"/>
  <c r="I1356" i="8"/>
  <c r="I1037" i="8"/>
  <c r="I136" i="8"/>
  <c r="I1288" i="8"/>
  <c r="I364" i="8"/>
  <c r="I340" i="8"/>
  <c r="I369" i="8"/>
  <c r="I714" i="8"/>
  <c r="I174" i="8"/>
  <c r="I2906" i="8"/>
  <c r="I153" i="8"/>
  <c r="I938" i="8"/>
  <c r="I1189" i="8"/>
  <c r="I937" i="8"/>
  <c r="I1408" i="8"/>
  <c r="I2315" i="8"/>
  <c r="I1417" i="8"/>
  <c r="I1333" i="8"/>
  <c r="I1300" i="8"/>
  <c r="I473" i="8"/>
  <c r="I1872" i="8"/>
  <c r="I2722" i="8"/>
  <c r="I2816" i="8"/>
  <c r="I2618" i="8"/>
  <c r="I2936" i="8"/>
  <c r="I1019" i="8"/>
  <c r="I78" i="8"/>
  <c r="I1422" i="8"/>
  <c r="I1361" i="8"/>
  <c r="I1876" i="8"/>
  <c r="I3427" i="8"/>
  <c r="I2908" i="8"/>
  <c r="I2683" i="8"/>
  <c r="I2613" i="8"/>
  <c r="I152" i="8"/>
  <c r="I302" i="8"/>
  <c r="I231" i="8"/>
  <c r="I1337" i="8"/>
  <c r="I207" i="8"/>
  <c r="I342" i="8"/>
  <c r="I1880" i="8"/>
  <c r="I345" i="8"/>
  <c r="I1416" i="8"/>
  <c r="I2812" i="8"/>
  <c r="I3424" i="8"/>
  <c r="I576" i="8"/>
  <c r="I2368" i="8"/>
  <c r="I991" i="8"/>
  <c r="I2088" i="8"/>
  <c r="I2877" i="8"/>
  <c r="I133" i="8"/>
  <c r="I920" i="8"/>
  <c r="I135" i="8"/>
  <c r="I2876" i="8"/>
  <c r="I1274" i="8"/>
  <c r="I3018" i="8"/>
  <c r="I150" i="8"/>
  <c r="I1354" i="8"/>
  <c r="I50" i="8"/>
  <c r="I37" i="8"/>
  <c r="I1110" i="8"/>
  <c r="I1146" i="8"/>
  <c r="I44" i="8"/>
  <c r="I2905" i="8"/>
  <c r="I3137" i="8"/>
  <c r="I3426" i="8"/>
  <c r="I21" i="8"/>
  <c r="I194" i="8"/>
  <c r="I1873" i="8"/>
  <c r="I1353" i="8"/>
  <c r="G276" i="6"/>
  <c r="R276" i="6" s="1"/>
  <c r="Q280" i="6"/>
  <c r="G287" i="6"/>
  <c r="R287" i="6" s="1"/>
  <c r="Q291" i="6"/>
  <c r="G355" i="6"/>
  <c r="R355" i="6" s="1"/>
  <c r="Q359" i="6"/>
  <c r="G418" i="6"/>
  <c r="R418" i="6" s="1"/>
  <c r="Q422" i="6"/>
  <c r="E1262" i="8"/>
  <c r="S4918" i="5"/>
  <c r="E949" i="8"/>
  <c r="S3364" i="5"/>
  <c r="E235" i="8"/>
  <c r="S1364" i="5"/>
  <c r="E233" i="8"/>
  <c r="S1351" i="5"/>
  <c r="E83" i="8"/>
  <c r="S308" i="5"/>
  <c r="E286" i="8"/>
  <c r="S1771" i="5"/>
  <c r="E1330" i="8"/>
  <c r="S5196" i="5"/>
  <c r="E287" i="8"/>
  <c r="S1778" i="5"/>
  <c r="E101" i="8"/>
  <c r="S486" i="5"/>
  <c r="E1358" i="8"/>
  <c r="S5349" i="5"/>
  <c r="E285" i="8"/>
  <c r="S1764" i="5"/>
  <c r="E1382" i="8"/>
  <c r="S5459" i="5"/>
  <c r="E943" i="8"/>
  <c r="S3337" i="5"/>
  <c r="E1141" i="8"/>
  <c r="S4373" i="5"/>
  <c r="E95" i="8"/>
  <c r="S437" i="5"/>
  <c r="E9" i="8"/>
  <c r="S20" i="5"/>
  <c r="E236" i="8"/>
  <c r="S1370" i="5"/>
  <c r="E324" i="8"/>
  <c r="S1957" i="5"/>
  <c r="E1321" i="8"/>
  <c r="S5166" i="5"/>
  <c r="E1268" i="8"/>
  <c r="S4958" i="5"/>
  <c r="E1319" i="8"/>
  <c r="S5152" i="5"/>
  <c r="E82" i="8"/>
  <c r="S293" i="5"/>
  <c r="E1261" i="8"/>
  <c r="S4911" i="5"/>
  <c r="E255" i="8"/>
  <c r="S1550" i="5"/>
  <c r="E1318" i="8"/>
  <c r="S5144" i="5"/>
  <c r="E574" i="8"/>
  <c r="S2581" i="5"/>
  <c r="E107" i="8"/>
  <c r="S527" i="5"/>
  <c r="E3256" i="8"/>
  <c r="S7391" i="5"/>
  <c r="E1323" i="8"/>
  <c r="S5180" i="5"/>
  <c r="E1139" i="8"/>
  <c r="S4355" i="5"/>
  <c r="E102" i="8"/>
  <c r="S492" i="5"/>
  <c r="E942" i="8"/>
  <c r="S3331" i="5"/>
  <c r="E380" i="8"/>
  <c r="S2357" i="5"/>
  <c r="E925" i="8"/>
  <c r="S3208" i="5"/>
  <c r="E3252" i="8"/>
  <c r="S7363" i="5"/>
  <c r="E120" i="8"/>
  <c r="S632" i="5"/>
  <c r="E1069" i="8"/>
  <c r="S3900" i="5"/>
  <c r="E908" i="8"/>
  <c r="E912" i="8"/>
  <c r="E1363" i="8"/>
  <c r="E891" i="8"/>
  <c r="E1338" i="8"/>
  <c r="E902" i="8"/>
  <c r="E305" i="8"/>
  <c r="E148" i="8"/>
  <c r="E896" i="8"/>
  <c r="E378" i="8"/>
  <c r="E1164" i="8"/>
  <c r="E882" i="8"/>
  <c r="E130" i="8"/>
  <c r="E171" i="8"/>
  <c r="E271" i="8"/>
  <c r="E262" i="8"/>
  <c r="E978" i="8"/>
  <c r="E905" i="8"/>
  <c r="E879" i="8"/>
  <c r="E1365" i="8"/>
  <c r="E878" i="8"/>
  <c r="E361" i="8"/>
  <c r="E890" i="8"/>
  <c r="E225" i="8"/>
  <c r="E895" i="8"/>
  <c r="E868" i="8"/>
  <c r="E344" i="8"/>
  <c r="E318" i="8"/>
  <c r="E980" i="8"/>
  <c r="E862" i="8"/>
  <c r="E385" i="8"/>
  <c r="E254" i="8"/>
  <c r="E575" i="8"/>
  <c r="E1171" i="8"/>
  <c r="E573" i="8"/>
  <c r="E3490" i="8"/>
  <c r="E263" i="8"/>
  <c r="E910" i="8"/>
  <c r="E906" i="8"/>
  <c r="E363" i="8"/>
  <c r="E129" i="8"/>
  <c r="E865" i="8"/>
  <c r="E889" i="8"/>
  <c r="E861" i="8"/>
  <c r="E1265" i="8"/>
  <c r="E379" i="8"/>
  <c r="E904" i="8"/>
  <c r="E3132" i="8"/>
  <c r="E221" i="8"/>
  <c r="E312" i="8"/>
  <c r="E1173" i="8"/>
  <c r="E270" i="8"/>
  <c r="E303" i="8"/>
  <c r="E322" i="8"/>
  <c r="E888" i="8"/>
  <c r="E2709" i="8"/>
  <c r="E1185" i="8"/>
  <c r="E1256" i="8"/>
  <c r="E97" i="8"/>
  <c r="E304" i="8"/>
  <c r="E1247" i="8"/>
  <c r="E187" i="8"/>
  <c r="E1085" i="8"/>
  <c r="E892" i="8"/>
  <c r="E894" i="8"/>
  <c r="E1287" i="8"/>
  <c r="G71" i="6"/>
  <c r="R71" i="6" s="1"/>
  <c r="G88" i="6"/>
  <c r="R88" i="6" s="1"/>
  <c r="G4171" i="5"/>
  <c r="G98" i="6"/>
  <c r="R98" i="6" s="1"/>
  <c r="G406" i="6"/>
  <c r="R406" i="6" s="1"/>
  <c r="G1486" i="5"/>
  <c r="F3035" i="8"/>
  <c r="H3035" i="8"/>
  <c r="F2299" i="8"/>
  <c r="H2299" i="8"/>
  <c r="F2894" i="8"/>
  <c r="H2894" i="8"/>
  <c r="F3304" i="8"/>
  <c r="H3304" i="8"/>
  <c r="F3319" i="8"/>
  <c r="H3319" i="8"/>
  <c r="H3461" i="8"/>
  <c r="F3461" i="8"/>
  <c r="F1224" i="8"/>
  <c r="H1224" i="8"/>
  <c r="F3336" i="8"/>
  <c r="H3336" i="8"/>
  <c r="H1018" i="8"/>
  <c r="F1018" i="8"/>
  <c r="F750" i="8"/>
  <c r="H750" i="8"/>
  <c r="F3345" i="8"/>
  <c r="H3345" i="8"/>
  <c r="F495" i="8"/>
  <c r="H495" i="8"/>
  <c r="H1103" i="8"/>
  <c r="F1103" i="8"/>
  <c r="F3382" i="8"/>
  <c r="H3382" i="8"/>
  <c r="F834" i="8"/>
  <c r="H834" i="8"/>
  <c r="F3117" i="8"/>
  <c r="H3117" i="8"/>
  <c r="F179" i="8"/>
  <c r="H179" i="8"/>
  <c r="F3439" i="8"/>
  <c r="H3439" i="8"/>
  <c r="G2878" i="5"/>
  <c r="F1211" i="8"/>
  <c r="H1211" i="8"/>
  <c r="F3295" i="8"/>
  <c r="H3295" i="8"/>
  <c r="F1831" i="8"/>
  <c r="H1831" i="8"/>
  <c r="G3953" i="5"/>
  <c r="F3045" i="8"/>
  <c r="H3045" i="8"/>
  <c r="F216" i="8"/>
  <c r="H216" i="8"/>
  <c r="F1572" i="8"/>
  <c r="H1572" i="8"/>
  <c r="F3309" i="8"/>
  <c r="H3309" i="8"/>
  <c r="F1367" i="8"/>
  <c r="H1367" i="8"/>
  <c r="F2853" i="8"/>
  <c r="H2853" i="8"/>
  <c r="F566" i="8"/>
  <c r="H566" i="8"/>
  <c r="F3333" i="8"/>
  <c r="H3333" i="8"/>
  <c r="F3100" i="8"/>
  <c r="H3100" i="8"/>
  <c r="H1853" i="5"/>
  <c r="S1853" i="5" s="1"/>
  <c r="F414" i="8"/>
  <c r="H414" i="8"/>
  <c r="F3407" i="8"/>
  <c r="H3407" i="8"/>
  <c r="H1119" i="8"/>
  <c r="F1119" i="8"/>
  <c r="F1842" i="8"/>
  <c r="H1842" i="8"/>
  <c r="F2255" i="8"/>
  <c r="H2255" i="8"/>
  <c r="F3022" i="8"/>
  <c r="H3022" i="8"/>
  <c r="H104" i="8"/>
  <c r="I104" i="8" s="1"/>
  <c r="F104" i="8"/>
  <c r="F1577" i="8"/>
  <c r="H1577" i="8"/>
  <c r="F2819" i="8"/>
  <c r="H2819" i="8"/>
  <c r="F3421" i="8"/>
  <c r="H3421" i="8"/>
  <c r="F3351" i="8"/>
  <c r="H3351" i="8"/>
  <c r="F200" i="8"/>
  <c r="H200" i="8"/>
  <c r="F2883" i="8"/>
  <c r="H2883" i="8"/>
  <c r="F2904" i="8"/>
  <c r="H2904" i="8"/>
  <c r="H1098" i="8"/>
  <c r="F1098" i="8"/>
  <c r="F1124" i="8"/>
  <c r="H1124" i="8"/>
  <c r="F820" i="8"/>
  <c r="H820" i="8"/>
  <c r="F2926" i="8"/>
  <c r="H2926" i="8"/>
  <c r="F2981" i="8"/>
  <c r="H2981" i="8"/>
  <c r="F501" i="8"/>
  <c r="H501" i="8"/>
  <c r="F3318" i="8"/>
  <c r="H3318" i="8"/>
  <c r="H3266" i="8"/>
  <c r="F3266" i="8"/>
  <c r="F3037" i="8"/>
  <c r="H3037" i="8"/>
  <c r="F3330" i="8"/>
  <c r="H3330" i="8"/>
  <c r="F3313" i="8"/>
  <c r="H3313" i="8"/>
  <c r="F3381" i="8"/>
  <c r="H3381" i="8"/>
  <c r="F2081" i="8"/>
  <c r="H2081" i="8"/>
  <c r="G3468" i="5"/>
  <c r="F151" i="8"/>
  <c r="H151" i="8"/>
  <c r="F1099" i="8"/>
  <c r="H1099" i="8"/>
  <c r="F1147" i="8"/>
  <c r="H1147" i="8"/>
  <c r="F2858" i="8"/>
  <c r="H2858" i="8"/>
  <c r="H3164" i="8"/>
  <c r="F3164" i="8"/>
  <c r="F3462" i="8"/>
  <c r="H3462" i="8"/>
  <c r="F2335" i="8"/>
  <c r="H2335" i="8"/>
  <c r="H1285" i="8"/>
  <c r="F1285" i="8"/>
  <c r="H1271" i="8"/>
  <c r="F1271" i="8"/>
  <c r="F2927" i="8"/>
  <c r="H2927" i="8"/>
  <c r="F3310" i="8"/>
  <c r="H3310" i="8"/>
  <c r="F2875" i="8"/>
  <c r="H2875" i="8"/>
  <c r="F3395" i="8"/>
  <c r="H3395" i="8"/>
  <c r="F1165" i="8"/>
  <c r="H1165" i="8"/>
  <c r="F196" i="8"/>
  <c r="H196" i="8"/>
  <c r="F3030" i="8"/>
  <c r="H3030" i="8"/>
  <c r="F3485" i="8"/>
  <c r="H3485" i="8"/>
  <c r="F448" i="8"/>
  <c r="H448" i="8"/>
  <c r="H1240" i="8"/>
  <c r="F1240" i="8"/>
  <c r="H1083" i="8"/>
  <c r="F1083" i="8"/>
  <c r="F1129" i="8"/>
  <c r="H1129" i="8"/>
  <c r="H3449" i="8"/>
  <c r="F3449" i="8"/>
  <c r="F2832" i="8"/>
  <c r="H2832" i="8"/>
  <c r="F3301" i="8"/>
  <c r="H3301" i="8"/>
  <c r="F846" i="8"/>
  <c r="H846" i="8"/>
  <c r="F3029" i="8"/>
  <c r="H3029" i="8"/>
  <c r="F1843" i="8"/>
  <c r="H1843" i="8"/>
  <c r="F420" i="8"/>
  <c r="H420" i="8"/>
  <c r="F2901" i="8"/>
  <c r="H2901" i="8"/>
  <c r="F3464" i="8"/>
  <c r="H3464" i="8"/>
  <c r="G4773" i="5"/>
  <c r="G1471" i="5"/>
  <c r="F1115" i="8"/>
  <c r="H1115" i="8"/>
  <c r="H1145" i="8"/>
  <c r="F1145" i="8"/>
  <c r="G902" i="5"/>
  <c r="F833" i="8"/>
  <c r="H833" i="8"/>
  <c r="F2891" i="8"/>
  <c r="H2891" i="8"/>
  <c r="F204" i="8"/>
  <c r="H204" i="8"/>
  <c r="F2806" i="8"/>
  <c r="H2806" i="8"/>
  <c r="F3414" i="8"/>
  <c r="H3414" i="8"/>
  <c r="F3346" i="8"/>
  <c r="H3346" i="8"/>
  <c r="G1744" i="5"/>
  <c r="F3011" i="8"/>
  <c r="H3011" i="8"/>
  <c r="F211" i="8"/>
  <c r="H211" i="8"/>
  <c r="F3408" i="8"/>
  <c r="H3408" i="8"/>
  <c r="F1949" i="8"/>
  <c r="H1949" i="8"/>
  <c r="F3360" i="8"/>
  <c r="H3360" i="8"/>
  <c r="F1575" i="8"/>
  <c r="H1575" i="8"/>
  <c r="H886" i="8"/>
  <c r="F886" i="8"/>
  <c r="F3300" i="8"/>
  <c r="H3300" i="8"/>
  <c r="F2855" i="8"/>
  <c r="H2855" i="8"/>
  <c r="F2912" i="8"/>
  <c r="H2912" i="8"/>
  <c r="F7" i="8"/>
  <c r="H7" i="8"/>
  <c r="I7" i="8" s="1"/>
  <c r="F2815" i="8"/>
  <c r="H2815" i="8"/>
  <c r="F218" i="8"/>
  <c r="H218" i="8"/>
  <c r="F1894" i="8"/>
  <c r="H1894" i="8"/>
  <c r="F2911" i="8"/>
  <c r="H2911" i="8"/>
  <c r="F2859" i="8"/>
  <c r="H2859" i="8"/>
  <c r="F1863" i="8"/>
  <c r="H1863" i="8"/>
  <c r="F3375" i="8"/>
  <c r="H3375" i="8"/>
  <c r="F850" i="8"/>
  <c r="H850" i="8"/>
  <c r="F3003" i="8"/>
  <c r="H3003" i="8"/>
  <c r="F3020" i="8"/>
  <c r="H3020" i="8"/>
  <c r="F2783" i="8"/>
  <c r="H2783" i="8"/>
  <c r="F15" i="8"/>
  <c r="H15" i="8"/>
  <c r="F2831" i="8"/>
  <c r="H2831" i="8"/>
  <c r="F2884" i="8"/>
  <c r="H2884" i="8"/>
  <c r="F777" i="8"/>
  <c r="H777" i="8"/>
  <c r="F2873" i="8"/>
  <c r="H2873" i="8"/>
  <c r="H4129" i="5"/>
  <c r="F2854" i="8"/>
  <c r="H2854" i="8"/>
  <c r="F172" i="8"/>
  <c r="H172" i="8"/>
  <c r="I172" i="8" s="1"/>
  <c r="F751" i="8"/>
  <c r="H751" i="8"/>
  <c r="F2996" i="8"/>
  <c r="H2996" i="8"/>
  <c r="F3048" i="8"/>
  <c r="H3048" i="8"/>
  <c r="F127" i="8"/>
  <c r="H127" i="8"/>
  <c r="F1414" i="8"/>
  <c r="H1414" i="8"/>
  <c r="F2099" i="8"/>
  <c r="H2099" i="8"/>
  <c r="H1871" i="5"/>
  <c r="S1871" i="5" s="1"/>
  <c r="F562" i="8"/>
  <c r="H562" i="8"/>
  <c r="F2984" i="8"/>
  <c r="H2984" i="8"/>
  <c r="F2295" i="8"/>
  <c r="H2295" i="8"/>
  <c r="F3033" i="8"/>
  <c r="H3033" i="8"/>
  <c r="F3222" i="8"/>
  <c r="H3222" i="8"/>
  <c r="F2765" i="8"/>
  <c r="H2765" i="8"/>
  <c r="F2892" i="8"/>
  <c r="H2892" i="8"/>
  <c r="F2104" i="8"/>
  <c r="H2104" i="8"/>
  <c r="F3396" i="8"/>
  <c r="H3396" i="8"/>
  <c r="F3299" i="8"/>
  <c r="H3299" i="8"/>
  <c r="F3423" i="8"/>
  <c r="H3423" i="8"/>
  <c r="F1605" i="8"/>
  <c r="H1605" i="8"/>
  <c r="F2985" i="8"/>
  <c r="H2985" i="8"/>
  <c r="F1891" i="8"/>
  <c r="H1891" i="8"/>
  <c r="F1933" i="8"/>
  <c r="H1933" i="8"/>
  <c r="F496" i="8"/>
  <c r="H496" i="8"/>
  <c r="F1885" i="8"/>
  <c r="H1885" i="8"/>
  <c r="F2930" i="8"/>
  <c r="H2930" i="8"/>
  <c r="F2736" i="8"/>
  <c r="H2736" i="8"/>
  <c r="F1864" i="8"/>
  <c r="H1864" i="8"/>
  <c r="H987" i="8"/>
  <c r="F987" i="8"/>
  <c r="F993" i="8"/>
  <c r="H993" i="8"/>
  <c r="F3308" i="8"/>
  <c r="H3308" i="8"/>
  <c r="F1846" i="8"/>
  <c r="H1846" i="8"/>
  <c r="F1546" i="8"/>
  <c r="H1546" i="8"/>
  <c r="F182" i="8"/>
  <c r="H182" i="8"/>
  <c r="F3332" i="8"/>
  <c r="H3332" i="8"/>
  <c r="F2940" i="8"/>
  <c r="H2940" i="8"/>
  <c r="F1357" i="8"/>
  <c r="H1357" i="8"/>
  <c r="F1174" i="8"/>
  <c r="H1174" i="8"/>
  <c r="F2934" i="8"/>
  <c r="H2934" i="8"/>
  <c r="F3353" i="8"/>
  <c r="H3353" i="8"/>
  <c r="F2880" i="8"/>
  <c r="H2880" i="8"/>
  <c r="F2747" i="8"/>
  <c r="H2747" i="8"/>
  <c r="F3031" i="8"/>
  <c r="H3031" i="8"/>
  <c r="H372" i="8"/>
  <c r="F372" i="8"/>
  <c r="F3393" i="8"/>
  <c r="H3393" i="8"/>
  <c r="F2740" i="8"/>
  <c r="H2740" i="8"/>
  <c r="H1633" i="5"/>
  <c r="H2015" i="5"/>
  <c r="S2015" i="5" s="1"/>
  <c r="F3302" i="8"/>
  <c r="H3302" i="8"/>
  <c r="F1179" i="8"/>
  <c r="H1179" i="8"/>
  <c r="F2818" i="8"/>
  <c r="H2818" i="8"/>
  <c r="F3446" i="8"/>
  <c r="H3446" i="8"/>
  <c r="F13" i="8"/>
  <c r="H13" i="8"/>
  <c r="I13" i="8" s="1"/>
  <c r="F1866" i="8"/>
  <c r="H1866" i="8"/>
  <c r="F1576" i="8"/>
  <c r="H1576" i="8"/>
  <c r="F3419" i="8"/>
  <c r="H3419" i="8"/>
  <c r="G1733" i="5"/>
  <c r="F1548" i="8"/>
  <c r="H1548" i="8"/>
  <c r="F1568" i="8"/>
  <c r="H1568" i="8"/>
  <c r="F2897" i="8"/>
  <c r="H2897" i="8"/>
  <c r="F1570" i="8"/>
  <c r="H1570" i="8"/>
  <c r="F952" i="8"/>
  <c r="H952" i="8"/>
  <c r="F2504" i="8"/>
  <c r="H2504" i="8"/>
  <c r="F2890" i="8"/>
  <c r="H2890" i="8"/>
  <c r="F1273" i="8"/>
  <c r="H1273" i="8"/>
  <c r="F2993" i="8"/>
  <c r="H2993" i="8"/>
  <c r="F3342" i="8"/>
  <c r="H3342" i="8"/>
  <c r="F3361" i="8"/>
  <c r="H3361" i="8"/>
  <c r="F3316" i="8"/>
  <c r="H3316" i="8"/>
  <c r="F2606" i="8"/>
  <c r="H2606" i="8"/>
  <c r="F3043" i="8"/>
  <c r="H3043" i="8"/>
  <c r="H5356" i="5"/>
  <c r="F510" i="8"/>
  <c r="H510" i="8"/>
  <c r="F3442" i="8"/>
  <c r="H3442" i="8"/>
  <c r="F3352" i="8"/>
  <c r="H3352" i="8"/>
  <c r="F3455" i="8"/>
  <c r="H3455" i="8"/>
  <c r="F3376" i="8"/>
  <c r="H3376" i="8"/>
  <c r="F2752" i="8"/>
  <c r="H2752" i="8"/>
  <c r="F3101" i="8"/>
  <c r="H3101" i="8"/>
  <c r="F3329" i="8"/>
  <c r="H3329" i="8"/>
  <c r="F3413" i="8"/>
  <c r="H3413" i="8"/>
  <c r="F2881" i="8"/>
  <c r="H2881" i="8"/>
  <c r="F927" i="8"/>
  <c r="H927" i="8"/>
  <c r="H337" i="8"/>
  <c r="I337" i="8" s="1"/>
  <c r="F337" i="8"/>
  <c r="H1094" i="8"/>
  <c r="F1094" i="8"/>
  <c r="F1102" i="8"/>
  <c r="H1102" i="8"/>
  <c r="F16" i="8"/>
  <c r="H16" i="8"/>
  <c r="H1938" i="5"/>
  <c r="S1938" i="5" s="1"/>
  <c r="F1097" i="8"/>
  <c r="H1097" i="8"/>
  <c r="F2872" i="8"/>
  <c r="H2872" i="8"/>
  <c r="F3377" i="8"/>
  <c r="H3377" i="8"/>
  <c r="F3403" i="8"/>
  <c r="H3403" i="8"/>
  <c r="F3466" i="8"/>
  <c r="H3466" i="8"/>
  <c r="F1848" i="8"/>
  <c r="H1848" i="8"/>
  <c r="H173" i="8"/>
  <c r="F173" i="8"/>
  <c r="F350" i="8"/>
  <c r="H350" i="8"/>
  <c r="I350" i="8" s="1"/>
  <c r="F2735" i="8"/>
  <c r="H2735" i="8"/>
  <c r="H105" i="8"/>
  <c r="F105" i="8"/>
  <c r="F341" i="8"/>
  <c r="H341" i="8"/>
  <c r="F2878" i="8"/>
  <c r="H2878" i="8"/>
  <c r="F352" i="8"/>
  <c r="H352" i="8"/>
  <c r="I352" i="8" s="1"/>
  <c r="F1882" i="8"/>
  <c r="H1882" i="8"/>
  <c r="F3397" i="8"/>
  <c r="H3397" i="8"/>
  <c r="F268" i="8"/>
  <c r="H268" i="8"/>
  <c r="F1113" i="8"/>
  <c r="H1113" i="8"/>
  <c r="F3327" i="8"/>
  <c r="H3327" i="8"/>
  <c r="F2857" i="8"/>
  <c r="H2857" i="8"/>
  <c r="G1681" i="5"/>
  <c r="G1456" i="5"/>
  <c r="F3404" i="8"/>
  <c r="H3404" i="8"/>
  <c r="F118" i="8"/>
  <c r="H118" i="8"/>
  <c r="F3040" i="8"/>
  <c r="H3040" i="8"/>
  <c r="F1889" i="8"/>
  <c r="H1889" i="8"/>
  <c r="F1132" i="8"/>
  <c r="H1132" i="8"/>
  <c r="F973" i="8"/>
  <c r="H973" i="8"/>
  <c r="F969" i="8"/>
  <c r="H969" i="8"/>
  <c r="F1169" i="8"/>
  <c r="H1169" i="8"/>
  <c r="F2995" i="8"/>
  <c r="H2995" i="8"/>
  <c r="F1897" i="8"/>
  <c r="H1897" i="8"/>
  <c r="F3405" i="8"/>
  <c r="H3405" i="8"/>
  <c r="F215" i="8"/>
  <c r="H215" i="8"/>
  <c r="F2982" i="8"/>
  <c r="H2982" i="8"/>
  <c r="F3409" i="8"/>
  <c r="H3409" i="8"/>
  <c r="F1905" i="8"/>
  <c r="H1905" i="8"/>
  <c r="F1230" i="8"/>
  <c r="H1230" i="8"/>
  <c r="G1722" i="5"/>
  <c r="H1606" i="8"/>
  <c r="F1606" i="8"/>
  <c r="F3412" i="8"/>
  <c r="H3412" i="8"/>
  <c r="F155" i="8"/>
  <c r="H155" i="8"/>
  <c r="H1877" i="5"/>
  <c r="S1877" i="5" s="1"/>
  <c r="H1672" i="5"/>
  <c r="S1672" i="5" s="1"/>
  <c r="F1887" i="8"/>
  <c r="H1887" i="8"/>
  <c r="F3372" i="8"/>
  <c r="H3372" i="8"/>
  <c r="F1907" i="8"/>
  <c r="H1907" i="8"/>
  <c r="F3399" i="8"/>
  <c r="H3399" i="8"/>
  <c r="F3365" i="8"/>
  <c r="H3365" i="8"/>
  <c r="F1890" i="8"/>
  <c r="H1890" i="8"/>
  <c r="F412" i="8"/>
  <c r="H412" i="8"/>
  <c r="F3306" i="8"/>
  <c r="H3306" i="8"/>
  <c r="F3398" i="8"/>
  <c r="H3398" i="8"/>
  <c r="F3386" i="8"/>
  <c r="H3386" i="8"/>
  <c r="F564" i="8"/>
  <c r="H564" i="8"/>
  <c r="F2825" i="8"/>
  <c r="H2825" i="8"/>
  <c r="F383" i="8"/>
  <c r="H383" i="8"/>
  <c r="F1389" i="8"/>
  <c r="H1389" i="8"/>
  <c r="H928" i="8"/>
  <c r="F928" i="8"/>
  <c r="F2932" i="8"/>
  <c r="H2932" i="8"/>
  <c r="F3428" i="8"/>
  <c r="H3428" i="8"/>
  <c r="H3465" i="8"/>
  <c r="F3465" i="8"/>
  <c r="F1903" i="8"/>
  <c r="H1903" i="8"/>
  <c r="F2829" i="8"/>
  <c r="H2829" i="8"/>
  <c r="F220" i="8"/>
  <c r="H220" i="8"/>
  <c r="F499" i="8"/>
  <c r="H499" i="8"/>
  <c r="F1833" i="8"/>
  <c r="H1833" i="8"/>
  <c r="F3014" i="8"/>
  <c r="H3014" i="8"/>
  <c r="F586" i="8"/>
  <c r="H586" i="8"/>
  <c r="H163" i="8"/>
  <c r="F163" i="8"/>
  <c r="F195" i="8"/>
  <c r="H195" i="8"/>
  <c r="F1906" i="8"/>
  <c r="H1906" i="8"/>
  <c r="F1837" i="8"/>
  <c r="H1837" i="8"/>
  <c r="F2608" i="8"/>
  <c r="H2608" i="8"/>
  <c r="H3172" i="8"/>
  <c r="F3172" i="8"/>
  <c r="F3019" i="8"/>
  <c r="H3019" i="8"/>
  <c r="F578" i="8"/>
  <c r="H578" i="8"/>
  <c r="F3350" i="8"/>
  <c r="H3350" i="8"/>
  <c r="H109" i="8"/>
  <c r="F109" i="8"/>
  <c r="H331" i="8"/>
  <c r="F331" i="8"/>
  <c r="F3339" i="8"/>
  <c r="H3339" i="8"/>
  <c r="F3320" i="8"/>
  <c r="H3320" i="8"/>
  <c r="H1106" i="8"/>
  <c r="I1106" i="8" s="1"/>
  <c r="F1106" i="8"/>
  <c r="F2217" i="8"/>
  <c r="H2217" i="8"/>
  <c r="F3338" i="8"/>
  <c r="H3338" i="8"/>
  <c r="F1138" i="8"/>
  <c r="H1138" i="8"/>
  <c r="H1389" i="5"/>
  <c r="F1573" i="8"/>
  <c r="H1573" i="8"/>
  <c r="F774" i="8"/>
  <c r="H774" i="8"/>
  <c r="F1569" i="8"/>
  <c r="H1569" i="8"/>
  <c r="H971" i="8"/>
  <c r="F971" i="8"/>
  <c r="F2822" i="8"/>
  <c r="H2822" i="8"/>
  <c r="F3448" i="8"/>
  <c r="H3448" i="8"/>
  <c r="F854" i="8"/>
  <c r="H854" i="8"/>
  <c r="F3307" i="8"/>
  <c r="H3307" i="8"/>
  <c r="F176" i="8"/>
  <c r="H176" i="8"/>
  <c r="I176" i="8" s="1"/>
  <c r="F1093" i="8"/>
  <c r="H1093" i="8"/>
  <c r="F3305" i="8"/>
  <c r="H3305" i="8"/>
  <c r="F1036" i="8"/>
  <c r="H1036" i="8"/>
  <c r="F419" i="8"/>
  <c r="H419" i="8"/>
  <c r="F330" i="8"/>
  <c r="H330" i="8"/>
  <c r="F3296" i="8"/>
  <c r="H3296" i="8"/>
  <c r="F2931" i="8"/>
  <c r="H2931" i="8"/>
  <c r="F3004" i="8"/>
  <c r="H3004" i="8"/>
  <c r="F3444" i="8"/>
  <c r="H3444" i="8"/>
  <c r="F1852" i="8"/>
  <c r="H1852" i="8"/>
  <c r="F260" i="8"/>
  <c r="H260" i="8"/>
  <c r="F3388" i="8"/>
  <c r="H3388" i="8"/>
  <c r="F1847" i="8"/>
  <c r="H1847" i="8"/>
  <c r="F3355" i="8"/>
  <c r="H3355" i="8"/>
  <c r="F723" i="8"/>
  <c r="H723" i="8"/>
  <c r="F2724" i="8"/>
  <c r="H2724" i="8"/>
  <c r="F1393" i="8"/>
  <c r="H1393" i="8"/>
  <c r="F2879" i="8"/>
  <c r="H2879" i="8"/>
  <c r="F2830" i="8"/>
  <c r="H2830" i="8"/>
  <c r="F1120" i="8"/>
  <c r="H1120" i="8"/>
  <c r="F1206" i="8"/>
  <c r="H1206" i="8"/>
  <c r="F3406" i="8"/>
  <c r="H3406" i="8"/>
  <c r="F259" i="8"/>
  <c r="H259" i="8"/>
  <c r="F2990" i="8"/>
  <c r="H2990" i="8"/>
  <c r="F1951" i="8"/>
  <c r="H1951" i="8"/>
  <c r="F2882" i="8"/>
  <c r="H2882" i="8"/>
  <c r="F3384" i="8"/>
  <c r="H3384" i="8"/>
  <c r="F3356" i="8"/>
  <c r="H3356" i="8"/>
  <c r="F1341" i="8"/>
  <c r="H1341" i="8"/>
  <c r="F3027" i="8"/>
  <c r="H3027" i="8"/>
  <c r="F2909" i="8"/>
  <c r="H2909" i="8"/>
  <c r="F2219" i="8"/>
  <c r="H2219" i="8"/>
  <c r="F3303" i="8"/>
  <c r="H3303" i="8"/>
  <c r="F3420" i="8"/>
  <c r="H3420" i="8"/>
  <c r="H989" i="8"/>
  <c r="F989" i="8"/>
  <c r="F1867" i="8"/>
  <c r="H1867" i="8"/>
  <c r="F1219" i="8"/>
  <c r="H1219" i="8"/>
  <c r="H1816" i="5"/>
  <c r="S1816" i="5" s="1"/>
  <c r="F3422" i="8"/>
  <c r="H3422" i="8"/>
  <c r="H3248" i="8"/>
  <c r="F3248" i="8"/>
  <c r="F3036" i="8"/>
  <c r="H3036" i="8"/>
  <c r="F1114" i="8"/>
  <c r="H1114" i="8"/>
  <c r="F1896" i="8"/>
  <c r="H1896" i="8"/>
  <c r="H373" i="8"/>
  <c r="F373" i="8"/>
  <c r="F1839" i="8"/>
  <c r="H1839" i="8"/>
  <c r="G1711" i="5"/>
  <c r="F1836" i="8"/>
  <c r="H1836" i="8"/>
  <c r="F1904" i="8"/>
  <c r="H1904" i="8"/>
  <c r="F3400" i="8"/>
  <c r="H3400" i="8"/>
  <c r="F3390" i="8"/>
  <c r="H3390" i="8"/>
  <c r="F1574" i="8"/>
  <c r="H1574" i="8"/>
  <c r="F2708" i="8"/>
  <c r="H2708" i="8"/>
  <c r="F269" i="8"/>
  <c r="H269" i="8"/>
  <c r="F2750" i="8"/>
  <c r="H2750" i="8"/>
  <c r="F1900" i="8"/>
  <c r="H1900" i="8"/>
  <c r="F410" i="8"/>
  <c r="H410" i="8"/>
  <c r="F145" i="8"/>
  <c r="H145" i="8"/>
  <c r="F3347" i="8"/>
  <c r="H3347" i="8"/>
  <c r="F1547" i="8"/>
  <c r="H1547" i="8"/>
  <c r="H1077" i="8"/>
  <c r="F1077" i="8"/>
  <c r="F3219" i="8"/>
  <c r="H3219" i="8"/>
  <c r="F3314" i="8"/>
  <c r="H3314" i="8"/>
  <c r="F413" i="8"/>
  <c r="H413" i="8"/>
  <c r="F3298" i="8"/>
  <c r="H3298" i="8"/>
  <c r="G158" i="6"/>
  <c r="R158" i="6" s="1"/>
  <c r="F1608" i="8"/>
  <c r="H1608" i="8"/>
  <c r="F3341" i="8"/>
  <c r="H3341" i="8"/>
  <c r="F2910" i="8"/>
  <c r="H2910" i="8"/>
  <c r="F503" i="8"/>
  <c r="H503" i="8"/>
  <c r="F2789" i="8"/>
  <c r="H2789" i="8"/>
  <c r="F3042" i="8"/>
  <c r="H3042" i="8"/>
  <c r="F1902" i="8"/>
  <c r="H1902" i="8"/>
  <c r="H1122" i="8"/>
  <c r="F1122" i="8"/>
  <c r="F1374" i="8"/>
  <c r="H1374" i="8"/>
  <c r="F2874" i="8"/>
  <c r="H2874" i="8"/>
  <c r="F2886" i="8"/>
  <c r="H2886" i="8"/>
  <c r="F1854" i="8"/>
  <c r="H1854" i="8"/>
  <c r="F1552" i="8"/>
  <c r="H1552" i="8"/>
  <c r="F475" i="8"/>
  <c r="H475" i="8"/>
  <c r="F1095" i="8"/>
  <c r="H1095" i="8"/>
  <c r="F54" i="8"/>
  <c r="H54" i="8"/>
  <c r="F3362" i="8"/>
  <c r="H3362" i="8"/>
  <c r="F328" i="8"/>
  <c r="H328" i="8"/>
  <c r="G394" i="6"/>
  <c r="R394" i="6" s="1"/>
  <c r="F2895" i="8"/>
  <c r="H2895" i="8"/>
  <c r="F2871" i="8"/>
  <c r="H2871" i="8"/>
  <c r="F597" i="8"/>
  <c r="H597" i="8"/>
  <c r="H90" i="8"/>
  <c r="F90" i="8"/>
  <c r="F3435" i="8"/>
  <c r="H3435" i="8"/>
  <c r="F3335" i="8"/>
  <c r="H3335" i="8"/>
  <c r="H192" i="8"/>
  <c r="F192" i="8"/>
  <c r="H955" i="8"/>
  <c r="F955" i="8"/>
  <c r="F2394" i="8"/>
  <c r="H2394" i="8"/>
  <c r="F929" i="8"/>
  <c r="H929" i="8"/>
  <c r="F3294" i="8"/>
  <c r="H3294" i="8"/>
  <c r="F3348" i="8"/>
  <c r="H3348" i="8"/>
  <c r="H217" i="8"/>
  <c r="F217" i="8"/>
  <c r="F3047" i="8"/>
  <c r="H3047" i="8"/>
  <c r="F1571" i="8"/>
  <c r="H1571" i="8"/>
  <c r="F3343" i="8"/>
  <c r="H3343" i="8"/>
  <c r="F265" i="8"/>
  <c r="H265" i="8"/>
  <c r="F3046" i="8"/>
  <c r="H3046" i="8"/>
  <c r="F2992" i="8"/>
  <c r="H2992" i="8"/>
  <c r="G628" i="5"/>
  <c r="G3072" i="5"/>
  <c r="G6162" i="5"/>
  <c r="F6" i="8"/>
  <c r="H6" i="8"/>
  <c r="I6" i="8" s="1"/>
  <c r="F1348" i="8"/>
  <c r="H1348" i="8"/>
  <c r="F1861" i="8"/>
  <c r="H1861" i="8"/>
  <c r="F2828" i="8"/>
  <c r="H2828" i="8"/>
  <c r="F3255" i="8"/>
  <c r="H3255" i="8"/>
  <c r="F3340" i="8"/>
  <c r="H3340" i="8"/>
  <c r="F3411" i="8"/>
  <c r="H3411" i="8"/>
  <c r="F1170" i="8"/>
  <c r="H1170" i="8"/>
  <c r="F1125" i="8"/>
  <c r="H1125" i="8"/>
  <c r="F1087" i="8"/>
  <c r="H1087" i="8"/>
  <c r="F349" i="8"/>
  <c r="H349" i="8"/>
  <c r="I349" i="8" s="1"/>
  <c r="F3243" i="8"/>
  <c r="H3243" i="8"/>
  <c r="I3243" i="8" s="1"/>
  <c r="G1702" i="5"/>
  <c r="F3359" i="8"/>
  <c r="H3359" i="8"/>
  <c r="F2817" i="8"/>
  <c r="H2817" i="8"/>
  <c r="F3378" i="8"/>
  <c r="H3378" i="8"/>
  <c r="F3354" i="8"/>
  <c r="H3354" i="8"/>
  <c r="F1006" i="8"/>
  <c r="H1006" i="8"/>
  <c r="F3441" i="8"/>
  <c r="H3441" i="8"/>
  <c r="F178" i="8"/>
  <c r="H178" i="8"/>
  <c r="H19" i="8"/>
  <c r="F19" i="8"/>
  <c r="F3028" i="8"/>
  <c r="H3028" i="8"/>
  <c r="F3322" i="8"/>
  <c r="H3322" i="8"/>
  <c r="F1953" i="8"/>
  <c r="H1953" i="8"/>
  <c r="F3437" i="8"/>
  <c r="H3437" i="8"/>
  <c r="H256" i="8"/>
  <c r="I256" i="8" s="1"/>
  <c r="F256" i="8"/>
  <c r="F3468" i="8"/>
  <c r="H3468" i="8"/>
  <c r="F1868" i="8"/>
  <c r="H1868" i="8"/>
  <c r="H1360" i="8"/>
  <c r="F1360" i="8"/>
  <c r="F2290" i="8"/>
  <c r="H2290" i="8"/>
  <c r="F3051" i="8"/>
  <c r="H3051" i="8"/>
  <c r="H995" i="8"/>
  <c r="F995" i="8"/>
  <c r="F1566" i="8"/>
  <c r="H1566" i="8"/>
  <c r="F2593" i="8"/>
  <c r="H2593" i="8"/>
  <c r="F3389" i="8"/>
  <c r="H3389" i="8"/>
  <c r="H348" i="8"/>
  <c r="F348" i="8"/>
  <c r="F3034" i="8"/>
  <c r="H3034" i="8"/>
  <c r="F593" i="8"/>
  <c r="H593" i="8"/>
  <c r="F3370" i="8"/>
  <c r="H3370" i="8"/>
  <c r="F3337" i="8"/>
  <c r="H3337" i="8"/>
  <c r="F3453" i="8"/>
  <c r="H3453" i="8"/>
  <c r="F1272" i="8"/>
  <c r="H1272" i="8"/>
  <c r="F1034" i="8"/>
  <c r="H1034" i="8"/>
  <c r="H931" i="8"/>
  <c r="F931" i="8"/>
  <c r="F3357" i="8"/>
  <c r="H3357" i="8"/>
  <c r="F162" i="8"/>
  <c r="H162" i="8"/>
  <c r="F334" i="8"/>
  <c r="H334" i="8"/>
  <c r="I334" i="8" s="1"/>
  <c r="H3254" i="8"/>
  <c r="F3254" i="8"/>
  <c r="F1895" i="8"/>
  <c r="H1895" i="8"/>
  <c r="F2975" i="8"/>
  <c r="H2975" i="8"/>
  <c r="F1551" i="8"/>
  <c r="H1551" i="8"/>
  <c r="F3315" i="8"/>
  <c r="H3315" i="8"/>
  <c r="F3328" i="8"/>
  <c r="H3328" i="8"/>
  <c r="F1871" i="8"/>
  <c r="H1871" i="8"/>
  <c r="F3049" i="8"/>
  <c r="H3049" i="8"/>
  <c r="F264" i="8"/>
  <c r="H264" i="8"/>
  <c r="F3053" i="8"/>
  <c r="H3053" i="8"/>
  <c r="F1869" i="8"/>
  <c r="H1869" i="8"/>
  <c r="F1176" i="8"/>
  <c r="H1176" i="8"/>
  <c r="F3451" i="8"/>
  <c r="H3451" i="8"/>
  <c r="F3208" i="8"/>
  <c r="H3208" i="8"/>
  <c r="F177" i="8"/>
  <c r="H177" i="8"/>
  <c r="F845" i="8"/>
  <c r="H845" i="8"/>
  <c r="F953" i="8"/>
  <c r="H953" i="8"/>
  <c r="F3012" i="8"/>
  <c r="H3012" i="8"/>
  <c r="F3324" i="8"/>
  <c r="H3324" i="8"/>
  <c r="F2824" i="8"/>
  <c r="H2824" i="8"/>
  <c r="F1834" i="8"/>
  <c r="H1834" i="8"/>
  <c r="F3321" i="8"/>
  <c r="H3321" i="8"/>
  <c r="F1412" i="8"/>
  <c r="H1412" i="8"/>
  <c r="F1841" i="8"/>
  <c r="H1841" i="8"/>
  <c r="H3456" i="8"/>
  <c r="F3456" i="8"/>
  <c r="F3415" i="8"/>
  <c r="H3415" i="8"/>
  <c r="G568" i="5"/>
  <c r="F3416" i="8"/>
  <c r="H3416" i="8"/>
  <c r="F1878" i="8"/>
  <c r="H1878" i="8"/>
  <c r="F3479" i="8"/>
  <c r="H3479" i="8"/>
  <c r="F3394" i="8"/>
  <c r="H3394" i="8"/>
  <c r="F2334" i="8"/>
  <c r="H2334" i="8"/>
  <c r="F2979" i="8"/>
  <c r="H2979" i="8"/>
  <c r="F1849" i="8"/>
  <c r="H1849" i="8"/>
  <c r="F224" i="8"/>
  <c r="H224" i="8"/>
  <c r="F2994" i="8"/>
  <c r="H2994" i="8"/>
  <c r="F2924" i="8"/>
  <c r="H2924" i="8"/>
  <c r="G595" i="5"/>
  <c r="F1071" i="8"/>
  <c r="H1071" i="8"/>
  <c r="F3041" i="8"/>
  <c r="H3041" i="8"/>
  <c r="F3418" i="8"/>
  <c r="H3418" i="8"/>
  <c r="F1347" i="8"/>
  <c r="H1347" i="8"/>
  <c r="F283" i="8"/>
  <c r="H283" i="8"/>
  <c r="F3401" i="8"/>
  <c r="H3401" i="8"/>
  <c r="F733" i="8"/>
  <c r="H733" i="8"/>
  <c r="F472" i="8"/>
  <c r="H472" i="8"/>
  <c r="H257" i="8"/>
  <c r="F257" i="8"/>
  <c r="F2823" i="8"/>
  <c r="H2823" i="8"/>
  <c r="H3116" i="8"/>
  <c r="F3116" i="8"/>
  <c r="F2744" i="8"/>
  <c r="H2744" i="8"/>
  <c r="F1856" i="8"/>
  <c r="H1856" i="8"/>
  <c r="F56" i="8"/>
  <c r="H56" i="8"/>
  <c r="F3032" i="8"/>
  <c r="H3032" i="8"/>
  <c r="F18" i="8"/>
  <c r="H18" i="8"/>
  <c r="F3226" i="8"/>
  <c r="H3226" i="8"/>
  <c r="H1293" i="8"/>
  <c r="F1293" i="8"/>
  <c r="H181" i="8"/>
  <c r="F181" i="8"/>
  <c r="H121" i="8"/>
  <c r="F121" i="8"/>
  <c r="F2898" i="8"/>
  <c r="H2898" i="8"/>
  <c r="F3417" i="8"/>
  <c r="H3417" i="8"/>
  <c r="F1155" i="8"/>
  <c r="H1155" i="8"/>
  <c r="H186" i="8"/>
  <c r="F186" i="8"/>
  <c r="G7498" i="5"/>
  <c r="F1829" i="8"/>
  <c r="H1829" i="8"/>
  <c r="F2821" i="8"/>
  <c r="H2821" i="8"/>
  <c r="F1893" i="8"/>
  <c r="H1893" i="8"/>
  <c r="H1128" i="8"/>
  <c r="F1128" i="8"/>
  <c r="F2945" i="8"/>
  <c r="H2945" i="8"/>
  <c r="F1851" i="8"/>
  <c r="H1851" i="8"/>
  <c r="F2893" i="8"/>
  <c r="H2893" i="8"/>
  <c r="F1604" i="8"/>
  <c r="H1604" i="8"/>
  <c r="F2887" i="8"/>
  <c r="H2887" i="8"/>
  <c r="F202" i="8"/>
  <c r="H202" i="8"/>
  <c r="F2948" i="8"/>
  <c r="H2948" i="8"/>
  <c r="H238" i="8"/>
  <c r="F238" i="8"/>
  <c r="F1838" i="8"/>
  <c r="H1838" i="8"/>
  <c r="F3410" i="8"/>
  <c r="H3410" i="8"/>
  <c r="F819" i="8"/>
  <c r="H819" i="8"/>
  <c r="F3002" i="8"/>
  <c r="H3002" i="8"/>
  <c r="F1175" i="8"/>
  <c r="H1175" i="8"/>
  <c r="G258" i="6"/>
  <c r="R258" i="6" s="1"/>
  <c r="F98" i="8"/>
  <c r="H98" i="8"/>
  <c r="H5122" i="5"/>
  <c r="F1545" i="8"/>
  <c r="H1545" i="8"/>
  <c r="F10" i="8"/>
  <c r="H10" i="8"/>
  <c r="F1137" i="8"/>
  <c r="H1137" i="8"/>
  <c r="F88" i="8"/>
  <c r="H88" i="8"/>
  <c r="H1066" i="8"/>
  <c r="F1066" i="8"/>
  <c r="F3325" i="8"/>
  <c r="H3325" i="8"/>
  <c r="F2218" i="8"/>
  <c r="H2218" i="8"/>
  <c r="F2885" i="8"/>
  <c r="H2885" i="8"/>
  <c r="F985" i="8"/>
  <c r="H985" i="8"/>
  <c r="F1267" i="8"/>
  <c r="H1267" i="8"/>
  <c r="F3373" i="8"/>
  <c r="H3373" i="8"/>
  <c r="F1859" i="8"/>
  <c r="H1859" i="8"/>
  <c r="F2899" i="8"/>
  <c r="H2899" i="8"/>
  <c r="F3463" i="8"/>
  <c r="H3463" i="8"/>
  <c r="G1379" i="5"/>
  <c r="G1974" i="5"/>
  <c r="F3240" i="8"/>
  <c r="H3240" i="8"/>
  <c r="F2980" i="8"/>
  <c r="H2980" i="8"/>
  <c r="F1411" i="8"/>
  <c r="H1411" i="8"/>
  <c r="H4328" i="5"/>
  <c r="S4328" i="5" s="1"/>
  <c r="F3391" i="8"/>
  <c r="H3391" i="8"/>
  <c r="H347" i="8"/>
  <c r="F347" i="8"/>
  <c r="F3374" i="8"/>
  <c r="H3374" i="8"/>
  <c r="F3369" i="8"/>
  <c r="H3369" i="8"/>
  <c r="F3387" i="8"/>
  <c r="H3387" i="8"/>
  <c r="F193" i="8"/>
  <c r="H193" i="8"/>
  <c r="F2861" i="8"/>
  <c r="H2861" i="8"/>
  <c r="F416" i="8"/>
  <c r="H416" i="8"/>
  <c r="F3185" i="8"/>
  <c r="H3185" i="8"/>
  <c r="F3385" i="8"/>
  <c r="H3385" i="8"/>
  <c r="F2729" i="8"/>
  <c r="H2729" i="8"/>
  <c r="F3044" i="8"/>
  <c r="H3044" i="8"/>
  <c r="H1832" i="8"/>
  <c r="F1832" i="8"/>
  <c r="F2946" i="8"/>
  <c r="H2946" i="8"/>
  <c r="F1954" i="8"/>
  <c r="H1954" i="8"/>
  <c r="F2860" i="8"/>
  <c r="H2860" i="8"/>
  <c r="F3013" i="8"/>
  <c r="H3013" i="8"/>
  <c r="F775" i="8"/>
  <c r="H775" i="8"/>
  <c r="F3326" i="8"/>
  <c r="H3326" i="8"/>
  <c r="H1284" i="8"/>
  <c r="F1284" i="8"/>
  <c r="F1899" i="8"/>
  <c r="H1899" i="8"/>
  <c r="F2833" i="8"/>
  <c r="H2833" i="8"/>
  <c r="H351" i="8"/>
  <c r="F351" i="8"/>
  <c r="F2929" i="8"/>
  <c r="H2929" i="8"/>
  <c r="F1549" i="8"/>
  <c r="H1549" i="8"/>
  <c r="F1294" i="8"/>
  <c r="H1294" i="8"/>
  <c r="F3052" i="8"/>
  <c r="H3052" i="8"/>
  <c r="F2933" i="8"/>
  <c r="H2933" i="8"/>
  <c r="G1975" i="5"/>
  <c r="F3317" i="8"/>
  <c r="H3317" i="8"/>
  <c r="F1088" i="8"/>
  <c r="H1088" i="8"/>
  <c r="F1892" i="8"/>
  <c r="H1892" i="8"/>
  <c r="F1035" i="8"/>
  <c r="H1035" i="8"/>
  <c r="F3366" i="8"/>
  <c r="H3366" i="8"/>
  <c r="F3331" i="8"/>
  <c r="H3331" i="8"/>
  <c r="F3363" i="8"/>
  <c r="H3363" i="8"/>
  <c r="H1121" i="8"/>
  <c r="F1121" i="8"/>
  <c r="F3039" i="8"/>
  <c r="H3039" i="8"/>
  <c r="H240" i="8"/>
  <c r="F240" i="8"/>
  <c r="H3364" i="8"/>
  <c r="F3364" i="8"/>
  <c r="G3716" i="5"/>
  <c r="F1898" i="8"/>
  <c r="H1898" i="8"/>
  <c r="F945" i="8"/>
  <c r="H945" i="8"/>
  <c r="F3297" i="8"/>
  <c r="H3297" i="8"/>
  <c r="F3402" i="8"/>
  <c r="H3402" i="8"/>
  <c r="F258" i="8"/>
  <c r="H258" i="8"/>
  <c r="I258" i="8" s="1"/>
  <c r="F2748" i="8"/>
  <c r="H2748" i="8"/>
  <c r="F3323" i="8"/>
  <c r="H3323" i="8"/>
  <c r="F3344" i="8"/>
  <c r="H3344" i="8"/>
  <c r="F3469" i="8"/>
  <c r="H3469" i="8"/>
  <c r="F53" i="8"/>
  <c r="H53" i="8"/>
  <c r="F3312" i="8"/>
  <c r="H3312" i="8"/>
  <c r="F2820" i="8"/>
  <c r="H2820" i="8"/>
  <c r="F2896" i="8"/>
  <c r="H2896" i="8"/>
  <c r="F1853" i="8"/>
  <c r="H1853" i="8"/>
  <c r="F353" i="8"/>
  <c r="H353" i="8"/>
  <c r="I353" i="8" s="1"/>
  <c r="F103" i="8"/>
  <c r="H103" i="8"/>
  <c r="F3334" i="8"/>
  <c r="H3334" i="8"/>
  <c r="F742" i="8"/>
  <c r="H742" i="8"/>
  <c r="F126" i="8"/>
  <c r="H126" i="8"/>
  <c r="F3001" i="8"/>
  <c r="H3001" i="8"/>
  <c r="F2978" i="8"/>
  <c r="H2978" i="8"/>
  <c r="H2697" i="8"/>
  <c r="F2697" i="8"/>
  <c r="F1844" i="8"/>
  <c r="H1844" i="8"/>
  <c r="F1862" i="8"/>
  <c r="H1862" i="8"/>
  <c r="F1858" i="8"/>
  <c r="H1858" i="8"/>
  <c r="H958" i="8"/>
  <c r="F958" i="8"/>
  <c r="H1180" i="8"/>
  <c r="F1180" i="8"/>
  <c r="F1901" i="8"/>
  <c r="H1901" i="8"/>
  <c r="G1982" i="5"/>
  <c r="S284" i="8" l="1"/>
  <c r="S108" i="8"/>
  <c r="S3488" i="8"/>
  <c r="O334" i="8"/>
  <c r="P334" i="8" s="1"/>
  <c r="R334" i="8" s="1"/>
  <c r="O352" i="8"/>
  <c r="P352" i="8" s="1"/>
  <c r="R352" i="8" s="1"/>
  <c r="O176" i="8"/>
  <c r="P176" i="8" s="1"/>
  <c r="R176" i="8" s="1"/>
  <c r="O350" i="8"/>
  <c r="P350" i="8" s="1"/>
  <c r="R350" i="8" s="1"/>
  <c r="O172" i="8"/>
  <c r="P172" i="8" s="1"/>
  <c r="R172" i="8" s="1"/>
  <c r="O337" i="8"/>
  <c r="P337" i="8" s="1"/>
  <c r="R337" i="8" s="1"/>
  <c r="O256" i="8"/>
  <c r="P256" i="8" s="1"/>
  <c r="R256" i="8" s="1"/>
  <c r="O6" i="8"/>
  <c r="P6" i="8" s="1"/>
  <c r="S49" i="8"/>
  <c r="S354" i="8"/>
  <c r="S936" i="8"/>
  <c r="S924" i="8"/>
  <c r="O258" i="8"/>
  <c r="P258" i="8" s="1"/>
  <c r="R258" i="8" s="1"/>
  <c r="O353" i="8"/>
  <c r="P353" i="8" s="1"/>
  <c r="R353" i="8" s="1"/>
  <c r="O1106" i="8"/>
  <c r="P1106" i="8" s="1"/>
  <c r="R1106" i="8" s="1"/>
  <c r="O3243" i="8"/>
  <c r="P3243" i="8" s="1"/>
  <c r="R3243" i="8" s="1"/>
  <c r="O13" i="8"/>
  <c r="P13" i="8" s="1"/>
  <c r="R13" i="8" s="1"/>
  <c r="S356" i="8"/>
  <c r="S8" i="8"/>
  <c r="S934" i="8"/>
  <c r="S149" i="8"/>
  <c r="O349" i="8"/>
  <c r="P349" i="8" s="1"/>
  <c r="R349" i="8" s="1"/>
  <c r="O7" i="8"/>
  <c r="P7" i="8" s="1"/>
  <c r="R7" i="8" s="1"/>
  <c r="O104" i="8"/>
  <c r="P104" i="8" s="1"/>
  <c r="R104" i="8" s="1"/>
  <c r="S2707" i="8"/>
  <c r="S14" i="8"/>
  <c r="S2706" i="8"/>
  <c r="I742" i="8"/>
  <c r="I1294" i="8"/>
  <c r="I1066" i="8"/>
  <c r="I472" i="8"/>
  <c r="I3451" i="8"/>
  <c r="I1868" i="8"/>
  <c r="I3469" i="8"/>
  <c r="I1549" i="8"/>
  <c r="I3387" i="8"/>
  <c r="I2824" i="8"/>
  <c r="I1551" i="8"/>
  <c r="I3468" i="8"/>
  <c r="I3314" i="8"/>
  <c r="I1206" i="8"/>
  <c r="I3448" i="8"/>
  <c r="I1606" i="8"/>
  <c r="I3404" i="8"/>
  <c r="I1094" i="8"/>
  <c r="I2897" i="8"/>
  <c r="I751" i="8"/>
  <c r="I1240" i="8"/>
  <c r="I2926" i="8"/>
  <c r="I3001" i="8"/>
  <c r="I3402" i="8"/>
  <c r="I2860" i="8"/>
  <c r="I3369" i="8"/>
  <c r="I3401" i="8"/>
  <c r="I3324" i="8"/>
  <c r="I1871" i="8"/>
  <c r="I1272" i="8"/>
  <c r="I2290" i="8"/>
  <c r="I3028" i="8"/>
  <c r="I3046" i="8"/>
  <c r="I3335" i="8"/>
  <c r="I269" i="8"/>
  <c r="I1867" i="8"/>
  <c r="I3356" i="8"/>
  <c r="I2724" i="8"/>
  <c r="I3388" i="8"/>
  <c r="I419" i="8"/>
  <c r="I1573" i="8"/>
  <c r="I215" i="8"/>
  <c r="I127" i="8"/>
  <c r="I1844" i="8"/>
  <c r="I126" i="8"/>
  <c r="I3312" i="8"/>
  <c r="I3297" i="8"/>
  <c r="I3052" i="8"/>
  <c r="I1954" i="8"/>
  <c r="I2861" i="8"/>
  <c r="I3226" i="8"/>
  <c r="I1071" i="8"/>
  <c r="I3415" i="8"/>
  <c r="I3012" i="8"/>
  <c r="I3053" i="8"/>
  <c r="I1895" i="8"/>
  <c r="I3357" i="8"/>
  <c r="I3034" i="8"/>
  <c r="I3437" i="8"/>
  <c r="I3354" i="8"/>
  <c r="I2394" i="8"/>
  <c r="I2895" i="8"/>
  <c r="I1122" i="8"/>
  <c r="I3298" i="8"/>
  <c r="I410" i="8"/>
  <c r="I2708" i="8"/>
  <c r="I373" i="8"/>
  <c r="I3248" i="8"/>
  <c r="I2909" i="8"/>
  <c r="I259" i="8"/>
  <c r="I2830" i="8"/>
  <c r="I723" i="8"/>
  <c r="I260" i="8"/>
  <c r="I2931" i="8"/>
  <c r="I1036" i="8"/>
  <c r="I3307" i="8"/>
  <c r="I109" i="8"/>
  <c r="I3172" i="8"/>
  <c r="I928" i="8"/>
  <c r="I1905" i="8"/>
  <c r="I3405" i="8"/>
  <c r="I969" i="8"/>
  <c r="I3040" i="8"/>
  <c r="I2857" i="8"/>
  <c r="I3397" i="8"/>
  <c r="I341" i="8"/>
  <c r="I3377" i="8"/>
  <c r="I2606" i="8"/>
  <c r="I2993" i="8"/>
  <c r="I952" i="8"/>
  <c r="I1548" i="8"/>
  <c r="I987" i="8"/>
  <c r="I3048" i="8"/>
  <c r="I2854" i="8"/>
  <c r="I204" i="8"/>
  <c r="I1145" i="8"/>
  <c r="I1271" i="8"/>
  <c r="I3164" i="8"/>
  <c r="I3330" i="8"/>
  <c r="I501" i="8"/>
  <c r="I1124" i="8"/>
  <c r="I200" i="8"/>
  <c r="I1577" i="8"/>
  <c r="I1842" i="8"/>
  <c r="I1211" i="8"/>
  <c r="I1180" i="8"/>
  <c r="I3331" i="8"/>
  <c r="I1088" i="8"/>
  <c r="I351" i="8"/>
  <c r="I2980" i="8"/>
  <c r="I2899" i="8"/>
  <c r="I985" i="8"/>
  <c r="I1545" i="8"/>
  <c r="I3002" i="8"/>
  <c r="I1604" i="8"/>
  <c r="I257" i="8"/>
  <c r="I1849" i="8"/>
  <c r="I3479" i="8"/>
  <c r="I1360" i="8"/>
  <c r="I19" i="8"/>
  <c r="I1170" i="8"/>
  <c r="I2828" i="8"/>
  <c r="I217" i="8"/>
  <c r="I1095" i="8"/>
  <c r="I2886" i="8"/>
  <c r="I1902" i="8"/>
  <c r="I2910" i="8"/>
  <c r="I1077" i="8"/>
  <c r="I1896" i="8"/>
  <c r="I3422" i="8"/>
  <c r="I989" i="8"/>
  <c r="I971" i="8"/>
  <c r="I1138" i="8"/>
  <c r="I3320" i="8"/>
  <c r="I3350" i="8"/>
  <c r="I2608" i="8"/>
  <c r="I499" i="8"/>
  <c r="I1389" i="8"/>
  <c r="I3386" i="8"/>
  <c r="I1890" i="8"/>
  <c r="I3372" i="8"/>
  <c r="I3412" i="8"/>
  <c r="I173" i="8"/>
  <c r="I1102" i="8"/>
  <c r="I2881" i="8"/>
  <c r="I2752" i="8"/>
  <c r="I3442" i="8"/>
  <c r="I3302" i="8"/>
  <c r="I3353" i="8"/>
  <c r="I2940" i="8"/>
  <c r="I1846" i="8"/>
  <c r="I1864" i="8"/>
  <c r="I496" i="8"/>
  <c r="I1605" i="8"/>
  <c r="I2104" i="8"/>
  <c r="I3033" i="8"/>
  <c r="I2831" i="8"/>
  <c r="I3003" i="8"/>
  <c r="I2859" i="8"/>
  <c r="I2815" i="8"/>
  <c r="I3300" i="8"/>
  <c r="I1949" i="8"/>
  <c r="I1115" i="8"/>
  <c r="I420" i="8"/>
  <c r="I3301" i="8"/>
  <c r="I3030" i="8"/>
  <c r="I2875" i="8"/>
  <c r="I2858" i="8"/>
  <c r="I3100" i="8"/>
  <c r="I1367" i="8"/>
  <c r="I3045" i="8"/>
  <c r="I834" i="8"/>
  <c r="I3345" i="8"/>
  <c r="I1224" i="8"/>
  <c r="I2894" i="8"/>
  <c r="I2748" i="8"/>
  <c r="I2833" i="8"/>
  <c r="I238" i="8"/>
  <c r="I2744" i="8"/>
  <c r="I953" i="8"/>
  <c r="I3343" i="8"/>
  <c r="I413" i="8"/>
  <c r="I1547" i="8"/>
  <c r="I1900" i="8"/>
  <c r="I1574" i="8"/>
  <c r="I1836" i="8"/>
  <c r="I3420" i="8"/>
  <c r="I3027" i="8"/>
  <c r="I2882" i="8"/>
  <c r="I3406" i="8"/>
  <c r="I2879" i="8"/>
  <c r="I3355" i="8"/>
  <c r="I1852" i="8"/>
  <c r="I3296" i="8"/>
  <c r="I3305" i="8"/>
  <c r="I854" i="8"/>
  <c r="I1569" i="8"/>
  <c r="I163" i="8"/>
  <c r="I3465" i="8"/>
  <c r="I3409" i="8"/>
  <c r="I1897" i="8"/>
  <c r="I973" i="8"/>
  <c r="I118" i="8"/>
  <c r="I3327" i="8"/>
  <c r="I1882" i="8"/>
  <c r="I1848" i="8"/>
  <c r="I2872" i="8"/>
  <c r="I3316" i="8"/>
  <c r="I1273" i="8"/>
  <c r="I1570" i="8"/>
  <c r="I372" i="8"/>
  <c r="I2099" i="8"/>
  <c r="I2996" i="8"/>
  <c r="I3346" i="8"/>
  <c r="I2891" i="8"/>
  <c r="I1083" i="8"/>
  <c r="I1285" i="8"/>
  <c r="I2081" i="8"/>
  <c r="I3037" i="8"/>
  <c r="I2981" i="8"/>
  <c r="I3351" i="8"/>
  <c r="I958" i="8"/>
  <c r="I2697" i="8"/>
  <c r="I3039" i="8"/>
  <c r="I3366" i="8"/>
  <c r="I3317" i="8"/>
  <c r="I347" i="8"/>
  <c r="I3240" i="8"/>
  <c r="I1859" i="8"/>
  <c r="I2885" i="8"/>
  <c r="I88" i="8"/>
  <c r="I819" i="8"/>
  <c r="I2948" i="8"/>
  <c r="I2893" i="8"/>
  <c r="I1893" i="8"/>
  <c r="I186" i="8"/>
  <c r="I121" i="8"/>
  <c r="I2924" i="8"/>
  <c r="I2979" i="8"/>
  <c r="I1878" i="8"/>
  <c r="I3456" i="8"/>
  <c r="I3254" i="8"/>
  <c r="I931" i="8"/>
  <c r="I348" i="8"/>
  <c r="I995" i="8"/>
  <c r="I3411" i="8"/>
  <c r="I1861" i="8"/>
  <c r="I955" i="8"/>
  <c r="I90" i="8"/>
  <c r="I328" i="8"/>
  <c r="I475" i="8"/>
  <c r="I2874" i="8"/>
  <c r="I3042" i="8"/>
  <c r="I3341" i="8"/>
  <c r="I1114" i="8"/>
  <c r="I3338" i="8"/>
  <c r="I3339" i="8"/>
  <c r="I578" i="8"/>
  <c r="I1837" i="8"/>
  <c r="I586" i="8"/>
  <c r="I220" i="8"/>
  <c r="I3428" i="8"/>
  <c r="I383" i="8"/>
  <c r="I3398" i="8"/>
  <c r="I3365" i="8"/>
  <c r="I1887" i="8"/>
  <c r="I105" i="8"/>
  <c r="I3413" i="8"/>
  <c r="I3376" i="8"/>
  <c r="I510" i="8"/>
  <c r="I3419" i="8"/>
  <c r="I3446" i="8"/>
  <c r="I3031" i="8"/>
  <c r="I2934" i="8"/>
  <c r="I3332" i="8"/>
  <c r="I3308" i="8"/>
  <c r="I2736" i="8"/>
  <c r="I1933" i="8"/>
  <c r="I3423" i="8"/>
  <c r="I2892" i="8"/>
  <c r="I2295" i="8"/>
  <c r="I2873" i="8"/>
  <c r="I15" i="8"/>
  <c r="I850" i="8"/>
  <c r="I2911" i="8"/>
  <c r="I3408" i="8"/>
  <c r="I1843" i="8"/>
  <c r="I2832" i="8"/>
  <c r="I196" i="8"/>
  <c r="I3310" i="8"/>
  <c r="I2335" i="8"/>
  <c r="I1147" i="8"/>
  <c r="I1098" i="8"/>
  <c r="I1119" i="8"/>
  <c r="I3333" i="8"/>
  <c r="I3309" i="8"/>
  <c r="I3439" i="8"/>
  <c r="I3382" i="8"/>
  <c r="I750" i="8"/>
  <c r="I2299" i="8"/>
  <c r="I240" i="8"/>
  <c r="I775" i="8"/>
  <c r="I18" i="8"/>
  <c r="I3337" i="8"/>
  <c r="I3378" i="8"/>
  <c r="I3348" i="8"/>
  <c r="I1899" i="8"/>
  <c r="I3391" i="8"/>
  <c r="I1155" i="8"/>
  <c r="I3418" i="8"/>
  <c r="I1176" i="8"/>
  <c r="I1034" i="8"/>
  <c r="I3322" i="8"/>
  <c r="I2992" i="8"/>
  <c r="I3347" i="8"/>
  <c r="I1951" i="8"/>
  <c r="I330" i="8"/>
  <c r="I2995" i="8"/>
  <c r="I3414" i="8"/>
  <c r="I3421" i="8"/>
  <c r="I1831" i="8"/>
  <c r="I1035" i="8"/>
  <c r="I1832" i="8"/>
  <c r="I3373" i="8"/>
  <c r="I2218" i="8"/>
  <c r="I1137" i="8"/>
  <c r="I3410" i="8"/>
  <c r="I202" i="8"/>
  <c r="I1851" i="8"/>
  <c r="I2821" i="8"/>
  <c r="I181" i="8"/>
  <c r="I3116" i="8"/>
  <c r="I2994" i="8"/>
  <c r="I2334" i="8"/>
  <c r="I3416" i="8"/>
  <c r="I1087" i="8"/>
  <c r="I3340" i="8"/>
  <c r="I1348" i="8"/>
  <c r="I192" i="8"/>
  <c r="I3362" i="8"/>
  <c r="I1552" i="8"/>
  <c r="I1374" i="8"/>
  <c r="I2789" i="8"/>
  <c r="I1608" i="8"/>
  <c r="I1839" i="8"/>
  <c r="I3036" i="8"/>
  <c r="I2217" i="8"/>
  <c r="I3019" i="8"/>
  <c r="I1906" i="8"/>
  <c r="I3014" i="8"/>
  <c r="I2829" i="8"/>
  <c r="I2932" i="8"/>
  <c r="I2825" i="8"/>
  <c r="I3306" i="8"/>
  <c r="I3399" i="8"/>
  <c r="I3329" i="8"/>
  <c r="I3455" i="8"/>
  <c r="I1576" i="8"/>
  <c r="I2818" i="8"/>
  <c r="I2740" i="8"/>
  <c r="I2747" i="8"/>
  <c r="I1174" i="8"/>
  <c r="I182" i="8"/>
  <c r="I993" i="8"/>
  <c r="I2930" i="8"/>
  <c r="I1891" i="8"/>
  <c r="I3299" i="8"/>
  <c r="I2765" i="8"/>
  <c r="I2984" i="8"/>
  <c r="I777" i="8"/>
  <c r="I2783" i="8"/>
  <c r="I3375" i="8"/>
  <c r="I1894" i="8"/>
  <c r="I2912" i="8"/>
  <c r="I1575" i="8"/>
  <c r="I211" i="8"/>
  <c r="I3464" i="8"/>
  <c r="I3029" i="8"/>
  <c r="I448" i="8"/>
  <c r="I1165" i="8"/>
  <c r="I2927" i="8"/>
  <c r="I3462" i="8"/>
  <c r="I1099" i="8"/>
  <c r="I3266" i="8"/>
  <c r="I566" i="8"/>
  <c r="I1572" i="8"/>
  <c r="I179" i="8"/>
  <c r="I3319" i="8"/>
  <c r="I3035" i="8"/>
  <c r="I945" i="8"/>
  <c r="I193" i="8"/>
  <c r="I1128" i="8"/>
  <c r="I1347" i="8"/>
  <c r="I1834" i="8"/>
  <c r="I2978" i="8"/>
  <c r="I98" i="8"/>
  <c r="I3032" i="8"/>
  <c r="I845" i="8"/>
  <c r="I3370" i="8"/>
  <c r="I2817" i="8"/>
  <c r="I3294" i="8"/>
  <c r="I1219" i="8"/>
  <c r="I1393" i="8"/>
  <c r="I1093" i="8"/>
  <c r="I1132" i="8"/>
  <c r="I3466" i="8"/>
  <c r="I1414" i="8"/>
  <c r="I833" i="8"/>
  <c r="I3381" i="8"/>
  <c r="I3461" i="8"/>
  <c r="I1862" i="8"/>
  <c r="I3344" i="8"/>
  <c r="I2933" i="8"/>
  <c r="I3044" i="8"/>
  <c r="I3417" i="8"/>
  <c r="I2823" i="8"/>
  <c r="I1412" i="8"/>
  <c r="I1869" i="8"/>
  <c r="I162" i="8"/>
  <c r="I2593" i="8"/>
  <c r="I1006" i="8"/>
  <c r="I929" i="8"/>
  <c r="I3400" i="8"/>
  <c r="I2219" i="8"/>
  <c r="I1120" i="8"/>
  <c r="I3004" i="8"/>
  <c r="I2822" i="8"/>
  <c r="I1230" i="8"/>
  <c r="I1889" i="8"/>
  <c r="I268" i="8"/>
  <c r="I3403" i="8"/>
  <c r="I3043" i="8"/>
  <c r="I3342" i="8"/>
  <c r="I2504" i="8"/>
  <c r="I1568" i="8"/>
  <c r="I2806" i="8"/>
  <c r="I3449" i="8"/>
  <c r="I3313" i="8"/>
  <c r="I3318" i="8"/>
  <c r="I820" i="8"/>
  <c r="I2883" i="8"/>
  <c r="I2819" i="8"/>
  <c r="I2255" i="8"/>
  <c r="I414" i="8"/>
  <c r="I3295" i="8"/>
  <c r="I1103" i="8"/>
  <c r="I1018" i="8"/>
  <c r="I53" i="8"/>
  <c r="I3385" i="8"/>
  <c r="I264" i="8"/>
  <c r="I1953" i="8"/>
  <c r="I1858" i="8"/>
  <c r="I2896" i="8"/>
  <c r="I3013" i="8"/>
  <c r="I3051" i="8"/>
  <c r="I1571" i="8"/>
  <c r="I3390" i="8"/>
  <c r="I1341" i="8"/>
  <c r="I3444" i="8"/>
  <c r="I2735" i="8"/>
  <c r="I2890" i="8"/>
  <c r="I3022" i="8"/>
  <c r="I3407" i="8"/>
  <c r="I103" i="8"/>
  <c r="I145" i="8"/>
  <c r="I3363" i="8"/>
  <c r="I1892" i="8"/>
  <c r="I1284" i="8"/>
  <c r="I1411" i="8"/>
  <c r="I3463" i="8"/>
  <c r="I1267" i="8"/>
  <c r="I3325" i="8"/>
  <c r="I10" i="8"/>
  <c r="I1175" i="8"/>
  <c r="I1838" i="8"/>
  <c r="I2887" i="8"/>
  <c r="I2945" i="8"/>
  <c r="I1829" i="8"/>
  <c r="I1293" i="8"/>
  <c r="I224" i="8"/>
  <c r="I3394" i="8"/>
  <c r="I1125" i="8"/>
  <c r="I3255" i="8"/>
  <c r="I54" i="8"/>
  <c r="I1854" i="8"/>
  <c r="I503" i="8"/>
  <c r="I195" i="8"/>
  <c r="I1833" i="8"/>
  <c r="I1903" i="8"/>
  <c r="I564" i="8"/>
  <c r="I412" i="8"/>
  <c r="I1907" i="8"/>
  <c r="I155" i="8"/>
  <c r="I16" i="8"/>
  <c r="I927" i="8"/>
  <c r="I3101" i="8"/>
  <c r="I3352" i="8"/>
  <c r="I1866" i="8"/>
  <c r="I1179" i="8"/>
  <c r="I3393" i="8"/>
  <c r="I2880" i="8"/>
  <c r="I1357" i="8"/>
  <c r="I1546" i="8"/>
  <c r="I1885" i="8"/>
  <c r="I2985" i="8"/>
  <c r="I3396" i="8"/>
  <c r="I3222" i="8"/>
  <c r="I562" i="8"/>
  <c r="I2884" i="8"/>
  <c r="I3020" i="8"/>
  <c r="I1863" i="8"/>
  <c r="I218" i="8"/>
  <c r="I2855" i="8"/>
  <c r="I3360" i="8"/>
  <c r="I3011" i="8"/>
  <c r="I2901" i="8"/>
  <c r="I846" i="8"/>
  <c r="I1129" i="8"/>
  <c r="I3485" i="8"/>
  <c r="I3395" i="8"/>
  <c r="I151" i="8"/>
  <c r="I2853" i="8"/>
  <c r="I216" i="8"/>
  <c r="I3117" i="8"/>
  <c r="I495" i="8"/>
  <c r="I3336" i="8"/>
  <c r="I3304" i="8"/>
  <c r="I1853" i="8"/>
  <c r="I2946" i="8"/>
  <c r="I3315" i="8"/>
  <c r="I178" i="8"/>
  <c r="I3334" i="8"/>
  <c r="I1898" i="8"/>
  <c r="I3185" i="8"/>
  <c r="I733" i="8"/>
  <c r="I1841" i="8"/>
  <c r="I3049" i="8"/>
  <c r="I3389" i="8"/>
  <c r="I3441" i="8"/>
  <c r="I597" i="8"/>
  <c r="I2750" i="8"/>
  <c r="I3303" i="8"/>
  <c r="I1847" i="8"/>
  <c r="I774" i="8"/>
  <c r="I2982" i="8"/>
  <c r="I1113" i="8"/>
  <c r="I1097" i="8"/>
  <c r="I3361" i="8"/>
  <c r="I886" i="8"/>
  <c r="I2904" i="8"/>
  <c r="I1901" i="8"/>
  <c r="I2820" i="8"/>
  <c r="I1121" i="8"/>
  <c r="I2929" i="8"/>
  <c r="I416" i="8"/>
  <c r="I56" i="8"/>
  <c r="I3041" i="8"/>
  <c r="I177" i="8"/>
  <c r="I2975" i="8"/>
  <c r="I593" i="8"/>
  <c r="I3359" i="8"/>
  <c r="I3047" i="8"/>
  <c r="I2871" i="8"/>
  <c r="I3219" i="8"/>
  <c r="I2990" i="8"/>
  <c r="I331" i="8"/>
  <c r="I1169" i="8"/>
  <c r="I2878" i="8"/>
  <c r="I3323" i="8"/>
  <c r="I3364" i="8"/>
  <c r="I3326" i="8"/>
  <c r="I2729" i="8"/>
  <c r="I3374" i="8"/>
  <c r="I2898" i="8"/>
  <c r="I1856" i="8"/>
  <c r="I283" i="8"/>
  <c r="I3321" i="8"/>
  <c r="I3208" i="8"/>
  <c r="I3328" i="8"/>
  <c r="I3453" i="8"/>
  <c r="I1566" i="8"/>
  <c r="I265" i="8"/>
  <c r="I3435" i="8"/>
  <c r="I1904" i="8"/>
  <c r="I3384" i="8"/>
  <c r="E239" i="8"/>
  <c r="S1389" i="5"/>
  <c r="E1112" i="8"/>
  <c r="S4129" i="5"/>
  <c r="E1315" i="8"/>
  <c r="S5122" i="5"/>
  <c r="E1359" i="8"/>
  <c r="S5356" i="5"/>
  <c r="E267" i="8"/>
  <c r="S1633" i="5"/>
  <c r="E306" i="8"/>
  <c r="E310" i="8"/>
  <c r="E300" i="8"/>
  <c r="E321" i="8"/>
  <c r="E1136" i="8"/>
  <c r="E274" i="8"/>
  <c r="E332" i="8"/>
  <c r="E309" i="8"/>
  <c r="H1739" i="5"/>
  <c r="S1739" i="5" s="1"/>
  <c r="H3950" i="5"/>
  <c r="S3950" i="5" s="1"/>
  <c r="H899" i="5"/>
  <c r="S899" i="5" s="1"/>
  <c r="H1706" i="5"/>
  <c r="S1706" i="5" s="1"/>
  <c r="F374" i="8"/>
  <c r="H374" i="8"/>
  <c r="G3921" i="5"/>
  <c r="R3921" i="5" s="1"/>
  <c r="F1366" i="8"/>
  <c r="H1366" i="8"/>
  <c r="F1290" i="8"/>
  <c r="H1290" i="8"/>
  <c r="H1698" i="5"/>
  <c r="H226" i="8"/>
  <c r="F226" i="8"/>
  <c r="G3518" i="5"/>
  <c r="R3518" i="5" s="1"/>
  <c r="G5275" i="5"/>
  <c r="R5275" i="5" s="1"/>
  <c r="H1979" i="5"/>
  <c r="F3270" i="8"/>
  <c r="H3270" i="8"/>
  <c r="F3271" i="8"/>
  <c r="H3271" i="8"/>
  <c r="H564" i="5"/>
  <c r="S564" i="5" s="1"/>
  <c r="H1717" i="5"/>
  <c r="S1717" i="5" s="1"/>
  <c r="F530" i="6"/>
  <c r="H335" i="8"/>
  <c r="I335" i="8" s="1"/>
  <c r="F335" i="8"/>
  <c r="F197" i="8"/>
  <c r="H197" i="8"/>
  <c r="H343" i="8"/>
  <c r="F343" i="8"/>
  <c r="H229" i="8"/>
  <c r="F229" i="8"/>
  <c r="G4125" i="5"/>
  <c r="F209" i="8"/>
  <c r="H209" i="8"/>
  <c r="F1355" i="8"/>
  <c r="H1355" i="8"/>
  <c r="H3068" i="5"/>
  <c r="F3269" i="8"/>
  <c r="H3269" i="8"/>
  <c r="F486" i="6"/>
  <c r="Q486" i="6" s="1"/>
  <c r="F106" i="8"/>
  <c r="H106" i="8"/>
  <c r="H1728" i="5"/>
  <c r="S1728" i="5" s="1"/>
  <c r="G3920" i="5"/>
  <c r="R3920" i="5" s="1"/>
  <c r="H116" i="8"/>
  <c r="F116" i="8"/>
  <c r="H1163" i="8"/>
  <c r="F1163" i="8"/>
  <c r="H1971" i="5"/>
  <c r="F210" i="8"/>
  <c r="H210" i="8"/>
  <c r="F128" i="8"/>
  <c r="H128" i="8"/>
  <c r="F230" i="8"/>
  <c r="H230" i="8"/>
  <c r="F454" i="6"/>
  <c r="Q454" i="6" s="1"/>
  <c r="F117" i="8"/>
  <c r="H117" i="8"/>
  <c r="F487" i="6"/>
  <c r="Q487" i="6" s="1"/>
  <c r="G3493" i="5"/>
  <c r="R3493" i="5" s="1"/>
  <c r="G4172" i="5"/>
  <c r="H381" i="8"/>
  <c r="F381" i="8"/>
  <c r="F524" i="6"/>
  <c r="F206" i="8"/>
  <c r="H206" i="8"/>
  <c r="F339" i="8"/>
  <c r="H339" i="8"/>
  <c r="I339" i="8" s="1"/>
  <c r="G3560" i="5"/>
  <c r="R3560" i="5" s="1"/>
  <c r="H591" i="5"/>
  <c r="F453" i="6"/>
  <c r="Q453" i="6" s="1"/>
  <c r="H624" i="5"/>
  <c r="H180" i="8"/>
  <c r="F180" i="8"/>
  <c r="F1320" i="8"/>
  <c r="H1320" i="8"/>
  <c r="G4466" i="5"/>
  <c r="R4466" i="5" s="1"/>
  <c r="H1277" i="8"/>
  <c r="F1277" i="8"/>
  <c r="H376" i="8"/>
  <c r="F376" i="8"/>
  <c r="H1352" i="8"/>
  <c r="F1352" i="8"/>
  <c r="F338" i="8"/>
  <c r="H338" i="8"/>
  <c r="I338" i="8" s="1"/>
  <c r="G6324" i="5"/>
  <c r="R6324" i="5" s="1"/>
  <c r="G8209" i="5"/>
  <c r="R8209" i="5" s="1"/>
  <c r="H2876" i="5"/>
  <c r="F2607" i="8"/>
  <c r="H2607" i="8"/>
  <c r="G3457" i="5"/>
  <c r="G7519" i="5"/>
  <c r="G6321" i="5"/>
  <c r="R6321" i="5" s="1"/>
  <c r="G6329" i="5"/>
  <c r="R6329" i="5" s="1"/>
  <c r="F384" i="8"/>
  <c r="H384" i="8"/>
  <c r="H261" i="8"/>
  <c r="F261" i="8"/>
  <c r="F1140" i="8"/>
  <c r="H1140" i="8"/>
  <c r="F1292" i="8"/>
  <c r="H1292" i="8"/>
  <c r="H7493" i="5"/>
  <c r="S7493" i="5" s="1"/>
  <c r="H1376" i="5"/>
  <c r="H1266" i="8"/>
  <c r="F1266" i="8"/>
  <c r="H948" i="8"/>
  <c r="F948" i="8"/>
  <c r="H1678" i="5"/>
  <c r="F203" i="8"/>
  <c r="H203" i="8"/>
  <c r="G5443" i="5"/>
  <c r="R5443" i="5" s="1"/>
  <c r="G6368" i="5"/>
  <c r="R6368" i="5" s="1"/>
  <c r="G478" i="5"/>
  <c r="G1316" i="5"/>
  <c r="R6" i="8" l="1"/>
  <c r="O338" i="8"/>
  <c r="P338" i="8" s="1"/>
  <c r="R338" i="8" s="1"/>
  <c r="S7" i="8"/>
  <c r="S13" i="8"/>
  <c r="S258" i="8"/>
  <c r="S256" i="8"/>
  <c r="S176" i="8"/>
  <c r="S349" i="8"/>
  <c r="S3243" i="8"/>
  <c r="S337" i="8"/>
  <c r="S352" i="8"/>
  <c r="O339" i="8"/>
  <c r="P339" i="8" s="1"/>
  <c r="R339" i="8" s="1"/>
  <c r="S1106" i="8"/>
  <c r="S172" i="8"/>
  <c r="S334" i="8"/>
  <c r="O335" i="8"/>
  <c r="P335" i="8" s="1"/>
  <c r="R335" i="8" s="1"/>
  <c r="S104" i="8"/>
  <c r="S353" i="8"/>
  <c r="S6" i="8"/>
  <c r="S350" i="8"/>
  <c r="I1140" i="8"/>
  <c r="I1320" i="8"/>
  <c r="I1355" i="8"/>
  <c r="I3271" i="8"/>
  <c r="I226" i="8"/>
  <c r="I948" i="8"/>
  <c r="I210" i="8"/>
  <c r="I197" i="8"/>
  <c r="I1266" i="8"/>
  <c r="I261" i="8"/>
  <c r="I180" i="8"/>
  <c r="I343" i="8"/>
  <c r="I203" i="8"/>
  <c r="I230" i="8"/>
  <c r="I1163" i="8"/>
  <c r="I3269" i="8"/>
  <c r="I2607" i="8"/>
  <c r="I1352" i="8"/>
  <c r="I206" i="8"/>
  <c r="I117" i="8"/>
  <c r="I106" i="8"/>
  <c r="I209" i="8"/>
  <c r="I3270" i="8"/>
  <c r="I1290" i="8"/>
  <c r="I384" i="8"/>
  <c r="I376" i="8"/>
  <c r="I1366" i="8"/>
  <c r="I1292" i="8"/>
  <c r="I1277" i="8"/>
  <c r="I381" i="8"/>
  <c r="I229" i="8"/>
  <c r="I128" i="8"/>
  <c r="I116" i="8"/>
  <c r="I374" i="8"/>
  <c r="G528" i="6"/>
  <c r="R528" i="6" s="1"/>
  <c r="Q530" i="6"/>
  <c r="G522" i="6"/>
  <c r="R522" i="6" s="1"/>
  <c r="Q524" i="6"/>
  <c r="E275" i="8"/>
  <c r="S1678" i="5"/>
  <c r="E901" i="8"/>
  <c r="S3068" i="5"/>
  <c r="E278" i="8"/>
  <c r="S1698" i="5"/>
  <c r="E326" i="8"/>
  <c r="S1971" i="5"/>
  <c r="E237" i="8"/>
  <c r="S1376" i="5"/>
  <c r="E867" i="8"/>
  <c r="S2876" i="5"/>
  <c r="E119" i="8"/>
  <c r="S624" i="5"/>
  <c r="E327" i="8"/>
  <c r="S1979" i="5"/>
  <c r="E115" i="8"/>
  <c r="S591" i="5"/>
  <c r="E281" i="8"/>
  <c r="E1076" i="8"/>
  <c r="E112" i="8"/>
  <c r="E3281" i="8"/>
  <c r="E279" i="8"/>
  <c r="E282" i="8"/>
  <c r="E280" i="8"/>
  <c r="E165" i="8"/>
  <c r="G474" i="6"/>
  <c r="R474" i="6" s="1"/>
  <c r="G441" i="6"/>
  <c r="R441" i="6" s="1"/>
  <c r="G3978" i="5"/>
  <c r="R3978" i="5" s="1"/>
  <c r="F65" i="6"/>
  <c r="F221" i="8"/>
  <c r="H221" i="8"/>
  <c r="G3837" i="5"/>
  <c r="R3837" i="5" s="1"/>
  <c r="G4514" i="5"/>
  <c r="R4514" i="5" s="1"/>
  <c r="F311" i="8"/>
  <c r="H311" i="8"/>
  <c r="G5296" i="5"/>
  <c r="R5296" i="5" s="1"/>
  <c r="G5270" i="5"/>
  <c r="R5270" i="5" s="1"/>
  <c r="H1311" i="5"/>
  <c r="H87" i="8"/>
  <c r="F87" i="8"/>
  <c r="F318" i="8"/>
  <c r="H318" i="8"/>
  <c r="G7371" i="5"/>
  <c r="R7371" i="5" s="1"/>
  <c r="F909" i="8"/>
  <c r="H909" i="8"/>
  <c r="F363" i="6"/>
  <c r="G5431" i="5"/>
  <c r="R5431" i="5" s="1"/>
  <c r="G428" i="5"/>
  <c r="R428" i="5" s="1"/>
  <c r="F308" i="8"/>
  <c r="H308" i="8"/>
  <c r="F369" i="6"/>
  <c r="F1246" i="8"/>
  <c r="H1246" i="8"/>
  <c r="G5429" i="5"/>
  <c r="R5429" i="5" s="1"/>
  <c r="F1058" i="8"/>
  <c r="H1058" i="8"/>
  <c r="F879" i="8"/>
  <c r="H879" i="8"/>
  <c r="H157" i="8"/>
  <c r="F157" i="8"/>
  <c r="F907" i="8"/>
  <c r="H907" i="8"/>
  <c r="G4532" i="5"/>
  <c r="R4532" i="5" s="1"/>
  <c r="G275" i="5"/>
  <c r="R275" i="5" s="1"/>
  <c r="F320" i="8"/>
  <c r="H320" i="8"/>
  <c r="I320" i="8" s="1"/>
  <c r="G3372" i="5"/>
  <c r="R3372" i="5" s="1"/>
  <c r="H997" i="8"/>
  <c r="F997" i="8"/>
  <c r="G4451" i="5"/>
  <c r="R4451" i="5" s="1"/>
  <c r="F378" i="6"/>
  <c r="G7543" i="5"/>
  <c r="R7543" i="5" s="1"/>
  <c r="G4506" i="5"/>
  <c r="R4506" i="5" s="1"/>
  <c r="G6307" i="5"/>
  <c r="R6307" i="5" s="1"/>
  <c r="H898" i="8"/>
  <c r="F898" i="8"/>
  <c r="H474" i="5"/>
  <c r="S474" i="5" s="1"/>
  <c r="G5426" i="5"/>
  <c r="R5426" i="5" s="1"/>
  <c r="G3717" i="5"/>
  <c r="R3717" i="5" s="1"/>
  <c r="G5273" i="5"/>
  <c r="R5273" i="5" s="1"/>
  <c r="H8201" i="5"/>
  <c r="S8201" i="5" s="1"/>
  <c r="G6476" i="5"/>
  <c r="R6476" i="5" s="1"/>
  <c r="H1364" i="8"/>
  <c r="F1364" i="8"/>
  <c r="G443" i="5"/>
  <c r="R443" i="5" s="1"/>
  <c r="G6214" i="5"/>
  <c r="R6214" i="5" s="1"/>
  <c r="H1245" i="8"/>
  <c r="F1245" i="8"/>
  <c r="G5441" i="5"/>
  <c r="R5441" i="5" s="1"/>
  <c r="F864" i="8"/>
  <c r="H864" i="8"/>
  <c r="G377" i="5"/>
  <c r="R377" i="5" s="1"/>
  <c r="H4168" i="5"/>
  <c r="S4168" i="5" s="1"/>
  <c r="G3622" i="5"/>
  <c r="R3622" i="5" s="1"/>
  <c r="H3907" i="5"/>
  <c r="S3907" i="5" s="1"/>
  <c r="F144" i="8"/>
  <c r="H144" i="8"/>
  <c r="H4121" i="5"/>
  <c r="G8234" i="5"/>
  <c r="R8234" i="5" s="1"/>
  <c r="H893" i="8"/>
  <c r="F893" i="8"/>
  <c r="F273" i="8"/>
  <c r="H273" i="8"/>
  <c r="G1359" i="5"/>
  <c r="R1359" i="5" s="1"/>
  <c r="F1067" i="8"/>
  <c r="H1067" i="8"/>
  <c r="G7230" i="5"/>
  <c r="R7230" i="5" s="1"/>
  <c r="G4463" i="5"/>
  <c r="R4463" i="5" s="1"/>
  <c r="G431" i="5"/>
  <c r="R431" i="5" s="1"/>
  <c r="F896" i="8"/>
  <c r="H896" i="8"/>
  <c r="G7533" i="5"/>
  <c r="F266" i="8"/>
  <c r="H266" i="8"/>
  <c r="I266" i="8" s="1"/>
  <c r="F869" i="8"/>
  <c r="H869" i="8"/>
  <c r="G1346" i="5"/>
  <c r="R1346" i="5" s="1"/>
  <c r="F863" i="8"/>
  <c r="H863" i="8"/>
  <c r="F301" i="8"/>
  <c r="H301" i="8"/>
  <c r="G3458" i="5"/>
  <c r="R3458" i="5" s="1"/>
  <c r="F1247" i="8"/>
  <c r="H1247" i="8"/>
  <c r="H1340" i="8"/>
  <c r="F1340" i="8"/>
  <c r="G1800" i="5"/>
  <c r="R1800" i="5" s="1"/>
  <c r="F2620" i="8"/>
  <c r="H2620" i="8"/>
  <c r="G6269" i="5"/>
  <c r="R6269" i="5" s="1"/>
  <c r="F1168" i="8"/>
  <c r="H1168" i="8"/>
  <c r="F1135" i="8"/>
  <c r="H1135" i="8"/>
  <c r="F911" i="8"/>
  <c r="H911" i="8"/>
  <c r="G558" i="5"/>
  <c r="R558" i="5" s="1"/>
  <c r="H877" i="8"/>
  <c r="F877" i="8"/>
  <c r="F1392" i="8"/>
  <c r="H1392" i="8"/>
  <c r="H894" i="8"/>
  <c r="F894" i="8"/>
  <c r="H1287" i="8"/>
  <c r="F1287" i="8"/>
  <c r="H307" i="8"/>
  <c r="F307" i="8"/>
  <c r="G398" i="5"/>
  <c r="R398" i="5" s="1"/>
  <c r="H6359" i="5"/>
  <c r="S6359" i="5" s="1"/>
  <c r="F319" i="8"/>
  <c r="H319" i="8"/>
  <c r="F892" i="8"/>
  <c r="H892" i="8"/>
  <c r="F3282" i="8"/>
  <c r="H3282" i="8"/>
  <c r="G6483" i="5"/>
  <c r="R6483" i="5" s="1"/>
  <c r="G3733" i="5"/>
  <c r="R3733" i="5" s="1"/>
  <c r="G7449" i="5"/>
  <c r="R7449" i="5" s="1"/>
  <c r="G6239" i="5"/>
  <c r="R6239" i="5" s="1"/>
  <c r="G3407" i="5"/>
  <c r="R3407" i="5" s="1"/>
  <c r="G3691" i="5"/>
  <c r="R3691" i="5" s="1"/>
  <c r="G3469" i="5"/>
  <c r="R3469" i="5" s="1"/>
  <c r="G5438" i="5"/>
  <c r="R5438" i="5" s="1"/>
  <c r="G3414" i="5"/>
  <c r="R3414" i="5" s="1"/>
  <c r="G548" i="5"/>
  <c r="R548" i="5" s="1"/>
  <c r="G7520" i="5"/>
  <c r="H323" i="8"/>
  <c r="I323" i="8" s="1"/>
  <c r="F323" i="8"/>
  <c r="H272" i="8"/>
  <c r="F272" i="8"/>
  <c r="G3447" i="5"/>
  <c r="R3447" i="5" s="1"/>
  <c r="F860" i="8"/>
  <c r="H860" i="8"/>
  <c r="G4537" i="5"/>
  <c r="R4537" i="5" s="1"/>
  <c r="H365" i="8"/>
  <c r="F365" i="8"/>
  <c r="G6490" i="5"/>
  <c r="R6490" i="5" s="1"/>
  <c r="G7534" i="5"/>
  <c r="O266" i="8" l="1"/>
  <c r="P266" i="8" s="1"/>
  <c r="R266" i="8" s="1"/>
  <c r="O323" i="8"/>
  <c r="P323" i="8" s="1"/>
  <c r="R323" i="8" s="1"/>
  <c r="S339" i="8"/>
  <c r="O320" i="8"/>
  <c r="P320" i="8" s="1"/>
  <c r="R320" i="8" s="1"/>
  <c r="S335" i="8"/>
  <c r="S338" i="8"/>
  <c r="I1287" i="8"/>
  <c r="I911" i="8"/>
  <c r="I1058" i="8"/>
  <c r="I365" i="8"/>
  <c r="I319" i="8"/>
  <c r="I863" i="8"/>
  <c r="I896" i="8"/>
  <c r="I273" i="8"/>
  <c r="I1245" i="8"/>
  <c r="I87" i="8"/>
  <c r="I221" i="8"/>
  <c r="I1135" i="8"/>
  <c r="I907" i="8"/>
  <c r="I860" i="8"/>
  <c r="I1392" i="8"/>
  <c r="I1340" i="8"/>
  <c r="I1246" i="8"/>
  <c r="I909" i="8"/>
  <c r="I1168" i="8"/>
  <c r="I1247" i="8"/>
  <c r="I869" i="8"/>
  <c r="I893" i="8"/>
  <c r="I997" i="8"/>
  <c r="I3282" i="8"/>
  <c r="I864" i="8"/>
  <c r="I1364" i="8"/>
  <c r="I898" i="8"/>
  <c r="I157" i="8"/>
  <c r="I311" i="8"/>
  <c r="I894" i="8"/>
  <c r="I307" i="8"/>
  <c r="I877" i="8"/>
  <c r="I1067" i="8"/>
  <c r="I879" i="8"/>
  <c r="I308" i="8"/>
  <c r="I318" i="8"/>
  <c r="I272" i="8"/>
  <c r="I892" i="8"/>
  <c r="I2620" i="8"/>
  <c r="I301" i="8"/>
  <c r="I144" i="8"/>
  <c r="G363" i="6"/>
  <c r="R363" i="6" s="1"/>
  <c r="Q363" i="6"/>
  <c r="G369" i="6"/>
  <c r="R369" i="6" s="1"/>
  <c r="Q369" i="6"/>
  <c r="G375" i="6"/>
  <c r="R375" i="6" s="1"/>
  <c r="Q378" i="6"/>
  <c r="G63" i="6"/>
  <c r="R63" i="6" s="1"/>
  <c r="Q65" i="6"/>
  <c r="E227" i="8"/>
  <c r="S1311" i="5"/>
  <c r="E1111" i="8"/>
  <c r="S4121" i="5"/>
  <c r="E1070" i="8"/>
  <c r="E1117" i="8"/>
  <c r="E2619" i="8"/>
  <c r="E3483" i="8"/>
  <c r="E100" i="8"/>
  <c r="H3453" i="5"/>
  <c r="S3453" i="5" s="1"/>
  <c r="F1064" i="8"/>
  <c r="H1064" i="8"/>
  <c r="H374" i="5"/>
  <c r="S374" i="5" s="1"/>
  <c r="H895" i="8"/>
  <c r="F895" i="8"/>
  <c r="H6300" i="5"/>
  <c r="S6300" i="5" s="1"/>
  <c r="F132" i="8"/>
  <c r="H132" i="8"/>
  <c r="H912" i="8"/>
  <c r="F912" i="8"/>
  <c r="F905" i="8"/>
  <c r="H905" i="8"/>
  <c r="H574" i="8"/>
  <c r="F574" i="8"/>
  <c r="F921" i="8"/>
  <c r="H921" i="8"/>
  <c r="H6214" i="5"/>
  <c r="H4528" i="5"/>
  <c r="H379" i="8"/>
  <c r="F379" i="8"/>
  <c r="H890" i="8"/>
  <c r="F890" i="8"/>
  <c r="H322" i="8"/>
  <c r="I322" i="8" s="1"/>
  <c r="F322" i="8"/>
  <c r="H3687" i="5"/>
  <c r="H397" i="5"/>
  <c r="S397" i="5" s="1"/>
  <c r="H878" i="8"/>
  <c r="F878" i="8"/>
  <c r="F573" i="8"/>
  <c r="H573" i="8"/>
  <c r="F2611" i="8"/>
  <c r="H2611" i="8"/>
  <c r="H443" i="5"/>
  <c r="F1263" i="8"/>
  <c r="H1263" i="8"/>
  <c r="H7542" i="5"/>
  <c r="S7542" i="5" s="1"/>
  <c r="H548" i="5"/>
  <c r="F271" i="8"/>
  <c r="H271" i="8"/>
  <c r="H3464" i="5"/>
  <c r="S3464" i="5" s="1"/>
  <c r="F904" i="8"/>
  <c r="H904" i="8"/>
  <c r="H1316" i="8"/>
  <c r="F1316" i="8"/>
  <c r="H6264" i="5"/>
  <c r="S6264" i="5" s="1"/>
  <c r="H1799" i="5"/>
  <c r="S1799" i="5" s="1"/>
  <c r="F1173" i="8"/>
  <c r="H1173" i="8"/>
  <c r="F303" i="8"/>
  <c r="H303" i="8"/>
  <c r="F225" i="8"/>
  <c r="H225" i="8"/>
  <c r="H3712" i="5"/>
  <c r="S3712" i="5" s="1"/>
  <c r="F1363" i="8"/>
  <c r="H1363" i="8"/>
  <c r="H289" i="8"/>
  <c r="I289" i="8" s="1"/>
  <c r="F289" i="8"/>
  <c r="F865" i="8"/>
  <c r="H865" i="8"/>
  <c r="H378" i="8"/>
  <c r="F378" i="8"/>
  <c r="F1164" i="8"/>
  <c r="H1164" i="8"/>
  <c r="F1324" i="8"/>
  <c r="H1324" i="8"/>
  <c r="H6489" i="5"/>
  <c r="S6489" i="5" s="1"/>
  <c r="H3132" i="8"/>
  <c r="I3132" i="8" s="1"/>
  <c r="F3132" i="8"/>
  <c r="F147" i="8"/>
  <c r="H147" i="8"/>
  <c r="F902" i="8"/>
  <c r="H902" i="8"/>
  <c r="H3406" i="5"/>
  <c r="S3406" i="5" s="1"/>
  <c r="H7448" i="5"/>
  <c r="S7448" i="5" s="1"/>
  <c r="H1344" i="5"/>
  <c r="H4458" i="5"/>
  <c r="S4458" i="5" s="1"/>
  <c r="F288" i="8"/>
  <c r="H288" i="8"/>
  <c r="I288" i="8" s="1"/>
  <c r="H888" i="8"/>
  <c r="F888" i="8"/>
  <c r="H3620" i="5"/>
  <c r="H4446" i="5"/>
  <c r="S4446" i="5" s="1"/>
  <c r="H271" i="5"/>
  <c r="F312" i="8"/>
  <c r="H312" i="8"/>
  <c r="H3977" i="5"/>
  <c r="S3977" i="5" s="1"/>
  <c r="H3490" i="8"/>
  <c r="I3490" i="8" s="1"/>
  <c r="F3490" i="8"/>
  <c r="H1365" i="8"/>
  <c r="F1365" i="8"/>
  <c r="H8233" i="5"/>
  <c r="S8233" i="5" s="1"/>
  <c r="F1332" i="8"/>
  <c r="H1332" i="8"/>
  <c r="H556" i="5"/>
  <c r="H868" i="8"/>
  <c r="F868" i="8"/>
  <c r="F891" i="8"/>
  <c r="H891" i="8"/>
  <c r="H922" i="8"/>
  <c r="F922" i="8"/>
  <c r="F1331" i="8"/>
  <c r="H1331" i="8"/>
  <c r="F1264" i="8"/>
  <c r="H1264" i="8"/>
  <c r="H1357" i="5"/>
  <c r="F86" i="8"/>
  <c r="H86" i="8"/>
  <c r="F385" i="8"/>
  <c r="H385" i="8"/>
  <c r="F980" i="8"/>
  <c r="H980" i="8"/>
  <c r="H994" i="8"/>
  <c r="F994" i="8"/>
  <c r="F926" i="8"/>
  <c r="H926" i="8"/>
  <c r="H7370" i="5"/>
  <c r="S7370" i="5" s="1"/>
  <c r="H361" i="8"/>
  <c r="F361" i="8"/>
  <c r="H236" i="8"/>
  <c r="F236" i="8"/>
  <c r="F1334" i="8"/>
  <c r="H1334" i="8"/>
  <c r="G7521" i="5"/>
  <c r="H3443" i="5"/>
  <c r="S3443" i="5" s="1"/>
  <c r="F363" i="8"/>
  <c r="H363" i="8"/>
  <c r="H3413" i="5"/>
  <c r="S3413" i="5" s="1"/>
  <c r="F1082" i="8"/>
  <c r="H1082" i="8"/>
  <c r="I1082" i="8" s="1"/>
  <c r="F263" i="8"/>
  <c r="H263" i="8"/>
  <c r="H6482" i="5"/>
  <c r="S6482" i="5" s="1"/>
  <c r="H1171" i="8"/>
  <c r="F1171" i="8"/>
  <c r="H262" i="8"/>
  <c r="I262" i="8" s="1"/>
  <c r="F262" i="8"/>
  <c r="F930" i="8"/>
  <c r="H930" i="8"/>
  <c r="F9" i="8"/>
  <c r="H9" i="8"/>
  <c r="I9" i="8" s="1"/>
  <c r="H7230" i="5"/>
  <c r="F325" i="8"/>
  <c r="H325" i="8"/>
  <c r="F1395" i="8"/>
  <c r="H1395" i="8"/>
  <c r="F382" i="8"/>
  <c r="H382" i="8"/>
  <c r="H1265" i="8"/>
  <c r="F1265" i="8"/>
  <c r="H4504" i="5"/>
  <c r="H5293" i="5"/>
  <c r="S5293" i="5" s="1"/>
  <c r="H906" i="8"/>
  <c r="F906" i="8"/>
  <c r="H908" i="8"/>
  <c r="F908" i="8"/>
  <c r="F882" i="8"/>
  <c r="H882" i="8"/>
  <c r="H6236" i="5"/>
  <c r="H3727" i="5"/>
  <c r="F903" i="8"/>
  <c r="H903" i="8"/>
  <c r="H1269" i="8"/>
  <c r="F1269" i="8"/>
  <c r="F304" i="8"/>
  <c r="H304" i="8"/>
  <c r="H6475" i="5"/>
  <c r="S6475" i="5" s="1"/>
  <c r="F101" i="8"/>
  <c r="H101" i="8"/>
  <c r="H889" i="8"/>
  <c r="F889" i="8"/>
  <c r="F861" i="8"/>
  <c r="H861" i="8"/>
  <c r="H3371" i="5"/>
  <c r="S3371" i="5" s="1"/>
  <c r="H910" i="8"/>
  <c r="F910" i="8"/>
  <c r="F148" i="8"/>
  <c r="H148" i="8"/>
  <c r="F575" i="8"/>
  <c r="H575" i="8"/>
  <c r="F1134" i="8"/>
  <c r="H1134" i="8"/>
  <c r="F978" i="8"/>
  <c r="H978" i="8"/>
  <c r="F2601" i="8"/>
  <c r="H2601" i="8"/>
  <c r="F1078" i="8"/>
  <c r="H1078" i="8"/>
  <c r="H4512" i="5"/>
  <c r="F270" i="8"/>
  <c r="H270" i="8"/>
  <c r="F344" i="8"/>
  <c r="H344" i="8"/>
  <c r="H4536" i="5"/>
  <c r="H171" i="8"/>
  <c r="F171" i="8"/>
  <c r="H1317" i="8"/>
  <c r="F1317" i="8"/>
  <c r="F862" i="8"/>
  <c r="H862" i="8"/>
  <c r="G7535" i="5"/>
  <c r="H1085" i="8"/>
  <c r="F1085" i="8"/>
  <c r="F2600" i="8"/>
  <c r="H2600" i="8"/>
  <c r="F1185" i="8"/>
  <c r="H1185" i="8"/>
  <c r="H425" i="5"/>
  <c r="H3835" i="5"/>
  <c r="S3835" i="5" s="1"/>
  <c r="H305" i="8"/>
  <c r="F305" i="8"/>
  <c r="O9" i="8" l="1"/>
  <c r="P9" i="8" s="1"/>
  <c r="O3132" i="8"/>
  <c r="P3132" i="8" s="1"/>
  <c r="R3132" i="8" s="1"/>
  <c r="S320" i="8"/>
  <c r="O1082" i="8"/>
  <c r="P1082" i="8" s="1"/>
  <c r="R1082" i="8" s="1"/>
  <c r="O289" i="8"/>
  <c r="P289" i="8" s="1"/>
  <c r="R289" i="8" s="1"/>
  <c r="O288" i="8"/>
  <c r="P288" i="8" s="1"/>
  <c r="R288" i="8" s="1"/>
  <c r="O262" i="8"/>
  <c r="P262" i="8" s="1"/>
  <c r="R262" i="8" s="1"/>
  <c r="O3490" i="8"/>
  <c r="P3490" i="8" s="1"/>
  <c r="R3490" i="8" s="1"/>
  <c r="O322" i="8"/>
  <c r="P322" i="8" s="1"/>
  <c r="R322" i="8" s="1"/>
  <c r="S323" i="8"/>
  <c r="S266" i="8"/>
  <c r="I910" i="8"/>
  <c r="I363" i="8"/>
  <c r="I573" i="8"/>
  <c r="I304" i="8"/>
  <c r="I1171" i="8"/>
  <c r="I385" i="8"/>
  <c r="I312" i="8"/>
  <c r="I890" i="8"/>
  <c r="I574" i="8"/>
  <c r="I2600" i="8"/>
  <c r="I1317" i="8"/>
  <c r="I861" i="8"/>
  <c r="I1265" i="8"/>
  <c r="I378" i="8"/>
  <c r="I225" i="8"/>
  <c r="I905" i="8"/>
  <c r="I895" i="8"/>
  <c r="I1078" i="8"/>
  <c r="I575" i="8"/>
  <c r="I382" i="8"/>
  <c r="I263" i="8"/>
  <c r="I926" i="8"/>
  <c r="I86" i="8"/>
  <c r="I922" i="8"/>
  <c r="I865" i="8"/>
  <c r="I1316" i="8"/>
  <c r="I1263" i="8"/>
  <c r="I878" i="8"/>
  <c r="I379" i="8"/>
  <c r="I171" i="8"/>
  <c r="I1269" i="8"/>
  <c r="I908" i="8"/>
  <c r="I930" i="8"/>
  <c r="I1334" i="8"/>
  <c r="I891" i="8"/>
  <c r="I303" i="8"/>
  <c r="I904" i="8"/>
  <c r="I1064" i="8"/>
  <c r="I862" i="8"/>
  <c r="I978" i="8"/>
  <c r="I236" i="8"/>
  <c r="I980" i="8"/>
  <c r="I868" i="8"/>
  <c r="I888" i="8"/>
  <c r="I1164" i="8"/>
  <c r="I1363" i="8"/>
  <c r="I271" i="8"/>
  <c r="I1185" i="8"/>
  <c r="I270" i="8"/>
  <c r="I1331" i="8"/>
  <c r="I147" i="8"/>
  <c r="I1134" i="8"/>
  <c r="I882" i="8"/>
  <c r="I361" i="8"/>
  <c r="I1332" i="8"/>
  <c r="I305" i="8"/>
  <c r="I1085" i="8"/>
  <c r="I2601" i="8"/>
  <c r="I148" i="8"/>
  <c r="I889" i="8"/>
  <c r="I903" i="8"/>
  <c r="I1395" i="8"/>
  <c r="I1365" i="8"/>
  <c r="I1324" i="8"/>
  <c r="I912" i="8"/>
  <c r="I344" i="8"/>
  <c r="I101" i="8"/>
  <c r="I906" i="8"/>
  <c r="I994" i="8"/>
  <c r="I1264" i="8"/>
  <c r="I902" i="8"/>
  <c r="I1173" i="8"/>
  <c r="I2611" i="8"/>
  <c r="I921" i="8"/>
  <c r="I132" i="8"/>
  <c r="I325" i="8"/>
  <c r="E1016" i="8"/>
  <c r="S3727" i="5"/>
  <c r="E2605" i="8"/>
  <c r="S6236" i="5"/>
  <c r="E111" i="8"/>
  <c r="S556" i="5"/>
  <c r="E3136" i="8"/>
  <c r="S7230" i="5"/>
  <c r="E110" i="8"/>
  <c r="S548" i="5"/>
  <c r="E1158" i="8"/>
  <c r="S4512" i="5"/>
  <c r="E79" i="8"/>
  <c r="S271" i="5"/>
  <c r="E232" i="8"/>
  <c r="S1344" i="5"/>
  <c r="E1161" i="8"/>
  <c r="S4528" i="5"/>
  <c r="E1157" i="8"/>
  <c r="S4504" i="5"/>
  <c r="E1162" i="8"/>
  <c r="S4536" i="5"/>
  <c r="E234" i="8"/>
  <c r="S1357" i="5"/>
  <c r="E986" i="8"/>
  <c r="S3620" i="5"/>
  <c r="E96" i="8"/>
  <c r="S443" i="5"/>
  <c r="E996" i="8"/>
  <c r="S3687" i="5"/>
  <c r="E2602" i="8"/>
  <c r="S6214" i="5"/>
  <c r="E94" i="8"/>
  <c r="S425" i="5"/>
  <c r="E959" i="8"/>
  <c r="E1059" i="8"/>
  <c r="E89" i="8"/>
  <c r="E967" i="8"/>
  <c r="E1344" i="8"/>
  <c r="E1079" i="8"/>
  <c r="E1152" i="8"/>
  <c r="E290" i="8"/>
  <c r="E968" i="8"/>
  <c r="E2609" i="8"/>
  <c r="E1153" i="8"/>
  <c r="E999" i="8"/>
  <c r="E3286" i="8"/>
  <c r="E3491" i="8"/>
  <c r="E2710" i="8"/>
  <c r="E960" i="8"/>
  <c r="E3253" i="8"/>
  <c r="E951" i="8"/>
  <c r="E2714" i="8"/>
  <c r="E2614" i="8"/>
  <c r="E966" i="8"/>
  <c r="E3265" i="8"/>
  <c r="E2715" i="8"/>
  <c r="E91" i="8"/>
  <c r="H942" i="8"/>
  <c r="F942" i="8"/>
  <c r="F82" i="8"/>
  <c r="H82" i="8"/>
  <c r="F1268" i="8"/>
  <c r="H1268" i="8"/>
  <c r="F187" i="8"/>
  <c r="H187" i="8"/>
  <c r="F306" i="8"/>
  <c r="H306" i="8"/>
  <c r="H310" i="8"/>
  <c r="F310" i="8"/>
  <c r="H254" i="8"/>
  <c r="I254" i="8" s="1"/>
  <c r="F254" i="8"/>
  <c r="F1319" i="8"/>
  <c r="H1319" i="8"/>
  <c r="G3492" i="5"/>
  <c r="F83" i="8"/>
  <c r="H83" i="8"/>
  <c r="G6330" i="5"/>
  <c r="R6330" i="5" s="1"/>
  <c r="F1136" i="8"/>
  <c r="H1136" i="8"/>
  <c r="F120" i="8"/>
  <c r="H120" i="8"/>
  <c r="G6177" i="5"/>
  <c r="F287" i="8"/>
  <c r="H287" i="8"/>
  <c r="H129" i="8"/>
  <c r="F129" i="8"/>
  <c r="F274" i="8"/>
  <c r="H274" i="8"/>
  <c r="G6166" i="5"/>
  <c r="F3256" i="8"/>
  <c r="H3256" i="8"/>
  <c r="I3256" i="8" s="1"/>
  <c r="H1330" i="8"/>
  <c r="F1330" i="8"/>
  <c r="F949" i="8"/>
  <c r="H949" i="8"/>
  <c r="H1338" i="8"/>
  <c r="F1338" i="8"/>
  <c r="F1262" i="8"/>
  <c r="H1262" i="8"/>
  <c r="F107" i="8"/>
  <c r="H107" i="8"/>
  <c r="G6325" i="5"/>
  <c r="R6325" i="5" s="1"/>
  <c r="G3517" i="5"/>
  <c r="H286" i="8"/>
  <c r="I286" i="8" s="1"/>
  <c r="F286" i="8"/>
  <c r="G4777" i="5"/>
  <c r="F925" i="8"/>
  <c r="H925" i="8"/>
  <c r="I925" i="8" s="1"/>
  <c r="H1139" i="8"/>
  <c r="F1139" i="8"/>
  <c r="H2709" i="8"/>
  <c r="F2709" i="8"/>
  <c r="H1382" i="8"/>
  <c r="F1382" i="8"/>
  <c r="F3252" i="8"/>
  <c r="H3252" i="8"/>
  <c r="H332" i="8"/>
  <c r="F332" i="8"/>
  <c r="F233" i="8"/>
  <c r="H233" i="8"/>
  <c r="F324" i="8"/>
  <c r="H324" i="8"/>
  <c r="F1141" i="8"/>
  <c r="H1141" i="8"/>
  <c r="F309" i="8"/>
  <c r="H309" i="8"/>
  <c r="G7536" i="5"/>
  <c r="G3559" i="5"/>
  <c r="F1069" i="8"/>
  <c r="H1069" i="8"/>
  <c r="F1318" i="8"/>
  <c r="H1318" i="8"/>
  <c r="H102" i="8"/>
  <c r="F102" i="8"/>
  <c r="H380" i="8"/>
  <c r="F380" i="8"/>
  <c r="F235" i="8"/>
  <c r="H235" i="8"/>
  <c r="F285" i="8"/>
  <c r="H285" i="8"/>
  <c r="I285" i="8" s="1"/>
  <c r="H1256" i="8"/>
  <c r="F1256" i="8"/>
  <c r="H1321" i="8"/>
  <c r="F1321" i="8"/>
  <c r="G7522" i="5"/>
  <c r="H1323" i="8"/>
  <c r="F1323" i="8"/>
  <c r="H130" i="8"/>
  <c r="F130" i="8"/>
  <c r="F1358" i="8"/>
  <c r="H1358" i="8"/>
  <c r="F95" i="8"/>
  <c r="H95" i="8"/>
  <c r="H255" i="8"/>
  <c r="F255" i="8"/>
  <c r="H1261" i="8"/>
  <c r="F1261" i="8"/>
  <c r="F97" i="8"/>
  <c r="H97" i="8"/>
  <c r="H943" i="8"/>
  <c r="F943" i="8"/>
  <c r="G6326" i="5"/>
  <c r="R6326" i="5" s="1"/>
  <c r="H321" i="8"/>
  <c r="F321" i="8"/>
  <c r="F300" i="8"/>
  <c r="H300" i="8"/>
  <c r="R9" i="8" l="1"/>
  <c r="S322" i="8"/>
  <c r="S289" i="8"/>
  <c r="O286" i="8"/>
  <c r="P286" i="8" s="1"/>
  <c r="R286" i="8" s="1"/>
  <c r="S3490" i="8"/>
  <c r="S1082" i="8"/>
  <c r="S262" i="8"/>
  <c r="O285" i="8"/>
  <c r="P285" i="8" s="1"/>
  <c r="R285" i="8" s="1"/>
  <c r="O925" i="8"/>
  <c r="P925" i="8" s="1"/>
  <c r="R925" i="8" s="1"/>
  <c r="O3256" i="8"/>
  <c r="P3256" i="8" s="1"/>
  <c r="R3256" i="8" s="1"/>
  <c r="S3132" i="8"/>
  <c r="S288" i="8"/>
  <c r="O254" i="8"/>
  <c r="P254" i="8" s="1"/>
  <c r="S9" i="8"/>
  <c r="I97" i="8"/>
  <c r="I1358" i="8"/>
  <c r="I1321" i="8"/>
  <c r="I380" i="8"/>
  <c r="I2709" i="8"/>
  <c r="I949" i="8"/>
  <c r="I1136" i="8"/>
  <c r="I1268" i="8"/>
  <c r="I300" i="8"/>
  <c r="I309" i="8"/>
  <c r="I1256" i="8"/>
  <c r="I102" i="8"/>
  <c r="I332" i="8"/>
  <c r="I1139" i="8"/>
  <c r="I107" i="8"/>
  <c r="I129" i="8"/>
  <c r="I82" i="8"/>
  <c r="I1261" i="8"/>
  <c r="I130" i="8"/>
  <c r="I1318" i="8"/>
  <c r="I1141" i="8"/>
  <c r="I3252" i="8"/>
  <c r="I1330" i="8"/>
  <c r="I287" i="8"/>
  <c r="I83" i="8"/>
  <c r="I310" i="8"/>
  <c r="I321" i="8"/>
  <c r="I1262" i="8"/>
  <c r="I306" i="8"/>
  <c r="I943" i="8"/>
  <c r="I233" i="8"/>
  <c r="I1338" i="8"/>
  <c r="I274" i="8"/>
  <c r="I255" i="8"/>
  <c r="I1323" i="8"/>
  <c r="I235" i="8"/>
  <c r="I1069" i="8"/>
  <c r="I324" i="8"/>
  <c r="I942" i="8"/>
  <c r="I95" i="8"/>
  <c r="I1382" i="8"/>
  <c r="I120" i="8"/>
  <c r="I1319" i="8"/>
  <c r="I187" i="8"/>
  <c r="H279" i="8"/>
  <c r="F279" i="8"/>
  <c r="H3483" i="5"/>
  <c r="S3483" i="5" s="1"/>
  <c r="H239" i="8"/>
  <c r="F239" i="8"/>
  <c r="H3508" i="5"/>
  <c r="S3508" i="5" s="1"/>
  <c r="H6170" i="5"/>
  <c r="S6170" i="5" s="1"/>
  <c r="H3551" i="5"/>
  <c r="S3551" i="5" s="1"/>
  <c r="H1315" i="8"/>
  <c r="F1315" i="8"/>
  <c r="H6159" i="5"/>
  <c r="S6159" i="5" s="1"/>
  <c r="F1070" i="8"/>
  <c r="G5442" i="5"/>
  <c r="R5442" i="5" s="1"/>
  <c r="G7537" i="5"/>
  <c r="F3483" i="8"/>
  <c r="H6311" i="5"/>
  <c r="S6311" i="5" s="1"/>
  <c r="G5430" i="5"/>
  <c r="R5430" i="5" s="1"/>
  <c r="F3281" i="8"/>
  <c r="H3281" i="8"/>
  <c r="H1112" i="8"/>
  <c r="F1112" i="8"/>
  <c r="G7523" i="5"/>
  <c r="H4770" i="5"/>
  <c r="S4770" i="5" s="1"/>
  <c r="F1076" i="8"/>
  <c r="H1076" i="8"/>
  <c r="H282" i="8"/>
  <c r="F282" i="8"/>
  <c r="F165" i="8"/>
  <c r="H165" i="8"/>
  <c r="H2619" i="8"/>
  <c r="F267" i="8"/>
  <c r="H267" i="8"/>
  <c r="G5274" i="5"/>
  <c r="R5274" i="5" s="1"/>
  <c r="F1359" i="8"/>
  <c r="H1359" i="8"/>
  <c r="S254" i="8" l="1"/>
  <c r="R254" i="8"/>
  <c r="S285" i="8"/>
  <c r="S286" i="8"/>
  <c r="S3256" i="8"/>
  <c r="S925" i="8"/>
  <c r="I282" i="8"/>
  <c r="I1076" i="8"/>
  <c r="I1315" i="8"/>
  <c r="I279" i="8"/>
  <c r="I267" i="8"/>
  <c r="I1359" i="8"/>
  <c r="I3281" i="8"/>
  <c r="I2619" i="8"/>
  <c r="I165" i="8"/>
  <c r="I1112" i="8"/>
  <c r="I239" i="8"/>
  <c r="E1237" i="8"/>
  <c r="E2596" i="8"/>
  <c r="E2615" i="8"/>
  <c r="E2595" i="8"/>
  <c r="E972" i="8"/>
  <c r="E970" i="8"/>
  <c r="E976" i="8"/>
  <c r="F2619" i="8"/>
  <c r="H3483" i="8"/>
  <c r="G7538" i="5"/>
  <c r="H5435" i="5"/>
  <c r="F275" i="8"/>
  <c r="H275" i="8"/>
  <c r="G3896" i="5"/>
  <c r="H5425" i="5"/>
  <c r="F1117" i="8"/>
  <c r="H1117" i="8"/>
  <c r="F112" i="8"/>
  <c r="H112" i="8"/>
  <c r="G1419" i="5"/>
  <c r="G7524" i="5"/>
  <c r="F326" i="8"/>
  <c r="H326" i="8"/>
  <c r="F867" i="8"/>
  <c r="H867" i="8"/>
  <c r="F115" i="8"/>
  <c r="H115" i="8"/>
  <c r="H5267" i="5"/>
  <c r="F237" i="8"/>
  <c r="H237" i="8"/>
  <c r="F119" i="8"/>
  <c r="H119" i="8"/>
  <c r="F901" i="8"/>
  <c r="H901" i="8"/>
  <c r="F327" i="8"/>
  <c r="H327" i="8"/>
  <c r="F280" i="8"/>
  <c r="H280" i="8"/>
  <c r="H1070" i="8"/>
  <c r="I1070" i="8" s="1"/>
  <c r="F281" i="8"/>
  <c r="H281" i="8"/>
  <c r="F100" i="8"/>
  <c r="H100" i="8"/>
  <c r="F278" i="8"/>
  <c r="H278" i="8"/>
  <c r="O1070" i="8" l="1"/>
  <c r="P1070" i="8" s="1"/>
  <c r="R1070" i="8" s="1"/>
  <c r="I326" i="8"/>
  <c r="I280" i="8"/>
  <c r="I237" i="8"/>
  <c r="I278" i="8"/>
  <c r="I275" i="8"/>
  <c r="I327" i="8"/>
  <c r="I100" i="8"/>
  <c r="I115" i="8"/>
  <c r="I112" i="8"/>
  <c r="I901" i="8"/>
  <c r="I281" i="8"/>
  <c r="I867" i="8"/>
  <c r="I1117" i="8"/>
  <c r="I3483" i="8"/>
  <c r="I119" i="8"/>
  <c r="E1375" i="8"/>
  <c r="S5425" i="5"/>
  <c r="E1339" i="8"/>
  <c r="S5267" i="5"/>
  <c r="E1378" i="8"/>
  <c r="S5435" i="5"/>
  <c r="H967" i="8"/>
  <c r="F967" i="8"/>
  <c r="H7514" i="5"/>
  <c r="S7514" i="5" s="1"/>
  <c r="H999" i="8"/>
  <c r="F999" i="8"/>
  <c r="F1059" i="8"/>
  <c r="H1059" i="8"/>
  <c r="H227" i="8"/>
  <c r="F227" i="8"/>
  <c r="H1111" i="8"/>
  <c r="F1111" i="8"/>
  <c r="G1449" i="5"/>
  <c r="H1152" i="8"/>
  <c r="F1152" i="8"/>
  <c r="G1434" i="5"/>
  <c r="F966" i="8"/>
  <c r="H966" i="8"/>
  <c r="H1408" i="5"/>
  <c r="S1408" i="5" s="1"/>
  <c r="F968" i="8"/>
  <c r="H968" i="8"/>
  <c r="F1153" i="8"/>
  <c r="H1153" i="8"/>
  <c r="H3885" i="5"/>
  <c r="H7528" i="5"/>
  <c r="G1509" i="5"/>
  <c r="S1070" i="8" l="1"/>
  <c r="I227" i="8"/>
  <c r="I1153" i="8"/>
  <c r="I1152" i="8"/>
  <c r="I968" i="8"/>
  <c r="I999" i="8"/>
  <c r="I1111" i="8"/>
  <c r="I966" i="8"/>
  <c r="I967" i="8"/>
  <c r="I1059" i="8"/>
  <c r="E3285" i="8"/>
  <c r="S7528" i="5"/>
  <c r="E1068" i="8"/>
  <c r="S3885" i="5"/>
  <c r="E242" i="8"/>
  <c r="E3284" i="8"/>
  <c r="H1498" i="5"/>
  <c r="S1498" i="5" s="1"/>
  <c r="F1158" i="8"/>
  <c r="H1158" i="8"/>
  <c r="H2614" i="8"/>
  <c r="F2614" i="8"/>
  <c r="H232" i="8"/>
  <c r="F232" i="8"/>
  <c r="F3265" i="8"/>
  <c r="H3265" i="8"/>
  <c r="F111" i="8"/>
  <c r="H111" i="8"/>
  <c r="F1016" i="8"/>
  <c r="H1016" i="8"/>
  <c r="H3491" i="8"/>
  <c r="I3491" i="8" s="1"/>
  <c r="F3491" i="8"/>
  <c r="H2615" i="8"/>
  <c r="F2605" i="8"/>
  <c r="H2605" i="8"/>
  <c r="F2609" i="8"/>
  <c r="H2609" i="8"/>
  <c r="F290" i="8"/>
  <c r="H290" i="8"/>
  <c r="I290" i="8" s="1"/>
  <c r="F1157" i="8"/>
  <c r="H1157" i="8"/>
  <c r="F1161" i="8"/>
  <c r="H1161" i="8"/>
  <c r="F3253" i="8"/>
  <c r="H3253" i="8"/>
  <c r="F234" i="8"/>
  <c r="H234" i="8"/>
  <c r="F959" i="8"/>
  <c r="H959" i="8"/>
  <c r="F2710" i="8"/>
  <c r="H2710" i="8"/>
  <c r="F2602" i="8"/>
  <c r="H2602" i="8"/>
  <c r="F94" i="8"/>
  <c r="H94" i="8"/>
  <c r="G1494" i="5"/>
  <c r="F2715" i="8"/>
  <c r="H2715" i="8"/>
  <c r="F91" i="8"/>
  <c r="H91" i="8"/>
  <c r="H960" i="8"/>
  <c r="F960" i="8"/>
  <c r="G1464" i="5"/>
  <c r="F3136" i="8"/>
  <c r="H3136" i="8"/>
  <c r="F96" i="8"/>
  <c r="H96" i="8"/>
  <c r="H951" i="8"/>
  <c r="F951" i="8"/>
  <c r="G1479" i="5"/>
  <c r="H3286" i="8"/>
  <c r="F3286" i="8"/>
  <c r="F1079" i="8"/>
  <c r="H1079" i="8"/>
  <c r="F89" i="8"/>
  <c r="H89" i="8"/>
  <c r="H996" i="8"/>
  <c r="F996" i="8"/>
  <c r="H79" i="8"/>
  <c r="F79" i="8"/>
  <c r="F986" i="8"/>
  <c r="H986" i="8"/>
  <c r="H1423" i="5"/>
  <c r="S1423" i="5" s="1"/>
  <c r="H110" i="8"/>
  <c r="F110" i="8"/>
  <c r="H1438" i="5"/>
  <c r="S1438" i="5" s="1"/>
  <c r="F1162" i="8"/>
  <c r="H1162" i="8"/>
  <c r="F1344" i="8"/>
  <c r="H1344" i="8"/>
  <c r="F2714" i="8"/>
  <c r="H2714" i="8"/>
  <c r="O290" i="8" l="1"/>
  <c r="P290" i="8" s="1"/>
  <c r="O3491" i="8"/>
  <c r="P3491" i="8" s="1"/>
  <c r="R3491" i="8" s="1"/>
  <c r="I3136" i="8"/>
  <c r="I2615" i="8"/>
  <c r="I1157" i="8"/>
  <c r="I1162" i="8"/>
  <c r="I3286" i="8"/>
  <c r="I94" i="8"/>
  <c r="I234" i="8"/>
  <c r="I232" i="8"/>
  <c r="I79" i="8"/>
  <c r="I1016" i="8"/>
  <c r="I996" i="8"/>
  <c r="I960" i="8"/>
  <c r="I2602" i="8"/>
  <c r="I3253" i="8"/>
  <c r="I2609" i="8"/>
  <c r="I2614" i="8"/>
  <c r="I89" i="8"/>
  <c r="I959" i="8"/>
  <c r="I2714" i="8"/>
  <c r="I110" i="8"/>
  <c r="I951" i="8"/>
  <c r="I91" i="8"/>
  <c r="I111" i="8"/>
  <c r="I1158" i="8"/>
  <c r="I96" i="8"/>
  <c r="I2710" i="8"/>
  <c r="I1161" i="8"/>
  <c r="I2605" i="8"/>
  <c r="I1344" i="8"/>
  <c r="I986" i="8"/>
  <c r="I1079" i="8"/>
  <c r="I2715" i="8"/>
  <c r="I3265" i="8"/>
  <c r="E244" i="8"/>
  <c r="E248" i="8"/>
  <c r="E243" i="8"/>
  <c r="F2615" i="8"/>
  <c r="H1468" i="5"/>
  <c r="S1468" i="5" s="1"/>
  <c r="H1483" i="5"/>
  <c r="S1483" i="5" s="1"/>
  <c r="H1453" i="5"/>
  <c r="S1453" i="5" s="1"/>
  <c r="F976" i="8"/>
  <c r="H976" i="8"/>
  <c r="H970" i="8"/>
  <c r="F970" i="8"/>
  <c r="F2596" i="8"/>
  <c r="H2596" i="8"/>
  <c r="H2595" i="8"/>
  <c r="F2595" i="8"/>
  <c r="F972" i="8"/>
  <c r="H972" i="8"/>
  <c r="F1237" i="8"/>
  <c r="H1237" i="8"/>
  <c r="R290" i="8" l="1"/>
  <c r="S3491" i="8"/>
  <c r="S290" i="8"/>
  <c r="I2595" i="8"/>
  <c r="I2596" i="8"/>
  <c r="I1237" i="8"/>
  <c r="I970" i="8"/>
  <c r="I972" i="8"/>
  <c r="I976" i="8"/>
  <c r="E247" i="8"/>
  <c r="E245" i="8"/>
  <c r="E246" i="8"/>
  <c r="H242" i="8" l="1"/>
  <c r="F242" i="8"/>
  <c r="H1378" i="8"/>
  <c r="I1378" i="8" s="1"/>
  <c r="F1378" i="8"/>
  <c r="H3284" i="8"/>
  <c r="F3284" i="8"/>
  <c r="F1339" i="8"/>
  <c r="H1339" i="8"/>
  <c r="F1375" i="8"/>
  <c r="H1375" i="8"/>
  <c r="O1378" i="8" l="1"/>
  <c r="P1378" i="8" s="1"/>
  <c r="Q3492" i="8" s="1"/>
  <c r="I3284" i="8"/>
  <c r="I1339" i="8"/>
  <c r="I1375" i="8"/>
  <c r="I242" i="8"/>
  <c r="F243" i="8"/>
  <c r="H243" i="8"/>
  <c r="H1068" i="8"/>
  <c r="F1068" i="8"/>
  <c r="F244" i="8"/>
  <c r="H244" i="8"/>
  <c r="F248" i="8"/>
  <c r="H248" i="8"/>
  <c r="F3285" i="8"/>
  <c r="H3285" i="8"/>
  <c r="R1378" i="8" l="1"/>
  <c r="S1378" i="8"/>
  <c r="I248" i="8"/>
  <c r="I244" i="8"/>
  <c r="I1068" i="8"/>
  <c r="I3285" i="8"/>
  <c r="I243" i="8"/>
  <c r="F246" i="8"/>
  <c r="H246" i="8"/>
  <c r="H245" i="8"/>
  <c r="F245" i="8"/>
  <c r="F247" i="8"/>
  <c r="H247" i="8"/>
  <c r="I246" i="8" l="1"/>
  <c r="I245" i="8"/>
  <c r="I3494" i="8" s="1"/>
  <c r="Q3494" i="8" s="1"/>
  <c r="I247" i="8"/>
  <c r="I3493" i="8"/>
</calcChain>
</file>

<file path=xl/comments1.xml><?xml version="1.0" encoding="utf-8"?>
<comments xmlns="http://schemas.openxmlformats.org/spreadsheetml/2006/main">
  <authors>
    <author>Thauler Ferreira Bispo de Souza</author>
  </authors>
  <commentList>
    <comment ref="P5" authorId="0" shapeId="0">
      <text>
        <r>
          <rPr>
            <sz val="9"/>
            <color indexed="81"/>
            <rFont val="Segoe UI"/>
            <family val="2"/>
          </rPr>
          <t xml:space="preserve">Cálculo com fórmula
</t>
        </r>
      </text>
    </comment>
    <comment ref="Q5" authorId="0" shapeId="0">
      <text>
        <r>
          <rPr>
            <sz val="9"/>
            <color indexed="81"/>
            <rFont val="Segoe UI"/>
            <family val="2"/>
          </rPr>
          <t xml:space="preserve">Dados colados, extraídos da planilha fornecida
</t>
        </r>
      </text>
    </comment>
  </commentList>
</comments>
</file>

<file path=xl/sharedStrings.xml><?xml version="1.0" encoding="utf-8"?>
<sst xmlns="http://schemas.openxmlformats.org/spreadsheetml/2006/main" count="34134" uniqueCount="8589">
  <si>
    <t>COMPOSIÇÕES DE CUSTO UNITÁRIO</t>
  </si>
  <si>
    <t>ITEM</t>
  </si>
  <si>
    <t>DESCRIÇÃO</t>
  </si>
  <si>
    <t>DISCRIMINAÇÃO DA COMPOSIÇÃO</t>
  </si>
  <si>
    <t>UNIDADE</t>
  </si>
  <si>
    <t>COEFICIENTE</t>
  </si>
  <si>
    <t>CUSTO UNITÁRIO</t>
  </si>
  <si>
    <t>CUSTO TOTAL</t>
  </si>
  <si>
    <t>TOTAL DO SERVIÇO</t>
  </si>
  <si>
    <t>QTD</t>
  </si>
  <si>
    <t>SF-00001</t>
  </si>
  <si>
    <t>h</t>
  </si>
  <si>
    <t>SF-00002</t>
  </si>
  <si>
    <t>SF-00003</t>
  </si>
  <si>
    <t>SF-00004</t>
  </si>
  <si>
    <t>Anotação de Responsabilidade Técnica</t>
  </si>
  <si>
    <t>un</t>
  </si>
  <si>
    <t>SF-00005</t>
  </si>
  <si>
    <t>SF-00006</t>
  </si>
  <si>
    <t>SF-00007</t>
  </si>
  <si>
    <t>SF-00008</t>
  </si>
  <si>
    <t>SF-00009</t>
  </si>
  <si>
    <t>SF-00010</t>
  </si>
  <si>
    <t>SF-00011</t>
  </si>
  <si>
    <t>SF-00012</t>
  </si>
  <si>
    <t>SF-00013</t>
  </si>
  <si>
    <t>SF-00014</t>
  </si>
  <si>
    <t>CABO DE ACO GALVANIZADO, DIAMETRO 9,53 MM (3/8"), COM ALMA DE FIBRA 6 X 25 F</t>
  </si>
  <si>
    <t>kg</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</si>
  <si>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</si>
  <si>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</si>
  <si>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</si>
  <si>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</si>
  <si>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</si>
  <si>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</si>
  <si>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</si>
  <si>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</si>
  <si>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</si>
  <si>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</si>
  <si>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</si>
  <si>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</si>
  <si>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</si>
  <si>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</si>
  <si>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</si>
  <si>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</si>
  <si>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</si>
  <si>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</si>
  <si>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</si>
  <si>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</si>
  <si>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</si>
  <si>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</si>
  <si>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</si>
  <si>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</si>
  <si>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</si>
  <si>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</si>
  <si>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</si>
  <si>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</si>
  <si>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</si>
  <si>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</si>
  <si>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</si>
  <si>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</si>
  <si>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</si>
  <si>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</si>
  <si>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M2XMES</t>
  </si>
  <si>
    <t>SF-00049</t>
  </si>
  <si>
    <t>MXMES</t>
  </si>
  <si>
    <t>SF-00051</t>
  </si>
  <si>
    <t>CORDA DE POLIAMIDA 12 MM TIPO BOMBEIRO, PARA TRABALHO EM ALTURA</t>
  </si>
  <si>
    <t>SF-00057</t>
  </si>
  <si>
    <t>m</t>
  </si>
  <si>
    <t>m2</t>
  </si>
  <si>
    <t>SF-00070</t>
  </si>
  <si>
    <t>Chapa de madeira compensada resinada 1,10 x 2,20 m # 6 mm</t>
  </si>
  <si>
    <t>PREGO DE ACO POLIDO COM CABECA 18 X 30 (2 3/4 X 10)</t>
  </si>
  <si>
    <t>Oleo de linhaca</t>
  </si>
  <si>
    <t>L</t>
  </si>
  <si>
    <t>Pigmento em po para argamassas, cimentos e outros</t>
  </si>
  <si>
    <t>SF-00073</t>
  </si>
  <si>
    <t>SF-00074</t>
  </si>
  <si>
    <t>ARGAMASSA TRAÇO 1:3 (EM VOLUME DE CIMENTO E AREIA MÉDIA ÚMIDA), PREPARO MANUAL. AF_08/2019</t>
  </si>
  <si>
    <t>m3</t>
  </si>
  <si>
    <t>SF-00075</t>
  </si>
  <si>
    <t>SF-00076</t>
  </si>
  <si>
    <t>SF-00077</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</si>
  <si>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</si>
  <si>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</si>
  <si>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CARGA, MANOBRAS E DESCARGA DE AREIA, BRITA, PEDRA DE MAO E SOLOS COM CAMINHAO BASCULANTE 6 M3 (DESCARGA LIVRE)</t>
  </si>
  <si>
    <t>M3</t>
  </si>
  <si>
    <t>TRANSPORTE COM CAMINHÃO BASCULANTE DE 6 M3, EM VIA URBANA PAVIMENTADA, DMT ATÉ 30 KM (UNIDADE: M3xKM). AF_01/2018</t>
  </si>
  <si>
    <t>M3xKM</t>
  </si>
  <si>
    <t>Obs.: Considerando fornecedor de areia e brita a 20 km do Senado Federal.</t>
  </si>
  <si>
    <t>SF-00078</t>
  </si>
  <si>
    <t>SF-00079</t>
  </si>
  <si>
    <t>MES</t>
  </si>
  <si>
    <t>SF-00080</t>
  </si>
  <si>
    <t>CANTONEIRA ACO ABAS IGUAIS (QUALQUER BITOLA), ESPESSURA ENTRE 1/8" E 1/4"</t>
  </si>
  <si>
    <t>Chapa de aco USI-SAC 350, de (2,44x6)m, com espessura de 1/2"</t>
  </si>
  <si>
    <t>ELETRODO REVESTIDO AWS - E7018, DIAMETRO IGUAL A 4,00 MM</t>
  </si>
  <si>
    <t>OXIGENIO, RECARGA PARA CILINDRO DE CONJUNTO OXICORTE GRANDE</t>
  </si>
  <si>
    <t>Perfil "H" de aco carbono, padrao americano, de (6"x6")</t>
  </si>
  <si>
    <t>Perda em perfil de aco carbono tipo "H", de 6"x6" - 5% - equivalente ao elementar MAT095450</t>
  </si>
  <si>
    <t>Repintura interna ou externa sobre ferro, inclusive lixamento, limpeza, demao de tinta anti oxido Ferroloide ou equivalente e outra de tinta alquidica esmaltada Condor ou equivalente.</t>
  </si>
  <si>
    <t>Retificador de solda, eletrico, de 430A. Custo horario corrido.</t>
  </si>
  <si>
    <t>Talha Guincho manual de 10Kg, sem operador, com as seguintes especificacoes minimas: capacidade de icamento de 1500Kg e de tracao de 1800Kg, cabo de aco com curso ilimitado, alavanca, gancho e carretel. Custo horario corrido.</t>
  </si>
  <si>
    <t>SF-00081</t>
  </si>
  <si>
    <t>SF-00082</t>
  </si>
  <si>
    <t>Bloco de concreto tipo canaleta 11,5 x 19 x 39 cm</t>
  </si>
  <si>
    <t xml:space="preserve">un </t>
  </si>
  <si>
    <t>SF-00083</t>
  </si>
  <si>
    <t>SF-00084</t>
  </si>
  <si>
    <t>ARGAMASSA TRAÇO 1:2:8 (EM VOLUME DE CIMENTO, CAL E AREIA MÉDIA ÚMIDA) PARA EMBOÇO/MASSA ÚNICA/ASSENTAMENTO DE ALVENARIA DE VEDAÇÃO, PREPARO MECÂNICO COM BETONEIRA 400 L. AF_08/2019</t>
  </si>
  <si>
    <t>SF-00085</t>
  </si>
  <si>
    <t>SF-00086</t>
  </si>
  <si>
    <t>ARGAMASSA TRAÇO 1:2:9 (EM VOLUME DE CIMENTO, CAL E AREIA MÉDIA ÚMIDA) PARA EMBOÇO/MASSA ÚNICA/ASSENTAMENTO DE ALVENARIA DE VEDAÇÃO, PREPARO MECÂNICO COM BETONEIRA 600 L. AF_08/2019</t>
  </si>
  <si>
    <t>SF-00087</t>
  </si>
  <si>
    <t>SF-00088</t>
  </si>
  <si>
    <t>SF-00089</t>
  </si>
  <si>
    <t>SF-00090</t>
  </si>
  <si>
    <t>ARGAMASSA INDUSTRIALIZADA PARA CHAPISCO COLANTE, PREPARO COM MISTURADOR DE EIXO HORIZONTAL DE 300 KG. AF_08/2019</t>
  </si>
  <si>
    <t>SF-00091</t>
  </si>
  <si>
    <t>ARGAMASSA TRAÇO 1:3 (EM VOLUME DE CIMENTO E AREIA GROSSA ÚMIDA) PARA CHAPISCO CONVENCIONAL, PREPARO MANUAL. AF_08/2019</t>
  </si>
  <si>
    <t>SF-00092</t>
  </si>
  <si>
    <t>Gesso cola</t>
  </si>
  <si>
    <t>Obs.: Fonte para o coeficiente do gesso (0,75 kg/m2) : http://www.gessotrevo.com.br/gesso_cola.php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</si>
  <si>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</si>
  <si>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</si>
  <si>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</si>
  <si>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</si>
  <si>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</si>
  <si>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</si>
  <si>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SELANTE A BASE DE RESINAS ACRILICAS PARA TRINCAS</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</si>
  <si>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</si>
  <si>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</si>
  <si>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</si>
  <si>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</si>
  <si>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</si>
  <si>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</si>
  <si>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</si>
  <si>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</si>
  <si>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</si>
  <si>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</si>
  <si>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</si>
  <si>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</si>
  <si>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</si>
  <si>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SF-00102</t>
  </si>
  <si>
    <t>Tinta esmalte sintetico a base de água</t>
  </si>
  <si>
    <t>SF-00103</t>
  </si>
  <si>
    <t>SF-00104</t>
  </si>
  <si>
    <t>REVESTIMENTO EM CERAMICA ESMALTADA EXTRA, PEI MAIOR OU IGUAL 4, FORMATO MAIOR A 2025 CM2</t>
  </si>
  <si>
    <t>SF-00105</t>
  </si>
  <si>
    <t>ARGAMASSA TRAÇO 1:4 (EM VOLUME DE CIMENTO E AREIA MÉDIA ÚMIDA) PARA CONTRAPISO, PREPARO MANUAL. AF_08/2019</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</si>
  <si>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</si>
  <si>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</si>
  <si>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</si>
  <si>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</si>
  <si>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</si>
  <si>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</si>
  <si>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</si>
  <si>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</si>
  <si>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</si>
  <si>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</si>
  <si>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</si>
  <si>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</si>
  <si>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</si>
  <si>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</si>
  <si>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</si>
  <si>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</si>
  <si>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</si>
  <si>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</si>
  <si>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</si>
  <si>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</si>
  <si>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</si>
  <si>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</si>
  <si>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</si>
  <si>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</si>
  <si>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</si>
  <si>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</si>
  <si>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ABERTURA PARA ENCAIXE DE CUBA OU LAVATORIO EM BANCADA DE MARMORE/ GRANITO OU OUTRO TIPO DE PEDRA NATURAL</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</si>
  <si>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</si>
  <si>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</si>
  <si>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</si>
  <si>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</si>
  <si>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</si>
  <si>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SF-00125</t>
  </si>
  <si>
    <t>ARGAMASSA TRAÇO 1:4 (EM VOLUME DE CIMENTO E AREIA MÉDIA ÚMIDA), PREPARO MANUAL. AF_08/2019</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</si>
  <si>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</si>
  <si>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</si>
  <si>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</si>
  <si>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</si>
  <si>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</si>
  <si>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</si>
  <si>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</si>
  <si>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</si>
  <si>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</si>
  <si>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</si>
  <si>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</si>
  <si>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</si>
  <si>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</si>
  <si>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</si>
  <si>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ARAME GALVANIZADO 6 BWG, D = 5,16 MM (0,157 KG/M), OU 8 BWG, D = 4,19 MM (0,101 KG/M), OU 10 BWG, D = 3,40 MM (0,0713 KG/M)</t>
  </si>
  <si>
    <t>PARAFUSO ZINCADO, AUTOBROCANTE, FLANGEADO, 4,2 MM X 19 MM</t>
  </si>
  <si>
    <t>PARAFUSO, AUTO ATARRACHANTE, CABECA CHATA, FENDA SIMPLES, 1/4 (6,35 MM) X 25 MM</t>
  </si>
  <si>
    <t>SF-00141</t>
  </si>
  <si>
    <t>SF-00142</t>
  </si>
  <si>
    <t>Forro de PVC modular em placas de 625 mm x 1250 mm</t>
  </si>
  <si>
    <t>SF-00143</t>
  </si>
  <si>
    <t>Forro em chapa galvanizada</t>
  </si>
  <si>
    <t>Pintura eletrostática</t>
  </si>
  <si>
    <t>SF-00144</t>
  </si>
  <si>
    <t>SF-00145</t>
  </si>
  <si>
    <t>SF-00146</t>
  </si>
  <si>
    <t>FORRO DE FIBRA MINERAL EM PLACAS DE 625 X 625 MM, E = 15 MM, BORDA RETA, COM PINTURA ANTIMOFO, APOIADO EM PERFIL DE ACO GALVANIZADO COM 24 MM DE BASE - INSTALADO</t>
  </si>
  <si>
    <t>SF-00147</t>
  </si>
  <si>
    <t>UN</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</si>
  <si>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</si>
  <si>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</si>
  <si>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</si>
  <si>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</si>
  <si>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</si>
  <si>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</si>
  <si>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</si>
  <si>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</si>
  <si>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</si>
  <si>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</si>
  <si>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</si>
  <si>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</si>
  <si>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</si>
  <si>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</si>
  <si>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VIDRO LISO INCOLOR 6 MM - SEM COLOCACAO</t>
  </si>
  <si>
    <t>SF-00159</t>
  </si>
  <si>
    <t>SF-00160</t>
  </si>
  <si>
    <t>SF-00161</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</si>
  <si>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</si>
  <si>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</si>
  <si>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</si>
  <si>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</si>
  <si>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</si>
  <si>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</si>
  <si>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</si>
  <si>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</si>
  <si>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</si>
  <si>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</si>
  <si>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</si>
  <si>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</si>
  <si>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FITA VEDA ROSCA EM ROLOS DE 18 MM X 50 M (L X C)</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</si>
  <si>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</si>
  <si>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</si>
  <si>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</si>
  <si>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</si>
  <si>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</si>
  <si>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</si>
  <si>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</si>
  <si>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</si>
  <si>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</si>
  <si>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</si>
  <si>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</si>
  <si>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</si>
  <si>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</si>
  <si>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</si>
  <si>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</si>
  <si>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</si>
  <si>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</si>
  <si>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</si>
  <si>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</si>
  <si>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</si>
  <si>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</si>
  <si>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</si>
  <si>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</si>
  <si>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</si>
  <si>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</si>
  <si>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</si>
  <si>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</si>
  <si>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</si>
  <si>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</si>
  <si>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</si>
  <si>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</si>
  <si>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</si>
  <si>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</si>
  <si>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</si>
  <si>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</si>
  <si>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</si>
  <si>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</si>
  <si>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</si>
  <si>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</si>
  <si>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</si>
  <si>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</si>
  <si>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</si>
  <si>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</si>
  <si>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</si>
  <si>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</si>
  <si>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</si>
  <si>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</si>
  <si>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</si>
  <si>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</si>
  <si>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</si>
  <si>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</si>
  <si>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</si>
  <si>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</si>
  <si>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SF-00210</t>
  </si>
  <si>
    <t>SF-00211</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</si>
  <si>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</si>
  <si>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</si>
  <si>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</si>
  <si>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</si>
  <si>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</si>
  <si>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</si>
  <si>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</si>
  <si>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</si>
  <si>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</si>
  <si>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</si>
  <si>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</si>
  <si>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</si>
  <si>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</si>
  <si>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</si>
  <si>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</si>
  <si>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</si>
  <si>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</si>
  <si>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</si>
  <si>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</si>
  <si>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</si>
  <si>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</si>
  <si>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</si>
  <si>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</si>
  <si>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</si>
  <si>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</si>
  <si>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</si>
  <si>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</si>
  <si>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</si>
  <si>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</si>
  <si>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</si>
  <si>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</si>
  <si>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</si>
  <si>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</si>
  <si>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</si>
  <si>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</si>
  <si>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</si>
  <si>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SF-00233</t>
  </si>
  <si>
    <t>CAIXA DE PASSAGEM ELETRICA DE PAREDE, DE EMBUTIR, EM PVC, COM TAMPA APARAFUSADA, DIMENSOES 150 X 150 X *75* MM</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</si>
  <si>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</si>
  <si>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</si>
  <si>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</si>
  <si>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</si>
  <si>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</si>
  <si>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</si>
  <si>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</si>
  <si>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</si>
  <si>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</si>
  <si>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PORCA ZINCADA, SEXTAVADA, DIAMETRO 1/4"</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</si>
  <si>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</si>
  <si>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</si>
  <si>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</si>
  <si>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</si>
  <si>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</si>
  <si>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</si>
  <si>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</si>
  <si>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</si>
  <si>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</si>
  <si>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</si>
  <si>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</si>
  <si>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</si>
  <si>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</si>
  <si>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</si>
  <si>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</si>
  <si>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</si>
  <si>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</si>
  <si>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</si>
  <si>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</si>
  <si>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</si>
  <si>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</si>
  <si>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</si>
  <si>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</si>
  <si>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</si>
  <si>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</si>
  <si>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</si>
  <si>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</si>
  <si>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</si>
  <si>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</si>
  <si>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</si>
  <si>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</si>
  <si>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</si>
  <si>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</si>
  <si>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</si>
  <si>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</si>
  <si>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</si>
  <si>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</si>
  <si>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M</t>
  </si>
  <si>
    <t>SF-00248</t>
  </si>
  <si>
    <t>Eletroduto de aço com costura galvanização eletrolítica Ø 3/4"</t>
  </si>
  <si>
    <t>SF-00249</t>
  </si>
  <si>
    <t>Fixação de tubos horizontais de PVC, CPVC ou cobre diâmetros menores ou iguais a 40 mm ou eletrocalhas até 150mm de largura, com abraçadeira metálica rígida tipo d 1/2, fixada em perfilado em laje. af_05/2015</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</si>
  <si>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</si>
  <si>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</si>
  <si>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</si>
  <si>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</si>
  <si>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</si>
  <si>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</si>
  <si>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</si>
  <si>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</si>
  <si>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</si>
  <si>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</si>
  <si>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</si>
  <si>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</si>
  <si>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</si>
  <si>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</si>
  <si>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</si>
  <si>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</si>
  <si>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</si>
  <si>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</si>
  <si>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</si>
  <si>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</si>
  <si>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</si>
  <si>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</si>
  <si>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</si>
  <si>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</si>
  <si>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</si>
  <si>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</si>
  <si>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</si>
  <si>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</si>
  <si>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</si>
  <si>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</si>
  <si>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</si>
  <si>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</si>
  <si>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</si>
  <si>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</si>
  <si>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</si>
  <si>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</si>
  <si>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</si>
  <si>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</si>
  <si>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</si>
  <si>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</si>
  <si>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</si>
  <si>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</si>
  <si>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</si>
  <si>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PP 3x2,5mm2 300/500 V, extraflexível (classe 5), com condutor de proteção, com isolação, enchimento e cobertura de PVC</t>
  </si>
  <si>
    <t>Plugue (macho) com 3 polos (2P+T), para 10A</t>
  </si>
  <si>
    <t>Plugue (fêmea) com 3 polos (2P+T), para 10A</t>
  </si>
  <si>
    <t>SF-00274</t>
  </si>
  <si>
    <t>Luminária de embutir T5 2 x 14W, ref: Intral DE-500 (cod. 08017); Lumicenter FAA20-E214</t>
  </si>
  <si>
    <t>Lâmpada fluorescente T5 de 14W, ref: Osram HE 14W/840 SMARTLUX; Philips TL5-14W-HE/840; GE F14W/T5/840</t>
  </si>
  <si>
    <t>SF-00275</t>
  </si>
  <si>
    <t>Luminária de sobrepor T5 2 x 14W, ref: Intral DS-500 (cod. 08021); Lumicenter FAA20-S214</t>
  </si>
  <si>
    <t>SF-00276</t>
  </si>
  <si>
    <t>Luminária de embutir T5 2 x 28W, ref: Intral DE-500 (cod. 08025); Lumicenter FAA20-E228</t>
  </si>
  <si>
    <t>Lâmpada fluorescente T5 de 28W, ref: Osram HE 28W/840 SMARTLUX; Philips TL5-28W-HE/840; GE F28W/T5/840</t>
  </si>
  <si>
    <t>SF-00277</t>
  </si>
  <si>
    <t>Luminária de sobrepor T5 2 x 28W, ref: Intral DS-500 (cod. 08029); Lumicenter FAA20-S228</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</si>
  <si>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</si>
  <si>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</si>
  <si>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</si>
  <si>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</si>
  <si>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</si>
  <si>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</si>
  <si>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</si>
  <si>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</si>
  <si>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</si>
  <si>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</si>
  <si>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</si>
  <si>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</si>
  <si>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</si>
  <si>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</si>
  <si>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</si>
  <si>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SF-00293</t>
  </si>
  <si>
    <t>MONTADOR ELETROMECÃNICO COM ENCARGOS COMPLEMENTARES</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</si>
  <si>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</si>
  <si>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</si>
  <si>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</si>
  <si>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</si>
  <si>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</si>
  <si>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</si>
  <si>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</si>
  <si>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</si>
  <si>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</si>
  <si>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</si>
  <si>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</si>
  <si>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</si>
  <si>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</si>
  <si>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</si>
  <si>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</si>
  <si>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</si>
  <si>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</si>
  <si>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</si>
  <si>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</si>
  <si>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</si>
  <si>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</si>
  <si>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</si>
  <si>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</si>
  <si>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</si>
  <si>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</si>
  <si>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</si>
  <si>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</si>
  <si>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</si>
  <si>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</si>
  <si>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</si>
  <si>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</si>
  <si>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</si>
  <si>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</si>
  <si>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</si>
  <si>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</si>
  <si>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</si>
  <si>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</si>
  <si>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</si>
  <si>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</si>
  <si>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</si>
  <si>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</si>
  <si>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</si>
  <si>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</si>
  <si>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</si>
  <si>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</si>
  <si>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</si>
  <si>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</si>
  <si>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</si>
  <si>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</si>
  <si>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</si>
  <si>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</si>
  <si>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</si>
  <si>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</si>
  <si>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</si>
  <si>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</si>
  <si>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</si>
  <si>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</si>
  <si>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VALVULA DE ESFERA BRUTA EM BRONZE, BITOLA 1 1/2 " (REF 1552-B)</t>
  </si>
  <si>
    <t>SF-00324</t>
  </si>
  <si>
    <t>VALVULA DE ESFERA BRUTA EM BRONZE, BITOLA 1 1/4 " (REF 1552-B)</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</si>
  <si>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</si>
  <si>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</si>
  <si>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</si>
  <si>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</si>
  <si>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</si>
  <si>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</si>
  <si>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</si>
  <si>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</si>
  <si>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</si>
  <si>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</si>
  <si>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</si>
  <si>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</si>
  <si>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</si>
  <si>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</si>
  <si>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</si>
  <si>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</si>
  <si>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</si>
  <si>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</si>
  <si>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</si>
  <si>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</si>
  <si>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</si>
  <si>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</si>
  <si>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</si>
  <si>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</si>
  <si>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</si>
  <si>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</si>
  <si>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</si>
  <si>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</si>
  <si>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</si>
  <si>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</si>
  <si>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TUBO ACO CARBONO SEM COSTURA 1 1/2", E= *3,68 MM, SCHEDULE 40, 4,05 KG/M</t>
  </si>
  <si>
    <t>SF-00341</t>
  </si>
  <si>
    <t>SF-00342</t>
  </si>
  <si>
    <t>SF-00343</t>
  </si>
  <si>
    <t>TUBO ACO CARBONO SEM COSTURA 3/4", E= *2,87 MM, SCHEDULE 40, *1,69 KG/M</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</si>
  <si>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</si>
  <si>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</si>
  <si>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</si>
  <si>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</si>
  <si>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</si>
  <si>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</si>
  <si>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</si>
  <si>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</si>
  <si>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</si>
  <si>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</si>
  <si>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</si>
  <si>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</si>
  <si>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</si>
  <si>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</si>
  <si>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SF-00357</t>
  </si>
  <si>
    <t>SF-00358</t>
  </si>
  <si>
    <t>Painel de TV de 90 x 120 cm, fabricado em MDP. Ref.: Germai Ipanema 90 x 120 x 26,5</t>
  </si>
  <si>
    <t>SF-00359</t>
  </si>
  <si>
    <t>BATENTE PARA PORTA DE MADEIRA, PADRÃO MÉDIO - FORNECIMENTO E MONTAGEM. AF_12/2019</t>
  </si>
  <si>
    <t>SF-00360</t>
  </si>
  <si>
    <t>Chapa de proteção em aço inox AISI 304, largura conforme projeto, 400 mm de altura, chapa com espessura de 1 mm, acabamento escovado fosco</t>
  </si>
  <si>
    <t>SF-00361</t>
  </si>
  <si>
    <t>DOBRADICA EM LATAO, 3 " X 2 1/2 ", E= 1,9 A 2 MM, COM ANEL, CROMADO, TAMPA BOLA, COM PARAFUSOS</t>
  </si>
  <si>
    <t>PARAFUSO ROSCA SOBERBA ZINCADO CABECA CHATA FENDA SIMPLES 3,5 X 25 MM (1 ")</t>
  </si>
  <si>
    <t>CARPINTEIRO DE ESQUADRIA COM ENCARGOS COMPLEMENTARES</t>
  </si>
  <si>
    <t>H</t>
  </si>
  <si>
    <t>SERVENTE COM ENCARGOS COMPLEMENTARES</t>
  </si>
  <si>
    <t>SF-00362</t>
  </si>
  <si>
    <t>SF-00363</t>
  </si>
  <si>
    <t>SF-00364</t>
  </si>
  <si>
    <t>SF-00365</t>
  </si>
  <si>
    <t>SF-00366</t>
  </si>
  <si>
    <t>SF-00367</t>
  </si>
  <si>
    <t>PEDREIRO COM ENCARGOS COMPLEMENTARES</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</si>
  <si>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</si>
  <si>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</si>
  <si>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</si>
  <si>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</si>
  <si>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</si>
  <si>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</si>
  <si>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</si>
  <si>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</si>
  <si>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</si>
  <si>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</si>
  <si>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</si>
  <si>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</si>
  <si>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</si>
  <si>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</si>
  <si>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</si>
  <si>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</si>
  <si>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</si>
  <si>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</si>
  <si>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</si>
  <si>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</si>
  <si>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</si>
  <si>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CABO TELEFONICO CCI 50, 2 PARES, USO INTERNO, SEM BLINDAGEM</t>
  </si>
  <si>
    <t>SF-00379</t>
  </si>
  <si>
    <t>Tampa p/ conector /RJ45. ref.: Schneider Electric PRM47761 (padrão Keystone), Schneider Electric PRM47771 (padrão AMP)</t>
  </si>
  <si>
    <t>SF-00380</t>
  </si>
  <si>
    <t>Grelha para retorno para portas, divisórias e paredes 525x325 mm, Ref. Trox AGS-T</t>
  </si>
  <si>
    <t>SF-00408</t>
  </si>
  <si>
    <t>CJ</t>
  </si>
  <si>
    <t>SF-00467</t>
  </si>
  <si>
    <t>ESPUMA EXPANSIVA DE POLIURETANO, APLICACAO MANUAL - 500 ML</t>
  </si>
  <si>
    <t>SF-00563</t>
  </si>
  <si>
    <t>ARGAMASSA PRONTA PARA CONTRAPISO</t>
  </si>
  <si>
    <t>SF-00564</t>
  </si>
  <si>
    <t>SF-00565</t>
  </si>
  <si>
    <t>SF-00566</t>
  </si>
  <si>
    <t>SF-00567</t>
  </si>
  <si>
    <t>SF-00568</t>
  </si>
  <si>
    <t>TRANSPORTE COM CAMINHÃO BASCULANTE DE 6 M3, EM VIA URBANA PAVIMENTADA, DMT ATÉ 30 KM (UNIDADE: TxKM). AF_01/2018</t>
  </si>
  <si>
    <t>TxKM</t>
  </si>
  <si>
    <t>Obs.: Considerando fornecedor de areia a 20 km do Senado Federal.</t>
  </si>
  <si>
    <t>SF-00569</t>
  </si>
  <si>
    <t>PEDRA BRITADA N. 0, OU PEDRISCO (4,8 A 9,5 MM) POSTO PEDREIRA/FORNECEDOR, SEM FRETE</t>
  </si>
  <si>
    <t>Obs.: Considerando fornecedor de brita a 20 km do Senado Federal.</t>
  </si>
  <si>
    <t>SF-00570</t>
  </si>
  <si>
    <t>SF-00571</t>
  </si>
  <si>
    <t>SF-00572</t>
  </si>
  <si>
    <t>SF-00573</t>
  </si>
  <si>
    <t>SF-00574</t>
  </si>
  <si>
    <t>SF-00575</t>
  </si>
  <si>
    <t>SF-00576</t>
  </si>
  <si>
    <t>ACO CA-50, 6,3 MM, VERGALHAO</t>
  </si>
  <si>
    <t>SF-00577</t>
  </si>
  <si>
    <t>ACO CA-50, 8,0 MM, VERGALHAO</t>
  </si>
  <si>
    <t>SF-00578</t>
  </si>
  <si>
    <t>SF-00579</t>
  </si>
  <si>
    <t>ACO CA-50, 12,5 MM OU 16,0 MM, VERGALHAO</t>
  </si>
  <si>
    <t>SF-00580</t>
  </si>
  <si>
    <t>SF-00581</t>
  </si>
  <si>
    <t>ADESIVO ESTRUTURAL A BASE DE RESINA EPOXI, BICOMPONENTE, PASTOSO (TIXOTROPICO)</t>
  </si>
  <si>
    <t>SF-00588</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</si>
  <si>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</si>
  <si>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</si>
  <si>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</si>
  <si>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</si>
  <si>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</si>
  <si>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</si>
  <si>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SF-00710</t>
  </si>
  <si>
    <t>SF-00711</t>
  </si>
  <si>
    <t>AJUDANTE DE CARPINTEIRO COM ENCARGOS COMPLEMENTARES</t>
  </si>
  <si>
    <t>SF-00712</t>
  </si>
  <si>
    <t>AUXILIAR DE SERRALHEIRO COM ENCARGOS COMPLEMENTARES</t>
  </si>
  <si>
    <t>SF-00713</t>
  </si>
  <si>
    <t>SF-00714</t>
  </si>
  <si>
    <t>SF-00715</t>
  </si>
  <si>
    <t>SF-00716</t>
  </si>
  <si>
    <t>SF-00717</t>
  </si>
  <si>
    <t>SF-00844</t>
  </si>
  <si>
    <t>Kg</t>
  </si>
  <si>
    <t>SF-00845</t>
  </si>
  <si>
    <t>VIDRO LISO INCOLOR 5MM - SEM COLOCACAO</t>
  </si>
  <si>
    <t>SF-00846</t>
  </si>
  <si>
    <t>VIDRO TEMPERADO INCOLOR E = 8 MM, SEM COLOCACAO</t>
  </si>
  <si>
    <t>SF-00849</t>
  </si>
  <si>
    <t>VIDRO TEMPERADO INCOLOR E = 10 MM, SEM COLOCACAO</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</si>
  <si>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</si>
  <si>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</si>
  <si>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</si>
  <si>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</si>
  <si>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</si>
  <si>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</si>
  <si>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</si>
  <si>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</si>
  <si>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</si>
  <si>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</si>
  <si>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</si>
  <si>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</si>
  <si>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</si>
  <si>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</si>
  <si>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</si>
  <si>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</si>
  <si>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</si>
  <si>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</si>
  <si>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</si>
  <si>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</si>
  <si>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</si>
  <si>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</si>
  <si>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</si>
  <si>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</si>
  <si>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</si>
  <si>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</si>
  <si>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</si>
  <si>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</si>
  <si>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</si>
  <si>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</si>
  <si>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</si>
  <si>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</si>
  <si>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</si>
  <si>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</si>
  <si>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</si>
  <si>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</si>
  <si>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</si>
  <si>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</si>
  <si>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</si>
  <si>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</si>
  <si>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</si>
  <si>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</si>
  <si>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</si>
  <si>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</si>
  <si>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</si>
  <si>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</si>
  <si>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</si>
  <si>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</si>
  <si>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</si>
  <si>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</si>
  <si>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</si>
  <si>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</si>
  <si>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</si>
  <si>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</si>
  <si>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</si>
  <si>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</si>
  <si>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</si>
  <si>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</si>
  <si>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</si>
  <si>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</si>
  <si>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</si>
  <si>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</si>
  <si>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</si>
  <si>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</si>
  <si>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</si>
  <si>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Vidro laminado incolor de 8mm de espessura</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</si>
  <si>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</si>
  <si>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</si>
  <si>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</si>
  <si>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</si>
  <si>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</si>
  <si>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</si>
  <si>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</si>
  <si>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</si>
  <si>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</si>
  <si>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</si>
  <si>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</si>
  <si>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</si>
  <si>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</si>
  <si>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</si>
  <si>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</si>
  <si>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</si>
  <si>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</si>
  <si>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</si>
  <si>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</si>
  <si>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</si>
  <si>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</si>
  <si>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</si>
  <si>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</si>
  <si>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</si>
  <si>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</si>
  <si>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</si>
  <si>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</si>
  <si>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</si>
  <si>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</si>
  <si>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</si>
  <si>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</si>
  <si>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KG</t>
  </si>
  <si>
    <t>ESPACADOR / DISTANCIADOR CIRCULAR COM ENTRADA LATERAL, EM PLASTICO, PARA VERGALHAO *4,2 A 12,5* MM, COBRIMENTO 20 MM</t>
  </si>
  <si>
    <t>AJUDANTE DE ARMADOR COM ENCARGOS COMPLEMENTARES</t>
  </si>
  <si>
    <t>ARMADOR COM ENCARGOS COMPLEMENTARES</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</si>
  <si>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</si>
  <si>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</si>
  <si>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</si>
  <si>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</si>
  <si>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</si>
  <si>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</si>
  <si>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</si>
  <si>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</si>
  <si>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</si>
  <si>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</si>
  <si>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</si>
  <si>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</si>
  <si>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</si>
  <si>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</si>
  <si>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</si>
  <si>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</si>
  <si>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</si>
  <si>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</si>
  <si>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</si>
  <si>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</si>
  <si>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VIDRO MARTELADO OU CANELADO, 4 MM - SEM COLOCACAO</t>
  </si>
  <si>
    <t>SF-00910</t>
  </si>
  <si>
    <t>VIDRO LISO FUME, E = 5 MM - SEM COLOCACAO</t>
  </si>
  <si>
    <t>SF-00911</t>
  </si>
  <si>
    <t>SF-00912</t>
  </si>
  <si>
    <t>SF-00913</t>
  </si>
  <si>
    <t>Espelho fumê/bronze 4mm lapidado</t>
  </si>
  <si>
    <t>SF-00914</t>
  </si>
  <si>
    <t>SF-00915</t>
  </si>
  <si>
    <t>GRAUTE CIMENTICIO PARA USO GERAL</t>
  </si>
  <si>
    <t>SF-00916</t>
  </si>
  <si>
    <t>SF-00917</t>
  </si>
  <si>
    <t>SF-00918</t>
  </si>
  <si>
    <t>SF-00919</t>
  </si>
  <si>
    <t>SF-00920</t>
  </si>
  <si>
    <t>COMPACTADOR DE SOLOS DE PERCUSSÃO (SOQUETE) COM MOTOR A GASOLINA 4 TEMPOS, POTÊNCIA 4 CV - CHP DIURNO. AF_08/2015</t>
  </si>
  <si>
    <t>CHP</t>
  </si>
  <si>
    <t>COMPACTADOR DE SOLOS DE PERCUSSÃO (SOQUETE) COM MOTOR A GASOLINA 4 TEMPOS, POTÊNCIA 4 CV - CHI DIURNO. AF_08/2015</t>
  </si>
  <si>
    <t>CHI</t>
  </si>
  <si>
    <t>UMIDIFICAÇÃO DE MATERIAL PARA VALAS COM CAMINHÃO PIPA 10000L. AF_11/2016</t>
  </si>
  <si>
    <t>SF-00921</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</si>
  <si>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</si>
  <si>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</si>
  <si>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</si>
  <si>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Obs.: Considerando fornecedor de argila a 20 km do Senado Federal.</t>
  </si>
  <si>
    <t>SF-00922</t>
  </si>
  <si>
    <t>TUBO DE COBRE CLASSE "E", DN = 22 MM, PARA INSTALACAO HIDRAULICA PREDIAL</t>
  </si>
  <si>
    <t>AUXILIAR DE ENCANADOR OU BOMBEIRO HIDRÁULICO COM ENCARGOS COMPLEMENTARES</t>
  </si>
  <si>
    <t>ENCANADOR OU BOMBEIRO HIDRÁULICO COM ENCARGOS COMPLEMENTARES</t>
  </si>
  <si>
    <t>SF-00923</t>
  </si>
  <si>
    <t>TUBO DE COBRE CLASSE "E", DN = 28 MM, PARA INSTALACAO HIDRAULICA PREDIAL</t>
  </si>
  <si>
    <t>SF-00924</t>
  </si>
  <si>
    <t>TUBO DE COBRE CLASSE "E", DN = 42 MM, PARA INSTALACAO HIDRAULICA PREDIAL</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</si>
  <si>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</si>
  <si>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</si>
  <si>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</si>
  <si>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</si>
  <si>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</si>
  <si>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</si>
  <si>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</si>
  <si>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</si>
  <si>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</si>
  <si>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</si>
  <si>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</si>
  <si>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</si>
  <si>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</si>
  <si>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</si>
  <si>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</si>
  <si>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</si>
  <si>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</si>
  <si>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</si>
  <si>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</si>
  <si>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</si>
  <si>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</si>
  <si>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</si>
  <si>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</si>
  <si>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</si>
  <si>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MONTADOR DE ESTRUTURA METÁLICA COM ENCARGOS COMPLEMENTARES</t>
  </si>
  <si>
    <t>TRANSPORTE HORIZONTAL MANUAL, DE TUBO DE AÇO CARBONO LEVE OU MÉDIO, PRETO OU GALVANIZADO, COM DIÂMETRO MAIOR QUE 32 MM E MENOR OU IGUAL A 65 MM (UNIDADE: MXKM). AF_07/2019</t>
  </si>
  <si>
    <t>MXKM</t>
  </si>
  <si>
    <t>SF-00938</t>
  </si>
  <si>
    <t>SF-00940</t>
  </si>
  <si>
    <t>ABRACADEIRA DE NYLON PARA AMARRACAO DE CABOS, COMPRIMENTO DE 200 X *4,6* MM</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</si>
  <si>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</si>
  <si>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</si>
  <si>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</si>
  <si>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</si>
  <si>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</si>
  <si>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</si>
  <si>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</si>
  <si>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</si>
  <si>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</si>
  <si>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</si>
  <si>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TAMPAO FOFO ARTICULADO P/ REGISTRO, CLASSE A15 CARGA MAXIMA 1,5 T, *400 X 400* MM</t>
  </si>
  <si>
    <t>ARGAMASSA TRAÇO 1:4 (EM VOLUME DE CIMENTO E AREIA GROSSA ÚMIDA) PARA CHAPISCO CONVENCIONAL, PREPARO MECÂNICO COM BETONEIRA 400 L. AF_08/2019</t>
  </si>
  <si>
    <t>SF-00947</t>
  </si>
  <si>
    <t>SF-00948</t>
  </si>
  <si>
    <t>LOCACAO DE ANDAIME SUSPENSO OU BALANCIM MANUAL, CAPACIDADE DE CARGA TOTAL DE APROXIMADAMENTE 250 KG/M2, PLATAFORMA DE 1,50 M X 0,80 M (C X L), CABO DE 45 M</t>
  </si>
  <si>
    <t>SF-00950</t>
  </si>
  <si>
    <t>LAVADORA DE ALTA PRESSAO (LAVA-JATO) PARA AGUA FRIA, PRESSAO DE OPERACAO ENTRE 1400 E 1900 LIB/POL2, VAZAO MAXIMA ENTRE 400 E 700 L/H - CHP DIURNO. AF_04/2019</t>
  </si>
  <si>
    <t>SF-00951</t>
  </si>
  <si>
    <t>SF-00952</t>
  </si>
  <si>
    <t>SF-00953</t>
  </si>
  <si>
    <t>MANTA LIQUIDA DE BASE ASFALTICA MODIFICADA COM A ADICAO DE ELASTOMEROS DILUIDOS EM SOLVENTE ORGANICO, APLICACAO A FRIO (MEMBRANA IMPERMEABILIZANTE ASFASTICA)</t>
  </si>
  <si>
    <t>IMPERMEABILIZADOR COM ENCARGOS COMPLEMENTARES</t>
  </si>
  <si>
    <t>SF-00954</t>
  </si>
  <si>
    <t>CAMADA SEPARADORA DE FILME DE POLIETILENO 20 A 25 MICRA</t>
  </si>
  <si>
    <t>ARGAMASSA TRAÇO 1:3 (EM VOLUME DE CIMENTO E AREIA MÉDIA ÚMIDA) PARA CONTRAPISO, PREPARO MANUAL. AF_08/2019</t>
  </si>
  <si>
    <t>SF-00955</t>
  </si>
  <si>
    <t>TELA DE ARAME GALVANIZADA, HEXAGONAL, FIO 0,56 MM (24 BWG), MALHA 1/2", H = 1 M</t>
  </si>
  <si>
    <t>SF-00956</t>
  </si>
  <si>
    <t>SF-00957</t>
  </si>
  <si>
    <t>SF-00958</t>
  </si>
  <si>
    <t>SF-00959</t>
  </si>
  <si>
    <t>SF-00960</t>
  </si>
  <si>
    <t>SF-00961</t>
  </si>
  <si>
    <t>Broca com ponta de widia Ø 3/8" x 160 mm</t>
  </si>
  <si>
    <t>Furadeira de impacto elétrica - 0,65 kW, Ø mandril 5/8"</t>
  </si>
  <si>
    <t>h prod</t>
  </si>
  <si>
    <t>GRAUTE FGK=25 MPA; TRAÇO 1:0,02:1,2:1,5 (CIMENTO/ CAL/ AREIA GROSSA/ BRITA 0) - PREPARO MECÂNICO COM BETONEIRA 400 L. AF_02/2015</t>
  </si>
  <si>
    <r>
      <rPr>
        <b/>
        <sz val="10"/>
        <rFont val="Arial"/>
        <family val="2"/>
      </rPr>
      <t>Fontes:</t>
    </r>
    <r>
      <rPr>
        <sz val="10"/>
        <rFont val="Arial"/>
        <family val="2"/>
      </rPr>
      <t xml:space="preserve"> PINI 05.102.000020.SER</t>
    </r>
  </si>
  <si>
    <t>SF-00962</t>
  </si>
  <si>
    <t>Insert metálico tipo 2, conforme projeto</t>
  </si>
  <si>
    <t>SF-00964</t>
  </si>
  <si>
    <t>Mármore branco especial 20mm</t>
  </si>
  <si>
    <t>SF-00965</t>
  </si>
  <si>
    <t>PARAFUSO DE ACO TIPO CHUMBADOR PARABOLT, DIAMETRO 3/8", COMPRIMENTO 75 MM</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</si>
  <si>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</si>
  <si>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</si>
  <si>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</si>
  <si>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</si>
  <si>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</si>
  <si>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</si>
  <si>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</si>
  <si>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</si>
  <si>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</si>
  <si>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</si>
  <si>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</si>
  <si>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</si>
  <si>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</si>
  <si>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</si>
  <si>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</si>
  <si>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</si>
  <si>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</si>
  <si>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</si>
  <si>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</si>
  <si>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</si>
  <si>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</si>
  <si>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</si>
  <si>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Primer de secagem rápida e alto poder de aderência ao concreto</t>
  </si>
  <si>
    <t>Corpo de apoio em polietileno para aplicação de mástiques em juntas</t>
  </si>
  <si>
    <t>SELANTE ELASTICO MONOCOMPONENTE A BASE DE POLIURETANO (PU) PARA JUNTAS DIVERSAS</t>
  </si>
  <si>
    <t>SF-00978</t>
  </si>
  <si>
    <t>SF-00980</t>
  </si>
  <si>
    <t>CHUVEIRO COMUM EM PLASTICO BRANCO, COM CANO, 3 TEMPERATURAS, 5500 W (110/220 V)</t>
  </si>
  <si>
    <t>SF-00981</t>
  </si>
  <si>
    <t>CONCRETO MAGRO PARA LASTRO, TRAÇO 1:4,5:4,5 (CIMENTO/ AREIA MÉDIA/ BRITA 1)  - PREPARO MECÂNICO COM BETONEIRA 600 L. AF_07/2016</t>
  </si>
  <si>
    <t>SF-00982</t>
  </si>
  <si>
    <t>TELA DE ACO SOLDADA NERVURADA, CA-60, Q-196, (3,11 KG/M2), DIAMETRO DO FIO = 5,0 MM, LARGURA = 2,45 M, ESPACAMENTO DA MALHA = 10 X 10 CM</t>
  </si>
  <si>
    <t>CONCRETO FCK = 20MPA, TRAÇO 1:2,7:3 (CIMENTO/ AREIA MÉDIA/ BRITA 1)  - PREPARO MECÂNICO COM BETONEIRA 600 L. AF_07/2016</t>
  </si>
  <si>
    <t>SF-00983</t>
  </si>
  <si>
    <t>SF-00984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</si>
  <si>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</si>
  <si>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</si>
  <si>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SF-00986</t>
  </si>
  <si>
    <t>APARELHO PARA CORTE E SOLDA OXI-ACETILENO SOBRE RODAS, INCLUSIVE CILINDROS E MAÇARICOS - CHP DIURNO. AF_12/2015</t>
  </si>
  <si>
    <t>SF-00987</t>
  </si>
  <si>
    <t>SF-00988</t>
  </si>
  <si>
    <t>SF-00989</t>
  </si>
  <si>
    <t>GRAMA BATATAIS EM PLACAS, SEM PLANTIO</t>
  </si>
  <si>
    <t>JARDINEIRO COM ENCARGOS COMPLEMENTARES</t>
  </si>
  <si>
    <t>CALCARIO DOLOMITICO A (POSTO PEDREIRA/FORNECEDOR, SEM FRETE)</t>
  </si>
  <si>
    <t>TERRA VEGETAL (GRANEL)</t>
  </si>
  <si>
    <t>FERTILIZANTE NPK - 10:10:10</t>
  </si>
  <si>
    <t>FERTILIZANTE ORGANICO COMPOSTO, CLASSE A</t>
  </si>
  <si>
    <t>t</t>
  </si>
  <si>
    <t>Obs.: Considerando fornecedor de calcário a 20km do Senado Federal.</t>
  </si>
  <si>
    <t>SF-00990</t>
  </si>
  <si>
    <t>TINTA ACRILICA PREMIUM PARA PISO</t>
  </si>
  <si>
    <t>PINTOR COM ENCARGOS COMPLEMENTARES</t>
  </si>
  <si>
    <t>Obs: considerando uma demão, meio-fio de 30 cm x 15 cm x 13 cm (altura, base inferior, base superior), enterrado 5 cm.</t>
  </si>
  <si>
    <t>SF-00991</t>
  </si>
  <si>
    <t>Obs.: Considerando fornecedor de areia a 20km do Senado Federal.</t>
  </si>
  <si>
    <t>SF-00992</t>
  </si>
  <si>
    <t>CAMINHÃO BASCULANTE 6 M3, PESO BRUTO TOTAL 16.000 KG, CARGA ÚTIL MÁXIMA 13.071 KG, DISTÂNCIA ENTRE EIXOS 4,80 M, POTÊNCIA 230 CV INCLUSIVE CAÇAMBA METÁLICA - CHP DIURNO. AF_06/2014</t>
  </si>
  <si>
    <t>TUBO DRENO, CORRUGADO, ESPIRALADO, FLEXIVEL, PERFURADO, EM POLIETILENO DE ALTA DENSIDADE (PEAD), DN 100 MM, (4") PARA DRENAGEM - EM ROLO (NORMA DNIT 093/2006 - E.M)</t>
  </si>
  <si>
    <t>PLACA VIBRATÓRIA REVERSÍVEL COM MOTOR 4 TEMPOS A GASOLINA, FORÇA CENTRÍFUGA DE 25 KN (2500 KGF), POTÊNCIA 5,5 CV - CHP DIURNO. AF_08/2015</t>
  </si>
  <si>
    <t>Obs.: Considerando fornecedor de brita a 20km do Senado Federal.</t>
  </si>
  <si>
    <t>SF-00994</t>
  </si>
  <si>
    <t>Insert metálico tipo 3, conforme projeto</t>
  </si>
  <si>
    <t>SF-01001</t>
  </si>
  <si>
    <t>SF-01011</t>
  </si>
  <si>
    <t>MARTELETE OU ROMPEDOR PNEUMÁTICO MANUAL, 28 KG, COM SILENCIADOR - CHP DIURNO. AF_07/2016</t>
  </si>
  <si>
    <t>MARTELETE OU ROMPEDOR PNEUMÁTICO MANUAL, 28 KG, COM SILENCIADOR - CHI DIURNO. AF_07/2016</t>
  </si>
  <si>
    <t>SF-01012</t>
  </si>
  <si>
    <t>SF-01013</t>
  </si>
  <si>
    <t>Impermeabilizante Idea HP</t>
  </si>
  <si>
    <t>Obs: Rendimento informado na especificação do serviço (12 m2 para 1 L, considerando duas demãos).</t>
  </si>
  <si>
    <t>Fonte: SINAPI 73872/2</t>
  </si>
  <si>
    <t>SF-01014</t>
  </si>
  <si>
    <t>PLACA VINILICA SEMIFLEXIVEL PARA REVESTIMENTO DE PISOS E PAREDES, E = 2 MM (SEM COLOCACAO)</t>
  </si>
  <si>
    <t>SF-01029</t>
  </si>
  <si>
    <t>SF-01030</t>
  </si>
  <si>
    <t>SF-01031</t>
  </si>
  <si>
    <t>SF-01041</t>
  </si>
  <si>
    <t>TÉCNICO EM SEGURANÇA DO TRABALHO COM ENCARGOS COMPLEMENTARES</t>
  </si>
  <si>
    <t>SF-01053</t>
  </si>
  <si>
    <t>Adesivo epóxi estrutural - bisnaga de 50ml</t>
  </si>
  <si>
    <t>SF-01054</t>
  </si>
  <si>
    <t>Perfil metálico em chapa #14 dobrada</t>
  </si>
  <si>
    <t>Fonte: SIURB 08-01-70 e CDHU 403091</t>
  </si>
  <si>
    <t>SF-01059</t>
  </si>
  <si>
    <t>Granito Vermelho Brasília, com 20 mm de espessura, polido, com testeira para acabamento em meia esquadria, para bancadas</t>
  </si>
  <si>
    <t>SF-01060</t>
  </si>
  <si>
    <t>BUCHA DE NYLON SEM ABA S10, COM PARAFUSO DE 6,10 X 65 MM EM ACO ZINCADO COM ROSCA SOBERBA, CABECA CHATA E FENDA PHILLIPS</t>
  </si>
  <si>
    <t>PORTA DE ABRIR EM ALUMINIO TIPO VENEZIANA, ACABAMENTO ANODIZADO NATURAL, SEM GUARNICAO/ALIZAR/VISTA, 87 X 210 CM</t>
  </si>
  <si>
    <t>SF-01061</t>
  </si>
  <si>
    <t>PARAFUSO DE ACO ZINCADO COM ROSCA SOBERBA, CABECA CHATA E FENDA SIMPLES, DIAMETRO 4,2 MM, COMPRIMENTO * 32 * MM</t>
  </si>
  <si>
    <t>SF-01062</t>
  </si>
  <si>
    <t>PORTA DE ENROLAR MANUAL COMPLETA, ARTICULADA RAIADA LARGA, EM ACO GALVANIZADO NATURAL, CHAPA NUMERO 24 (SEM INSTALACAO)</t>
  </si>
  <si>
    <t>SF-01063</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</si>
  <si>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</si>
  <si>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</si>
  <si>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</si>
  <si>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</si>
  <si>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</si>
  <si>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 (REF 1552-B)</t>
  </si>
  <si>
    <t>TUBO ACO GALVANIZADO COM COSTURA, CLASSE MEDIA, DN 1", E = 3,38 MM, PESO 2,50 KG/M (NBR 5580)</t>
  </si>
  <si>
    <t xml:space="preserve">MEDIDOR DE GÁS EM ALUMÍNIO. Ref. LAO G6 </t>
  </si>
  <si>
    <t>SF-01064</t>
  </si>
  <si>
    <t>Válvula de esfera tripartida Classe 300</t>
  </si>
  <si>
    <t>SF-01065</t>
  </si>
  <si>
    <t>DESMOLDANTE PROTETOR PARA FORMAS DE MADEIRA, DE BASE OLEOSA EMULSIONADA EM AGUA</t>
  </si>
  <si>
    <t>PREGO DE ACO POLIDO COM CABECA 15 X 15 (1 1/4 X 13)</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</si>
  <si>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</si>
  <si>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</si>
  <si>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</si>
  <si>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</si>
  <si>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ARMAÇÃO DE LAJE DE UMA ESTRUTURA CONVENCIONAL DE CONCRETO ARMADO EM UMA EDIFICAÇÃO TÉRREA OU SOBRADO UTILIZANDO AÇO CA-60 DE 4,2 MM - MONTAGEM. AF_12/2015</t>
  </si>
  <si>
    <t>SF-01066</t>
  </si>
  <si>
    <t>AUXILIAR DE ELETRICISTA COM ENCARGOS COMPLEMENTARES</t>
  </si>
  <si>
    <t>ELETRICISTA COM ENCARGOS COMPLEMENTARES</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</si>
  <si>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</si>
  <si>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</si>
  <si>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</si>
  <si>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</si>
  <si>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</si>
  <si>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</si>
  <si>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</si>
  <si>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</si>
  <si>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</si>
  <si>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</si>
  <si>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SF-01074</t>
  </si>
  <si>
    <t>TAMPAO FOFO ARTICULADO P/ REGISTRO, CLASSE A15 CARGA MAX 1,5 T, *200 X 200* MM</t>
  </si>
  <si>
    <t>SF-01076</t>
  </si>
  <si>
    <t>Cerâmica GAIL (Referência 1009 Placa Cerâmica Linha Gressit da Marca Gail, tamanho 240 mm x 116 mm, espessura 9 mm)</t>
  </si>
  <si>
    <t>SF-01077</t>
  </si>
  <si>
    <t>AREIA PARA ATERRO - POSTO JAZIDA/FORNECEDOR (RETIRADO NA JAZIDA, SEM TRANSPORTE)</t>
  </si>
  <si>
    <t>SF-01078</t>
  </si>
  <si>
    <t>CHAPA DE ACO GROSSA, ASTM A36, E = 3/8 " (9,53 MM) 74,69 KG/M2</t>
  </si>
  <si>
    <t>ELETRODO REVESTIDO AWS - E6013, DIAMETRO IGUAL A 2,50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</si>
  <si>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</si>
  <si>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</si>
  <si>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</si>
  <si>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SERRALHEIRO COM ENCARGOS COMPLEMENTARES</t>
  </si>
  <si>
    <t>SF-01080</t>
  </si>
  <si>
    <t>Perfil "U" em aço galvanizado 25mm x 25mm, espessura 1,5mm (#16)</t>
  </si>
  <si>
    <t>SF-01082</t>
  </si>
  <si>
    <t>SF-01083</t>
  </si>
  <si>
    <t>SF-01088</t>
  </si>
  <si>
    <t>COTOVELO DE COBRE 90 GRAUS (REF 607) SEM ANEL DE SOLDA, BOLSA X BOLSA, 35 MM</t>
  </si>
  <si>
    <t>SOLDA ESTANHO/COBRE PARA CONEXOES DE COBRE, FIO 2,5 MM, CARRETEL 500 GR (SEM CHUMBO)</t>
  </si>
  <si>
    <t>PASTA PARA SOLDA DE TUBOS E CONEXOES DE COBRE (EMBALAGEM COM 250 G)</t>
  </si>
  <si>
    <t>SF-01089</t>
  </si>
  <si>
    <t>COTOVELO DE COBRE 90 GRAUS (REF 607) SEM ANEL DE SOLDA, BOLSA X BOLSA, 42 MM</t>
  </si>
  <si>
    <t>SF-01090</t>
  </si>
  <si>
    <t>COTOVELO DE COBRE 90 GRAUS (REF 607) SEM ANEL DE SOLDA, BOLSA X BOLSA, 22 MM</t>
  </si>
  <si>
    <t>SF-01092</t>
  </si>
  <si>
    <t>LUVA DE COBRE (REF 600) SEM ANEL DE SOLDA, BOLSA X BOLSA, 35 MM</t>
  </si>
  <si>
    <t>SF-01093</t>
  </si>
  <si>
    <t>LUVA DE COBRE (REF 600) SEM ANEL DE SOLDA, BOLSA X BOLSA, 42 MM</t>
  </si>
  <si>
    <t>SF-01094</t>
  </si>
  <si>
    <t>LUVA DE COBRE (REF 600) SEM ANEL DE SOLDA, BOLSA X BOLSA, 22 MM</t>
  </si>
  <si>
    <t>SF-01097</t>
  </si>
  <si>
    <t>TUBO DE COBRE CLASSE "A", DN = 1 1/4 " (35 MM), PARA INSTALACOES DE MEDIA PRESSAO PARA GASES COMBUSTIVEIS E MEDICINAIS</t>
  </si>
  <si>
    <t>SF-01098</t>
  </si>
  <si>
    <t>TUBO DE COBRE CLASSE "A", DN = 1 1/2 " (42 MM), PARA INSTALACOES DE MEDIA PRESSAO PARA GASES COMBUSTIVEIS E MEDICINAIS</t>
  </si>
  <si>
    <t>SF-01101</t>
  </si>
  <si>
    <t>ELETRODUTO FLEXIVEL, EM ACO GALVANIZADO, REVESTIDO EXTERNAMENTE COM PVC PRETO, DIAMETRO EXTERNO DE 50 MM( 1 1/2"), TIPO SEALTUBO</t>
  </si>
  <si>
    <t>SF-01102</t>
  </si>
  <si>
    <t>TECNICO DE EDIFICACOES COM ENCARGOS COMPLEMENTARES</t>
  </si>
  <si>
    <t>SF-01104</t>
  </si>
  <si>
    <t>ENGENHEIRO CIVIL PLENO COM ENCARGOS COMPLEMENTARES</t>
  </si>
  <si>
    <t>SF-01105</t>
  </si>
  <si>
    <t>TAQUEADOR OU TAQUEIRO COM ENCARGOS COMPLEMENTARES</t>
  </si>
  <si>
    <t>Laminado melamínico texturizado esp. 1,3 mm</t>
  </si>
  <si>
    <t>SF-01106</t>
  </si>
  <si>
    <t>Granito Preto Absoluto, com 20 mm de espessura</t>
  </si>
  <si>
    <t>SF-01107</t>
  </si>
  <si>
    <t>Granito Arabesco, com 20 mm de espessura</t>
  </si>
  <si>
    <t>SF-01108</t>
  </si>
  <si>
    <t>PISO EM PORCELANATO RETIFICADO EXTRA, FORMATO MENOR OU IGUAL A 2025 CM2</t>
  </si>
  <si>
    <t>AZULEJISTA OU LADRILHISTA COM ENCARGOS COMPLEMENTARES</t>
  </si>
  <si>
    <t>SF-01109</t>
  </si>
  <si>
    <t>SF-01110</t>
  </si>
  <si>
    <t>Piso vinílico em manta esp. 2 mm</t>
  </si>
  <si>
    <t>SF-01111</t>
  </si>
  <si>
    <t>SELANTE MONOCOMPONENTE A BASE DE SILICONE DE BAIXO MODULO, PARA JUNTAS DE PAVIMENTACAO</t>
  </si>
  <si>
    <t>SF-01112</t>
  </si>
  <si>
    <t>Lixa grana 100 para superfície metálica</t>
  </si>
  <si>
    <t>Fonte: Pini 20.105.000010.SER e Pini 20.105.000015.SER</t>
  </si>
  <si>
    <t>SF-01113</t>
  </si>
  <si>
    <t>Raspagem, calafetagem, aplicação de synteko alto brilho em piso de madeira</t>
  </si>
  <si>
    <t>SF-01114</t>
  </si>
  <si>
    <t>TACO DE MADEIRA PARA PISO, IPE (CERNE) OU EQUIVALENTE DA REGIAO, 7 X 42 CM, E = 2 CM</t>
  </si>
  <si>
    <t>COLA BRANCA BASE PVA</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</si>
  <si>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</si>
  <si>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</si>
  <si>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</si>
  <si>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</si>
  <si>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</si>
  <si>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</si>
  <si>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</si>
  <si>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</si>
  <si>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ARAME GALVANIZADO 18 BWG, D = 1,24MM (0,009 KG/M)</t>
  </si>
  <si>
    <t>CENTO</t>
  </si>
  <si>
    <t>GESSEIRO COM ENCARGOS COMPLEMENTARES</t>
  </si>
  <si>
    <t>SF-01120</t>
  </si>
  <si>
    <t>SF-01121</t>
  </si>
  <si>
    <t>Obs.: Acréscimo de 15% no coeficiente da tinta para suprir a diferença de preço da tinta branca para as tintas de cores especiais.</t>
  </si>
  <si>
    <t>SF-01122</t>
  </si>
  <si>
    <t>SF-01123</t>
  </si>
  <si>
    <t>SF-01124</t>
  </si>
  <si>
    <t>SF-01125</t>
  </si>
  <si>
    <t>SF-01126</t>
  </si>
  <si>
    <t>Carga inerte para tratamento antiderrapante em piso (ref.: Sikadur 512 ou 515)</t>
  </si>
  <si>
    <t>SF-01127</t>
  </si>
  <si>
    <t>LIXA EM FOLHA PARA FERRO, NUMERO 150</t>
  </si>
  <si>
    <t>SF-01128</t>
  </si>
  <si>
    <t>Compressor de ar portátil de 71 PCM - 15 kW</t>
  </si>
  <si>
    <t>Serra para corte de concreto e asfalto - 10 kW</t>
  </si>
  <si>
    <t>Cordão de polietileno expandido</t>
  </si>
  <si>
    <t>Disco diamantado - D = 350 mm</t>
  </si>
  <si>
    <t>SELANTE A BASE DE ALCATRAO E POLIURETANO PARA JUNTAS HORIZONTAIS</t>
  </si>
  <si>
    <t>SF-01129</t>
  </si>
  <si>
    <t>PO DE PEDRA (POSTO PEDREIRA/FORNECEDOR, SEM FRETE)</t>
  </si>
  <si>
    <t>BLOQUETE/PISO DE CONCRETO - MODELO BLOCO PISOGRAMA/CONCREGRAMA 2 FUROS, DIMENSOES APROX. DE 35 CM X 15 CM E ESPESSURA DE 7 CM (+/- 1 CM), COR NATURAL</t>
  </si>
  <si>
    <t>CALCETEIRO COM ENCARGOS COMPLEMENTARES</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</si>
  <si>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</si>
  <si>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</si>
  <si>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</si>
  <si>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Obs: considerando fornecedor de areia e brita a 20 km do Senado Federal</t>
  </si>
  <si>
    <t>SF-01130</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</si>
  <si>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</si>
  <si>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</si>
  <si>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</si>
  <si>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</si>
  <si>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</si>
  <si>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</si>
  <si>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</si>
  <si>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</si>
  <si>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</si>
  <si>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</si>
  <si>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AREIA GROSSA - POSTO JAZIDA/FORNECEDOR (RETIRADO NA JAZIDA, SEM TRANSPORTE)</t>
  </si>
  <si>
    <t>T</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</si>
  <si>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</si>
  <si>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</si>
  <si>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</si>
  <si>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AF_03/2016</t>
  </si>
  <si>
    <t>TANQUE DE ASFALTO ESTACIONÁRIO COM SERPENTINA, CAPACIDADE 30.000 L - CHP DIURNO. AF_06/2014</t>
  </si>
  <si>
    <t>SF-01131</t>
  </si>
  <si>
    <t>Compactador manual de placa vibratória - 3 kW - CHP</t>
  </si>
  <si>
    <t>Compactador manual de placa vibratória - 3 kW - CHI</t>
  </si>
  <si>
    <t>Asfalto a frio ensacado</t>
  </si>
  <si>
    <t>SF-01132</t>
  </si>
  <si>
    <t>MICROESFERAS DE VIDRO PARA SINALIZACAO HORIZONTAL VIARIA, TIPO I-B (PREMIX) - NBR 16184</t>
  </si>
  <si>
    <t>MÁQUINA DEMARCADORA DE FAIXA DE TRÁFEGO À FRIO, AUTOPROPELIDA, POTÊNCIA 38 HP - CHP DIURNO. AF_07/2016</t>
  </si>
  <si>
    <t>SF-01133</t>
  </si>
  <si>
    <t>HASTE RETA PARA GANCHO DE FERRO GALVANIZADO, COM ROSCA 1/4 " X 30 CM PARA FIXACAO DE TELHA METALICA, INCLUI PORCA E ARRUELAS DE VEDACAO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</si>
  <si>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</si>
  <si>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</si>
  <si>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</si>
  <si>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SF-01134</t>
  </si>
  <si>
    <t>SF-01135</t>
  </si>
  <si>
    <t>Telha metálica trapezoidal galvanizada GR 25 com espessura de 0,43 mm, com largura de 1020 mm e comprimento de 5 metros.</t>
  </si>
  <si>
    <t>SF-01136</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</si>
  <si>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</si>
  <si>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</si>
  <si>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</si>
  <si>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</si>
  <si>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</si>
  <si>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</si>
  <si>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</si>
  <si>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</si>
  <si>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</si>
  <si>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</si>
  <si>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</si>
  <si>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</si>
  <si>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</si>
  <si>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</si>
  <si>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SF-01141</t>
  </si>
  <si>
    <t>CUMEEIRA UNIVERSAL PARA TELHA ONDULADA DE FIBROCIMENTO, E = 6 MM, ABA 210 MM, COMPRIMENTO 1100 MM (SEM AMIANTO)</t>
  </si>
  <si>
    <t>SF-01142</t>
  </si>
  <si>
    <t>CUMEEIRA SHED PARA TELHA ONDULADA DE FIBROCIMENTO, E = 6 MM, ABA 280 MM, COMPRIMENTO 1100 MM (SEM AMIANTO)</t>
  </si>
  <si>
    <t>SF-01143</t>
  </si>
  <si>
    <t>Parafuso rosca soberba galvanizado Ø 8 mm x 250 mm</t>
  </si>
  <si>
    <t>SF-01147</t>
  </si>
  <si>
    <t>FUNDO ANTICORROSIVO PARA METAIS FERROSOS (ZARCAO)</t>
  </si>
  <si>
    <t>SF-01148</t>
  </si>
  <si>
    <t>SF-01149</t>
  </si>
  <si>
    <t>Lava-jato água fria pressão 1700 psi</t>
  </si>
  <si>
    <t>loc/un/h</t>
  </si>
  <si>
    <t>Solução limpadora diluída em água</t>
  </si>
  <si>
    <t>SF-01150</t>
  </si>
  <si>
    <t>ANEL BORRACHA, DN 150 MM, PARA TUBO SERIE REFORCADA ESGOTO PREDIAL</t>
  </si>
  <si>
    <t>REDUCAO EXCENTRICA PVC, SERIE R, DN 150 X 100 MM, PARA ESGOTO PREDIAL</t>
  </si>
  <si>
    <t>TUBO PVC, SERIE R, DN 150 MM, PARA ESGOTO OU AGUAS PLUVIAIS PREDIAL (NBR 5688)</t>
  </si>
  <si>
    <t>RALO FOFO SEMIESFERICO, 150 MM, PARA LAJES/ CALHAS</t>
  </si>
  <si>
    <t>SF-01151</t>
  </si>
  <si>
    <t>SF-01152</t>
  </si>
  <si>
    <t>ARGAMASSA TRAÇO 1:4 (EM VOLUME DE CIMENTO E AREIA MÉDIA ÚMIDA) PARA CONTRAPISO, PREPARO MECÂNICO COM BETONEIRA 400 L. AF_08/2019</t>
  </si>
  <si>
    <t>SF-01153</t>
  </si>
  <si>
    <t>SF-01154</t>
  </si>
  <si>
    <t>GEOTEXTIL NAO TECIDO AGULHADO DE FILAMENTOS CONTINUOS 100% POLIESTER, RESITENCIA A TRACAO = 10 KN/M</t>
  </si>
  <si>
    <t>SF-01155</t>
  </si>
  <si>
    <t>POLIESTIRENO EXPANDIDO/EPS (ISOPOR), TIPO 2F, PLACA, ISOLAMENTO TERMOACUSTICO, E = 20 MM, 1000 X 500 MM</t>
  </si>
  <si>
    <t>SF-01156</t>
  </si>
  <si>
    <t>SF-01157</t>
  </si>
  <si>
    <t>SF-01158</t>
  </si>
  <si>
    <t>Pintura inibidora de raízes</t>
  </si>
  <si>
    <t>SF-01159</t>
  </si>
  <si>
    <t>Geocomposto Drenante industrializado formado por estrutura drenante de pelo menos 10 mm</t>
  </si>
  <si>
    <t>SF-01160</t>
  </si>
  <si>
    <t>REBITE DE ALUMINIO VAZADO DE REPUXO, 3,2 X 8 MM (1KG = 1025 UNIDADES)</t>
  </si>
  <si>
    <t>SOLDA EM BARRA DE ESTANHO-CHUMBO 50/50</t>
  </si>
  <si>
    <t>CALHA QUADRADA DE CHAPA DE ACO GALVANIZADA NUM 24, CORTE 100 CM</t>
  </si>
  <si>
    <t>SF-01161</t>
  </si>
  <si>
    <t>RUFO INTERNO/EXTERNO DE CHAPA DE ACO GALVANIZADA NUM 24, CORTE 25 CM</t>
  </si>
  <si>
    <t>SF-01163</t>
  </si>
  <si>
    <t>ACO CA-50, 10,0 MM, OU 12,5 MM, OU 16,0 MM, OU 20,0 MM, DOBRADO E CORTADO</t>
  </si>
  <si>
    <t>Chapa de madeira compensada resinada 1,10 x 2,20 m # 10 mm</t>
  </si>
  <si>
    <t>BETONEIRA CAPACIDADE NOMINAL DE 600 L, CAPACIDADE DE MISTURA 360 L, MOTOR ELÉTRICO TRIFÁSICO POTÊNCIA DE 4 CV, SEM CARREGADOR - CHP DIURNO. AF_11/2014</t>
  </si>
  <si>
    <t>PREGO DE ACO POLIDO COM CABECA 17 X 21 (2 X 11)</t>
  </si>
  <si>
    <t>SF-01164</t>
  </si>
  <si>
    <t>SF-01165</t>
  </si>
  <si>
    <t>PARAFUSO, COMUM, ASTM A307, SEXTAVADO, DIAMETRO 1/2" (12,7 MM), COMPRIMENTO 1" (25,4 MM)</t>
  </si>
  <si>
    <t>PERFIL "U" ENRIJECIDO DE ACO GALVANIZADO, DOBRADO, 150 X 60 X 20 MM, E = 3,00 MM OU 200 X 75 X 25 MM, E = 3,75 MM</t>
  </si>
  <si>
    <t>SF-01166</t>
  </si>
  <si>
    <t>Obs: considerando rendimento informado na especificação técnica do produto indicado como referência comercial (Lata de 3,6L rende até 3 demãos, com 25 m²/demão).</t>
  </si>
  <si>
    <t>SF-01167</t>
  </si>
  <si>
    <t>Tinta aluminizada de base asfáltica</t>
  </si>
  <si>
    <t>SF-01168</t>
  </si>
  <si>
    <t>POLIESTIRENO EXPANDIDO/EPS (ISOPOR), PEROLAS, PARA CONCRETO LEVE</t>
  </si>
  <si>
    <t>Obs: considerando fornecedor de areia a 20 km do Senado Federal</t>
  </si>
  <si>
    <t>SF-01169</t>
  </si>
  <si>
    <t>PRIMER PARA MANTA ASFALTICA A BASE DE ASFALTO MODIFICADO DILUIDO EM SOLVENTE, APLICACAO A FRIO</t>
  </si>
  <si>
    <t>AJUDANTE ESPECIALIZADO COM ENCARGOS COMPLEMENTARES</t>
  </si>
  <si>
    <t>Obs: Adotou-se o consumo de 350 mL/m², conforme recomendação do fabricante do produto para aplicação homogênea.</t>
  </si>
  <si>
    <t>http://vedacit.com.br/produtos/primer-eco-vedacit</t>
  </si>
  <si>
    <t>SF-01170</t>
  </si>
  <si>
    <t>MEMBRANA IMPERMEABILIZANTE A BASE DE POLIURETANO</t>
  </si>
  <si>
    <t>SF-01171</t>
  </si>
  <si>
    <t>MANTA ASFALTICA ELASTOMERICA EM POLIESTER 4 MM, TIPO III, CLASSE B, ACABAMENTO PP (NBR 9952)</t>
  </si>
  <si>
    <t>GAS DE COZINHA - GLP</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</si>
  <si>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</si>
  <si>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</si>
  <si>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</si>
  <si>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</si>
  <si>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</si>
  <si>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</si>
  <si>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</si>
  <si>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</si>
  <si>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</si>
  <si>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MEMBRANA IMPERMEABILIZANTE ACRILICA MONOCOMPONENTE</t>
  </si>
  <si>
    <t>SF-01175</t>
  </si>
  <si>
    <t>Asfalto elastomérico</t>
  </si>
  <si>
    <t>*Adotou-se o consumo de 2 kg/m², valor intermediário da recomendação do fabricante do produto.</t>
  </si>
  <si>
    <t>http://www.denverimper.com.br/files/produtos/0000001-0000500/122/e5fe48d2b8810574e94921c5fb6cea0c.pdf</t>
  </si>
  <si>
    <t>SF-01176</t>
  </si>
  <si>
    <t>MANTA ASFALTICA ELASTOMERICA EM POLIESTER 3 MM, TIPO III, CLASSE B, ACABAMENTO PP (NBR 9952)</t>
  </si>
  <si>
    <t>SF-01177</t>
  </si>
  <si>
    <t>SF-01179</t>
  </si>
  <si>
    <t>ADITIVO LIQUIDO INCORPORADOR DE AR PARA CONCRETO E ARGAMASSA, LIQUIDO E ISENTO DE CLORETOS</t>
  </si>
  <si>
    <t>Obs: considerando 1,01 L/kg, conforme especificado na ficha técnica do produto indicado como referência comercial.</t>
  </si>
  <si>
    <t>SF-01180</t>
  </si>
  <si>
    <t>Obs: considerando fornecedor de brita a 20 km do Senado Federal</t>
  </si>
  <si>
    <t>SF-01232</t>
  </si>
  <si>
    <t>Adjuvante para argamassa base PVA</t>
  </si>
  <si>
    <t>Carpete aveludado azul royal, para uso comercial, adequado para tráfego pesado, conforme especificações técnicas.</t>
  </si>
  <si>
    <t>SF-01233</t>
  </si>
  <si>
    <t>COMPOSIÇÕES DE CUSTO UNITÁRIO AUXILIARES DE 1º NÍVEL</t>
  </si>
  <si>
    <t>TOTAL</t>
  </si>
  <si>
    <t>M3XKM</t>
  </si>
  <si>
    <t>TXKM</t>
  </si>
  <si>
    <t>OPERADOR DE BETONEIRA ESTACIONÁRIA/MISTURADOR COM ENCARGOS COMPLEMENTARES</t>
  </si>
  <si>
    <t>BETONEIRA CAPACIDADE NOMINAL DE 600 L, CAPACIDADE DE MISTURA 360 L, MOTOR ELÉTRICO TRIFÁSICO POTÊNCIA DE 4 CV, SEM CARREGADOR - CHI DIURNO. AF_11/2014</t>
  </si>
  <si>
    <t>JG</t>
  </si>
  <si>
    <t>PREGO DE ACO POLIDO COM CABECA 12 X 12</t>
  </si>
  <si>
    <t>CORTE E DOBRA DE AÇO CA-60, DIÂMETRO DE 4,2 MM, UTILIZADO EM LAJE. AF_12/2015</t>
  </si>
  <si>
    <t>ARGAMASSA TRAÇO 1:0,5:4,5 (EM VOLUME DE CIMENTO, CAL E AREIA MÉDIA ÚMIDA) PARA ASSENTAMENTO DE ALVENARIA, PREPARO MANUAL. AF_08/2019</t>
  </si>
  <si>
    <t>ACO CA-60, 4,2 MM, OU 5,0 MM, OU 6,0 MM, OU 7,0 MM, VERGALHAO</t>
  </si>
  <si>
    <t>COMPOSIÇÕES DE CUSTO UNITÁRIO AUXILIARES DE 2º NÍVEL</t>
  </si>
  <si>
    <t>PLANILHA ORÇAMENTÁRIA</t>
  </si>
  <si>
    <t>Padrão</t>
  </si>
  <si>
    <t>QUANTIDADE</t>
  </si>
  <si>
    <t>CUSTO DIRETO</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</si>
  <si>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</si>
  <si>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</si>
  <si>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</si>
  <si>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</si>
  <si>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</si>
  <si>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</si>
  <si>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</si>
  <si>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</si>
  <si>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</si>
  <si>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</si>
  <si>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</si>
  <si>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infraestrutura elétrica (eletrodutos, eletrocalhas, cabos)</t>
  </si>
  <si>
    <t>Demolição de revestimento cerâmico, granito, mármore ou granitina</t>
  </si>
  <si>
    <t>Demolição de revestimento em argamassa</t>
  </si>
  <si>
    <t>Demolição de tubulação hidrossanitária embutida com conexões e acessórios</t>
  </si>
  <si>
    <t>Demolição em concreto armado</t>
  </si>
  <si>
    <t>SF-00015</t>
  </si>
  <si>
    <t>Locação de caçambas</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</si>
  <si>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</si>
  <si>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</si>
  <si>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</si>
  <si>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</si>
  <si>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</si>
  <si>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</si>
  <si>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</si>
  <si>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</si>
  <si>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</si>
  <si>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</si>
  <si>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</si>
  <si>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</si>
  <si>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</si>
  <si>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laminado melamínico (LDAP), em PVC ou vinílico</t>
  </si>
  <si>
    <t>Remoção de louças</t>
  </si>
  <si>
    <t>Remoção de luminária</t>
  </si>
  <si>
    <t>Remoção de metais e acessórios</t>
  </si>
  <si>
    <t>Remoção de painéis de vidro temperado</t>
  </si>
  <si>
    <t>Remoção de película</t>
  </si>
  <si>
    <t>Remoção de persianas</t>
  </si>
  <si>
    <t>Remoção de pintura ou textura</t>
  </si>
  <si>
    <t>Remoção de placas de forro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</si>
  <si>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</si>
  <si>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</si>
  <si>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</si>
  <si>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</si>
  <si>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</si>
  <si>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</si>
  <si>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</si>
  <si>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</si>
  <si>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</si>
  <si>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</si>
  <si>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</si>
  <si>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</si>
  <si>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</si>
  <si>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</si>
  <si>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</si>
  <si>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</si>
  <si>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</si>
  <si>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</si>
  <si>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</si>
  <si>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</si>
  <si>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</si>
  <si>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</si>
  <si>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</si>
  <si>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</si>
  <si>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</si>
  <si>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</si>
  <si>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</si>
  <si>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</si>
  <si>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</si>
  <si>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</si>
  <si>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</si>
  <si>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</si>
  <si>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</si>
  <si>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</si>
  <si>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</si>
  <si>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</si>
  <si>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</si>
  <si>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</si>
  <si>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</si>
  <si>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</si>
  <si>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</si>
  <si>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</si>
  <si>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</si>
  <si>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</si>
  <si>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</si>
  <si>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</si>
  <si>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</si>
  <si>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</si>
  <si>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</si>
  <si>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</si>
  <si>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</si>
  <si>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</si>
  <si>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Tapume</t>
  </si>
  <si>
    <t>SF-00071</t>
  </si>
  <si>
    <t>Trole para linha de vida horizontal</t>
  </si>
  <si>
    <t>SF-00072</t>
  </si>
  <si>
    <t>Trole para travaqueda retrátil</t>
  </si>
  <si>
    <t>Abertura/fechamento rasgo em alvenaria</t>
  </si>
  <si>
    <t>Concreto virado em betoneira, fck = 15 MPa</t>
  </si>
  <si>
    <t>Escoramento metálico</t>
  </si>
  <si>
    <t>Estrutura metálica em aço</t>
  </si>
  <si>
    <t>Forma para estruturas de concreto</t>
  </si>
  <si>
    <t>Verga/contraverga/cinta em bloco de concreto canaleta 11,5 x 19 x 39 cm</t>
  </si>
  <si>
    <t>Impermeabilização de superfície com revestimento bicomponente semi flexível</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</si>
  <si>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</si>
  <si>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</si>
  <si>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</si>
  <si>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</si>
  <si>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</si>
  <si>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</si>
  <si>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</si>
  <si>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</si>
  <si>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Tratamento de trincas superficiais</t>
  </si>
  <si>
    <t>Aplicação de fundo selador base água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</si>
  <si>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</si>
  <si>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</si>
  <si>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</si>
  <si>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</si>
  <si>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</si>
  <si>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</si>
  <si>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</si>
  <si>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</si>
  <si>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</si>
  <si>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</si>
  <si>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</si>
  <si>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</si>
  <si>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</si>
  <si>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</si>
  <si>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</si>
  <si>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</si>
  <si>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</si>
  <si>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</si>
  <si>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</si>
  <si>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</si>
  <si>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</si>
  <si>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</si>
  <si>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</si>
  <si>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</si>
  <si>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Instalação de bancada de granito ou mármore reaproveitada</t>
  </si>
  <si>
    <t>Instalação de soleira ou peitoril, de mármore ou granito, reaproveitados</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</si>
  <si>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</si>
  <si>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</si>
  <si>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</si>
  <si>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</si>
  <si>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</si>
  <si>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</si>
  <si>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</si>
  <si>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</si>
  <si>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</si>
  <si>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</si>
  <si>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</si>
  <si>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</si>
  <si>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</si>
  <si>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</si>
  <si>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</si>
  <si>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</si>
  <si>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</si>
  <si>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</si>
  <si>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</si>
  <si>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</si>
  <si>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</si>
  <si>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</si>
  <si>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</si>
  <si>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</si>
  <si>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Cordão de massa de vidraceiro</t>
  </si>
  <si>
    <t>Instalação de vidro reaproveitado</t>
  </si>
  <si>
    <t>Substituição da calafetação com selante</t>
  </si>
  <si>
    <t>Instalação de painéis de vidro temperado reaproveitados</t>
  </si>
  <si>
    <t>Mola hidráulica de piso</t>
  </si>
  <si>
    <t>Instalação de persianas reaproveitadas</t>
  </si>
  <si>
    <t>SF-00162</t>
  </si>
  <si>
    <t>Persiana vertical em alumínio 90 mm, cor verde claro</t>
  </si>
  <si>
    <t>SF-00163</t>
  </si>
  <si>
    <t>SF-00164</t>
  </si>
  <si>
    <t>SF-00165</t>
  </si>
  <si>
    <t>Película jateada</t>
  </si>
  <si>
    <t>Tubo de ligação para bacia sanitária</t>
  </si>
  <si>
    <t>Base registro gaveta 3/4"</t>
  </si>
  <si>
    <t>Bacia convencional – Linha Administrativa</t>
  </si>
  <si>
    <t>Bacia convencional com saída horizontal</t>
  </si>
  <si>
    <t>Cuba oval de embutir</t>
  </si>
  <si>
    <t>Cuba semiencaixe quadrada com mesa</t>
  </si>
  <si>
    <t>Instalação de lavatório reaproveitado</t>
  </si>
  <si>
    <t>Instalação de mictório reaproveitado</t>
  </si>
  <si>
    <t>Instalação de vaso sanitário reaproveitado</t>
  </si>
  <si>
    <t>Lavatório suspenso</t>
  </si>
  <si>
    <t>Mictório – Linha Administrativa</t>
  </si>
  <si>
    <t>Instalação de metais e acessórios reaproveitados</t>
  </si>
  <si>
    <t>Sifão para lavatório 1 1/2"</t>
  </si>
  <si>
    <t>Torneira de mesa para cozinha bica móvel – Linha Administrativa</t>
  </si>
  <si>
    <t>Torneira de mesa para lavatório – Linha Acessibilidade</t>
  </si>
  <si>
    <t>Torneira de mesa para lavatório com fechamento automático – Linha Administrativa</t>
  </si>
  <si>
    <t>Válvula descarga para mictório – Linha Administrativa</t>
  </si>
  <si>
    <t>Alarme de emergência para sanitários PNE</t>
  </si>
  <si>
    <t>Lavatório suspenso – Linha Acessibilidade</t>
  </si>
  <si>
    <t>Lavatório suspenso com Coluna – Linha Acessibilidade</t>
  </si>
  <si>
    <t>Caixa para piso elevado</t>
  </si>
  <si>
    <t>Eletroduto de aço galvanizado de 1 1/2"</t>
  </si>
  <si>
    <t>Eletroduto de aço galvanizado de 1 1/4"</t>
  </si>
  <si>
    <t>Eletroduto de aço galvanizado de 1"</t>
  </si>
  <si>
    <t>Eletroduto de aço galvanizado de 2"</t>
  </si>
  <si>
    <t>Eletroduto de aço galvanizado de 3/4"</t>
  </si>
  <si>
    <t>Eletroduto flexível metálico com capa de PVC 1’’</t>
  </si>
  <si>
    <t>Eletroduto flexível metálico com capa de PVC 3/4"</t>
  </si>
  <si>
    <t>Interruptor para condulete</t>
  </si>
  <si>
    <t>Módulo interruptor paralelo</t>
  </si>
  <si>
    <t>Módulo interruptor simples</t>
  </si>
  <si>
    <t>Módulo tomada 10 A</t>
  </si>
  <si>
    <t>Módulo tomada 20 A</t>
  </si>
  <si>
    <t>Tampa cega para condulete</t>
  </si>
  <si>
    <t>Tampa RJ45 dupla para condulete</t>
  </si>
  <si>
    <t>Tomada para condulete</t>
  </si>
  <si>
    <t>Tomada para perfilado e eletrocalha</t>
  </si>
  <si>
    <t>Bloco autônomo de emergência</t>
  </si>
  <si>
    <t>Instalação de luminária reaproveitada</t>
  </si>
  <si>
    <t>Luminária 2x14 W de embutir</t>
  </si>
  <si>
    <t>Luminária 2x14 W de sobrepor</t>
  </si>
  <si>
    <t>Luminária 2x28 W de embutir</t>
  </si>
  <si>
    <t>Luminária 2x28 W de sobrepor</t>
  </si>
  <si>
    <t>Condutor 2,5 mm²</t>
  </si>
  <si>
    <t>Condutor 3x2,5 mm²</t>
  </si>
  <si>
    <t>Condutor 4 mm²</t>
  </si>
  <si>
    <t>Condutor 4x2,5 mm²</t>
  </si>
  <si>
    <t>Condutor 6 mm²</t>
  </si>
  <si>
    <t>Quadro elétrico TTA</t>
  </si>
  <si>
    <t>SF-00286</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</si>
  <si>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</si>
  <si>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</si>
  <si>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</si>
  <si>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</si>
  <si>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</si>
  <si>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</si>
  <si>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</si>
  <si>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</si>
  <si>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</si>
  <si>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</si>
  <si>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</si>
  <si>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</si>
  <si>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Instalação de fancolete reaproveitado</t>
  </si>
  <si>
    <t>Instalação de split reaproveitado</t>
  </si>
  <si>
    <t>Exaustor axial 340 m3/h</t>
  </si>
  <si>
    <t>Exaustor axial 865 m3/h</t>
  </si>
  <si>
    <t>Duto chapa galvanizada # 22</t>
  </si>
  <si>
    <t>Duto flexível 6”</t>
  </si>
  <si>
    <t>Duto flexível 8”</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</si>
  <si>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</si>
  <si>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</si>
  <si>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</si>
  <si>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</si>
  <si>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</si>
  <si>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</si>
  <si>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</si>
  <si>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</si>
  <si>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</si>
  <si>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</si>
  <si>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</si>
  <si>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</si>
  <si>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</si>
  <si>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</si>
  <si>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</si>
  <si>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</si>
  <si>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</si>
  <si>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</si>
  <si>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</si>
  <si>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</si>
  <si>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</si>
  <si>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</si>
  <si>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</si>
  <si>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</si>
  <si>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</si>
  <si>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</si>
  <si>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</si>
  <si>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</si>
  <si>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</si>
  <si>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</si>
  <si>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</si>
  <si>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</si>
  <si>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</si>
  <si>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</si>
  <si>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</si>
  <si>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</si>
  <si>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</si>
  <si>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</si>
  <si>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</si>
  <si>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</si>
  <si>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</si>
  <si>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</si>
  <si>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Instalação de armários reaproveitados</t>
  </si>
  <si>
    <t>Mesa/tampo de MDF, fixada em parede com mão-francesa</t>
  </si>
  <si>
    <t>Painel para TV de 90 x 120 cm</t>
  </si>
  <si>
    <t>Chapa de proteção para porta – Linha Acessibilidade</t>
  </si>
  <si>
    <t>Instalação de batentes de madeira reaproveitados</t>
  </si>
  <si>
    <t>Instalação de folhas de portas e dobradiças reaproveitadas</t>
  </si>
  <si>
    <t>Dobradiça para porta</t>
  </si>
  <si>
    <t>Fechadura para banheiro maçaneta em barra</t>
  </si>
  <si>
    <t>Fechadura para porta externa maçaneta em barra</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</si>
  <si>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</si>
  <si>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</si>
  <si>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</si>
  <si>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</si>
  <si>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</si>
  <si>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</si>
  <si>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</si>
  <si>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</si>
  <si>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</si>
  <si>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SF-00381</t>
  </si>
  <si>
    <t>Anilina</t>
  </si>
  <si>
    <t>SF-00382</t>
  </si>
  <si>
    <t>Seladora incolor</t>
  </si>
  <si>
    <t>SF-00383</t>
  </si>
  <si>
    <t>Veladura</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</si>
  <si>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</si>
  <si>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</si>
  <si>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</si>
  <si>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</si>
  <si>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</si>
  <si>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</si>
  <si>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</si>
  <si>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</si>
  <si>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</si>
  <si>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</si>
  <si>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</si>
  <si>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</si>
  <si>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</si>
  <si>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</si>
  <si>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</si>
  <si>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</si>
  <si>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</si>
  <si>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</si>
  <si>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</si>
  <si>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</si>
  <si>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</si>
  <si>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</si>
  <si>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</si>
  <si>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</si>
  <si>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</si>
  <si>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</si>
  <si>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</si>
  <si>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</si>
  <si>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</si>
  <si>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</si>
  <si>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</si>
  <si>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</si>
  <si>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</si>
  <si>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</si>
  <si>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</si>
  <si>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</si>
  <si>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</si>
  <si>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</si>
  <si>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</si>
  <si>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</si>
  <si>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</si>
  <si>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</si>
  <si>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SF-00405</t>
  </si>
  <si>
    <t>Dobradiça para porta com anel</t>
  </si>
  <si>
    <t>SF-00406</t>
  </si>
  <si>
    <t>Dobradiça curva para porta de armário (com parafuso de fixação)</t>
  </si>
  <si>
    <t>SF-00407</t>
  </si>
  <si>
    <t>Fechadura para porta externa maçaneta em barra (fornecimento)</t>
  </si>
  <si>
    <t>Fechadura para Porta Externa com Espelho - Millenio</t>
  </si>
  <si>
    <t>SF-00409</t>
  </si>
  <si>
    <t>Fechadura para Porta de Banheiro com Espelho - Millenio</t>
  </si>
  <si>
    <t>SF-00410</t>
  </si>
  <si>
    <t>Fechadura para porta de divisória - Soprano</t>
  </si>
  <si>
    <t>SF-00411</t>
  </si>
  <si>
    <t>Tarjeta Livre / Ocupado para portas de banheiro</t>
  </si>
  <si>
    <t>SF-00412</t>
  </si>
  <si>
    <t>Fechadura tubular cilíndrica para porta de divisória</t>
  </si>
  <si>
    <t>SF-00413</t>
  </si>
  <si>
    <t>Fechadura Cilíndrica para Armário</t>
  </si>
  <si>
    <t>SF-00414</t>
  </si>
  <si>
    <t>Fechadura de embutir para armário e gaveta</t>
  </si>
  <si>
    <t>SF-00415</t>
  </si>
  <si>
    <t>Fechadura de embutir para móveis – Fechamento Superior - Referência 861</t>
  </si>
  <si>
    <t>SF-00416</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</si>
  <si>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</si>
  <si>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</si>
  <si>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</si>
  <si>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</si>
  <si>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</si>
  <si>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</si>
  <si>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</si>
  <si>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</si>
  <si>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</si>
  <si>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</si>
  <si>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</si>
  <si>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</si>
  <si>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</si>
  <si>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</si>
  <si>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</si>
  <si>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</si>
  <si>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</si>
  <si>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</si>
  <si>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</si>
  <si>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</si>
  <si>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</si>
  <si>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</si>
  <si>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SF-00428</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</si>
  <si>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</si>
  <si>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</si>
  <si>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</si>
  <si>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</si>
  <si>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</si>
  <si>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</si>
  <si>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</si>
  <si>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</si>
  <si>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</si>
  <si>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</si>
  <si>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</si>
  <si>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</si>
  <si>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</si>
  <si>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</si>
  <si>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</si>
  <si>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</si>
  <si>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</si>
  <si>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</si>
  <si>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</si>
  <si>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</si>
  <si>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</si>
  <si>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</si>
  <si>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</si>
  <si>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</si>
  <si>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</si>
  <si>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</si>
  <si>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</si>
  <si>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</si>
  <si>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</si>
  <si>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SF-00443</t>
  </si>
  <si>
    <t>SF-00444</t>
  </si>
  <si>
    <t>SF-00445</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</si>
  <si>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</si>
  <si>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</si>
  <si>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</si>
  <si>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</si>
  <si>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</si>
  <si>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</si>
  <si>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</si>
  <si>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</si>
  <si>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</si>
  <si>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</si>
  <si>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</si>
  <si>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</si>
  <si>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</si>
  <si>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</si>
  <si>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</si>
  <si>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</si>
  <si>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</si>
  <si>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</si>
  <si>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</si>
  <si>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</si>
  <si>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</si>
  <si>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</si>
  <si>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</si>
  <si>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</si>
  <si>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</si>
  <si>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</si>
  <si>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</si>
  <si>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</si>
  <si>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</si>
  <si>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</si>
  <si>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</si>
  <si>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</si>
  <si>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</si>
  <si>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</si>
  <si>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</si>
  <si>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</si>
  <si>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</si>
  <si>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</si>
  <si>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</si>
  <si>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</si>
  <si>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</si>
  <si>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</si>
  <si>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</si>
  <si>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SF-00468</t>
  </si>
  <si>
    <t>Adesivo de Contato à Base d’água</t>
  </si>
  <si>
    <t>SF-00469</t>
  </si>
  <si>
    <t>Adesivo de Contato de Alto Desempenho sem Toluol</t>
  </si>
  <si>
    <t>SF-00470</t>
  </si>
  <si>
    <t>Laminado fenólico melamínico texturizado - Azul Noturno</t>
  </si>
  <si>
    <t>SF-00471</t>
  </si>
  <si>
    <t>Laminado fenólico melamínico texturizado - Branco</t>
  </si>
  <si>
    <t>SF-00472</t>
  </si>
  <si>
    <t>Laminado fenólico melamínico texturizado - Ovo</t>
  </si>
  <si>
    <t>SF-00473</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</si>
  <si>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</si>
  <si>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</si>
  <si>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</si>
  <si>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</si>
  <si>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</si>
  <si>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</si>
  <si>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</si>
  <si>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</si>
  <si>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</si>
  <si>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</si>
  <si>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</si>
  <si>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</si>
  <si>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</si>
  <si>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</si>
  <si>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</si>
  <si>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</si>
  <si>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</si>
  <si>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</si>
  <si>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</si>
  <si>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</si>
  <si>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</si>
  <si>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</si>
  <si>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</si>
  <si>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</si>
  <si>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</si>
  <si>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</si>
  <si>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</si>
  <si>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</si>
  <si>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</si>
  <si>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SF-00489</t>
  </si>
  <si>
    <t>Tábua de Madeira bruta aparelhada - Pinus</t>
  </si>
  <si>
    <t>SF-00490</t>
  </si>
  <si>
    <t>Sarrafo De Madeira</t>
  </si>
  <si>
    <t>SF-00491</t>
  </si>
  <si>
    <t>Caibro De Madeira</t>
  </si>
  <si>
    <t>SF-00492</t>
  </si>
  <si>
    <t>Pontalete De Madeira</t>
  </si>
  <si>
    <t>SF-00493</t>
  </si>
  <si>
    <t>Ripa De Madeira</t>
  </si>
  <si>
    <t>SF-00494</t>
  </si>
  <si>
    <t>SF-00495</t>
  </si>
  <si>
    <t>SF-00496</t>
  </si>
  <si>
    <t>SF-00497</t>
  </si>
  <si>
    <t>SF-00498</t>
  </si>
  <si>
    <t>SF-00499</t>
  </si>
  <si>
    <t>SF-00500</t>
  </si>
  <si>
    <t>Cantoneira laminada em aço abas iguais 1" x 3/16"</t>
  </si>
  <si>
    <t>SF-00501</t>
  </si>
  <si>
    <t>Cantoneira laminada em aço abas iguais 1"1/4 x 3/16"</t>
  </si>
  <si>
    <t>SF-00502</t>
  </si>
  <si>
    <t>Cantoneira laminada em aço abas iguais 2” x 1/8”</t>
  </si>
  <si>
    <t>SF-00503</t>
  </si>
  <si>
    <t>Cantoneira laminada em aço abas Iguais 2” x 3/16”</t>
  </si>
  <si>
    <t>SF-00504</t>
  </si>
  <si>
    <t>Cantoneira laminada em aço abas Iguais 5/8” x 1/8”</t>
  </si>
  <si>
    <t>SF-00505</t>
  </si>
  <si>
    <t>Chapa aço galvanizado # 16 (kg)</t>
  </si>
  <si>
    <t>SF-00506</t>
  </si>
  <si>
    <t>Ferro chato 1"x1/8"</t>
  </si>
  <si>
    <t>SF-00507</t>
  </si>
  <si>
    <t>Ferro chato 1"x3/16"</t>
  </si>
  <si>
    <t>SF-00508</t>
  </si>
  <si>
    <t>Ferro chato  3/4"x1/4" ou 7/8"x1/4" ou 1” x 1/4”</t>
  </si>
  <si>
    <t>SF-00509</t>
  </si>
  <si>
    <t>Ferro chato 3/4"x1/8"</t>
  </si>
  <si>
    <t>SF-00510</t>
  </si>
  <si>
    <t>Ferro chato 3/4"x3/16"</t>
  </si>
  <si>
    <t>SF-00511</t>
  </si>
  <si>
    <t>Ferro chato 5/8"x1/8"</t>
  </si>
  <si>
    <t>SF-00512</t>
  </si>
  <si>
    <t>Ferro chato 5/8"x3/16"</t>
  </si>
  <si>
    <t>SF-00513</t>
  </si>
  <si>
    <t>Ferro chato 7/8"x1/8"</t>
  </si>
  <si>
    <t>SF-00514</t>
  </si>
  <si>
    <t>Ferro chato 7/8"x3/16"</t>
  </si>
  <si>
    <t>SF-00515</t>
  </si>
  <si>
    <t>SF-00516</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</si>
  <si>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</si>
  <si>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</si>
  <si>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</si>
  <si>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</si>
  <si>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</si>
  <si>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</si>
  <si>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</si>
  <si>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</si>
  <si>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</si>
  <si>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</si>
  <si>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</si>
  <si>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</si>
  <si>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</si>
  <si>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</si>
  <si>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</si>
  <si>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</si>
  <si>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</si>
  <si>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</si>
  <si>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</si>
  <si>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</si>
  <si>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</si>
  <si>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</si>
  <si>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</si>
  <si>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</si>
  <si>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</si>
  <si>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</si>
  <si>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</si>
  <si>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</si>
  <si>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</si>
  <si>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</si>
  <si>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</si>
  <si>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</si>
  <si>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</si>
  <si>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</si>
  <si>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</si>
  <si>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</si>
  <si>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</si>
  <si>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</si>
  <si>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</si>
  <si>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</si>
  <si>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</si>
  <si>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</si>
  <si>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</si>
  <si>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</si>
  <si>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</si>
  <si>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</si>
  <si>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</si>
  <si>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</si>
  <si>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</si>
  <si>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</si>
  <si>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</si>
  <si>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</si>
  <si>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</si>
  <si>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</si>
  <si>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</si>
  <si>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</si>
  <si>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</si>
  <si>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</si>
  <si>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</si>
  <si>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</si>
  <si>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</si>
  <si>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</si>
  <si>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</si>
  <si>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</si>
  <si>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</si>
  <si>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</si>
  <si>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</si>
  <si>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</si>
  <si>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</si>
  <si>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SF-00552</t>
  </si>
  <si>
    <t>SF-00553</t>
  </si>
  <si>
    <t>SF-00554</t>
  </si>
  <si>
    <t>SF-00555</t>
  </si>
  <si>
    <t>SF-00556</t>
  </si>
  <si>
    <t>Rolo</t>
  </si>
  <si>
    <t>SF-00557</t>
  </si>
  <si>
    <t>Tela de estuque</t>
  </si>
  <si>
    <t>SF-00558</t>
  </si>
  <si>
    <t>Tela tipo galinheiro (hexagonal) galvanizada 2" BWG 22</t>
  </si>
  <si>
    <t>SF-00559</t>
  </si>
  <si>
    <t>SF-00560</t>
  </si>
  <si>
    <t>Arame galvanizado nº 20</t>
  </si>
  <si>
    <t>SF-00561</t>
  </si>
  <si>
    <t>Tela em aço galvanizado, tipo alambrado, malha 2, fio 12</t>
  </si>
  <si>
    <t>SF-00562</t>
  </si>
  <si>
    <t>Massa Adesiva Plástica</t>
  </si>
  <si>
    <t>Argamassa Para Contrapiso</t>
  </si>
  <si>
    <t>40 kg</t>
  </si>
  <si>
    <t>Argamassa Múltiplo Uso</t>
  </si>
  <si>
    <t>Cimento Portland CP II E 32</t>
  </si>
  <si>
    <t>50 kg</t>
  </si>
  <si>
    <t>20 kg</t>
  </si>
  <si>
    <t>Gesso Para Uso Geral</t>
  </si>
  <si>
    <t>Areia Média</t>
  </si>
  <si>
    <t>Brita Nº 0</t>
  </si>
  <si>
    <t>Brita Nº 1</t>
  </si>
  <si>
    <t>Bloco Cerâmico De 08 Furos</t>
  </si>
  <si>
    <t>Tijolo Maciço</t>
  </si>
  <si>
    <t>Bloco De Concreto Com 02 Furos</t>
  </si>
  <si>
    <t>Bloco De Concreto Tipo Canaleta</t>
  </si>
  <si>
    <t>Arame Recozido Nº 18</t>
  </si>
  <si>
    <t>Adesivo Estrutural Epóxi Bicomponente</t>
  </si>
  <si>
    <t>SF-00582</t>
  </si>
  <si>
    <t>Adesivo Selante Poliuretano</t>
  </si>
  <si>
    <t>SF-00583</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</si>
  <si>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</si>
  <si>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</si>
  <si>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</si>
  <si>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</si>
  <si>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</si>
  <si>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</si>
  <si>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</si>
  <si>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</si>
  <si>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</si>
  <si>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</si>
  <si>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</si>
  <si>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</si>
  <si>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</si>
  <si>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</si>
  <si>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</si>
  <si>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</si>
  <si>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SF-00592</t>
  </si>
  <si>
    <t>Lona Plástica</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</si>
  <si>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</si>
  <si>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</si>
  <si>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</si>
  <si>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</si>
  <si>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</si>
  <si>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</si>
  <si>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</si>
  <si>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</si>
  <si>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</si>
  <si>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</si>
  <si>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</si>
  <si>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</si>
  <si>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</si>
  <si>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</si>
  <si>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</si>
  <si>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</si>
  <si>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</si>
  <si>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</si>
  <si>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</si>
  <si>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</si>
  <si>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</si>
  <si>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</si>
  <si>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</si>
  <si>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</si>
  <si>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</si>
  <si>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</si>
  <si>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</si>
  <si>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</si>
  <si>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</si>
  <si>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</si>
  <si>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</si>
  <si>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</si>
  <si>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</si>
  <si>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</si>
  <si>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</si>
  <si>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</si>
  <si>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</si>
  <si>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</si>
  <si>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</si>
  <si>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</si>
  <si>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</si>
  <si>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</si>
  <si>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</si>
  <si>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</si>
  <si>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</si>
  <si>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</si>
  <si>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</si>
  <si>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SF-00617</t>
  </si>
  <si>
    <t>SF-00618</t>
  </si>
  <si>
    <t>SF-00619</t>
  </si>
  <si>
    <t>SF-00620</t>
  </si>
  <si>
    <t>SF-00621</t>
  </si>
  <si>
    <t>SF-00622</t>
  </si>
  <si>
    <t>SF-00623</t>
  </si>
  <si>
    <t>Parafuso Philips Cabeça Chata - 3.5 x 22  mm</t>
  </si>
  <si>
    <t>SF-00624</t>
  </si>
  <si>
    <t>Parafuso Philips Cabeça Chata - 3.5 x 25 mm</t>
  </si>
  <si>
    <t>SF-00625</t>
  </si>
  <si>
    <t>SF-00626</t>
  </si>
  <si>
    <t>SF-00627</t>
  </si>
  <si>
    <t>SF-00628</t>
  </si>
  <si>
    <t>SF-00629</t>
  </si>
  <si>
    <t>SF-00630</t>
  </si>
  <si>
    <t>SF-00631</t>
  </si>
  <si>
    <t>SF-00632</t>
  </si>
  <si>
    <t>SF-00633</t>
  </si>
  <si>
    <t>SF-00634</t>
  </si>
  <si>
    <t>SF-00635</t>
  </si>
  <si>
    <t>SF-00636</t>
  </si>
  <si>
    <t>SF-00637</t>
  </si>
  <si>
    <t>Porca Tipo Borboleta – 1/4”</t>
  </si>
  <si>
    <t>SF-00638</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</si>
  <si>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</si>
  <si>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</si>
  <si>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</si>
  <si>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</si>
  <si>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</si>
  <si>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</si>
  <si>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</si>
  <si>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</si>
  <si>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</si>
  <si>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</si>
  <si>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</si>
  <si>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</si>
  <si>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</si>
  <si>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</si>
  <si>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</si>
  <si>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</si>
  <si>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</si>
  <si>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</si>
  <si>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</si>
  <si>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</si>
  <si>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</si>
  <si>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</si>
  <si>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</si>
  <si>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</si>
  <si>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</si>
  <si>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</si>
  <si>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</si>
  <si>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</si>
  <si>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</si>
  <si>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</si>
  <si>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</si>
  <si>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</si>
  <si>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</si>
  <si>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</si>
  <si>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</si>
  <si>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</si>
  <si>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</si>
  <si>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</si>
  <si>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</si>
  <si>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</si>
  <si>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</si>
  <si>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</si>
  <si>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</si>
  <si>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</si>
  <si>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</si>
  <si>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</si>
  <si>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</si>
  <si>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</si>
  <si>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</si>
  <si>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</si>
  <si>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</si>
  <si>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</si>
  <si>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</si>
  <si>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</si>
  <si>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</si>
  <si>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</si>
  <si>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</si>
  <si>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</si>
  <si>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</si>
  <si>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</si>
  <si>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</si>
  <si>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</si>
  <si>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</si>
  <si>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</si>
  <si>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</si>
  <si>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</si>
  <si>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</si>
  <si>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</si>
  <si>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</si>
  <si>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</si>
  <si>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</si>
  <si>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</si>
  <si>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</si>
  <si>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</si>
  <si>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</si>
  <si>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</si>
  <si>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</si>
  <si>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</si>
  <si>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</si>
  <si>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</si>
  <si>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</si>
  <si>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</si>
  <si>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</si>
  <si>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SF-00681</t>
  </si>
  <si>
    <t>Lonas</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</si>
  <si>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</si>
  <si>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</si>
  <si>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</si>
  <si>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</si>
  <si>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</si>
  <si>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</si>
  <si>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</si>
  <si>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</si>
  <si>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</si>
  <si>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</si>
  <si>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</si>
  <si>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</si>
  <si>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</si>
  <si>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</si>
  <si>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</si>
  <si>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</si>
  <si>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</si>
  <si>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</si>
  <si>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</si>
  <si>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</si>
  <si>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</si>
  <si>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</si>
  <si>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</si>
  <si>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</si>
  <si>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</si>
  <si>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</si>
  <si>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</si>
  <si>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</si>
  <si>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</si>
  <si>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</si>
  <si>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</si>
  <si>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</si>
  <si>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</si>
  <si>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</si>
  <si>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</si>
  <si>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</si>
  <si>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</si>
  <si>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</si>
  <si>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</si>
  <si>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</si>
  <si>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</si>
  <si>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</si>
  <si>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</si>
  <si>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</si>
  <si>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</si>
  <si>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</si>
  <si>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</si>
  <si>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</si>
  <si>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</si>
  <si>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</si>
  <si>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</si>
  <si>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</si>
  <si>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</si>
  <si>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</si>
  <si>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</si>
  <si>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</si>
  <si>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</si>
  <si>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</si>
  <si>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</si>
  <si>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</si>
  <si>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</si>
  <si>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</si>
  <si>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</si>
  <si>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SF-00718</t>
  </si>
  <si>
    <t>Alicate  de corte diagonal 6''</t>
  </si>
  <si>
    <t>SF-00719</t>
  </si>
  <si>
    <t>Alicate de pressão de 10"</t>
  </si>
  <si>
    <t>SF-00720</t>
  </si>
  <si>
    <t>Alicate meia cana 6''</t>
  </si>
  <si>
    <t>SF-00721</t>
  </si>
  <si>
    <t>SF-00722</t>
  </si>
  <si>
    <t>Alicate universal de 8"</t>
  </si>
  <si>
    <t>SF-00723</t>
  </si>
  <si>
    <t>Arco de serra</t>
  </si>
  <si>
    <t>SF-00724</t>
  </si>
  <si>
    <t>Aspirador de pó industrial</t>
  </si>
  <si>
    <t>SF-00725</t>
  </si>
  <si>
    <t>SF-00726</t>
  </si>
  <si>
    <t>Caixa para ferramenta sanfonada metálica com cadeado</t>
  </si>
  <si>
    <t>SF-00727</t>
  </si>
  <si>
    <t>Carretel com linha em caixa de pó para marcação</t>
  </si>
  <si>
    <t>SF-00728</t>
  </si>
  <si>
    <t>Carrinho de mão reforçado</t>
  </si>
  <si>
    <t>SF-00729</t>
  </si>
  <si>
    <t>Cavadeira articulada</t>
  </si>
  <si>
    <t>SF-00730</t>
  </si>
  <si>
    <t>Chave de fenda de 1/2" x 10"</t>
  </si>
  <si>
    <t>SF-00731</t>
  </si>
  <si>
    <t>SF-00732</t>
  </si>
  <si>
    <t>Chave de fenda de 3/16" x 5"</t>
  </si>
  <si>
    <t>SF-00733</t>
  </si>
  <si>
    <t>Chave Philips PH2 1/4" x 6"</t>
  </si>
  <si>
    <t>SF-00734</t>
  </si>
  <si>
    <t>Chave Philips PH3 5/16" x 8"</t>
  </si>
  <si>
    <t>SF-00735</t>
  </si>
  <si>
    <t>SF-00736</t>
  </si>
  <si>
    <t>Enxadão com cabo</t>
  </si>
  <si>
    <t>SF-00737</t>
  </si>
  <si>
    <t>Enxadão estreito com cabo</t>
  </si>
  <si>
    <t>SF-00738</t>
  </si>
  <si>
    <t>SF-00739</t>
  </si>
  <si>
    <t>Escada tipo tesoura e singela de fibra com 2 m</t>
  </si>
  <si>
    <t>SF-00740</t>
  </si>
  <si>
    <t>SF-00741</t>
  </si>
  <si>
    <t>Esmerilhadeira Angular 4,5’’</t>
  </si>
  <si>
    <t>SF-00742</t>
  </si>
  <si>
    <t>Esmerilhadeira Angular 7’’</t>
  </si>
  <si>
    <t>SF-00743</t>
  </si>
  <si>
    <t>Espátula forjada de 12 cm</t>
  </si>
  <si>
    <t>SF-00744</t>
  </si>
  <si>
    <t>Espátula forjada de 4 cm</t>
  </si>
  <si>
    <t>SF-00745</t>
  </si>
  <si>
    <t>Espátula forjada de 8 cm</t>
  </si>
  <si>
    <t>SF-00746</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</si>
  <si>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</si>
  <si>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</si>
  <si>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</si>
  <si>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</si>
  <si>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</si>
  <si>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</si>
  <si>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</si>
  <si>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</si>
  <si>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</si>
  <si>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</si>
  <si>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</si>
  <si>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</si>
  <si>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</si>
  <si>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de 1/4’’, 4-13 mm</t>
  </si>
  <si>
    <t>SF-00754</t>
  </si>
  <si>
    <t>Kit Parafusadeira de Impacto à Bateria</t>
  </si>
  <si>
    <t>SF-00755</t>
  </si>
  <si>
    <t>SF-00756</t>
  </si>
  <si>
    <t>Marreta de 1 kg</t>
  </si>
  <si>
    <t>SF-00757</t>
  </si>
  <si>
    <t>SF-00758</t>
  </si>
  <si>
    <t>SF-00759</t>
  </si>
  <si>
    <t>SF-00760</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</si>
  <si>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</si>
  <si>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</si>
  <si>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</si>
  <si>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</si>
  <si>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</si>
  <si>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</si>
  <si>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</si>
  <si>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</si>
  <si>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</si>
  <si>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</si>
  <si>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</si>
  <si>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</si>
  <si>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</si>
  <si>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</si>
  <si>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</si>
  <si>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</si>
  <si>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SF-00769</t>
  </si>
  <si>
    <t>Prumo de centro</t>
  </si>
  <si>
    <t>SF-00770</t>
  </si>
  <si>
    <t>Prumo de parede</t>
  </si>
  <si>
    <t>SF-00771</t>
  </si>
  <si>
    <t>SF-00772</t>
  </si>
  <si>
    <t>SF-00773</t>
  </si>
  <si>
    <t>SF-00774</t>
  </si>
  <si>
    <t>Serrote de costa</t>
  </si>
  <si>
    <t>SF-00775</t>
  </si>
  <si>
    <t>SF-00776</t>
  </si>
  <si>
    <t>Tesoura de chapas tipo aviação</t>
  </si>
  <si>
    <t>SF-00777</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</si>
  <si>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</si>
  <si>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</si>
  <si>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</si>
  <si>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</si>
  <si>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</si>
  <si>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</si>
  <si>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</si>
  <si>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</si>
  <si>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</si>
  <si>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</si>
  <si>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</si>
  <si>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</si>
  <si>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</si>
  <si>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</si>
  <si>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</si>
  <si>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</si>
  <si>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</si>
  <si>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</si>
  <si>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</si>
  <si>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</si>
  <si>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</si>
  <si>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</si>
  <si>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</si>
  <si>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</si>
  <si>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</si>
  <si>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</si>
  <si>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</si>
  <si>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</si>
  <si>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</si>
  <si>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</si>
  <si>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</si>
  <si>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</si>
  <si>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</si>
  <si>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</si>
  <si>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</si>
  <si>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</si>
  <si>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</si>
  <si>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</si>
  <si>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</si>
  <si>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</si>
  <si>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</si>
  <si>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</si>
  <si>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</si>
  <si>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</si>
  <si>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</si>
  <si>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</si>
  <si>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</si>
  <si>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</si>
  <si>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</si>
  <si>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</si>
  <si>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</si>
  <si>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</si>
  <si>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</si>
  <si>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</si>
  <si>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</si>
  <si>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SF-00806</t>
  </si>
  <si>
    <t>Maçarico para gás GLP</t>
  </si>
  <si>
    <t>SF-00807</t>
  </si>
  <si>
    <t>SF-00808</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</si>
  <si>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</si>
  <si>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</si>
  <si>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</si>
  <si>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</si>
  <si>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</si>
  <si>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</si>
  <si>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</si>
  <si>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</si>
  <si>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</si>
  <si>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</si>
  <si>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SF-00814</t>
  </si>
  <si>
    <t>Desempenadeira de aço lisa</t>
  </si>
  <si>
    <t>SF-00815</t>
  </si>
  <si>
    <t>Desempenadeira estriada em PVC 14 x 27 cm</t>
  </si>
  <si>
    <t>SF-00816</t>
  </si>
  <si>
    <t>Desempenadeira lisa em PVC 18 x 30 cm</t>
  </si>
  <si>
    <t>SF-00817</t>
  </si>
  <si>
    <t>Martelete demolidor 1,7 kW (12 kg)</t>
  </si>
  <si>
    <t>SF-00818</t>
  </si>
  <si>
    <t>SF-00819</t>
  </si>
  <si>
    <t>SF-00820</t>
  </si>
  <si>
    <t>Trado perfurador para terra manual 25 cm</t>
  </si>
  <si>
    <t>SF-00821</t>
  </si>
  <si>
    <t>Plataforma de trabalho aéreo articulada</t>
  </si>
  <si>
    <t>dia</t>
  </si>
  <si>
    <t>SF-00822</t>
  </si>
  <si>
    <t>SF-00823</t>
  </si>
  <si>
    <t>Camisa polo manga curta com logotipo da empresa na frente e indicação da categoria profissional nas costas</t>
  </si>
  <si>
    <t>pç</t>
  </si>
  <si>
    <t>SF-00824</t>
  </si>
  <si>
    <t>Camisa polo manga longa com logotipo da empresa na frente e indicação da categoria profissional nas costas</t>
  </si>
  <si>
    <t>SF-00825</t>
  </si>
  <si>
    <t>SF-00826</t>
  </si>
  <si>
    <t>Gorros com pala (boné) na mesma cor da camisa</t>
  </si>
  <si>
    <t>SF-00827</t>
  </si>
  <si>
    <t>SF-00828</t>
  </si>
  <si>
    <t>SF-00829</t>
  </si>
  <si>
    <t>Capa de chuva</t>
  </si>
  <si>
    <t>SF-00830</t>
  </si>
  <si>
    <t>Capacete de segurança</t>
  </si>
  <si>
    <t>SF-00831</t>
  </si>
  <si>
    <t>Cinto de segurança tipo paraquedista</t>
  </si>
  <si>
    <t>SF-00832</t>
  </si>
  <si>
    <t>Lanterna profissional</t>
  </si>
  <si>
    <t>SF-00833</t>
  </si>
  <si>
    <t>Lanterna para capacete</t>
  </si>
  <si>
    <t>SF-00834</t>
  </si>
  <si>
    <t>Luva de borracha</t>
  </si>
  <si>
    <t>SF-00835</t>
  </si>
  <si>
    <t>Máscara de proteção respiratória com válvula e com película de carbono FFP2</t>
  </si>
  <si>
    <t>SF-00836</t>
  </si>
  <si>
    <t>SF-00837</t>
  </si>
  <si>
    <t>SF-00838</t>
  </si>
  <si>
    <t>Protetor Facial</t>
  </si>
  <si>
    <t>SF-00839</t>
  </si>
  <si>
    <t>SF-00840</t>
  </si>
  <si>
    <t>Talabarte em Y</t>
  </si>
  <si>
    <t>SF-00841</t>
  </si>
  <si>
    <t>SF-00842</t>
  </si>
  <si>
    <t>SF-00843</t>
  </si>
  <si>
    <t>Uniforme Antichamas de Proteção Contra Arcos Elétricos</t>
  </si>
  <si>
    <t>Instalação de vidro (comum, temperado, aramado ou laminado) reaproveitado</t>
  </si>
  <si>
    <t>Vidro temperado incolor com 8mm de espessura</t>
  </si>
  <si>
    <t>Vidro liso comum transparente 5mm</t>
  </si>
  <si>
    <t>SF-00847</t>
  </si>
  <si>
    <t>Corte em vidro ou espelho reaproveitado</t>
  </si>
  <si>
    <t>SF-00848</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</si>
  <si>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</si>
  <si>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</si>
  <si>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</si>
  <si>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</si>
  <si>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</si>
  <si>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</si>
  <si>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</si>
  <si>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</si>
  <si>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</si>
  <si>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</si>
  <si>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</si>
  <si>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</si>
  <si>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</si>
  <si>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</si>
  <si>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</si>
  <si>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</si>
  <si>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</si>
  <si>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</si>
  <si>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para acabamento de trilho superior</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</si>
  <si>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</si>
  <si>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</si>
  <si>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</si>
  <si>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</si>
  <si>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</si>
  <si>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</si>
  <si>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</si>
  <si>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</si>
  <si>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</si>
  <si>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</si>
  <si>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</si>
  <si>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SF-00882</t>
  </si>
  <si>
    <t>Suporte tipo “Spiderglass” para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</si>
  <si>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</si>
  <si>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</si>
  <si>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</si>
  <si>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</si>
  <si>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</si>
  <si>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</si>
  <si>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Trinco sem miolo para vidro temperado</t>
  </si>
  <si>
    <t>Veda fresta adesivo “E” branco</t>
  </si>
  <si>
    <t>Regulagem de ferragens</t>
  </si>
  <si>
    <t>Puxador em aço inox sob medida – Tipo B</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</si>
  <si>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</si>
  <si>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</si>
  <si>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</si>
  <si>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</si>
  <si>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</si>
  <si>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</si>
  <si>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</si>
  <si>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</si>
  <si>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45cm, para portas de vidro temperado</t>
  </si>
  <si>
    <t>Transporte de vidros</t>
  </si>
  <si>
    <t>m2 x km</t>
  </si>
  <si>
    <t>Recuperação de massa em esquadria metálica</t>
  </si>
  <si>
    <t>Instalação de espelho reaproveitado</t>
  </si>
  <si>
    <t>Finesson (parafuso de fixação francês)</t>
  </si>
  <si>
    <t>Remoção de mola hidráulica de piso</t>
  </si>
  <si>
    <t>Escavação manual de valas</t>
  </si>
  <si>
    <t>Reaterro de vala com compactação mecanizada</t>
  </si>
  <si>
    <t>Aterro de vala com compactação mecanizada</t>
  </si>
  <si>
    <t>Tubo de cobre classe "E" 28 mm</t>
  </si>
  <si>
    <t>Assento para bacia convencional - Linha Acessibilidade</t>
  </si>
  <si>
    <t>Base registro de gaveta 1 1/2”</t>
  </si>
  <si>
    <t>Montagem e desmontagem de andaime fachadeiro</t>
  </si>
  <si>
    <t>Montagem e desmontagem de andaime tubular</t>
  </si>
  <si>
    <t>SF-00939</t>
  </si>
  <si>
    <t>Tensor com indicador de tensão para linha de vida</t>
  </si>
  <si>
    <t>SF-00941</t>
  </si>
  <si>
    <t>Plataforma de trabalho aéreo tesoura</t>
  </si>
  <si>
    <t>Remoção de folha de porta de enrolar</t>
  </si>
  <si>
    <t>Base registro de gaveta 1"</t>
  </si>
  <si>
    <t>Base registro de pressão 3/4"</t>
  </si>
  <si>
    <t>SF-00945</t>
  </si>
  <si>
    <t>Porta para box de banheiro em laminado estrutural</t>
  </si>
  <si>
    <t>Arquiteto(a) com experiência em intervenção no patrimônio cultural</t>
  </si>
  <si>
    <t xml:space="preserve">hh </t>
  </si>
  <si>
    <t>Locação de andaime suspenso tipo leve</t>
  </si>
  <si>
    <t xml:space="preserve">un x mês </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</si>
  <si>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</si>
  <si>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</si>
  <si>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</si>
  <si>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</si>
  <si>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</si>
  <si>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com emulsão asfáltica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</si>
  <si>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</si>
  <si>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</si>
  <si>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</si>
  <si>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</si>
  <si>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</si>
  <si>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</si>
  <si>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</si>
  <si>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</si>
  <si>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</si>
  <si>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SF-00963</t>
  </si>
  <si>
    <t>Fixadores metálicos para rochas ornamentais, sob medida</t>
  </si>
  <si>
    <t>SF-00969</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</si>
  <si>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</si>
  <si>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</si>
  <si>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</si>
  <si>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</si>
  <si>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</si>
  <si>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revestimento)</t>
  </si>
  <si>
    <t>Rejuntamento de placas de rocha ornamental em fachada</t>
  </si>
  <si>
    <t>Junta de movimentação em fachada</t>
  </si>
  <si>
    <t>Adesivo Selante Poliuretano – fornecimento e aplicação</t>
  </si>
  <si>
    <t>SF-00979</t>
  </si>
  <si>
    <t>Esquadria para fachada do Bloco 14</t>
  </si>
  <si>
    <t>Chuveiro elétrico</t>
  </si>
  <si>
    <t xml:space="preserve">m3 </t>
  </si>
  <si>
    <t>Pavimentação em concreto armado simples</t>
  </si>
  <si>
    <t>Remoção de reservatório d’água</t>
  </si>
  <si>
    <t>Transporte e destinação final de entulho para distâncias até 30 km</t>
  </si>
  <si>
    <t>m3 x km</t>
  </si>
  <si>
    <t>SF-00985</t>
  </si>
  <si>
    <t>Locação de Caminhão Munck</t>
  </si>
  <si>
    <t>Demolição de estrutura metálica</t>
  </si>
  <si>
    <t xml:space="preserve">kg </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</si>
  <si>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</si>
  <si>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</si>
  <si>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</si>
  <si>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</si>
  <si>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</si>
  <si>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</si>
  <si>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SF-00993</t>
  </si>
  <si>
    <t>Carpete aveludado azul royal</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</si>
  <si>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</si>
  <si>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</si>
  <si>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</si>
  <si>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</si>
  <si>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</si>
  <si>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</si>
  <si>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</si>
  <si>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</si>
  <si>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</si>
  <si>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 xml:space="preserve">pavimento </t>
  </si>
  <si>
    <t>SF-00999</t>
  </si>
  <si>
    <t>Trava quedas retrátil</t>
  </si>
  <si>
    <t>SF-01000</t>
  </si>
  <si>
    <t>Locação de Container - Escritório</t>
  </si>
  <si>
    <t xml:space="preserve">mês </t>
  </si>
  <si>
    <t>SF-01002</t>
  </si>
  <si>
    <t>Dobradiça Piano</t>
  </si>
  <si>
    <t>SF-01003</t>
  </si>
  <si>
    <t>SF-01004</t>
  </si>
  <si>
    <t>Compensado Laminado de Imbuia em duas faces - 10 mm</t>
  </si>
  <si>
    <t>SF-01005</t>
  </si>
  <si>
    <t>SF-01006</t>
  </si>
  <si>
    <t>Compensado Laminado de Freijó em duas faces - 10 mm</t>
  </si>
  <si>
    <t>SF-01007</t>
  </si>
  <si>
    <t>SF-01008</t>
  </si>
  <si>
    <t>SF-01009</t>
  </si>
  <si>
    <t>Estrutura metálica em aço – Bloco 19 (Centro de Treinamento)</t>
  </si>
  <si>
    <t>SF-01010</t>
  </si>
  <si>
    <t>Mão francesa metálica</t>
  </si>
  <si>
    <t>Abertura/fechamento de rasgo em concreto</t>
  </si>
  <si>
    <t>Recomposição de rejuntamento sobre revestimentos</t>
  </si>
  <si>
    <t>Impermeabilização de revestimentos em pedra</t>
  </si>
  <si>
    <t>Piso vinílico semiflexível</t>
  </si>
  <si>
    <t>SF-01015</t>
  </si>
  <si>
    <t>SF-01016</t>
  </si>
  <si>
    <t>Porta metálica de giro com dimensões 0,92 x 2,35 m</t>
  </si>
  <si>
    <t>SF-01017</t>
  </si>
  <si>
    <t>SF-01018</t>
  </si>
  <si>
    <t>SF-01019</t>
  </si>
  <si>
    <t>SF-01020</t>
  </si>
  <si>
    <t>SF-01021</t>
  </si>
  <si>
    <t>SF-01022</t>
  </si>
  <si>
    <t>SF-01023</t>
  </si>
  <si>
    <t>SF-01024</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</si>
  <si>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</si>
  <si>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</si>
  <si>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</si>
  <si>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</si>
  <si>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</si>
  <si>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</si>
  <si>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</si>
  <si>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</si>
  <si>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</si>
  <si>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</si>
  <si>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</si>
  <si>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SF-01032</t>
  </si>
  <si>
    <t>Supervisor(a) de Obras e Manutenção – Apoio a Projetos de Obras – Arquitetura, civil e hidrossanitária</t>
  </si>
  <si>
    <t>SF-01033</t>
  </si>
  <si>
    <t>Supervisor de Obras e Manutenção - Apoio a Projetos e Obras - Eletromecânico</t>
  </si>
  <si>
    <t>SF-01034</t>
  </si>
  <si>
    <t>Supervisor de Obras e Manutenção – Apoio a projetos e obras - Orçamentos</t>
  </si>
  <si>
    <t>SF-01035</t>
  </si>
  <si>
    <t>Supervisor de Obras e Manutenção – Apoio de campo – Sistemas de climatização</t>
  </si>
  <si>
    <t>SF-01036</t>
  </si>
  <si>
    <t>Supervisor de Obras e Manutenção – Apoio de campo - Elevadores</t>
  </si>
  <si>
    <t>SF-01037</t>
  </si>
  <si>
    <t>Supervisor de Obras e Manutenção – Apoio de campo - Eletrotécnico</t>
  </si>
  <si>
    <t>SF-01038</t>
  </si>
  <si>
    <t>Supervisor de Obras e Manutenção – Apoio de Campo - Obras Civis</t>
  </si>
  <si>
    <t>SF-01039</t>
  </si>
  <si>
    <t>Supervisor de Obras e Manutenção – Apoio de Campo - Hidrossanitário</t>
  </si>
  <si>
    <t>SF-01040</t>
  </si>
  <si>
    <t>Supervisor de Obras e Manutenção – Apoio de campo – Planejamento</t>
  </si>
  <si>
    <t>Supervisor de Obras e Manutenção – Apoio de campo – Segurança do Trabalho</t>
  </si>
  <si>
    <t>SF-01042</t>
  </si>
  <si>
    <t>Máquina fotográfica digital</t>
  </si>
  <si>
    <t>SF-01043</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</si>
  <si>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</si>
  <si>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</si>
  <si>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</si>
  <si>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</si>
  <si>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</si>
  <si>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</si>
  <si>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</si>
  <si>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</si>
  <si>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</si>
  <si>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</si>
  <si>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</si>
  <si>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</si>
  <si>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</si>
  <si>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SF-01051</t>
  </si>
  <si>
    <t>Prancheta portátil A3</t>
  </si>
  <si>
    <t>SF-01052</t>
  </si>
  <si>
    <t>Luva isolante</t>
  </si>
  <si>
    <t xml:space="preserve">Reparo de placas de mármore com adesivo estrutural epóxi branco/transparente </t>
  </si>
  <si>
    <t>Perfil de chapa de aço galvanizado para esquadria (Anexo 1)</t>
  </si>
  <si>
    <t>SF-01055</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</si>
  <si>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</si>
  <si>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</si>
  <si>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</si>
  <si>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</si>
  <si>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</si>
  <si>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</si>
  <si>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</si>
  <si>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</si>
  <si>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Porta metálica de enrolar</t>
  </si>
  <si>
    <t>Medidor de Gás</t>
  </si>
  <si>
    <t>Registro Esfera para Gás 3/4”</t>
  </si>
  <si>
    <t>Eletroduto PEAD 3”</t>
  </si>
  <si>
    <t>SF-01067</t>
  </si>
  <si>
    <t>Caixa de Proteção para Alimentação de Gás</t>
  </si>
  <si>
    <t>Eletroduto de aço galvanizado de 3”</t>
  </si>
  <si>
    <t>Grelha reta para ralo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</si>
  <si>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</si>
  <si>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</si>
  <si>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</si>
  <si>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</si>
  <si>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</si>
  <si>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</si>
  <si>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</si>
  <si>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</si>
  <si>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</si>
  <si>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</si>
  <si>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</si>
  <si>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</si>
  <si>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SF-01081</t>
  </si>
  <si>
    <t>Alimentação para mão-de-obra indireta</t>
  </si>
  <si>
    <t>Transporte para mão-de-obra indireta</t>
  </si>
  <si>
    <t>SF-01084</t>
  </si>
  <si>
    <t>Transporte de andaime</t>
  </si>
  <si>
    <t>SF-01085</t>
  </si>
  <si>
    <t>Transporte de Container</t>
  </si>
  <si>
    <t>SF-01086</t>
  </si>
  <si>
    <t>Coifa Convencional Tipo Caixa para Cozinha Industrial - Bloco 15 (Espaço do Servidor)</t>
  </si>
  <si>
    <t>SF-01087</t>
  </si>
  <si>
    <t>Puxador com fecho embutido (punho) para janela metálica</t>
  </si>
  <si>
    <t>SF-01091</t>
  </si>
  <si>
    <t>Painel metálico para retorno</t>
  </si>
  <si>
    <t>SF-01095</t>
  </si>
  <si>
    <t>SF-01096</t>
  </si>
  <si>
    <t>SF-01099</t>
  </si>
  <si>
    <t>SF-01100</t>
  </si>
  <si>
    <t>Eletroduto flexível metálico com capa de PVC 1 1/2"</t>
  </si>
  <si>
    <t>Técnico(a) em Edificações - Planejamento de Manutenção</t>
  </si>
  <si>
    <t>SF-01103</t>
  </si>
  <si>
    <t>Locação de Retroescavadeira com Pá Carregadeira sobre Rodas</t>
  </si>
  <si>
    <t>Projeto de Impermeabilização</t>
  </si>
  <si>
    <t>Laminado decorativo de alta pressão (LDAP)</t>
  </si>
  <si>
    <t>Granitina para revestimento de pisos</t>
  </si>
  <si>
    <t>Piso vinílico flexível em manta</t>
  </si>
  <si>
    <t>Tratamento de juntas de dilatação ou movimentação</t>
  </si>
  <si>
    <t>Recuperação superficial de preparação para pintura epóxi de alto desempenho</t>
  </si>
  <si>
    <t>Piso de borracha antiderrapante tipo moeda</t>
  </si>
  <si>
    <t>Forro monolítico de gesso em placas</t>
  </si>
  <si>
    <t>Pintura Eletrostática</t>
  </si>
  <si>
    <t>Pintura com tinta acrílica (pisos)</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</si>
  <si>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</si>
  <si>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</si>
  <si>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</si>
  <si>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</si>
  <si>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</si>
  <si>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</si>
  <si>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</si>
  <si>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</si>
  <si>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t>
  </si>
  <si>
    <t>Telha metálica trapezoidal galvanizada - GR-40</t>
  </si>
  <si>
    <t>Cumeeira para telha metálica trapezoidal galvanizada - GR-40</t>
  </si>
  <si>
    <t>Telha metálica trapezoidal galvanizada - GR-25</t>
  </si>
  <si>
    <t>Cumeeira para telha metálica trapezoidal galvanizada - GR-25</t>
  </si>
  <si>
    <t>Cumeeira articulada ABA SUPERIOR de fibrocimento para telha modulada - espessura 6 mm</t>
  </si>
  <si>
    <t>Cumeeira articulada ABA INFERIOR de fibrocimento para telha modulada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</si>
  <si>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</si>
  <si>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</si>
  <si>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</si>
  <si>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</si>
  <si>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</si>
  <si>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</si>
  <si>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</si>
  <si>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</si>
  <si>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</si>
  <si>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</si>
  <si>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</si>
  <si>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</si>
  <si>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</si>
  <si>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</si>
  <si>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</si>
  <si>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</si>
  <si>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</si>
  <si>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</si>
  <si>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</si>
  <si>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</si>
  <si>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</si>
  <si>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</si>
  <si>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</si>
  <si>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Resina de Poliuretano para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</si>
  <si>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</si>
  <si>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</si>
  <si>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</si>
  <si>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</si>
  <si>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</si>
  <si>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Concreto leve com poliestireno expandido</t>
  </si>
  <si>
    <t>Colagem da camada de proteção térmica de impermeabilização</t>
  </si>
  <si>
    <t>Impermeabilização com Membrana de Poliuretano</t>
  </si>
  <si>
    <t>Impermeabilização com Manta Asfáltica</t>
  </si>
  <si>
    <t>Impermeabilização com manta asfáltica aluminizada</t>
  </si>
  <si>
    <t>Impermeabilização com manta elastomérica de etileno-propileno-dieno-monômero (EPDM)</t>
  </si>
  <si>
    <t>Impermeabilização com membrana acrílica</t>
  </si>
  <si>
    <t>Asfalto elastomérico para colagem de manta asfáltica</t>
  </si>
  <si>
    <t>Impermeabilização com manta dupla (com maçarico)</t>
  </si>
  <si>
    <t>Impermeabilização com manta dupla (com asfalto elastomérico)</t>
  </si>
  <si>
    <t>SF-01178</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</si>
  <si>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</si>
  <si>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</si>
  <si>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</si>
  <si>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</si>
  <si>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</si>
  <si>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</si>
  <si>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</si>
  <si>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</si>
  <si>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</si>
  <si>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SF-01184</t>
  </si>
  <si>
    <t>Calha em chapa de zinco # 24 - Modelo 1</t>
  </si>
  <si>
    <t>SF-01185</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</si>
  <si>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</si>
  <si>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</si>
  <si>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</si>
  <si>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</si>
  <si>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</si>
  <si>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</si>
  <si>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</si>
  <si>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</si>
  <si>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</si>
  <si>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</si>
  <si>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</si>
  <si>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</si>
  <si>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</si>
  <si>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</si>
  <si>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SF-01193</t>
  </si>
  <si>
    <t>SF-01194</t>
  </si>
  <si>
    <t>SF-01195</t>
  </si>
  <si>
    <t>SF-01196</t>
  </si>
  <si>
    <t>Conjunto de escovas de aço (pequena, média e grande)</t>
  </si>
  <si>
    <t>SF-01197</t>
  </si>
  <si>
    <t>Marreta de 2 kg</t>
  </si>
  <si>
    <t>SF-01198</t>
  </si>
  <si>
    <t>Marreta de 5 kg</t>
  </si>
  <si>
    <t>SF-01199</t>
  </si>
  <si>
    <t>Marreta de 10 kg</t>
  </si>
  <si>
    <t>SF-01200</t>
  </si>
  <si>
    <t>SF-01201</t>
  </si>
  <si>
    <t>SF-01202</t>
  </si>
  <si>
    <t>Serra copo diamantada (conjunto de 1/2" a 1 1/2")</t>
  </si>
  <si>
    <t>SF-01203</t>
  </si>
  <si>
    <t>Cortadora de Piso a Gasolina</t>
  </si>
  <si>
    <t>SF-01204</t>
  </si>
  <si>
    <t>Cortadora de Parede</t>
  </si>
  <si>
    <t>SF-01205</t>
  </si>
  <si>
    <t>Enxada com cabo (2,5 libras)</t>
  </si>
  <si>
    <t>SF-01206</t>
  </si>
  <si>
    <t>Escada extensível de alumínio dupla 2x8</t>
  </si>
  <si>
    <t>SF-01207</t>
  </si>
  <si>
    <t>Escada extensível de alumínio dupla 2x12</t>
  </si>
  <si>
    <t>SF-01208</t>
  </si>
  <si>
    <t>Escada tipo tesoura duplo acesso de fibra com 12 degraus</t>
  </si>
  <si>
    <t>SF-01209</t>
  </si>
  <si>
    <t>SF-01210</t>
  </si>
  <si>
    <t>Furadeira/Parafusadeira elétrica</t>
  </si>
  <si>
    <t>SF-01211</t>
  </si>
  <si>
    <t>Furadeira de impacto/parafusadeira à bateria</t>
  </si>
  <si>
    <t>SF-01212</t>
  </si>
  <si>
    <t>Jogo de Bits pontas e soquetes para Furadeira/ Parafusadeira</t>
  </si>
  <si>
    <t>SF-01213</t>
  </si>
  <si>
    <t>SF-01214</t>
  </si>
  <si>
    <t>SF-01215</t>
  </si>
  <si>
    <t>SF-01216</t>
  </si>
  <si>
    <t>Pistola aplicadora de silicone e PU</t>
  </si>
  <si>
    <t>SF-01217</t>
  </si>
  <si>
    <t>Serra mármore</t>
  </si>
  <si>
    <t>SF-01218</t>
  </si>
  <si>
    <t>Serrote para gesso</t>
  </si>
  <si>
    <t>SF-01219</t>
  </si>
  <si>
    <t>Talha Manual para Elevação de Cargas (2 ton)</t>
  </si>
  <si>
    <t>SF-01220</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</si>
  <si>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</si>
  <si>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</si>
  <si>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</si>
  <si>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</si>
  <si>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</si>
  <si>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</si>
  <si>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</si>
  <si>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</si>
  <si>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SF-01225</t>
  </si>
  <si>
    <t>Manta autocolante aluminizada</t>
  </si>
  <si>
    <t>SF-01226</t>
  </si>
  <si>
    <t>Primer para aplicação de manta autocolante aluminizada</t>
  </si>
  <si>
    <t>SF-01227</t>
  </si>
  <si>
    <t>SF-01228</t>
  </si>
  <si>
    <t>SF-01229</t>
  </si>
  <si>
    <t>SF-01230</t>
  </si>
  <si>
    <t>Modernização dos elevadores dos Blocos C, D e G da SQS 309</t>
  </si>
  <si>
    <t>SF-01231</t>
  </si>
  <si>
    <t>Carpete aveludado azul royal - fornecimento e instalação</t>
  </si>
  <si>
    <t>Demolição de revestimento de piso têxtil (carpete)</t>
  </si>
  <si>
    <t>SF-01234</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</si>
  <si>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</si>
  <si>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</si>
  <si>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</si>
  <si>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</si>
  <si>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</si>
  <si>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</si>
  <si>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</si>
  <si>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</si>
  <si>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</si>
  <si>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</si>
  <si>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</si>
  <si>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</si>
  <si>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</si>
  <si>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</si>
  <si>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</si>
  <si>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</si>
  <si>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CUSTO DIRETO TOTAL</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</si>
  <si>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</si>
  <si>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</si>
  <si>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</si>
  <si>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</si>
  <si>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MISTURADOR DE ARGAMASSA, EIXO HORIZONTAL, CAPACIDADE DE MISTURA 300 KG, MOTOR ELÉTRICO POTÊNCIA 5 CV - CHP DIURNO. AF_06/2014</t>
  </si>
  <si>
    <t>PERFURATRIZ HIDRÁULICA SOBRE CAMINHÃO COM TRADO CURTO ACOPLADO, PROFUNDIDADE MÁXIMA DE 20 M, DIÂMETRO MÁXIMO DE 1500 MM, POTÊNCIA INSTALADA DE 137 HP, MESA ROTATIVA COM TORQUE MÁXIMO DE 30 KNM - CHP DIURNO. AF_06/2015</t>
  </si>
  <si>
    <t>GUINDASTE HIDRÁULICO AUTOPROPELIDO, COM LANÇA TELESCÓPICA 40 M, CAPACIDADE MÁXIMA 60 T, POTÊNCIA 260 KW - CHP DIURNO. AF_03/2016</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</si>
  <si>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</si>
  <si>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</si>
  <si>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</si>
  <si>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CHI DIURNO. AF_06/2014</t>
  </si>
  <si>
    <t>MISTURADOR DE ARGAMASSA, EIXO HORIZONTAL, CAPACIDADE DE MISTURA 300 KG, MOTOR ELÉTRICO POTÊNCIA 5 CV - CHI DIURNO. AF_06/2014</t>
  </si>
  <si>
    <t>PERFURATRIZ HIDRÁULICA SOBRE CAMINHÃO COM TRADO CURTO ACOPLADO, PROFUNDIDADE MÁXIMA DE 20 M, DIÂMETRO MÁXIMO DE 1500 MM, POTÊNCIA INSTALADA DE 137 HP, MESA ROTATIVA COM TORQUE MÁXIMO DE 30 KNM - CHI DIURNO. AF_06/2015</t>
  </si>
  <si>
    <t>GUINDASTE HIDRÁULICO AUTOPROPELIDO, COM LANÇA TELESCÓPICA 40 M, CAPACIDADE MÁXIMA 60 T, POTÊNCIA 260 KW - CHI DIURNO. AF_03/2016</t>
  </si>
  <si>
    <t>MÁQUINA DEMARCADORA DE FAIXA DE TRÁFEGO À FRIO, AUTOPROPELIDA, POTÊNCIA 38 HP - CHI DIURNO. AF_07/2016</t>
  </si>
  <si>
    <t>FABRICAÇÃO DE FÔRMA PARA PILARES E ESTRUTURAS SIMILARES, EM MADEIRA SERRADA, E=25 MM. AF_12/2015</t>
  </si>
  <si>
    <t>ARMAÇÃO VERTICAL DE ALVENARIA ESTRUTURAL; DIÂMETRO DE 10,0 MM. AF_01/2015</t>
  </si>
  <si>
    <t>ARMAÇÃO DE CINTA DE ALVENARIA ESTRUTURAL; DIÂMETRO DE 10,0 MM. AF_01/2015</t>
  </si>
  <si>
    <t>ARMAÇÃO DE LAJE DE UMA ESTRUTURA CONVENCIONAL DE CONCRETO ARMADO EM UMA EDIFICAÇÃO TÉRREA OU SOBRADO UTILIZANDO AÇO CA-60 DE 5,0 MM - MONTAGEM. AF_12/2015</t>
  </si>
  <si>
    <t>CORTE E DOBRA DE AÇO CA-50, DIÂMETRO DE 16,0 MM, UTILIZADO EM ESTRUTURAS DIVERSAS, EXCETO LAJES. AF_12/2015</t>
  </si>
  <si>
    <t>CORTE E DOBRA DE AÇO CA-60, DIÂMETRO DE 5,0 MM, UTILIZADO EM LAJE. AF_12/2015</t>
  </si>
  <si>
    <t>CORTE E DOBRA DE AÇO CA-25, DIÂMETRO DE 16,0 MM. AF_12/2015</t>
  </si>
  <si>
    <t>CONCRETO FCK = 20MPA, TRAÇO 1:2,7:3 (CIMENTO/ AREIA MÉDIA/ BRITA 1)  - PREPARO MECÂNICO COM BETONEIRA 400 L. AF_07/2016</t>
  </si>
  <si>
    <t>CONCRETO FCK = 25MPA, TRAÇO 1:2,3:2,7 (CIMENTO/ AREIA MÉDIA/ BRITA 1)  - PREPARO MECÂNICO COM BETONEIRA 600 L. AF_07/2016</t>
  </si>
  <si>
    <t>CONCRETO FCK = 30MPA, TRAÇO 1:2,1:2,5 (CIMENTO/ AREIA MÉDIA/ BRITA 1)  - PREPARO MECÂNICO COM BETONEIRA 600 L. AF_07/2016</t>
  </si>
  <si>
    <t>PEÇA RETANGULAR PRÉ-MOLDADA, VOLUME DE CONCRETO DE 10 A 30 LITROS, TAXA DE AÇO APROXIMADA DE 30KG/M³. AF_01/2018</t>
  </si>
  <si>
    <t>PEÇA RETANGULAR PRÉ-MOLDADA, VOLUME DE CONCRETO DE 30 A 100 LITROS, TAXA DE AÇO APROXIMADA DE 30KG/M³. AF_01/2018</t>
  </si>
  <si>
    <t>FIXAÇÃO DE TUBOS HORIZONTAIS DE PVC, CPVC OU COBRE DIÂMETROS MENORES OU IGUAIS A 40 MM OU ELETROCALHAS ATÉ 150MM DE LARGURA, COM ABRAÇADEIRA METÁLICA RÍGIDA TIPO D 1/2,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</si>
  <si>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</si>
  <si>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</si>
  <si>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UTILIZANDO PARAFUSO E BUCHA DE NYLON, SOMENTE MÃO DE OBRA. AF_10/2016</t>
  </si>
  <si>
    <t>EMBOÇO, PARA RECEBIMENTO DE CERÂMICA, EM ARGAMASSA TRAÇO 1:2:8, PREPARO MECÂNICO COM BETONEIRA 400L, APLICADO MANUALMENTE EM FACES INTERNAS DE PAREDES, PARA AMBIENTE COM ÁREA MENOR QUE 5M2, ESPESSURA DE 10MM, COM EXECUÇÃO DE TALISCAS. AF_06/2014</t>
  </si>
  <si>
    <t>ARGAMASSA TRAÇO 1:1:6 (EM VOLUME DE CIMENTO, CAL E AREIA MÉDIA ÚMIDA) PARA EMBOÇO/MASSA ÚNICA/ASSENTAMENTO DE ALVENARIA DE VEDAÇÃO, PREPARO MECÂNICO COM BETONEIRA 400 L. AF_08/2019</t>
  </si>
  <si>
    <t>ARGAMASSA TRAÇO 1:3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</si>
  <si>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</si>
  <si>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</si>
  <si>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</si>
  <si>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ARGAMASSA TRAÇO 1:2:9 (EM VOLUME DE CIMENTO, CAL E AREIA MÉDIA ÚMIDA) PARA EMBOÇO/MASSA ÚNICA/ASSENTAMENTO DE ALVENARIA DE VEDAÇÃO, PREPARO MECÂNICO COM BETONEIRA 400 L. AF_08/2019</t>
  </si>
  <si>
    <t>MARCAÇÃO DE PONTOS EM GABARITO OU CAVALETE. AF_10/2018</t>
  </si>
  <si>
    <t>AJUDANTE DE OPERAÇÃO EM GERAL COM ENCARGOS COMPLEMENTARES</t>
  </si>
  <si>
    <t>ASSENTADOR DE TUBOS COM ENCARGOS COMPLEMENTARES</t>
  </si>
  <si>
    <t>AUXILIAR DE TOPÓGRAFO COM ENCARGOS COMPLEMENTARES</t>
  </si>
  <si>
    <t>ELETROTÉCNICO COM ENCARGOS COMPLEMENTARES</t>
  </si>
  <si>
    <t>MARCENEIRO COM ENCARGOS COMPLEMENTARES</t>
  </si>
  <si>
    <t>MARMORISTA/GRANITEIRO COM ENCARGOS COMPLEMENTARES</t>
  </si>
  <si>
    <t>MECÃNICO DE EQUIPAMENTOS PESADOS COM ENCARGOS COMPLEMENTARES</t>
  </si>
  <si>
    <t>SOLDADOR COM ENCARGOS COMPLEMENTARES</t>
  </si>
  <si>
    <t>VIDRACEIRO COM ENCARGOS COMPLEMENTARES</t>
  </si>
  <si>
    <t>ARQUITETO DE OBRA PLENO COM ENCARGOS COMPLEMENTARES</t>
  </si>
  <si>
    <t>AUXILIAR DE ESCRITORIO COM ENCARGOS COMPLEMENTARES</t>
  </si>
  <si>
    <t>DESENHISTA PROJETISTA COM ENCARGOS COMPLEMENTARES</t>
  </si>
  <si>
    <t>ENCARREGADO GERAL COM ENCARGOS COMPLEMENTARES</t>
  </si>
  <si>
    <t>ENGENHEIRO CIVIL DE OBRA JUNIOR COM ENCARGOS COMPLEMENTARES</t>
  </si>
  <si>
    <t>MESTRE DE OBRAS COM ENCARGOS COMPLEMENTARES</t>
  </si>
  <si>
    <t>TOPOGRAFO COM ENCARGOS COMPLEMENTARES</t>
  </si>
  <si>
    <t>ENGENHEIRO ELETRICISTA COM ENCARGOS COMPLEMENTARES</t>
  </si>
  <si>
    <t>AUXILIAR DE ALMOXARIFE COM ENCARGOS COMPLEMENTARES</t>
  </si>
  <si>
    <t>AJUDANTE DE PINTOR COM ENCARGOS COMPLEMENTARES</t>
  </si>
  <si>
    <t>MECÂNICO DE REFRIGERAÇÃO COM ENCARGOS COMPLEMENTARES</t>
  </si>
  <si>
    <t>ADESIVO ESTRUTURAL A BASE DE RESINA EPOXI, BICOMPONENTE, FLUIDO</t>
  </si>
  <si>
    <t>ADESIVO PARA TUBOS CPVC, *75* G</t>
  </si>
  <si>
    <t>ARAME GALVANIZADO 16 BWG, D = 1,65MM (0,0166 KG/M)</t>
  </si>
  <si>
    <t>CANTONEIRA ALUMINIO ABAS IGUAIS 1 ", E = 3 /16 "</t>
  </si>
  <si>
    <t>CHAPA DE ACO GALVANIZADA BITOLA GSG 16, E = 1,55 MM (12,40 KG/M2)</t>
  </si>
  <si>
    <t>CHAPA DE LAMINADO MELAMINICO, TEXTURIZADO, DE *1,25 X 3,08* M, E = 0,8 MM</t>
  </si>
  <si>
    <t>CHAPA DE MDF BRANCO LISO 1 FACE, E = 6 MM, DE *2,75 X 1,85* M</t>
  </si>
  <si>
    <t>CHAPA DE MDF BRANCO LISO 2 FACES, E = 15 MM, DE *2,75 X 1,85* M</t>
  </si>
  <si>
    <t>CHAPA DE MDF BRANCO LISO 2 FACES, E = 18 MM, DE *2,75 X 1,85* M</t>
  </si>
  <si>
    <t>CONCRETO USINADO BOMBEAVEL, CLASSE DE RESISTENCIA C20, COM BRITA 0 E 1, SLUMP = 100 +/- 20 MM, EXCLUI SERVICO DE BOMBEAMENTO (NBR 8953)</t>
  </si>
  <si>
    <t>ENDURECEDOR MINERAL DE BASE CIMENTICIA PARA PISO DE CONCRETO</t>
  </si>
  <si>
    <t>LAMPADA FLUORESCENTE COMPACTA 2U BRANCA 15 W, BASE E27 (127/220 V)</t>
  </si>
  <si>
    <t>LUMINARIA PLAFON REDONDO COM VIDRO FOSCO DIAMETRO *30* CM, PARA 2 LAMPADAS, BASE E27, POTENCIA MAXIMA 40/60 W (NAO INCLUI LAMPADAS)</t>
  </si>
  <si>
    <t>MASSA PLASTICA PARA MARMORE/GRANITO</t>
  </si>
  <si>
    <t>PISO DE BORRACHA PASTILHADO EM PLACAS 50 X 50 CM, E = *3,5* MM, PARA COLA, PRETO</t>
  </si>
  <si>
    <t>PREGO DE ACO POLIDO COM CABECA DUPLA 17 X 27 (2 1/2 X 11)</t>
  </si>
  <si>
    <t>PREGO DE ACO POLIDO SEM CABECA 15 X 15 (1 1/4 X 13)</t>
  </si>
  <si>
    <t>PULSADOR CAMPAINHA 10A, 250V (APENAS MODULO)</t>
  </si>
  <si>
    <t>QUADRO DE DISTRIBUICAO COM BARRAMENTO TRIFASICO, DE SOBREPOR, EM CHAPA DE ACO GALVANIZADO, PARA 18 DISJUNTORES DIN, 100 A</t>
  </si>
  <si>
    <t>RODAPE DE MADEIRA MACICA CUMARU/IPE CHAMPANHE OU EQUIVALENTE DA REGIAO, *1,5 X 7 CM</t>
  </si>
  <si>
    <t>SUPORTE MAO-FRANCESA EM ACO, ABAS IGUAIS 40 CM, CAPACIDADE MINIMA 70 KG, BRANCO</t>
  </si>
  <si>
    <t>TE MISTURADOR DE TRANSICAO, CPVC, COM ROSCA, 22 MM X 3/4", PARA AGUA QUENTE</t>
  </si>
  <si>
    <t>TELA DE ARAME GALVANIZADA QUADRANGULAR / LOSANGULAR, FIO 2,77 MM (12 BWG), MALHA 5 X 5 CM, H = 2 M</t>
  </si>
  <si>
    <t>TELA EM METAL PARA ESTUQUE (DEPLOYE)</t>
  </si>
  <si>
    <t>TELA PLASTICA LARANJA, TIPO TAPUME PARA SINALIZACAO, MALHA RETANGULAR, ROLO 1.20 X 50 M (L X C)</t>
  </si>
  <si>
    <t>TELHA TRAPEZOIDAL EM ACO ZINCADO, SEM PINTURA, ALTURA DE APROXIMADAMENTE 40 MM, ESPESSURA DE 0,50 MM E LARGURA UTIL DE 980 MM</t>
  </si>
  <si>
    <t>TUBO ACO CARBONO SEM COSTURA 8", E= *8,18 MM, SCHEDULE 40, *42,55 KG/M</t>
  </si>
  <si>
    <t>TUBO CPVC, SOLDAVEL, 22 MM, AGUA QUENTE PREDIAL (NBR 15884)</t>
  </si>
  <si>
    <t>TUBO CPVC, SOLDAVEL, 28 MM, AGUA QUENTE PREDIAL (NBR 15884)</t>
  </si>
  <si>
    <t>TUBO MULTICAMADA PEX, DN *26* MM, PARA INSTALACOES A GAS (AMARELO)</t>
  </si>
  <si>
    <t>TUBO MULTICAMADA PEX, DN 20 MM, PARA INSTALACOES A GAS (AMARELO)</t>
  </si>
  <si>
    <t>VEU POLIESTER</t>
  </si>
  <si>
    <t>Obs: considerando rendimento informado na especificação técnica de um dos produtos indicados como referência comercial (Lata de 3,6L rende até 75 m²/demão).</t>
  </si>
  <si>
    <t>Obs: considerando rendimento informado na especificação técnica de produto equivalente da Suvinil (Lata de 3,6L rende até 100 m²/demão).</t>
  </si>
  <si>
    <t>Alicate torquês de 8"</t>
  </si>
  <si>
    <t>SF-01235</t>
  </si>
  <si>
    <t>SF-01236</t>
  </si>
  <si>
    <t>SF-01237</t>
  </si>
  <si>
    <t>SF-01238</t>
  </si>
  <si>
    <t>SF-01239</t>
  </si>
  <si>
    <t>SF-01240</t>
  </si>
  <si>
    <t>SF-01241</t>
  </si>
  <si>
    <t>SF-01242</t>
  </si>
  <si>
    <t>SF-01243</t>
  </si>
  <si>
    <t>SF-01244</t>
  </si>
  <si>
    <t>SF-01245</t>
  </si>
  <si>
    <t>SF-01246</t>
  </si>
  <si>
    <t>SF-01247</t>
  </si>
  <si>
    <t>SF-01248</t>
  </si>
  <si>
    <t>SF-01249</t>
  </si>
  <si>
    <t>SF-01250</t>
  </si>
  <si>
    <t>SF-01251</t>
  </si>
  <si>
    <t>SF-01252</t>
  </si>
  <si>
    <t>SF-01253</t>
  </si>
  <si>
    <t>SF-01254</t>
  </si>
  <si>
    <t>SF-01255</t>
  </si>
  <si>
    <t>SF-01256</t>
  </si>
  <si>
    <t>SF-01257</t>
  </si>
  <si>
    <t>SF-01258</t>
  </si>
  <si>
    <t>SF-01259</t>
  </si>
  <si>
    <t>SF-01260</t>
  </si>
  <si>
    <t>SF-01261</t>
  </si>
  <si>
    <t>SF-01262</t>
  </si>
  <si>
    <t>SF-01263</t>
  </si>
  <si>
    <t>SF-01264</t>
  </si>
  <si>
    <t>SF-01265</t>
  </si>
  <si>
    <t>SF-01266</t>
  </si>
  <si>
    <t>SF-01267</t>
  </si>
  <si>
    <t>SF-01268</t>
  </si>
  <si>
    <t>SF-01269</t>
  </si>
  <si>
    <t>SF-01270</t>
  </si>
  <si>
    <t>SF-01271</t>
  </si>
  <si>
    <t>SF-01272</t>
  </si>
  <si>
    <t>SF-01273</t>
  </si>
  <si>
    <t>SF-01274</t>
  </si>
  <si>
    <t>SF-01275</t>
  </si>
  <si>
    <t>SF-01276</t>
  </si>
  <si>
    <t>SF-01277</t>
  </si>
  <si>
    <t>SF-01278</t>
  </si>
  <si>
    <t>SF-01279</t>
  </si>
  <si>
    <t>SF-01280</t>
  </si>
  <si>
    <t>SF-01281</t>
  </si>
  <si>
    <t>SF-01282</t>
  </si>
  <si>
    <t>SF-01283</t>
  </si>
  <si>
    <t>SF-01284</t>
  </si>
  <si>
    <t>SF-01285</t>
  </si>
  <si>
    <t>SF-01286</t>
  </si>
  <si>
    <t>SF-01287</t>
  </si>
  <si>
    <t>SF-01288</t>
  </si>
  <si>
    <t>SF-01289</t>
  </si>
  <si>
    <t>SF-01290</t>
  </si>
  <si>
    <t>SF-01291</t>
  </si>
  <si>
    <t>Bancada em granito cinza andorinha polido - 2,40 m x 0,60 m</t>
  </si>
  <si>
    <t>Bancada em granito cinza andorinha polido - 2,50 m x 0,60 m</t>
  </si>
  <si>
    <t>Pedido de autorização ambiental para desativação do posto de combustíveis</t>
  </si>
  <si>
    <t>Relatório de Investigação de Passivo Ambiental - RIPA</t>
  </si>
  <si>
    <t>Remoção do Sistema de Abastecimento Subterrâneo de Combustíveis - SASC</t>
  </si>
  <si>
    <t>Batedor/limitador inferior para box de correr</t>
  </si>
  <si>
    <t>Batedor/amortecedor lateral para box de correr</t>
  </si>
  <si>
    <t>Batedor/limitador superior para box de correr</t>
  </si>
  <si>
    <t>Bacia convencional – Linha Residencial</t>
  </si>
  <si>
    <t>Bidê 3 furos - Linha Residencial</t>
  </si>
  <si>
    <t>Divisória de Vidro temperado para box de CORRER e ferragens – Linha Residencial</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</si>
  <si>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</si>
  <si>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</si>
  <si>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</si>
  <si>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</si>
  <si>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</si>
  <si>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</si>
  <si>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</si>
  <si>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</si>
  <si>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</si>
  <si>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</si>
  <si>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</si>
  <si>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</si>
  <si>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Remoção de boiler</t>
  </si>
  <si>
    <t>Remoção de tacos de madeira</t>
  </si>
  <si>
    <t>Instalação de tacos de madeira reaproveitados</t>
  </si>
  <si>
    <t>Cortina de linho sintético / BLECAUTE COM VARÃO – Linha Residencial</t>
  </si>
  <si>
    <t>Cortina de linho sintético / BLECAUTE SEM VARÃO – Linha Residencial</t>
  </si>
  <si>
    <t>Cortina de linho sintético / FORRO COM VARÃO – Linha Residencial</t>
  </si>
  <si>
    <t>Cortina de linho sintético / FORRO SEM VARÃO – Linha Residencial</t>
  </si>
  <si>
    <t>Instalação de cortinas reaproveitadas</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</si>
  <si>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</si>
  <si>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</si>
  <si>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</si>
  <si>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</si>
  <si>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</si>
  <si>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</si>
  <si>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</si>
  <si>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</si>
  <si>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</si>
  <si>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Acabamento Passa-fio 59mm</t>
  </si>
  <si>
    <t>Difusor em acrílico e aro metálico para luminárias (modelo Edifício Principal - INTERIOR)</t>
  </si>
  <si>
    <t>Difusor em acrílico e aro metálico para luminárias (modelo Edifício Principal - EXTERIOR)</t>
  </si>
  <si>
    <t>Difusor em acrílico e presilhas metálicas para luminárias (modelo Comissões)</t>
  </si>
  <si>
    <t>SF-01292</t>
  </si>
  <si>
    <t>SF-01293</t>
  </si>
  <si>
    <t>SF-01294</t>
  </si>
  <si>
    <t>ARAME RECOZIDO 16 BWG, D = 1,65 MM (0,016 KG/M) OU 18 BWG, D = 1,25 MM (0,01 KG/M)</t>
  </si>
  <si>
    <t>REJUNTE EPOXI, QUALQUER COR</t>
  </si>
  <si>
    <t>TIJOLO CERAMICO MACICO COMUM *5 X 10 X 20* CM (L X A X C)</t>
  </si>
  <si>
    <t>TUBO ACO CARBONO SEM COSTURA 1 1/4", E= *3,56 MM, SCHEDULE 40, *3,38* KG/M</t>
  </si>
  <si>
    <t>TUBO ACO CARBONO SEM COSTURA 1", E= *3,38 MM, SCHEDULE 40, *2,50* KG/M</t>
  </si>
  <si>
    <t>TUBO ACO CARBONO SEM COSTURA 5", E= *6,55 MM, SCHEDULE 40, *21,75* KG/M</t>
  </si>
  <si>
    <t>TRANSPORTE COM CAMINHÃO BASCULANTE DE 6 M³, EM VIA URBANA PAVIMENTADA, DMT ATÉ 30 KM (UNIDADE: TXKM).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</si>
  <si>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</si>
  <si>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</si>
  <si>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</si>
  <si>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</si>
  <si>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</si>
  <si>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T).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</si>
  <si>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</si>
  <si>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</si>
  <si>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Telha estrutural de fibrocimento esp. 8 mm largura útil 49 cm</t>
  </si>
  <si>
    <t>Massa rápida para recuperação</t>
  </si>
  <si>
    <t>Argamassa para recuperação</t>
  </si>
  <si>
    <t>Primer à base de resina acrílica</t>
  </si>
  <si>
    <t>Cumeeira metálica galvanizada GR 25 com espessura de 0,43 mm.</t>
  </si>
  <si>
    <t>Cumeeira metálica galvanizada GR 40 com espessura de 0,43 mm.</t>
  </si>
  <si>
    <t>Revestimento impermabilizante bloqueador de umidade</t>
  </si>
  <si>
    <t>Obs 1: Considerando consumo do adesivo estrutural 1,8 kg / m² / mm.</t>
  </si>
  <si>
    <t>Obs 2: Considerando consumo do selante 100 ml / cm de espessura.</t>
  </si>
  <si>
    <t>Zero</t>
  </si>
  <si>
    <t>Diferenciado</t>
  </si>
  <si>
    <t>Batentes e guarnições em madeira, com verniz ou esmalte</t>
  </si>
  <si>
    <t>Batedor/limitador inferior para box de correr, em material polimérico sintético</t>
  </si>
  <si>
    <t>Batedor/amortecedor lateral de borracha para box de correr.</t>
  </si>
  <si>
    <t>Batedor/limitador superior para roldana de box de correr, em material polimérico sintético</t>
  </si>
  <si>
    <t>Fonte: http://www.alpuxadores.com.br/baixar/catalogo.pdf</t>
  </si>
  <si>
    <t>Ref.: AL Indústria Ref.: AL-63</t>
  </si>
  <si>
    <t>Ref.: AL Indústria Ref.: AL-BX-02</t>
  </si>
  <si>
    <t>Ref.: AL Indústria Ref.: AL-BX-07</t>
  </si>
  <si>
    <t>Ref.: AL Indústria Ref.: AL-BX-08</t>
  </si>
  <si>
    <t>Ref.: AL Indústria Ref.: AL-BX-03</t>
  </si>
  <si>
    <t>Ref.: AL Indústria Ref.: AL-BX-01</t>
  </si>
  <si>
    <t>Ref.: AL Indústria Ref.: AL-BX-05</t>
  </si>
  <si>
    <t>Ref.: AL Indústria Ref.: AL-BX-06</t>
  </si>
  <si>
    <t>Misturador de mesa para cozinha, bica móvel, cromado. Ref.: Deca Aspen 1256.C35 ou equivalente</t>
  </si>
  <si>
    <t>Misturador para bidê, ref: Deca Aspen 1895.C35 ou equivalente</t>
  </si>
  <si>
    <t>Bidê 3 furos branco ref: Deca Vogue Plus B.5.17 ou equivalente</t>
  </si>
  <si>
    <t>Chuveiro de metal cromado com tubo de parede, crivo regulável e restritor de vazão. Ref.: Deca Aspen 1967.C.CT ou equivalente</t>
  </si>
  <si>
    <t>Bacia Sanitária convencional branca ref: Deca Vogue Plus P.5.17 ou equivalente</t>
  </si>
  <si>
    <t>Misturador para lavatório de mesa bica alta, cromado. Ref.: Deca Aspen 1877.C35 ou equivalente</t>
  </si>
  <si>
    <t>Misturador de parede para cozinha, cromada. Ref.: Deca Aspen 1258.C35 ou equivalente</t>
  </si>
  <si>
    <t>Dobradiça metálica automática para vidro/vidro, utilizada em Box de vidro temperado, com porta de abrir. Ref.: Santa Marina, 1129.</t>
  </si>
  <si>
    <t>Lâmpada fluorescente compacta, 23W, ref: OSRAM Duluxstar DST STICK 23 W/865 220V E27</t>
  </si>
  <si>
    <t>Luminária tipo arandela, de sobrepor, dimensões (em mm) 250 x 250 x 73, base E27. Ref.: Taschibra-Arandela Embaú; Bronzearte - Bambu</t>
  </si>
  <si>
    <t>Base de válvula de descarga 1 1/2”</t>
  </si>
  <si>
    <t>Base de válvula de descarga 1 1/4”</t>
  </si>
  <si>
    <t>Cerâmica 30x60xm Glacier White (26109E) – Linha White Home – Portobello, ou similar</t>
  </si>
  <si>
    <t>Aquecedor elétrico individual automático, 5000W, 220V</t>
  </si>
  <si>
    <t>Prateleira com base em resina, com acabamento cromado. Ref: Deca Flex 2031.C.FLX ou equivalente</t>
  </si>
  <si>
    <t>Saboneteira com base em resina de alta resistência com espessura com acabamento cromado. Ref: Deca Flex 2010.C.FLX ou equivalente</t>
  </si>
  <si>
    <t>Campainha eletrônica de dois tons, 70 dB,  220V</t>
  </si>
  <si>
    <t>SF-01295</t>
  </si>
  <si>
    <t>Bandeira de porta, em madeira e MDF</t>
  </si>
  <si>
    <t>SF-01296</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</si>
  <si>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</si>
  <si>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</si>
  <si>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</si>
  <si>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</si>
  <si>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</si>
  <si>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</si>
  <si>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</si>
  <si>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</si>
  <si>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</si>
  <si>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</si>
  <si>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</si>
  <si>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</si>
  <si>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</si>
  <si>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</si>
  <si>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</si>
  <si>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</si>
  <si>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</si>
  <si>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</si>
  <si>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</si>
  <si>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</si>
  <si>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</si>
  <si>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</si>
  <si>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</si>
  <si>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</si>
  <si>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</si>
  <si>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</si>
  <si>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</si>
  <si>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SF-01310</t>
  </si>
  <si>
    <t>Cambota elastomérica de 8”</t>
  </si>
  <si>
    <t>SF-01311</t>
  </si>
  <si>
    <t>Curva raio curto 45° em aço carbono para solda de topo DN 125 (5" NPS)</t>
  </si>
  <si>
    <t>SF-01312</t>
  </si>
  <si>
    <t>Curva raio curto 90° em aço carbono para solda de topo DN 125 (5" NPS)</t>
  </si>
  <si>
    <t>SF-01313</t>
  </si>
  <si>
    <t>Curva raio longo 90° em aço carbono para solda de topo DN 125 (5" NPS)</t>
  </si>
  <si>
    <t>SF-01314</t>
  </si>
  <si>
    <t>Curva raio longo 90° em aço carbono para solda de topo DN 200 (8" NPS)</t>
  </si>
  <si>
    <t>SF-01315</t>
  </si>
  <si>
    <t>Eliminador de ar para líquidos DN 20 (3/4" NPS)</t>
  </si>
  <si>
    <t>SF-01316</t>
  </si>
  <si>
    <t>Flange de pescoço, aço carbono, classe 150, DN 125 (5" NPS)</t>
  </si>
  <si>
    <t>SF-01317</t>
  </si>
  <si>
    <t>Isolamento elastomérico para tubulações de ferro de 5”</t>
  </si>
  <si>
    <t>SF-01318</t>
  </si>
  <si>
    <t>Meia luva em aço carbono DN 15 (1/2" NPS)</t>
  </si>
  <si>
    <t>SF-01319</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</si>
  <si>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</si>
  <si>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</si>
  <si>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</si>
  <si>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</si>
  <si>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</si>
  <si>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</si>
  <si>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</si>
  <si>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</si>
  <si>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</si>
  <si>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</si>
  <si>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</si>
  <si>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SF-01325</t>
  </si>
  <si>
    <t>Tê em aço carbono para solda de topo DN 200 (8" NPS)</t>
  </si>
  <si>
    <t>SF-01326</t>
  </si>
  <si>
    <t>Tubo de aço-carbono preto DN 125 (5" NPS)</t>
  </si>
  <si>
    <t>SF-01327</t>
  </si>
  <si>
    <t>Tubo de aço-carbono preto DN 200 (8" NPS)</t>
  </si>
  <si>
    <t>SF-01328</t>
  </si>
  <si>
    <t>Válvula de esfera em bronze 1/2”</t>
  </si>
  <si>
    <t>SF-01329</t>
  </si>
  <si>
    <t>Válvula gaveta com flange DN 125 (5" NPS)</t>
  </si>
  <si>
    <t>SF-01330</t>
  </si>
  <si>
    <t>Ar-condicionado split hi-wall inverter 18.000 BTU/h</t>
  </si>
  <si>
    <t>SF-01331</t>
  </si>
  <si>
    <t>Cabo de fibra óptica monomodo 12 fibras</t>
  </si>
  <si>
    <t>SF-01332</t>
  </si>
  <si>
    <t>Cabo de fibra óptica monomodo 144 fibras</t>
  </si>
  <si>
    <t>SF-01333</t>
  </si>
  <si>
    <t>SF-01334</t>
  </si>
  <si>
    <t>SF-01335</t>
  </si>
  <si>
    <t>Projeto Executivo de Rede de Telecomunicações Backbone</t>
  </si>
  <si>
    <t>SF-01336</t>
  </si>
  <si>
    <t>Eletroduto PEAD 2”</t>
  </si>
  <si>
    <t>SF-01337</t>
  </si>
  <si>
    <t>Furo direcional por método não-destrutivo com fornecimento de duto</t>
  </si>
  <si>
    <t>SF-01338</t>
  </si>
  <si>
    <t>Sondagem por Radar de Penetração de Solo - GPR</t>
  </si>
  <si>
    <t>SF-01339</t>
  </si>
  <si>
    <t>Tampa em Ferro Fundido - Circular DN-600 mm Classe 400</t>
  </si>
  <si>
    <t>Cambota elastomérica de 8" para suporte de tubulação industrial</t>
  </si>
  <si>
    <t>Curva raio curto 45° em aço carbono para solda de topo, SCH 40, DN 125 (5" NPS)</t>
  </si>
  <si>
    <t>Curva raio curto 90° em aço carbono para solda de topo, SCH 40, DN 125 (5" NPS)</t>
  </si>
  <si>
    <t>Curva raio longo 90° em aço carbono para solda de topo, SCH 40, DN 125 (5" NPS)</t>
  </si>
  <si>
    <t>Curva raio longo 90° em aço carbono para solda de topo, SCH 40, DN 200 (8" NPS)</t>
  </si>
  <si>
    <t>Eliminador de ar para líquidos com pressão máxima de operação de 10,5 kgf/cm2 (150 psi), DN 20 (3/4" NPS), conexão roscada</t>
  </si>
  <si>
    <t>Flange de pescoço em aço carbono, classe 150, DN 125 (5" NPS)</t>
  </si>
  <si>
    <t>isolamento elastomérico em formato de tubo ou coquilha de espessura M, próprio para tubulações de ferro de diâmetro nominal 5”. Ref.: AF/Armaflex M-48, K-Flex ST</t>
  </si>
  <si>
    <t>Meia luva em aço carbono, classe 3000 lbs, rosca BSP ou NPT, DN 15 (1/2" NPS)</t>
  </si>
  <si>
    <t>Redução concêntrica em aço carbono para solda de topo, SCH 40, diâmetro DN 200 (8" NPS) × DN 125 (5" NPS)</t>
  </si>
  <si>
    <t>Tê em aço carbono para solda de topo, SCH 40, diâmetro DN 200 (8" NPS)</t>
  </si>
  <si>
    <t>Cabo constituído por 12 fibras ópticas do tipo monomodo (9/125μm)</t>
  </si>
  <si>
    <t>Cabo constituído por 144 fibras ópticas do tipo monomodo (9/125μm)</t>
  </si>
  <si>
    <t>Chuveiro elétrico 7800W, 220V. Ref: Lorenzetti Acqua Storm Ultra</t>
  </si>
  <si>
    <t>FABRICAÇÃO DE FÔRMA PARA VIGAS, EM CHAPA DE MADEIRA COMPENSADA RESINADA, E = 17 MM. AF_09/2020</t>
  </si>
  <si>
    <t>FABRICAÇÃO DE FÔRMA PARA PILARES E ESTRUTURAS SIMILARES, EM MADEIRA SERRADA, E=25 MM. AF_09/2020</t>
  </si>
  <si>
    <t>FABRICAÇÃO DE ESCORAS DE VIGA DO TIPO GARFO, EM MADEIRA. AF_09/2020</t>
  </si>
  <si>
    <t>MONTAGEM E DESMONTAGEM DE FÔRMA DE PILARES RETANGULARES E ESTRUTURAS SIMILARES, PÉ-DIREITO SIMPLES, EM MADEIRA SERRADA, 2 UTILIZAÇÕES. AF_09/2020</t>
  </si>
  <si>
    <t>PREPARO DE FUNDO DE VALA COM LARGURA MAIOR OU IGUAL A 1,5 M E MENOR QUE 2,5 M (ACERTO DO SOLO NATURAL). AF_08/2020</t>
  </si>
  <si>
    <t>PREPARO DE FUNDO DE VALA COM LARGURA MENOR QUE 1,5 M, COM CAMADA DE BRITA, LANÇAMENTO MANUAL. AF_08/2020</t>
  </si>
  <si>
    <t>PREPARO DE FUNDO DE VALA COM LARGURA MENOR QUE 1,5 M, COM CAMADA DE BRITA, LANÇAMENTO MECANIZADO. AF_08/2020</t>
  </si>
  <si>
    <t>Obs.2: Inclusão de composições (abertas) Sinapi 100973 e 97914.</t>
  </si>
  <si>
    <t>Armário em MDF laminado com porta e módulo de gaveta – Linha Residencial</t>
  </si>
  <si>
    <t>GESSO EM PO PARA REVESTIMENTOS/MOLDURAS/SANCAS E USO GERAL</t>
  </si>
  <si>
    <t>LONA PLASTICA EXTRA FORTE PRETA, E = 200 MICRA</t>
  </si>
  <si>
    <t>MASSA DE REJUNTE EM PO PARA DRYWALL, A BASE DE GESSO, SECAGEM RAPIDA, PARA TRATAMENTO DE JUNTAS DE CHAPA DE GESSO (NECESSITA ADICAO DE AGUA)</t>
  </si>
  <si>
    <t>MEIO-FIO OU GUIA DE CONCRETO, PRE-MOLDADO, COMP 1 M, *30 X 12/15* CM (H X L1/L2)</t>
  </si>
  <si>
    <t>PLACA / CHAPA DE GESSO ACARTONADO, STANDARD (ST), COR BRANCA, E = 12,5 MM, 1200 X 2400 MM (L X C)</t>
  </si>
  <si>
    <t>PLACA DE GESSO PARA FORRO, *60 X 60* CM, ESPESSURA DE 12 MM (SEM COLOCACAO)</t>
  </si>
  <si>
    <t>PONTALETE *7,5 X 7,5* CM EM PINUS, MISTA OU EQUIVALENTE DA REGIAO - BRUTA</t>
  </si>
  <si>
    <t>SARRAFO *2,5 X 10* CM EM PINUS, MISTA OU EQUIVALENTE DA REGIAO - BRUTA</t>
  </si>
  <si>
    <t>SARRAFO *2,5 X 7,5* CM EM PINUS, MISTA OU EQUIVALENTE DA REGIAO - BRUTA</t>
  </si>
  <si>
    <t>TABUA *2,5 X 30 CM EM PINUS, MISTA OU EQUIVALENTE DA REGIAO - BRUTA</t>
  </si>
  <si>
    <t>SF-01340</t>
  </si>
  <si>
    <t>Válvula solenóide para gás</t>
  </si>
  <si>
    <t>SF-01341</t>
  </si>
  <si>
    <t>Coletor de gás</t>
  </si>
  <si>
    <t>SF-01342</t>
  </si>
  <si>
    <t>SF-01343</t>
  </si>
  <si>
    <t>SF-01344</t>
  </si>
  <si>
    <t>SF-01345</t>
  </si>
  <si>
    <t>SF-01346</t>
  </si>
  <si>
    <t>Elaboração de Projeto Executivo de Subestação Elétrica em Poste</t>
  </si>
  <si>
    <t>PREÇO TOTAL</t>
  </si>
  <si>
    <t>SF-01380</t>
  </si>
  <si>
    <t>Relatório técnico de qualidade do ar</t>
  </si>
  <si>
    <t>SF-01379</t>
  </si>
  <si>
    <t>Detector de fumaça</t>
  </si>
  <si>
    <t>FECHADURA DE SOBREPOR PARA PORTAO, EM ACO INOX COM ACABAMENTO CROMADO, CAIXA DE 100 MM, INCLUINDO CHAVE TIPO CILINDRO</t>
  </si>
  <si>
    <t>SF-01381</t>
  </si>
  <si>
    <t>SF-01382</t>
  </si>
  <si>
    <t>SF-01383</t>
  </si>
  <si>
    <t>Laminado fenólico melamínico texturizado - Preto</t>
  </si>
  <si>
    <t>Compensado Laminado de Imbuia em duas faces - 15 mm</t>
  </si>
  <si>
    <t>Compensado Laminado de Freijó em duas faces - 15 mm</t>
  </si>
  <si>
    <t>Compensado Laminado de cerejeira em uma face - 04 mm</t>
  </si>
  <si>
    <t>Compensado Laminado de Imbuia em uma face - 04 mm</t>
  </si>
  <si>
    <t>Compensado Laminado de Freijó em uma face - 04 mm</t>
  </si>
  <si>
    <t>Lâmina de Madeira - Freijó</t>
  </si>
  <si>
    <t>MARTELO DEMOLIDOR ELÉTRICO, COM POTÊNCIA DE 2.000 W, 1.000 IMPACTOS POR MINUTO, PESO DE 30 KG - CHP DIURNO. AF_01/2021</t>
  </si>
  <si>
    <t>MARTELO DEMOLIDOR ELÉTRICO, COM POTÊNCIA DE 2.000 W, 1.000 IMPACTOS POR MINUTO, PESO DE 30 KG -  CHI DIURNO. AF_01/2021</t>
  </si>
  <si>
    <t>SF-01347</t>
  </si>
  <si>
    <t>SF-01348</t>
  </si>
  <si>
    <t>SF-01349</t>
  </si>
  <si>
    <t>SF-01350</t>
  </si>
  <si>
    <t>SF-01351</t>
  </si>
  <si>
    <t>SF-01352</t>
  </si>
  <si>
    <t>SF-01353</t>
  </si>
  <si>
    <t>SF-01354</t>
  </si>
  <si>
    <t>SF-01355</t>
  </si>
  <si>
    <t>SF-01356</t>
  </si>
  <si>
    <t>SF-01357</t>
  </si>
  <si>
    <t>SF-01358</t>
  </si>
  <si>
    <t>SF-01359</t>
  </si>
  <si>
    <t>SF-01360</t>
  </si>
  <si>
    <t>SF-01361</t>
  </si>
  <si>
    <t>SF-01362</t>
  </si>
  <si>
    <t>SF-01363</t>
  </si>
  <si>
    <t>SF-01364</t>
  </si>
  <si>
    <t>SF-01365</t>
  </si>
  <si>
    <t>SF-01366</t>
  </si>
  <si>
    <t>SF-01367</t>
  </si>
  <si>
    <t>SF-01368</t>
  </si>
  <si>
    <t>SF-01369</t>
  </si>
  <si>
    <t>SF-01370</t>
  </si>
  <si>
    <t>SF-01371</t>
  </si>
  <si>
    <t>SF-01372</t>
  </si>
  <si>
    <t>SF-01373</t>
  </si>
  <si>
    <t>SF-01374</t>
  </si>
  <si>
    <t>SF-01375</t>
  </si>
  <si>
    <t>SF-01376</t>
  </si>
  <si>
    <t>SF-01377</t>
  </si>
  <si>
    <t>SF-01378</t>
  </si>
  <si>
    <t>Bloco autônomo de emergência 1000 lumens – fornecimento e instalação</t>
  </si>
  <si>
    <t>Cabo Ethernet blindado</t>
  </si>
  <si>
    <t>Cabo de fibra óptica multimodo 12 fibras</t>
  </si>
  <si>
    <t>Cabos de cobre para comunicação CANbus</t>
  </si>
  <si>
    <t>Cabos de cobre para comunicação padrão RS-485</t>
  </si>
  <si>
    <t>Condulete de alumínio de 2”</t>
  </si>
  <si>
    <t>Distribuidor Interno Óptico Industrial – fornecimento e instalação</t>
  </si>
  <si>
    <t>Eletroduto PEAD 5”</t>
  </si>
  <si>
    <t>Grupo motor-gerador 500 kVA</t>
  </si>
  <si>
    <t>Interruptor duplo para condulete</t>
  </si>
  <si>
    <t>Luminária 2x28 W hermética de sobrepor</t>
  </si>
  <si>
    <t>Luminária LED para poste 60 W</t>
  </si>
  <si>
    <t>Luminária LED para poste 120 W</t>
  </si>
  <si>
    <t>Painel para serviços auxiliares – PAUX</t>
  </si>
  <si>
    <t>Painel para sistema de automação e comunicação – QAUT-GER</t>
  </si>
  <si>
    <t>Painel de distribuição em média tensão – PMT-GER</t>
  </si>
  <si>
    <t>Painel de paralelismo dos geradores – PBT-GER</t>
  </si>
  <si>
    <t>Painel para a galeria técnica – QGAL</t>
  </si>
  <si>
    <t>Poste curvo simples 8 metros</t>
  </si>
  <si>
    <t>Quadro de transferência automática - QTA</t>
  </si>
  <si>
    <t>Quadro de transferência automática para sistemas auxiliares – QTA-GER</t>
  </si>
  <si>
    <t>Sistema de energia ininterrupta</t>
  </si>
  <si>
    <t>Tomada para condulete (20 A)</t>
  </si>
  <si>
    <t>Transformador a seco 2000 kVA</t>
  </si>
  <si>
    <t>Cabo de cobre nu 50 mm²</t>
  </si>
  <si>
    <t>Eletrocentro</t>
  </si>
  <si>
    <t>Haste de aterramento 3/4” x 3 m</t>
  </si>
  <si>
    <t>Engenheiro(a) eletricista pleno</t>
  </si>
  <si>
    <t>Manutenção on site – Grupo motor-gerador e instalações associadas</t>
  </si>
  <si>
    <t>Mão francesa metálica dupla</t>
  </si>
  <si>
    <t>Óleo diesel</t>
  </si>
  <si>
    <t>Painel de baixa tensão para áreas externas – QEXT</t>
  </si>
  <si>
    <t>Projeto executivo de engenharia elétrica</t>
  </si>
  <si>
    <t>Projeto executivo do eletrocentro</t>
  </si>
  <si>
    <t>Remoção de sistema de automação de QTAs</t>
  </si>
  <si>
    <t>Remoção dos GMGs antigos e sistemas auxiliares</t>
  </si>
  <si>
    <t>Retrofit do sistema de comando/controle do painel de média tensão de distribuição</t>
  </si>
  <si>
    <t>Retrofit do controlador da chave de transferência automática da SE-UA</t>
  </si>
  <si>
    <t>Substituição dos Quadros de Transferência Automática</t>
  </si>
  <si>
    <t>Grupo motor-gerador 115 kVA</t>
  </si>
  <si>
    <t>Projeto Executivo de Instalação de Gerador de Emergência</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</si>
  <si>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</si>
  <si>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</si>
  <si>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</si>
  <si>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</si>
  <si>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</si>
  <si>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</si>
  <si>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</si>
  <si>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</si>
  <si>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</si>
  <si>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</si>
  <si>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</si>
  <si>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</si>
  <si>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</si>
  <si>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</si>
  <si>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</si>
  <si>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</si>
  <si>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</si>
  <si>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</si>
  <si>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</si>
  <si>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</si>
  <si>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</si>
  <si>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Conjunto parafuso, porca e arruelas M5</t>
  </si>
  <si>
    <t>Conjunto parafuso, porca e arruelas M6</t>
  </si>
  <si>
    <t>Conjunto parafuso, porca e arruelas M8</t>
  </si>
  <si>
    <t>Conjunto parafuso, porca e arruelas M10</t>
  </si>
  <si>
    <t>Conjunto parafuso, porca e arruelas M12</t>
  </si>
  <si>
    <t>Identificador para botão de emergência</t>
  </si>
  <si>
    <t>Prensa cabos</t>
  </si>
  <si>
    <t>Bloco de distribuição 2 x 7</t>
  </si>
  <si>
    <t>Bloco de distribuição 2 x 15</t>
  </si>
  <si>
    <t>Bloco de distribuição 4 x 7</t>
  </si>
  <si>
    <t>Bloco de distribuição 4 x 15</t>
  </si>
  <si>
    <t>Isolador de baixa tensão para barramentos</t>
  </si>
  <si>
    <t>Suporte para trilho DIN</t>
  </si>
  <si>
    <t>Barramento de cobre</t>
  </si>
  <si>
    <t>Desumidificador para painel</t>
  </si>
  <si>
    <t>Conjunto ventilador para painel elétrico 150 mm</t>
  </si>
  <si>
    <t>Conjunto ventilador para painel elétrico 200 mm</t>
  </si>
  <si>
    <t>Conjunto ventilador para painel elétrico 250 mm</t>
  </si>
  <si>
    <t>Conjunto ventilador para painel elétrico 325 mm</t>
  </si>
  <si>
    <t>Porta documentos</t>
  </si>
  <si>
    <t>Tomada auxiliar</t>
  </si>
  <si>
    <t>Fixador/clip autoadesivo para abraçadeiras de nylon</t>
  </si>
  <si>
    <t>Canaleta de quadro 30 mm x 30 mm</t>
  </si>
  <si>
    <t>Canaleta de quadro 30 mm x 50 mm</t>
  </si>
  <si>
    <t>Canaleta de quadro 50 mm x 50 mm</t>
  </si>
  <si>
    <t>Canaleta de quadro 50 mm x 80 mm</t>
  </si>
  <si>
    <t>Canaleta de quadro 80 mm x 50 mm</t>
  </si>
  <si>
    <t>Canaleta de quadro 80 mm x 80 mm</t>
  </si>
  <si>
    <t>Canaleta de quadro 110 mm x 80 mm</t>
  </si>
  <si>
    <t>Borne até 4 mm²</t>
  </si>
  <si>
    <t>Borne terra até 4 mm²</t>
  </si>
  <si>
    <t>Borne 6 mm²</t>
  </si>
  <si>
    <t>Borne terra 6 mm²</t>
  </si>
  <si>
    <t>Borne 10 mm²</t>
  </si>
  <si>
    <t>Borne terra 10 mm²</t>
  </si>
  <si>
    <t>Borne 16 mm²</t>
  </si>
  <si>
    <t>Borne terra 16 mm²</t>
  </si>
  <si>
    <t>Borne 35 mm²</t>
  </si>
  <si>
    <t>Borne terra 35 mm²</t>
  </si>
  <si>
    <t>Borne duplo</t>
  </si>
  <si>
    <t>Tampa final para borne</t>
  </si>
  <si>
    <t>Separador para borne</t>
  </si>
  <si>
    <t>Ponte para borne</t>
  </si>
  <si>
    <t>Poste para borne</t>
  </si>
  <si>
    <t>Borne porta-fusível com LED</t>
  </si>
  <si>
    <t>Borne porta-fusível sem LED</t>
  </si>
  <si>
    <t>Porta identificador para borne</t>
  </si>
  <si>
    <t>Identificador para borne</t>
  </si>
  <si>
    <t>Bloco de aferição para TC</t>
  </si>
  <si>
    <t>Bloco de aferição para TP e TC</t>
  </si>
  <si>
    <t>Barramento monofásico isolado</t>
  </si>
  <si>
    <t>Barramento bifásico isolado</t>
  </si>
  <si>
    <t>Barramento trifásico isolado</t>
  </si>
  <si>
    <t>Protetor para barramento isolado</t>
  </si>
  <si>
    <t>Conector para barramento isolado</t>
  </si>
  <si>
    <t>Obturador para quadro elétrico</t>
  </si>
  <si>
    <t>Barramento de neutro ou terra</t>
  </si>
  <si>
    <t>Fecho para quadro</t>
  </si>
  <si>
    <t>Placa de montagem 1,5 mm</t>
  </si>
  <si>
    <t>Placa de montagem 2 mm</t>
  </si>
  <si>
    <t>Chapa de aço galvanizado</t>
  </si>
  <si>
    <t>Policarbonato</t>
  </si>
  <si>
    <t>Placa de identificação</t>
  </si>
  <si>
    <t>Cadeado para disjuntores</t>
  </si>
  <si>
    <t>Bloqueio para disjuntores</t>
  </si>
  <si>
    <t>Perfil de aço</t>
  </si>
  <si>
    <t>Espuma expansiva corta-fogo</t>
  </si>
  <si>
    <t>Cantoneira</t>
  </si>
  <si>
    <t>Janela de inspeção termográfica 2 polegadas</t>
  </si>
  <si>
    <t>Janela de inspeção termográfica 3 polegadas</t>
  </si>
  <si>
    <t>Janela de inspeção termográfica 4 polegadas</t>
  </si>
  <si>
    <t>Pino-bola para ponto de aterramento temporário</t>
  </si>
  <si>
    <t>Luminária para quadros elétricos</t>
  </si>
  <si>
    <t>Porta equipamentos para canaleta de alumínio</t>
  </si>
  <si>
    <t>Chave seletora de 2 posições</t>
  </si>
  <si>
    <t>Chave seletora de 3 posições</t>
  </si>
  <si>
    <t>Botão de emergência tipo cogumelo</t>
  </si>
  <si>
    <t>Botão tipo pulsador</t>
  </si>
  <si>
    <t>Botão tipo pulsador iluminado</t>
  </si>
  <si>
    <t>Bloco de contato para chaves e botões</t>
  </si>
  <si>
    <t>Chave seletora de 2 posições iluminada</t>
  </si>
  <si>
    <t>Chave seletora de 3 posições iluminada</t>
  </si>
  <si>
    <t>Botão duplo</t>
  </si>
  <si>
    <t>Sinaleiro LED</t>
  </si>
  <si>
    <t>Sinalizador sonoro luminoso</t>
  </si>
  <si>
    <t>Sinalizador sonoro</t>
  </si>
  <si>
    <t>Sirene</t>
  </si>
  <si>
    <t>Chave de partida direta</t>
  </si>
  <si>
    <t>Distribuidor Interno Ótico Industrial</t>
  </si>
  <si>
    <t>Patch Panel Ethernet Industrial</t>
  </si>
  <si>
    <t>Conector RJ45 Fêmea Blindado</t>
  </si>
  <si>
    <t>Conector RJ45 Macho Blindado</t>
  </si>
  <si>
    <t>Switch ethernet industrial</t>
  </si>
  <si>
    <t>Condulete de alumínio de 3/4”</t>
  </si>
  <si>
    <t>Condulete de alumínio de 1”</t>
  </si>
  <si>
    <t>Condulete de alumínio de 1 1/4”</t>
  </si>
  <si>
    <t>Condulete de alumínio de 1 1/2”</t>
  </si>
  <si>
    <t>Condulete de alumínio de 2 1/2”</t>
  </si>
  <si>
    <t>Condulete de alumínio de 3”</t>
  </si>
  <si>
    <t>Condulete de alumínio de 4”</t>
  </si>
  <si>
    <t>Tampa para condulete de alumínio de 3/4”</t>
  </si>
  <si>
    <t>Tampa para condulete de alumínio de 1”</t>
  </si>
  <si>
    <t>Tomada para condulete de 10 A</t>
  </si>
  <si>
    <t>Tomada para condulete de 20 A</t>
  </si>
  <si>
    <t>Tomada dupla para condulete</t>
  </si>
  <si>
    <t>Tomada e interruptor para condulete</t>
  </si>
  <si>
    <t>Kit de vedaçao para condulete de alumínio de 3/4”</t>
  </si>
  <si>
    <t>Kit de vedaçao para condulete de alumínio de 1”</t>
  </si>
  <si>
    <t>Kit de vedaçao para condulete de alumínio de 1 1/4”</t>
  </si>
  <si>
    <t>Kit de vedaçao para condulete de alumínio de 1 1/2”</t>
  </si>
  <si>
    <t>Kit de vedaçao para condulete de alumínio de 2”</t>
  </si>
  <si>
    <t>Tampa para condulete de PVC</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</si>
  <si>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</si>
  <si>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</si>
  <si>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</si>
  <si>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</si>
  <si>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</si>
  <si>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</si>
  <si>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</si>
  <si>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</si>
  <si>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</si>
  <si>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</si>
  <si>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</si>
  <si>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Luva de compressão 25 mm²</t>
  </si>
  <si>
    <t>Luva de compressão 35 mm²</t>
  </si>
  <si>
    <t>Luva de compressão 50 mm²</t>
  </si>
  <si>
    <t>Luva de compressão 70 mm²</t>
  </si>
  <si>
    <t>Luva de compressão 95 mm²</t>
  </si>
  <si>
    <t>Luva de compressão 120 mm²</t>
  </si>
  <si>
    <t>Luva de compressão 150 mm²</t>
  </si>
  <si>
    <t>Luva de compressão 185 mm²</t>
  </si>
  <si>
    <t>Luva de compressão 240 mm²</t>
  </si>
  <si>
    <t>Luva de compressão 300 mm²</t>
  </si>
  <si>
    <t>Condutor 1,0 mm²</t>
  </si>
  <si>
    <t>Condutor 1,5 mm²</t>
  </si>
  <si>
    <t>Condutor 10 mm²</t>
  </si>
  <si>
    <t>Condutor 16 mm²</t>
  </si>
  <si>
    <t>Condutor 25 mm²</t>
  </si>
  <si>
    <t>Condutor 35 mm²</t>
  </si>
  <si>
    <t>Condutor 50 mm²</t>
  </si>
  <si>
    <t>Condutor 70 mm²</t>
  </si>
  <si>
    <t>Condutor 95 mm²</t>
  </si>
  <si>
    <t>Condutor 120 mm²</t>
  </si>
  <si>
    <t>Condutor 150 mm²</t>
  </si>
  <si>
    <t>Condutor 185 mm²</t>
  </si>
  <si>
    <t>Condutor 240 mm²</t>
  </si>
  <si>
    <t>Cobre nu 16 mm²</t>
  </si>
  <si>
    <t>Cobre nu 25 mm²</t>
  </si>
  <si>
    <t>Cobre nu 35 mm²</t>
  </si>
  <si>
    <t>Cobre nu 50 mm²</t>
  </si>
  <si>
    <t>Cobre nu 70 mm²</t>
  </si>
  <si>
    <t>Cabo 3x6 mm²</t>
  </si>
  <si>
    <t>Mufla de média tensão</t>
  </si>
  <si>
    <t>Contator auxiliar AC</t>
  </si>
  <si>
    <t>Contator auxiliar DC</t>
  </si>
  <si>
    <t>Bloco de contato auxiliar simples</t>
  </si>
  <si>
    <t>Bloco de contato auxiliar duplo</t>
  </si>
  <si>
    <t>Bloco de contato auxiliar quádruplo</t>
  </si>
  <si>
    <t>Capacitor 2,5 kVAr</t>
  </si>
  <si>
    <t>Capacitor 5 kVAr</t>
  </si>
  <si>
    <t>Capacitor 10 kVAr</t>
  </si>
  <si>
    <t>Capacitor 15 kVAr</t>
  </si>
  <si>
    <t>Capacitor 20 kVAr</t>
  </si>
  <si>
    <t>Capacitor 25 kVAr</t>
  </si>
  <si>
    <t>Capacitor 30 kVAr</t>
  </si>
  <si>
    <t>Controlador de fator de potência</t>
  </si>
  <si>
    <t>Disjuntor diferencial residual bipolar</t>
  </si>
  <si>
    <t>Disjuntor diferencial residual tetrapolar</t>
  </si>
  <si>
    <t>Dispositivo de Proteção Contra Surtos Classe I</t>
  </si>
  <si>
    <t>Dispositivo de Proteção Contra Surtos Classe II 20 kA</t>
  </si>
  <si>
    <t>Dispositivo de Proteção Contra Surtos Classe II 40 kA</t>
  </si>
  <si>
    <t>Dispositivo de Proteção Contra Surtos Classe III</t>
  </si>
  <si>
    <t>Tampa de eletrocalha 50 mm</t>
  </si>
  <si>
    <t>Tampa de eletrocalha 100 mm</t>
  </si>
  <si>
    <t>Tampa de eletrocalha 150 mm</t>
  </si>
  <si>
    <t>Tampa de eletrocalha 200 mm</t>
  </si>
  <si>
    <t>Tampa de eletrocalha 300 mm</t>
  </si>
  <si>
    <t>Tampa de eletrocalha 400 mm</t>
  </si>
  <si>
    <t>Tampa de eletrocalha 500 mm</t>
  </si>
  <si>
    <t>Suporte vertical para eletrocalha de 50 mm</t>
  </si>
  <si>
    <t>Suporte vertical para eletrocalha de 100 mm</t>
  </si>
  <si>
    <t>Suporte vertical para eletrocalha de 150 mm</t>
  </si>
  <si>
    <t>Suporte vertical para eletrocalha de 200 mm</t>
  </si>
  <si>
    <t>Suporte vertical para eletrocalha de 300 mm</t>
  </si>
  <si>
    <t>Saída de eletroduto para eletrocalha</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</si>
  <si>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</si>
  <si>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</si>
  <si>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</si>
  <si>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</si>
  <si>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</si>
  <si>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</si>
  <si>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Eletroduto de aço galvanizado de 2 1/2”</t>
  </si>
  <si>
    <t>Eletroduto de aço galvanizado de 4”</t>
  </si>
  <si>
    <t>Eletroduto de aço galvanizado a fogo de 3/4”</t>
  </si>
  <si>
    <t>Eletroduto de aço galvanizado a fogo de 1”</t>
  </si>
  <si>
    <t>Eletroduto de aço galvanizado a fogo de 1 1/4”</t>
  </si>
  <si>
    <t>Eletroduto de aço galvanizado a fogo de 1 1/2”</t>
  </si>
  <si>
    <t>Eletroduto de aço galvanizado a fogo de 2”</t>
  </si>
  <si>
    <t>Eletroduto de aço galvanizado a fogo de 2 1/2”</t>
  </si>
  <si>
    <t>Eletroduto de aço galvanizado a fogo de 3”</t>
  </si>
  <si>
    <t>Eletroduto de aço galvanizado a fogo de 4”</t>
  </si>
  <si>
    <t>Conector reto para eletroduto 1/2”</t>
  </si>
  <si>
    <t>Luva para eletroduto 1/2”</t>
  </si>
  <si>
    <t>Luva de emenda para eletroduto 1/2”</t>
  </si>
  <si>
    <t>Curva para eletroduto 1/2”</t>
  </si>
  <si>
    <t>Conector reto para eletroduto 3/4”</t>
  </si>
  <si>
    <t>Conector curvo para eletroduto 3/4”</t>
  </si>
  <si>
    <t>Luva para eletroduto 3/4”</t>
  </si>
  <si>
    <t>Luva de emenda para eletroduto 3/4”</t>
  </si>
  <si>
    <t>Curva para eletroduto 3/4”</t>
  </si>
  <si>
    <t>Conector reto para eletroduto 1”</t>
  </si>
  <si>
    <t>Conector curvo para eletroduto 1”</t>
  </si>
  <si>
    <t>Luva para eletroduto 1”</t>
  </si>
  <si>
    <t>Luva de emenda para eletroduto 1”</t>
  </si>
  <si>
    <t>Curva para eletroduto 1”</t>
  </si>
  <si>
    <t>Conector reto para eletroduto 1 1/4”</t>
  </si>
  <si>
    <t>Conector curvo para eletroduto 1 1/4”</t>
  </si>
  <si>
    <t>Luva para eletroduto 1 1/4”</t>
  </si>
  <si>
    <t>Luva de emenda para eletroduto 1 1/4”</t>
  </si>
  <si>
    <t>Curva para eletroduto 1 1/4”</t>
  </si>
  <si>
    <t>Conector reto para eletroduto 1 1/2”</t>
  </si>
  <si>
    <t>Conector curvo para eletroduto 1 1/2”</t>
  </si>
  <si>
    <t>Luva para eletroduto 1 1/2”</t>
  </si>
  <si>
    <t>Luva de emenda para eletroduto 1 1/2”</t>
  </si>
  <si>
    <t>Curva para eletroduto 1 1/2”</t>
  </si>
  <si>
    <t>Conector reto para eletroduto 2”</t>
  </si>
  <si>
    <t>Conector curvo para eletroduto 2”</t>
  </si>
  <si>
    <t>Luva para eletroduto 2”</t>
  </si>
  <si>
    <t>Luva de emenda para eletroduto 2”</t>
  </si>
  <si>
    <t>Curva para eletroduto 2”</t>
  </si>
  <si>
    <t>Conector reto para eletroduto 2 1/2”</t>
  </si>
  <si>
    <t>Conector curvo para eletroduto 2 1/2”</t>
  </si>
  <si>
    <t>Luva para eletroduto 2 1/2”</t>
  </si>
  <si>
    <t>Luva de emenda para eletroduto 2 1/2”</t>
  </si>
  <si>
    <t>Curva para eletroduto 2 1/2”</t>
  </si>
  <si>
    <t>Conector reto para eletroduto 3”</t>
  </si>
  <si>
    <t>Conector curvo para eletroduto 3”</t>
  </si>
  <si>
    <t>Luva para eletroduto 3”</t>
  </si>
  <si>
    <t>Luva de emenda para eletroduto 3”</t>
  </si>
  <si>
    <t>Curva para eletroduto 3”</t>
  </si>
  <si>
    <t>Conector reto para eletroduto 4”</t>
  </si>
  <si>
    <t>Conector curvo para eletroduto 4”</t>
  </si>
  <si>
    <t>Luva para eletroduto 4”</t>
  </si>
  <si>
    <t>Luva de emenda para eletroduto 4”</t>
  </si>
  <si>
    <t>Curva para eletroduto 4”</t>
  </si>
  <si>
    <t>Eletroduto de PVC Corrugado Reforçado 3/4” (DE 25mm)</t>
  </si>
  <si>
    <t>Eletroduto de PVC Corrugado Reforçado 1” (DE 32mm)</t>
  </si>
  <si>
    <t>Eletroduto flexível metálico com capa de PVC 3/4”</t>
  </si>
  <si>
    <t>Conector para eletroduto flexível metálico 3/4”</t>
  </si>
  <si>
    <t>Eletroduto flexível metálico com capa de PVC 1”</t>
  </si>
  <si>
    <t>Conector para eletroduto flexível metálico 1”</t>
  </si>
  <si>
    <t>Eletroduto flexível metálico com capa de PVC 1 1/4”</t>
  </si>
  <si>
    <t>Conector para eletroduto flexível metálico 1 1/4”</t>
  </si>
  <si>
    <t>Eletroduto flexível metálico com capa de PVC 1 1/2”</t>
  </si>
  <si>
    <t>Conector para eletroduto flexível metálico 1 1/2”</t>
  </si>
  <si>
    <t>Eletroduto flexível metálico com capa de PVC 2”</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</si>
  <si>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</si>
  <si>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</si>
  <si>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</si>
  <si>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</si>
  <si>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</si>
  <si>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</si>
  <si>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</si>
  <si>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</si>
  <si>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</si>
  <si>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</si>
  <si>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</si>
  <si>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</si>
  <si>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</si>
  <si>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</si>
  <si>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</si>
  <si>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</si>
  <si>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</si>
  <si>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</si>
  <si>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</si>
  <si>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</si>
  <si>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</si>
  <si>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</si>
  <si>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</si>
  <si>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</si>
  <si>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</si>
  <si>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Chave Seccionadora Saca Fusível 100 A</t>
  </si>
  <si>
    <t>Chave Seccionadora Saca Fusível 160 A</t>
  </si>
  <si>
    <t>Chave Seccionadora Saca Fusível 250 A</t>
  </si>
  <si>
    <t>Chave Seccionadora Saca Fusível 400 A</t>
  </si>
  <si>
    <t>Porta fusível cartucho</t>
  </si>
  <si>
    <t>Fusível cartucho</t>
  </si>
  <si>
    <t>Base fusível NH 00 / NH 000</t>
  </si>
  <si>
    <t>Base fusível NH 1</t>
  </si>
  <si>
    <t>Base fusível NH 2</t>
  </si>
  <si>
    <t>Base fusível NH 3</t>
  </si>
  <si>
    <t>Fusível NH 000</t>
  </si>
  <si>
    <t>Fusível NH 00 Ultrarrápido</t>
  </si>
  <si>
    <t>Fusível NH 1</t>
  </si>
  <si>
    <t>Fusível NH 1 Ultrarrápido</t>
  </si>
  <si>
    <t>Fusível NH 2</t>
  </si>
  <si>
    <t>Fusível NH 2 Ultrarrápido</t>
  </si>
  <si>
    <t>Fusível NH 3</t>
  </si>
  <si>
    <t>Fusível NH 3 Ultrarrápido</t>
  </si>
  <si>
    <t>Kit base fusível Diazed</t>
  </si>
  <si>
    <t>Fusível Diazed</t>
  </si>
  <si>
    <t>Poste balizador para jardim 50cm</t>
  </si>
  <si>
    <t>Poste balizador para jardim 80cm</t>
  </si>
  <si>
    <t>Luminária tipo balizador de solo</t>
  </si>
  <si>
    <t>Braço para iluminação</t>
  </si>
  <si>
    <t>Suporte para luminária de poste simples</t>
  </si>
  <si>
    <t>Suporte para luminária de poste duplo</t>
  </si>
  <si>
    <t>Suporte para luminária de poste quadruplo</t>
  </si>
  <si>
    <t>Globo para luminária</t>
  </si>
  <si>
    <t>Luminária retangular para poste</t>
  </si>
  <si>
    <t>Poste globo duplo</t>
  </si>
  <si>
    <t>Bloco autônomo de emergência 500 lumens</t>
  </si>
  <si>
    <t>Bloco autônomo de emergência 1000 lumens</t>
  </si>
  <si>
    <t>Bloco autônomo de emergência 1500 lumens</t>
  </si>
  <si>
    <t>Bloco autônomo de emergência 2400 lumens</t>
  </si>
  <si>
    <t>Fita de LED (baixa densidade de potência)</t>
  </si>
  <si>
    <t>Fita de LED (alta densidade de potência)</t>
  </si>
  <si>
    <t>Fita de LED (baixa densidade de potência) IP65</t>
  </si>
  <si>
    <t>Fita de LED (alta densidade de potência) IP65</t>
  </si>
  <si>
    <t>Lâmpada LED Dicróica</t>
  </si>
  <si>
    <t>Lâmpada LED PAR 20</t>
  </si>
  <si>
    <t>Lâmpada LED PAR 30</t>
  </si>
  <si>
    <t>Lâmpada LED PAR 30 Alta Intensidade</t>
  </si>
  <si>
    <t>Lâmpada LED PAR 38</t>
  </si>
  <si>
    <t>Lâmpada LED PAR 20 IP65</t>
  </si>
  <si>
    <t>Lâmpada LED PAR 30 IP65</t>
  </si>
  <si>
    <t>Lâmpada LED PAR 38 IP65</t>
  </si>
  <si>
    <t>Lâmpada LED Tipo Vela</t>
  </si>
  <si>
    <t>Lâmpada LED Tipo Bolinha</t>
  </si>
  <si>
    <t>Lâmpada LED Tipo R 63</t>
  </si>
  <si>
    <t>Lâmpada Vapor Metálico 70 W</t>
  </si>
  <si>
    <t>Lâmpada Vapor Metálico 150 W</t>
  </si>
  <si>
    <t>Lâmpada Vapor Metálico 250 W</t>
  </si>
  <si>
    <t>Lâmpada Vapor Metálico 400 W</t>
  </si>
  <si>
    <t>Lâmpada Vapor Metálico 2000 W</t>
  </si>
  <si>
    <t>Luminária Plafon LED Slim 15 W</t>
  </si>
  <si>
    <t>Luminária Plafon LED Slim 24 W</t>
  </si>
  <si>
    <t>Luminária spot de sobrepor</t>
  </si>
  <si>
    <t>Luminária spot de embutir</t>
  </si>
  <si>
    <t>Luminária arandela</t>
  </si>
  <si>
    <t>Luminária plafon 30 cm</t>
  </si>
  <si>
    <t>Luminária plafon 40 cm</t>
  </si>
  <si>
    <t>Luminária plafon LED redondo 10 W</t>
  </si>
  <si>
    <t>Luminária plafon LED redondo 16 W</t>
  </si>
  <si>
    <t>Luminária plafon LED redondo 20 W</t>
  </si>
  <si>
    <t>Luminária T5 2x14 W de embutir</t>
  </si>
  <si>
    <t>Luminária T5 2x14 W de sobrepor</t>
  </si>
  <si>
    <t>Luminária T5 2x28 W de embutir</t>
  </si>
  <si>
    <t>Luminária T5 2x28 W de sobrepor</t>
  </si>
  <si>
    <t>Luminária tartaruga</t>
  </si>
  <si>
    <t>Projetor LED para o Plenário Senado Federal</t>
  </si>
  <si>
    <t>Receptáculo E27</t>
  </si>
  <si>
    <t>Driver para LED corrente constante 350 mA</t>
  </si>
  <si>
    <t>Driver para LED corrente constante 700 mA</t>
  </si>
  <si>
    <t>Reator para 1 lâmpada fluorescente T5</t>
  </si>
  <si>
    <t>Reator para 2 lâmpadas fluorescentes T5</t>
  </si>
  <si>
    <t>Reator para lâmpadas de descarga 70 W</t>
  </si>
  <si>
    <t>Reator para lâmpadas de descarga 150 W</t>
  </si>
  <si>
    <t>Reator para lâmpadas de descarga 250 W</t>
  </si>
  <si>
    <t>Reator para lâmpadas de descarga 400 W</t>
  </si>
  <si>
    <t>Reator para lâmpadas de descarga 2000 W</t>
  </si>
  <si>
    <t>Refletor LED 10 W IP65</t>
  </si>
  <si>
    <t>Refletor LED 30 W IP65</t>
  </si>
  <si>
    <t>Refletor LED 50 W IP65</t>
  </si>
  <si>
    <t>Refletor LED 100 W IP65</t>
  </si>
  <si>
    <t>Refletor LED 150 W IP65</t>
  </si>
  <si>
    <t>Refletor LED 200 W IP65</t>
  </si>
  <si>
    <t>Refletor LED 20 W IP65 com sensor</t>
  </si>
  <si>
    <t>Trilho eletrificado para iluminação</t>
  </si>
  <si>
    <t>Ponteira para trilho eletrificado para iluminação</t>
  </si>
  <si>
    <t>Fixador de teto para trilho eletrificado para iluminação</t>
  </si>
  <si>
    <t>Conexão reta para trilho eletrificado para iluminação</t>
  </si>
  <si>
    <t>Conexão 90 graus para trilho eletrificado para iluminação</t>
  </si>
  <si>
    <t>Conexão T para trilho eletrificado para iluminação</t>
  </si>
  <si>
    <t>Conexão cruz para trilho eletrificado para iluminação</t>
  </si>
  <si>
    <t>Plug para trilho eletrificado para iluminação</t>
  </si>
  <si>
    <t>Spot para trilho eletrificado para iluminação</t>
  </si>
  <si>
    <t>Mão francesa simples</t>
  </si>
  <si>
    <t>Mão francesa dupla</t>
  </si>
  <si>
    <t>Mão francesa reforçada</t>
  </si>
  <si>
    <t>Chumbador 1/4”</t>
  </si>
  <si>
    <t>Chumbador 5/16”</t>
  </si>
  <si>
    <t>Chumbador 3/8”</t>
  </si>
  <si>
    <t>Barra roscada 1/4”</t>
  </si>
  <si>
    <t>Barra roscada 5/16”</t>
  </si>
  <si>
    <t>Barra roscada 3/8”</t>
  </si>
  <si>
    <t>Abraçadeira tipo D para eletroduto</t>
  </si>
  <si>
    <t>Abraçadeira tipo copo para eletroduto</t>
  </si>
  <si>
    <t>Passa cabo para piso elevado</t>
  </si>
  <si>
    <t>Abraçadeira de nylon 13 mm</t>
  </si>
  <si>
    <t>Abraçadeira de nylon 9 mm</t>
  </si>
  <si>
    <t>Abraçadeira de nylon 7,5 mm</t>
  </si>
  <si>
    <t>Abraçadeira de nylon 5 mm</t>
  </si>
  <si>
    <t>Caixa ARStop</t>
  </si>
  <si>
    <t>Conector de emenda rápida 2 vias</t>
  </si>
  <si>
    <t>Conector de emenda rápida 3 vias</t>
  </si>
  <si>
    <t>Conector de emenda rápida 5 vias</t>
  </si>
  <si>
    <t>Módulo interruptor intermediário</t>
  </si>
  <si>
    <t>Módulo carregador USB</t>
  </si>
  <si>
    <t>Módulo para conector RJ45</t>
  </si>
  <si>
    <t>Módulo pulsador</t>
  </si>
  <si>
    <t>Módulo cabo coaxial</t>
  </si>
  <si>
    <t>Módulo tomada 10 A para piso</t>
  </si>
  <si>
    <t>Módulo tomada 20 A para piso</t>
  </si>
  <si>
    <t>Módulo tomada de telefone para piso</t>
  </si>
  <si>
    <t>Módulo campainha</t>
  </si>
  <si>
    <t>Módulo dimmer</t>
  </si>
  <si>
    <t>Nobreak de 1 kVA</t>
  </si>
  <si>
    <t>Nobreak de 2 kVA</t>
  </si>
  <si>
    <t>Nobreak de 3 kVA</t>
  </si>
  <si>
    <t>Bateria 7 Ah</t>
  </si>
  <si>
    <t>Bateria 9 Ah</t>
  </si>
  <si>
    <t>Bateria 12 Ah</t>
  </si>
  <si>
    <t>Bateria 28 Ah</t>
  </si>
  <si>
    <t>Bateria 40 Ah</t>
  </si>
  <si>
    <t>Bateria 120 Ah</t>
  </si>
  <si>
    <t>Perfilado 38x38 mm</t>
  </si>
  <si>
    <t>Gancho curto para perfilado</t>
  </si>
  <si>
    <t>Gancho longo para perfilado</t>
  </si>
  <si>
    <t>Cantoneira ZZ para perfilado</t>
  </si>
  <si>
    <t>Gancho curto de luminária para perfilado</t>
  </si>
  <si>
    <t>Gancho longo de luminária para perfilado</t>
  </si>
  <si>
    <t>Junta interna tipo I para perfilado</t>
  </si>
  <si>
    <t>Junta interna tipo L para perfilado</t>
  </si>
  <si>
    <t>Junta interna tipo T para perfilado</t>
  </si>
  <si>
    <t>Junta interna tipo X para perfilado</t>
  </si>
  <si>
    <t>Curva para perfilado</t>
  </si>
  <si>
    <t>Sapata para perfilado</t>
  </si>
  <si>
    <t>Saída de eletroduto para perfilado</t>
  </si>
  <si>
    <t>Módulo acionador para fechaduras</t>
  </si>
  <si>
    <t>Conjunto motor de portão pivotante</t>
  </si>
  <si>
    <t>Fotocélula para portão</t>
  </si>
  <si>
    <t>Central de controle para portão</t>
  </si>
  <si>
    <t>Controle remoto para portão</t>
  </si>
  <si>
    <t>Módulo botoeira para portão</t>
  </si>
  <si>
    <t>Módulo relé para portão</t>
  </si>
  <si>
    <t>Sinaleira para portão</t>
  </si>
  <si>
    <t>Cremalheira para portão</t>
  </si>
  <si>
    <t>Engrenagem para portão</t>
  </si>
  <si>
    <t>Sensor de fim de curso para portão</t>
  </si>
  <si>
    <t>Encoder para portão</t>
  </si>
  <si>
    <t>Estator para motor de portão</t>
  </si>
  <si>
    <t>Induzido para motor de portão</t>
  </si>
  <si>
    <t>Campainha eletrônica</t>
  </si>
  <si>
    <t>Relé acionado por controle remoto sem fio</t>
  </si>
  <si>
    <t>Campainha sem fio</t>
  </si>
  <si>
    <t>Botoeira para portões</t>
  </si>
  <si>
    <t>Quadro termoplástico para 12 disjuntores</t>
  </si>
  <si>
    <t>Quadro termoplástico para 24 disjuntores</t>
  </si>
  <si>
    <t>Quadro termoplástico para 36 disjuntores</t>
  </si>
  <si>
    <t>Relé de interface</t>
  </si>
  <si>
    <t>Relé programador horário</t>
  </si>
  <si>
    <t>Relé de impulso</t>
  </si>
  <si>
    <t>Relé monitor de tensão trifásico</t>
  </si>
  <si>
    <t>Relé monitor de tensão monofásico</t>
  </si>
  <si>
    <t>Relé monitor de corrente monofásico</t>
  </si>
  <si>
    <t>Relé temporizador</t>
  </si>
  <si>
    <t>Relé de nível</t>
  </si>
  <si>
    <t>CLP Siemens LOGO</t>
  </si>
  <si>
    <t>Módulo de expansão de 8 portas digitais para Siemens LOGO</t>
  </si>
  <si>
    <t>Módulo de expansão de 16 portas digitais para Siemens LOGO</t>
  </si>
  <si>
    <t>Módulo de expansão de entrada analógica para Siemens LOGO</t>
  </si>
  <si>
    <t>Módulo de expansão de entrada de temperatura para Siemens LOGO</t>
  </si>
  <si>
    <t>Módulo de expansão de saída analógica para Siemens LOGO</t>
  </si>
  <si>
    <t>IHM para Siemens LOGO</t>
  </si>
  <si>
    <t>Controlador de temperatura</t>
  </si>
  <si>
    <t>Conversor de sinal analógico</t>
  </si>
  <si>
    <t>Transmissor de temperatura</t>
  </si>
  <si>
    <t>Termostato para painel</t>
  </si>
  <si>
    <t>Multimedidor de grandezas elétricas</t>
  </si>
  <si>
    <t>Multimedidor avançado de grandezas elétricas</t>
  </si>
  <si>
    <t>Medidor de energia monofásico</t>
  </si>
  <si>
    <t>Medidor de energia trifásico</t>
  </si>
  <si>
    <t>Tapete isolante classe 0</t>
  </si>
  <si>
    <t>Tapete isolante classe 2</t>
  </si>
  <si>
    <t>Estrado isolante classe 2</t>
  </si>
  <si>
    <t>Bastão de resgate</t>
  </si>
  <si>
    <t>Transformador de potencial para medição de baixa tensão</t>
  </si>
  <si>
    <t>Chave de fim de curso</t>
  </si>
  <si>
    <t>Pressostato diferencial para ar</t>
  </si>
  <si>
    <t>Sonda de temperatura PT100</t>
  </si>
  <si>
    <t>Sensor de presença externo</t>
  </si>
  <si>
    <t>Relé fotoelétrico</t>
  </si>
  <si>
    <t>Base para relé fotoelétrico</t>
  </si>
  <si>
    <t>Eletrodo para relé de nível</t>
  </si>
  <si>
    <t>Transformador de corrente termoplástico até 400 A</t>
  </si>
  <si>
    <t>Transformador de corrente epóxi até 400 A</t>
  </si>
  <si>
    <t>Transformador de corrente epóxi até 800 A</t>
  </si>
  <si>
    <t>Transformador de corrente epóxi até 2000 A</t>
  </si>
  <si>
    <t>Transmissor de nível hidrostático</t>
  </si>
  <si>
    <t>Transmissor de pressão</t>
  </si>
  <si>
    <t>Transmissor de nível ultrassônico</t>
  </si>
  <si>
    <t>Soft-starter 10 A</t>
  </si>
  <si>
    <t>Soft-starter 17 A</t>
  </si>
  <si>
    <t>Soft-starter 24 A</t>
  </si>
  <si>
    <t>Soft-starter 30 A</t>
  </si>
  <si>
    <t>Soft-starter 44 A</t>
  </si>
  <si>
    <t>Soft-starter 60 A</t>
  </si>
  <si>
    <t>Soft-starter 85 A</t>
  </si>
  <si>
    <t>Soft-starter 142 A</t>
  </si>
  <si>
    <t>Interface homem-máquina para soft-starter</t>
  </si>
  <si>
    <t>Inversor 10 A</t>
  </si>
  <si>
    <t>Inversor 16 A</t>
  </si>
  <si>
    <t>Inversor 24 A</t>
  </si>
  <si>
    <t>Inversor 31 A</t>
  </si>
  <si>
    <t>Inversor 39 A</t>
  </si>
  <si>
    <t>Inversor 49 A</t>
  </si>
  <si>
    <t>Inversor ABB ACS350</t>
  </si>
  <si>
    <t>Inversor ABB ACS550</t>
  </si>
  <si>
    <t>Inversor ABB ACS800</t>
  </si>
  <si>
    <t>Barra chata de alumínio</t>
  </si>
  <si>
    <t>Conector cabo/haste de aterramento</t>
  </si>
  <si>
    <t>Caixa de inspeção de aterramento 300 mm</t>
  </si>
  <si>
    <t>Caixa de inspeção de aterramento 600 mm</t>
  </si>
  <si>
    <t>Tampa simples para caixa de inspeção de aterramento</t>
  </si>
  <si>
    <t>Tampa reforçada para caixa de inspeção de aterramento</t>
  </si>
  <si>
    <t>Fita de sinalização para instalações subterrâneas</t>
  </si>
  <si>
    <t>Captor tipo Franklin</t>
  </si>
  <si>
    <t>Minicaptor 300 mm</t>
  </si>
  <si>
    <t>Minicaptor 600 mm</t>
  </si>
  <si>
    <t>Base para mastro</t>
  </si>
  <si>
    <t>Abraçadeira para aterramento de mastro</t>
  </si>
  <si>
    <t>Sinalizador de topo com fotocélula</t>
  </si>
  <si>
    <t>Mastro para sinalizador de topo</t>
  </si>
  <si>
    <t>Suporte para sinalizador de topo em mastro</t>
  </si>
  <si>
    <t>Grampo tipo X para alumínio</t>
  </si>
  <si>
    <t>Grampo tipo X para cobre</t>
  </si>
  <si>
    <t>Fixador para SPDA</t>
  </si>
  <si>
    <t>Fixador universal para SPDA</t>
  </si>
  <si>
    <t>Fixador colado para SPDA</t>
  </si>
  <si>
    <t>Adesivo estrutural</t>
  </si>
  <si>
    <t>Conector de emenda e medição para SPDA</t>
  </si>
  <si>
    <t>Conector para SPDA</t>
  </si>
  <si>
    <t>Isolador curto para SPDA</t>
  </si>
  <si>
    <t>Isolador simples para SPDA</t>
  </si>
  <si>
    <t>Isolador duplo para mastro para SPDA</t>
  </si>
  <si>
    <t>Isolador reforçado para SPDA</t>
  </si>
  <si>
    <t>Isolador duplo curva 90 graus para SPDA</t>
  </si>
  <si>
    <t>Isolador para telha para SPDA</t>
  </si>
  <si>
    <t>Isolador duplo para mastro reforçado para SPDA</t>
  </si>
  <si>
    <t>Cabo de aço galvanizado a fogo</t>
  </si>
  <si>
    <t>Esticador de cabo de aço galvanizado a fogo</t>
  </si>
  <si>
    <t>Clip para cabo de aço galvanizado a fogo</t>
  </si>
  <si>
    <t>Sapatilha para cabo de aço galvanizado a fogo</t>
  </si>
  <si>
    <t>Tampão R1 Articulado B-125</t>
  </si>
  <si>
    <t>Tampão R2 Articulado B-125</t>
  </si>
  <si>
    <t>Tampão DN 400 Articulado B-125</t>
  </si>
  <si>
    <t>Tampão DN 400 Articulado D-400</t>
  </si>
  <si>
    <t>Tampão DN 600 Articulado D-400</t>
  </si>
  <si>
    <t>Tampão T-33 Articulado B-125</t>
  </si>
  <si>
    <t>Tampão T-33 Simples Pesado</t>
  </si>
  <si>
    <t>Filtro de linha 3 tomadas</t>
  </si>
  <si>
    <t>Filtro de linha 4 tomadas</t>
  </si>
  <si>
    <t>Filtro de linha 5 tomadas</t>
  </si>
  <si>
    <t>Filtro de linha para rack 19 polegadas</t>
  </si>
  <si>
    <t>Tomada industrial monofásica 16 A</t>
  </si>
  <si>
    <t>Plugue industrial monofásico 16 A</t>
  </si>
  <si>
    <t>Acoplamento industrial monofásico 16 A</t>
  </si>
  <si>
    <t>Tomada industrial trifásica 16 A</t>
  </si>
  <si>
    <t>Plugue industrial trifásico 16 A</t>
  </si>
  <si>
    <t>Acoplamento industrial trifásico 16 A</t>
  </si>
  <si>
    <t>Tomada industrial monofásica 32 A</t>
  </si>
  <si>
    <t>Plugue industrial monofásico 32 A</t>
  </si>
  <si>
    <t>Acoplamento industrial monofásico 32 A</t>
  </si>
  <si>
    <t>Tomada industrial trifásica 32 A</t>
  </si>
  <si>
    <t>Plugue industrial trifásico 32 A</t>
  </si>
  <si>
    <t>Acoplamento industrial trifásico 32 A</t>
  </si>
  <si>
    <t>Tomada industrial monofásica 63 A</t>
  </si>
  <si>
    <t>Plugue industrial monofásico 63 A</t>
  </si>
  <si>
    <t>Acoplamento industrial monofásico 63 A</t>
  </si>
  <si>
    <t>Tomada industrial trifásica 63 A</t>
  </si>
  <si>
    <t>Plugue industrial trifásico 63 A</t>
  </si>
  <si>
    <t>Acoplamento industrial trifásico 63 A</t>
  </si>
  <si>
    <t>Tomada para embutir em painel elétrico</t>
  </si>
  <si>
    <t>Plugue macho 10 A</t>
  </si>
  <si>
    <t>Plugue macho 20 A</t>
  </si>
  <si>
    <t>Plugue macho 10 A 90 graus</t>
  </si>
  <si>
    <t>Plugue macho 20 A 90 graus</t>
  </si>
  <si>
    <t>Prolongador 10 A</t>
  </si>
  <si>
    <t>Prolongador 20 A</t>
  </si>
  <si>
    <t>Adaptador de plugue para tomadas</t>
  </si>
  <si>
    <t>Cordão prolongador 0,8 m</t>
  </si>
  <si>
    <t>Cordão prolongador 1,5 m</t>
  </si>
  <si>
    <t>Claviculário 20 chaves</t>
  </si>
  <si>
    <t>Análise físico-química de óleo isolante</t>
  </si>
  <si>
    <t>Análise de gases dissolvidos em óleo isolante</t>
  </si>
  <si>
    <t>Análise de teor de PCB em óleo isolante</t>
  </si>
  <si>
    <t>Descarte de lâmpadas</t>
  </si>
  <si>
    <t>Descarte de reatores e demais resíduos eletroeletrônicos</t>
  </si>
  <si>
    <t>Aluguel de caminhão munck</t>
  </si>
  <si>
    <t>Aluguel de plataforma aérea</t>
  </si>
  <si>
    <t>Aluguel de empilhadeira</t>
  </si>
  <si>
    <t>Aluguel de banco de cargas 400 kW</t>
  </si>
  <si>
    <t>Aluguel de grupo motor-gerador de 200 kVA</t>
  </si>
  <si>
    <t>Hora de funcionamento grupo motor-gerador de 200 kVA</t>
  </si>
  <si>
    <t>Solda exotérmica</t>
  </si>
  <si>
    <t>Chave de abertura de painéis</t>
  </si>
  <si>
    <t>Caixa de ferramentas 40 cm</t>
  </si>
  <si>
    <t>Caixa de ferramentas 50 cm</t>
  </si>
  <si>
    <t>Carrinho de ferramentas</t>
  </si>
  <si>
    <t>Transpalete manual</t>
  </si>
  <si>
    <t>Carrinho plataforma</t>
  </si>
  <si>
    <t>Mesa hidráulica pantográfica</t>
  </si>
  <si>
    <t>Lanterna</t>
  </si>
  <si>
    <t>Cavalete de sinalização de manutenção</t>
  </si>
  <si>
    <t>Cone de sinalização</t>
  </si>
  <si>
    <t>Detector de tensão sem contato de baixa tensão</t>
  </si>
  <si>
    <t>Detector de tensão sem contato de média tensão</t>
  </si>
  <si>
    <t>Conjunto de aterramento temporário para baixa tensão</t>
  </si>
  <si>
    <t>Conjunto de aterramento temporário para média tensão</t>
  </si>
  <si>
    <t>Grampo de aterramento concha-bola</t>
  </si>
  <si>
    <t>Lençol isolante classe 4</t>
  </si>
  <si>
    <t>Vara de manobra</t>
  </si>
  <si>
    <t>Etiqueta de bloqueio</t>
  </si>
  <si>
    <t>Inflador de luvas</t>
  </si>
  <si>
    <t>Protetor de cabos</t>
  </si>
  <si>
    <t>Escada duplo acesso 4 degraus</t>
  </si>
  <si>
    <t>Escada extensível 19 degraus</t>
  </si>
  <si>
    <t>Andaime tubular 1 m por 1 m e 6 m de altura</t>
  </si>
  <si>
    <t>Andaime tubular 1,5 m por 1 m e 6 m de altura</t>
  </si>
  <si>
    <t>Plataforma de trabalho aéreo</t>
  </si>
  <si>
    <t>Talabarte simples</t>
  </si>
  <si>
    <t>Tripé para trabalho em altura e espaço confinado</t>
  </si>
  <si>
    <t>Trava-quedas retrátil e guincho (3way) para tripé de trabalho em altura e espaço confinado</t>
  </si>
  <si>
    <t>Corda semi-estática 11 mm</t>
  </si>
  <si>
    <t>Mosquetão</t>
  </si>
  <si>
    <t>Cinta de ancoragem com anéis</t>
  </si>
  <si>
    <t>Trapézio para espaço confinado</t>
  </si>
  <si>
    <t>Polia simples para corda</t>
  </si>
  <si>
    <t>Alicate crimpador hidráulico</t>
  </si>
  <si>
    <t>Crimpador/cortador de cabos a bateria</t>
  </si>
  <si>
    <t>Ferramenta multifuncional para barramentos de cobre</t>
  </si>
  <si>
    <t>Estampo furador hidráulico</t>
  </si>
  <si>
    <t>Esmerilhadeira Angular de 5” com controle de velocidade</t>
  </si>
  <si>
    <t>Furadeira de impacto 800 W</t>
  </si>
  <si>
    <t>Furadeira de impacto sem fio</t>
  </si>
  <si>
    <t>Furadeira/parafusadeira sem fio</t>
  </si>
  <si>
    <t>Chave de impacto sem fio</t>
  </si>
  <si>
    <t>Soprador de ar sem fio</t>
  </si>
  <si>
    <t>Soprador/aspirador de pó</t>
  </si>
  <si>
    <t>Soprador térmico</t>
  </si>
  <si>
    <t>Rotulador</t>
  </si>
  <si>
    <t>Hipot 30 kV</t>
  </si>
  <si>
    <t>Serra rápida portátil</t>
  </si>
  <si>
    <t>Policorte</t>
  </si>
  <si>
    <t>Nível laser de linhas</t>
  </si>
  <si>
    <t>Refletor a bateria</t>
  </si>
  <si>
    <t>Microretífica</t>
  </si>
  <si>
    <t>Motoesmeril 6 polegadas</t>
  </si>
  <si>
    <t>Martelo perfurador rompedor 800 W</t>
  </si>
  <si>
    <t>Furadeira de impacto 750 W</t>
  </si>
  <si>
    <t>Serra tico-tico</t>
  </si>
  <si>
    <t>Serra copo diamantada 25 mm</t>
  </si>
  <si>
    <t>Serra copo diamantada 30 mm</t>
  </si>
  <si>
    <t>Serra copo diamantada 35 mm</t>
  </si>
  <si>
    <t>Serra copo diamantada 45 mm</t>
  </si>
  <si>
    <t>Serra copo diamantada 50 mm</t>
  </si>
  <si>
    <t>Serra copo diamantada 65 mm</t>
  </si>
  <si>
    <t>Alicate de corte isolado 160 mm</t>
  </si>
  <si>
    <t>Alicate de corte frontal isolado 160 mm</t>
  </si>
  <si>
    <t>Alicate universal isolado 200 mm</t>
  </si>
  <si>
    <t>Alicate bico reto isolado 160 mm</t>
  </si>
  <si>
    <t>Alicate bico curvo isolado 160 mm</t>
  </si>
  <si>
    <t>Alicate desencapador isolado 160 mm</t>
  </si>
  <si>
    <t>Jogo de soquetes 1/2 isolado</t>
  </si>
  <si>
    <t>Chave estrela 8 mm isolada</t>
  </si>
  <si>
    <t>Chave fixa 9 mm isolada</t>
  </si>
  <si>
    <t>Chave estrela 9 mm isolada</t>
  </si>
  <si>
    <t>Chave fixa 10 mm isolada</t>
  </si>
  <si>
    <t>Chave estrela 10 mm isolada</t>
  </si>
  <si>
    <t>Chave fixa 11 mm isolada</t>
  </si>
  <si>
    <t>Chave estrela 11 mm isolada</t>
  </si>
  <si>
    <t>Chave fixa 12 mm isolada</t>
  </si>
  <si>
    <t>Chave estrela 12 mm isolada</t>
  </si>
  <si>
    <t>Chave fixa 13 mm isolada</t>
  </si>
  <si>
    <t>Chave estrela 13 mm isolada</t>
  </si>
  <si>
    <t>Chave fixa 14 mm isolada</t>
  </si>
  <si>
    <t>Chave estrela 14 mm isolada</t>
  </si>
  <si>
    <t>Chave fixa 15 mm isolada</t>
  </si>
  <si>
    <t>Chave estrela 15 mm isolada</t>
  </si>
  <si>
    <t>Chave fixa 17 mm isolada</t>
  </si>
  <si>
    <t>Chave estrela 17 mm isolada</t>
  </si>
  <si>
    <t>Chave fixa 19 mm isolada</t>
  </si>
  <si>
    <t>Chave estrela 19 mm isolada</t>
  </si>
  <si>
    <t>Chave fixa 22 mm isolada</t>
  </si>
  <si>
    <t>Chave estrela 22 mm isolada</t>
  </si>
  <si>
    <t>Chave Phillips isolada PH0</t>
  </si>
  <si>
    <t>Chave Phillips isolada PH1</t>
  </si>
  <si>
    <t>Chave Phillips isolada PH2</t>
  </si>
  <si>
    <t>Chave Phillips isolada PH3</t>
  </si>
  <si>
    <t>Chave Phillips isolada PH4</t>
  </si>
  <si>
    <t>Chave de fenda isolada 2,5 mm</t>
  </si>
  <si>
    <t>Chave de fenda isolada 3 mm</t>
  </si>
  <si>
    <t>Chave de fenda isolada 4 mm</t>
  </si>
  <si>
    <t>Chave de fenda isolada 5,5 mm</t>
  </si>
  <si>
    <t>Chave de fenda isolada 6,5 mm</t>
  </si>
  <si>
    <t>Chave de fenda isolada 8 mm</t>
  </si>
  <si>
    <t>Faca desencapadora de fios isolada</t>
  </si>
  <si>
    <t>Chave Pozidriv isolada PZ0</t>
  </si>
  <si>
    <t>Chave Pozidriv isolada PZ1</t>
  </si>
  <si>
    <t>Chave Pozidriv isolada PZ2</t>
  </si>
  <si>
    <t>Chave Pozidriv isolada PZ3</t>
  </si>
  <si>
    <t>Saca fusível</t>
  </si>
  <si>
    <t>Alicate crimpador com catraca para terminal RJ45</t>
  </si>
  <si>
    <t>Alicate punch down para terminal RJ45</t>
  </si>
  <si>
    <t>Alicate desencapador automático</t>
  </si>
  <si>
    <t>Alicate corta cabos com catraca</t>
  </si>
  <si>
    <t>Jogo de chave allen em polegadas</t>
  </si>
  <si>
    <t>Jogo de soquete allen 1/2 métrico</t>
  </si>
  <si>
    <t>Jogo de soquete 1/2 torx</t>
  </si>
  <si>
    <t>Jogo de chaves combinadas com catraca métrico</t>
  </si>
  <si>
    <t>Jogo de chaves combinadas com catraca em polegadas</t>
  </si>
  <si>
    <t>Jogo de chaves combinadas métrico</t>
  </si>
  <si>
    <t>Jogo de chaves combinadas em polegadas</t>
  </si>
  <si>
    <t>Jogo de soquetes sextavado longos 1/2 métrico</t>
  </si>
  <si>
    <t>Jogo de soquetes sextavado 1/2 métrico</t>
  </si>
  <si>
    <t>Jogo de soquetes 1/2 em polegadas</t>
  </si>
  <si>
    <t>Jogo de soquetes 3/8</t>
  </si>
  <si>
    <t>Jogo de soquetes 1/4 métrico 25 soquetes</t>
  </si>
  <si>
    <t>Jogo de adaptador de soquetes</t>
  </si>
  <si>
    <t>Jogo de bits</t>
  </si>
  <si>
    <t>Jogo de chaves biela métrico</t>
  </si>
  <si>
    <t>Arco de serra de extra-alta tensão</t>
  </si>
  <si>
    <t>Jogo de soquetes sextavado de impacto 1/2 métrico</t>
  </si>
  <si>
    <t>Chave de borne 3 mm</t>
  </si>
  <si>
    <t>Chave de borne 4 mm</t>
  </si>
  <si>
    <t>Jogo de chaves de precisão</t>
  </si>
  <si>
    <t>Jogo de chaves de precisão longas</t>
  </si>
  <si>
    <t>Passa fio com alma de aço 20 m</t>
  </si>
  <si>
    <t>Passa fio helicoidal 20 m</t>
  </si>
  <si>
    <t>Passa fio 50 m com carretel</t>
  </si>
  <si>
    <t>Jogo de alicates para anéis</t>
  </si>
  <si>
    <t>Jogo de tarraxas manuais</t>
  </si>
  <si>
    <t>Alicate de corte diagonal para microeletrônica</t>
  </si>
  <si>
    <t>Alicate de pressão</t>
  </si>
  <si>
    <t>Punção de centro</t>
  </si>
  <si>
    <t>Rebitadeira de rosca</t>
  </si>
  <si>
    <t>Serrote para gesso 150 mm</t>
  </si>
  <si>
    <t>Martelo de borracha</t>
  </si>
  <si>
    <t>Martelo tipo pena</t>
  </si>
  <si>
    <t>Martelo com borda em plástico</t>
  </si>
  <si>
    <t>Morsa de bancada</t>
  </si>
  <si>
    <t>Riscador de metal duro</t>
  </si>
  <si>
    <t>Jogo de macho e cossinete</t>
  </si>
  <si>
    <t>Alicate amperímetro 400 A</t>
  </si>
  <si>
    <t>Alicate amperímetro 1000 A</t>
  </si>
  <si>
    <t>Termômetro infravermelho</t>
  </si>
  <si>
    <t>Trena a laser 40m</t>
  </si>
  <si>
    <t>Trena 8m</t>
  </si>
  <si>
    <t>Trena 50m</t>
  </si>
  <si>
    <t>Torquímetro de estalo 100 Nm</t>
  </si>
  <si>
    <t>Torquímetro de estalo 50 Nm</t>
  </si>
  <si>
    <t>Torquímetro de estalo 25 Nm</t>
  </si>
  <si>
    <t>Torquímetro axial 6 Nm</t>
  </si>
  <si>
    <t>Analisador de qualidade de energia trifásico</t>
  </si>
  <si>
    <t>Fasímetro</t>
  </si>
  <si>
    <t>Megôhmetro 10 kV</t>
  </si>
  <si>
    <t>Megôhmetro 1 kV</t>
  </si>
  <si>
    <t>Microhmímetro 200 A</t>
  </si>
  <si>
    <t>Terrômetro</t>
  </si>
  <si>
    <t>Termovisor de alta resolução</t>
  </si>
  <si>
    <t>Termovisor</t>
  </si>
  <si>
    <t>Termo-higrômetro</t>
  </si>
  <si>
    <t>Multímetro</t>
  </si>
  <si>
    <t>Medidor LCR</t>
  </si>
  <si>
    <t>Paquímetro digital 150 mm</t>
  </si>
  <si>
    <t>Luxímetro</t>
  </si>
  <si>
    <t>Testador de cabo de rede</t>
  </si>
  <si>
    <t>Escala métrica 300 mm</t>
  </si>
  <si>
    <t>Escala métrica 600 mm</t>
  </si>
  <si>
    <t>Escala métrica 1500 mm</t>
  </si>
  <si>
    <t>Esquadro combinado</t>
  </si>
  <si>
    <t>Programadora de portões</t>
  </si>
  <si>
    <t>Veículo do tipo automóvel de passageiros</t>
  </si>
  <si>
    <t>Camiseta de manga curta com identificação da empresa</t>
  </si>
  <si>
    <t>Luva isolante classe 0</t>
  </si>
  <si>
    <t>Luva isolante classe 2</t>
  </si>
  <si>
    <t>Luva de cobertura para luva isolante</t>
  </si>
  <si>
    <t>Bolsa para luvas isolantes</t>
  </si>
  <si>
    <t>Vestimenta antichama classe 2</t>
  </si>
  <si>
    <t>Vestimenta antichama classe 4</t>
  </si>
  <si>
    <t>Capuz antichama classe 4</t>
  </si>
  <si>
    <t>Balaclava antichama classe 2</t>
  </si>
  <si>
    <t>Protetor auricular tipo abafador dielétrico</t>
  </si>
  <si>
    <t>Respirador PFF-2</t>
  </si>
  <si>
    <t>Luva nitrílica</t>
  </si>
  <si>
    <t>Luva de nylon com banho em PU</t>
  </si>
  <si>
    <t>Luva de vaqueta</t>
  </si>
  <si>
    <t>Capacete de segurança para trabalho em altura</t>
  </si>
  <si>
    <t>Luva para proteção química</t>
  </si>
  <si>
    <t>Luva pigmentada</t>
  </si>
  <si>
    <t>Protetor solar</t>
  </si>
  <si>
    <t>Sabonete desengraxante</t>
  </si>
  <si>
    <t>Carpete em placa para o Bloco 2 (Interlegis) - fornecimento e instalação</t>
  </si>
  <si>
    <t>Carpete em rolo para o Bloco 2 (Interlegis) - fornecimento e instalação</t>
  </si>
  <si>
    <t>Corte em chapas metálicas</t>
  </si>
  <si>
    <t>Remoção de revestimento em chapa de alumínio ACM para aproveitamento</t>
  </si>
  <si>
    <t>Instalação de revestimento em chapa de alumínio ACM reaproveitado</t>
  </si>
  <si>
    <t>Adesivo Estrutural Epóxi Bicomponente – fornecimento e aplicação</t>
  </si>
  <si>
    <t>Quadro 400x300x200 mm – fornecimento e instalação</t>
  </si>
  <si>
    <t>Pavimentação em concreto simples</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</si>
  <si>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</si>
  <si>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</si>
  <si>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</si>
  <si>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</si>
  <si>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</si>
  <si>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</si>
  <si>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</si>
  <si>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Projeto Executivo de Instalação de Central de Geração de Energia – Obras civis - AT 31 e AT 32</t>
  </si>
  <si>
    <t>Poste reto 5 metros – fornecimento e instalação</t>
  </si>
  <si>
    <t>Suporte para luminária de poste simples – fornecimento e instalação</t>
  </si>
  <si>
    <t>mês</t>
  </si>
  <si>
    <t>pct</t>
  </si>
  <si>
    <t>cx</t>
  </si>
  <si>
    <t>SF-01384</t>
  </si>
  <si>
    <t>SF-01385</t>
  </si>
  <si>
    <t>SF-01386</t>
  </si>
  <si>
    <t>SF-01387</t>
  </si>
  <si>
    <t>SF-01388</t>
  </si>
  <si>
    <t>SF-01389</t>
  </si>
  <si>
    <t>SF-01390</t>
  </si>
  <si>
    <t>SF-01391</t>
  </si>
  <si>
    <t>SF-01392</t>
  </si>
  <si>
    <t>SF-01393</t>
  </si>
  <si>
    <t>SF-01394</t>
  </si>
  <si>
    <t>SF-01395</t>
  </si>
  <si>
    <t>SF-01396</t>
  </si>
  <si>
    <t>SF-01397</t>
  </si>
  <si>
    <t>SF-01398</t>
  </si>
  <si>
    <t>SF-01399</t>
  </si>
  <si>
    <t>SF-01400</t>
  </si>
  <si>
    <t>SF-01401</t>
  </si>
  <si>
    <t>SF-01402</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</si>
  <si>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</si>
  <si>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</si>
  <si>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</si>
  <si>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</si>
  <si>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</si>
  <si>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</si>
  <si>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</si>
  <si>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</si>
  <si>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</si>
  <si>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</si>
  <si>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</si>
  <si>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</si>
  <si>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</si>
  <si>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</si>
  <si>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</si>
  <si>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</si>
  <si>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</si>
  <si>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</si>
  <si>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</si>
  <si>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</si>
  <si>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SF-01423</t>
  </si>
  <si>
    <t>SF-01424</t>
  </si>
  <si>
    <t>SF-01425</t>
  </si>
  <si>
    <t>SF-01426</t>
  </si>
  <si>
    <t>SF-01427</t>
  </si>
  <si>
    <t>SF-01428</t>
  </si>
  <si>
    <t>SF-01429</t>
  </si>
  <si>
    <t>SF-01430</t>
  </si>
  <si>
    <t>SF-01431</t>
  </si>
  <si>
    <t>SF-01432</t>
  </si>
  <si>
    <t>SF-01433</t>
  </si>
  <si>
    <t>SF-01434</t>
  </si>
  <si>
    <t>SF-01435</t>
  </si>
  <si>
    <t>SF-01436</t>
  </si>
  <si>
    <t>SF-01437</t>
  </si>
  <si>
    <t>SF-01438</t>
  </si>
  <si>
    <t>SF-01439</t>
  </si>
  <si>
    <t>SF-01440</t>
  </si>
  <si>
    <t>SF-01441</t>
  </si>
  <si>
    <t>SF-01442</t>
  </si>
  <si>
    <t>SF-01443</t>
  </si>
  <si>
    <t>SF-01444</t>
  </si>
  <si>
    <t>SF-01445</t>
  </si>
  <si>
    <t>SF-01446</t>
  </si>
  <si>
    <t>SF-01447</t>
  </si>
  <si>
    <t>SF-01448</t>
  </si>
  <si>
    <t>SF-01449</t>
  </si>
  <si>
    <t>SF-01450</t>
  </si>
  <si>
    <t>SF-01451</t>
  </si>
  <si>
    <t>SF-01452</t>
  </si>
  <si>
    <t>SF-01453</t>
  </si>
  <si>
    <t>SF-01454</t>
  </si>
  <si>
    <t>SF-01455</t>
  </si>
  <si>
    <t>SF-01456</t>
  </si>
  <si>
    <t>SF-01457</t>
  </si>
  <si>
    <t>SF-01458</t>
  </si>
  <si>
    <t>SF-01459</t>
  </si>
  <si>
    <t>SF-01460</t>
  </si>
  <si>
    <t>SF-01461</t>
  </si>
  <si>
    <t>SF-01462</t>
  </si>
  <si>
    <t>SF-01463</t>
  </si>
  <si>
    <t>SF-01464</t>
  </si>
  <si>
    <t>SF-01465</t>
  </si>
  <si>
    <t>SF-01466</t>
  </si>
  <si>
    <t>SF-01467</t>
  </si>
  <si>
    <t>SF-01468</t>
  </si>
  <si>
    <t>SF-01469</t>
  </si>
  <si>
    <t>SF-01470</t>
  </si>
  <si>
    <t>SF-01471</t>
  </si>
  <si>
    <t>SF-01472</t>
  </si>
  <si>
    <t>SF-01473</t>
  </si>
  <si>
    <t>SF-01474</t>
  </si>
  <si>
    <t>SF-01475</t>
  </si>
  <si>
    <t>SF-01476</t>
  </si>
  <si>
    <t>SF-01477</t>
  </si>
  <si>
    <t>SF-01478</t>
  </si>
  <si>
    <t>SF-01479</t>
  </si>
  <si>
    <t>SF-01480</t>
  </si>
  <si>
    <t>SF-01481</t>
  </si>
  <si>
    <t>SF-01482</t>
  </si>
  <si>
    <t>SF-01483</t>
  </si>
  <si>
    <t>SF-01484</t>
  </si>
  <si>
    <t>SF-01485</t>
  </si>
  <si>
    <t>SF-01486</t>
  </si>
  <si>
    <t>SF-01487</t>
  </si>
  <si>
    <t>SF-01488</t>
  </si>
  <si>
    <t>SF-01489</t>
  </si>
  <si>
    <t>SF-01490</t>
  </si>
  <si>
    <t>SF-01491</t>
  </si>
  <si>
    <t>SF-01492</t>
  </si>
  <si>
    <t>SF-01493</t>
  </si>
  <si>
    <t>SF-01494</t>
  </si>
  <si>
    <t>SF-01495</t>
  </si>
  <si>
    <t>SF-01496</t>
  </si>
  <si>
    <t>SF-01497</t>
  </si>
  <si>
    <t>SF-01498</t>
  </si>
  <si>
    <t>SF-01499</t>
  </si>
  <si>
    <t>SF-01500</t>
  </si>
  <si>
    <t>SF-01501</t>
  </si>
  <si>
    <t>SF-01502</t>
  </si>
  <si>
    <t>SF-01503</t>
  </si>
  <si>
    <t>SF-01504</t>
  </si>
  <si>
    <t>SF-01505</t>
  </si>
  <si>
    <t>SF-01506</t>
  </si>
  <si>
    <t>SF-01507</t>
  </si>
  <si>
    <t>SF-01508</t>
  </si>
  <si>
    <t>SF-01509</t>
  </si>
  <si>
    <t>SF-01510</t>
  </si>
  <si>
    <t>SF-01511</t>
  </si>
  <si>
    <t>SF-01512</t>
  </si>
  <si>
    <t>SF-01513</t>
  </si>
  <si>
    <t>SF-01514</t>
  </si>
  <si>
    <t>SF-01515</t>
  </si>
  <si>
    <t>SF-01516</t>
  </si>
  <si>
    <t>SF-01517</t>
  </si>
  <si>
    <t>SF-01518</t>
  </si>
  <si>
    <t>SF-01519</t>
  </si>
  <si>
    <t>SF-01520</t>
  </si>
  <si>
    <t>SF-01521</t>
  </si>
  <si>
    <t>SF-01522</t>
  </si>
  <si>
    <t>SF-01523</t>
  </si>
  <si>
    <t>SF-01524</t>
  </si>
  <si>
    <t>SF-01525</t>
  </si>
  <si>
    <t>SF-01526</t>
  </si>
  <si>
    <t>SF-01527</t>
  </si>
  <si>
    <t>SF-01528</t>
  </si>
  <si>
    <t>SF-01529</t>
  </si>
  <si>
    <t>SF-01530</t>
  </si>
  <si>
    <t>SF-01531</t>
  </si>
  <si>
    <t>SF-01532</t>
  </si>
  <si>
    <t>SF-01533</t>
  </si>
  <si>
    <t>SF-01534</t>
  </si>
  <si>
    <t>SF-01535</t>
  </si>
  <si>
    <t>SF-01536</t>
  </si>
  <si>
    <t>SF-01537</t>
  </si>
  <si>
    <t>SF-01538</t>
  </si>
  <si>
    <t>SF-01539</t>
  </si>
  <si>
    <t>SF-01540</t>
  </si>
  <si>
    <t>SF-01541</t>
  </si>
  <si>
    <t>SF-01542</t>
  </si>
  <si>
    <t>SF-01543</t>
  </si>
  <si>
    <t>SF-01544</t>
  </si>
  <si>
    <t>SF-01545</t>
  </si>
  <si>
    <t>SF-01546</t>
  </si>
  <si>
    <t>SF-01547</t>
  </si>
  <si>
    <t>SF-01548</t>
  </si>
  <si>
    <t>SF-01549</t>
  </si>
  <si>
    <t>SF-01550</t>
  </si>
  <si>
    <t>SF-01551</t>
  </si>
  <si>
    <t>SF-01552</t>
  </si>
  <si>
    <t>SF-01553</t>
  </si>
  <si>
    <t>SF-01554</t>
  </si>
  <si>
    <t>SF-01555</t>
  </si>
  <si>
    <t>SF-01556</t>
  </si>
  <si>
    <t>SF-01557</t>
  </si>
  <si>
    <t>SF-01558</t>
  </si>
  <si>
    <t>SF-01559</t>
  </si>
  <si>
    <t>SF-01560</t>
  </si>
  <si>
    <t>SF-01561</t>
  </si>
  <si>
    <t>SF-01562</t>
  </si>
  <si>
    <t>SF-01563</t>
  </si>
  <si>
    <t>SF-01564</t>
  </si>
  <si>
    <t>SF-01565</t>
  </si>
  <si>
    <t>SF-01566</t>
  </si>
  <si>
    <t>SF-01567</t>
  </si>
  <si>
    <t>SF-01568</t>
  </si>
  <si>
    <t>SF-01569</t>
  </si>
  <si>
    <t>SF-01570</t>
  </si>
  <si>
    <t>SF-01571</t>
  </si>
  <si>
    <t>SF-01572</t>
  </si>
  <si>
    <t>SF-01573</t>
  </si>
  <si>
    <t>SF-01574</t>
  </si>
  <si>
    <t>SF-01575</t>
  </si>
  <si>
    <t>SF-01576</t>
  </si>
  <si>
    <t>SF-01577</t>
  </si>
  <si>
    <t>SF-01578</t>
  </si>
  <si>
    <t>SF-01579</t>
  </si>
  <si>
    <t>SF-01580</t>
  </si>
  <si>
    <t>SF-01581</t>
  </si>
  <si>
    <t>SF-01582</t>
  </si>
  <si>
    <t>SF-01583</t>
  </si>
  <si>
    <t>SF-01584</t>
  </si>
  <si>
    <t>SF-01585</t>
  </si>
  <si>
    <t>SF-01586</t>
  </si>
  <si>
    <t>SF-01587</t>
  </si>
  <si>
    <t>SF-01588</t>
  </si>
  <si>
    <t>SF-01589</t>
  </si>
  <si>
    <t>SF-01590</t>
  </si>
  <si>
    <t>SF-01591</t>
  </si>
  <si>
    <t>SF-01592</t>
  </si>
  <si>
    <t>SF-01593</t>
  </si>
  <si>
    <t>SF-01594</t>
  </si>
  <si>
    <t>SF-01595</t>
  </si>
  <si>
    <t>SF-01596</t>
  </si>
  <si>
    <t>SF-01597</t>
  </si>
  <si>
    <t>SF-01598</t>
  </si>
  <si>
    <t>SF-01599</t>
  </si>
  <si>
    <t>SF-01600</t>
  </si>
  <si>
    <t>SF-01601</t>
  </si>
  <si>
    <t>SF-01602</t>
  </si>
  <si>
    <t>SF-01603</t>
  </si>
  <si>
    <t>SF-01604</t>
  </si>
  <si>
    <t>SF-01605</t>
  </si>
  <si>
    <t>SF-01606</t>
  </si>
  <si>
    <t>SF-01607</t>
  </si>
  <si>
    <t>SF-01608</t>
  </si>
  <si>
    <t>SF-01609</t>
  </si>
  <si>
    <t>SF-01610</t>
  </si>
  <si>
    <t>SF-01611</t>
  </si>
  <si>
    <t>SF-01612</t>
  </si>
  <si>
    <t>SF-01613</t>
  </si>
  <si>
    <t>SF-01614</t>
  </si>
  <si>
    <t>SF-01615</t>
  </si>
  <si>
    <t>SF-01616</t>
  </si>
  <si>
    <t>SF-01617</t>
  </si>
  <si>
    <t>SF-01618</t>
  </si>
  <si>
    <t>SF-01619</t>
  </si>
  <si>
    <t>SF-01620</t>
  </si>
  <si>
    <t>SF-01621</t>
  </si>
  <si>
    <t>SF-01622</t>
  </si>
  <si>
    <t>SF-01623</t>
  </si>
  <si>
    <t>SF-01624</t>
  </si>
  <si>
    <t>SF-01625</t>
  </si>
  <si>
    <t>SF-01626</t>
  </si>
  <si>
    <t>SF-01627</t>
  </si>
  <si>
    <t>SF-01628</t>
  </si>
  <si>
    <t>SF-01629</t>
  </si>
  <si>
    <t>SF-01630</t>
  </si>
  <si>
    <t>SF-01631</t>
  </si>
  <si>
    <t>SF-01632</t>
  </si>
  <si>
    <t>SF-01633</t>
  </si>
  <si>
    <t>SF-01634</t>
  </si>
  <si>
    <t>SF-01635</t>
  </si>
  <si>
    <t>SF-01636</t>
  </si>
  <si>
    <t>SF-01637</t>
  </si>
  <si>
    <t>SF-01638</t>
  </si>
  <si>
    <t>SF-01639</t>
  </si>
  <si>
    <t>SF-01640</t>
  </si>
  <si>
    <t>SF-01641</t>
  </si>
  <si>
    <t>SF-01642</t>
  </si>
  <si>
    <t>SF-01643</t>
  </si>
  <si>
    <t>SF-01644</t>
  </si>
  <si>
    <t>SF-01645</t>
  </si>
  <si>
    <t>SF-01646</t>
  </si>
  <si>
    <t>SF-01647</t>
  </si>
  <si>
    <t>SF-01648</t>
  </si>
  <si>
    <t>SF-01649</t>
  </si>
  <si>
    <t>SF-01650</t>
  </si>
  <si>
    <t>SF-01651</t>
  </si>
  <si>
    <t>SF-01652</t>
  </si>
  <si>
    <t>SF-01653</t>
  </si>
  <si>
    <t>SF-01654</t>
  </si>
  <si>
    <t>SF-01655</t>
  </si>
  <si>
    <t>SF-01656</t>
  </si>
  <si>
    <t>SF-01657</t>
  </si>
  <si>
    <t>SF-01658</t>
  </si>
  <si>
    <t>SF-01659</t>
  </si>
  <si>
    <t>SF-01660</t>
  </si>
  <si>
    <t>SF-01661</t>
  </si>
  <si>
    <t>SF-01662</t>
  </si>
  <si>
    <t>SF-01663</t>
  </si>
  <si>
    <t>SF-01664</t>
  </si>
  <si>
    <t>SF-01665</t>
  </si>
  <si>
    <t>SF-01666</t>
  </si>
  <si>
    <t>SF-01667</t>
  </si>
  <si>
    <t>SF-01668</t>
  </si>
  <si>
    <t>SF-01669</t>
  </si>
  <si>
    <t>SF-01670</t>
  </si>
  <si>
    <t>SF-01671</t>
  </si>
  <si>
    <t>SF-01672</t>
  </si>
  <si>
    <t>SF-01673</t>
  </si>
  <si>
    <t>SF-01674</t>
  </si>
  <si>
    <t>SF-01675</t>
  </si>
  <si>
    <t>SF-01676</t>
  </si>
  <si>
    <t>SF-01677</t>
  </si>
  <si>
    <t>SF-01678</t>
  </si>
  <si>
    <t>SF-01679</t>
  </si>
  <si>
    <t>SF-01680</t>
  </si>
  <si>
    <t>SF-01681</t>
  </si>
  <si>
    <t>SF-01682</t>
  </si>
  <si>
    <t>SF-01683</t>
  </si>
  <si>
    <t>SF-01684</t>
  </si>
  <si>
    <t>SF-01685</t>
  </si>
  <si>
    <t>SF-01686</t>
  </si>
  <si>
    <t>SF-01687</t>
  </si>
  <si>
    <t>SF-01688</t>
  </si>
  <si>
    <t>SF-01689</t>
  </si>
  <si>
    <t>SF-01690</t>
  </si>
  <si>
    <t>SF-01691</t>
  </si>
  <si>
    <t>SF-01692</t>
  </si>
  <si>
    <t>SF-01693</t>
  </si>
  <si>
    <t>SF-01694</t>
  </si>
  <si>
    <t>SF-01695</t>
  </si>
  <si>
    <t>SF-01696</t>
  </si>
  <si>
    <t>SF-01697</t>
  </si>
  <si>
    <t>SF-01698</t>
  </si>
  <si>
    <t>SF-01699</t>
  </si>
  <si>
    <t>SF-01700</t>
  </si>
  <si>
    <t>SF-01701</t>
  </si>
  <si>
    <t>SF-01702</t>
  </si>
  <si>
    <t>SF-01703</t>
  </si>
  <si>
    <t>SF-01704</t>
  </si>
  <si>
    <t>SF-01705</t>
  </si>
  <si>
    <t>SF-01706</t>
  </si>
  <si>
    <t>SF-01707</t>
  </si>
  <si>
    <t>SF-01708</t>
  </si>
  <si>
    <t>SF-01709</t>
  </si>
  <si>
    <t>SF-01710</t>
  </si>
  <si>
    <t>SF-01711</t>
  </si>
  <si>
    <t>SF-01712</t>
  </si>
  <si>
    <t>SF-01713</t>
  </si>
  <si>
    <t>SF-01714</t>
  </si>
  <si>
    <t>SF-01715</t>
  </si>
  <si>
    <t>SF-01716</t>
  </si>
  <si>
    <t>SF-01717</t>
  </si>
  <si>
    <t>SF-01718</t>
  </si>
  <si>
    <t>SF-01719</t>
  </si>
  <si>
    <t>SF-01720</t>
  </si>
  <si>
    <t>SF-01721</t>
  </si>
  <si>
    <t>SF-01722</t>
  </si>
  <si>
    <t>SF-01723</t>
  </si>
  <si>
    <t>SF-01724</t>
  </si>
  <si>
    <t>SF-01725</t>
  </si>
  <si>
    <t>SF-01726</t>
  </si>
  <si>
    <t>SF-01727</t>
  </si>
  <si>
    <t>SF-01728</t>
  </si>
  <si>
    <t>SF-01729</t>
  </si>
  <si>
    <t>SF-01730</t>
  </si>
  <si>
    <t>SF-01731</t>
  </si>
  <si>
    <t>SF-01732</t>
  </si>
  <si>
    <t>SF-01733</t>
  </si>
  <si>
    <t>SF-01734</t>
  </si>
  <si>
    <t>SF-01735</t>
  </si>
  <si>
    <t>SF-01736</t>
  </si>
  <si>
    <t>SF-01737</t>
  </si>
  <si>
    <t>SF-01738</t>
  </si>
  <si>
    <t>SF-01739</t>
  </si>
  <si>
    <t>SF-01740</t>
  </si>
  <si>
    <t>SF-01741</t>
  </si>
  <si>
    <t>SF-01742</t>
  </si>
  <si>
    <t>SF-01743</t>
  </si>
  <si>
    <t>SF-01744</t>
  </si>
  <si>
    <t>SF-01745</t>
  </si>
  <si>
    <t>SF-01746</t>
  </si>
  <si>
    <t>SF-01747</t>
  </si>
  <si>
    <t>SF-01748</t>
  </si>
  <si>
    <t>SF-01749</t>
  </si>
  <si>
    <t>SF-01750</t>
  </si>
  <si>
    <t>SF-01751</t>
  </si>
  <si>
    <t>SF-01752</t>
  </si>
  <si>
    <t>SF-01753</t>
  </si>
  <si>
    <t>SF-01754</t>
  </si>
  <si>
    <t>SF-01755</t>
  </si>
  <si>
    <t>SF-01756</t>
  </si>
  <si>
    <t>SF-01757</t>
  </si>
  <si>
    <t>SF-01758</t>
  </si>
  <si>
    <t>SF-01759</t>
  </si>
  <si>
    <t>SF-01760</t>
  </si>
  <si>
    <t>SF-01761</t>
  </si>
  <si>
    <t>SF-01762</t>
  </si>
  <si>
    <t>SF-01763</t>
  </si>
  <si>
    <t>SF-01764</t>
  </si>
  <si>
    <t>SF-01765</t>
  </si>
  <si>
    <t>SF-01766</t>
  </si>
  <si>
    <t>SF-01767</t>
  </si>
  <si>
    <t>SF-01768</t>
  </si>
  <si>
    <t>SF-01769</t>
  </si>
  <si>
    <t>SF-01770</t>
  </si>
  <si>
    <t>SF-01771</t>
  </si>
  <si>
    <t>SF-01772</t>
  </si>
  <si>
    <t>SF-01773</t>
  </si>
  <si>
    <t>SF-01774</t>
  </si>
  <si>
    <t>SF-01775</t>
  </si>
  <si>
    <t>SF-01776</t>
  </si>
  <si>
    <t>SF-01777</t>
  </si>
  <si>
    <t>SF-01778</t>
  </si>
  <si>
    <t>SF-01779</t>
  </si>
  <si>
    <t>SF-01780</t>
  </si>
  <si>
    <t>SF-01781</t>
  </si>
  <si>
    <t>SF-01782</t>
  </si>
  <si>
    <t>SF-01783</t>
  </si>
  <si>
    <t>SF-01784</t>
  </si>
  <si>
    <t>SF-01785</t>
  </si>
  <si>
    <t>SF-01786</t>
  </si>
  <si>
    <t>SF-01787</t>
  </si>
  <si>
    <t>SF-01788</t>
  </si>
  <si>
    <t>SF-01789</t>
  </si>
  <si>
    <t>SF-01790</t>
  </si>
  <si>
    <t>SF-01791</t>
  </si>
  <si>
    <t>SF-01792</t>
  </si>
  <si>
    <t>SF-01793</t>
  </si>
  <si>
    <t>SF-01794</t>
  </si>
  <si>
    <t>SF-01795</t>
  </si>
  <si>
    <t>SF-01796</t>
  </si>
  <si>
    <t>SF-01797</t>
  </si>
  <si>
    <t>SF-01798</t>
  </si>
  <si>
    <t>SF-01799</t>
  </si>
  <si>
    <t>SF-01800</t>
  </si>
  <si>
    <t>SF-01801</t>
  </si>
  <si>
    <t>SF-01802</t>
  </si>
  <si>
    <t>SF-01803</t>
  </si>
  <si>
    <t>SF-01804</t>
  </si>
  <si>
    <t>SF-01805</t>
  </si>
  <si>
    <t>SF-01806</t>
  </si>
  <si>
    <t>SF-01807</t>
  </si>
  <si>
    <t>SF-01808</t>
  </si>
  <si>
    <t>SF-01809</t>
  </si>
  <si>
    <t>SF-01810</t>
  </si>
  <si>
    <t>SF-01811</t>
  </si>
  <si>
    <t>SF-01812</t>
  </si>
  <si>
    <t>SF-01813</t>
  </si>
  <si>
    <t>SF-01814</t>
  </si>
  <si>
    <t>SF-01815</t>
  </si>
  <si>
    <t>SF-01816</t>
  </si>
  <si>
    <t>SF-01817</t>
  </si>
  <si>
    <t>SF-01818</t>
  </si>
  <si>
    <t>SF-01819</t>
  </si>
  <si>
    <t>SF-01820</t>
  </si>
  <si>
    <t>SF-01821</t>
  </si>
  <si>
    <t>SF-01822</t>
  </si>
  <si>
    <t>SF-01823</t>
  </si>
  <si>
    <t>SF-01824</t>
  </si>
  <si>
    <t>SF-01825</t>
  </si>
  <si>
    <t>SF-01826</t>
  </si>
  <si>
    <t>SF-01827</t>
  </si>
  <si>
    <t>SF-01828</t>
  </si>
  <si>
    <t>SF-01829</t>
  </si>
  <si>
    <t>SF-01830</t>
  </si>
  <si>
    <t>SF-01831</t>
  </si>
  <si>
    <t>SF-01832</t>
  </si>
  <si>
    <t>SF-01833</t>
  </si>
  <si>
    <t>SF-01834</t>
  </si>
  <si>
    <t>SF-01835</t>
  </si>
  <si>
    <t>SF-01836</t>
  </si>
  <si>
    <t>SF-01837</t>
  </si>
  <si>
    <t>SF-01838</t>
  </si>
  <si>
    <t>SF-01839</t>
  </si>
  <si>
    <t>SF-01840</t>
  </si>
  <si>
    <t>SF-01841</t>
  </si>
  <si>
    <t>SF-01842</t>
  </si>
  <si>
    <t>SF-01843</t>
  </si>
  <si>
    <t>SF-01844</t>
  </si>
  <si>
    <t>SF-01845</t>
  </si>
  <si>
    <t>SF-01846</t>
  </si>
  <si>
    <t>SF-01847</t>
  </si>
  <si>
    <t>SF-01848</t>
  </si>
  <si>
    <t>SF-01849</t>
  </si>
  <si>
    <t>SF-01850</t>
  </si>
  <si>
    <t>SF-01851</t>
  </si>
  <si>
    <t>SF-01852</t>
  </si>
  <si>
    <t>SF-01853</t>
  </si>
  <si>
    <t>SF-01854</t>
  </si>
  <si>
    <t>SF-01855</t>
  </si>
  <si>
    <t>SF-01856</t>
  </si>
  <si>
    <t>SF-01857</t>
  </si>
  <si>
    <t>SF-01858</t>
  </si>
  <si>
    <t>SF-01859</t>
  </si>
  <si>
    <t>SF-01860</t>
  </si>
  <si>
    <t>SF-01861</t>
  </si>
  <si>
    <t>SF-01862</t>
  </si>
  <si>
    <t>SF-01863</t>
  </si>
  <si>
    <t>SF-01864</t>
  </si>
  <si>
    <t>SF-01865</t>
  </si>
  <si>
    <t>SF-01866</t>
  </si>
  <si>
    <t>SF-01867</t>
  </si>
  <si>
    <t>SF-01868</t>
  </si>
  <si>
    <t>SF-01869</t>
  </si>
  <si>
    <t>SF-01870</t>
  </si>
  <si>
    <t>SF-01871</t>
  </si>
  <si>
    <t>SF-01872</t>
  </si>
  <si>
    <t>SF-01873</t>
  </si>
  <si>
    <t>SF-01874</t>
  </si>
  <si>
    <t>SF-01875</t>
  </si>
  <si>
    <t>SF-01876</t>
  </si>
  <si>
    <t>SF-01877</t>
  </si>
  <si>
    <t>SF-01878</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</si>
  <si>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</si>
  <si>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</si>
  <si>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</si>
  <si>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</si>
  <si>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</si>
  <si>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</si>
  <si>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</si>
  <si>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</si>
  <si>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</si>
  <si>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</si>
  <si>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</si>
  <si>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</si>
  <si>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</si>
  <si>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</si>
  <si>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</si>
  <si>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</si>
  <si>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</si>
  <si>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</si>
  <si>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</si>
  <si>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</si>
  <si>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</si>
  <si>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</si>
  <si>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</si>
  <si>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</si>
  <si>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SF-01903</t>
  </si>
  <si>
    <t>SF-01904</t>
  </si>
  <si>
    <t>SF-01905</t>
  </si>
  <si>
    <t>SF-01906</t>
  </si>
  <si>
    <t>SF-01907</t>
  </si>
  <si>
    <t>SF-01908</t>
  </si>
  <si>
    <t>SF-01909</t>
  </si>
  <si>
    <t>SF-01910</t>
  </si>
  <si>
    <t>SF-01911</t>
  </si>
  <si>
    <t>SF-01912</t>
  </si>
  <si>
    <t>SF-01913</t>
  </si>
  <si>
    <t>SF-01914</t>
  </si>
  <si>
    <t>SF-01915</t>
  </si>
  <si>
    <t>SF-01916</t>
  </si>
  <si>
    <t>SF-01917</t>
  </si>
  <si>
    <t>SF-01918</t>
  </si>
  <si>
    <t>SF-01919</t>
  </si>
  <si>
    <t>SF-01920</t>
  </si>
  <si>
    <t>SF-01921</t>
  </si>
  <si>
    <t>SF-01922</t>
  </si>
  <si>
    <t>SF-01923</t>
  </si>
  <si>
    <t>SF-01924</t>
  </si>
  <si>
    <t>SF-01925</t>
  </si>
  <si>
    <t>SF-01926</t>
  </si>
  <si>
    <t>SF-01927</t>
  </si>
  <si>
    <t>SF-01928</t>
  </si>
  <si>
    <t>SF-01929</t>
  </si>
  <si>
    <t>SF-01930</t>
  </si>
  <si>
    <t>SF-01931</t>
  </si>
  <si>
    <t>SF-01932</t>
  </si>
  <si>
    <t>SF-01933</t>
  </si>
  <si>
    <t>SF-01934</t>
  </si>
  <si>
    <t>SF-01935</t>
  </si>
  <si>
    <t>SF-01936</t>
  </si>
  <si>
    <t>SF-01937</t>
  </si>
  <si>
    <t>SF-01938</t>
  </si>
  <si>
    <t>SF-01939</t>
  </si>
  <si>
    <t>SF-01940</t>
  </si>
  <si>
    <t>SF-01941</t>
  </si>
  <si>
    <t>SF-01942</t>
  </si>
  <si>
    <t>SF-01943</t>
  </si>
  <si>
    <t>SF-01944</t>
  </si>
  <si>
    <t>SF-01945</t>
  </si>
  <si>
    <t>SF-01946</t>
  </si>
  <si>
    <t>SF-01947</t>
  </si>
  <si>
    <t>SF-01948</t>
  </si>
  <si>
    <t>SF-01949</t>
  </si>
  <si>
    <t>SF-01950</t>
  </si>
  <si>
    <t>SF-01951</t>
  </si>
  <si>
    <t>SF-01952</t>
  </si>
  <si>
    <t>SF-01953</t>
  </si>
  <si>
    <t>SF-01954</t>
  </si>
  <si>
    <t>SF-01955</t>
  </si>
  <si>
    <t>SF-01956</t>
  </si>
  <si>
    <t>SF-01957</t>
  </si>
  <si>
    <t>SF-01958</t>
  </si>
  <si>
    <t>SF-01959</t>
  </si>
  <si>
    <t>SF-01960</t>
  </si>
  <si>
    <t>SF-01961</t>
  </si>
  <si>
    <t>SF-01962</t>
  </si>
  <si>
    <t>SF-01963</t>
  </si>
  <si>
    <t>SF-01964</t>
  </si>
  <si>
    <t>SF-01965</t>
  </si>
  <si>
    <t>SF-01966</t>
  </si>
  <si>
    <t>SF-01967</t>
  </si>
  <si>
    <t>SF-01968</t>
  </si>
  <si>
    <t>SF-01969</t>
  </si>
  <si>
    <t>SF-01970</t>
  </si>
  <si>
    <t>SF-01971</t>
  </si>
  <si>
    <t>SF-01972</t>
  </si>
  <si>
    <t>SF-01973</t>
  </si>
  <si>
    <t>SF-01974</t>
  </si>
  <si>
    <t>SF-01975</t>
  </si>
  <si>
    <t>SF-01976</t>
  </si>
  <si>
    <t>SF-01977</t>
  </si>
  <si>
    <t>SF-01978</t>
  </si>
  <si>
    <t>SF-01979</t>
  </si>
  <si>
    <t>SF-01980</t>
  </si>
  <si>
    <t>SF-01981</t>
  </si>
  <si>
    <t>SF-01982</t>
  </si>
  <si>
    <t>SF-01983</t>
  </si>
  <si>
    <t>SF-01984</t>
  </si>
  <si>
    <t>SF-01985</t>
  </si>
  <si>
    <t>SF-01986</t>
  </si>
  <si>
    <t>SF-01987</t>
  </si>
  <si>
    <t>SF-01988</t>
  </si>
  <si>
    <t>SF-01989</t>
  </si>
  <si>
    <t>SF-01990</t>
  </si>
  <si>
    <t>SF-01991</t>
  </si>
  <si>
    <t>SF-01992</t>
  </si>
  <si>
    <t>SF-01993</t>
  </si>
  <si>
    <t>SF-01994</t>
  </si>
  <si>
    <t>SF-01995</t>
  </si>
  <si>
    <t>SF-01996</t>
  </si>
  <si>
    <t>SF-01997</t>
  </si>
  <si>
    <t>SF-01998</t>
  </si>
  <si>
    <t>SF-01999</t>
  </si>
  <si>
    <t>SF-02000</t>
  </si>
  <si>
    <t>SF-02001</t>
  </si>
  <si>
    <t>SF-02002</t>
  </si>
  <si>
    <t>SF-02003</t>
  </si>
  <si>
    <t>SF-02004</t>
  </si>
  <si>
    <t>SF-02005</t>
  </si>
  <si>
    <t>SF-02006</t>
  </si>
  <si>
    <t>SF-02007</t>
  </si>
  <si>
    <t>SF-02008</t>
  </si>
  <si>
    <t>SF-02009</t>
  </si>
  <si>
    <t>SF-02010</t>
  </si>
  <si>
    <t>SF-02011</t>
  </si>
  <si>
    <t>SF-02012</t>
  </si>
  <si>
    <t>SF-02013</t>
  </si>
  <si>
    <t>SF-02014</t>
  </si>
  <si>
    <t>SF-02015</t>
  </si>
  <si>
    <t>SF-02016</t>
  </si>
  <si>
    <t>SF-02017</t>
  </si>
  <si>
    <t>SF-02018</t>
  </si>
  <si>
    <t>SF-02019</t>
  </si>
  <si>
    <t>SF-02020</t>
  </si>
  <si>
    <t>SF-02021</t>
  </si>
  <si>
    <t>SF-02022</t>
  </si>
  <si>
    <t>SF-02023</t>
  </si>
  <si>
    <t>SF-02024</t>
  </si>
  <si>
    <t>SF-02025</t>
  </si>
  <si>
    <t>SF-02026</t>
  </si>
  <si>
    <t>SF-02027</t>
  </si>
  <si>
    <t>SF-02028</t>
  </si>
  <si>
    <t>SF-02029</t>
  </si>
  <si>
    <t>SF-02030</t>
  </si>
  <si>
    <t>SF-02031</t>
  </si>
  <si>
    <t>SF-02032</t>
  </si>
  <si>
    <t>SF-02033</t>
  </si>
  <si>
    <t>SF-02034</t>
  </si>
  <si>
    <t>SF-02035</t>
  </si>
  <si>
    <t>SF-02036</t>
  </si>
  <si>
    <t>SF-02037</t>
  </si>
  <si>
    <t>SF-02038</t>
  </si>
  <si>
    <t>SF-02039</t>
  </si>
  <si>
    <t>SF-02040</t>
  </si>
  <si>
    <t>SF-02041</t>
  </si>
  <si>
    <t>SF-02042</t>
  </si>
  <si>
    <t>SF-02043</t>
  </si>
  <si>
    <t>SF-02044</t>
  </si>
  <si>
    <t>SF-02045</t>
  </si>
  <si>
    <t>SF-02046</t>
  </si>
  <si>
    <t>SF-02047</t>
  </si>
  <si>
    <t>SF-02048</t>
  </si>
  <si>
    <t>SF-02049</t>
  </si>
  <si>
    <t>SF-02050</t>
  </si>
  <si>
    <t>SF-02051</t>
  </si>
  <si>
    <t>SF-02052</t>
  </si>
  <si>
    <t>SF-02053</t>
  </si>
  <si>
    <t>SF-02054</t>
  </si>
  <si>
    <t>SF-02055</t>
  </si>
  <si>
    <t>SF-02056</t>
  </si>
  <si>
    <t>SF-02057</t>
  </si>
  <si>
    <t>SF-02058</t>
  </si>
  <si>
    <t>SF-02059</t>
  </si>
  <si>
    <t>SF-02060</t>
  </si>
  <si>
    <t>SF-02061</t>
  </si>
  <si>
    <t>SF-02062</t>
  </si>
  <si>
    <t>SF-02063</t>
  </si>
  <si>
    <t>SF-02064</t>
  </si>
  <si>
    <t>SF-02065</t>
  </si>
  <si>
    <t>SF-02066</t>
  </si>
  <si>
    <t>SF-02067</t>
  </si>
  <si>
    <t>SF-02068</t>
  </si>
  <si>
    <t>SF-02069</t>
  </si>
  <si>
    <t>SF-02070</t>
  </si>
  <si>
    <t>SF-02071</t>
  </si>
  <si>
    <t>SF-02072</t>
  </si>
  <si>
    <t>SF-02073</t>
  </si>
  <si>
    <t>SF-02074</t>
  </si>
  <si>
    <t>SF-02075</t>
  </si>
  <si>
    <t>SF-02076</t>
  </si>
  <si>
    <t>SF-02077</t>
  </si>
  <si>
    <t>SF-02078</t>
  </si>
  <si>
    <t>SF-02079</t>
  </si>
  <si>
    <t>SF-02080</t>
  </si>
  <si>
    <t>SF-02081</t>
  </si>
  <si>
    <t>SF-02082</t>
  </si>
  <si>
    <t>SF-02083</t>
  </si>
  <si>
    <t>SF-02084</t>
  </si>
  <si>
    <t>SF-02085</t>
  </si>
  <si>
    <t>SF-02086</t>
  </si>
  <si>
    <t>SF-02087</t>
  </si>
  <si>
    <t>SF-02088</t>
  </si>
  <si>
    <t>SF-02089</t>
  </si>
  <si>
    <t>SF-02090</t>
  </si>
  <si>
    <t>SF-02091</t>
  </si>
  <si>
    <t>SF-02092</t>
  </si>
  <si>
    <t>SF-02093</t>
  </si>
  <si>
    <t>SF-02094</t>
  </si>
  <si>
    <t>SF-02095</t>
  </si>
  <si>
    <t>SF-02096</t>
  </si>
  <si>
    <t>SF-02097</t>
  </si>
  <si>
    <t>SF-02098</t>
  </si>
  <si>
    <t>SF-02099</t>
  </si>
  <si>
    <t>SF-02100</t>
  </si>
  <si>
    <t>SF-02101</t>
  </si>
  <si>
    <t>SF-02102</t>
  </si>
  <si>
    <t>SF-02103</t>
  </si>
  <si>
    <t>SF-02104</t>
  </si>
  <si>
    <t>SF-02105</t>
  </si>
  <si>
    <t>SF-02106</t>
  </si>
  <si>
    <t>SF-02107</t>
  </si>
  <si>
    <t>SF-02108</t>
  </si>
  <si>
    <t>SF-02109</t>
  </si>
  <si>
    <t>SF-02110</t>
  </si>
  <si>
    <t>SF-02111</t>
  </si>
  <si>
    <t>SF-02112</t>
  </si>
  <si>
    <t>SF-02113</t>
  </si>
  <si>
    <t>SF-02114</t>
  </si>
  <si>
    <t>SF-02115</t>
  </si>
  <si>
    <t>SF-02116</t>
  </si>
  <si>
    <t>SF-02117</t>
  </si>
  <si>
    <t>SF-02118</t>
  </si>
  <si>
    <t>SF-02119</t>
  </si>
  <si>
    <t>SF-02120</t>
  </si>
  <si>
    <t>SF-02121</t>
  </si>
  <si>
    <t>SF-02122</t>
  </si>
  <si>
    <t>SF-02123</t>
  </si>
  <si>
    <t>SF-02124</t>
  </si>
  <si>
    <t>SF-02125</t>
  </si>
  <si>
    <t>SF-02126</t>
  </si>
  <si>
    <t>SF-02127</t>
  </si>
  <si>
    <t>SF-02128</t>
  </si>
  <si>
    <t>SF-02129</t>
  </si>
  <si>
    <t>SF-02130</t>
  </si>
  <si>
    <t>SF-02131</t>
  </si>
  <si>
    <t>SF-02132</t>
  </si>
  <si>
    <t>SF-02133</t>
  </si>
  <si>
    <t>SF-02134</t>
  </si>
  <si>
    <t>SF-02135</t>
  </si>
  <si>
    <t>SF-02136</t>
  </si>
  <si>
    <t>SF-02137</t>
  </si>
  <si>
    <t>SF-02138</t>
  </si>
  <si>
    <t>SF-02139</t>
  </si>
  <si>
    <t>SF-02140</t>
  </si>
  <si>
    <t>SF-02141</t>
  </si>
  <si>
    <t>SF-02142</t>
  </si>
  <si>
    <t>SF-02143</t>
  </si>
  <si>
    <t>SF-02144</t>
  </si>
  <si>
    <t>SF-02145</t>
  </si>
  <si>
    <t>SF-02146</t>
  </si>
  <si>
    <t>SF-02147</t>
  </si>
  <si>
    <t>SF-02148</t>
  </si>
  <si>
    <t>SF-02149</t>
  </si>
  <si>
    <t>SF-02150</t>
  </si>
  <si>
    <t>SF-02151</t>
  </si>
  <si>
    <t>SF-02152</t>
  </si>
  <si>
    <t>SF-02153</t>
  </si>
  <si>
    <t>SF-02154</t>
  </si>
  <si>
    <t>SF-02155</t>
  </si>
  <si>
    <t>SF-02156</t>
  </si>
  <si>
    <t>SF-02157</t>
  </si>
  <si>
    <t>SF-02158</t>
  </si>
  <si>
    <t>SF-02159</t>
  </si>
  <si>
    <t>SF-02160</t>
  </si>
  <si>
    <t>SF-02161</t>
  </si>
  <si>
    <t>SF-02162</t>
  </si>
  <si>
    <t>SF-02163</t>
  </si>
  <si>
    <t>SF-02164</t>
  </si>
  <si>
    <t>SF-02165</t>
  </si>
  <si>
    <t>SF-02166</t>
  </si>
  <si>
    <t>SF-02167</t>
  </si>
  <si>
    <t>SF-02168</t>
  </si>
  <si>
    <t>SF-02169</t>
  </si>
  <si>
    <t>SF-02170</t>
  </si>
  <si>
    <t>SF-02171</t>
  </si>
  <si>
    <t>SF-02172</t>
  </si>
  <si>
    <t>SF-02173</t>
  </si>
  <si>
    <t>SF-02174</t>
  </si>
  <si>
    <t>SF-02175</t>
  </si>
  <si>
    <t>SF-02176</t>
  </si>
  <si>
    <t>SF-02177</t>
  </si>
  <si>
    <t>SF-02178</t>
  </si>
  <si>
    <t>SF-02179</t>
  </si>
  <si>
    <t>SF-02180</t>
  </si>
  <si>
    <t>SF-02181</t>
  </si>
  <si>
    <t>SF-02182</t>
  </si>
  <si>
    <t>SF-02183</t>
  </si>
  <si>
    <t>SF-02184</t>
  </si>
  <si>
    <t>SF-02185</t>
  </si>
  <si>
    <t>SF-02186</t>
  </si>
  <si>
    <t>SF-02187</t>
  </si>
  <si>
    <t>SF-02188</t>
  </si>
  <si>
    <t>SF-02189</t>
  </si>
  <si>
    <t>SF-02190</t>
  </si>
  <si>
    <t>SF-02191</t>
  </si>
  <si>
    <t>SF-02192</t>
  </si>
  <si>
    <t>SF-02193</t>
  </si>
  <si>
    <t>SF-02194</t>
  </si>
  <si>
    <t>SF-02195</t>
  </si>
  <si>
    <t>SF-02196</t>
  </si>
  <si>
    <t>SF-02197</t>
  </si>
  <si>
    <t>SF-02198</t>
  </si>
  <si>
    <t>SF-02199</t>
  </si>
  <si>
    <t>SF-02200</t>
  </si>
  <si>
    <t>SF-02201</t>
  </si>
  <si>
    <t>SF-02202</t>
  </si>
  <si>
    <t>SF-02203</t>
  </si>
  <si>
    <t>SF-02204</t>
  </si>
  <si>
    <t>SF-02205</t>
  </si>
  <si>
    <t>SF-02206</t>
  </si>
  <si>
    <t>SF-02207</t>
  </si>
  <si>
    <t>SF-02208</t>
  </si>
  <si>
    <t>SF-02209</t>
  </si>
  <si>
    <t>SF-02210</t>
  </si>
  <si>
    <t>SF-02211</t>
  </si>
  <si>
    <t>SF-02212</t>
  </si>
  <si>
    <t>SF-02213</t>
  </si>
  <si>
    <t>SF-02214</t>
  </si>
  <si>
    <t>SF-02215</t>
  </si>
  <si>
    <t>SF-02216</t>
  </si>
  <si>
    <t>SF-02217</t>
  </si>
  <si>
    <t>SF-02218</t>
  </si>
  <si>
    <t>SF-02219</t>
  </si>
  <si>
    <t>SF-02220</t>
  </si>
  <si>
    <t>SF-02221</t>
  </si>
  <si>
    <t>SF-02222</t>
  </si>
  <si>
    <t>SF-02223</t>
  </si>
  <si>
    <t>SF-02224</t>
  </si>
  <si>
    <t>SF-02225</t>
  </si>
  <si>
    <t>SF-02226</t>
  </si>
  <si>
    <t>SF-02227</t>
  </si>
  <si>
    <t>SF-02228</t>
  </si>
  <si>
    <t>SF-02229</t>
  </si>
  <si>
    <t>SF-02230</t>
  </si>
  <si>
    <t>SF-02231</t>
  </si>
  <si>
    <t>SF-02232</t>
  </si>
  <si>
    <t>SF-02233</t>
  </si>
  <si>
    <t>SF-02234</t>
  </si>
  <si>
    <t>SF-02235</t>
  </si>
  <si>
    <t>SF-02236</t>
  </si>
  <si>
    <t>SF-02237</t>
  </si>
  <si>
    <t>SF-02238</t>
  </si>
  <si>
    <t>SF-02239</t>
  </si>
  <si>
    <t>SF-02240</t>
  </si>
  <si>
    <t>SF-02241</t>
  </si>
  <si>
    <t>SF-02242</t>
  </si>
  <si>
    <t>SF-02243</t>
  </si>
  <si>
    <t>SF-02244</t>
  </si>
  <si>
    <t>SF-02245</t>
  </si>
  <si>
    <t>SF-02246</t>
  </si>
  <si>
    <t>SF-02247</t>
  </si>
  <si>
    <t>SF-02248</t>
  </si>
  <si>
    <t>SF-02249</t>
  </si>
  <si>
    <t>SF-02250</t>
  </si>
  <si>
    <t>SF-02251</t>
  </si>
  <si>
    <t>SF-02252</t>
  </si>
  <si>
    <t>SF-02253</t>
  </si>
  <si>
    <t>SF-02254</t>
  </si>
  <si>
    <t>SF-02255</t>
  </si>
  <si>
    <t>SF-02256</t>
  </si>
  <si>
    <t>SF-02257</t>
  </si>
  <si>
    <t>SF-02258</t>
  </si>
  <si>
    <t>SF-02259</t>
  </si>
  <si>
    <t>SF-02260</t>
  </si>
  <si>
    <t>SF-02261</t>
  </si>
  <si>
    <t>SF-02262</t>
  </si>
  <si>
    <t>SF-02263</t>
  </si>
  <si>
    <t>SF-02264</t>
  </si>
  <si>
    <t>SF-02265</t>
  </si>
  <si>
    <t>SF-02266</t>
  </si>
  <si>
    <t>SF-02267</t>
  </si>
  <si>
    <t>SF-02268</t>
  </si>
  <si>
    <t>SF-02269</t>
  </si>
  <si>
    <t>SF-02270</t>
  </si>
  <si>
    <t>SF-02271</t>
  </si>
  <si>
    <t>SF-02272</t>
  </si>
  <si>
    <t>SF-02273</t>
  </si>
  <si>
    <t>SF-02274</t>
  </si>
  <si>
    <t>SF-02275</t>
  </si>
  <si>
    <t>SF-02276</t>
  </si>
  <si>
    <t>SF-02277</t>
  </si>
  <si>
    <t>SF-02278</t>
  </si>
  <si>
    <t>SF-02279</t>
  </si>
  <si>
    <t>SF-02280</t>
  </si>
  <si>
    <t>SF-02281</t>
  </si>
  <si>
    <t>SF-02282</t>
  </si>
  <si>
    <t>SF-02283</t>
  </si>
  <si>
    <t>SF-02284</t>
  </si>
  <si>
    <t>SF-02285</t>
  </si>
  <si>
    <t>SF-02286</t>
  </si>
  <si>
    <t>SF-02287</t>
  </si>
  <si>
    <t>SF-02288</t>
  </si>
  <si>
    <t>SF-02289</t>
  </si>
  <si>
    <t>SF-02290</t>
  </si>
  <si>
    <t>SF-02291</t>
  </si>
  <si>
    <t>SF-02292</t>
  </si>
  <si>
    <t>SF-02293</t>
  </si>
  <si>
    <t>SF-02294</t>
  </si>
  <si>
    <t>SF-02295</t>
  </si>
  <si>
    <t>SF-02296</t>
  </si>
  <si>
    <t>SF-02297</t>
  </si>
  <si>
    <t>SF-02298</t>
  </si>
  <si>
    <t>SF-02299</t>
  </si>
  <si>
    <t>SF-02300</t>
  </si>
  <si>
    <t>SF-02301</t>
  </si>
  <si>
    <t>SF-02302</t>
  </si>
  <si>
    <t>SF-02303</t>
  </si>
  <si>
    <t>SF-02304</t>
  </si>
  <si>
    <t>SF-02305</t>
  </si>
  <si>
    <t>SF-02306</t>
  </si>
  <si>
    <t>SF-02307</t>
  </si>
  <si>
    <t>SF-02308</t>
  </si>
  <si>
    <t>SF-02309</t>
  </si>
  <si>
    <t>SF-02310</t>
  </si>
  <si>
    <t>SF-02311</t>
  </si>
  <si>
    <t>SF-02312</t>
  </si>
  <si>
    <t>SF-02313</t>
  </si>
  <si>
    <t>SF-02314</t>
  </si>
  <si>
    <t>SF-02315</t>
  </si>
  <si>
    <t>SF-02316</t>
  </si>
  <si>
    <t>SF-02317</t>
  </si>
  <si>
    <t>SF-02318</t>
  </si>
  <si>
    <t>SF-02319</t>
  </si>
  <si>
    <t>SF-02320</t>
  </si>
  <si>
    <t>SF-02321</t>
  </si>
  <si>
    <t>SF-02322</t>
  </si>
  <si>
    <t>SF-02323</t>
  </si>
  <si>
    <t>SF-02324</t>
  </si>
  <si>
    <t>SF-02325</t>
  </si>
  <si>
    <t>SF-02326</t>
  </si>
  <si>
    <t>SF-02327</t>
  </si>
  <si>
    <t>SF-02328</t>
  </si>
  <si>
    <t>SF-02329</t>
  </si>
  <si>
    <t>SF-02330</t>
  </si>
  <si>
    <t>SF-02331</t>
  </si>
  <si>
    <t>SF-02332</t>
  </si>
  <si>
    <t>SF-02333</t>
  </si>
  <si>
    <t>SF-02334</t>
  </si>
  <si>
    <t>SF-02335</t>
  </si>
  <si>
    <t>SF-02336</t>
  </si>
  <si>
    <t>SF-02337</t>
  </si>
  <si>
    <t>SF-02338</t>
  </si>
  <si>
    <t>SF-02339</t>
  </si>
  <si>
    <t>SF-02340</t>
  </si>
  <si>
    <t>SF-02341</t>
  </si>
  <si>
    <t>SF-02342</t>
  </si>
  <si>
    <t>SF-02343</t>
  </si>
  <si>
    <t>SF-02344</t>
  </si>
  <si>
    <t>SF-02345</t>
  </si>
  <si>
    <t>SF-02346</t>
  </si>
  <si>
    <t>SF-02347</t>
  </si>
  <si>
    <t>SF-02348</t>
  </si>
  <si>
    <t>SF-02349</t>
  </si>
  <si>
    <t>SF-02350</t>
  </si>
  <si>
    <t>SF-02351</t>
  </si>
  <si>
    <t>SF-02352</t>
  </si>
  <si>
    <t>SF-02353</t>
  </si>
  <si>
    <t>SF-02354</t>
  </si>
  <si>
    <t>SF-02355</t>
  </si>
  <si>
    <t>SF-02356</t>
  </si>
  <si>
    <t>SF-02357</t>
  </si>
  <si>
    <t>SF-02358</t>
  </si>
  <si>
    <t>SF-02359</t>
  </si>
  <si>
    <t>SF-02360</t>
  </si>
  <si>
    <t>SF-02361</t>
  </si>
  <si>
    <t>SF-02362</t>
  </si>
  <si>
    <t>SF-02363</t>
  </si>
  <si>
    <t>SF-02364</t>
  </si>
  <si>
    <t>SF-02365</t>
  </si>
  <si>
    <t>SF-02366</t>
  </si>
  <si>
    <t>SF-02367</t>
  </si>
  <si>
    <t>SF-02368</t>
  </si>
  <si>
    <t>SF-02369</t>
  </si>
  <si>
    <t>SF-02370</t>
  </si>
  <si>
    <t>SF-02371</t>
  </si>
  <si>
    <t>SF-02372</t>
  </si>
  <si>
    <t>SF-02373</t>
  </si>
  <si>
    <t>SF-02374</t>
  </si>
  <si>
    <t>SF-02375</t>
  </si>
  <si>
    <t>SF-02376</t>
  </si>
  <si>
    <t>SF-02377</t>
  </si>
  <si>
    <t>SF-02378</t>
  </si>
  <si>
    <t>SF-02379</t>
  </si>
  <si>
    <t>SF-02380</t>
  </si>
  <si>
    <t>SF-02381</t>
  </si>
  <si>
    <t>SF-02382</t>
  </si>
  <si>
    <t>SF-02383</t>
  </si>
  <si>
    <t>SF-02384</t>
  </si>
  <si>
    <t>SF-02385</t>
  </si>
  <si>
    <t>SF-02386</t>
  </si>
  <si>
    <t>SF-02387</t>
  </si>
  <si>
    <t>SF-02388</t>
  </si>
  <si>
    <t>SF-02389</t>
  </si>
  <si>
    <t>SF-02390</t>
  </si>
  <si>
    <t>SF-02391</t>
  </si>
  <si>
    <t>SF-02392</t>
  </si>
  <si>
    <t>SF-02393</t>
  </si>
  <si>
    <t>SF-02394</t>
  </si>
  <si>
    <t>SF-02395</t>
  </si>
  <si>
    <t>SF-02396</t>
  </si>
  <si>
    <t>SF-02397</t>
  </si>
  <si>
    <t>SF-02398</t>
  </si>
  <si>
    <t>SF-02399</t>
  </si>
  <si>
    <t>SF-02400</t>
  </si>
  <si>
    <t>SF-02401</t>
  </si>
  <si>
    <t>SF-02402</t>
  </si>
  <si>
    <t>SF-02403</t>
  </si>
  <si>
    <t>SF-02404</t>
  </si>
  <si>
    <t>SF-02405</t>
  </si>
  <si>
    <t>SF-02406</t>
  </si>
  <si>
    <t>SF-02407</t>
  </si>
  <si>
    <t>SF-02408</t>
  </si>
  <si>
    <t>SF-02409</t>
  </si>
  <si>
    <t>SF-02410</t>
  </si>
  <si>
    <t>SF-02411</t>
  </si>
  <si>
    <t>SF-02412</t>
  </si>
  <si>
    <t>SF-02413</t>
  </si>
  <si>
    <t>SF-02414</t>
  </si>
  <si>
    <t>SF-02415</t>
  </si>
  <si>
    <t>SF-02416</t>
  </si>
  <si>
    <t>SF-02417</t>
  </si>
  <si>
    <t>SF-02418</t>
  </si>
  <si>
    <t>SF-02419</t>
  </si>
  <si>
    <t>SF-02420</t>
  </si>
  <si>
    <t>SF-02421</t>
  </si>
  <si>
    <t>SF-02422</t>
  </si>
  <si>
    <t>SF-02423</t>
  </si>
  <si>
    <t>SF-02424</t>
  </si>
  <si>
    <t>SF-02425</t>
  </si>
  <si>
    <t>SF-02426</t>
  </si>
  <si>
    <t>SF-02427</t>
  </si>
  <si>
    <t>SF-02428</t>
  </si>
  <si>
    <t>SF-02429</t>
  </si>
  <si>
    <t>SF-02430</t>
  </si>
  <si>
    <t>SF-02431</t>
  </si>
  <si>
    <t>SF-02432</t>
  </si>
  <si>
    <t>SF-02433</t>
  </si>
  <si>
    <t>SF-02434</t>
  </si>
  <si>
    <t>SF-02435</t>
  </si>
  <si>
    <t>SF-02436</t>
  </si>
  <si>
    <t>SF-02437</t>
  </si>
  <si>
    <t>SF-02438</t>
  </si>
  <si>
    <t>SF-02439</t>
  </si>
  <si>
    <t>SF-02440</t>
  </si>
  <si>
    <t>SF-02441</t>
  </si>
  <si>
    <t>SF-02442</t>
  </si>
  <si>
    <t>SF-02443</t>
  </si>
  <si>
    <t>SF-02444</t>
  </si>
  <si>
    <t>SF-02445</t>
  </si>
  <si>
    <t>SF-02446</t>
  </si>
  <si>
    <t>SF-02447</t>
  </si>
  <si>
    <t>SF-02448</t>
  </si>
  <si>
    <t>SF-02449</t>
  </si>
  <si>
    <t>SF-02450</t>
  </si>
  <si>
    <t>SF-02451</t>
  </si>
  <si>
    <t>SF-02452</t>
  </si>
  <si>
    <t>SF-02453</t>
  </si>
  <si>
    <t>SF-02454</t>
  </si>
  <si>
    <t>SF-02455</t>
  </si>
  <si>
    <t>SF-02456</t>
  </si>
  <si>
    <t>SF-02457</t>
  </si>
  <si>
    <t>SF-02458</t>
  </si>
  <si>
    <t>SF-02459</t>
  </si>
  <si>
    <t>SF-02460</t>
  </si>
  <si>
    <t>SF-02461</t>
  </si>
  <si>
    <t>SF-02462</t>
  </si>
  <si>
    <t>SF-02463</t>
  </si>
  <si>
    <t>SF-02464</t>
  </si>
  <si>
    <t>SF-02465</t>
  </si>
  <si>
    <t>SF-02466</t>
  </si>
  <si>
    <t>SF-02467</t>
  </si>
  <si>
    <t>SF-02468</t>
  </si>
  <si>
    <t>SF-02469</t>
  </si>
  <si>
    <t>SF-02470</t>
  </si>
  <si>
    <t>SF-02471</t>
  </si>
  <si>
    <t>SF-02472</t>
  </si>
  <si>
    <t>SF-02473</t>
  </si>
  <si>
    <t>SF-02474</t>
  </si>
  <si>
    <t>SF-02475</t>
  </si>
  <si>
    <t>SF-02476</t>
  </si>
  <si>
    <t>SF-02477</t>
  </si>
  <si>
    <t>SF-02478</t>
  </si>
  <si>
    <t>SF-02479</t>
  </si>
  <si>
    <t>SF-02480</t>
  </si>
  <si>
    <t>SF-02481</t>
  </si>
  <si>
    <t>SF-02482</t>
  </si>
  <si>
    <t>SF-02483</t>
  </si>
  <si>
    <t>SF-02484</t>
  </si>
  <si>
    <t>SF-02485</t>
  </si>
  <si>
    <t>SF-02486</t>
  </si>
  <si>
    <t>SF-02487</t>
  </si>
  <si>
    <t>SF-02488</t>
  </si>
  <si>
    <t>SF-02489</t>
  </si>
  <si>
    <t>SF-02490</t>
  </si>
  <si>
    <t>SF-02491</t>
  </si>
  <si>
    <t>SF-02492</t>
  </si>
  <si>
    <t>SF-02493</t>
  </si>
  <si>
    <t>SF-02494</t>
  </si>
  <si>
    <t>SF-02495</t>
  </si>
  <si>
    <t>SF-02496</t>
  </si>
  <si>
    <t>SF-02497</t>
  </si>
  <si>
    <t>SF-02498</t>
  </si>
  <si>
    <t>SF-02499</t>
  </si>
  <si>
    <t>SF-02500</t>
  </si>
  <si>
    <t>SF-02501</t>
  </si>
  <si>
    <t>SF-02502</t>
  </si>
  <si>
    <t>SF-02503</t>
  </si>
  <si>
    <t>SF-02504</t>
  </si>
  <si>
    <t>SF-02505</t>
  </si>
  <si>
    <t>SF-02506</t>
  </si>
  <si>
    <t>SF-02507</t>
  </si>
  <si>
    <t>SF-02508</t>
  </si>
  <si>
    <t>SF-02509</t>
  </si>
  <si>
    <t>SF-02510</t>
  </si>
  <si>
    <t>SF-02511</t>
  </si>
  <si>
    <t>SF-02512</t>
  </si>
  <si>
    <t>SF-02513</t>
  </si>
  <si>
    <t>SF-02514</t>
  </si>
  <si>
    <t>SF-02515</t>
  </si>
  <si>
    <t>SF-02516</t>
  </si>
  <si>
    <t>SF-02517</t>
  </si>
  <si>
    <t>SF-02518</t>
  </si>
  <si>
    <t>SF-02519</t>
  </si>
  <si>
    <t>SF-02520</t>
  </si>
  <si>
    <t>SF-02521</t>
  </si>
  <si>
    <t>SF-02522</t>
  </si>
  <si>
    <t>SF-02523</t>
  </si>
  <si>
    <t>SF-02524</t>
  </si>
  <si>
    <t>SF-02525</t>
  </si>
  <si>
    <t>SF-02526</t>
  </si>
  <si>
    <t>SF-02527</t>
  </si>
  <si>
    <t>SF-02528</t>
  </si>
  <si>
    <t>SF-02529</t>
  </si>
  <si>
    <t>SF-02530</t>
  </si>
  <si>
    <t>SF-02531</t>
  </si>
  <si>
    <t>SF-02532</t>
  </si>
  <si>
    <t>SF-02533</t>
  </si>
  <si>
    <t>SF-02534</t>
  </si>
  <si>
    <t>SF-02535</t>
  </si>
  <si>
    <t>SF-02536</t>
  </si>
  <si>
    <t>SF-02537</t>
  </si>
  <si>
    <t>SF-02538</t>
  </si>
  <si>
    <t>SF-02539</t>
  </si>
  <si>
    <t>SF-02540</t>
  </si>
  <si>
    <t>SF-02541</t>
  </si>
  <si>
    <t>SF-02542</t>
  </si>
  <si>
    <t>SF-02543</t>
  </si>
  <si>
    <t>SF-02544</t>
  </si>
  <si>
    <t>SF-02545</t>
  </si>
  <si>
    <t>SF-02546</t>
  </si>
  <si>
    <t>SF-02547</t>
  </si>
  <si>
    <t>SF-02548</t>
  </si>
  <si>
    <t>SF-02549</t>
  </si>
  <si>
    <t>SF-02550</t>
  </si>
  <si>
    <t>SF-02551</t>
  </si>
  <si>
    <t>SF-02552</t>
  </si>
  <si>
    <t>SF-02553</t>
  </si>
  <si>
    <t>SF-02554</t>
  </si>
  <si>
    <t>SF-02555</t>
  </si>
  <si>
    <t>SF-02556</t>
  </si>
  <si>
    <t>SF-02557</t>
  </si>
  <si>
    <t>SF-02558</t>
  </si>
  <si>
    <t>SF-02559</t>
  </si>
  <si>
    <t>SF-02560</t>
  </si>
  <si>
    <t>SF-02561</t>
  </si>
  <si>
    <t>SF-02562</t>
  </si>
  <si>
    <t>SF-02563</t>
  </si>
  <si>
    <t>SF-02564</t>
  </si>
  <si>
    <t>SF-02565</t>
  </si>
  <si>
    <t>SF-02566</t>
  </si>
  <si>
    <t>SF-02567</t>
  </si>
  <si>
    <t>SF-02568</t>
  </si>
  <si>
    <t>SF-02569</t>
  </si>
  <si>
    <t>SF-02570</t>
  </si>
  <si>
    <t>SF-02571</t>
  </si>
  <si>
    <t>SF-02572</t>
  </si>
  <si>
    <t>SF-02573</t>
  </si>
  <si>
    <t>SF-02574</t>
  </si>
  <si>
    <t>SF-02575</t>
  </si>
  <si>
    <t>SF-02576</t>
  </si>
  <si>
    <t>SF-02577</t>
  </si>
  <si>
    <t>SF-02578</t>
  </si>
  <si>
    <t>SF-02579</t>
  </si>
  <si>
    <t>SF-02580</t>
  </si>
  <si>
    <t>SF-02581</t>
  </si>
  <si>
    <t>SF-02582</t>
  </si>
  <si>
    <t>SF-02583</t>
  </si>
  <si>
    <t>SF-02584</t>
  </si>
  <si>
    <t>SF-02585</t>
  </si>
  <si>
    <t>SF-02586</t>
  </si>
  <si>
    <t>SF-02587</t>
  </si>
  <si>
    <t>SF-02588</t>
  </si>
  <si>
    <t>SF-02589</t>
  </si>
  <si>
    <t>SF-02590</t>
  </si>
  <si>
    <t>SF-02591</t>
  </si>
  <si>
    <t>SF-02592</t>
  </si>
  <si>
    <t>SF-02593</t>
  </si>
  <si>
    <t>SF-02594</t>
  </si>
  <si>
    <t>SF-02595</t>
  </si>
  <si>
    <t>SF-02596</t>
  </si>
  <si>
    <t>SF-02597</t>
  </si>
  <si>
    <t>SF-02598</t>
  </si>
  <si>
    <t>SF-02599</t>
  </si>
  <si>
    <t>SF-02600</t>
  </si>
  <si>
    <t>SF-02601</t>
  </si>
  <si>
    <t>SF-02602</t>
  </si>
  <si>
    <t>SF-02603</t>
  </si>
  <si>
    <t>SF-02604</t>
  </si>
  <si>
    <t>SF-02605</t>
  </si>
  <si>
    <t>SF-02606</t>
  </si>
  <si>
    <t>SF-02607</t>
  </si>
  <si>
    <t>SF-02608</t>
  </si>
  <si>
    <t>SF-02609</t>
  </si>
  <si>
    <t>SF-02610</t>
  </si>
  <si>
    <t>SF-02611</t>
  </si>
  <si>
    <t>SF-02612</t>
  </si>
  <si>
    <t>SF-02613</t>
  </si>
  <si>
    <t>SF-02614</t>
  </si>
  <si>
    <t>SF-02615</t>
  </si>
  <si>
    <t>SF-02616</t>
  </si>
  <si>
    <t>SF-02617</t>
  </si>
  <si>
    <t>SF-02618</t>
  </si>
  <si>
    <t>Bastão de resgate (depreciação)</t>
  </si>
  <si>
    <t>Cadeado para disjuntores (depreciação)</t>
  </si>
  <si>
    <t>Bloqueio para disjuntores (depreciação)</t>
  </si>
  <si>
    <t>Painel de TV em MDF</t>
  </si>
  <si>
    <t>200 ml</t>
  </si>
  <si>
    <t>25 g</t>
  </si>
  <si>
    <t>mês x equip</t>
  </si>
  <si>
    <t>cm2</t>
  </si>
  <si>
    <t>cm3</t>
  </si>
  <si>
    <t>cj x mês</t>
  </si>
  <si>
    <t>Demolição de forro</t>
  </si>
  <si>
    <t>Remoção de folha de porta e dobradiças / pivôs</t>
  </si>
  <si>
    <t>Suporte intermediário reto para linha de vida</t>
  </si>
  <si>
    <t>Fundo anticorrosivo e de aderência</t>
  </si>
  <si>
    <t>Instalação de rodapé/rodabanca reaproveitado(a), de mármore ou granito</t>
  </si>
  <si>
    <t>Assento para bacia convencional</t>
  </si>
  <si>
    <t>Cuba retangular em aço inox</t>
  </si>
  <si>
    <t>Tanque 38 litros</t>
  </si>
  <si>
    <t>Acabamento para registro GD</t>
  </si>
  <si>
    <t>Acabamento para registro PQ</t>
  </si>
  <si>
    <t>Ducha higiênica</t>
  </si>
  <si>
    <t>Ligação flexível 1/2” x 40 cm</t>
  </si>
  <si>
    <t>Sifão articulado para cozinha</t>
  </si>
  <si>
    <t>Sifão para tanque</t>
  </si>
  <si>
    <t>Torneira de mesa para cozinha bica móvel</t>
  </si>
  <si>
    <t>Torneira de mesa para lavatório bica alta</t>
  </si>
  <si>
    <t>Torneira de mesa para lavatório bica baixa</t>
  </si>
  <si>
    <t>Torneira de parede para cozinha</t>
  </si>
  <si>
    <t>Torneira de parede para tanque</t>
  </si>
  <si>
    <t>Válvula de escoamento para tanque</t>
  </si>
  <si>
    <t>Cabide</t>
  </si>
  <si>
    <t>Papeleira</t>
  </si>
  <si>
    <t>Porta toalha argola</t>
  </si>
  <si>
    <t>Porta toalha barra</t>
  </si>
  <si>
    <t>Armários em MDF laminado com módulo de gaveta (sem porta)</t>
  </si>
  <si>
    <t>Balde metálico</t>
  </si>
  <si>
    <t>Chave de fenda de 1/4"</t>
  </si>
  <si>
    <t>Escada duplo acesso 6 degraus</t>
  </si>
  <si>
    <t>Esquadro 300 mm</t>
  </si>
  <si>
    <t>Martelo tipo unha</t>
  </si>
  <si>
    <t>Rebitadeira manual</t>
  </si>
  <si>
    <t>Tesoura</t>
  </si>
  <si>
    <t>Relógio de ponto biométrico</t>
  </si>
  <si>
    <t>Calça</t>
  </si>
  <si>
    <t>Calçado isolante elétrico</t>
  </si>
  <si>
    <t>Bota de PVC</t>
  </si>
  <si>
    <t>Óculos de segurança</t>
  </si>
  <si>
    <t>Dobradiça automática vidro/alvenaria para box de vidro temperado</t>
  </si>
  <si>
    <t>Graute industrializado, 50 MPa ≤ fck ≤ 60 MPa</t>
  </si>
  <si>
    <t>Tela de proteção para andaime</t>
  </si>
  <si>
    <t>Lastro em concreto magro</t>
  </si>
  <si>
    <t>Detector de 4 gases</t>
  </si>
  <si>
    <t>Laudo de estabilidade estrutural - Bloco 15 (Espaço do Servidor)</t>
  </si>
  <si>
    <t>Janela em alumínio</t>
  </si>
  <si>
    <t>Cotovelo de cobre de 1 3/8”</t>
  </si>
  <si>
    <t>Cotovelo de cobre de 1 5/8”</t>
  </si>
  <si>
    <t>Cotovelo de cobre de 7/8”</t>
  </si>
  <si>
    <t>Luva de cobre de 1 3/8”</t>
  </si>
  <si>
    <t>Luva de cobre de 1 5/8”</t>
  </si>
  <si>
    <t>Luva de cobre de 7/8”</t>
  </si>
  <si>
    <t>Ar-condicionado “splitão” 49 kW</t>
  </si>
  <si>
    <t>Ar-condicionado “splitão” 64 kW.</t>
  </si>
  <si>
    <t>Tubo de cobre de 1 3/8”</t>
  </si>
  <si>
    <t>Tubo de cobre de 1 5/8”</t>
  </si>
  <si>
    <t>Granito Preto Absoluto para revestimento de superfícies internas e externas – Linha Administrativa</t>
  </si>
  <si>
    <t>Granito Arabesco para revestimento de superfícies internas e externas – Linha Administrativa</t>
  </si>
  <si>
    <t>Porcelanato para revestimento de superfícies internas e externas – Linha Residencial</t>
  </si>
  <si>
    <t>Lixamento, calafetação e aplicação de sinteco em piso de madeira – Linha Residencial</t>
  </si>
  <si>
    <t>Piso em taco de madeira – Linha Residencial</t>
  </si>
  <si>
    <t>Piso sintético flutuante – Linha Residencial</t>
  </si>
  <si>
    <t>Revestimento acústico perfilado – Linha Administrativa</t>
  </si>
  <si>
    <t>Revestimento acústico plano – Linha Administrativa</t>
  </si>
  <si>
    <t>Textura acrílica – Linha Administrativa</t>
  </si>
  <si>
    <t>Pintura com tinta látex acrílica Premium – cores especiais (sistema tintométrico)</t>
  </si>
  <si>
    <t>Jogo de chave allen curto métrico</t>
  </si>
  <si>
    <t>Jogo de chave allen longo métrico</t>
  </si>
  <si>
    <t>Conjunto de chaves de boca de 6 a 32 mm</t>
  </si>
  <si>
    <t>Conjunto de chaves de boca de 1/4" a 1 1/4"</t>
  </si>
  <si>
    <t>Talhadeira</t>
  </si>
  <si>
    <t>Exaustor para espaço confinado</t>
  </si>
  <si>
    <t>Jogo de chave torx</t>
  </si>
  <si>
    <t>Veículo do tipo utilitário</t>
  </si>
  <si>
    <t>Cortina de proteção para solda com suporte</t>
  </si>
  <si>
    <t>Tubo multicamadas flexível 20 mm para gás</t>
  </si>
  <si>
    <t>Tubo multicamadas flexível 26 mm para gás</t>
  </si>
  <si>
    <t>Regulador de pressão para gás</t>
  </si>
  <si>
    <t>Subestação Elétrica 13,8-0,38kV, 300 kVA, em poste</t>
  </si>
  <si>
    <t>Limpeza final</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</si>
  <si>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</si>
  <si>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</si>
  <si>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</si>
  <si>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</si>
  <si>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</si>
  <si>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Condulete de alumínio de 1"</t>
  </si>
  <si>
    <t>Ar-condicionado do tipo split piso-teto inverter 54.000 BTU/h</t>
  </si>
  <si>
    <t>Isolamento elastomérico para tubulações de cobre 1 5/8" / tubulações de ferro de 1 1/4"</t>
  </si>
  <si>
    <t>Isolamento elastomérico para tubulações de cobre 1 3/8" / tubulações de ferro de 1"</t>
  </si>
  <si>
    <t>Botijões de gás inclusive P-13 com recargas</t>
  </si>
  <si>
    <t>Compressor de Ar</t>
  </si>
  <si>
    <t>Serrote 20"</t>
  </si>
  <si>
    <t>Trena de 5 m</t>
  </si>
  <si>
    <t>Protetor auditivo de inserção</t>
  </si>
  <si>
    <t>Talabarte de Posicionamento</t>
  </si>
  <si>
    <t>Trava-quedas Deslizante Para Corda</t>
  </si>
  <si>
    <t>Trava-quedas Deslizante Para Cabo de Aço</t>
  </si>
  <si>
    <t>Tubo de cobre classe "E" 22 mm</t>
  </si>
  <si>
    <t>Tubo de cobre classe "E" 42 mm</t>
  </si>
  <si>
    <t>Armação de aço CA-50 bitolas de 10,0 mm a 12,5 mm</t>
  </si>
  <si>
    <t>Armação de aço CA-50 bitolas de 16,0 mm a 25,0 mm</t>
  </si>
  <si>
    <t>Bacia conforto (h=44 cm) – Linha Acessibilidade</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</si>
  <si>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</si>
  <si>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</si>
  <si>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</si>
  <si>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</si>
  <si>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Instalação de placas de mármore 30 mm reaproveitadas em fixadores metálicos existentes (modelo Edifício Principal)</t>
  </si>
  <si>
    <t>Porta metálica dupla de giro com dimensões 2,00 m x 2,12 m</t>
  </si>
  <si>
    <t>ELETRODUTO DE AÇO GALVANIZADO ELETROLÍTICO TIPO LEVE - ROSCA NBR 8133 - ESP. 1,06MM - 3/4"</t>
  </si>
  <si>
    <t>ELETRODUTO DE AÇO GALVANIZADO ELETROLÍTICO TIPO LEVE - ROSCA NBR 8133 - ESP. 1,06MM - 1"</t>
  </si>
  <si>
    <t>ELETRODUTO DE AÇO GALVANIZADO ELETROLÍTICO TIPO LEVE - ROSCA NBR 8133 - ESP. 1,06MM - 1 1/4"</t>
  </si>
  <si>
    <t>ELETRODUTO DE AÇO GALVANIZADO ELETROLÍTICO TIPO LEVE - ROSCA NBR 8133 - ESP. 1,06MM - 1 1/2"</t>
  </si>
  <si>
    <t>ELETRODUTO DE AÇO GALVANIZADO ELETROLÍTICO TIPO LEVE - ROSCA NBR 8133 - ESP. 1,50MM - 2"</t>
  </si>
  <si>
    <t>ELETRODUTO DE AÇO GALVANIZADO ELETROLÍTICO TIPO LEVE - ROSCA NBR 8133 - ESP. 1,50MM - 2 1/2"</t>
  </si>
  <si>
    <t>ELETRODUTO DE AÇO GALVANIZADO ELETROLÍTICO TIPO LEVE - ROSCA NBR 8133 - ESP. 1,50MM - 3"</t>
  </si>
  <si>
    <t>ELETRODUTO DE AÇO GALVANIZADO ELETROLÍTICO TIPO LEVE - ROSCA NBR 8133 - ESP. 1,50MM - 4"</t>
  </si>
  <si>
    <t>BASE DE FUSÍVEL NH 00 ATÉ 160 A EM QUADRO DE DISTRIBUIÇÃO DE LUZ E FORÇA</t>
  </si>
  <si>
    <t>BASE DE FUSÍVEL NH 1 ATÉ 250 A EM QUADRO DE DISTRIBUIÇÃO DE LUZ E FORÇA</t>
  </si>
  <si>
    <t>BASE DE FUSÍVEL NH 2 ATÉ 400 A EM QUADRO DE DISTRIBUIÇÃO DE LUZ E FORÇA</t>
  </si>
  <si>
    <t>BASE DE FUSÍVEL NH 3 ATÉ 630 A EM QUADRO DE DISTRIBUIÇÃO DE FORÇA</t>
  </si>
  <si>
    <t>FUSÍVEL RETARDADO NH 00 COM INDICADOR DE TOPO 125 A</t>
  </si>
  <si>
    <t>FUSÍVEL RETARDADO NH 01 COM INDICADOR DE TOPO 250 A</t>
  </si>
  <si>
    <t>FUSÍVEL RETARDADO NH 02 COM INDICADOR DE TOPO 400 A</t>
  </si>
  <si>
    <t>FUSÍVEL RETARDADO NH 03 COM INDICADOR DE TOPO 630 A</t>
  </si>
  <si>
    <t>CAIXA DE PASSAGEM EM CHAPA DE AÇO COM TAMPA APARAFUSADA 402 X 402 X 152 MM</t>
  </si>
  <si>
    <t>ABRACADEIRA TIPO COPO, DE 1"</t>
  </si>
  <si>
    <t>CARTUCHO DE SOLDA EXOTÉRMICA N.º 90</t>
  </si>
  <si>
    <t>IGNEX - PALITO IGNITOR PARA SOLDA EXOTÉRMICA</t>
  </si>
  <si>
    <t>MOLDE P/ SOLDA TIPO "T" ATÉ 35mm²</t>
  </si>
  <si>
    <t>DIVISORIA EM GRANITO, COM DUAS FACES POLIDAS, CINZA ANDORINHA, E=  2,0 CM</t>
  </si>
  <si>
    <t>SOLVENTE PARA VERNIZ POLIURETANO</t>
  </si>
  <si>
    <t>VERNIZ POLIURETANO ALIFÁTICO BICOMPONENTE</t>
  </si>
  <si>
    <t>DIVISORIA EM GRANITO, COM DUAS FACES POLIDAS, TIPO ANDORINHA/ QUARTZ/ CASTELO/ CORUMBA OU OUTROS EQUIVALENTES DA REGIAO, E=  2,0 CM</t>
  </si>
  <si>
    <t>Obs.2: Inclusão de composições Sinapi 100973 e 97914.</t>
  </si>
  <si>
    <t>Mola Hidráulica de piso universal para portas de batente e portas vai-e-vem em aço inoxidável. Ref.: DORMA, modelo BTS 75V/R, com eixo intercambiável tipo "B"</t>
  </si>
  <si>
    <t>Impermeabilizante para mola hidráulica. Ref: Dorma SealProtect</t>
  </si>
  <si>
    <t>Reator eletrônico 2x28W. Ref.: Philips EB228A26; Philips EL214-28A26; Intral REH-T5 2x28/127-220/50-60 (cod. 02475); MarGirus PB 2X28 AF2.</t>
  </si>
  <si>
    <t>Reator eletrônico 2x14W. Ref.: Philips EB214A26; Philips EL214-28A26; Lumicenter LEB. 214; MarGirus PB 2X14 AF2.</t>
  </si>
  <si>
    <t xml:space="preserve">Tomada 10A para condulete alumínio para eletrodutos de 1’’, de sobrepor, com conexões e acessórios. </t>
  </si>
  <si>
    <t>Bloco autônomo de emergência com fluxo mínimo de 1000 lumens</t>
  </si>
  <si>
    <t>Cabo ethernet categoria 5e blindado (FTP)</t>
  </si>
  <si>
    <t>Cabo constituído por 12 fibras ópticas do tipo multimodo, LSZH</t>
  </si>
  <si>
    <t>Cabo de cobre para comunicação CANbus</t>
  </si>
  <si>
    <t>Cabo de cobre para comunicação padrão RS-485</t>
  </si>
  <si>
    <t>Cabo de potência, 8,7 kV / 15 kV, 95 mm²</t>
  </si>
  <si>
    <t>Cabo de potência, 8,7 kV / 15 kV, 240 mm²</t>
  </si>
  <si>
    <t>Distribuidor Interno Óptico Industrial para, no mínimo, 12 fibras</t>
  </si>
  <si>
    <t>ELETRODUTO/DUTO PEAD FLEXIVEL PAREDE SIMPLES, CORRUGACAO HELICOIDAL, COR PRETA, SEM ROSCA, DE 5",  PARA CABEAMENTO SUBTERRANEO (NBR 15715)</t>
  </si>
  <si>
    <t>Interruptor duplo para condulete alumínio para eletrodutos de 1’’, de sobrepor, com conexões e acessórios.</t>
  </si>
  <si>
    <t>Leito tipo semi-pesado 400 mm x 100 mm fabricado em aço galvanizado a fogo # 12/14</t>
  </si>
  <si>
    <t>Leito tipo semi-pesado 600 mm x 100 mm fabricado em aço galvanizado a fogo # 12/14</t>
  </si>
  <si>
    <t>Luminária de sobrepor T5 2x28W, ref:Osram LEDVANCE DAMP‐PROOF HOUSING Longa Dupla (7016392), Osram LEDVANCE DAMP‐PROOF SEM TUBO DUPLA (7012956), Philips TCW060 2x36, Ourolux Ourofort IP65 2X28/32/36/40W (01527/01528), Lumicenter FHT03‐S228</t>
  </si>
  <si>
    <t>Terminal para cabo de média tensão. Ref: Prysmian TM-20-120</t>
  </si>
  <si>
    <t>Terminal para cabo de média tensão. Ref: Prysmian TM-20-240</t>
  </si>
  <si>
    <t xml:space="preserve">Tomada 20A para condulete alumínio para eletrodutos de 1’’, de sobrepor, com conexões e acessórios. </t>
  </si>
  <si>
    <t>Haste de aterramento 3/4" x 3 m, tipo camada alta de cobre</t>
  </si>
  <si>
    <t>Leito tipo semi-pesado 800 mm x 100 mm fabricado em aço galvanizado a fogo # 12/14</t>
  </si>
  <si>
    <t>Mão francesa metálica dupla, com dois perfis 38 mm x 38 mm, L = 800 mm</t>
  </si>
  <si>
    <t>Armadura de tela de aço CA-60 4,2mm</t>
  </si>
  <si>
    <t>Concreto preparado na obra C20 S50, controle "B", brita 1</t>
  </si>
  <si>
    <t>Forma para fundação com tábuas e sarrafos, 3 reaproveitamentos</t>
  </si>
  <si>
    <t>Lastro de brita 1 apiloado com soquete manual para regularização</t>
  </si>
  <si>
    <t>Grelha pré-moldada de concreto para canaleta 35 x 60 x 5 cm</t>
  </si>
  <si>
    <t>Furo em concreto com broca de widia, utilizando martele elétrico Ø 3/8" profundidade 10 cm</t>
  </si>
  <si>
    <t>POSTE CONICO CONTINUO EM ACO GALVANIZADO, RETO, BRACO SIMPLES, ENGASTADO,  H = 5 M</t>
  </si>
  <si>
    <t>Eletroduto PEAD 1 1/4" - fornecimento e instalação</t>
  </si>
  <si>
    <t>Adesivo de contato a base d'água</t>
  </si>
  <si>
    <t>Carpete em placa, para uso comercial, adequado para tráfego pesado, conforme especificações técnicas.</t>
  </si>
  <si>
    <t>Carpete em rolo, para uso comercial, adequado para tráfego pesado, conforme especificações técnicas.</t>
  </si>
  <si>
    <t>Graute epóxi fluido de alta resistência mecânica. Ref: Sikadur 42 BR.</t>
  </si>
  <si>
    <t>Obs.: considerando consumo de 2.000 kg/m³, conforme site do fabricante: https://bra.sika.com/pt/construcao/pisos-industriais/reparo-em-pisos/argamassa-epoxi/sikadur-42-br.html</t>
  </si>
  <si>
    <t>Cabo Ethernet Blindado (material)</t>
  </si>
  <si>
    <t xml:space="preserve">Condulete de alumínio de 2” </t>
  </si>
  <si>
    <t xml:space="preserve">Interruptor para condulete </t>
  </si>
  <si>
    <t xml:space="preserve">Interruptor duplo para condulete </t>
  </si>
  <si>
    <t xml:space="preserve">Condutor 2,5 mm² </t>
  </si>
  <si>
    <t xml:space="preserve">Condutor 4 mm² </t>
  </si>
  <si>
    <t xml:space="preserve">Condutor 6 mm² </t>
  </si>
  <si>
    <t xml:space="preserve">Condutor 10 mm² </t>
  </si>
  <si>
    <t xml:space="preserve">Condutor 16 mm²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</si>
  <si>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</si>
  <si>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</si>
  <si>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</si>
  <si>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</si>
  <si>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</si>
  <si>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</si>
  <si>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</si>
  <si>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</si>
  <si>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</si>
  <si>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 xml:space="preserve">Eletroduto de aço galvanizado de 3” </t>
  </si>
  <si>
    <t xml:space="preserve">Caixa para piso elevado </t>
  </si>
  <si>
    <t xml:space="preserve">Tomada para perfilado e eletrocalha </t>
  </si>
  <si>
    <t xml:space="preserve">Espelho cego redondo </t>
  </si>
  <si>
    <t xml:space="preserve">Módulo cego </t>
  </si>
  <si>
    <t xml:space="preserve">Módulo tomada 10 A </t>
  </si>
  <si>
    <t xml:space="preserve">Módulo tomada 20 A </t>
  </si>
  <si>
    <t xml:space="preserve">Módulo interruptor simples </t>
  </si>
  <si>
    <t xml:space="preserve">Módulo interruptor paralelo </t>
  </si>
  <si>
    <t xml:space="preserve">Módulo sensor de presença </t>
  </si>
  <si>
    <t xml:space="preserve">Cortadora de parede </t>
  </si>
  <si>
    <t xml:space="preserve">Serra mármore </t>
  </si>
  <si>
    <t>Manutenção periódica - Subestação dos blocos 11-18 (Eletrocentro)</t>
  </si>
  <si>
    <t>SF-02619</t>
  </si>
  <si>
    <t>Manutenção periódica – Sala de Nobreaks do Anexo 2</t>
  </si>
  <si>
    <t>SF-02620</t>
  </si>
  <si>
    <t>Manutenção periódica – Sala de Nobreaks do Prodasen (Sala Y)</t>
  </si>
  <si>
    <t>SF-02621</t>
  </si>
  <si>
    <t>Manutenção periódica – Sistema Predial do Prodasen</t>
  </si>
  <si>
    <t>SF-02622</t>
  </si>
  <si>
    <t>Manutenção periódica – Sistema Predial do Interlegis</t>
  </si>
  <si>
    <t>SF-02623</t>
  </si>
  <si>
    <t>Manutenção corretiva – Subestação dos Blocos 11-18 (Eletrocentro)</t>
  </si>
  <si>
    <t>SF-02624</t>
  </si>
  <si>
    <t>Manutenção corretiva – Sala de Nobreaks do Anexo 2</t>
  </si>
  <si>
    <t>SF-02625</t>
  </si>
  <si>
    <t>Manutenção corretiva – Sala de Nobreaks do Prodasen (Sala Y)</t>
  </si>
  <si>
    <t>SF-02626</t>
  </si>
  <si>
    <t>Manutenção corretiva – Sistema Predial do Prodasen</t>
  </si>
  <si>
    <t>SF-02627</t>
  </si>
  <si>
    <t>Manutenção corretiva – Sistema Predial do Interlegis</t>
  </si>
  <si>
    <t>SF-02628</t>
  </si>
  <si>
    <t>Recondicionamento e teste hidrostático de cilindro de 49 lbs de HFC-227ea (sala de nobreaks do Anexo 2)</t>
  </si>
  <si>
    <t>SF-02629</t>
  </si>
  <si>
    <t>Recondicionamento e teste hidrostático de cilindro de 218 lbs de HFC-227ea (sala de nobreaks do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</si>
  <si>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</si>
  <si>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</si>
  <si>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</si>
  <si>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</si>
  <si>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</si>
  <si>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</si>
  <si>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</si>
  <si>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</si>
  <si>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</si>
  <si>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</si>
  <si>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</si>
  <si>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</si>
  <si>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</si>
  <si>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</si>
  <si>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</si>
  <si>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</si>
  <si>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</si>
  <si>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</si>
  <si>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</si>
  <si>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</si>
  <si>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</si>
  <si>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</si>
  <si>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</si>
  <si>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</si>
  <si>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</si>
  <si>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</si>
  <si>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</si>
  <si>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</si>
  <si>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</si>
  <si>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</si>
  <si>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</si>
  <si>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</si>
  <si>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</si>
  <si>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Detector de fumaça para central Notifier NFS-320</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</si>
  <si>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</si>
  <si>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</si>
  <si>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</si>
  <si>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</si>
  <si>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</si>
  <si>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</si>
  <si>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</si>
  <si>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</si>
  <si>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</si>
  <si>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</si>
  <si>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</si>
  <si>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</si>
  <si>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</si>
  <si>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</si>
  <si>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</si>
  <si>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</si>
  <si>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</si>
  <si>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</si>
  <si>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</si>
  <si>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</si>
  <si>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</si>
  <si>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</si>
  <si>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</si>
  <si>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</si>
  <si>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</si>
  <si>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</si>
  <si>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</si>
  <si>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</si>
  <si>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</si>
  <si>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</si>
  <si>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</si>
  <si>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</si>
  <si>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</si>
  <si>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</si>
  <si>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</si>
  <si>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</si>
  <si>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</si>
  <si>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</si>
  <si>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</si>
  <si>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</si>
  <si>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</si>
  <si>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</si>
  <si>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</si>
  <si>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</si>
  <si>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</si>
  <si>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</si>
  <si>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</si>
  <si>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</si>
  <si>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</si>
  <si>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</si>
  <si>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</si>
  <si>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</si>
  <si>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</si>
  <si>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</si>
  <si>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</si>
  <si>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</si>
  <si>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</si>
  <si>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</si>
  <si>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</si>
  <si>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</si>
  <si>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CONCRETO MAGRO PARA LASTRO, TRAÇO 1:4,5:4,5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</si>
  <si>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</si>
  <si>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</si>
  <si>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</si>
  <si>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</si>
  <si>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</si>
  <si>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MAGRO PARA LASTRO, TRAÇO 1:4,5:4,5 (EM MASSA SECA DE CIMENTO/ AREIA MÉDIA/ BRITA 1) - PREPARO MANUAL. AF_05/2021</t>
  </si>
  <si>
    <t>CONTRAPISO EM ARGAMASSA TRAÇO 1:4 (CIMENTO E AREIA), PREPARO MECÂNICO COM BETONEIRA 400 L, APLICADO EM ÁREAS SECAS SOBRE LAJE, ADERIDO, ACABAMENTO NÃO REFORÇADO, ESPESSURA 3CM. AF_07/2021</t>
  </si>
  <si>
    <t>Painel de TV em compensado</t>
  </si>
  <si>
    <t>Acabamento para válvula de descarga 4900.C.PRO - Deca</t>
  </si>
  <si>
    <t>Kit conversor Hydra Max para Hydra Conforto 4916.C.114.CONF – Linha Hydra Eco Conforto – Deca</t>
  </si>
  <si>
    <t xml:space="preserve">Kit conversor Hydra Max para Hydra Conforto 4916.C.112.CONF – linha Hydra Eco Conforto – Deca </t>
  </si>
  <si>
    <t>SF-02677</t>
  </si>
  <si>
    <t>SF-02678</t>
  </si>
  <si>
    <t>SF-02679</t>
  </si>
  <si>
    <t>SF-02680</t>
  </si>
  <si>
    <t>SF-02681</t>
  </si>
  <si>
    <t>SF-02682</t>
  </si>
  <si>
    <t>SF-02683</t>
  </si>
  <si>
    <t>SF-02684</t>
  </si>
  <si>
    <t>SF-02685</t>
  </si>
  <si>
    <t>SF-02686</t>
  </si>
  <si>
    <t>SF-02687</t>
  </si>
  <si>
    <t>SF-02688</t>
  </si>
  <si>
    <t>SF-02689</t>
  </si>
  <si>
    <t>SF-02690</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</si>
  <si>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</si>
  <si>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</si>
  <si>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</si>
  <si>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</si>
  <si>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</si>
  <si>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</si>
  <si>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Guarda Corpo metálico com Esquadria para Vidro</t>
  </si>
  <si>
    <t>Guarda Corpo e Corrimão metálicos com Esquadria para Vidro</t>
  </si>
  <si>
    <t>Manutenção on site - Plataforma elevatória vertical para acessibilidade - Bloco 15 (Espaço do Servidor)</t>
  </si>
  <si>
    <t>Estudos Preliminares – Usina Fotovoltaica</t>
  </si>
  <si>
    <t>Anteprojetos – Usina Fotovoltaica</t>
  </si>
  <si>
    <t>Cronograma Físico-Financeiro, Caderno de Encargos e Orçamentos – Usina Fotovoltaica</t>
  </si>
  <si>
    <t>Demolição de revestimento de piso vinílico</t>
  </si>
  <si>
    <t>Remoção de telhas de fibrocimento, metálica ou cerâmica</t>
  </si>
  <si>
    <t>ARMAÇÃO VERTICAL DE ALVENARIA ESTRUTURAL; DIÂMETRO DE 10,0 MM. AF_09/2021</t>
  </si>
  <si>
    <t>ARMAÇÃO DE CINTA DE ALVENARIA ESTRUTURAL; DIÂMETRO DE 10,0 MM. AF_09/2021</t>
  </si>
  <si>
    <t>MONTAGEM DE ARMADURA DE ESTACAS, DIÂMETRO = 16,0 MM. AF_09/2021</t>
  </si>
  <si>
    <t>GRAUTEAMENTO VERTICAL EM ALVENARIA ESTRUTURAL. AF_09/2021</t>
  </si>
  <si>
    <t>GRAUTEAMENTO DE CINTA SUPERIOR OU DE VERGA EM ALVENARIA ESTRUTURAL.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</si>
  <si>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</si>
  <si>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</si>
  <si>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Obs.: Consumo de acordo com o fabricante do produto "Super Graute Quartzolit", referência comercial indicada.</t>
  </si>
  <si>
    <t>https://www.quartzolit.weber/files/br/2017-12/super_graute_quartzolit.pdf</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</si>
  <si>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</si>
  <si>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</si>
  <si>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</si>
  <si>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Conector reto 1"</t>
  </si>
  <si>
    <t>Conector fixo NPT 3/4"</t>
  </si>
  <si>
    <t>Conector giratório NPT 3/4"</t>
  </si>
  <si>
    <t>SF-02691</t>
  </si>
  <si>
    <t>SF-02692</t>
  </si>
  <si>
    <t>SF-02693</t>
  </si>
  <si>
    <t>SF-02694</t>
  </si>
  <si>
    <t>SF-02695</t>
  </si>
  <si>
    <t>SF-02696</t>
  </si>
  <si>
    <t>SF-02697</t>
  </si>
  <si>
    <t>SF-02698</t>
  </si>
  <si>
    <t>SF-02699</t>
  </si>
  <si>
    <t>SF-02700</t>
  </si>
  <si>
    <t>SF-02701</t>
  </si>
  <si>
    <t>SF-02702</t>
  </si>
  <si>
    <t>SF-02703</t>
  </si>
  <si>
    <t>Projeto executivo de engenharia elétrica - Sistema de geração de energia elétrica – Bloco 01 (Prodasen)</t>
  </si>
  <si>
    <t>Grupo motor-gerador 230 kVA</t>
  </si>
  <si>
    <t>Unidade de Supervisão, Controle e Automação dos Geradores – Bloco 01 (Prodasen)</t>
  </si>
  <si>
    <t>Manutenção on site – Grupo motor-gerador e instalações associadas do ramal X – Bloco 01 (Prodasen)</t>
  </si>
  <si>
    <t>Projeto executivo – Reforma das fachadas Sudoeste dos Blocos “C G” e Noroeste do Bloco “D” - SQS 309</t>
  </si>
  <si>
    <t>Demolição e descarte de esquadrias em aço e vidros - SQS 309 (Blocos C, D e G)</t>
  </si>
  <si>
    <t>Esquadrias em alumínio - SQS 309 (Blocos C, D e G)</t>
  </si>
  <si>
    <t>Gaiola para revestimento de condensadoras - SQS 309 (Blocos C, D e G)</t>
  </si>
  <si>
    <t>Remoção de pavimento em elementos intertravados de concreto</t>
  </si>
  <si>
    <t>Instalação de pavimentação em elementos intertravados de concreto reaproveitados</t>
  </si>
  <si>
    <t>SF-02704</t>
  </si>
  <si>
    <t>SF-02705</t>
  </si>
  <si>
    <t>SF-02706</t>
  </si>
  <si>
    <t>SF-02707</t>
  </si>
  <si>
    <t>SF-02708</t>
  </si>
  <si>
    <t>SF-02709</t>
  </si>
  <si>
    <t>SF-02710</t>
  </si>
  <si>
    <t>SF-02711</t>
  </si>
  <si>
    <t>SF-02712</t>
  </si>
  <si>
    <t>SF-02713</t>
  </si>
  <si>
    <t>SF-02714</t>
  </si>
  <si>
    <t>SF-02715</t>
  </si>
  <si>
    <t>SF-02716</t>
  </si>
  <si>
    <t>SF-02717</t>
  </si>
  <si>
    <t>SF-02718</t>
  </si>
  <si>
    <t>SF-02719</t>
  </si>
  <si>
    <t>SF-02720</t>
  </si>
  <si>
    <t>SF-02721</t>
  </si>
  <si>
    <t>SF-02722</t>
  </si>
  <si>
    <t>SF-02723</t>
  </si>
  <si>
    <t>SF-02724</t>
  </si>
  <si>
    <t>SF-02725</t>
  </si>
  <si>
    <t>SF-02726</t>
  </si>
  <si>
    <t>SF-02727</t>
  </si>
  <si>
    <t>SF-02728</t>
  </si>
  <si>
    <t>SF-02729</t>
  </si>
  <si>
    <t>SF-02730</t>
  </si>
  <si>
    <t>SF-02731</t>
  </si>
  <si>
    <t>SF-02732</t>
  </si>
  <si>
    <t>SF-02733</t>
  </si>
  <si>
    <t>SF-02734</t>
  </si>
  <si>
    <t>SF-02735</t>
  </si>
  <si>
    <t>SF-02736</t>
  </si>
  <si>
    <t>SF-02737</t>
  </si>
  <si>
    <t>SF-02738</t>
  </si>
  <si>
    <t>SF-02739</t>
  </si>
  <si>
    <t>SF-02740</t>
  </si>
  <si>
    <t>SF-02741</t>
  </si>
  <si>
    <t>SF-02742</t>
  </si>
  <si>
    <t>SF-02743</t>
  </si>
  <si>
    <t>SF-02744</t>
  </si>
  <si>
    <t>SF-02745</t>
  </si>
  <si>
    <t>SF-02746</t>
  </si>
  <si>
    <t>SF-02747</t>
  </si>
  <si>
    <t>SF-02748</t>
  </si>
  <si>
    <t>SF-02749</t>
  </si>
  <si>
    <t>SF-02750</t>
  </si>
  <si>
    <t>Poste reto 4m para câmera de CFTV</t>
  </si>
  <si>
    <t>Caixa hermética para CFTV</t>
  </si>
  <si>
    <t>POSTE CONICO CONTINUO EM ACO GALVANIZADO, RETO, H = 4 M</t>
  </si>
  <si>
    <t>ALVENARIA DE VEDAÇÃO DE BLOCOS CERÂMICOS FURADOS NA VERTICAL DE 9X19X39 CM (ESPESSURA 9 CM) E ARGAMASSA DE ASSENTAMENTO COM PREPARO EM BETONEIRA. AF_12/2021</t>
  </si>
  <si>
    <t>*Considerando distância Brasília-Sâo Paulo = 1.030 km</t>
  </si>
  <si>
    <t>Projeto executivo de engenharia elétrica – Closets de rede de dados</t>
  </si>
  <si>
    <t>Barramento de equipotencialização local</t>
  </si>
  <si>
    <t>Nobreak de 3 kVA – fornecimento e instalação</t>
  </si>
  <si>
    <t>Quadro elétrico TTA - 6 disjuntores terminais</t>
  </si>
  <si>
    <t>Quadro elétrico TTA - 11 disjuntores terminais</t>
  </si>
  <si>
    <t>Abraçadeira metálica reforçada para mangote até 4”</t>
  </si>
  <si>
    <t>Acabamento para válvula de descarga de 1 1/2” e 1 1/4”</t>
  </si>
  <si>
    <t>Acabamento para válvula de descarga de 1 1/2 ” e 1 1/4” com duplo acionamento</t>
  </si>
  <si>
    <t>Acabamento para válvula de descarga de 1 1/2 ” e 1 1/4” - Linha Acessibilidade</t>
  </si>
  <si>
    <t>Anel de borracha para vedação na interligação de tubos de esgoto</t>
  </si>
  <si>
    <t>Antiespuma para ralo ou caixa sifonada – DN 150mm</t>
  </si>
  <si>
    <t>Rejunte cimentício flexível</t>
  </si>
  <si>
    <t>Rejunte resinado acrílico</t>
  </si>
  <si>
    <t>Arejador de torneira articulado com adaptador completo</t>
  </si>
  <si>
    <t>Bacia convencional para caixa de descarga acoplada</t>
  </si>
  <si>
    <t>Bacia Convencional - Linha Administrativa</t>
  </si>
  <si>
    <t>Barra de apoio 70 cm - Linha Acessibilidade</t>
  </si>
  <si>
    <t>Barra de apoio 80 cm - Linha Acessibilidade</t>
  </si>
  <si>
    <t>Chave de nível tipo boia eletromecânica</t>
  </si>
  <si>
    <t>Chave de nível tipo boia pera</t>
  </si>
  <si>
    <t>Bolsa de ligação Branca para Vaso Sanitário</t>
  </si>
  <si>
    <t>Bolsa de vedação Preta para Vaso Sanitário</t>
  </si>
  <si>
    <t>Botão de Acionamento para Mictório</t>
  </si>
  <si>
    <t>Botão de Acionamento Superior para Caixa Acoplada</t>
  </si>
  <si>
    <t>Braço de metal para Chuveiro</t>
  </si>
  <si>
    <t>Caixa acoplada universal</t>
  </si>
  <si>
    <t>Caixa de descarga alta/elevada</t>
  </si>
  <si>
    <t>Caixa de gordura grande com cesta</t>
  </si>
  <si>
    <t>Caixa de hidrante de parede com vidro - 70x50 cm</t>
  </si>
  <si>
    <t>Caixa de inspeção e interligação em PVC</t>
  </si>
  <si>
    <t>Caixa sifonada de PVC DN 150 mm</t>
  </si>
  <si>
    <t>Caixa sifonada de PVC DN 250 mm</t>
  </si>
  <si>
    <t>Carrapeta (vedador) de borracha para torneira</t>
  </si>
  <si>
    <t>Vedante de borracha nitrílica para Carrapetas</t>
  </si>
  <si>
    <t>SF-02751</t>
  </si>
  <si>
    <t>Válvula de escoamento para pia de cozinha - 4 1/2” com cesta em inox</t>
  </si>
  <si>
    <t>SF-02752</t>
  </si>
  <si>
    <t>Chuveiro Elétrico</t>
  </si>
  <si>
    <t>SF-02753</t>
  </si>
  <si>
    <t>Chuveiro Elétrico - Linha Residencial</t>
  </si>
  <si>
    <t>SF-02754</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</si>
  <si>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</si>
  <si>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</si>
  <si>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</si>
  <si>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</si>
  <si>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</si>
  <si>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</si>
  <si>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</si>
  <si>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</si>
  <si>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</si>
  <si>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SF-02760</t>
  </si>
  <si>
    <t>SF-02761</t>
  </si>
  <si>
    <t>SF-02762</t>
  </si>
  <si>
    <t>SF-02763</t>
  </si>
  <si>
    <t>SF-02764</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</si>
  <si>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</si>
  <si>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</si>
  <si>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</si>
  <si>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</si>
  <si>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</si>
  <si>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</si>
  <si>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</si>
  <si>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</si>
  <si>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</si>
  <si>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</si>
  <si>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</si>
  <si>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SF-02771</t>
  </si>
  <si>
    <t>SF-02772</t>
  </si>
  <si>
    <t>Kit de acionamento para torneiras e válvulas de mictório ativadas por pressão manual</t>
  </si>
  <si>
    <t>SF-02773</t>
  </si>
  <si>
    <t>SF-02774</t>
  </si>
  <si>
    <t>Lavatório suspenso - Linha Acessibilidade</t>
  </si>
  <si>
    <t>SF-02775</t>
  </si>
  <si>
    <t>Mangueira Flexível para Ducha Higiênica 120 cm</t>
  </si>
  <si>
    <t>SF-02776</t>
  </si>
  <si>
    <t>SF-02777</t>
  </si>
  <si>
    <t>SF-02778</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</si>
  <si>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</si>
  <si>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</si>
  <si>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</si>
  <si>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</si>
  <si>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</si>
  <si>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</si>
  <si>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</si>
  <si>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</si>
  <si>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</si>
  <si>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</si>
  <si>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SF-02784</t>
  </si>
  <si>
    <t>SF-02785</t>
  </si>
  <si>
    <t>SF-02786</t>
  </si>
  <si>
    <t>SF-02787</t>
  </si>
  <si>
    <t>SF-02788</t>
  </si>
  <si>
    <t>SF-02789</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</si>
  <si>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</si>
  <si>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</si>
  <si>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</si>
  <si>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</si>
  <si>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</si>
  <si>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</si>
  <si>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</si>
  <si>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</si>
  <si>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</si>
  <si>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SF-02795</t>
  </si>
  <si>
    <t>SF-02796</t>
  </si>
  <si>
    <t>SF-02797</t>
  </si>
  <si>
    <t>Pressostato para pressão de 80 até 120 PSI (aprox. 5 a 8 bar)</t>
  </si>
  <si>
    <t>SF-02798</t>
  </si>
  <si>
    <t>Pressostato para pressão até 60 psi (4 bar)</t>
  </si>
  <si>
    <t>SF-02799</t>
  </si>
  <si>
    <t>Prolongador longo de bronze rosca x rosca - 1/2”</t>
  </si>
  <si>
    <t>SF-02800</t>
  </si>
  <si>
    <t>SF-02801</t>
  </si>
  <si>
    <t>Ralo semi esférico, tipo Abacaxi - 4”</t>
  </si>
  <si>
    <t>SF-02802</t>
  </si>
  <si>
    <t>Base Registro de Gaveta 1 1/2”</t>
  </si>
  <si>
    <t>SF-02803</t>
  </si>
  <si>
    <t>Base registro de gaveta 1 1/4”</t>
  </si>
  <si>
    <t>SF-02804</t>
  </si>
  <si>
    <t>Base registro de gaveta 1”</t>
  </si>
  <si>
    <t>SF-02805</t>
  </si>
  <si>
    <t>Base registro de gaveta 1/2”</t>
  </si>
  <si>
    <t>SF-02806</t>
  </si>
  <si>
    <t>Base registro de gaveta 3/4”</t>
  </si>
  <si>
    <t>SF-02807</t>
  </si>
  <si>
    <t>SF-02808</t>
  </si>
  <si>
    <t>Válvula de esfera em bronze 3/4”</t>
  </si>
  <si>
    <t>SF-02809</t>
  </si>
  <si>
    <t>Válvula de esfera em bronze 1 1/2”</t>
  </si>
  <si>
    <t>SF-02810</t>
  </si>
  <si>
    <t>Válvula de esfera em bronze 2”</t>
  </si>
  <si>
    <t>SF-02811</t>
  </si>
  <si>
    <t>Válvula de esfera metálica 1/2” para gás</t>
  </si>
  <si>
    <t>SF-02812</t>
  </si>
  <si>
    <t>Registro de Gaveta Bruto 1 1/2”</t>
  </si>
  <si>
    <t>SF-02813</t>
  </si>
  <si>
    <t>Registro de Gaveta Bruto 1 1/4”</t>
  </si>
  <si>
    <t>SF-02814</t>
  </si>
  <si>
    <t>Registro de Gaveta Bruto 1”</t>
  </si>
  <si>
    <t>SF-02815</t>
  </si>
  <si>
    <t>Registro de Gaveta Bruto 1/2”</t>
  </si>
  <si>
    <t>SF-02816</t>
  </si>
  <si>
    <t>Registro de Gaveta Bruto 2 1/2”</t>
  </si>
  <si>
    <t>SF-02817</t>
  </si>
  <si>
    <t>Registro de Gaveta Bruto 2”</t>
  </si>
  <si>
    <t>SF-02818</t>
  </si>
  <si>
    <t>Registro de Gaveta Bruto 3”</t>
  </si>
  <si>
    <t>SF-02819</t>
  </si>
  <si>
    <t>Registro de Gaveta Bruto 3/4”</t>
  </si>
  <si>
    <t>SF-02820</t>
  </si>
  <si>
    <t>Registro de Gaveta Bruto 4”</t>
  </si>
  <si>
    <t>SF-02821</t>
  </si>
  <si>
    <t>Base Registro de Pressão 1/2”</t>
  </si>
  <si>
    <t>SF-02822</t>
  </si>
  <si>
    <t>Base Registro de Pressão 3/4”</t>
  </si>
  <si>
    <t>SF-02823</t>
  </si>
  <si>
    <t>Registro de Pressão Bruto 1/2”</t>
  </si>
  <si>
    <t>SF-02824</t>
  </si>
  <si>
    <t>Registro de Pressão Bruto 3/4”</t>
  </si>
  <si>
    <t>SF-02825</t>
  </si>
  <si>
    <t>Registro Esfera PVC VS Roscável 1/2”</t>
  </si>
  <si>
    <t>SF-02826</t>
  </si>
  <si>
    <t>Registro Esfera PVC VS Roscável 1 1/2”</t>
  </si>
  <si>
    <t>SF-02827</t>
  </si>
  <si>
    <t>SF-02828</t>
  </si>
  <si>
    <t>Registro para Hidrante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</si>
  <si>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</si>
  <si>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</si>
  <si>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</si>
  <si>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</si>
  <si>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</si>
  <si>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</si>
  <si>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</si>
  <si>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</si>
  <si>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</si>
  <si>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</si>
  <si>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</si>
  <si>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</si>
  <si>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</si>
  <si>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</si>
  <si>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</si>
  <si>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</si>
  <si>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</si>
  <si>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SF-02838</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</si>
  <si>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</si>
  <si>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</si>
  <si>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</si>
  <si>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</si>
  <si>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</si>
  <si>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</si>
  <si>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</si>
  <si>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</si>
  <si>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</si>
  <si>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</si>
  <si>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</si>
  <si>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</si>
  <si>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</si>
  <si>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</si>
  <si>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</si>
  <si>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SF-02847</t>
  </si>
  <si>
    <t>Tecla para válvula de descarga</t>
  </si>
  <si>
    <t>SF-02848</t>
  </si>
  <si>
    <t>Terminal de Ventilação PVC - 100 mm</t>
  </si>
  <si>
    <t>SF-02849</t>
  </si>
  <si>
    <t>Terminal de Ventilação PVC - 50 mm</t>
  </si>
  <si>
    <t>SF-02850</t>
  </si>
  <si>
    <t>Terminal de Ventilação PVC - 75 mm</t>
  </si>
  <si>
    <t>SF-02851</t>
  </si>
  <si>
    <t>Termostato de vareta - regulagem de 30 a 80°C</t>
  </si>
  <si>
    <t>SF-02852</t>
  </si>
  <si>
    <t>Torneira de Bóia Com Balão Plástico 1 1/2”</t>
  </si>
  <si>
    <t>SF-02853</t>
  </si>
  <si>
    <t>Torneira de Bóia Com Balão Plástico 1 1/4”</t>
  </si>
  <si>
    <t>SF-02854</t>
  </si>
  <si>
    <t>Torneira de Bóia Com Balão Plástico 1”</t>
  </si>
  <si>
    <t>SF-02855</t>
  </si>
  <si>
    <t>Torneira de Bóia Com Balão Plástico 2”</t>
  </si>
  <si>
    <t>SF-02856</t>
  </si>
  <si>
    <t>Torneira de Bóia Com Balão Plástico 3/4”</t>
  </si>
  <si>
    <t>SF-02857</t>
  </si>
  <si>
    <t>SF-02858</t>
  </si>
  <si>
    <t>SF-02859</t>
  </si>
  <si>
    <t>SF-02860</t>
  </si>
  <si>
    <t>SF-02861</t>
  </si>
  <si>
    <t>SF-02862</t>
  </si>
  <si>
    <t>SF-02863</t>
  </si>
  <si>
    <t>SF-02864</t>
  </si>
  <si>
    <t>Tubo de cobre classe “E” 28 mm</t>
  </si>
  <si>
    <t>SF-02865</t>
  </si>
  <si>
    <t>SF-02866</t>
  </si>
  <si>
    <t>SF-02867</t>
  </si>
  <si>
    <t>SF-02868</t>
  </si>
  <si>
    <t>SF-02869</t>
  </si>
  <si>
    <t>SF-02870</t>
  </si>
  <si>
    <t>SF-02871</t>
  </si>
  <si>
    <t>Tubo CPVC soldável 22 mm – Linha Residencial</t>
  </si>
  <si>
    <t>SF-02872</t>
  </si>
  <si>
    <t>Tubo CPVC soldável 28 mm  – Linha Residencial</t>
  </si>
  <si>
    <t>SF-02873</t>
  </si>
  <si>
    <t>Tubo de aço-carbono galvanizado 1 1/4” – Água Potável e Combate a Incêndio</t>
  </si>
  <si>
    <t>SF-02874</t>
  </si>
  <si>
    <t>Tubo de aço-carbono galvanizado 1/2” – Água Potável e Combate a Incêndio</t>
  </si>
  <si>
    <t>SF-02875</t>
  </si>
  <si>
    <t>Tubo de aço-carbono galvanizado 3/4” – Água Potável e Combate a Incêndio</t>
  </si>
  <si>
    <t>SF-02876</t>
  </si>
  <si>
    <t>Tubo de aço-carbono galvanizado 1” – Água Potável e Combate a Incêndio</t>
  </si>
  <si>
    <t>SF-02877</t>
  </si>
  <si>
    <t>Tubo de aço-carbono galvanizado 2” – Água Potável e Combate a Incêndio</t>
  </si>
  <si>
    <t>SF-02878</t>
  </si>
  <si>
    <t>Tubo de aço-carbono galvanizado 2 1/2” – Água Potável e Combate a Incêndio</t>
  </si>
  <si>
    <t>SF-02879</t>
  </si>
  <si>
    <t>Tubo de aço-carbono galvanizado 3” – Água Potável e Combate a Incêndio</t>
  </si>
  <si>
    <t>SF-02880</t>
  </si>
  <si>
    <t>Niple de aço-carbono galvanizado 2”</t>
  </si>
  <si>
    <t>SF-02881</t>
  </si>
  <si>
    <t>Niple de aço-carbono galvanizado 2 1/2”</t>
  </si>
  <si>
    <t>SF-02882</t>
  </si>
  <si>
    <t>Niple de aço-carbono galvanizado 3”</t>
  </si>
  <si>
    <t>SF-02883</t>
  </si>
  <si>
    <t>Tubo de Ligação para Bacia Sanitária</t>
  </si>
  <si>
    <t>SF-02884</t>
  </si>
  <si>
    <t>Tubo de Ligação para Válvula de Descarga</t>
  </si>
  <si>
    <t>SF-02885</t>
  </si>
  <si>
    <t>Tubo PVC esgoto DN 300 mm - Ocre</t>
  </si>
  <si>
    <t>SF-02886</t>
  </si>
  <si>
    <t>SF-02887</t>
  </si>
  <si>
    <t>SF-02888</t>
  </si>
  <si>
    <t>Tubo PVC esgoto ou águas pluviais predial DN 40 mm</t>
  </si>
  <si>
    <t>SF-02889</t>
  </si>
  <si>
    <t>SF-02890</t>
  </si>
  <si>
    <t>SF-02891</t>
  </si>
  <si>
    <t>Tubo PVC roscável para água fria 1 1/2”</t>
  </si>
  <si>
    <t>SF-02892</t>
  </si>
  <si>
    <t>Tubo PVC roscável para água fria 1”</t>
  </si>
  <si>
    <t>SF-02893</t>
  </si>
  <si>
    <t>Tubo PVC roscável para água fria 2 1/2”</t>
  </si>
  <si>
    <t>SF-02894</t>
  </si>
  <si>
    <t>Tubo PVC roscável para água fria 2”</t>
  </si>
  <si>
    <t>SF-02895</t>
  </si>
  <si>
    <t>Tubo PVC roscável para água fria 3”</t>
  </si>
  <si>
    <t>SF-02896</t>
  </si>
  <si>
    <t>Tubo PVC roscável para água fria 3/4”</t>
  </si>
  <si>
    <t>SF-02897</t>
  </si>
  <si>
    <t>Tubo PVC roscável para água fria 4”</t>
  </si>
  <si>
    <t>SF-02898</t>
  </si>
  <si>
    <t>Tubo PVC roscável para água fria 6”</t>
  </si>
  <si>
    <t>SF-02899</t>
  </si>
  <si>
    <t>SF-02900</t>
  </si>
  <si>
    <t>SF-02901</t>
  </si>
  <si>
    <t>SF-02902</t>
  </si>
  <si>
    <t>SF-02903</t>
  </si>
  <si>
    <t>SF-02904</t>
  </si>
  <si>
    <t>SF-02905</t>
  </si>
  <si>
    <t>Tubo PVC soldável água fria DN 75 mm</t>
  </si>
  <si>
    <t>SF-02906</t>
  </si>
  <si>
    <t>Tubo PVC soldável água fria DN 85 mm</t>
  </si>
  <si>
    <t>SF-02907</t>
  </si>
  <si>
    <t>Tubo PVC soldável água fria DN 110 mm</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</si>
  <si>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</si>
  <si>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</si>
  <si>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</si>
  <si>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</si>
  <si>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</si>
  <si>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</si>
  <si>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</si>
  <si>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</si>
  <si>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</si>
  <si>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</si>
  <si>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</si>
  <si>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SF-02914</t>
  </si>
  <si>
    <t>Sensor de Nível – Sistema a vácuo</t>
  </si>
  <si>
    <t>SF-02915</t>
  </si>
  <si>
    <t>Válvula de água – Sistema a vácuo</t>
  </si>
  <si>
    <t>SF-02916</t>
  </si>
  <si>
    <t>SF-02917</t>
  </si>
  <si>
    <t>SF-02918</t>
  </si>
  <si>
    <t>Válvula de escoamento para lavatório e bidê</t>
  </si>
  <si>
    <t>SF-02919</t>
  </si>
  <si>
    <t>Válvula de escoamento para pia de cozinha 3 1/2”</t>
  </si>
  <si>
    <t>SF-02920</t>
  </si>
  <si>
    <t>SF-02921</t>
  </si>
  <si>
    <t>Válvula de Sucção tipo Pé com Crivos 1”</t>
  </si>
  <si>
    <t>SF-02922</t>
  </si>
  <si>
    <t>Válvula de Sucção tipo Pé com Crivos 2”</t>
  </si>
  <si>
    <t>SF-02923</t>
  </si>
  <si>
    <t>Válvula de Sucção de Pé tipo cebola flangeada 6”</t>
  </si>
  <si>
    <t>SF-02924</t>
  </si>
  <si>
    <t>Válvula de retenção horizontal – PN-25 3/4”</t>
  </si>
  <si>
    <t>SF-02925</t>
  </si>
  <si>
    <t>Válvula de retenção horizontal – PN-25 2”</t>
  </si>
  <si>
    <t>SF-02926</t>
  </si>
  <si>
    <t>Válvula de retenção vertical - 3”</t>
  </si>
  <si>
    <t>SF-02927</t>
  </si>
  <si>
    <t>Válvula de retenção vertical - 4”</t>
  </si>
  <si>
    <t>SF-02928</t>
  </si>
  <si>
    <t>Válvula de retenção vertical - 2”</t>
  </si>
  <si>
    <t>SF-02929</t>
  </si>
  <si>
    <t>Válvula de retenção vertical - 2 1/2”</t>
  </si>
  <si>
    <t>SF-02930</t>
  </si>
  <si>
    <t>Válvula de redutora de pressão vertical/horizontal (governo) - 4”</t>
  </si>
  <si>
    <t>SF-02931</t>
  </si>
  <si>
    <t>SF-02932</t>
  </si>
  <si>
    <t>SF-02933</t>
  </si>
  <si>
    <t>SF-02934</t>
  </si>
  <si>
    <t>SF-02935</t>
  </si>
  <si>
    <t>SF-02936</t>
  </si>
  <si>
    <t>Adaptador em 90° para filtro cromado 1/2 x 1/4 - Bico fino</t>
  </si>
  <si>
    <t>SF-02937</t>
  </si>
  <si>
    <t>Adaptador em 90° para filtro cromado 1/2 x 3/4</t>
  </si>
  <si>
    <t>SF-02938</t>
  </si>
  <si>
    <t>SF-02939</t>
  </si>
  <si>
    <t>Adaptador JR com anel 100mm - Tubo de Ferro Fundido para PVC</t>
  </si>
  <si>
    <t>SF-02940</t>
  </si>
  <si>
    <t>Adaptador PVC água fria- 60 mm x 2”</t>
  </si>
  <si>
    <t>SF-02941</t>
  </si>
  <si>
    <t>SF-02942</t>
  </si>
  <si>
    <t>SF-02943</t>
  </si>
  <si>
    <t>SF-02944</t>
  </si>
  <si>
    <t>Válvula Alívio/Segurança 4 Bar- 1/2” para Aquecedor (Boiler)</t>
  </si>
  <si>
    <t>SF-02945</t>
  </si>
  <si>
    <t>SF-02946</t>
  </si>
  <si>
    <t>SF-02947</t>
  </si>
  <si>
    <t>SF-02948</t>
  </si>
  <si>
    <t>SF-02949</t>
  </si>
  <si>
    <t>SF-02950</t>
  </si>
  <si>
    <t>SF-02951</t>
  </si>
  <si>
    <t>SF-02952</t>
  </si>
  <si>
    <t>SF-02953</t>
  </si>
  <si>
    <t>SF-02954</t>
  </si>
  <si>
    <t>SF-02955</t>
  </si>
  <si>
    <t>SF-02956</t>
  </si>
  <si>
    <t>SF-02957</t>
  </si>
  <si>
    <t>SF-02958</t>
  </si>
  <si>
    <t>SF-02959</t>
  </si>
  <si>
    <t>SF-02960</t>
  </si>
  <si>
    <t>SF-02961</t>
  </si>
  <si>
    <t>SF-02962</t>
  </si>
  <si>
    <t>SF-02963</t>
  </si>
  <si>
    <t>SF-02964</t>
  </si>
  <si>
    <t>Bomba Centrífuga Mancalizada - 01 estágio - Ø recalque=3” (motor não incluído)</t>
  </si>
  <si>
    <t>SF-02965</t>
  </si>
  <si>
    <t>Bomba Centrífuga Mancalizada - 03 estágios - Ø recalque=3”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</si>
  <si>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</si>
  <si>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</si>
  <si>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</si>
  <si>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</si>
  <si>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</si>
  <si>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</si>
  <si>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</si>
  <si>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</si>
  <si>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SF-02970</t>
  </si>
  <si>
    <t>SF-02971</t>
  </si>
  <si>
    <t>Bucha T em metal cromado, entrada e saída de 1/2”, regulagem para mangueira fina (1/4” ou 6,5mm)</t>
  </si>
  <si>
    <t>SF-02972</t>
  </si>
  <si>
    <t>Tê 90° rosca fêmea em latão cromado 1/2”</t>
  </si>
  <si>
    <t>SF-02973</t>
  </si>
  <si>
    <t>Plug Galvanizado 4”</t>
  </si>
  <si>
    <t>SF-02974</t>
  </si>
  <si>
    <t>Caixa d’água 1000 Litros</t>
  </si>
  <si>
    <t>SF-02975</t>
  </si>
  <si>
    <t>SF-02976</t>
  </si>
  <si>
    <t>Sprinkler Pendente 1/2” Cromado 68°C, Fator K80 (5,6)</t>
  </si>
  <si>
    <t>SF-02977</t>
  </si>
  <si>
    <t>Cap PVC Soldável 60 mm</t>
  </si>
  <si>
    <t>SF-02978</t>
  </si>
  <si>
    <t>Capa prensável para mangueira 3/4”</t>
  </si>
  <si>
    <t>SF-02979</t>
  </si>
  <si>
    <t>Tê 90° em cobre 22 mm</t>
  </si>
  <si>
    <t>SF-02980</t>
  </si>
  <si>
    <t>SF-02981</t>
  </si>
  <si>
    <t>SF-02982</t>
  </si>
  <si>
    <t>Conector em cobre ou bronze 28 mm x 1” macho</t>
  </si>
  <si>
    <t>SF-02983</t>
  </si>
  <si>
    <t>SF-02984</t>
  </si>
  <si>
    <t>SF-02985</t>
  </si>
  <si>
    <t>Curva Ferro Galvanizado 90° Fêmea 2”</t>
  </si>
  <si>
    <t>SF-02986</t>
  </si>
  <si>
    <t>Curva 45° Longa PVC esgoto ou águas pluviais predial DN 100 mm</t>
  </si>
  <si>
    <t>SF-02987</t>
  </si>
  <si>
    <t>Curva 90° de aço-carbono galvanizado 3”</t>
  </si>
  <si>
    <t>SF-02988</t>
  </si>
  <si>
    <t>Curva 90° PVC esgoto DN 100 mm Série R</t>
  </si>
  <si>
    <t>SF-02989</t>
  </si>
  <si>
    <t>SF-02990</t>
  </si>
  <si>
    <t>SF-02991</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</si>
  <si>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</si>
  <si>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</si>
  <si>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</si>
  <si>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</si>
  <si>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</si>
  <si>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</si>
  <si>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</si>
  <si>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</si>
  <si>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SF-02996</t>
  </si>
  <si>
    <t>SF-02997</t>
  </si>
  <si>
    <t>SF-02998</t>
  </si>
  <si>
    <t>SF-02999</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</si>
  <si>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</si>
  <si>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</si>
  <si>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</si>
  <si>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</si>
  <si>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</si>
  <si>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</si>
  <si>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</si>
  <si>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</si>
  <si>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</si>
  <si>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</si>
  <si>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SF-03005</t>
  </si>
  <si>
    <t>SF-03006</t>
  </si>
  <si>
    <t>SF-03007</t>
  </si>
  <si>
    <t>SF-03008</t>
  </si>
  <si>
    <t>SF-03009</t>
  </si>
  <si>
    <t>SF-03010</t>
  </si>
  <si>
    <t>SF-03011</t>
  </si>
  <si>
    <t>SF-03012</t>
  </si>
  <si>
    <t>Junta Papelão Hidráulico 6” x 1/16”</t>
  </si>
  <si>
    <t>SF-03013</t>
  </si>
  <si>
    <t>SF-03014</t>
  </si>
  <si>
    <t>SF-03015</t>
  </si>
  <si>
    <t>SF-03016</t>
  </si>
  <si>
    <t>SF-03017</t>
  </si>
  <si>
    <t>SF-03018</t>
  </si>
  <si>
    <t>SF-03019</t>
  </si>
  <si>
    <t>Luva em aço-carbono galvanizado 2 1/2” - Água Potável e Combate a Incêndio</t>
  </si>
  <si>
    <t>SF-03020</t>
  </si>
  <si>
    <t>Luva em aço-carbono galvanizado 2” - Água Potável e Combate a Incêndio</t>
  </si>
  <si>
    <t>SF-03021</t>
  </si>
  <si>
    <t>Luva em aço-carbono galvanizado 3” - Água Potável e Combate a Incêndio</t>
  </si>
  <si>
    <t>SF-03022</t>
  </si>
  <si>
    <t>Tê 45° (Junção) em aço-carbono galvanizado 2 1/2” – Água Potável e Combate a Incêndio</t>
  </si>
  <si>
    <t>SF-03023</t>
  </si>
  <si>
    <t>Tê 45° (Junção) em aço-carbono galvanizado 2” – Água Potável e Combate a Incêndio</t>
  </si>
  <si>
    <t>SF-03024</t>
  </si>
  <si>
    <t>Tê 45° (Junção) em aço-carbono galvanizado 3” – Água Potável e Combate a Incêndio</t>
  </si>
  <si>
    <t>SF-03025</t>
  </si>
  <si>
    <t>SF-03026</t>
  </si>
  <si>
    <t>SF-03027</t>
  </si>
  <si>
    <t>SF-03028</t>
  </si>
  <si>
    <t>União com assento cônico aço-carbono galvanizado 1 1/2” – Água Potável e Combate a Incêndio</t>
  </si>
  <si>
    <t>SF-03029</t>
  </si>
  <si>
    <t>União com assento cônico aço-carbono galvanizado 1 1/4” – Água Potável e Combate a Incêndio</t>
  </si>
  <si>
    <t>SF-03030</t>
  </si>
  <si>
    <t>União com assento cônico aço-carbono galvanizado 2” – Água Potável e Combate a Incêndio</t>
  </si>
  <si>
    <t>SF-03031</t>
  </si>
  <si>
    <t>União com assento cônico aço-carbono galvanizado 3” – Água Potável e Combate a Incêndio</t>
  </si>
  <si>
    <t>SF-03032</t>
  </si>
  <si>
    <t>União com assento cônico aço-carbono galvanizado 4” – Água Potável e Combate a Incêndio</t>
  </si>
  <si>
    <t>SF-03033</t>
  </si>
  <si>
    <t>União com assento cônico aço-carbono galvanizado 1” – Água Potável e Combate a Incêndio</t>
  </si>
  <si>
    <t>SF-03034</t>
  </si>
  <si>
    <t>União com assento cônico aço-carbono galvanizado 2 1/2” – Água Potável e Combate a Incêndio</t>
  </si>
  <si>
    <t>SF-03035</t>
  </si>
  <si>
    <t>Tê 90° em aço-carbono galvanizado 1 1/2” – Água Potável e Combate a Incêndio</t>
  </si>
  <si>
    <t>SF-03036</t>
  </si>
  <si>
    <t>Tê 90° em aço-carbono galvanizado 1/2” – Água Potável e Combate a Incêndio</t>
  </si>
  <si>
    <t>SF-03037</t>
  </si>
  <si>
    <t>Tê 90° em aço-carbono galvanizado 2 1/2” – Água Potável e Combate a Incêndio</t>
  </si>
  <si>
    <t>SF-03038</t>
  </si>
  <si>
    <t>Tê 90° em aço-carbono galvanizado 2” – Água Potável e Combate a Incêndio</t>
  </si>
  <si>
    <t>SF-03039</t>
  </si>
  <si>
    <t>SF-03040</t>
  </si>
  <si>
    <t>SF-03041</t>
  </si>
  <si>
    <t>SF-03042</t>
  </si>
  <si>
    <t>SF-03043</t>
  </si>
  <si>
    <t>SF-03044</t>
  </si>
  <si>
    <t>Luva PVC roscável para água fria 1 1/2”</t>
  </si>
  <si>
    <t>SF-03045</t>
  </si>
  <si>
    <t>Luva PVC roscável para água fria 2”</t>
  </si>
  <si>
    <t>SF-03046</t>
  </si>
  <si>
    <t>SF-03047</t>
  </si>
  <si>
    <t>SF-03048</t>
  </si>
  <si>
    <t>SF-03049</t>
  </si>
  <si>
    <t>Mangueira de sucção (mangote) em PVC - diâmetro interno de 3”</t>
  </si>
  <si>
    <t>SF-03050</t>
  </si>
  <si>
    <t>Mangueira de sucção (mangote) em PVC - diâmetro interno de 4”</t>
  </si>
  <si>
    <t>SF-03051</t>
  </si>
  <si>
    <t>Mangueira em PVC flexível transparente - DN 5/16”</t>
  </si>
  <si>
    <t>SF-03052</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</si>
  <si>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</si>
  <si>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</si>
  <si>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</si>
  <si>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</si>
  <si>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</si>
  <si>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</si>
  <si>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</si>
  <si>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</si>
  <si>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</si>
  <si>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</si>
  <si>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</si>
  <si>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</si>
  <si>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</si>
  <si>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</si>
  <si>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</si>
  <si>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</si>
  <si>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</si>
  <si>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</si>
  <si>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</si>
  <si>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</si>
  <si>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</si>
  <si>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</si>
  <si>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</si>
  <si>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</si>
  <si>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</si>
  <si>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</si>
  <si>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</si>
  <si>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</si>
  <si>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</si>
  <si>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SF-03068</t>
  </si>
  <si>
    <t>Jogo de chave cachimbo de nº 6 a 32 mm</t>
  </si>
  <si>
    <t>SF-03069</t>
  </si>
  <si>
    <t>SF-03070</t>
  </si>
  <si>
    <t>SF-03071</t>
  </si>
  <si>
    <t>Torno de bancada fixo nº 4</t>
  </si>
  <si>
    <t>SF-03072</t>
  </si>
  <si>
    <t>Bomba manual para graxa 500g</t>
  </si>
  <si>
    <t>SF-03073</t>
  </si>
  <si>
    <t>Bomba manual para graxa 5 a 7kg</t>
  </si>
  <si>
    <t>SF-03074</t>
  </si>
  <si>
    <t>Bomba manual para Teste Hidrostático - Vazão 80 L/h - com Manômetro</t>
  </si>
  <si>
    <t>SF-03075</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</si>
  <si>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</si>
  <si>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</si>
  <si>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</si>
  <si>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</si>
  <si>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</si>
  <si>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</si>
  <si>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</si>
  <si>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</si>
  <si>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</si>
  <si>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</si>
  <si>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</si>
  <si>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</si>
  <si>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</si>
  <si>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</si>
  <si>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</si>
  <si>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</si>
  <si>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SF-03084</t>
  </si>
  <si>
    <t>Supervisor(a) Técnico(a) - Sistema Hidrossanitário</t>
  </si>
  <si>
    <t>SF-03085</t>
  </si>
  <si>
    <t>Supervisor(a) Técnico(a) - Segurança do Trabalho</t>
  </si>
  <si>
    <t>SF-03086</t>
  </si>
  <si>
    <t>Encarregado(a) de Manutenção Hidrossanitária</t>
  </si>
  <si>
    <t>SF-03087</t>
  </si>
  <si>
    <t>Bombeiro(a) Hidráulico(a) Planejador(a) de Manutenção</t>
  </si>
  <si>
    <t>SF-03088</t>
  </si>
  <si>
    <t>Instalador(a) Hidráulico(a)</t>
  </si>
  <si>
    <t>SF-03089</t>
  </si>
  <si>
    <t>Bombeiro(a) Hidráulico(a) Plantonista (diurno)</t>
  </si>
  <si>
    <t>SF-03090</t>
  </si>
  <si>
    <t>Bombeiro(a) Hidráulico(a) Plantonista (noturno)</t>
  </si>
  <si>
    <t>SF-03091</t>
  </si>
  <si>
    <t>Ajudante de Manutenção Hidrossanitária</t>
  </si>
  <si>
    <t>SF-03092</t>
  </si>
  <si>
    <t>Ajudante de Bombeiro(a) Hidráulico(a) Plantonista (diurno)</t>
  </si>
  <si>
    <t>SF-03093</t>
  </si>
  <si>
    <t>Ajudante de Bombeiro(a) Hidráulico(a) Plantonista (noturno)</t>
  </si>
  <si>
    <t>SF-03094</t>
  </si>
  <si>
    <t>Fotômetro para cloro livre e total</t>
  </si>
  <si>
    <t>SF-03095</t>
  </si>
  <si>
    <t>SF-03096</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</si>
  <si>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</si>
  <si>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</si>
  <si>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</si>
  <si>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</si>
  <si>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</si>
  <si>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</si>
  <si>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</si>
  <si>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</si>
  <si>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</si>
  <si>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</si>
  <si>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</si>
  <si>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</si>
  <si>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</si>
  <si>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</si>
  <si>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</si>
  <si>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</si>
  <si>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</si>
  <si>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</si>
  <si>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t>
  </si>
  <si>
    <t>SF-03106</t>
  </si>
  <si>
    <t>Jogo de Cossinete NPT 212 A 4</t>
  </si>
  <si>
    <t>SF-03107</t>
  </si>
  <si>
    <t>Jogo de Cossinete BSPT 1” a 2”</t>
  </si>
  <si>
    <t>SF-03108</t>
  </si>
  <si>
    <t>SF-03109</t>
  </si>
  <si>
    <t>SF-03110</t>
  </si>
  <si>
    <t>SF-03111</t>
  </si>
  <si>
    <t>SF-03112</t>
  </si>
  <si>
    <t>Tubo de aço-carbono galvanizado 1 1/2” – Água Potável e Combate a Incêndio</t>
  </si>
  <si>
    <t>SF-03113</t>
  </si>
  <si>
    <t>Tubo de ligação para mictório</t>
  </si>
  <si>
    <t>SF-03114</t>
  </si>
  <si>
    <t>Reagente líquido para fotômetro</t>
  </si>
  <si>
    <t>SF-03115</t>
  </si>
  <si>
    <t>SF-03116</t>
  </si>
  <si>
    <t>SF-03117</t>
  </si>
  <si>
    <t>SF-03118</t>
  </si>
  <si>
    <t>SF-03119</t>
  </si>
  <si>
    <t>SF-03120</t>
  </si>
  <si>
    <t>SF-03121</t>
  </si>
  <si>
    <t>SF-03122</t>
  </si>
  <si>
    <t>SF-03123</t>
  </si>
  <si>
    <t>SF-03124</t>
  </si>
  <si>
    <t>SF-03125</t>
  </si>
  <si>
    <t>SF-03126</t>
  </si>
  <si>
    <t>SF-03127</t>
  </si>
  <si>
    <t>SF-03128</t>
  </si>
  <si>
    <t>SF-03129</t>
  </si>
  <si>
    <t>SF-03130</t>
  </si>
  <si>
    <t>SF-03131</t>
  </si>
  <si>
    <t>SF-03132</t>
  </si>
  <si>
    <t>SF-03133</t>
  </si>
  <si>
    <t>SF-03134</t>
  </si>
  <si>
    <t>SF-03135</t>
  </si>
  <si>
    <t>SF-03136</t>
  </si>
  <si>
    <t>SF-03137</t>
  </si>
  <si>
    <t>SF-03138</t>
  </si>
  <si>
    <t>SF-03139</t>
  </si>
  <si>
    <t>SF-03140</t>
  </si>
  <si>
    <t>SF-03141</t>
  </si>
  <si>
    <t>SF-03142</t>
  </si>
  <si>
    <t>SF-03143</t>
  </si>
  <si>
    <t>SF-03144</t>
  </si>
  <si>
    <t>SF-03145</t>
  </si>
  <si>
    <t>SF-03146</t>
  </si>
  <si>
    <t>SF-03147</t>
  </si>
  <si>
    <t>SF-03148</t>
  </si>
  <si>
    <t>SF-03149</t>
  </si>
  <si>
    <t>SF-03150</t>
  </si>
  <si>
    <t>SF-03151</t>
  </si>
  <si>
    <t>SF-03152</t>
  </si>
  <si>
    <t>SF-03153</t>
  </si>
  <si>
    <t>SF-03154</t>
  </si>
  <si>
    <t>SF-03155</t>
  </si>
  <si>
    <t>SF-03156</t>
  </si>
  <si>
    <t>SF-03157</t>
  </si>
  <si>
    <t>SF-03158</t>
  </si>
  <si>
    <t>SF-03159</t>
  </si>
  <si>
    <t>SF-03160</t>
  </si>
  <si>
    <t>SF-03161</t>
  </si>
  <si>
    <t>SF-03162</t>
  </si>
  <si>
    <t>SF-03163</t>
  </si>
  <si>
    <t>SF-03164</t>
  </si>
  <si>
    <t>SF-03165</t>
  </si>
  <si>
    <t>SF-03166</t>
  </si>
  <si>
    <t>SF-03167</t>
  </si>
  <si>
    <t>SF-03168</t>
  </si>
  <si>
    <t>SF-03169</t>
  </si>
  <si>
    <t>SF-03170</t>
  </si>
  <si>
    <t>SF-03171</t>
  </si>
  <si>
    <t>SF-03172</t>
  </si>
  <si>
    <t>SF-03173</t>
  </si>
  <si>
    <t>SF-03174</t>
  </si>
  <si>
    <t>SF-03175</t>
  </si>
  <si>
    <t>SF-03176</t>
  </si>
  <si>
    <t>SF-03177</t>
  </si>
  <si>
    <t>SF-03178</t>
  </si>
  <si>
    <t>SF-03179</t>
  </si>
  <si>
    <t>SF-03180</t>
  </si>
  <si>
    <t>SF-03181</t>
  </si>
  <si>
    <t>SF-03182</t>
  </si>
  <si>
    <t>SF-03183</t>
  </si>
  <si>
    <t>SF-03184</t>
  </si>
  <si>
    <t>SF-03185</t>
  </si>
  <si>
    <t>SF-03186</t>
  </si>
  <si>
    <t>SF-03187</t>
  </si>
  <si>
    <t>SF-03188</t>
  </si>
  <si>
    <t>SF-03189</t>
  </si>
  <si>
    <t>SF-03190</t>
  </si>
  <si>
    <t>SF-03191</t>
  </si>
  <si>
    <t>SF-03192</t>
  </si>
  <si>
    <t>SF-03193</t>
  </si>
  <si>
    <t>SF-03194</t>
  </si>
  <si>
    <t>SF-03195</t>
  </si>
  <si>
    <t>SF-03196</t>
  </si>
  <si>
    <t>SF-03197</t>
  </si>
  <si>
    <t>SF-03198</t>
  </si>
  <si>
    <t>SF-03199</t>
  </si>
  <si>
    <t>SF-03200</t>
  </si>
  <si>
    <t>CURVA PVC LONGA 45 GRAUS, 100 MM, PARA ESGOTO PREDIAL</t>
  </si>
  <si>
    <t>TUBO PVC, ROSCAVEL, 3", AGUA FRIA PREDIAL</t>
  </si>
  <si>
    <t>LANÇAMENTO COM USO DE BALDES, ADENSAMENTO E ACABAMENTO DE CONCRETO EM ESTRUTURAS. AF_02/2022</t>
  </si>
  <si>
    <t>TUBO PVC, ROSCAVEL, 4", AGUA FRIA PREDIAL</t>
  </si>
  <si>
    <t>LUVA PVC, ROSCAVEL, 2", AGUA FRIA PREDIAL</t>
  </si>
  <si>
    <t>Bota de segurança com biqueira</t>
  </si>
  <si>
    <t>Bota solado de borracha</t>
  </si>
  <si>
    <t>Avental de raspa de couro para soldador - tipo barbeiro</t>
  </si>
  <si>
    <t>Capacete de segurança - Aba Total</t>
  </si>
  <si>
    <t>Colete Refletivo</t>
  </si>
  <si>
    <t>Crachá com foto</t>
  </si>
  <si>
    <t>Creme protetor para as mãos</t>
  </si>
  <si>
    <t>Fita Zebrada</t>
  </si>
  <si>
    <t>Luva de PVC forrada - 36cm</t>
  </si>
  <si>
    <t>Máscara para solda em polipropileno - visor fixo com lente</t>
  </si>
  <si>
    <t>Sistema modular para proteção de máquinas e equipamentos</t>
  </si>
  <si>
    <t>Manutenção on site – Grupo motor-gerador e instalações associadas - Bloco 2 do Senado Federal (Interlegis)</t>
  </si>
  <si>
    <t>Grupo motor-gerador 140 kVA</t>
  </si>
  <si>
    <t>Projeto executivo de engenharia elétrica - Sistema de geração de energia elétrica – Bloco 02 (Interlegis)</t>
  </si>
  <si>
    <t>Ar-condicionado fancolete hidrônico dutado 0,58 TR (7000 BTU/h)</t>
  </si>
  <si>
    <t>Ar-condicionado fancolete hidrônico dutado 1,5 TR</t>
  </si>
  <si>
    <t>Vestimenta tipo macacão para saneamento com botas e luvas</t>
  </si>
  <si>
    <t>Instalação de quadros elétricos ou de telecomunicações</t>
  </si>
  <si>
    <t>Grelha para retorno de ar com lâminas fixas e registro, 225 mm x 225 mm</t>
  </si>
  <si>
    <t>Instalação de forro metálico reaproveitado</t>
  </si>
  <si>
    <t>Condulete de alumínio de 3"</t>
  </si>
  <si>
    <t>Painel de automação para sistema de revezamento entre equipamentos de climatização split</t>
  </si>
  <si>
    <t>Manutenção periódica – Sistema de geração de energia de emergência do Senado</t>
  </si>
  <si>
    <t>Manutenção periódica – Sistema de geração de energia de emergência do Bloco 01 (Prodasen) – Ramal X</t>
  </si>
  <si>
    <t>Manutenção periódica – Sistema de geração de energia de emergência do Bloco 01 (Prodasen) – Ramal Y</t>
  </si>
  <si>
    <t>Manutenção periódica – Sistema de geração de energia de emergência do Bloco 02 (Interlegis)</t>
  </si>
  <si>
    <t>Tratamento contínuo da água do sistema de arrefecimento externo do Sistema de geração de energia de emergência do Senado</t>
  </si>
  <si>
    <t>Manutenção corretiva – Sistema de geração de energia de emergência do Senado</t>
  </si>
  <si>
    <t>Manutenção corretiva – Sistema de geração de energia de emergência do Bloco 01 (Prodasen) – Ramal X</t>
  </si>
  <si>
    <t>Manutenção corretiva – Sistema de geração de energia de emergência do Bloco 01 (Prodasen) – Ramal Y</t>
  </si>
  <si>
    <t>Manutenção corretiva – Sistema de geração de energia de emergência do Bloco 02 (Interlegis)</t>
  </si>
  <si>
    <t>Análise físico-química e espectrométrica de óleo lubrificante de grupo motor-gerador</t>
  </si>
  <si>
    <t>Revisão em bancada de bicos injetores de motor MTU 16V4000</t>
  </si>
  <si>
    <t>Revisão em bancada de bicos injetores de motor Cummins NTA 855 G</t>
  </si>
  <si>
    <t>Revisão em bancada de bicos injetores de motor Cummins NTA 855 G5</t>
  </si>
  <si>
    <t>Revisão em bancada de bicos injetores de motor Mercedes-Benz OM 447 LA</t>
  </si>
  <si>
    <t>Revisão em bancada de bomba injetora de motor Cummins NTA 855 G</t>
  </si>
  <si>
    <t>Revisão em bancada de bomba injetora de motor Cummins NTA 855 G5</t>
  </si>
  <si>
    <t>Revisão em bancada de bomba injetora de motor Mercedes-Benz OM 447 LA</t>
  </si>
  <si>
    <t>Revisão em bancada de motor de partida de motor Cummins NTA 855 G</t>
  </si>
  <si>
    <t>Revisão em bancada de motor de partida de motor Cummins NTA 855 G5</t>
  </si>
  <si>
    <t>Revisão em bancada de motor de partida de motor Mercedes-Benz OM 447 LA</t>
  </si>
  <si>
    <t>Filtro de óleo para motor MTU 16V4000</t>
  </si>
  <si>
    <t>Filtro de combustível para motor MTU 16V4000</t>
  </si>
  <si>
    <t>Filtro de ar para motor MTU 16V4000</t>
  </si>
  <si>
    <t>Fluido de arrefecimento para motor MTU 16V4000</t>
  </si>
  <si>
    <t>litro</t>
  </si>
  <si>
    <t>Filtro de óleo para motor Cummins NTA 855 G</t>
  </si>
  <si>
    <t>Filtro de óleo para motor Cummins NTA 855 G5</t>
  </si>
  <si>
    <t>Filtro de combustível para motor Cummins NTA 855</t>
  </si>
  <si>
    <t>Filtro de ar para motor Cummins NTA 855 G</t>
  </si>
  <si>
    <t>Filtro de ar para motor Cummins NTA 855 G5</t>
  </si>
  <si>
    <t>Filtro de fluido de arrefecimento para motor Cummins NTA 855 G</t>
  </si>
  <si>
    <t>Filtro de fluido de arrefecimento para motor Cummins NTA 855 G5</t>
  </si>
  <si>
    <t>Fluido de arrefecimento para motor Cummins NTA 855</t>
  </si>
  <si>
    <t>Correia do alternador do motor Cummins NTA 855 G</t>
  </si>
  <si>
    <t>Correia do alternador do motor Cummins NTA 855 G5</t>
  </si>
  <si>
    <t>Correia da bomba d’água do motor Cummins NTA 855 G</t>
  </si>
  <si>
    <t>Correia da bomba d’água do motor Cummins NTA 855 G5</t>
  </si>
  <si>
    <t>Correia do ventilador do motor Cummins NTA 855 G</t>
  </si>
  <si>
    <t>Correia do ventilador do motor Cummins NTA 855 G5</t>
  </si>
  <si>
    <t>Bico injetor para motor Cummins NTA 855</t>
  </si>
  <si>
    <t>Solenoide de corte de combustível para motor Cummins NTA 855</t>
  </si>
  <si>
    <t>Bomba de fluido de arrefecimento para motor Cummins NTA 855</t>
  </si>
  <si>
    <t>Filtro de óleo para motor Mercedes-Benz OM 447 LA</t>
  </si>
  <si>
    <t>Filtro de combustível para motor Mercedes-Benz OM 447 LA</t>
  </si>
  <si>
    <t>Filtro de ar para motor Mercedes-Benz OM 447 LA</t>
  </si>
  <si>
    <t>Fluido de arrefecimento para motor Mercedes-Benz OM 447 LA</t>
  </si>
  <si>
    <t>Correia do alternador/bomba d’água do motor Mercedes-Benz OM 447 LA</t>
  </si>
  <si>
    <t>Correia do ventilador do motor Mercedes-Benz OM 447 LA</t>
  </si>
  <si>
    <t>Bico injetor para motor Mercedes-Benz OM 447 LA</t>
  </si>
  <si>
    <t>Solenoide de corte de combustível para motor Mercedes-Benz OM 447 LA</t>
  </si>
  <si>
    <t>Bomba de fluido de arrefecimento para motor Mercedes-Benz OM 447 LA</t>
  </si>
  <si>
    <t>Elemento filtrante (papelão linter) para filtro prensa de óleo diesel</t>
  </si>
  <si>
    <t>Correia industrial B-174</t>
  </si>
  <si>
    <t>Estabilizador de óleo diesel</t>
  </si>
  <si>
    <t>Bateria 12 V / 150 Ah para grupo motor-gerador</t>
  </si>
  <si>
    <t>Óleo lubrificante 15W-40 API CI-4</t>
  </si>
  <si>
    <t>Sensor de rotação</t>
  </si>
  <si>
    <t>Sensor de temperatura PT-100</t>
  </si>
  <si>
    <t>Sensor de temperatura resistivo</t>
  </si>
  <si>
    <t>Sensor de pressão</t>
  </si>
  <si>
    <t>Interruptor de pressão de óleo</t>
  </si>
  <si>
    <t>Sensor de nível de fluido de arrefecimento</t>
  </si>
  <si>
    <t>Conjunto de pré-aquecimento 1500 W</t>
  </si>
  <si>
    <t>Mangueira SAE 100 R6 3/8”</t>
  </si>
  <si>
    <t>Mangueira SAE 100 R6 1/2”</t>
  </si>
  <si>
    <t>SF-03201</t>
  </si>
  <si>
    <t>Mangueira SAE 100 R6 5/8”</t>
  </si>
  <si>
    <t>SF-03202</t>
  </si>
  <si>
    <t>Mangueira SAE 100 R6 3/4”</t>
  </si>
  <si>
    <t>SF-03203</t>
  </si>
  <si>
    <t>Cotovelo BSP 1 1/2” para filtro de óleo diesel</t>
  </si>
  <si>
    <t>SF-03204</t>
  </si>
  <si>
    <t>Válvula Gaveta Fecho Rápido 1 1/2” para filtro de óleo diesel</t>
  </si>
  <si>
    <t>SF-03205</t>
  </si>
  <si>
    <t>Chave boia para filtro de óleo diesel</t>
  </si>
  <si>
    <t>SF-03206</t>
  </si>
  <si>
    <t>União BSP 1 1/2” para filtro de óleo diesel</t>
  </si>
  <si>
    <t>SF-03207</t>
  </si>
  <si>
    <t>Tubo de aço-carbono 1 1/2” - Filtro de óleo diesel</t>
  </si>
  <si>
    <t>SF-03208</t>
  </si>
  <si>
    <t>SF-03209</t>
  </si>
  <si>
    <t>Projeto executivo de engenharia elétrica – Sistema de bombas do Bloco 1</t>
  </si>
  <si>
    <t>SF-03210</t>
  </si>
  <si>
    <t>Quadro de transferência automática para sistema de bombas do Bloco 1</t>
  </si>
  <si>
    <t>SF-03211</t>
  </si>
  <si>
    <t>Painel para acionamento de bombas do sistema de drenagem de águas pluviais do Bloco 1</t>
  </si>
  <si>
    <t>SF-03212</t>
  </si>
  <si>
    <t>Painel para acionamento de bombas do sistema de esgoto do Bloco 1</t>
  </si>
  <si>
    <t>SF-03213</t>
  </si>
  <si>
    <t>SF-03214</t>
  </si>
  <si>
    <t>Bloco vazado de concreto simples com 02 furos (19x19x39 - Classe A)</t>
  </si>
  <si>
    <t>SF-03215</t>
  </si>
  <si>
    <t>Bloco vazado de concreto simples tipo canaleta (19x19x39 - Classe A)</t>
  </si>
  <si>
    <t>SF-03216</t>
  </si>
  <si>
    <t>Bloco vazado de concreto simples tipo compensador A (19x19x9 - Classe A)</t>
  </si>
  <si>
    <t>SF-03217</t>
  </si>
  <si>
    <t>Bloco vazado de concreto simples tipo compensador A (19x19x9 - Classe C)</t>
  </si>
  <si>
    <t>SF-03218</t>
  </si>
  <si>
    <t>SF-03219</t>
  </si>
  <si>
    <t>SF-03220</t>
  </si>
  <si>
    <t>Graute industrializado, 50 MPa ≤ fck ≤ 60 Mpa</t>
  </si>
  <si>
    <t>SF-03221</t>
  </si>
  <si>
    <t>Tela metálica para reboco</t>
  </si>
  <si>
    <t>SF-03222</t>
  </si>
  <si>
    <t>Vergalhão Ca-60 Diâmetro 4,2 mm</t>
  </si>
  <si>
    <t>SF-03223</t>
  </si>
  <si>
    <t>Vermiculita Expandida</t>
  </si>
  <si>
    <t>25 kg</t>
  </si>
  <si>
    <t>100 L</t>
  </si>
  <si>
    <t>Bloco de concreto tipo canaleta 19 x 19 x 39 cm</t>
  </si>
  <si>
    <t>Vermiculita expandida</t>
  </si>
  <si>
    <t>FIBRA DE POLIPROPILENO P/ CONCRETO DOSADO EM CENTRAL FILAMENTOS - TECNOLOGIA "CRACKSTOP"</t>
  </si>
  <si>
    <t>BLOCO DE VEDACAO TIPO CANALETA DE CONCRETO 19 X 19 X 39 CM (CLASSE C - NBR 6136)</t>
  </si>
  <si>
    <t>SF-03224</t>
  </si>
  <si>
    <t>SF-03225</t>
  </si>
  <si>
    <t>SF-03226</t>
  </si>
  <si>
    <t>SF-03227</t>
  </si>
  <si>
    <t>SF-03228</t>
  </si>
  <si>
    <t>SF-03229</t>
  </si>
  <si>
    <t>SF-03230</t>
  </si>
  <si>
    <t>SF-03231</t>
  </si>
  <si>
    <t>Redução 26 mm x 20mm para tubo PEX para gás – GLP</t>
  </si>
  <si>
    <t>Tubo de sistema PEX multicamada flexível 20 mm para gás</t>
  </si>
  <si>
    <t>Tubo de sistema PEX multicamada flexível 26 mm para gás</t>
  </si>
  <si>
    <t>Kit de ferramentas para tubo PEX - GLP</t>
  </si>
  <si>
    <t>SF-03232</t>
  </si>
  <si>
    <t>SF-03233</t>
  </si>
  <si>
    <t>SF-03234</t>
  </si>
  <si>
    <t>SF-03235</t>
  </si>
  <si>
    <t>SF-03236</t>
  </si>
  <si>
    <t>SF-03237</t>
  </si>
  <si>
    <t>SF-03238</t>
  </si>
  <si>
    <t>SF-03239</t>
  </si>
  <si>
    <t>SF-03240</t>
  </si>
  <si>
    <t>SF-03241</t>
  </si>
  <si>
    <t>SF-03242</t>
  </si>
  <si>
    <t>SF-03243</t>
  </si>
  <si>
    <t>SF-03244</t>
  </si>
  <si>
    <t>SF-03245</t>
  </si>
  <si>
    <t>SF-03246</t>
  </si>
  <si>
    <t>SF-03247</t>
  </si>
  <si>
    <t>SF-03248</t>
  </si>
  <si>
    <t>SF-03249</t>
  </si>
  <si>
    <t>SF-03250</t>
  </si>
  <si>
    <t>SF-03251</t>
  </si>
  <si>
    <t>SF-03252</t>
  </si>
  <si>
    <t>SF-03253</t>
  </si>
  <si>
    <t>SF-03254</t>
  </si>
  <si>
    <t>SF-03255</t>
  </si>
  <si>
    <t>SF-03256</t>
  </si>
  <si>
    <t>SF-03257</t>
  </si>
  <si>
    <t>SF-03258</t>
  </si>
  <si>
    <t>SF-03259</t>
  </si>
  <si>
    <t>SF-03260</t>
  </si>
  <si>
    <t>SF-03261</t>
  </si>
  <si>
    <t>SF-03262</t>
  </si>
  <si>
    <t>SF-03263</t>
  </si>
  <si>
    <t>SF-03264</t>
  </si>
  <si>
    <t>SF-03265</t>
  </si>
  <si>
    <t>SF-03266</t>
  </si>
  <si>
    <t>SF-03267</t>
  </si>
  <si>
    <t>SF-03268</t>
  </si>
  <si>
    <t>SF-03269</t>
  </si>
  <si>
    <t>SF-03270</t>
  </si>
  <si>
    <t>SF-03271</t>
  </si>
  <si>
    <t>SF-03272</t>
  </si>
  <si>
    <t>SF-03273</t>
  </si>
  <si>
    <t>SF-03274</t>
  </si>
  <si>
    <t>SF-03275</t>
  </si>
  <si>
    <t>SF-03276</t>
  </si>
  <si>
    <t>SF-03277</t>
  </si>
  <si>
    <t>SF-03278</t>
  </si>
  <si>
    <t>SF-03279</t>
  </si>
  <si>
    <t>SF-03280</t>
  </si>
  <si>
    <t>SF-03281</t>
  </si>
  <si>
    <t>SF-03282</t>
  </si>
  <si>
    <t>SF-03283</t>
  </si>
  <si>
    <t>SF-03284</t>
  </si>
  <si>
    <t>SF-03285</t>
  </si>
  <si>
    <t>SF-03286</t>
  </si>
  <si>
    <t>SF-03287</t>
  </si>
  <si>
    <t>SF-03288</t>
  </si>
  <si>
    <t>SF-03289</t>
  </si>
  <si>
    <t>SF-03290</t>
  </si>
  <si>
    <t>SF-03291</t>
  </si>
  <si>
    <t>SF-03292</t>
  </si>
  <si>
    <t>SF-03293</t>
  </si>
  <si>
    <t>SF-03294</t>
  </si>
  <si>
    <t>SF-03295</t>
  </si>
  <si>
    <t>SF-03296</t>
  </si>
  <si>
    <t>SF-03297</t>
  </si>
  <si>
    <t>SF-03298</t>
  </si>
  <si>
    <t>SF-03299</t>
  </si>
  <si>
    <t>SF-03300</t>
  </si>
  <si>
    <t>SF-03301</t>
  </si>
  <si>
    <t>Adaptador fixo rosca macho PEX gás Ø 26 mm x 3/4</t>
  </si>
  <si>
    <t>Luva redução PEX gás Ø 26 mm x 20 mm</t>
  </si>
  <si>
    <t>Tê rosca fêmea PEX gás Ø 26 mm x 3/4"</t>
  </si>
  <si>
    <t>Mármore Branco Especial</t>
  </si>
  <si>
    <t>Fluido de arrefecimento diluído para motor MTU 16V4000</t>
  </si>
  <si>
    <t>Fluido de arrefecimento diluído para motor Cummins NTA 855</t>
  </si>
  <si>
    <t>Fluido de arrefecimento diluído para motor Mercedes-Benz OM 447 LA</t>
  </si>
  <si>
    <t>Água destilada/desmineralizada/desionizada/ultrafiltrada</t>
  </si>
  <si>
    <t>Lâmina de madeira - freijó</t>
  </si>
  <si>
    <t>ARMAÇÃO DE LAJE DE ESTRUTURA CONVENCIONAL DE CONCRETO ARMADO UTILIZANDO AÇO CA-60 DE 4,2 MM - MONTAGEM. AF_06/2022</t>
  </si>
  <si>
    <t>ARMAÇÃO DE LAJE DE ESTRUTURA CONVENCIONAL DE CONCRETO ARMADO UTILIZANDO AÇO CA-60 DE 5,0 MM - MONTAGEM. AF_06/2022</t>
  </si>
  <si>
    <t>CORTE E DOBRA DE AÇO CA-60, DIÂMETRO DE 4,2 MM. AF_06/2022</t>
  </si>
  <si>
    <t>CORTE E DOBRA DE AÇO CA-60, DIÂMETRO DE 5,0 MM. AF_06/2022</t>
  </si>
  <si>
    <t>CORTE E DOBRA DE AÇO CA-50, DIÂMETRO DE 8,0 MM. AF_06/2022</t>
  </si>
  <si>
    <t>CORTE E DOBRA DE AÇO CA-50, DIÂMETRO DE 12,5 MM. AF_06/2022</t>
  </si>
  <si>
    <t>CORTE E DOBRA DE AÇO CA-50, DIÂMETRO DE 16,0 MM. AF_06/2022</t>
  </si>
  <si>
    <t>CORTE E DOBRA DE AÇO CA-25, DIÂMETRO DE 16,0 MM. AF_06/2022</t>
  </si>
  <si>
    <t>Tela mosquiteiro em aço galvanizado, malha 14, fio 31</t>
  </si>
  <si>
    <t>Pastilha de porcelana (2 x 2 cm) – Fornecimento e instalação</t>
  </si>
  <si>
    <t>Projeto Executivo para Central Fotovoltaica de Minigeração de Energia Elétrica - Bloco 14</t>
  </si>
  <si>
    <t>Fornecimento e Instalação de Central de Minigeração de Energia Elétrica Fotovoltaica Bloco 14</t>
  </si>
  <si>
    <t>Eletroduto de PEAD de 4"</t>
  </si>
  <si>
    <t>Assistência Técnica e Manutenção de Central de Minigeração de Energia Elétrica Fotovoltaica Distribuída - Bloco 14</t>
  </si>
  <si>
    <t>Laudo de estabilidade estrutural - Bloco 14</t>
  </si>
  <si>
    <t>Projeto de adaptação/modificação/reforço da estrutura e suas fundações para os novos usos - Bloco 14</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</si>
  <si>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</si>
  <si>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</si>
  <si>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</si>
  <si>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</si>
  <si>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</si>
  <si>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</si>
  <si>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</si>
  <si>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</si>
  <si>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</si>
  <si>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</si>
  <si>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</si>
  <si>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</si>
  <si>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</si>
  <si>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</si>
  <si>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</si>
  <si>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</si>
  <si>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</si>
  <si>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</si>
  <si>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</si>
  <si>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</si>
  <si>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</si>
  <si>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</si>
  <si>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</si>
  <si>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</si>
  <si>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</si>
  <si>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</si>
  <si>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</si>
  <si>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</si>
  <si>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</si>
  <si>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</si>
  <si>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</si>
  <si>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</si>
  <si>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</si>
  <si>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</si>
  <si>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</si>
  <si>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</si>
  <si>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</si>
  <si>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</si>
  <si>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</si>
  <si>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</si>
  <si>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</si>
  <si>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</si>
  <si>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</si>
  <si>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</si>
  <si>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</si>
  <si>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</si>
  <si>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</si>
  <si>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</si>
  <si>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</si>
  <si>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</si>
  <si>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</si>
  <si>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</si>
  <si>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SF-03354</t>
  </si>
  <si>
    <t>SF-03355</t>
  </si>
  <si>
    <t>SF-03356</t>
  </si>
  <si>
    <t>SF-03357</t>
  </si>
  <si>
    <t>SF-03358</t>
  </si>
  <si>
    <t>SF-03359</t>
  </si>
  <si>
    <t>SF-03360</t>
  </si>
  <si>
    <t>SF-03361</t>
  </si>
  <si>
    <t>SF-03362</t>
  </si>
  <si>
    <t>SF-03363</t>
  </si>
  <si>
    <t>SF-03364</t>
  </si>
  <si>
    <t>SF-03365</t>
  </si>
  <si>
    <t>SF-03366</t>
  </si>
  <si>
    <t>SF-03367</t>
  </si>
  <si>
    <t>SF-03368</t>
  </si>
  <si>
    <t>SF-03369</t>
  </si>
  <si>
    <t>SF-03370</t>
  </si>
  <si>
    <t>SF-03371</t>
  </si>
  <si>
    <t>SF-03372</t>
  </si>
  <si>
    <t>SF-03373</t>
  </si>
  <si>
    <t>SF-03374</t>
  </si>
  <si>
    <t>SF-03375</t>
  </si>
  <si>
    <t>SF-03376</t>
  </si>
  <si>
    <t>SF-03377</t>
  </si>
  <si>
    <t>SF-03378</t>
  </si>
  <si>
    <t>SF-03379</t>
  </si>
  <si>
    <t>SF-03380</t>
  </si>
  <si>
    <t>SF-03381</t>
  </si>
  <si>
    <t>SF-03382</t>
  </si>
  <si>
    <t>SF-03383</t>
  </si>
  <si>
    <t>SF-03384</t>
  </si>
  <si>
    <t>SF-03385</t>
  </si>
  <si>
    <t>SF-03386</t>
  </si>
  <si>
    <t>SF-03387</t>
  </si>
  <si>
    <t>SF-03388</t>
  </si>
  <si>
    <t>SF-03389</t>
  </si>
  <si>
    <t>SF-03390</t>
  </si>
  <si>
    <t>SF-03391</t>
  </si>
  <si>
    <t>SF-03392</t>
  </si>
  <si>
    <t>SF-03393</t>
  </si>
  <si>
    <t>SF-03394</t>
  </si>
  <si>
    <t>SF-03395</t>
  </si>
  <si>
    <t>SF-03396</t>
  </si>
  <si>
    <t>SF-03397</t>
  </si>
  <si>
    <t>SF-03398</t>
  </si>
  <si>
    <t>SF-03399</t>
  </si>
  <si>
    <t>SF-03400</t>
  </si>
  <si>
    <t>Suporte para luminária de poste triplo</t>
  </si>
  <si>
    <t>Remoção de poste de iluminação</t>
  </si>
  <si>
    <t>Remoção de braço de iluminação</t>
  </si>
  <si>
    <t>Projeto Executivo de Iluminação Viária</t>
  </si>
  <si>
    <t>Quadro elétrico tipo PTTA/TTA para uso ao tempo</t>
  </si>
  <si>
    <t>Eletroduto PEAD 1 1/2”(40mm)</t>
  </si>
  <si>
    <t>SUPORTE PARA 3 PÉTALAS PARA LUMINÁRIA DE ILUMINAÇÃO PÚBLICA</t>
  </si>
  <si>
    <t>Cabo de cobre multipolar, classe 5, isolação em EPR, 0,6/1 kV, 3x10,0mm² resistente a chama, livre de halogênios</t>
  </si>
  <si>
    <t>Eletroduto rígido roscável de aço galvanizado a fogo de 1”, tipo pesado</t>
  </si>
  <si>
    <t>Eletroduto rígido roscável de aço galvanizado a fogo de 1 1/2”, tipo pesado</t>
  </si>
  <si>
    <t>Quadro elétrico tipo TTA completo, para uso externo, com 11 disjuntores terminais, contemplando disjuntores, DPS, DR, etc., conforme especificação</t>
  </si>
  <si>
    <t>Quadro elétrico tipo TTA completo com 11 disjuntores terminais, contemplando disjuntores, DPS, DR, etc., conforme especificação</t>
  </si>
  <si>
    <t>Quadro elétrico tipo TTA completo com 06 disjuntores terminais, contemplando disjuntores, DPS, DR, etc., conforme especificação</t>
  </si>
  <si>
    <t>Quadro elétrico tipo TTA completo com 30 disjuntores terminais, contemplando disjuntores, DPS, DR, etc., conforme especificação</t>
  </si>
  <si>
    <t>Eletroduto rígido roscável de aço galvanizado a fogo de 3”, tipo pesado</t>
  </si>
  <si>
    <t>Eletroduto rígido roscável de aço galvanizado a fogo de 2”, tipo pesado</t>
  </si>
  <si>
    <t>Cabo de cobre multipolar, classe 5, isolação em EPR, 0,6/1 kV, 3x6,0mm² resistente a chama, livre de halogênios</t>
  </si>
  <si>
    <t>SUPORTE PARA 1 PÉTALA PARA LUMINÁRIA DE ILUMINAÇÃO PÚBLICA</t>
  </si>
  <si>
    <t>SUPORTE PARA 4 PÉTALAS PARA LUMINÁRIA DE ILUMINAÇÃO PÚBLICA</t>
  </si>
  <si>
    <t>Suporte para luminária de poste quádruplo</t>
  </si>
  <si>
    <t>LUVA DE AÇO GALVANIZADO PARA ELETRODUTO Ø 20 MM - 3/4"</t>
  </si>
  <si>
    <t>LUVA DE AÇO GALVANIZADO PARA ELETRODUTO Ø 25 MM - 1"</t>
  </si>
  <si>
    <t>LUVA DE AÇO GALVANIZADO PARA ELETRODUTO Ø 32 MM - 1 1/4"</t>
  </si>
  <si>
    <t>LUVA DE AÇO GALVANIZADO PARA ELETRODUTO Ø 40 MM - 1 1/2"</t>
  </si>
  <si>
    <t>Quadro elétrico tipo TTA completo, para uso externo, com 18 disjuntores terminais, contemplando disjuntores, DPS, DR, etc., conforme especificação</t>
  </si>
  <si>
    <t>Cerâmica esmaltada (G-Glazed), brilho ou acetinado, retificada ou não retificada, fabricante Eliane, modelo Branco Piscina, 20x20, fabricante Portobello, modelo Idea Bianco ou Antartida, 30x60, fabricante Biancogres, modelo Tradizione, 32x60, ou similares</t>
  </si>
  <si>
    <t>Cerâmica esmaltada (G-Glazed), acetinado, retificada ou não retificada, fabricante Eliane, modelo Cargo Plus White AC 45x45cm, ou similares</t>
  </si>
  <si>
    <t>Cerâmica Gail Industrial linha Gressit 300x300x9mm, 240x116x9mm ou 300x147x9mm cor 1001 – Bege ou similares</t>
  </si>
  <si>
    <t>Quadro elétrico TTA (18 disjuntores terminais)</t>
  </si>
  <si>
    <t>Condulete de alumínio de 3/4’’</t>
  </si>
  <si>
    <t>Condulete de alumínio de 2’’</t>
  </si>
  <si>
    <t>Ar-condicionado split dutado 24.000 BTU/h</t>
  </si>
  <si>
    <t>Cerâmica para revestimento de PAREDES de superfícies internas</t>
  </si>
  <si>
    <t>Cerâmica para revestimento de pisos de superfícies internas</t>
  </si>
  <si>
    <t>Cerâmica de linha industrial para revestimento de PISOS E PAREDES de superfícies internas e externas</t>
  </si>
  <si>
    <t>Cortina de Linho Sintético – Linha Residencial</t>
  </si>
  <si>
    <t>Forro de Cortina em Microfibra  – Linha Residencial</t>
  </si>
  <si>
    <t>Trilho Duplo em Alumínio para Cortinas – Linha Residencial</t>
  </si>
  <si>
    <t>Trilho Triplo em Alumínio para Cortinas – Linha Residencial</t>
  </si>
  <si>
    <t>Trilho Simples em Alumínio para Cortinas – Linha Residencial</t>
  </si>
  <si>
    <t>Varão Duplo Cromado para Cortinas – Linha Residencial</t>
  </si>
  <si>
    <t>Cortina tipo Blecaute – Linha Residencial</t>
  </si>
  <si>
    <t>Argamassa autonivelante para preparação/regularização de contrapiso</t>
  </si>
  <si>
    <t>DESEMPENADEIRA DE CONCRETO, PESO DE 78 KG, 4 PÁS, MOTOR A GASOLINA, POTÊNCIA 5,5 HP - CHP DIURNO. AF_09/2016</t>
  </si>
  <si>
    <t>MONTAGEM DE ARMADURA DE ESTACAS, DIÂMETRO = 16,0 MM. AF_09/2021_PS</t>
  </si>
  <si>
    <t>CHAPISCO APLICADO EM ALVENARIAS E ESTRUTURAS DE CONCRETO INTERNAS, COM COLHER DE PEDREIRO.  ARGAMASSA TRAÇO 1:3 COM PREPARO EM BETONEIRA 400L. AF_10/2022</t>
  </si>
  <si>
    <t>Lixamento, desbaste ou lapidação mecânica de superfície de alta resistência</t>
  </si>
  <si>
    <t>Projeto Executivo para a Climatização da Sala de Leitura e Hall de Entrada da COBIB</t>
  </si>
  <si>
    <t>Grelha de Captação de Ar Externo com Damper e Filtro</t>
  </si>
  <si>
    <t>Ar-condicionado Fan-Coil 5,0 TR com Acessórios</t>
  </si>
  <si>
    <t>Ar-condicionado Fan-Coil 3,5 TR com Acessórios</t>
  </si>
  <si>
    <t>Quadro para acionamento, proteção e controle de sistema de climatização por fan coil – capacidade até 5 TR</t>
  </si>
  <si>
    <t>Sistema de Dutos Helicoidais Ovalizados</t>
  </si>
  <si>
    <t>Botina de segurança</t>
  </si>
  <si>
    <t>Cinto de Segurança Tipo Paraquedista e Talabarte em Y</t>
  </si>
  <si>
    <t>Locação de Sistema de Geração Distribuída Solar Fotovoltaica</t>
  </si>
  <si>
    <t>Especificações Técnicas de Usina Minigeradora Solar Fotovoltaica</t>
  </si>
  <si>
    <t>Projetos Executivos de Usina Minegeradora Fotovoltaica</t>
  </si>
  <si>
    <t>Sondagem e Modelagem Geoelétrica (Medição de Resistividade e Estratificação do solo)</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</si>
  <si>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</si>
  <si>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</si>
  <si>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</si>
  <si>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</si>
  <si>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</si>
  <si>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</si>
  <si>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</si>
  <si>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</si>
  <si>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</si>
  <si>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</si>
  <si>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</si>
  <si>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</si>
  <si>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</si>
  <si>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</si>
  <si>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</si>
  <si>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</si>
  <si>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</si>
  <si>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</si>
  <si>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</si>
  <si>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SF-03420</t>
  </si>
  <si>
    <t>SF-03421</t>
  </si>
  <si>
    <t>SF-03422</t>
  </si>
  <si>
    <t>SF-03423</t>
  </si>
  <si>
    <t>SF-03424</t>
  </si>
  <si>
    <t>SF-03425</t>
  </si>
  <si>
    <t>SF-03426</t>
  </si>
  <si>
    <t>SF-03427</t>
  </si>
  <si>
    <t>SF-03428</t>
  </si>
  <si>
    <t>SF-03429</t>
  </si>
  <si>
    <t>SF-03430</t>
  </si>
  <si>
    <t>SF-03431</t>
  </si>
  <si>
    <t>SF-03432</t>
  </si>
  <si>
    <t>SF-03433</t>
  </si>
  <si>
    <t>SF-03434</t>
  </si>
  <si>
    <t>SF-03435</t>
  </si>
  <si>
    <t>SF-03436</t>
  </si>
  <si>
    <t>SF-03437</t>
  </si>
  <si>
    <t>SF-03438</t>
  </si>
  <si>
    <t>SF-03439</t>
  </si>
  <si>
    <t>SF-03440</t>
  </si>
  <si>
    <t>SF-03441</t>
  </si>
  <si>
    <t>SF-03442</t>
  </si>
  <si>
    <t>SF-03443</t>
  </si>
  <si>
    <t>SF-03444</t>
  </si>
  <si>
    <t>SF-03445</t>
  </si>
  <si>
    <t>SF-03446</t>
  </si>
  <si>
    <t>SF-03447</t>
  </si>
  <si>
    <t>SF-03448</t>
  </si>
  <si>
    <t>SF-03449</t>
  </si>
  <si>
    <t>SF-03450</t>
  </si>
  <si>
    <t>SF-03451</t>
  </si>
  <si>
    <t>SF-03452</t>
  </si>
  <si>
    <t>SF-03453</t>
  </si>
  <si>
    <t>SF-03454</t>
  </si>
  <si>
    <t>SF-03455</t>
  </si>
  <si>
    <t>Torneira metal de jardim com bico 1/2”</t>
  </si>
  <si>
    <t>SF-03456</t>
  </si>
  <si>
    <t>Niple de aço-carbono galvanizado 1/2”</t>
  </si>
  <si>
    <t>SF-03457</t>
  </si>
  <si>
    <t>Niple de aço-carbono galvanizado 3/4”</t>
  </si>
  <si>
    <t>SF-03458</t>
  </si>
  <si>
    <t>SF-03459</t>
  </si>
  <si>
    <t>SF-03460</t>
  </si>
  <si>
    <t>Luva de correr PVC roscável 3/4”</t>
  </si>
  <si>
    <t>SF-03461</t>
  </si>
  <si>
    <t>Luva de correr PVC roscável 1 1/2”</t>
  </si>
  <si>
    <t>SF-03462</t>
  </si>
  <si>
    <t>Luva de correr PVC roscável 2”</t>
  </si>
  <si>
    <t>SF-03463</t>
  </si>
  <si>
    <t>SF-03464</t>
  </si>
  <si>
    <t>SF-03465</t>
  </si>
  <si>
    <t>Plug PVC roscável 3/4”</t>
  </si>
  <si>
    <t>SF-03466</t>
  </si>
  <si>
    <t>Plug PVC roscável 1/2”</t>
  </si>
  <si>
    <t>SF-03467</t>
  </si>
  <si>
    <t>SF-03468</t>
  </si>
  <si>
    <t>SF-03469</t>
  </si>
  <si>
    <t>SF-03470</t>
  </si>
  <si>
    <t>Caixa de Gordura 4 litros</t>
  </si>
  <si>
    <t>SF-03471</t>
  </si>
  <si>
    <t>SF-03472</t>
  </si>
  <si>
    <t>SF-03473</t>
  </si>
  <si>
    <t>SF-03474</t>
  </si>
  <si>
    <t>SF-03475</t>
  </si>
  <si>
    <t>SF-03476</t>
  </si>
  <si>
    <t>SF-03477</t>
  </si>
  <si>
    <t>SF-03478</t>
  </si>
  <si>
    <t>SF-03479</t>
  </si>
  <si>
    <t>SF-03480</t>
  </si>
  <si>
    <t>SF-03481</t>
  </si>
  <si>
    <t>SF-03482</t>
  </si>
  <si>
    <t>SF-03483</t>
  </si>
  <si>
    <t>SF-03484</t>
  </si>
  <si>
    <t>SF-03485</t>
  </si>
  <si>
    <t>SF-03486</t>
  </si>
  <si>
    <t>Emulsão asfáltica RR 2C</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</si>
  <si>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</si>
  <si>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</si>
  <si>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</si>
  <si>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</si>
  <si>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Grelha para retorno de ar com lâminas fixas e sem registro, 1225x525 mm</t>
  </si>
  <si>
    <t>Grelha para retorno de ar com lâminas fixas e registro, 30 x 15 cm</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</si>
  <si>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</si>
  <si>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</si>
  <si>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</si>
  <si>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</si>
  <si>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</si>
  <si>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</si>
  <si>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Fan-coil 3,5 TR, vazão de ar 2560 m3/h, 250 Pa disponível</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</si>
  <si>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</si>
  <si>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</si>
  <si>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</si>
  <si>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</si>
  <si>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</si>
  <si>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</si>
  <si>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</si>
  <si>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</si>
  <si>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</si>
  <si>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</si>
  <si>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</si>
  <si>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</si>
  <si>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</si>
  <si>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</si>
  <si>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</si>
  <si>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</si>
  <si>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</si>
  <si>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</si>
  <si>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</si>
  <si>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</si>
  <si>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</si>
  <si>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</si>
  <si>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</si>
  <si>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</si>
  <si>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</si>
  <si>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</si>
  <si>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</si>
  <si>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</si>
  <si>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</si>
  <si>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</si>
  <si>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</si>
  <si>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</si>
  <si>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</si>
  <si>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</si>
  <si>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</si>
  <si>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</si>
  <si>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</si>
  <si>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</si>
  <si>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</si>
  <si>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</si>
  <si>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</si>
  <si>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</si>
  <si>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</si>
  <si>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</si>
  <si>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</si>
  <si>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</si>
  <si>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</si>
  <si>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</si>
  <si>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</si>
  <si>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</si>
  <si>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</si>
  <si>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</si>
  <si>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</si>
  <si>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</si>
  <si>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</si>
  <si>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</si>
  <si>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</si>
  <si>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</si>
  <si>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</si>
  <si>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</si>
  <si>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</si>
  <si>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</si>
  <si>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</si>
  <si>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</si>
  <si>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</si>
  <si>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</si>
  <si>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</si>
  <si>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</si>
  <si>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</si>
  <si>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</si>
  <si>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</si>
  <si>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</si>
  <si>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</si>
  <si>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</si>
  <si>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</si>
  <si>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</si>
  <si>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</si>
  <si>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</si>
  <si>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</si>
  <si>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</si>
  <si>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</si>
  <si>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</si>
  <si>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</si>
  <si>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</si>
  <si>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</si>
  <si>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</si>
  <si>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Luva de correr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</si>
  <si>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</si>
  <si>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</si>
  <si>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</si>
  <si>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</si>
  <si>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</si>
  <si>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</si>
  <si>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</si>
  <si>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</si>
  <si>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</si>
  <si>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</si>
  <si>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</si>
  <si>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</si>
  <si>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</si>
  <si>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</si>
  <si>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</si>
  <si>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</si>
  <si>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</si>
  <si>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</si>
  <si>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</si>
  <si>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</si>
  <si>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</si>
  <si>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</si>
  <si>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</si>
  <si>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</si>
  <si>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</si>
  <si>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</si>
  <si>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</si>
  <si>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</si>
  <si>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</si>
  <si>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</si>
  <si>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</si>
  <si>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</si>
  <si>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</si>
  <si>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</si>
  <si>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</si>
  <si>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</si>
  <si>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</si>
  <si>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</si>
  <si>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Joelho 90° PVC esgoto ou águas pluviais 150 mm</t>
  </si>
  <si>
    <t>Joelho 45° PVC esgoto ou águas pluviais 150 mm</t>
  </si>
  <si>
    <t>Tê PVC esgoto ou águas pluviais 150 mm</t>
  </si>
  <si>
    <t>Curva longa 90° PVC esgoto ou águas pluviais 150 mm</t>
  </si>
  <si>
    <t>Cap PVC esgoto ou águas pluviais 150 mm</t>
  </si>
  <si>
    <t>Redução PVC esgoto ou águas pluviais 150 mm x 100 mm</t>
  </si>
  <si>
    <t>Joelho 45° cobre 35 mm</t>
  </si>
  <si>
    <t>Joelho 90° cobre 35 mm</t>
  </si>
  <si>
    <t>Luva cobre 35 mm</t>
  </si>
  <si>
    <t>Tê cobre 35 mm</t>
  </si>
  <si>
    <t>União cobre 35 mm</t>
  </si>
  <si>
    <t>Cap cobre 35 mm</t>
  </si>
  <si>
    <t>Joelho 45° cobre 42 mm</t>
  </si>
  <si>
    <t>Joelho 90° cobre 42 mm</t>
  </si>
  <si>
    <t>Luva cobre 42 mm</t>
  </si>
  <si>
    <t>Tê cobre 42 mm</t>
  </si>
  <si>
    <t>União cobre 42 mm</t>
  </si>
  <si>
    <t>Redução cobre 42 mm x 35 mm</t>
  </si>
  <si>
    <t>Cap cobre 42 mm</t>
  </si>
  <si>
    <t>Joelho 90° cobre 54 mm</t>
  </si>
  <si>
    <t>Joelho 45° cobre 54 mm</t>
  </si>
  <si>
    <t>Luva cobre 54 mm</t>
  </si>
  <si>
    <t>Tê cobre 54 mm</t>
  </si>
  <si>
    <t>União cobre 54 mm</t>
  </si>
  <si>
    <t>Redução cobre 54 mm x 42 mm</t>
  </si>
  <si>
    <t>Cap cobre 54 mm</t>
  </si>
  <si>
    <t>Joelho 90° cobre 66 mm</t>
  </si>
  <si>
    <t>Joelho 45° cobre 66 mm</t>
  </si>
  <si>
    <t>Luva cobre 66 mm</t>
  </si>
  <si>
    <t>Tê cobre 66 mm</t>
  </si>
  <si>
    <t>União cobre 66 mm</t>
  </si>
  <si>
    <t>Cap cobre 66 mm</t>
  </si>
  <si>
    <t>Joelho 90° cobre 79 mm</t>
  </si>
  <si>
    <t>Joelho 45º cobre 79 mm</t>
  </si>
  <si>
    <t>Luva cobre 79 mm</t>
  </si>
  <si>
    <t>Tê cobre 79 mm</t>
  </si>
  <si>
    <t>União cobre 79 mm</t>
  </si>
  <si>
    <t>Redução cobre 79 mm x 66 mm</t>
  </si>
  <si>
    <t>Redução cobre 66 mm x 54 mm</t>
  </si>
  <si>
    <t>Redução cobre 35 mm x 22 mm</t>
  </si>
  <si>
    <t>Cap cobre 79 mm</t>
  </si>
  <si>
    <t>Bucha de redução em ferro galvanizado 3/4” x 1/2”</t>
  </si>
  <si>
    <t>Bucha de redução PVC roscável 3/4” x 1/2”</t>
  </si>
  <si>
    <t>Luva de correr CPVC 22 mm – Linha Residencial</t>
  </si>
  <si>
    <t>Luva de correr CPVC 28 mm – Linha Residencial</t>
  </si>
  <si>
    <t>Prolongador para registro de pressão ou gaveta - comprimento 10, 20 ou 40 mm</t>
  </si>
  <si>
    <t>Resistência Elétrica tubular de imersão para boiler, 220 V 3000 W, rosca 1 1/2”</t>
  </si>
  <si>
    <t>Resistência Elétrica tubular de imersão para boiler, 220 V 3000 W, rosca 1 1/4”</t>
  </si>
  <si>
    <t>Luminária LED para poste 150 W</t>
  </si>
  <si>
    <t>Luminária LED para poste 230 W</t>
  </si>
  <si>
    <t>Cabo 3x10 mm²</t>
  </si>
  <si>
    <t>Poste de Concreto Circular L = 9 m</t>
  </si>
  <si>
    <t>Poste de Concreto Circular L = 12 m</t>
  </si>
  <si>
    <t>Cotovelo Macho 20 mm x 1/2” para tubo PEX para gás - GLP</t>
  </si>
  <si>
    <t>Conector Macho 26 mm  x 3/4” para tubo PEX para gás - GLP</t>
  </si>
  <si>
    <t>Tê Fêmea 26 mm x 3/4” para tubo PEX para gás - GLP</t>
  </si>
  <si>
    <t>Tubo quadrado em metalon - 50x50 mm - chapa 16</t>
  </si>
  <si>
    <t>Conector Macho 20 mm  x 1/2" para tubo PEX para gás - GLP</t>
  </si>
  <si>
    <t>Coroa diamantada completa - comprimento &gt; 40 cm, 50 mm ≤ Ø &lt; 75 mm</t>
  </si>
  <si>
    <t>Coroa diamantada completa - comprimento &gt; 40 cm, 75 mm ≤ Ø &lt; 100 mm</t>
  </si>
  <si>
    <t>Carregador de baterias 24 V para grupo motor-gerador</t>
  </si>
  <si>
    <t>Bomba Centrífuga Mancalizada, 02 estágios, Potência 25 CV (motor não incluído)</t>
  </si>
  <si>
    <t>Selo mecânico tipo 21 - Ø 1 1/4” para bombas centrífugas</t>
  </si>
  <si>
    <t>Selo mecânico tipo 21 - Ø 3/4” para bombas centrífugas</t>
  </si>
  <si>
    <t>Selo mecânico tipo 21 - Ø 5/8” para bombas centrífugas</t>
  </si>
  <si>
    <t>Bucha de redução em ferro galvanizado 3” x 2 1/2”</t>
  </si>
  <si>
    <t>Mangueira de incêndio tipo 2 - engate 2 1/2” - lance 15 m</t>
  </si>
  <si>
    <t>Rádio comunicador bidirecional - alcance até 25 km</t>
  </si>
  <si>
    <t>Desentupidora manual 4 m</t>
  </si>
  <si>
    <t>Desentupidora manual 12 m</t>
  </si>
  <si>
    <t>Conjunto de chaves fixas de 2 bocas (16 peças, de 6 a 50 mm)</t>
  </si>
  <si>
    <t>Mangueira Fina Natural 4,35 x 6,35 mm (1/4”)</t>
  </si>
  <si>
    <t>União PVC soldável 85 mm</t>
  </si>
  <si>
    <t>União PVC soldável 60 mm</t>
  </si>
  <si>
    <t>Luva de PVC soldável água fria DN 60 mm</t>
  </si>
  <si>
    <t>Luva CPVC 28 mm– Linha Residencial</t>
  </si>
  <si>
    <t>Luva CPVC 22 mm – Linha Residencial</t>
  </si>
  <si>
    <t>Tê 90° CPVC 28 mm – Linha Residencial</t>
  </si>
  <si>
    <t>Tê 90° CPVC 22 mm – Linha Residencial</t>
  </si>
  <si>
    <t>Tê de redução em aço-carbono galvanizado 2” x 1 1/2” – Água Potável e Combate a Incêndio</t>
  </si>
  <si>
    <t>União CPVC 28 mm– Linha Residencial</t>
  </si>
  <si>
    <t>União CPVC 22 mm – Linha Residencial</t>
  </si>
  <si>
    <t>Tê 45° (Junção) PVC esgoto ou águas pluviais predial DN 75 mm</t>
  </si>
  <si>
    <t>Luva de transição CPVC 3/4” x 22 mm – Linha Residencial</t>
  </si>
  <si>
    <t>Luva de transição CPVC 1/2” x 22 mm  – Linha Residencial</t>
  </si>
  <si>
    <t>Luva de transição CPVC 1” x 28 mm – Linha Residencial</t>
  </si>
  <si>
    <t>Luva de Correr PVC esgoto ou águas pluviais predial DN 100 mm</t>
  </si>
  <si>
    <t>Tubo PVC para Calha 88 mm</t>
  </si>
  <si>
    <t>Tubo PEAD corrugado para drenagem – Diâmetro 110 mm</t>
  </si>
  <si>
    <t>Joelho em cobre 22 mm x 1/2” – rosca fêmea</t>
  </si>
  <si>
    <t>Tê de redução PVC soldável água fria 60 x 50 mm</t>
  </si>
  <si>
    <t>Tê 90° PVC soldável água fria DN 60 mm</t>
  </si>
  <si>
    <t>Joelho 90° PVC soldável água fria DN 60 mm</t>
  </si>
  <si>
    <t>Joelho 90° CPVC 28 mm – Linha Residencial</t>
  </si>
  <si>
    <t>Joelho 90° CPVC 22 mm – Linha Residencial</t>
  </si>
  <si>
    <t>Joelho 90° em Cobre classe “E” 22 mm x 1/2” - rosca fêmea</t>
  </si>
  <si>
    <t>Joelho 90° em Cobre classe “E” 22 mm</t>
  </si>
  <si>
    <t>Joelho 45° CPVC 22 mm – Linha Residencial</t>
  </si>
  <si>
    <t>Joelho 45° PVC soldável água fria DN 60 mm</t>
  </si>
  <si>
    <t>Joelho 45° CPVC 28 mm – Linha Residencial</t>
  </si>
  <si>
    <t>Flange PVC soldável água fria DN 25 mm</t>
  </si>
  <si>
    <t>Flange PVC soldável água fria DN 60 mm</t>
  </si>
  <si>
    <t>Fita perfurada em aço-carbono - 17 x 0,40 mm - rolo 30 m</t>
  </si>
  <si>
    <t>União em Cobre 22 mm</t>
  </si>
  <si>
    <t>União em Cobre 28 mm</t>
  </si>
  <si>
    <t>Conector em cobre ou bronze 22 mm x 3/4” fêmea</t>
  </si>
  <si>
    <t>Conector em cobre ou bronze 22 mm x 3/4” macho</t>
  </si>
  <si>
    <t>Canopla para Sprinkler de 1/2”, em latão cromado, diâmetro externo de 6,5 cm</t>
  </si>
  <si>
    <t>Bucha de Redução em CPVC 28 x 22 mm</t>
  </si>
  <si>
    <t>Motobomba centrífuga de superfície monoestágio 15 cv - trifásica – Combate a Incêndio</t>
  </si>
  <si>
    <t>Motobomba centrífuga de superfície monoestágio 10 cv - trifásica</t>
  </si>
  <si>
    <t>Motobomba centrífuga de superfície monoestágio 7,5 cv - trifásica – Combate a Incêndio</t>
  </si>
  <si>
    <t>Motobomba centrífuga de superfície monoestágio 7,5 cv - trifásica</t>
  </si>
  <si>
    <t>Motobomba centrífuga de superfície monoestágio 5 cv - trifásica – Combate a Incêndio</t>
  </si>
  <si>
    <t>Motobomba centrífuga de superfície monoestágio 5 cv - trifásica</t>
  </si>
  <si>
    <t>Motobomba centrífuga de superfície monoestágio 3 cv - trifásica</t>
  </si>
  <si>
    <t>Motobomba centrífuga de superfície monoestágio 2 cv - trifásica - Combate a Incêndio</t>
  </si>
  <si>
    <t>Motobomba centrífuga de superfície monoestágio 2 cv - monofásica</t>
  </si>
  <si>
    <t>Motobomba centrífuga de superfície monoestágio 1,5 cv - monofásica</t>
  </si>
  <si>
    <t>Motobomba Centrífuga Submersível 15 cv – trifásica - Ø máx. sólidos ≥ 65 mm</t>
  </si>
  <si>
    <t>Motobomba Centrífuga Submersível 10 cv – trifásica - Ø máx. sólidos ≥ 70 mm</t>
  </si>
  <si>
    <t>Motobomba Centrífuga Submersível 7,5 cv - trifásica - Ø máx. sólidos ≥ 70 mm</t>
  </si>
  <si>
    <t>Motobomba Centrífuga Submersível 5 cv – trifásica - Ø máx. sólidos ≥ 60 mm</t>
  </si>
  <si>
    <t>Motobomba Centrífuga Submersível 4 cv - trifásica - Ø máx. sólidos ≥ 20 mm</t>
  </si>
  <si>
    <t>Motobomba Centrífuga Submersível 3 cv - trifásica - Ø máx. sólidos ≥ 20 mm</t>
  </si>
  <si>
    <t>Motobomba Centrífuga Submersível 2 cv - trifásica - Ø máx. sólidos ≥ 20mm</t>
  </si>
  <si>
    <t>Motobomba Centrífuga Submersível 1 cv – trifásica - Ø máx. sólidos ≥ 20 mm</t>
  </si>
  <si>
    <t>Bomba para Hidromassagem Syllent Mb63 1/3 cv Monofásica 220 V</t>
  </si>
  <si>
    <t>Aquecedor elétrico horizontal – 200 L – Linha Residencial</t>
  </si>
  <si>
    <t>Adaptador para filtro 3/8" x 1/2" - Rosca macho</t>
  </si>
  <si>
    <t>Manilha para Poço – 1,10 x 0,50 x 0,05 m</t>
  </si>
  <si>
    <t>Adaptador de saída para vaso sanitário - 100 mm</t>
  </si>
  <si>
    <t>Adaptador com Flange e Anel 85 mm x 3”</t>
  </si>
  <si>
    <t>Acoplamento Circular PVC 88 mm</t>
  </si>
  <si>
    <t>Tubo PVC soldável água fria DN 20 mm</t>
  </si>
  <si>
    <t>Tubo PVC soldável água fria DN 25 mm</t>
  </si>
  <si>
    <t>Tubo PVC soldável água fria DN 32 mm</t>
  </si>
  <si>
    <t>Tubo PVC soldável água fria DN 40 mm</t>
  </si>
  <si>
    <t>Tubo PVC soldável água fria DN 50 mm</t>
  </si>
  <si>
    <t>Tubo PVC soldável água fria DN 60 mm</t>
  </si>
  <si>
    <t>Tubo PVC esgoto ou águas pluviais predial DN 100 mm</t>
  </si>
  <si>
    <t>Tubo PVC esgoto ou águas pluviais predial DN 150 mm</t>
  </si>
  <si>
    <t>Tubo PVC esgoto ou águas pluviais predial DN 50 mm</t>
  </si>
  <si>
    <t>Tubo PVC esgoto ou águas pluviais predial DN 75 mm</t>
  </si>
  <si>
    <t>Tubo de cobre classe “E” 22 mm</t>
  </si>
  <si>
    <t>Tubo de cobre classe “E” 42 mm</t>
  </si>
  <si>
    <t>Tubo de cobre classe “E” 35 mm</t>
  </si>
  <si>
    <t>Tubo de cobre classe “E” 54 mm</t>
  </si>
  <si>
    <t>Tubo de cobre classe “E” 66 mm</t>
  </si>
  <si>
    <t>Tubo de cobre classe “E” 79 mm</t>
  </si>
  <si>
    <t>Tubo de cobre classe “E” 104 mm</t>
  </si>
  <si>
    <t>Registro Esfera PVC VS Soldável 60 mm</t>
  </si>
  <si>
    <t>Ralo Linear com Grelha Inox 70 cm</t>
  </si>
  <si>
    <t>Manômetro DN100 (4”) até 150 psi - COM glicerina</t>
  </si>
  <si>
    <t>Manômetro DN63 (2 1/2”) até 150 psi - COM glicerina</t>
  </si>
  <si>
    <t>Manômetro DN63 (2 1/2”) até 150 psi - Seco</t>
  </si>
  <si>
    <t>Grelha quadrada para ralo 10x10 cm</t>
  </si>
  <si>
    <t>Grelha quadrada para ralo 15x15 cm</t>
  </si>
  <si>
    <t>Ligação flexível em PVC - 40 cm</t>
  </si>
  <si>
    <t>Prolongador de PVC para Caixa de Gordura - DN 300 mm</t>
  </si>
  <si>
    <t>Bacia conforto (h = 44 cm) – Linha Acessibilidade</t>
  </si>
  <si>
    <t>Barra de apoio 40 cm - Linha Acessibilidade</t>
  </si>
  <si>
    <t>Barra de apoio lateral fixa 30 cm - Linha Acessibilidade</t>
  </si>
  <si>
    <t>Disjuntor tripolar trilho DIN até 40 A</t>
  </si>
  <si>
    <t>Armação de aço CA-60 bitolas de 5,0 mm a 8,00 mm</t>
  </si>
  <si>
    <t>Estaca escavada mecanicamente - 40 cm de diâmetro</t>
  </si>
  <si>
    <t>Concreto Usinado, fck = 25 MPa</t>
  </si>
  <si>
    <t>Arrasamento mecânico de estacas de concreto armado com diâmetros de até 40 cm</t>
  </si>
  <si>
    <t>Estaca escavada manualmente de diâmetro 30 cm</t>
  </si>
  <si>
    <t>Furo em concreto de até 40 mm de diâmetro</t>
  </si>
  <si>
    <t>Concreto virado em betoneira, fck = 20 MPa</t>
  </si>
  <si>
    <t>Armação de aço CA-25 bitola de 16 mm</t>
  </si>
  <si>
    <t>Graute industrializado, fck ≥ 100 MPa</t>
  </si>
  <si>
    <t>Marreta oitavada 1000 g</t>
  </si>
  <si>
    <t>Alicate crimpador com catraca para terminal tubular até 6 mm²</t>
  </si>
  <si>
    <t>Alicate crimpador com catraca para terminal pré-isolado até 6 mm²</t>
  </si>
  <si>
    <t>Alicate crimpador manual para terminal pré-isolado até 16 mm²</t>
  </si>
  <si>
    <t>Grupo motor-gerador 3 kVA</t>
  </si>
  <si>
    <t>Grupo motor-gerador 6 kVA</t>
  </si>
  <si>
    <t>Ferro de solda 25 W</t>
  </si>
  <si>
    <t>Ferro de solda 50 W</t>
  </si>
  <si>
    <t>Autotransformador 300 VA</t>
  </si>
  <si>
    <t>Autotransformador 500 VA</t>
  </si>
  <si>
    <t>Autotransformador 1000 VA</t>
  </si>
  <si>
    <t>Placa de sinalização em PVC 2 mm</t>
  </si>
  <si>
    <t>Mastro 2 m</t>
  </si>
  <si>
    <t>Mastro 3 m</t>
  </si>
  <si>
    <t>Mastro 4 m</t>
  </si>
  <si>
    <t>Mastro 6 m</t>
  </si>
  <si>
    <t>Estaiamento para mastro 1,5 m</t>
  </si>
  <si>
    <t>Estaiamento para mastro 2 m</t>
  </si>
  <si>
    <t>Estaiamento para mastro 3 m</t>
  </si>
  <si>
    <t>Haste de aterramento 5/8" x 2,4 m</t>
  </si>
  <si>
    <t>Haste de aterramento 5/8" x 3 m</t>
  </si>
  <si>
    <t>Haste de aterramento 3/4" x 2,4 m</t>
  </si>
  <si>
    <t>Haste de aterramento 3/4" x 3 m</t>
  </si>
  <si>
    <t>Quadro de comando plástico 300 x 200 x 130 mm tampa opaca</t>
  </si>
  <si>
    <t>Quadro de comando plástico 300 x 200 x 130 mm tampa transparente</t>
  </si>
  <si>
    <t>Quadro de comando plástico 300 x 300 x 150 mm tampa opaca</t>
  </si>
  <si>
    <t>Quadro de comando plástico 300 x 300 x 150 mm tampa transparente</t>
  </si>
  <si>
    <t>Quadro de comando plástico 450 x 300 x 200 mm tampa opaca</t>
  </si>
  <si>
    <t>Quadro de comando plástico 450 x 300 x 200 mm tampa transparente</t>
  </si>
  <si>
    <t>Caixa para montagem 210 x 185 x 160 mm</t>
  </si>
  <si>
    <t>Quadro 200 x 200 x 120 mm</t>
  </si>
  <si>
    <t>Quadro 400 x 300 x 200 mm</t>
  </si>
  <si>
    <t>Quadro 400 x 400 x 250 mm</t>
  </si>
  <si>
    <t>Quadro 600 x 400 x 250 mm</t>
  </si>
  <si>
    <t>Quadro 600 x 600 x 250 mm</t>
  </si>
  <si>
    <t>Quadro 800 x 600 x 250 mm</t>
  </si>
  <si>
    <t>Quadro 1000 x 600 x 300 mm</t>
  </si>
  <si>
    <t>Quadro 1200 x 800 x 300 mm</t>
  </si>
  <si>
    <t>Quadro autoportante 1800 x 600 x 600 mm</t>
  </si>
  <si>
    <t>Quadro autoportante 1800 x 800 x 600 mm</t>
  </si>
  <si>
    <t>Quadro autoportante 2000 x 600 x 600 mm</t>
  </si>
  <si>
    <t>Quadro autoportante 2000 x 800 x 800 mm</t>
  </si>
  <si>
    <t>Caixa de passagem 80 x 80 x 45 mm</t>
  </si>
  <si>
    <t>Caixa de passagem 100 x 100 x 55 mm</t>
  </si>
  <si>
    <t>Caixa de passagem 150 x 110 x 70 mm</t>
  </si>
  <si>
    <t>Caixa de passagem 170 x 145 x 90 mm</t>
  </si>
  <si>
    <t>Conjunto motor de portão industrial 2500 kg</t>
  </si>
  <si>
    <t>Conjunto motor de portão industrial 2200 kg</t>
  </si>
  <si>
    <t>Curva horizontal 90 graus para leito 400 x 100 mm</t>
  </si>
  <si>
    <t>Curva vertical 90 graus para leito 400 x 100 mm</t>
  </si>
  <si>
    <t>Tê horizontal 90 graus para leito 400 x 100 mm</t>
  </si>
  <si>
    <t>Curva horizontal 90 graus para leito 600 x 100 mm</t>
  </si>
  <si>
    <t>Curva vertical 90 graus para leito 600 x 100 mm</t>
  </si>
  <si>
    <t>Tê horizontal 90 graus para leito 600 x 100 mm</t>
  </si>
  <si>
    <t>Curva horizontal 90 graus para leito 800 x 100 mm</t>
  </si>
  <si>
    <t>Curva vertical 90 graus para leito 800 x 100 mm</t>
  </si>
  <si>
    <t>Tê horizontal 90 graus para leito 800 x 100 mm</t>
  </si>
  <si>
    <t xml:space="preserve">Leito 400 x 100 mm </t>
  </si>
  <si>
    <t xml:space="preserve">Leito 600 x 100 mm </t>
  </si>
  <si>
    <t>Leito 800 x 100 mm (material)</t>
  </si>
  <si>
    <t>Tomada 10 A para móveis</t>
  </si>
  <si>
    <t>Tomada 20 A para móveis</t>
  </si>
  <si>
    <t>Módulo tomada 10 A de encaixe</t>
  </si>
  <si>
    <t>Módulo tomada 20 A de encaixe</t>
  </si>
  <si>
    <t>Espelho 4 x 2"</t>
  </si>
  <si>
    <t>Espelho 4 x 4"</t>
  </si>
  <si>
    <t>Suporte para espelho 4 x 2"</t>
  </si>
  <si>
    <t>Suporte para espelho 4 x 4"</t>
  </si>
  <si>
    <t>Caixa de piso 4 x 2"</t>
  </si>
  <si>
    <t>Caixa de piso 4 x 4"</t>
  </si>
  <si>
    <t xml:space="preserve">Tampa cega metálica para caixas de piso 4 x 2" </t>
  </si>
  <si>
    <t>Tampa cega metálica para caixas de piso 4 x 4"</t>
  </si>
  <si>
    <t>Tampa unha simples metálica para caixas de piso 4 x 2"</t>
  </si>
  <si>
    <t>Tampa unha simples metálica para caixas de piso 4 x 4"</t>
  </si>
  <si>
    <t>Tampa unha dupla metálica para caixas de piso 4 x 4"</t>
  </si>
  <si>
    <t xml:space="preserve">Caixa de passagem em alumínio 100 x 100 x 50 mm </t>
  </si>
  <si>
    <t>Caixa de passagem em alumínio 150 x 150 x 100mm</t>
  </si>
  <si>
    <t xml:space="preserve">Caixa de passagem em alumínio 200 x 200 x 100mm </t>
  </si>
  <si>
    <t>Caixa de passagem em alumínio 300 x 300 x 120mm</t>
  </si>
  <si>
    <t>Caixa de passagem em alumínio 400 x 400 x 200mm</t>
  </si>
  <si>
    <t>Caixa de passagem em aço 400 x 400 x 150mm</t>
  </si>
  <si>
    <t xml:space="preserve">Caixa de passagem em PVC 150 x 150 x 75mm </t>
  </si>
  <si>
    <t>Caixa de passagem em PVC 200 x 200 x 85mm</t>
  </si>
  <si>
    <t xml:space="preserve">Caixa 4 x 2" de embutir para alvenaria </t>
  </si>
  <si>
    <t xml:space="preserve">Caixa 4 x 4" de embutir para alvenaria </t>
  </si>
  <si>
    <t xml:space="preserve">Caixa 4 x 2" para drywall </t>
  </si>
  <si>
    <t xml:space="preserve">Caixa 4 x 4" para drywall </t>
  </si>
  <si>
    <t>Reator para lâmpada PL até 42 W</t>
  </si>
  <si>
    <t>Reator para 2 lâmpadas fluorescentes T8 32 W</t>
  </si>
  <si>
    <t>Reator para 1 lâmpada fluorescente T8 16 W</t>
  </si>
  <si>
    <t>Reator para 2 lâmpadas fluorescentes T8 16 W</t>
  </si>
  <si>
    <t>Reator para 1 lâmpada fluorescente T8 32 W</t>
  </si>
  <si>
    <t>Driver para LED 320 W</t>
  </si>
  <si>
    <t>Driver para LED 60 W IP65</t>
  </si>
  <si>
    <t>Driver para LED 30 W IP65</t>
  </si>
  <si>
    <t>Driver para LED 60 W</t>
  </si>
  <si>
    <t>Driver para LED 30 W</t>
  </si>
  <si>
    <t>Lâmpada Halógena 300 W</t>
  </si>
  <si>
    <t>Luminária LED Downlight 14 W</t>
  </si>
  <si>
    <t>Luminária LED Downlight 25 W</t>
  </si>
  <si>
    <t>Luminária LED Downlight 35 W</t>
  </si>
  <si>
    <t>Luminária Hermética 2x14 W</t>
  </si>
  <si>
    <t>Luminária Hermética 1x28 W</t>
  </si>
  <si>
    <t>Luminária Hermética 2x28 W</t>
  </si>
  <si>
    <t>Luminária LED Highbay 60 W</t>
  </si>
  <si>
    <t>Luminária LED Highbay 80 W</t>
  </si>
  <si>
    <t>Luminária LED Highbay 120 W</t>
  </si>
  <si>
    <t>Luminária LED Highbay 150 W</t>
  </si>
  <si>
    <t>Luminária LED Highbay 200 W</t>
  </si>
  <si>
    <t>Luminária LED Linear 8 W</t>
  </si>
  <si>
    <t>Luminária LED Linear 14 W</t>
  </si>
  <si>
    <t>Luminária LED Linear 20 W</t>
  </si>
  <si>
    <t>Luminária LED Linear tipo calha 16 W</t>
  </si>
  <si>
    <t>Luminária LED Linear tipo calha 32 W</t>
  </si>
  <si>
    <t>Lâmpada fluorescente T5 14 W</t>
  </si>
  <si>
    <t>Lâmpada fluorescente T5 28 W</t>
  </si>
  <si>
    <t>Lâmpada fluorescente T8 16 W</t>
  </si>
  <si>
    <t>Lâmpada fluorescente T8 32 W</t>
  </si>
  <si>
    <t>Lâmpada PL 9 W</t>
  </si>
  <si>
    <t>Lâmpada PL 26 W</t>
  </si>
  <si>
    <t>Lâmpada PL 36 W</t>
  </si>
  <si>
    <t>Tubo LED T8 18 W</t>
  </si>
  <si>
    <t>Tubo LED T8 18 W HO</t>
  </si>
  <si>
    <t>Tubo LED T8 9 W</t>
  </si>
  <si>
    <t>Tubo LED T5 26 W HO</t>
  </si>
  <si>
    <t>Tubo LED T5 15 W</t>
  </si>
  <si>
    <t>Tubo LED T5 7,5 W</t>
  </si>
  <si>
    <t>Lâmpada LED Bulbo 6 W</t>
  </si>
  <si>
    <t>Lâmpada LED Bulbo 8 W</t>
  </si>
  <si>
    <t>Lâmpada LED Bulbo 9,5 W</t>
  </si>
  <si>
    <t>Lâmpada LED Bulbo 12 W</t>
  </si>
  <si>
    <t>Lâmpada LED 17 W</t>
  </si>
  <si>
    <t>Lâmpada LED 30 W</t>
  </si>
  <si>
    <t>Lâmpada LED 40 W</t>
  </si>
  <si>
    <t>Lâmpada LED 65 W</t>
  </si>
  <si>
    <t>Lâmpada LED 80 W</t>
  </si>
  <si>
    <t>Lâmpada LED 100 W</t>
  </si>
  <si>
    <t>Lâmpada LED 120 W</t>
  </si>
  <si>
    <t>Poste reto 3 m</t>
  </si>
  <si>
    <t>Poste reto 5 m</t>
  </si>
  <si>
    <t>Poste curvo simples 8 m</t>
  </si>
  <si>
    <t>Poste curvo simples 12 m</t>
  </si>
  <si>
    <t>Poste curvo duplo 8 m</t>
  </si>
  <si>
    <t>Luminária para poste 70 W</t>
  </si>
  <si>
    <t>Luminária para poste 250 W</t>
  </si>
  <si>
    <t>Luminária para poste 400 W</t>
  </si>
  <si>
    <t>Luminária LED para poste 20 W</t>
  </si>
  <si>
    <t>Luminária LED para poste 30 W</t>
  </si>
  <si>
    <t>Luminária LED para poste 90 W</t>
  </si>
  <si>
    <t>Luminária LED para poste 210 W</t>
  </si>
  <si>
    <t>Luminária LED Wall Washer 36 W</t>
  </si>
  <si>
    <t>Luminária LED Wall Washer 72 W</t>
  </si>
  <si>
    <t xml:space="preserve">Luminária LED para poste 60 W </t>
  </si>
  <si>
    <t xml:space="preserve">Luminária LED para poste 120 W </t>
  </si>
  <si>
    <t>Furo em concreto de 40 mm até 75 mm de diâmetro</t>
  </si>
  <si>
    <t>Furo em concreto para diâmetros maiores que 75 mm</t>
  </si>
  <si>
    <t>Concreto virado em betoneira, fck = 25 MPa</t>
  </si>
  <si>
    <t>Reboco com argamassa industrializada e = 2,0 cm</t>
  </si>
  <si>
    <t>Regularização com argamassa industrializada e = 0,5 cm</t>
  </si>
  <si>
    <t>Contrapiso em argamassa (e = 2 cm) ou Regularização de contrapiso existente</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</si>
  <si>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</si>
  <si>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</si>
  <si>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</si>
  <si>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</si>
  <si>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</si>
  <si>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Mármore Branco Especial 20 mm para rodabancada</t>
  </si>
  <si>
    <t>Forro de PVC em réguas de 100 x 6000 mm</t>
  </si>
  <si>
    <t>Forro de PVC em réguas de 100 x 6000 mm, sem estrutura</t>
  </si>
  <si>
    <t>Vidro liso comum transparente 4 mm</t>
  </si>
  <si>
    <t>Vidro liso comum transparente 6 mm</t>
  </si>
  <si>
    <t>Espelho cristal, e = 5 mm</t>
  </si>
  <si>
    <t>Persiana vertical em tecido Juta Resinado sem blecaute de 90 mm, cor bege</t>
  </si>
  <si>
    <t>Persiana vertical em tecido sintético sem blecaute de 90 mm, cores verde escuro ou branca</t>
  </si>
  <si>
    <t>Tubo PVC esgoto ou aguas pluviais predial DN 100 mm</t>
  </si>
  <si>
    <t>Tubo PVC esgoto ou aguas pluviais predial DN 40 mm</t>
  </si>
  <si>
    <t>Tubo PVC esgoto ou aguas pluviais predial DN 50 mm</t>
  </si>
  <si>
    <t>Tubo PVC esgoto ou aguas pluviais predial DN 75 mm</t>
  </si>
  <si>
    <t>Grelha quadrada para ralo 10 x 10 cm</t>
  </si>
  <si>
    <t>Grelha quadrada para ralo 15 x 15 cm</t>
  </si>
  <si>
    <t>Ralo seco PVC DN 100 x 40 mm</t>
  </si>
  <si>
    <t>Barra de apoio 40 cm – Linha Acessibilidade</t>
  </si>
  <si>
    <t>Barra de apoio 70 cm – Linha Acessibilidade</t>
  </si>
  <si>
    <t>Barra de apoio 80 cm – Linha Acessibilidade</t>
  </si>
  <si>
    <t>Barra de apoio lateral fixa 30 cm – Linha Acessibilidade</t>
  </si>
  <si>
    <t>Caixa 4 x 2" de embutir para alvenaria</t>
  </si>
  <si>
    <t>Caixa 4 x 2" para drywall</t>
  </si>
  <si>
    <t>Caixa 4 x 4" de embutir para alvenaria</t>
  </si>
  <si>
    <t>Caixa 4 x 4" para drywall</t>
  </si>
  <si>
    <t>Caixa de passagem em alumínio 100 x 100 x 50 mm</t>
  </si>
  <si>
    <t>Caixa de passagem em alumínio 200 x 200 x 100mm</t>
  </si>
  <si>
    <t>Caixa de passagem em PVC 150 x 150 x 75 mm</t>
  </si>
  <si>
    <t>Canaleta em alumínio aparente 73 mm x 25 mm</t>
  </si>
  <si>
    <t>Eletrocalha 100 x 50 mm</t>
  </si>
  <si>
    <t>Eletrocalha 200 x 100 mm</t>
  </si>
  <si>
    <t>Eletrocalha 200 x 50 mm</t>
  </si>
  <si>
    <t>Eletrocalha 300 x 100 mm</t>
  </si>
  <si>
    <t>Eletrocalha 300 x 50 mm</t>
  </si>
  <si>
    <t>Eletrocalha 400 x 50 mm</t>
  </si>
  <si>
    <t>Eletrocalha 50 x 50 mm</t>
  </si>
  <si>
    <t>Eletroduto de PVC Corrugado Reforçado 1'' (DE 32 mm)</t>
  </si>
  <si>
    <t>Eletroduto de PVC Corrugado Reforçado 3/4'' (DE 25 mm)</t>
  </si>
  <si>
    <t>Perfilado 38 x 38 mm</t>
  </si>
  <si>
    <t xml:space="preserve">Espelho 4 x 2" </t>
  </si>
  <si>
    <t xml:space="preserve">Espelho 4 x 4" </t>
  </si>
  <si>
    <t>Tampa cega metálica para caixas de piso 4 x 2"</t>
  </si>
  <si>
    <t xml:space="preserve">Tampa cega metálica para caixas de piso 4 x 4" </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</si>
  <si>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</si>
  <si>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</si>
  <si>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</si>
  <si>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</si>
  <si>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</si>
  <si>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</si>
  <si>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</si>
  <si>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</si>
  <si>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</si>
  <si>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Folha de porta em madeira 2,10 x 0,60m, pintada</t>
  </si>
  <si>
    <t>Folha de porta em madeira 2,10 x 0,70m, pintada</t>
  </si>
  <si>
    <t>Folha de porta em madeira 2,10 x 0,80m, pintada</t>
  </si>
  <si>
    <t>Folha de porta em madeira 2,10 x 0,90m, pintada</t>
  </si>
  <si>
    <t>Folha de porta em madeira 2,10 x 1,0m, pintada</t>
  </si>
  <si>
    <t>Grelha para retorno para portas, divisórias e paredes 525 x 325 mm</t>
  </si>
  <si>
    <t>Suporte para prateleira redondo - 10 mm x 15 mm</t>
  </si>
  <si>
    <t>Puxador em Botão côncavo de 25 mm de diâmetro</t>
  </si>
  <si>
    <t>Puxador em botão convexo de 25 mm de diâmetro</t>
  </si>
  <si>
    <t>Puxador alça 102 mm</t>
  </si>
  <si>
    <t>Puxador tipo “C” em arco - 128 mm</t>
  </si>
  <si>
    <t>Puxador tipo “C” em arco - 96 mm</t>
  </si>
  <si>
    <t>Batedor de porta cilíndrico de 25 mm x 25 mm</t>
  </si>
  <si>
    <t>Painel de MDF Laminado – Branco - 06 mm</t>
  </si>
  <si>
    <t>Painel de MDF Laminado – Ovo - 06 mm</t>
  </si>
  <si>
    <t>Painel de MDF Laminado - Branco - 15 mm</t>
  </si>
  <si>
    <t>Painel de MDF Laminado – Ovo - 15 mm</t>
  </si>
  <si>
    <t>Painel de MDF Laminado – Branco - 18 mm</t>
  </si>
  <si>
    <t>Painel de MDF Laminado – Ovo - 18 mm</t>
  </si>
  <si>
    <t>Perfil trilho Stanley 60 mm x 55 mm, # 16</t>
  </si>
  <si>
    <t>Perfil U Enrijecido 100 mm x 50 mm x 17 mm</t>
  </si>
  <si>
    <t>Tubo quadrado em metalon - 16 x 16 mm a 20 x 20 mm - chapa 18</t>
  </si>
  <si>
    <t>Tubo quadrado em metalon - 25 x 25 mm a 40 x 40 mm - chapa 18</t>
  </si>
  <si>
    <t>Tubo quadrado em metalon - 50 x 50 mm - chapa 18</t>
  </si>
  <si>
    <t>Tubo retangular em metalon - 30 x 20 mm - chapa 18</t>
  </si>
  <si>
    <t>Tubo retangular em metalon - 40 x 20 mm a 50 x 30 mm - chapa 18</t>
  </si>
  <si>
    <t>Concertina simples em aço galvanizado, lâminas de 22 x 15 mm, diâmetro 45 cm (rolo com 40 espiras)</t>
  </si>
  <si>
    <t>Arame galvanizado, bitola 16 BWG (1,65 mm)</t>
  </si>
  <si>
    <t>Argamassa Colante tipo AC-III</t>
  </si>
  <si>
    <t>Vergalhão Ca-60 Diâmetro 5,0 mm</t>
  </si>
  <si>
    <t>Vergalhão Ca-50 Diâmetro 6,3 mm</t>
  </si>
  <si>
    <t>Vergalhão Ca-50 Diâmetro 8,0 mm</t>
  </si>
  <si>
    <t>Vergalhão Ca-50 Diâmetro 10,0 mm</t>
  </si>
  <si>
    <t>Vergalhão Ca-50 Diâmetro 12,5 mm</t>
  </si>
  <si>
    <t>Parafuso Philips Cabeça Chata - 3.0 x 16 mm</t>
  </si>
  <si>
    <t>Parafuso Philips Cabeça Chata - 3.0 x 22 mm</t>
  </si>
  <si>
    <t>Parafuso Philips Cabeça Chata - 3.0 x 25 mm</t>
  </si>
  <si>
    <t>Parafuso Philips Cabeça Chata - 3.0 x 30 mm</t>
  </si>
  <si>
    <t>Parafuso Philips Cabeça Chata - 3.5 x 14 mm</t>
  </si>
  <si>
    <t>Parafuso Philips Cabeça Chata - 3.5 x 16 mm</t>
  </si>
  <si>
    <t>Parafuso Philips Cabeça Chata - 3.5 x 20 mm</t>
  </si>
  <si>
    <t>Parafuso Philips Cabeça Chata - 3.5 x 30 mm</t>
  </si>
  <si>
    <t>Parafuso Philips Cabeça Chata - 3.5 x 35 mm</t>
  </si>
  <si>
    <t>Parafuso Philips Cabeça Chata - 3.5 x 40 mm</t>
  </si>
  <si>
    <t>Parafuso Phillips Cabeça Chata - 4.0 x 45 mm</t>
  </si>
  <si>
    <t>Parafuso Phillips Cabeça Chata - 4.0 x 40 mm</t>
  </si>
  <si>
    <t>Parafuso Phillips Cabeça Chata - 4.0 x 50 mm</t>
  </si>
  <si>
    <t>Parafuso Phillips cabeça chata - 4.0 x 60 mm</t>
  </si>
  <si>
    <t>Parafuso Philips Cabeça Chata - 4.0 x 30 mm</t>
  </si>
  <si>
    <t>Parafuso Philips Cabeça Chata - 4.0 x 35 mm</t>
  </si>
  <si>
    <t xml:space="preserve">Parafuso Philips Cabeça Chata - 5.0 x 60 mm </t>
  </si>
  <si>
    <t>Parafuso Philips Cabeça Chata - 6.0 x 60 mm</t>
  </si>
  <si>
    <t>Parafuso Philips Cabeça Chata - 6.0 x 65 mm</t>
  </si>
  <si>
    <t>Parafuso Philips Cabeça Oval - 4.0 x 16 mm</t>
  </si>
  <si>
    <t>Escala métrica de madeira 2 m</t>
  </si>
  <si>
    <t>Linha de pedreiro de 100 m</t>
  </si>
  <si>
    <t>Marreta de borracha de 600 g</t>
  </si>
  <si>
    <t>Martelo de bola 500 g</t>
  </si>
  <si>
    <t>Martelo de pena 300 g</t>
  </si>
  <si>
    <t>Régua de alumínio para pedreiro com 2 m</t>
  </si>
  <si>
    <t>Conjunto de Solda Mig 250 A</t>
  </si>
  <si>
    <t>Máquina de solda inversora AC/DC 180 A 220 V</t>
  </si>
  <si>
    <t>Betoneira monofásica 400 L</t>
  </si>
  <si>
    <t>Martelete demolidor 2 kW (30 kg)</t>
  </si>
  <si>
    <t>Rolo lã de carneiro 23 cm com suporte</t>
  </si>
  <si>
    <t>Trilho superior em alumínio 60 mm x 49,5 mm, para vidro temperado</t>
  </si>
  <si>
    <t>Perfil em alumínio, tipo U - abas iguais - PU 5/8" x 5/8" – espessura 1,58 mm</t>
  </si>
  <si>
    <t>Perfil guia inferior de alumínio 39,3 mm x 24 mm para vidro temperado 10 mm</t>
  </si>
  <si>
    <t>Puxador metálico - diâmetro de 22 mm a 25 mm</t>
  </si>
  <si>
    <t>Vedapress 10 mm</t>
  </si>
  <si>
    <t>Tubo de alumínio quadrado 50 x 50 mm</t>
  </si>
  <si>
    <t>Armação de aço CA-50 bitolas de 5,0 mm a 8,00 mm</t>
  </si>
  <si>
    <t>Vidro fumê / bronze temperado 10 mm</t>
  </si>
  <si>
    <t>Vidro fumê/bronze 5 mm</t>
  </si>
  <si>
    <t>Vidro fantasia 4 mm (canelado, martelado, pontilhado e mini-boreal)</t>
  </si>
  <si>
    <t>Tampa em ferro fundido T-33</t>
  </si>
  <si>
    <t>Mármore branco especial, e = 30 mm, instalação em fixadores metálicos existentes (modelo Edifício Principal)</t>
  </si>
  <si>
    <t>Corda de poliéster 8 mm</t>
  </si>
  <si>
    <t>Painel de MDF Laminado – Ovo - 25 mm</t>
  </si>
  <si>
    <t>Rodízio Giratório sem Freio - 2"</t>
  </si>
  <si>
    <t>Porta metálica de giro com dimensões 0,92 x 2,20 m</t>
  </si>
  <si>
    <t>Esquadria metálica de 4 folhas fixas com dimensões de 5,30 x 1,00 m – Bloco 19 (Centro de Treinamento)</t>
  </si>
  <si>
    <t>Esquadria metálica de 3 folhas, sendo 2 folhas fixas e 1 de correr com dimensões de 4,10 x 1,15 m – Bloco 19 (Centro de Treinamento)</t>
  </si>
  <si>
    <t>Esquadria metálica de 2 folhas basculante com dimensões de 2,31 x 0,45 m – Bloco 19 (Centro de Treinamento)</t>
  </si>
  <si>
    <t>Esquadria metálica de 4 folhas, sendo 2 fixas e 2 de correr dimensões de 5,30 x 1,15 m – Bloco 19 (Centro de Treinamento)</t>
  </si>
  <si>
    <t>Esquadria metálica de 4 folhas, sendo 2 folhas fixas e 2 folhas de correr, com dimensões total de 5,15 x 1,00 m  – Bloco 19 (Centro de Treinamento)</t>
  </si>
  <si>
    <t>Perfil Veneziana Enrijecido 70 x 19 mm</t>
  </si>
  <si>
    <t>Perfil U Enrijecido 150 mm x 40 mm x 15 mm</t>
  </si>
  <si>
    <t>Perfil Trilho Peitoril - 150 mm</t>
  </si>
  <si>
    <t>Trena de 100 m</t>
  </si>
  <si>
    <t>Placa de Concreto Pré-Moldado 15 MPa</t>
  </si>
  <si>
    <t>Perfil “U” em aço 25 x 25 mm</t>
  </si>
  <si>
    <t>Tubo retangular em aço 100 x 50 mm</t>
  </si>
  <si>
    <t>Conjunto de porta metálica de giro com dimensões 0,80 x 2,10 m e painel fixo</t>
  </si>
  <si>
    <t>Telha de fibrocimento modulada - espessura 8 mm</t>
  </si>
  <si>
    <t>Telha de fibrocimento ondulada - espessura 6 mm</t>
  </si>
  <si>
    <t>Regularização de substrato para Impermeabilização - 3 cm</t>
  </si>
  <si>
    <t>Regularização de substrato para Impermeabilização - 6 cm</t>
  </si>
  <si>
    <t>Conjunto Pé de cabra 15" x 16 mm e 24" x 19 mm</t>
  </si>
  <si>
    <t>Martelete demolidor 1 kW (5 Kg)</t>
  </si>
  <si>
    <t>Mangueira de nível de 20 m</t>
  </si>
  <si>
    <t>Substituição de infraestrutura elétrica no Bloco D – Modernização de Elevadores na SQS 309</t>
  </si>
  <si>
    <t>Serviços Preliminares (instalação de canteiro, mobilização de equipamentos e mão de obra e substituição de infraestrutura elétrica nos Blocos C e G) – Modernização de Elevadores na SQS 309</t>
  </si>
  <si>
    <t>Estudo de Viabilidade Técnica, Laudo Técnico, Projeto Executivo, Projeto de Segurança do Trabalho, Planejamento da Obra e Plano de Manutenção – Modernização de Elevadores na SQS 309</t>
  </si>
  <si>
    <t>Serviços de Assistência Técnica – Modernização de Elevadores na SQS 309</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</si>
  <si>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</si>
  <si>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</si>
  <si>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</si>
  <si>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</si>
  <si>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</si>
  <si>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</si>
  <si>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</si>
  <si>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</si>
  <si>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Folha de porta em madeira e MDF 2,10 x 0,60 m</t>
  </si>
  <si>
    <t>Folha de porta em madeira e MDF 2,10 x 0,70 m</t>
  </si>
  <si>
    <t>Folha de porta em madeira e MDF 2,10 x 0,80 m</t>
  </si>
  <si>
    <t>Folha de porta em madeira e MDF 2,10 x 0,90 m</t>
  </si>
  <si>
    <t>Cerâmica 30 x 60 cm - Glacier White - Portobello – Linha Residencial</t>
  </si>
  <si>
    <t>Tubo CPVC soldável 28 mm – Linha Residencial</t>
  </si>
  <si>
    <t>Caixa de Passagem Subterrânea 1600 x 2000 mm</t>
  </si>
  <si>
    <t>Leito 400 x 100 mm</t>
  </si>
  <si>
    <t>Leito 600 x 100 mm</t>
  </si>
  <si>
    <t>Caixa de Passagem Subterrânea 300 x 300 x 500mm</t>
  </si>
  <si>
    <t>Caixa de Passagem Subterrânea 600 x 600 x 800mm</t>
  </si>
  <si>
    <t>Kit terminal para cabo de potência, 8,7 kV / 15 kV, 95 mm²</t>
  </si>
  <si>
    <t>Kit terminal para cabo de potência, 8,7 kV / 15 kV, 240 mm²</t>
  </si>
  <si>
    <t>Leito 800 x 100 mm</t>
  </si>
  <si>
    <t>Trilho DIN 35 mm</t>
  </si>
  <si>
    <t>Spira-duto 1/8"</t>
  </si>
  <si>
    <t>Spira-duto 1/4"</t>
  </si>
  <si>
    <t>Spira-duto 1/2"</t>
  </si>
  <si>
    <t>Spira-duto 3/4"</t>
  </si>
  <si>
    <t>Ventoinha 120 mm</t>
  </si>
  <si>
    <t>Canaleta em alumínio 73 mm x 25 mm</t>
  </si>
  <si>
    <t>Curva para canaleta em alumínio 73 mm x 25 mm</t>
  </si>
  <si>
    <t>Adaptador de eletroduto para canaleta em alumínio 73 mm x 25 mm</t>
  </si>
  <si>
    <t>Tampa terminal para canaleta em alumínio 73 mm x 25 mm</t>
  </si>
  <si>
    <t>Derivação tipo X para canaleta em alumínio 73 mm x 25 mm</t>
  </si>
  <si>
    <t>Canaleta em alumínio 53 mm x 14 mm</t>
  </si>
  <si>
    <t>Curva para canaleta em alumínio 53 mm x 14 mm</t>
  </si>
  <si>
    <t>Tampa terminal para canaleta em alumínio 53 mm x 14 mm</t>
  </si>
  <si>
    <t>Adaptador de porta equipamentos para canaleta em alumínio 53 mm x 14 mm</t>
  </si>
  <si>
    <t>Canaleta em PVC 20 mm x 12 mm</t>
  </si>
  <si>
    <t>Acessório para canaleta em PVC 20 mm x 12 mm</t>
  </si>
  <si>
    <t>Caixa de sobrepor para canaleta em PVC 20 mm x 12 mm</t>
  </si>
  <si>
    <t>Tomada para canaleta em PVC 20 mm x 12 mm</t>
  </si>
  <si>
    <t>Interruptor para canaleta em PVC 20 mm x 12 mm</t>
  </si>
  <si>
    <t>Pulsador para canaleta em PVC 20 mm x 12 mm</t>
  </si>
  <si>
    <t>Módulo cego para canaleta em PVC 20 mm x 12 mm</t>
  </si>
  <si>
    <t>Gateway Modbus Ethernet / RS485</t>
  </si>
  <si>
    <t>Cabo 3 x 1,5 mm²</t>
  </si>
  <si>
    <t>Cabo 3 x 2,5 mm²</t>
  </si>
  <si>
    <t>Cabo 3 x 4 mm²</t>
  </si>
  <si>
    <t>Cabo 3 x 6 mm²</t>
  </si>
  <si>
    <t>Cabo PP 2 x 1 mm²</t>
  </si>
  <si>
    <t>Cabo PP 2 x 1,5 mm²</t>
  </si>
  <si>
    <t>Cabo PP 2 x 2,5 mm²</t>
  </si>
  <si>
    <t>Cabo PP 3 x 1 mm²</t>
  </si>
  <si>
    <t>Cabo PP 3 x 1,5 mm²</t>
  </si>
  <si>
    <t>Cabo PP 3 x 2,5 mm²</t>
  </si>
  <si>
    <t>Cabo Blindado 2 x 0,75mm²</t>
  </si>
  <si>
    <t>Cabo Blindado 2 x 1mm²</t>
  </si>
  <si>
    <t>Cabo Blindado 2 x 1,5mm²</t>
  </si>
  <si>
    <t>Cabo Blindado 2 x 2,5mm²</t>
  </si>
  <si>
    <t>Cabo Blindado 2 x 4mm²</t>
  </si>
  <si>
    <t>Cabo Blindado 3 x 0,75mm²</t>
  </si>
  <si>
    <t>Cabo Blindado 3 x 1,50mm²</t>
  </si>
  <si>
    <t>Cabo Blindado 3 x 2,50mm²</t>
  </si>
  <si>
    <t>Cabo 4 x 1 mm²</t>
  </si>
  <si>
    <t>Cabo 5 x 1 mm²</t>
  </si>
  <si>
    <t>Cabo 7 x 1 mm²</t>
  </si>
  <si>
    <t>Minicontator 12 A AC</t>
  </si>
  <si>
    <t>Minicontator 12 A DC</t>
  </si>
  <si>
    <t>Minicontator 16 A AC</t>
  </si>
  <si>
    <t>Minicontator 16 A DC</t>
  </si>
  <si>
    <t>Contator 18 A</t>
  </si>
  <si>
    <t>Contator 25 A</t>
  </si>
  <si>
    <t>Contator 32 A</t>
  </si>
  <si>
    <t>Contator 40 A</t>
  </si>
  <si>
    <t>Contator 50 A</t>
  </si>
  <si>
    <t>Contator 65 A</t>
  </si>
  <si>
    <t>Contator 80 A</t>
  </si>
  <si>
    <t>Contator Especial 18 A</t>
  </si>
  <si>
    <t>Contator Especial 25 A</t>
  </si>
  <si>
    <t>Contator Especial 30 A</t>
  </si>
  <si>
    <t>Contator Especial 38 A</t>
  </si>
  <si>
    <t>Contator Especial 50 A</t>
  </si>
  <si>
    <t>Contator Especial 65 A</t>
  </si>
  <si>
    <t>Contator Especial 150 A</t>
  </si>
  <si>
    <t>Contator Especial 250 A</t>
  </si>
  <si>
    <t>Relé de sobrecarga para contator até 25 A</t>
  </si>
  <si>
    <t>Relé de sobrecarga para contator até 40 A</t>
  </si>
  <si>
    <t>Relé de sobrecarga para contator até 80 A</t>
  </si>
  <si>
    <t>Contator para capacitor 22 A</t>
  </si>
  <si>
    <t>Contator para capacitor 30 A</t>
  </si>
  <si>
    <t>Contator para capacitor 40 A</t>
  </si>
  <si>
    <t>Contator para capacitor 60 A</t>
  </si>
  <si>
    <t>Disjuntor monopolar trilho DIN até 4 A</t>
  </si>
  <si>
    <t>Disjuntor monopolar trilho DIN até 6 A</t>
  </si>
  <si>
    <t>Disjuntor monopolar trilho DIN até 32 A</t>
  </si>
  <si>
    <t>Disjuntor monopolar trilho DIN até 63 A</t>
  </si>
  <si>
    <t>Disjuntor bipolar trilho DIN até 4 A</t>
  </si>
  <si>
    <t>Disjuntor bipolar trilho DIN até 6 A</t>
  </si>
  <si>
    <t>Disjuntor bipolar trilho DIN até 32 A</t>
  </si>
  <si>
    <t>Disjuntor tripolar trilho DIN até 4 A</t>
  </si>
  <si>
    <t>Disjuntor tripolar trilho DIN até 6 A</t>
  </si>
  <si>
    <t>Disjuntor tripolar trilho DIN até 50 A</t>
  </si>
  <si>
    <t>Disjuntor tripolar trilho DIN até 63 A</t>
  </si>
  <si>
    <t>Disjuntor tripolar trilho DIN até 70 A</t>
  </si>
  <si>
    <t>Disjuntor tripolar trilho DIN até 100 A</t>
  </si>
  <si>
    <t>Disjuntor monopolar trilho DIN até 6 A, 10 kA</t>
  </si>
  <si>
    <t>Disjuntor monopolar trilho DIN até 32 A, 10 kA</t>
  </si>
  <si>
    <t>Disjuntor monopolar trilho DIN até 63 A, 10 kA</t>
  </si>
  <si>
    <t>Disjuntor bipolar trilho DIN até 6 A, 10 kA</t>
  </si>
  <si>
    <t>Disjuntor bipolar trilho DIN até 32 A, 10 kA</t>
  </si>
  <si>
    <t>Disjuntor tripolar trilho DIN até 6 A, 10kA</t>
  </si>
  <si>
    <t>Disjuntor tripolar trilho DIN até 32 A, 10kA</t>
  </si>
  <si>
    <t>Disjuntor tripolar trilho DIN até 63 A, 10kA</t>
  </si>
  <si>
    <t>Interruptor diferencial residual bipolar de 25 A</t>
  </si>
  <si>
    <t>Interruptor diferencial residual bipolar de 40 A</t>
  </si>
  <si>
    <t>Interruptor diferencial residual tetrapolar de 25 A</t>
  </si>
  <si>
    <t>Interruptor diferencial residual tetrapolar de 40 A</t>
  </si>
  <si>
    <t>Interruptor diferencial residual tetrapolar de 63 A</t>
  </si>
  <si>
    <t>Disjuntor de caixa moldada de 100 A / 18 kA</t>
  </si>
  <si>
    <t>Disjuntor de caixa moldada de 100 A / 36 kA</t>
  </si>
  <si>
    <t>Disjuntor de caixa moldada de 100 A / 50 kA</t>
  </si>
  <si>
    <t>Disjuntor de caixa moldada de 100 A / 70 kA</t>
  </si>
  <si>
    <t>Disjuntor de caixa moldada de 160 A / 18 kA</t>
  </si>
  <si>
    <t>Disjuntor de caixa moldada de 160 A / 36 kA</t>
  </si>
  <si>
    <t>Disjuntor de caixa moldada de 160 A / 50 kA</t>
  </si>
  <si>
    <t>Disjuntor de caixa moldada de 160 A / 70 kA</t>
  </si>
  <si>
    <t>Disjuntor de caixa moldada de 250 A / 25 kA</t>
  </si>
  <si>
    <t>Disjuntor de caixa moldada de 250 A / 36 kA</t>
  </si>
  <si>
    <t>Disjuntor de caixa moldada de 250 A / 50 kA</t>
  </si>
  <si>
    <t>Disjuntor de caixa moldada de 250 A / 70 kA</t>
  </si>
  <si>
    <t>Disjuntor de caixa moldada de 250 A / 100 kA</t>
  </si>
  <si>
    <t>Disjuntor de caixa moldada de 400 A / 36 kA</t>
  </si>
  <si>
    <t>Disjuntor de caixa moldada de 400 A / 50 kA</t>
  </si>
  <si>
    <t>Disjuntor de caixa moldada de 400 A / 70 kA</t>
  </si>
  <si>
    <t>Disjuntor de caixa moldada de 400 A / 100 kA</t>
  </si>
  <si>
    <t>Disjuntor de caixa moldada de 630 A / 36 kA</t>
  </si>
  <si>
    <t>Disjuntor de caixa moldada de 630 A / 50 kA</t>
  </si>
  <si>
    <t>Disjuntor de caixa moldada de 630 A / 70 kA</t>
  </si>
  <si>
    <t>Disjuntor de caixa moldada de 630 A / 100 kA</t>
  </si>
  <si>
    <t>Disjuntor de caixa moldada de 800 A / 36 kA</t>
  </si>
  <si>
    <t>Disjuntor de caixa moldada de 800 A / 50 kA</t>
  </si>
  <si>
    <t>Disjuntor de caixa moldada de 800 A / 70 kA</t>
  </si>
  <si>
    <t>Disjuntor de caixa moldada de 800 A / 100 kA</t>
  </si>
  <si>
    <t>Disjuntor de caixa aberta de 630 A / 50 kA</t>
  </si>
  <si>
    <t>Disjuntor de caixa aberta de 800 A / 65 kA</t>
  </si>
  <si>
    <t>Disjuntor de caixa aberta de 800 A / 100 kA</t>
  </si>
  <si>
    <t>Disjuntor de caixa aberta de 1000 A / 65 kA</t>
  </si>
  <si>
    <t>Disjuntor de caixa aberta de 1000 A / 100 kA</t>
  </si>
  <si>
    <t>Disjuntor de caixa aberta de 1250 A / 65 kA</t>
  </si>
  <si>
    <t>Disjuntor de caixa aberta de 1250 A / 100 kA</t>
  </si>
  <si>
    <t>Disjuntor de caixa aberta de 1600 A / 65 kA</t>
  </si>
  <si>
    <t>Disjuntor de caixa aberta de 1600 A / 100 kA</t>
  </si>
  <si>
    <t>Disjuntor motor até 25 A</t>
  </si>
  <si>
    <t>Disjuntor motor até 40 A</t>
  </si>
  <si>
    <t xml:space="preserve">Eletrocalha 50 x 50 mm </t>
  </si>
  <si>
    <t xml:space="preserve">Eletrocalha 100 x 50 mm </t>
  </si>
  <si>
    <t>Eletrocalha 150 x 50 mm</t>
  </si>
  <si>
    <t xml:space="preserve">Eletrocalha 200 x 50 mm </t>
  </si>
  <si>
    <t xml:space="preserve">Eletrocalha 200 x 100 mm </t>
  </si>
  <si>
    <t xml:space="preserve">Eletrocalha 300 x 50 mm </t>
  </si>
  <si>
    <t xml:space="preserve">Eletrocalha 300 x 100 mm </t>
  </si>
  <si>
    <t xml:space="preserve">Eletrocalha 400 x 50 mm </t>
  </si>
  <si>
    <t>Eletrocalha 400 x 100 mm</t>
  </si>
  <si>
    <t>Eletrocalha 500 x 100 mm</t>
  </si>
  <si>
    <t>Curva horizontal 90 graus para eletrocalha 50 x 50 mm</t>
  </si>
  <si>
    <t>Curva vertical 90 graus para eletrocalha 50 x 50 mm</t>
  </si>
  <si>
    <t>Tê horizontal 90 graus para eletrocalha 50 x 50 mm</t>
  </si>
  <si>
    <t>Suspensão ômega para eletrocalha 50 x 50 mm</t>
  </si>
  <si>
    <t>Junção integral (emenda) para eletrocalha
 50 x 50 mm</t>
  </si>
  <si>
    <t>Curva horizontal 90 graus para eletrocalha 100 x 50 mm</t>
  </si>
  <si>
    <t>Curva vertical 90 graus para eletrocalha 100 x 50 mm</t>
  </si>
  <si>
    <t>Tê horizontal 90 graus para eletrocalha 100 x 50 mm</t>
  </si>
  <si>
    <t>Suspensão ômega para eletrocalha 100 x 50 mm</t>
  </si>
  <si>
    <t>Junção integral (emenda) para eletrocalha 100 x 50 mm</t>
  </si>
  <si>
    <t>Curva horizontal 90 graus para eletrocalha 150 x 50 mm</t>
  </si>
  <si>
    <t>Curva vertical 90 graus para eletrocalha 150 x 50 mm</t>
  </si>
  <si>
    <t>Tê horizontal 90 graus para eletrocalha 150 x 50 mm</t>
  </si>
  <si>
    <t>Suspensão ômega para eletrocalha 150 x 50 mm</t>
  </si>
  <si>
    <t>Junção integral (emenda) para eletrocalha
 150 x 50 mm</t>
  </si>
  <si>
    <t>Curva horizontal 90 graus para eletrocalha 200 x 50 mm</t>
  </si>
  <si>
    <t>Curva vertical 90 graus para eletrocalha 200 x 50 mm</t>
  </si>
  <si>
    <t>Tê horizontal 90 graus para eletrocalha 200 x 50 mm</t>
  </si>
  <si>
    <t>Suspensão ômega para eletrocalha 200 x 50 mm</t>
  </si>
  <si>
    <t>Junção integral (emenda) para eletrocalha 200 x 50 mm</t>
  </si>
  <si>
    <t>Curva horizontal 90 graus para eletrocalha 200 x 100 mm</t>
  </si>
  <si>
    <t>Curva vertical 90 graus para eletrocalha 200 x 100 mm</t>
  </si>
  <si>
    <t>Tê horizontal 90 graus para eletrocalha 200 x 100 mm</t>
  </si>
  <si>
    <t>Suspensão ômega para eletrocalha 200 x 100 mm</t>
  </si>
  <si>
    <t>Junção integral (emenda) para eletrocalha 200 x 100 mm</t>
  </si>
  <si>
    <t>Curva horizontal 90 graus para eletrocalha 300 x 50 mm</t>
  </si>
  <si>
    <t>Curva vertical 90 graus para eletrocalha 300 x 50 mm</t>
  </si>
  <si>
    <t>Tê horizontal 90 graus para eletrocalha 300 x 50 mm</t>
  </si>
  <si>
    <t>Suspensão ômega para eletrocalha 300 x 50 mm</t>
  </si>
  <si>
    <t>Junção integral (emenda) para eletrocalha 300 x 50 mm</t>
  </si>
  <si>
    <t>Curva horizontal 90 graus para eletrocalha 300 x 100 mm</t>
  </si>
  <si>
    <t>Curva vertical 90 graus para eletrocalha 300 x 100 mm</t>
  </si>
  <si>
    <t>Tê horizontal 90 graus para eletrocalha 300 x 100 mm</t>
  </si>
  <si>
    <t>Suspensão ômega para eletrocalha 300 x 100 mm</t>
  </si>
  <si>
    <t>Junção integral (emenda) para eletrocalha 300 x 100 mm</t>
  </si>
  <si>
    <t>Curva horizontal 90 graus para eletrocalha 400 x 50 mm</t>
  </si>
  <si>
    <t>Curva vertical 90 graus para eletrocalha 400 x 50 mm</t>
  </si>
  <si>
    <t>Tê horizontal 90 graus para eletrocalha 400 x 50 mm</t>
  </si>
  <si>
    <t>Suspensão ômega para eletrocalha 400 x 50 mm</t>
  </si>
  <si>
    <t>Junção integral (emenda) para eletrocalha 400 x 50 mm</t>
  </si>
  <si>
    <t>Curva horizontal 90 graus para eletrocalha 400 x 100 mm</t>
  </si>
  <si>
    <t>Curva vertical 90 graus para eletrocalha 400 x 100 mm</t>
  </si>
  <si>
    <t>Tê horizontal 90 graus para eletrocalha 400 x 100 mm</t>
  </si>
  <si>
    <t>Suspensão ômega para eletrocalha 400 x 100 mm</t>
  </si>
  <si>
    <t>Junção integral (emenda) para eletrocalha 400 x 100 mm</t>
  </si>
  <si>
    <t>Curva horizontal 90 graus para eletrocalha 500 x 100 mm</t>
  </si>
  <si>
    <t>Curva vertical 90 graus para eletrocalha 500 x 100 mm</t>
  </si>
  <si>
    <t>Tê horizontal 90 graus para eletrocalha 500 x 100 mm</t>
  </si>
  <si>
    <t>Suspensão ômega para eletrocalha 500 x 100 mm</t>
  </si>
  <si>
    <t>Junção integral (emenda) para eletrocalha 500 x 100 mm</t>
  </si>
  <si>
    <t>Fonte industrial 15 W</t>
  </si>
  <si>
    <t>Fonte industrial 35 W</t>
  </si>
  <si>
    <t>Fonte industrial 60 W</t>
  </si>
  <si>
    <t>Fonte industrial 120 W</t>
  </si>
  <si>
    <t>Transformador de comando 100 VA</t>
  </si>
  <si>
    <t>Transformador de comando 300 VA</t>
  </si>
  <si>
    <t>Grelha para retorno quadrada 225 x 225 mm</t>
  </si>
  <si>
    <t>Grelha de retorno com aletas horizontais 1225 x 525 mm</t>
  </si>
  <si>
    <t>Grelha retangular 325 x 125 mm</t>
  </si>
  <si>
    <t>Difusor de ar quadrado 360 x 360 mm</t>
  </si>
  <si>
    <t>Bucha de redução curta PVC soldável 75 mm x 60 mm</t>
  </si>
  <si>
    <t>Bucha de redução curta PVC soldável 85 mm x 75 mm</t>
  </si>
  <si>
    <t>Joelho 45º PVC soldável 110 mm</t>
  </si>
  <si>
    <t>Joelho 90º com anel PVC esgoto ou águas pluviais 50 mm</t>
  </si>
  <si>
    <t>Perfil em MDF para acabamento de piso sintético laminado flutuante - Instalação/Substituição</t>
  </si>
  <si>
    <t>Supervisor(a) Técnico(a) - Sistemas Construtivos</t>
  </si>
  <si>
    <t>Bobina de Papelão Ondulado</t>
  </si>
  <si>
    <t>Remoção de revestimento sintético fixado por encaixe</t>
  </si>
  <si>
    <t>Tapume em telha metálica</t>
  </si>
  <si>
    <t>Solo para aterro (com transporte)</t>
  </si>
  <si>
    <t>Perfuratriz diamantada com coluna</t>
  </si>
  <si>
    <t>Motobomba de circulação de água 45 W 220V</t>
  </si>
  <si>
    <t>Vidro temperado incolor com 6 mm de espessura</t>
  </si>
  <si>
    <t>Vidro temperado incolor com 6 mm de espessura, tipo JUMBO</t>
  </si>
  <si>
    <t>Bloco vazado de concreto simples com 02 furos (11,5 x 19 x 39 cm - Classe C)</t>
  </si>
  <si>
    <t>ABRACADEIRA EM ACO PARA AMARRACAO DE ELETRODUTOS, TIPO D, COM 1 1/2" E PARAFUSO DE FIXACAO</t>
  </si>
  <si>
    <t>ABRACADEIRA EM ACO PARA AMARRACAO DE ELETRODUTOS, TIPO D, COM 1/2" E PARAFUSO DE FIXACAO</t>
  </si>
  <si>
    <t>ABRACADEIRA EM ACO PARA AMARRACAO DE ELETRODUTOS, TIPO D, COM 3" E PARAFUSO DE FIXACAO</t>
  </si>
  <si>
    <t>ACETILENO (RECARGA DE GAS ACETILENO PARA CILINDRO DE CONJUNTO OXICORTE GRANDE) NAO INCLUI TROCA/MANUTENCAO DO CILINDRO</t>
  </si>
  <si>
    <t>ACO CA-25, 10,0 MM, OU 12,5 MM, OU 16,0 MM, OU 20,0 MM, OU 25,0 MM, VERGALHAO</t>
  </si>
  <si>
    <t>ACO CA-50, 10,0 MM, VERGALHAO</t>
  </si>
  <si>
    <t>ADAPTADOR PVC SOLDAVEL CURTO COM BOLSA E ROSCA, 110 MM X 4", PARA AGUA FRIA</t>
  </si>
  <si>
    <t>ADAPTADOR PVC SOLDAVEL CURTO COM BOLSA E ROSCA, 25 MM X 3/4", PARA AGUA FRIA</t>
  </si>
  <si>
    <t>ADAPTADOR PVC SOLDAVEL CURTO COM BOLSA E ROSCA, 32 MM X 1", PARA AGUA FRIA</t>
  </si>
  <si>
    <t>ADAPTADOR PVC SOLDAVEL CURTO COM BOLSA E ROSCA, 40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</si>
  <si>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</si>
  <si>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</si>
  <si>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</si>
  <si>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</si>
  <si>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</si>
  <si>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</si>
  <si>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</si>
  <si>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</si>
  <si>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</si>
  <si>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</si>
  <si>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85 MM X 3", PARA CAIXA D' AGUA</t>
  </si>
  <si>
    <t>ADESIVO ACRILICO DE BASE AQUOSA / COLA DE CONTATO</t>
  </si>
  <si>
    <t>ADESIVO PLASTICO PARA PVC, FRASCO COM *850* GR</t>
  </si>
  <si>
    <t>ADITIVO ADESIVO LIQUIDO PARA ARGAMASSAS DE REVESTIMENTOS CIMENTICIOS</t>
  </si>
  <si>
    <t>ALICATE DE CORTE DIAGONAL 6 " COM ISOLAMENTO</t>
  </si>
  <si>
    <t>ALICATE DE CRIMPAR RJ11, RJ12 E RJ45</t>
  </si>
  <si>
    <t>ALIMENTACAO - HORISTA (COLETADO CAIXA - ENCARGOS COMPLEMENTARES)</t>
  </si>
  <si>
    <t>ANEL BORRACHA PARA TUBO ESGOTO PREDIAL, DN 100 MM (NBR 5688)</t>
  </si>
  <si>
    <t>ANEL BORRACHA PARA TUBO ESGOTO PREDIAL, DN 75 MM (NBR 5688)</t>
  </si>
  <si>
    <t>ANEL DE VEDACAO, PVC FLEXIVEL, 100 MM, PARA SAIDA DE BACIA / VASO SANITARIO</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</si>
  <si>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</si>
  <si>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</si>
  <si>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AREIA MEDIA - POSTO JAZIDA/FORNECEDOR (RETIRADO NA JAZIDA, SEM TRANSPORTE)</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</si>
  <si>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</si>
  <si>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</si>
  <si>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</si>
  <si>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</si>
  <si>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</si>
  <si>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POLIMERICA IMPERMEABILIZANTE SEMIFLEXIVEL, BICOMPONENTE (MEMBRANA IMPERMEABILIZANTE ACRILICA)</t>
  </si>
  <si>
    <t>ARGILA OU BARRO PARA ATERRO/REATERRO (COM TRANSPORTE ATE 10 KM)</t>
  </si>
  <si>
    <t>ASSENTO SANITARIO DE PLASTICO, TIPO CONVENCIONAL</t>
  </si>
  <si>
    <t>BACIA SANITARIA (VASO) CONVENCIONAL PARA PCD, SEM FURO FRONTAL, DE LOUCA BRANCA (SEM ASSENTO)</t>
  </si>
  <si>
    <t>BACIA SANITARIA (VASO) CONVENCIONAL, DE LOUCA BRANCA, SIFAO APARENTE, SAIDA VERTICAL (SEM ASSENTO)</t>
  </si>
  <si>
    <t>BARRA DE ACO CHATA, RETANGULAR (QUALQUER BITOLA)</t>
  </si>
  <si>
    <t>BARRA DE APOIO RETA, EM ACO INOX POLIDO, COMPRIMENTO 70CM, DIAMETRO MINIMO 3 CM</t>
  </si>
  <si>
    <t>BARRA DE APOIO RETA, EM ACO INOX POLIDO, COMPRIMENTO 80CM, DIAMETRO MINIMO 3 CM</t>
  </si>
  <si>
    <t>BLOCO CERAMICO / TIJOLO VAZADO PARA ALVENARIA DE VEDACAO, FUROS NA VERTICAL,, 9 X 19 X 39 CM (NBR 15270)</t>
  </si>
  <si>
    <t>BLOCO CERAMICO / TIJOLO VAZADO PARA ALVENARIA DE VEDACAO, 8 FUROS NA HORIZONTAL, DE 9 X 19 X 19 CM (L XA X C)</t>
  </si>
  <si>
    <t>BLOCO DE CONCRETO ESTRUTURAL 14 X 19 X 34 CM, FBK 4,5 MPA (NBR 6136)</t>
  </si>
  <si>
    <t>BLOCO DE CONCRETO ESTRUTURAL 14 X 19 X 39 CM, FBK 4,5 MPA (NBR 6136)</t>
  </si>
  <si>
    <t>BLOCO DE CONCRETO ESTRUTURAL 19 X 19 X 39 CM, FBK 4,5 MPA (NBR 6136)</t>
  </si>
  <si>
    <t>BLOCO DE CONCRETO ESTRUTURAL 19 X 19 X 39 CM, FBK 8 MPA (NBR 6136)</t>
  </si>
  <si>
    <t>BLOCO DE VEDACAO DE CONCRETO 19 X 19 X 39 CM (CLASSE C - NBR 6136)</t>
  </si>
  <si>
    <t>BOLSA DE LIGACAO EM PVC FLEXIVEL PARA VASO SANITARIO 1.1/2 " (40 MM)</t>
  </si>
  <si>
    <t>BOTA DE PVC PRETA, CANO MEDIO, SEM FORRO</t>
  </si>
  <si>
    <t>BRACO / CANO PARA CHUVEIRO ELETRICO, EM ALUMINIO, 30 CM X 1/2 "</t>
  </si>
  <si>
    <t>BRACO P/ LUMINARIA PUBLICA 1 X 1,50M ROMAGNOLE OU EQUIV</t>
  </si>
  <si>
    <t>BUCHA DE NYLON SEM ABA S6, COM PARAFUSO DE 4,20 X 40 MM EM ACO ZINCADO COM ROSCA SOBERBA, CABECA CHATA E FENDA PHILLIPS</t>
  </si>
  <si>
    <t>BUCHA DE NYLON, DIAMETRO DO FURO 8 MM, COMPRIMENTO 40 MM, COM PARAFUSO DE ROSCA SOBERBA, CABECA CHATA, FENDA SIMPLES, 4,8 X 50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</si>
  <si>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</si>
  <si>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</si>
  <si>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</si>
  <si>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3/4" X 1/2"</t>
  </si>
  <si>
    <t>BUCHA DE REDUCAO DE FERRO GALVANIZADO, COM ROSCA BSP, DE 3" X 2 1/2"</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</si>
  <si>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</si>
  <si>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</si>
  <si>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</si>
  <si>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</si>
  <si>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LONGA, COM 32 X 20 MM, PARA AGUA FRIA PREDIAL</t>
  </si>
  <si>
    <t>BUCHA DE REDUCAO PVC ROSCAVEL 3/4" X 1/2"</t>
  </si>
  <si>
    <t>BUCHA DE REDUCAO, CPVC, SOLDAVEL, 28 X 22 MM, PARA AGUA QUENTE</t>
  </si>
  <si>
    <t>BUCHA DE REDUCAO, PVC, LONGA, SERIE R, DN 50 X 40 MM, PARA ESGOTO PREDIAL</t>
  </si>
  <si>
    <t>CABO DE COBRE NU 16 MM2 MEIO-DURO</t>
  </si>
  <si>
    <t>CABO DE COBRE NU 25 MM2 MEIO-DURO</t>
  </si>
  <si>
    <t>CABO DE COBRE NU 35 MM2 MEIO-DURO</t>
  </si>
  <si>
    <t>CABO DE COBRE NU 50 MM2 MEIO-DURO</t>
  </si>
  <si>
    <t>CABO DE COBRE NU 70 MM2 MEIO-DURO</t>
  </si>
  <si>
    <t>CAIBRO NAO APARELHADO *6 X 6* CM, EM MACARANDUBA, ANGELIM OU EQUIVALENTE DA REGIAO - BRUTA</t>
  </si>
  <si>
    <t>CAIBRO 5 X 5 CM EM PINUS, MISTA OU EQUIVALENTE DA REGIAO - BRUTA</t>
  </si>
  <si>
    <t>CAIXA D'AGUA EM POLIETILENO 1000 LITROS, COM TAMPA</t>
  </si>
  <si>
    <t>CAIXA DE DESCARGA DE PLASTICO EXTERNA, DE *9* L, PUXADOR FIO DE NYLON, NAO INCLUSO CANO, BOLSA, ENGATE</t>
  </si>
  <si>
    <t>CAIXA DE INCENDIO/ABRIGO PARA MANGUEIRA, DE EMBUTIR/INTERNA, COM 90 X 60 X 17 CM, EM CHAPA DE ACO, PORTA COM VENTILACAO, VISOR COM A INSCRICAO "INCENDIO", SUPORTE/CESTA INTERNA PARA A MANGUEIRA, PINTURA ELETROSTATICA VERMELHA</t>
  </si>
  <si>
    <t>CAIXA DE PASSAGEM, EM PVC, DE 4" X 2", PARA ELETRODUTO FLEXIVEL CORRUGADO</t>
  </si>
  <si>
    <t>CAIXA DE PASSAGEM, EM PVC, DE 4" X 4", PARA ELETRODUTO FLEXIVEL CORRUGADO</t>
  </si>
  <si>
    <t>CAIXA SIFONADA PVC, 250 X 230 X 75 MM, COM TAMPA CEGA QUADRADA, BRANCA</t>
  </si>
  <si>
    <t>CAIXA SIFONADA, PVC, 150 X *185* X 75 MM, COM GRELHA QUADRADA, BRANCA</t>
  </si>
  <si>
    <t>CAIXA SIFONADA, PVC, 150 X 150 X 50 MM, COM GRELHA REDONDA, BRANCA</t>
  </si>
  <si>
    <t>CAL HIDRATADA CH-I PARA ARGAMASSAS</t>
  </si>
  <si>
    <t>CAL HIDRATADA PARA PINTURA</t>
  </si>
  <si>
    <t>CALHA QUADRADA DE CHAPA DE ACO GALVANIZADA NUM 24, CORTE 50 CM</t>
  </si>
  <si>
    <t>CANALETA DE CONCRETO ESTRUTURAL 14 X 19 X 39 CM, FBK 4,5 MPA (NBR 6136)</t>
  </si>
  <si>
    <t>CANALETA DE CONCRETO 19 X 19 X 19 CM (CLASSE C - NBR 6136)</t>
  </si>
  <si>
    <t>CANOPLA ACABAMENTO CROMADO PARA INSTALACAO DE SPRINKLER, SOB FORRO, 15 MM</t>
  </si>
  <si>
    <t>CAP PVC, SERIE R, DN 100 MM, PARA ESGOTO PREDIAL</t>
  </si>
  <si>
    <t>CAP PVC, SERIE R, DN 150 MM, PARA ESGOTO PREDIAL</t>
  </si>
  <si>
    <t>CAP PVC, SERIE R, DN 75 MM, PARA ESGOTO PREDIAL</t>
  </si>
  <si>
    <t>CAP PVC, SOLDAVEL, DN 50 MM, SERIE NORMAL, PARA ESGOTO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</si>
  <si>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</si>
  <si>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</si>
  <si>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</si>
  <si>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</si>
  <si>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</si>
  <si>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</si>
  <si>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CAPA PARA CHUVA EM PVC COM FORRO DE POLIESTER, COM CAPUZ (AMARELA OU AZUL)</t>
  </si>
  <si>
    <t>CARRINHO DE MAO DE ACO CAPACIDADE 50 A 60 L, PNEU COM CAMARA</t>
  </si>
  <si>
    <t>CHAPA DE ACO GALVANIZADA BITOLA GSG 22, E = 0,80 MM (6,40 KG/M2)</t>
  </si>
  <si>
    <t>CHAPA DE MDF BRANCO LISO 1 FACE, E = 18 MM, DE *2,75 X 1,85* M</t>
  </si>
  <si>
    <t>CHAPA DE MDF BRANCO LISO 2 FACES, E = 25 MM, DE *2,75 X 1,85* M</t>
  </si>
  <si>
    <t>CHAPA/PAINEL DE MADEIRA COMPENSADA PLASTIFICADA (MADEIRITE PLASTIFICADO) PARA FORMA DE CONCRETO, DE 2200 x 1100 MM, E = *17* MM</t>
  </si>
  <si>
    <t>CHAPA/PAINEL DE MADEIRA COMPENSADA RESINADA (MADEIRITE RESINADO ROSA) PARA FORMA DE CONCRETO, DE 2200 x 1100 MM, E = 17 MM</t>
  </si>
  <si>
    <t>CHUMBADOR DE ACO, DIAMETRO 5/8", COMPRIMENTO 6", COM PORCA</t>
  </si>
  <si>
    <t>CHUMBADOR, DIAMETRO 1/4" COM PARAFUSO 1/4" X 40 MM</t>
  </si>
  <si>
    <t>CIMENTO PORTLAND COMPOSTO CP II-32</t>
  </si>
  <si>
    <t>COLA A BASE DE RESINA SINTETICA PARA CHAPA DE LAMINADO MELAMINICO</t>
  </si>
  <si>
    <t>COMPENSADO NAVAL - CHAPA/PAINEL EM MADEIRA COMPENSADA PRENSADA, DE 2200 X 1600 MM, E = 20 MM</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</si>
  <si>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</si>
  <si>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</si>
  <si>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CONDULETE DE ALUMINIO TIPO C, PARA ELETRODUTO ROSCAVEL DE 4", COM TAMPA CEGA</t>
  </si>
  <si>
    <t>CONDULETE DE ALUMINIO TIPO E, PARA ELETRODUTO ROSCAVEL DE 1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</si>
  <si>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</si>
  <si>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</si>
  <si>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</si>
  <si>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</si>
  <si>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LR, PARA ELETRODUTO ROSCAVEL DE 1 1/2", COM TAMPA CEGA</t>
  </si>
  <si>
    <t>CONDULETE DE ALUMINIO TIPO T, PARA ELETRODUTO ROSCAVEL DE 2", COM TAMPA CEGA</t>
  </si>
  <si>
    <t>CONDULETE DE ALUMINIO TIPO X, PARA ELETRODUTO ROSCAVEL DE 1", COM TAMPA CEGA</t>
  </si>
  <si>
    <t>CONDULETE DE ALUMINIO TIPO X, PARA ELETRODUTO ROSCAVEL DE 3/4", COM TAMPA CEGA</t>
  </si>
  <si>
    <t>CONDUTOR PLUVIAL, PVC, CIRCULAR, DIAMETRO ENTRE 80 E 100 MM, PARA DRENAGEM PLUVIAL PREDIAL</t>
  </si>
  <si>
    <t>CONE DE SINALIZACAO EM PVC RIGIDO COM FAIXA REFLETIVA, H = 70 / 76 CM</t>
  </si>
  <si>
    <t>CONECTOR BRONZE/LATAO (REF 603) SEM ANEL DE SOLDA, BOLSA X ROSCA F, 22 MM X 3/4"</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</si>
  <si>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</si>
  <si>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</si>
  <si>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</si>
  <si>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</si>
  <si>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</si>
  <si>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</si>
  <si>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</si>
  <si>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</si>
  <si>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</si>
  <si>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</si>
  <si>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</si>
  <si>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</si>
  <si>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</si>
  <si>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</si>
  <si>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</si>
  <si>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COTOVELO DE COBRE 90 GRAUS (REF 607) SEM ANEL DE SOLDA, BOLSA X BOLSA, 54 MM</t>
  </si>
  <si>
    <t>COTOVELO DE COBRE 90 GRAUS (REF 607) SEM ANEL DE SOLDA, BOLSA X BOLSA, 66 MM</t>
  </si>
  <si>
    <t>COTOVELO DE COBRE 90 GRAUS (REF 607) SEM ANEL DE SOLDA, BOLSA X BOLSA, 79 MM</t>
  </si>
  <si>
    <t>COTOVELO 90 GRAUS DE FERRO GALVANIZADO, COM ROSCA BSP MACHO/FEMEA, DE 1 1/2"</t>
  </si>
  <si>
    <t>CUBA ACO INOX (AISI 304) DE EMBUTIR COM VALVULA 3 1/2 ", DE *40 X 34 X 12* CM</t>
  </si>
  <si>
    <t>CURVA DE PVC 90 GRAUS, SOLDAVEL, 32 MM, COR MARROM, PARA AGUA FRIA PREDIAL</t>
  </si>
  <si>
    <t>CURVA DE PVC 90 GRAUS, SOLDAVEL, 40 MM, COR MARROM, PARA AGUA FRIA PREDIAL</t>
  </si>
  <si>
    <t>CURVA DE PVC 90 GRAUS, SOLDAVEL, 50 MM, COR MARROM, PARA AGUA FRIA PREDIAL</t>
  </si>
  <si>
    <t>CURVA DE PVC 90 GRAUS, SOLDAVEL, 60 MM, COR MARROM, PARA AGUA FRIA PREDIAL</t>
  </si>
  <si>
    <t>CURVA DE PVC 90 GRAUS, SOLDAVEL, 75 MM, COR MARROM, PARA AGUA FRIA PREDIAL</t>
  </si>
  <si>
    <t>CURVA DE PVC 90 GRAUS, SOLDAVEL, 85 MM, COR MARROM, PARA AGUA FRIA PREDIAL</t>
  </si>
  <si>
    <t>CURVA DE PVC, 90 GRAUS, SERIE R, DN 100 MM, PARA ESGOTO PREDIAL</t>
  </si>
  <si>
    <t>CURVA DE TRANSPOSICAO, PVC, SOLDAVEL, 25 MM, COR MARROM, PARA AGUA FRIA PREDIAL</t>
  </si>
  <si>
    <t>CURVA LONGA PVC, PB, JE, 90 GRAUS, DN 150 MM, PARA REDE COLETORA ESGOTO</t>
  </si>
  <si>
    <t>CURVA PVC LONGA 90 GRAUS, DN 100 MM, PARA ESGOTO PREDIAL</t>
  </si>
  <si>
    <t>CURVA PVC LONGA 90 GRAUS, DN 40 MM, PARA ESGOTO PREDIAL</t>
  </si>
  <si>
    <t>CURVA PVC LONGA 90 GRAUS, DN 50 MM, PARA ESGOTO PREDIAL</t>
  </si>
  <si>
    <t>CURVA PVC LONGA 90 GRAUS, DN 75 MM, PARA ESGOTO PREDIAL</t>
  </si>
  <si>
    <t>CURVA PVC PBA, JE, PB, 90 GRAUS, DN 100 / DE 110 MM, PARA REDE AGUA (NBR 10351)</t>
  </si>
  <si>
    <t>CURVA 90 GRAUS DE FERRO GALVANIZADO, COM ROSCA BSP FEMEA, DE 2"</t>
  </si>
  <si>
    <t>CURVA 90 GRAUS DE FERRO GALVANIZADO, COM ROSCA BSP FEMEA, DE 3"</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</si>
  <si>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</si>
  <si>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</si>
  <si>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</si>
  <si>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</si>
  <si>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2", PARA ELETRODUTO</t>
  </si>
  <si>
    <t>CURVA 90 GRAUS, LONGA, DE PVC RIGIDO ROSCAVEL, DE 3",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</si>
  <si>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</si>
  <si>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</si>
  <si>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</si>
  <si>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</si>
  <si>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</si>
  <si>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</si>
  <si>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</si>
  <si>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</si>
  <si>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</si>
  <si>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DESEMPENADEIRA DE ACO LISA 12 X *25* CM COM CABO FECHADO DE MADEIRA</t>
  </si>
  <si>
    <t>DESEMPENADEIRA PLASTICA LISA *14 X 27* CM</t>
  </si>
  <si>
    <t>DILUENTE AGUARRAS</t>
  </si>
  <si>
    <t>DILUENTE EPOXI</t>
  </si>
  <si>
    <t>DISJUNTOR TIPO DIN/IEC, TRIPOLAR DE 10 ATE 50A</t>
  </si>
  <si>
    <t>ELETRODUTO DE PVC RIGIDO ROSCAVEL DE 1 ", SEM LUVA</t>
  </si>
  <si>
    <t>ELETRODUTO DE PVC RIGIDO ROSCAVEL DE 1 1/2 ", SEM LUVA</t>
  </si>
  <si>
    <t>ELETRODUTO DE PVC RIGIDO ROSCAVEL DE 1 1/4 ", SEM LUVA</t>
  </si>
  <si>
    <t>ELETRODUTO DE PVC RIGIDO ROSCAVEL DE 2 ", SEM LUVA</t>
  </si>
  <si>
    <t>ELETRODUTO DE PVC RIGIDO ROSCAVEL DE 3 ", SEM LUVA</t>
  </si>
  <si>
    <t>ELETRODUTO DE PVC RIGIDO ROSCAVEL DE 3/4 ", SEM LUVA</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</si>
  <si>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</si>
  <si>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</si>
  <si>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</si>
  <si>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60 MM (2"), TIPO SEALTUBO</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</si>
  <si>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</si>
  <si>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</si>
  <si>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</si>
  <si>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</si>
  <si>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</si>
  <si>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ENGATE / RABICHO FLEXIVEL INOX 1/2 " X 40 CM</t>
  </si>
  <si>
    <t>ENXADA ESTREITA *25 X 23* CM COM CABO</t>
  </si>
  <si>
    <t>ESCADA DUPLA DE ABRIR EM ALUMINIO, MODELO PINTOR, 8 DEGRAUS</t>
  </si>
  <si>
    <t>ESPATULA DE ACO INOX COM CABO DE MADEIRA, LARGURA 8 CM</t>
  </si>
  <si>
    <t>ESPELHO / PLACA DE 3 POSTOS 4" X 2", PARA INSTALACAO DE TOMADAS E INTERRUPTORES</t>
  </si>
  <si>
    <t>ESPELHO / PLACA DE 6 POSTOS 4" X 4", PARA INSTALACAO DE TOMADAS E INTERRUPTORES</t>
  </si>
  <si>
    <t>ESQUADRO DE ACO 12 " (300 MM), CABO DE ALUMINIO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</si>
  <si>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</si>
  <si>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</si>
  <si>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ESPELHO PARA PORTA DE BANHEIRO, EM ACO INOX (MAQUINA, TESTA E CONTRA-TESTA) E EM ZAMAC (MACANETA, LINGUETA E TRINCOS) COM ACABAMENTO CROMADO, MAQUINA DE 40 MM, INCLUINDO CHAVE TIPO TRANQUETA</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</si>
  <si>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</si>
  <si>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</si>
  <si>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FITA CREPE ROLO DE 25 MM X 50 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</si>
  <si>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</si>
  <si>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</si>
  <si>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5 M</t>
  </si>
  <si>
    <t>FITA METALICA PERFURADA, L = 17 MM, ROLO DE 30 M, CARGA RECOMENDADA = *19* KGF</t>
  </si>
  <si>
    <t>FITA VEDA ROSCA EM ROLOS DE 18 MM X 10 M (L X C)</t>
  </si>
  <si>
    <t>FORRO DE PVC, FRISADO, BRANCO, REGUA DE 10 CM, ESPESSURA DE 8 MM A 10 MM E COMPRIMENTO 6 M (SEM COLOCACAO)</t>
  </si>
  <si>
    <t>FUSIVEL DIAZED 35 A TAMANHO DIII, CAPACIDADE DE INTERRUPCAO DE 50 KA EM VCA E 8 KA EM VCC, TENSAO NOMIMNAL DE 500 V</t>
  </si>
  <si>
    <t>GEOTEXTIL NAO TECIDO AGULHADO DE FILAMENTOS CONTINUOS 100% POLIESTER, RESITENCIA A TRACAO = 31 KN/M</t>
  </si>
  <si>
    <t>GUARNICAO / MOLDURA / ARREMATE DE ACABAMENTO PARA ESQUADRIA, EM ALUMINIO PERFIL 25, ACABAMENTO ANODIZADO BRANCO OU BRILHANTE, PARA 1 FACE</t>
  </si>
  <si>
    <t>INSTALADOR DE TUBULACOES (TUBOS/EQUIPAMENTOS)</t>
  </si>
  <si>
    <t>INTERRUPTOR PARALELO 10A, 250V (APENAS MODULO)</t>
  </si>
  <si>
    <t>INTERRUPTOR SIMPLES 10A, 250V (APENAS MODULO)</t>
  </si>
  <si>
    <t>JOELHO CPVC, SOLDAVEL, 45 GRAUS, 22 MM, PARA AGUA QUENTE</t>
  </si>
  <si>
    <t>JOELHO CPVC, SOLDAVEL, 45 GRAUS, 28 MM, PARA AGUA QUENTE</t>
  </si>
  <si>
    <t>JOELHO CPVC, SOLDAVEL, 90 GRAUS, 22 MM, PARA AGUA QUENTE</t>
  </si>
  <si>
    <t>JOELHO CPVC, SOLDAVEL, 90 GRAUS, 28 MM, PARA AGUA QUENTE</t>
  </si>
  <si>
    <t>JOELHO PVC COM VISITA, 90 GRAUS, DN 100 X 50 MM, SERIE NORMAL, PARA ESGOTO PREDIAL</t>
  </si>
  <si>
    <t>JOELHO PVC, COM BOLSA E ANEL, 90 GRAUS, DN 40 X *38* MM, SERIE NORMAL, PARA ESGOTO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</si>
  <si>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</si>
  <si>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</si>
  <si>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</si>
  <si>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</si>
  <si>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</si>
  <si>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</si>
  <si>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</si>
  <si>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</si>
  <si>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</si>
  <si>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</si>
  <si>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</si>
  <si>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</si>
  <si>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</si>
  <si>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COR MARROM, PARA AGUA FRIA PREDIAL</t>
  </si>
  <si>
    <t>JOELHO PVC, SOLDAVEL, 90 GRAUS, 25 MM, COR MARROM, PARA AGUA FRIA PREDIAL</t>
  </si>
  <si>
    <t>JOELHO PVC, SOLDAVEL, 90 GRAUS, 32 MM, COR MARROM, PARA AGUA FRIA PREDIAL</t>
  </si>
  <si>
    <t>JOELHO PVC, SOLDAVEL, 90 GRAUS, 40 MM, COR MARROM, PARA AGUA FRIA PREDIAL</t>
  </si>
  <si>
    <t>JOELHO PVC, SOLDAVEL, 90 GRAUS, 50 MM, COR MARROM, PARA AGUA FRIA PREDIAL</t>
  </si>
  <si>
    <t>JOELHO PVC, SOLDAVEL, 90 GRAUS, 60 MM, COR MARROM, PARA AGUA FRIA PREDIAL</t>
  </si>
  <si>
    <t>JOELHO PVC, SOLDAVEL, 90 GRAUS, 85 MM, COR MARROM, PARA AGUA FRIA PREDIAL</t>
  </si>
  <si>
    <t>JOELHO, PVC SOLDAVEL, 45 GRAUS, 25 MM, COR MARROM, PARA AGUA FRIA PREDIAL</t>
  </si>
  <si>
    <t>JOELHO, PVC SOLDAVEL, 45 GRAUS, 32 MM, COR MARROM, PARA AGUA FRIA PREDIAL</t>
  </si>
  <si>
    <t>JOELHO, PVC SOLDAVEL, 45 GRAUS, 40 MM, COR MARROM, PARA AGUA FRIA PREDIAL</t>
  </si>
  <si>
    <t>JOELHO, PVC SOLDAVEL, 45 GRAUS, 50 MM, COR MARROM, PARA AGUA FRIA PREDIAL</t>
  </si>
  <si>
    <t>JOELHO, PVC SOLDAVEL, 45 GRAUS, 60 MM, COR MARROM, PARA AGUA FRIA PREDIAL</t>
  </si>
  <si>
    <t>JOELHO, PVC SOLDAVEL, 45 GRAUS, 75 MM, COR MARROM, PARA AGUA FRIA PREDIAL</t>
  </si>
  <si>
    <t>JOELHO, PVC SOLDAVEL, 45 GRAUS, 85 MM, COR MARROM, PARA AGUA FRIA PREDIAL</t>
  </si>
  <si>
    <t>JOELHO, PVC SOLDAVEL, 90 GRAUS, 75 MM, COR MARROM, PARA AGUA FRIA PREDIAL</t>
  </si>
  <si>
    <t>JUNCAO DUPLA, PVC SOLDAVEL, DN 100 X 100 X 100 MM , SERIE NORMAL PARA ESGOTO PREDIAL</t>
  </si>
  <si>
    <t>JUNCAO SIMPLES, PVC SERIE R, DN 150 X 150 MM, PARA ESGOTO PREDIAL</t>
  </si>
  <si>
    <t>JUNCAO SIMPLES, PVC SERIE R, DN 75 X 75 MM, PARA ESGOTO PREDIAL</t>
  </si>
  <si>
    <t>JUNCAO SIMPLES, PVC, 45 GRAUS, DN 100 X 100 MM, SERIE NORMAL PARA ESGOTO PREDIAL</t>
  </si>
  <si>
    <t>JUNCAO SIMPLES, PVC, 45 GRAUS, DN 40 X 40 MM, SERIE NORMAL PARA ESGOTO PREDIAL</t>
  </si>
  <si>
    <t>JUNCAO SIMPLES, PVC, 45 GRAUS, DN 50 X 50 MM, SERIE NORMAL PARA ESGOTO PREDIAL</t>
  </si>
  <si>
    <t>LAVATORIO DE LOUCA BRANCA, SUSPENSO (SEM COLUNA), DIMENSOES *40 X 30* CM</t>
  </si>
  <si>
    <t>LIXA D'AGUA EM FOLHA, GRAO 100</t>
  </si>
  <si>
    <t>LIXA EM FOLHA PARA PAREDE OU MADEIRA, NUMERO 120, COR VERMELHA</t>
  </si>
  <si>
    <t>LOCACAO DE ANDAIME METALICO TIPO FACHADEIRO, LARGURA DE 1,20 M X ALTURA DE 2,0 M POR PAINEL,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</si>
  <si>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</si>
  <si>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</si>
  <si>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</si>
  <si>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</si>
  <si>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LOCACAO DE ESCORA METALICA TELESCOPICA, COM ALTURA REGULAVEL DE *1,80* A *3,20* M, COM CAPACIDADE DE CARGA DE NO MINIMO 1000 KGF (10 KN), INCLUSO TRIPE E FORCADO</t>
  </si>
  <si>
    <t>LUMINARIA DE LED PARA ILUMINACAO PUBLICA, DE 138 W ATE 180 W, INVOLUCRO EM ALUMINIO OU ACO INOX</t>
  </si>
  <si>
    <t>LUMINARIA DE LED PARA ILUMINACAO PUBLICA, DE 181 W ATE 239 W, INVOLUCRO EM ALUMINIO OU ACO INOX</t>
  </si>
  <si>
    <t>LUMINARIA DE LED PARA ILUMINACAO PUBLICA, DE 51 W ATE 67 W, INVOLUCRO EM ALUMINIO OU ACO INOX</t>
  </si>
  <si>
    <t>LUMINARIA DE LED PARA ILUMINACAO PUBLICA, DE 98 W ATE 137 W, INVOLUCRO EM ALUMINIO OU ACO INOX</t>
  </si>
  <si>
    <t>LUVA CPVC, SOLDAVEL, 22 MM, PARA AGUA QUENTE PREDIAL</t>
  </si>
  <si>
    <t>LUVA CPVC, SOLDAVEL, 28 MM, PARA AGUA QUENTE PREDIAL</t>
  </si>
  <si>
    <t>LUVA DE COBRE (REF 600) SEM ANEL DE SOLDA, BOLSA X BOLSA, 54 MM</t>
  </si>
  <si>
    <t>LUVA DE COBRE (REF 600) SEM ANEL DE SOLDA, BOLSA X BOLSA, 66 MM</t>
  </si>
  <si>
    <t>LUVA DE COBRE (REF 600) SEM ANEL DE SOLDA, BOLSA X BOLSA, 79 MM</t>
  </si>
  <si>
    <t>LUVA DE CORRER PARA TUBO ROSCAVEL, PVC, 1 1/2", PARA AGUA FRIA PREDIAL</t>
  </si>
  <si>
    <t>LUVA DE CORRER PARA TUBO ROSCAVEL, PVC, 3/4", PARA AGUA FRIA PREDIAL</t>
  </si>
  <si>
    <t>LUVA DE CORRER PARA TUBO SOLDAVEL, PVC, 25 MM, PARA AGUA FRIA PREDIAL</t>
  </si>
  <si>
    <t>LUVA DE CORRER PARA TUBO SOLDAVEL, PVC, 32 MM, PARA AGUA FRIA PREDIAL</t>
  </si>
  <si>
    <t>LUVA DE CORRER PARA TUBO SOLDAVEL, PVC, 40 MM, PARA AGUA FRIA PREDIAL</t>
  </si>
  <si>
    <t>LUVA DE CORRER PARA TUBO SOLDAVEL, PVC, 50 MM, PARA AGUA FRIA PREDIAL</t>
  </si>
  <si>
    <t>LUVA DE CORRER PARA TUBO SOLDAVEL, PVC, 60 MM, PARA AGUA FRIA PREDIAL</t>
  </si>
  <si>
    <t>LUVA DE CORRER, CPVC, SOLDAVEL, 22 MM, PARA AGUA QUENTE PREDIAL</t>
  </si>
  <si>
    <t>LUVA DE CORRER, CPVC, SOLDAVEL, 28 MM, PARA AGUA QUENTE PREDIAL</t>
  </si>
  <si>
    <t>LUVA DE CORRER, PVC PBA, JE, DN 100 / DE 110 MM, PARA REDE AGUA (NBR 10351)</t>
  </si>
  <si>
    <t>LUVA DE CORRER, PVC PBA, JE, DN 75 / DE 85 MM, PARA REDE AGUA (NBR 10351)</t>
  </si>
  <si>
    <t>LUVA DE CORRER, PVC SERIE R, 100 MM, PARA ESGOTO PREDIAL</t>
  </si>
  <si>
    <t>LUVA DE CORRER, PVC SERIE R, 150 MM, PARA ESGOTO PREDIAL</t>
  </si>
  <si>
    <t>LUVA DE CORRER, PVC, DN 50 MM, PARA ESGOTO PREDIAL</t>
  </si>
  <si>
    <t>LUVA DE CORRER, PVC, DN 75 MM, PARA ESGOTO PREDIAL</t>
  </si>
  <si>
    <t>LUVA DE TRANSICAO, CPVC, 22 MM X 1/2", PARA AGUA QUENTE</t>
  </si>
  <si>
    <t>LUVA EM PVC RIGIDO ROSCAVEL, DE 1 1/2", PARA ELETRODUTO</t>
  </si>
  <si>
    <t>LUVA EM PVC RIGIDO ROSCAVEL, DE 1 1/4", PARA ELETRODUTO</t>
  </si>
  <si>
    <t>LUVA EM PVC RIGIDO ROSCAVEL, DE 1", PARA ELETRODUTO</t>
  </si>
  <si>
    <t>LUVA EM PVC RIGIDO ROSCAVEL, DE 2", PARA ELETRODUTO</t>
  </si>
  <si>
    <t>LUVA EM PVC RIGIDO ROSCAVEL, DE 3/4", PARA ELETRODUTO</t>
  </si>
  <si>
    <t>LUVA EM PVC RIGIDO ROSCAVEL, DE 3",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</si>
  <si>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</si>
  <si>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</si>
  <si>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</si>
  <si>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</si>
  <si>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</si>
  <si>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</si>
  <si>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</si>
  <si>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</si>
  <si>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</si>
  <si>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PVC SOLDAVEL, 110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</si>
  <si>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</si>
  <si>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</si>
  <si>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</si>
  <si>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</si>
  <si>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</si>
  <si>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</si>
  <si>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</si>
  <si>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SIMPLES, PVC, SOLDAVEL, DN 100 MM, SERIE NORMAL, PARA ESGOTO PREDIAL</t>
  </si>
  <si>
    <t>LUVA SIMPLES, PVC, SOLDAVEL, DN 150 MM, SERIE NORMAL, PARA ESGOTO PREDIAL</t>
  </si>
  <si>
    <t>LUVA SIMPLES, PVC, SOLDAVEL, DN 50 MM, SERIE NORMAL, PARA ESGOTO PREDIAL</t>
  </si>
  <si>
    <t>LUVA SIMPLES, PVC, SOLDAVEL, DN 75 MM, SERIE NORMAL, PARA ESGOTO PREDIAL</t>
  </si>
  <si>
    <t>LUVA SOLDAVEL COM BUCHA DE LATAO, PVC, 25 MM X 1/2"</t>
  </si>
  <si>
    <t>LUVA SOLDAVEL COM BUCHA DE LATAO, PVC, 25 MM X 3/4"</t>
  </si>
  <si>
    <t>LUVA SOLDAVEL COM ROSCA, PVC, 25 MM X 1/2", PARA AGUA FRIA PREDIAL</t>
  </si>
  <si>
    <t>MANGUEIRA CRISTAL PARA NIVEL, LISA, PVC TRANSPARENTE, 5/16" X1 MM</t>
  </si>
  <si>
    <t>MANGUEIRA DE INCENDIO, TIPO 2, DE 2 1/2", COMPRIMENTO = 15 M, TECIDO EM FIO DE POLIESTER E TUBO INTERNO EM BORRACHA SINTETICA, COM UNIOES ENGATE RAPIDO</t>
  </si>
  <si>
    <t>MANOMETRO COM CAIXA EM ACO PINTADO, ESCALA *10* KGF/CM2 (*10* BAR), DIAMETRO NOMINAL DE *63* MM, CONEXAO DE 1/4"</t>
  </si>
  <si>
    <t>MANOMETRO COM CAIXA EM ACO PINTADO, ESCALA *10* KGF/CM2 (*10* BAR), DIAMETRO NOMINAL DE 100 MM, CONEXAO DE 1/2"</t>
  </si>
  <si>
    <t>MANTA ASFALTICA ELASTOMERICA EM POLIESTER ALUMINIZADA 3 MM, TIPO III, CLASSE B (NBR 9952)</t>
  </si>
  <si>
    <t>MASSA ACRILICA PARA SUPERFICIES INTERNAS E EXTERNAS</t>
  </si>
  <si>
    <t>MASSA CORRIDA PARA SUPERFICIES DE AMBIENTES INTERNOS</t>
  </si>
  <si>
    <t>MASSA PARA VIDRO</t>
  </si>
  <si>
    <t>MASSA PREMIUM PARA TEXTURA LISA DE BASE ACRILICA, USO INTERNO E EXTERNO</t>
  </si>
  <si>
    <t>MASTRO SIMPLES GALVANIZADO DIAMETRO NOMINAL 2"</t>
  </si>
  <si>
    <t>MEIO BLOCO DE CONCRETO ESTRUTURAL 14 X 19 X 19 CM, FBK 4,5 MPA (NBR 6136)</t>
  </si>
  <si>
    <t>MEIO BLOCO DE VEDACAO DE CONCRETO 9 X 19 X 19 CM (CLASSE C - NBR 6136)</t>
  </si>
  <si>
    <t>MICTORIO INDICUDUAL, SIFONADO, LOUCA BRANCA, SEM COMPLEMENTOS</t>
  </si>
  <si>
    <t>MISTURADOR METALICO, BASE PARA CHUVEIRO/BANHEIRA, 1/2 " OU 3/4 ", SOLDAVEL OU ROSCAVEL (NAO INCLUI ACABAMENTOS)</t>
  </si>
  <si>
    <t>NIPLE DE FERRO GALVANIZADO, COM ROSCA BSP, DE 2 1/2"</t>
  </si>
  <si>
    <t>NIPLE DE FERRO GALVANIZADO, COM ROSCA BSP, DE 2"</t>
  </si>
  <si>
    <t>NIPLE DE FERRO GALVANIZADO, COM ROSCA BSP, DE 3"</t>
  </si>
  <si>
    <t>NIPLE SEXTAVADO EM ACO CARBONO, COM ROSCA BSP, PRESSAO 3.000 LBS, DN 1/2"</t>
  </si>
  <si>
    <t>NIPLE SEXTAVADO EM ACO CARBONO, COM ROSCA BSP, PRESSAO 3.000 LBS, DN 3/4"</t>
  </si>
  <si>
    <t>OLEO DIESEL COMBUSTIVEL COMUM</t>
  </si>
  <si>
    <t>PAPEL KRAFT BETUMADO</t>
  </si>
  <si>
    <t>PARA-RAIOS TIPO FRANKLIN 350 MM, EM LATAO CROMADO, DUAS DESCIDAS, PARA PROTECAO DE EDIFICACOES CONTRA DESCARGAS ATMOSFERICAS</t>
  </si>
  <si>
    <t>PARAFUSO DRY WALL, EM ACO FOSFATIZADO, CABECA TROMBETA E PONTA AGULHA (TA), COMPRIMENTO 25 MM</t>
  </si>
  <si>
    <t>PARAFUSO DRY WALL, EM ACO ZINCADO, CABECA LENTILHA E PONTA BROCA (LB), LARGURA 4,2 MM, COMPRIMENTO 13 MM</t>
  </si>
  <si>
    <t>PARAFUSO FRANCES M16 EM ACO GALVANIZADO, COMPRIMENTO = 45 MM, DIAMETRO = 16 MM, CABECA ABAULADA</t>
  </si>
  <si>
    <t>PARAFUSO NIQUELADO COM ACABAMENTO CROMADO PARA FIXAR PECA SANITARIA, INCLUI PORCA CEGA, ARRUELA E BUCHA DE NYLON TAMANHO S-10</t>
  </si>
  <si>
    <t>PARAFUSO NIQUELADO 3 1/2" COM ACABAMENTO CROMADO PARA FIXAR PECA SANITARIA, INCLUI PORCA CEGA, ARRUELA E BUCHA DE NYLON TAMANHO S-8</t>
  </si>
  <si>
    <t>PASTA LUBRIFICANTE PARA TUBOS E CONEXOES COM JUNTA ELASTICA, EMBALAGEM DE *400* GR (USO EM PVC, ACO, POLIETILENO E OUTROS)</t>
  </si>
  <si>
    <t>PEDRA BRITADA N. 1 (9,5 a 19 MM) POSTO PEDREIRA/FORNECEDOR, SEM FRETE</t>
  </si>
  <si>
    <t>PEDRA BRITADA N. 2 (19 A 38 MM) POSTO PEDREIRA/FORNECEDOR, SEM FRETE</t>
  </si>
  <si>
    <t>PENDURAL OU PRESILHA REGULADORA, EM ACO GALVANIZADO, COM CORPO, MOLA E REBITE, PARA PERFIL TIPO CANALETA DE ESTRUTURA EM FORROS DRYWALL</t>
  </si>
  <si>
    <t>PERFIL CANALETA, FORMATO C, EM ACO ZINCADO, PARA ESTRUTURA FORRO DRYWALL, E = 0,5 MM, *46 X 18* (L X H), COMPRIMENTO 3 M</t>
  </si>
  <si>
    <t>PERFIL GUIA, FORMATO U, EM ACO ZINCADO, PARA ESTRUTURA PAREDE DRYWALL, E = 0,5 MM, 70 X 3000 MM (L X C)</t>
  </si>
  <si>
    <t>PERFIL MONTANTE, FORMATO C, EM ACO ZINCADO, PARA ESTRUTURA PAREDE DRYWALL, E = 0,5 MM, 70 X 3000 MM (L X C)</t>
  </si>
  <si>
    <t>PERFIL TABICA FECHADA, LISA, FORMATO Z, EM ACO GALVANIZADO NATURAL, LARGURA TOTAL NA HORIZONTAL *40* MM, PARA ESTRUTURA FORRO DRYWALL</t>
  </si>
  <si>
    <t>PERFIL TIPO CANTONEIRA EM L, EM ACO GALVANIZADO, BRANCO, PARA FORRO REMOVIVEL, *23* X 3000 MM (L X C)</t>
  </si>
  <si>
    <t>PINO DE ACO COM ARRUELA CONICA, DIAMETRO ARRUELA = *23* MM E COMP HASTE = *27* MM (ACAO INDIRETA)</t>
  </si>
  <si>
    <t>PINO DE ACO COM FURO, HASTE = 27 MM (ACAO DIRETA)</t>
  </si>
  <si>
    <t>PISO TATIL DE ALERTA OU DIRECIONAL, DE BORRACHA, COLORIDO, 25 X 25 CM, E = 12 MM, PARA ARGAMASSA</t>
  </si>
  <si>
    <t>PLACA DE FIBRA MINERAL PARA FORRO, DE 625 X 625 MM, E = 15 MM, BORDA RETA, COM PINTURA ANTIMOFO (NAO INCLUI PERFIS)</t>
  </si>
  <si>
    <t>PLACA DE OBRA (PARA CONSTRUCAO CIVIL) EM CHAPA GALVANIZADA *N. 22*, ADESIVADA, DE *2,4 X 1,2* M (SEM POSTES PARA FIXACAO)</t>
  </si>
  <si>
    <t>PLACA DE SINALIZACAO DE SEGURANCA CONTRA INCENDIO, FOTOLUMINESCENTE, RETANGULAR, *13 X 26* CM, EM PVC *2* MM ANTI-CHAMAS (SIMBOLOS, CORES E PICTOGRAMAS CONFORME NBR 16820)</t>
  </si>
  <si>
    <t>PLACA/TAMPA CEGA EM LATAO ESCOVADO PARA CONDULETE EM LIGA DE ALUMINIO 4 X 4"</t>
  </si>
  <si>
    <t>PLUG OU BUJAO DE FERRO GALVANIZADO, DE 4"</t>
  </si>
  <si>
    <t>POLIESTIRENO EXPANDIDO/EPS (ISOPOR), TIPO 2F, BLOCO</t>
  </si>
  <si>
    <t>PORTA DE ABRIR / GIRO, DE MADEIRA FOLHA MEDIA (NBR 15930) DE 1000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</si>
  <si>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</si>
  <si>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</si>
  <si>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</si>
  <si>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</si>
  <si>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</si>
  <si>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</si>
  <si>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LAMINADO NATURAL PARA VERNIZ</t>
  </si>
  <si>
    <t>POSTE DE CONCRETO ARMADO DE SECAO CIRCULAR, EXTENSAO DE 11,00 M, RESISTENCIA DE 200 A 300 DAN, TIPO C-14</t>
  </si>
  <si>
    <t>POSTE DE CONCRETO ARMADO DE SECAO CIRCULAR, EXTENSAO DE 9,00 M, RESISTENCIA DE 200 A 300 DAN, TIPO C-14</t>
  </si>
  <si>
    <t>PREGO DE ACO POLIDO COM CABECA 17 X 27 (2 1/2 X 11)</t>
  </si>
  <si>
    <t>PREGO DE ACO POLIDO COM CABECA 18 X 27 (2 1/2 X 10)</t>
  </si>
  <si>
    <t>PRIMER EPOXI / EPOXIDICO</t>
  </si>
  <si>
    <t>PROTETOR SOLAR FPS 30, EMBALAGEM 2 LITROS</t>
  </si>
  <si>
    <t>PRUMO DE CENTRO EM ACO *400* G</t>
  </si>
  <si>
    <t>PRUMO DE PAREDE EM ACO 700 A 750 G</t>
  </si>
  <si>
    <t>PUXADOR TIPO ALCA, EM ZAMAC CROMADO, COM ROSETAS, COMPRIMENTO DE APROX *100* MM, PARA PORTAS E JANELAS DE MADEIRA, INCLUINDO PARAFUSOS</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</si>
  <si>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</si>
  <si>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</si>
  <si>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</si>
  <si>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RALO FOFO SEMIESFERICO, 100 MM, PARA LAJES/ CALHAS</t>
  </si>
  <si>
    <t>REDUCAO EXCENTRICA PVC, DN 100 X 75 MM, PARA ESGOTO PREDIAL</t>
  </si>
  <si>
    <t>REDUCAO EXCENTRICA PVC, DN 75 X 50 MM, PARA ESGOTO PREDIAL</t>
  </si>
  <si>
    <t>REGISTRO DE ESFERA, PVC, COM VOLANTE, VS, ROSCAVEL, DN 1 1/2", COM CORPO DIVIDIDO</t>
  </si>
  <si>
    <t>REGISTRO DE ESFERA, PVC, COM VOLANTE, VS, ROSCAVEL, DN 1/2", COM CORPO DIVIDIDO</t>
  </si>
  <si>
    <t>REGISTRO DE ESFERA, PVC, COM VOLANTE, VS, SOLDAVEL, DN 60 MM, COM CORPO DIVIDIDO</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</si>
  <si>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</si>
  <si>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</si>
  <si>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</si>
  <si>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</si>
  <si>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</si>
  <si>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</si>
  <si>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</si>
  <si>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</si>
  <si>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</si>
  <si>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</si>
  <si>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</si>
  <si>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</si>
  <si>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REGUA DE ALUMINIO PARA PEDREIRO 2 X 1 "</t>
  </si>
  <si>
    <t>REJUNTE CIMENTICIO, QUALQUER COR</t>
  </si>
  <si>
    <t>RESINA ACRILICA PREMIUM BASE AGUA - COR BRANCA</t>
  </si>
  <si>
    <t>SELADOR ACRILICO OPACO PREMIUM INTERIOR/EXTERIOR</t>
  </si>
  <si>
    <t>SENSOR DE PRESENCA BIVOLT COM FOTOCELULA PARA QUALQUER TIPO DE LAMPADA, POTENCIA MAXIMA *1000* W, USO EXTERNO</t>
  </si>
  <si>
    <t>SIFAO EM METAL CROMADO PARA PIA OU LAVATORIO, 1 X 1.1/2 "</t>
  </si>
  <si>
    <t>SIFAO EM METAL CROMADO PARA TANQUE, 1.1/4 X 1.1/2 "</t>
  </si>
  <si>
    <t>SILICONE ACETICO USO GERAL INCOLOR 280 G</t>
  </si>
  <si>
    <t>SISAL EM FIBRA / ESTOPA SISAL PARA GESSO</t>
  </si>
  <si>
    <t>SOLUCAO PREPARADORA / LIMPADORA PARA PVC, FRASCO COM 1000 CM3</t>
  </si>
  <si>
    <t>SPRINKLER TIPO PENDENTE, BULBO VERMELHO DE RESPOSTA RAPIDA, 68 GRAUS CELSIUS, ACABAMENTO CROMADO, D = 15 MM (1/2")</t>
  </si>
  <si>
    <t>SUPORTE DE FIXACAO PARA ESPELHO / PLACA 4" X 2", PARA 3 MODULOS, PARA INSTALACAO DE TOMADAS E INTERRUPTORES (SOMENTE SUPORTE)</t>
  </si>
  <si>
    <t>SUPORTE DE FIXACAO PARA ESPELHO / PLACA 4" X 4", PARA 6 MODULOS, PARA INSTALACAO DE TOMADAS E INTERRUPTORES (SOMENTE SUPORTE)</t>
  </si>
  <si>
    <t>TABUA *2,5 X 23* CM EM PINUS, MISTA OU EQUIVALENTE DA REGIAO - BRUTA</t>
  </si>
  <si>
    <t>TABUA APARELHADA *2,5 X 30* CM, EM MACARANDUBA, ANGELIM OU EQUIVALENTE DA REGIAO</t>
  </si>
  <si>
    <t>TABUA NAO APARELHADA *2,5 X 30* CM, EM MACARANDUBA, ANGELIM OU EQUIVALENTE DA REGIAO - BRUTA</t>
  </si>
  <si>
    <t>TALABARTE DE SEGURANCA, 2 MOSQUETOES TRAVA DUPLA *53* MM DE ABERTURA, COM ABSORVEDOR DE ENERGIA</t>
  </si>
  <si>
    <t>TALHA MANUAL DE CORRENTE, CAPACIDADE DE 2 T COM ELEVACAO DE 3 M</t>
  </si>
  <si>
    <t>TALHADEIRA COM PUNHO DE PROTECAO *20 X 250* MM</t>
  </si>
  <si>
    <t>TAMPA PARA CONDULETE, EM PVC, PARA 1 MODULO RJ</t>
  </si>
  <si>
    <t>TAMPAO / TERMINAL / PLUG, D = 1 1/4" , PARA DUTO CORRUGADO PEAD (CABEAMENTO SUBTERRANEO)</t>
  </si>
  <si>
    <t>TAMPAO / TERMINAL / PLUG, D = 2" , PARA DUTO CORRUGADO PEAD (CABEAMENTO SUBTERRANEO)</t>
  </si>
  <si>
    <t>TAMPAO / TERMINAL / PLUG, D = 3" , PARA DUTO CORRUGADO PEAD (CABEAMENTO SUBTERRANEO)</t>
  </si>
  <si>
    <t>TAMPAO FOFO ARTICULADO, CLASSE B125 CARGA MAX 12,5 T, REDONDO, TAMPA 600 MM (COM INSCRICAO EM RELEVO DO TIPO DE REDE)</t>
  </si>
  <si>
    <t>TAMPAO FOFO ARTICULADO, CLASSE D400 CARGA MAX 40 T, REDONDO, TAMPA 600 MM (COM INSCRICAO EM RELEVO DO TIPO DE REDE)</t>
  </si>
  <si>
    <t>TAMPAO FOFO SIMPLES COM BASE, CLASSE A15 CARGA MAX 1,5 T, 400 X 600 MM (COM INSCRICAO EM RELEVO DO TIPO DE REDE)</t>
  </si>
  <si>
    <t>TARJETA LIVRE / OCUPADO PARA PORTA DE BANHEIRO, CORPO EM ZAMAC E ESPELHO EM LATAO</t>
  </si>
  <si>
    <t>TE CPVC, SOLDAVEL, 90 GRAUS, 22 MM, PARA AGUA QUENTE PREDIAL</t>
  </si>
  <si>
    <t>TE CPVC, SOLDAVEL, 90 GRAUS, 28 MM, PARA AGUA QUENTE PREDIAL</t>
  </si>
  <si>
    <t>TE DE COBRE (REF 611) SEM ANEL DE SOLDA, BOLSA X BOLSA X BOLSA, 22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</si>
  <si>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</si>
  <si>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</si>
  <si>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</si>
  <si>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</si>
  <si>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</si>
  <si>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</si>
  <si>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1/2"</t>
  </si>
  <si>
    <t>TE DE FERRO GALVANIZADO, DE 2 1/2"</t>
  </si>
  <si>
    <t>TE DE FERRO GALVANIZADO, DE 2"</t>
  </si>
  <si>
    <t>TE DE REDUCAO DE FERRO GALVANIZADO, COM ROSCA BSP, DE 2" X 1 1/2"</t>
  </si>
  <si>
    <t>TE PVC SOLDAVEL, BBB, 90 GRAUS, DN 40 MM, PARA ESGOTO SECUNDARIO PREDIAL</t>
  </si>
  <si>
    <t>TE PVC, SOLDAVEL, COM ROSCA NA BOLSA CENTRAL, 90 GRAUS, 25 MM X 1/2", PARA AGUA FRIA PREDIAL</t>
  </si>
  <si>
    <t>TE PVC, SOLDAVEL, COM ROSCA NA BOLSA CENTRAL, 90 GRAUS, 25 MM X 3/4", PARA AGUA FRIA PREDIAL</t>
  </si>
  <si>
    <t>TE SANITARIO, PVC, DN 50 X 50 MM, SERIE NORMAL, PARA ESGOTO PREDIAL</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</si>
  <si>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</si>
  <si>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</si>
  <si>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</si>
  <si>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</si>
  <si>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</si>
  <si>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</si>
  <si>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</si>
  <si>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2 1/2"</t>
  </si>
  <si>
    <t>TE 45 GRAUS DE FERRO GALVANIZADO, COM ROSCA BSP, DE 2"</t>
  </si>
  <si>
    <t>TE 45 GRAUS DE FERRO GALVANIZADO, COM ROSCA BSP, DE 3"</t>
  </si>
  <si>
    <t>TE, PVC, SERIE R, 100 X 100 MM, PARA ESGOTO PREDIAL</t>
  </si>
  <si>
    <t>TE, PVC, SERIE R, 150 X 150 MM, PARA ESGOTO PREDIAL</t>
  </si>
  <si>
    <t>TE, PVC, SERIE R, 75 X 75 MM, PARA ESGOTO PREDIAL</t>
  </si>
  <si>
    <t>TELA DE ACO SOLDADA GALVANIZADA/ZINCADA PARA ALVENARIA, FIO D = *1,20 A 1,70* MM, MALHA 15 X 15 MM, (C X L) *50 X 7,5* CM</t>
  </si>
  <si>
    <t>TELA DE ACO SOLDADA GALVANIZADA/ZINCADA PARA ALVENARIA, FIO D = *1,24 MM, MALHA 25 X 25 MM</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</si>
  <si>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</si>
  <si>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</si>
  <si>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</si>
  <si>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</si>
  <si>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</si>
  <si>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</si>
  <si>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</si>
  <si>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</si>
  <si>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</si>
  <si>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</si>
  <si>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</si>
  <si>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</si>
  <si>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</si>
  <si>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</si>
  <si>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</si>
  <si>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TINTA ACRILICA A BASE DE SOLVENTE, PARA SINALIZACAO HORIZONTAL VIARIA (NBR 11862)</t>
  </si>
  <si>
    <t>TINTA EPOXI BASE AGUA PREMIUM, BRANCA</t>
  </si>
  <si>
    <t>TINTA LATEX ACRILICA PREMIUM, COR BRANCO FOSCO</t>
  </si>
  <si>
    <t>TOMADA RJ45, 8 FIOS, CAT 5E (APENAS MODULO)</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</si>
  <si>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</si>
  <si>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</si>
  <si>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</si>
  <si>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</si>
  <si>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</si>
  <si>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METALICA CROMADA DE MESA, PARA LAVATORIO, TEMPORIZADA PRESSAO FECHAMENTO AUTOMATICO, BICA BAIXA</t>
  </si>
  <si>
    <t>TORNEIRA METALICA CROMADA PARA JARDIM / TANQUE, COM BICO PLASTICO, CANO LONGO, DE PAREDE, PADRAO POPULAR / USO GERAL , 1/2 " OU 3/4 " (REF 1153 / 1130)</t>
  </si>
  <si>
    <t>TRANSPORTE - HORISTA (COLETADO CAIXA - ENCARGOS COMPLEMENTARES)</t>
  </si>
  <si>
    <t>TRAVA-QUEDAS EM ACO PARA CORDA DE 12 MM, EXTENSOR DE 25 X 300 MM, COM MOSQUETAO TIPO GANCHO TRAVA DUPLA</t>
  </si>
  <si>
    <t>TUBO ACO CARBONO SEM COSTURA 2 1/2", E = 5,16 MM, SCHEDULE 40 (8,62 KG/M)</t>
  </si>
  <si>
    <t>TUBO ACO CARBONO SEM COSTURA 2", E= *3,91* MM, SCHEDULE 40, *5,43* KG/M</t>
  </si>
  <si>
    <t>TUBO COLETOR DE ESGOTO PVC, JEI, DN 300 MM (NBR 7362)</t>
  </si>
  <si>
    <t>TUBO DE COBRE CLASSE "E", DN = 104 MM, PARA INSTALACAO HIDRAULICA PREDIAL</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</si>
  <si>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</si>
  <si>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</si>
  <si>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</si>
  <si>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</si>
  <si>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</si>
  <si>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</si>
  <si>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</si>
  <si>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</si>
  <si>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</si>
  <si>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PVC SERIE NORMAL, DN 50 MM, PARA ESGOTO PREDIAL (NBR 5688)</t>
  </si>
  <si>
    <t>TUBO PVC SERIE NORMAL, DN 75 MM, PARA ESGOTO PREDIAL (NBR 5688)</t>
  </si>
  <si>
    <t>TUBO PVC, ROSCAVEL, 1", AGUA FRIA PREDIAL</t>
  </si>
  <si>
    <t>TUBO PVC, SERIE R, DN 100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</si>
  <si>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</si>
  <si>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</si>
  <si>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</si>
  <si>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DE 110 MM, AGUA FRIA (NBR-5648)</t>
  </si>
  <si>
    <t>TUBO PVC, SOLDAVEL, DE 20 MM, AGUA FRIA (NBR-5648)</t>
  </si>
  <si>
    <t>TUBO PVC, SOLDAVEL, DE 25 MM, AGUA FRIA (NBR-5648)</t>
  </si>
  <si>
    <t>TUBO PVC, SOLDAVEL, DE 32 MM, AGUA FRIA (NBR-5648)</t>
  </si>
  <si>
    <t>TUBO PVC, SOLDAVEL, DE 40 MM, AGUA FRIA (NBR-5648)</t>
  </si>
  <si>
    <t>TUBO PVC, SOLDAVEL, DE 50 MM, AGUA FRIA (NBR-5648)</t>
  </si>
  <si>
    <t>TUBO PVC, SOLDAVEL, DE 60 MM, AGUA FRIA (NBR-5648)</t>
  </si>
  <si>
    <t>TUBO PVC, SOLDAVEL, DE 75 MM, AGUA FRIA (NBR-5648)</t>
  </si>
  <si>
    <t>TUBO PVC, SOLDAVEL, DE 85 MM, AGUA FRIA (NBR-5648)</t>
  </si>
  <si>
    <t>UNIAO DE FERRO GALVANIZADO, COM ASSENTO CONICO DE BRONZE, DE 1 1/4"</t>
  </si>
  <si>
    <t>UNIAO DE FERRO GALVANIZADO, COM ROSCA BSP, COM ASSENTO PLANO, DE 1 1/2"</t>
  </si>
  <si>
    <t>UNIAO DE FERRO GALVANIZADO, COM ROSCA BSP, COM ASSENTO PLANO, DE 2 1/2"</t>
  </si>
  <si>
    <t>UNIAO DE FERRO GALVANIZADO, COM ROSCA BSP, COM ASSENTO PLANO, DE 2"</t>
  </si>
  <si>
    <t>UNIAO DE FERRO GALVANIZADO, COM ROSCA BSP, COM ASSENTO PLANO, DE 3"</t>
  </si>
  <si>
    <t>UNIAO DE FERRO GALVANIZADO, COM ROSCA BSP, COM ASSENTO PLANO, DE 4"</t>
  </si>
  <si>
    <t>UNIAO, CPVC, SOLDAVEL, 22 MM, PARA AGUA QUENTE PREDIAL</t>
  </si>
  <si>
    <t>UNIAO, CPVC, SOLDAVEL, 28 MM, PARA AGUA QUENTE PREDIAL</t>
  </si>
  <si>
    <t>VALVULA DE DESCARGA EM METAL CROMADO PARA MICTORIO COM ACIONAMENTO POR PRESSAO E FECHAMENTO AUTOMATICO</t>
  </si>
  <si>
    <t>VALVULA DE ESCOAMENTO PARA TANQUE, EM METAL CROMADO, 1.1/2 ", SEM LADRAO, COM TAMPAO PLASTICO</t>
  </si>
  <si>
    <t>VALVULA DE ESFERA BRUTA EM BRONZE, BITOLA 1 " (REF 1552-B)</t>
  </si>
  <si>
    <t>VALVULA DE ESFERA BRUTA EM BRONZE, BITOLA 2 " (REF 1552-B)</t>
  </si>
  <si>
    <t>VALVULA DE ESFERA BRUTA EM BRONZE, BITOLA 3/4 " (REF 1552-B)</t>
  </si>
  <si>
    <t>VALVULA DE RETENCAO DE BRONZE, PE COM CRIVOS, EXTREMIDADE COM ROSCA, DE 1", PARA FUNDO DE POCO</t>
  </si>
  <si>
    <t>VALVULA DE RETENCAO DE BRONZE, PE COM CRIVOS, EXTREMIDADE COM ROSCA, DE 2", PARA FUNDO DE POCO</t>
  </si>
  <si>
    <t>VALVULA DE RETENCAO HORIZONTAL, DE BRONZE (PN-25), 2", 400 PSI, TAMPA DE PORCA DE UNIAO, EXTREMIDADES COM ROSCA</t>
  </si>
  <si>
    <t>VALVULA DE RETENCAO HORIZONTAL, DE BRONZE (PN-25), 3/4", 400 PSI, TAMPA DE PORCA DE UNIAO, EXTREMIDADES COM ROSCA</t>
  </si>
  <si>
    <t>VALVULA DE RETENCAO VERTICAL, DE BRONZE (PN-16), 2 1/2", 200 PSI, EXTREMIDADES COM ROSCA</t>
  </si>
  <si>
    <t>VALVULA DE RETENCAO VERTICAL, DE BRONZE (PN-16), 2",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</si>
  <si>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</si>
  <si>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</si>
  <si>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</si>
  <si>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</si>
  <si>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VIDRO LISO INCOLOR 4MM - SEM COLOCACAO</t>
  </si>
  <si>
    <t>VIDRO TEMPERADO INCOLOR E = 6 MM, SEM COLOCACAO</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</si>
  <si>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</si>
  <si>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</si>
  <si>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</si>
  <si>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</si>
  <si>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</si>
  <si>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Quadro elétrico tipo TTA completo para suprimento do sistema de climatização do Bloco 17 por splits, contemplando disjuntores, DPS, DR, etc., conforme especificação</t>
  </si>
  <si>
    <t>REJUNTE ACRÍLICO, QUALQUER COR</t>
  </si>
  <si>
    <t>Instalação de splits no Bloco 17</t>
  </si>
  <si>
    <t>Data: março de 2023</t>
  </si>
  <si>
    <t>100M</t>
  </si>
  <si>
    <t>SARRAFO NAO APARELHADO *2,5 X 10* CM, EM MACARANDUBA, ANGELIM OU EQUIVALENTE DA REGIAO - BRUTA</t>
  </si>
  <si>
    <t>TABUA NAO APARELHADA *2,5 X 20* CM, EM MACARANDUBA, ANGELIM OU EQUIVALENTE DA REGIAO - BRUTA</t>
  </si>
  <si>
    <t>FURO PARA TORNEIRA OU OUTROS ACESSORIOS EM BANCADA DE MARMORE/ GRANITO OU OUTRO TIPO DE PEDRA NATURAL</t>
  </si>
  <si>
    <t>RALO SECO CONICO, PVC, 100 X 40 MM, COM GRELHA REDONDA BRANCA</t>
  </si>
  <si>
    <t>TOMADA 2P+T 10A, 250V (APENAS MODULO)</t>
  </si>
  <si>
    <t>TOMADA 2P+T 20A, 250V (APENAS MODULO)</t>
  </si>
  <si>
    <t>BATENTE / PORTAL / ADUELA / MARCO EM MADEIRA MACICA COM REBAIXO, E = *3* CM, L = *14* CM, PARA PORTAS DE GIRO DE *60 CM A 120* CM X *210* CM, PINUS / EUCALIPTO / VIROLA OU EQUIVALENTE DA REGIAO (NAO INCLUI ALIZARES)</t>
  </si>
  <si>
    <t>GUARNICAO / ALIZAR / VISTA LISA EM MADEIRA MACICA, PARA PORTA , E = *1* CM, L = *5* CM, CEDRINHO / ANGELIM COMERCIAL / TAURI/ CURUPIXA / PEROBA / CUMARU OU EQUIVALENTE DA REGIAO</t>
  </si>
  <si>
    <t>DOBRADICA EM ACO/FERRO, 3 1/2" X 3", E= 1,9 A 2 MM, COM ANEL, CROMADO OU ZINCADO, TAMPA BOLA, COM PARAFUSOS</t>
  </si>
  <si>
    <t>310ML</t>
  </si>
  <si>
    <t>PAR</t>
  </si>
  <si>
    <t>ELETRODUTO/DUTO PEAD FLEXIVEL PAREDE SIMPLES, CORRUGACAO HELICOIDAL, COR PRETA, SEM ROSCA, DE 3", PARA CABEAMENTO SUBTERRANEO (NBR 15715)</t>
  </si>
  <si>
    <t>PISO EM GRANILITE, MARMORITE OU GRANITINA, AGREGADO COR PRETO, CINZA, PALHA OU BRANCO, E= *8* MM (INCLUSO EXECUCAO)</t>
  </si>
  <si>
    <t>MICROESFERAS DE VIDRO PARA SINALIZACAO HORIZONTAL VIARIA, TIPO II-A (DROP-ON) - NBR 16184</t>
  </si>
  <si>
    <t>TELA DE ACO SOLDADA NERVURADA, CA-60, Q-92, (1,48 KG/M2), DIAMETRO DO FIO = 4,2 MM, LARGURA = 2,45 X 60 M DE COMPRIMENTO, ESPACAMENTO DA MALHA = 15 X 15 CM</t>
  </si>
  <si>
    <t>GRANITO PARA BANCADA, POLIDO, TIPO ANDORINHA/ QUARTZ/ CASTELO/ CORUMBA OU OUTROS EQUIVALENTES DA REGIAO, E= *2,5* CM</t>
  </si>
  <si>
    <t>ELETRODUTO/DUTO PEAD FLEXIVEL PAREDE SIMPLES, CORRUGACAO HELICOIDAL, COR PRETA, SEM ROSCA, DE 2", PARA CABEAMENTO SUBTERRANEO (NBR 15715)</t>
  </si>
  <si>
    <t>POSTE CONICO CONTINUO EM ACO GALVANIZADO, CURVO, BRACO SIMPLES, ENGASTADO, H = 9 M, DIAMETRO INFERIOR = *135* MM</t>
  </si>
  <si>
    <t>CONDULETE DE ALUMINIO TIPO E, PARA ELETRODUTO ROSCAVEL DE 1 1/4", COM TAMPA CEGA</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</si>
  <si>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</si>
  <si>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</si>
  <si>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</si>
  <si>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CAIXA DE INSPECAO PARA ATERRAMENTO E PARA RAIOS, EM POLIPROPILENO, DIAMETRO = 300 MM X ALTURA = 400 MM</t>
  </si>
  <si>
    <t>TELA DE ACO SOLDADA GALVANIZADA/ZINCADA PARA ALVENARIA, FIO D = *1,20 A 1,70* MM, MALHA 15 X 15 MM, (C X L) *50 X 12* CM</t>
  </si>
  <si>
    <t>MEIO-FIO OU GUIA DE CONCRETO PRE-MOLDADO, TIPO CHAPEU PARA BOCA DE LOBO, DIMENSOES *1,20* X 0,15 X 0,30 M</t>
  </si>
  <si>
    <t>SARRAFO NAO APARELHADO *2,5 X 7* CM, EM MACARANDUBA, ANGELIM OU EQUIVALENTE DA REGIAO - BRUTA</t>
  </si>
  <si>
    <t>CAIXA DE GORDURA EM PVC, DIAMETRO MINIMO 300 MM, DIAMETRO DE SAIDA 100 MM, CAPACIDADE APROXIMADA 18 LITROS, COM TAMPA E CESTO</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</si>
  <si>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</si>
  <si>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</si>
  <si>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</si>
  <si>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</si>
  <si>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</si>
  <si>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</si>
  <si>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</si>
  <si>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PVC SERIE NORMAL, DN 100 MM, PARA ESGOTO PREDIAL (NBR 5688)</t>
  </si>
  <si>
    <t>TUBO PVC SERIE NORMAL, DN 150 MM, PARA ESGOTO PREDIAL (NBR 5688)</t>
  </si>
  <si>
    <t>TUBO PVC SERIE NORMAL, DN 40 MM, PARA ESGOTO PREDIAL (NBR 5688)</t>
  </si>
  <si>
    <t>TUBO PVC, ROSCAVEL, 1 1/2", AGUA FRIA PREDIAL</t>
  </si>
  <si>
    <t>TUBO PVC, ROSCAVEL, 2 1/2", AGUA FRIA PREDIAL</t>
  </si>
  <si>
    <t>TUBO PVC, ROSCAVEL, 2", PARA AGUA FRIA PREDIAL</t>
  </si>
  <si>
    <t>TUBO PVC ROSCAVEL, 3/4", AGUA FRIA PREDIAL</t>
  </si>
  <si>
    <t>LUVA PVC, ROSCAVEL, 1 1/2", AGUA FRIA PREDIAL</t>
  </si>
  <si>
    <t>UNIAO PVC, SOLDAVEL, 60 MM, PARA AGUA FRIA PREDIAL</t>
  </si>
  <si>
    <t>UNIAO PVC, SOLDAVEL, 85 MM, PARA AGUA FRIA PREDIAL</t>
  </si>
  <si>
    <t>TUBO ACO GALVANIZADO COM COSTURA, CLASSE LEVE, DN 40 MM ( 1 1/2"), E = 3,00 MM, *3,48* KG/M (NBR 5580)</t>
  </si>
  <si>
    <t>PASTILHA CERAMICA/PORCELANA, REVEST INT/EXT E PISCINA, CORES BRANCA OU FRIAS, SOLIDAS, SEM MESCLAGEM/MISTURA, ACABAMENTO LISO *2,5 X 2,5* CM</t>
  </si>
  <si>
    <t>UNIAO PVC, SOLDAVEL, 25 MM, PARA AGUA FRIA PREDIAL</t>
  </si>
  <si>
    <t>UNIAO PVC, SOLDAVEL, 32 MM, PARA AGUA FRIA PREDIAL</t>
  </si>
  <si>
    <t>UNIAO PVC, SOLDAVEL, 40 MM, PARA AGUA FRIA PREDIAL</t>
  </si>
  <si>
    <t>UNIAO PVC, SOLDAVEL, 50 MM, PARA AGUA FRIA PREDIAL</t>
  </si>
  <si>
    <t>UNIAO PVC, SOLDAVEL, 75 MM, PARA AGUA FRIA PREDIAL</t>
  </si>
  <si>
    <t>ADAPTADOR PVC SOLDAVEL, COM FLANGES LIVRES, 75 MM X 2 1/2", PARA CAIXA D' AGUA</t>
  </si>
  <si>
    <t>CAP, PVC PBA, JE, DN 75 / DE 85 MM, PARA REDE DE AGUA (NBR 10351)</t>
  </si>
  <si>
    <t>CAP, PVC PBA, JE, DN 100 / DE 110 MM, PARA REDE DE AGUA (NBR 10351)</t>
  </si>
  <si>
    <t>UNIAO PVC, SOLDAVEL, 110 MM, PARA AGUA FRIA PREDIAL</t>
  </si>
  <si>
    <t>TE DE INSPECAO, PVC, 100 X 75 MM, SERIE NORMAL PARA ESGOTO PREDIAL</t>
  </si>
  <si>
    <t>BATENTE / PORTAL / ADUELA / MARCO EM MADEIRA MACICA COM REBAIXO, E = *3* CM, L = *14* CM, PARA PORTAS DE GIRO DE *60 CM A 120* CM X *210* CM, CEDRINHO / ANGELIM COMERCIAL / TAURI / CURUPIXA / PEROBA / CUMARU OU EQUIVALENTE DA REGIAO (NAO INCLUI ALIZARES)</t>
  </si>
  <si>
    <t>JANELA MAXIM AR, EM ALUMINIO PERFIL 25, 60 X 80 CM (A X L), ACABAMENTO BRANCO OU BRILHANTE, BATENTE DE 4 A 5 CM, COM VIDRO 4 MM, SEM GUARNICAO/ALIZAR</t>
  </si>
  <si>
    <t>un x mês</t>
  </si>
  <si>
    <t>ALTERAÇÃO DE COEFICIENTE?</t>
  </si>
  <si>
    <t>DESCONTO SOBRE O CUSTO UNITÁRIO</t>
  </si>
  <si>
    <t>DESCONTO SOBRE O CUSTO TOTAL</t>
  </si>
  <si>
    <t>DESCONTO SOBRE O CUSTO TOTAL DO SERVIÇO</t>
  </si>
  <si>
    <t>DIFERENÇA?</t>
  </si>
  <si>
    <t>PREÇO UNITÁRIO</t>
  </si>
  <si>
    <r>
      <t>PREÇO TOTAL</t>
    </r>
    <r>
      <rPr>
        <b/>
        <sz val="7.5"/>
        <rFont val="Arial"/>
        <family val="2"/>
      </rPr>
      <t xml:space="preserve"> (CÁLCULO COM FÓRMULA)</t>
    </r>
  </si>
  <si>
    <t>PREÇO TOTAL (EXTRAÍDO DA PLANILHA)</t>
  </si>
  <si>
    <t>DESCONTO</t>
  </si>
  <si>
    <t>PREÇO TOTAL (CÁLCULO COM FÓRMULA)</t>
  </si>
  <si>
    <t>DESCONTO GLOBAL OFERTADO PELA LICITANTE</t>
  </si>
  <si>
    <t>Alteração de percentual?</t>
  </si>
  <si>
    <t>Altri Construtora LTDA</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</si>
</sst>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R$&quot;\ * #,##0.00_-;\-&quot;R$&quot;\ * #,##0.00_-;_-&quot;R$&quot;\ * &quot;-&quot;??_-;_-@_-"/>
    <numFmt numFmtId="43" formatCode="_-* #,##0.00_-;\-* #,##0.00_-;_-* &quot;-&quot;??_-;_-@_-"/>
    <numFmt numFmtId="164" formatCode="_(* #,##0.00_);_(* \(#,##0.00\);_(* \-??_);_(@_)"/>
    <numFmt numFmtId="165" formatCode="_(&quot;R$&quot;* #,##0.00_);_(&quot;R$&quot;* \(#,##0.00\);_(&quot;R$&quot;* &quot;-&quot;??_);_(@_)"/>
    <numFmt numFmtId="166" formatCode="0.0000"/>
    <numFmt numFmtId="167" formatCode="#,##0.0000"/>
    <numFmt numFmtId="168" formatCode="_(* #,##0.00_);_(* \(#,##0.00\);_(* &quot;-&quot;??_);_(@_)"/>
    <numFmt numFmtId="169" formatCode="#,##0.0000000"/>
    <numFmt numFmtId="170" formatCode="&quot;Data-base SINAPI&quot;\ mm/yyyy"/>
    <numFmt numFmtId="171" formatCode="#,##0.00;;"/>
    <numFmt numFmtId="172" formatCode="#,##0;;"/>
    <numFmt numFmtId="173" formatCode="&quot;R$&quot;\ #,##0.00;[Red]&quot;R$&quot;\ #,##0.00"/>
  </numFmts>
  <fonts count="36"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sz val="11"/>
      <color theme="0"/>
      <name val="Arial"/>
      <family val="2"/>
    </font>
    <font>
      <b/>
      <u/>
      <sz val="11"/>
      <color theme="1"/>
      <name val="Arial"/>
      <family val="2"/>
    </font>
    <font>
      <sz val="10"/>
      <color theme="1"/>
      <name val="Arial"/>
      <family val="2"/>
    </font>
    <font>
      <sz val="11"/>
      <color theme="0"/>
      <name val="Calibri"/>
      <family val="2"/>
      <scheme val="minor"/>
    </font>
    <font>
      <b/>
      <u/>
      <sz val="11"/>
      <color theme="10"/>
      <name val="Calibri"/>
      <family val="2"/>
      <scheme val="minor"/>
    </font>
    <font>
      <sz val="8"/>
      <name val="Calibri"/>
      <family val="2"/>
      <scheme val="minor"/>
    </font>
    <font>
      <b/>
      <sz val="7.5"/>
      <name val="Arial"/>
      <family val="2"/>
    </font>
    <font>
      <sz val="9"/>
      <color indexed="81"/>
      <name val="Segoe UI"/>
      <family val="2"/>
    </font>
  </fonts>
  <fills count="8">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theme="9" tint="0.39997558519241921"/>
        <bgColor indexed="64"/>
      </patternFill>
    </fill>
  </fills>
  <borders count="3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4" fontId="2" fillId="0" borderId="0" applyFont="0" applyFill="0" applyAlignment="0" applyProtection="0"/>
    <xf numFmtId="165" fontId="2" fillId="0" borderId="0" applyFont="0" applyFill="0" applyBorder="0" applyAlignment="0" applyProtection="0"/>
    <xf numFmtId="0" fontId="9" fillId="0" borderId="0" applyNumberForma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279">
    <xf numFmtId="0" fontId="0" fillId="0" borderId="0" xfId="0"/>
    <xf numFmtId="0" fontId="2" fillId="0" borderId="0" xfId="0" applyFont="1"/>
    <xf numFmtId="0" fontId="3" fillId="0" borderId="0" xfId="0" applyFont="1" applyAlignment="1">
      <alignment horizontal="left" vertical="center"/>
    </xf>
    <xf numFmtId="0" fontId="2" fillId="0" borderId="0" xfId="0" applyFont="1" applyAlignment="1" applyProtection="1">
      <alignment horizontal="center" vertical="center"/>
      <protection locked="0"/>
    </xf>
    <xf numFmtId="0" fontId="0" fillId="0" borderId="0" xfId="0" applyAlignment="1">
      <alignment wrapText="1"/>
    </xf>
    <xf numFmtId="0" fontId="10" fillId="4" borderId="0" xfId="0" applyFont="1" applyFill="1" applyAlignment="1">
      <alignment horizontal="centerContinuous" vertical="distributed"/>
    </xf>
    <xf numFmtId="166" fontId="10" fillId="4"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4" borderId="0" xfId="0" applyFont="1" applyFill="1" applyAlignment="1">
      <alignment horizontal="centerContinuous" vertical="center" wrapText="1"/>
    </xf>
    <xf numFmtId="0" fontId="14" fillId="4" borderId="0" xfId="0" applyFont="1" applyFill="1" applyAlignment="1">
      <alignment horizontal="centerContinuous" vertical="center" wrapText="1"/>
    </xf>
    <xf numFmtId="166" fontId="14" fillId="4"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166" fontId="15" fillId="0" borderId="0" xfId="0" applyNumberFormat="1" applyFont="1" applyAlignment="1">
      <alignment horizontal="centerContinuous" vertical="center" wrapText="1"/>
    </xf>
    <xf numFmtId="0" fontId="20" fillId="0" borderId="0" xfId="0" applyFont="1" applyAlignment="1">
      <alignment vertical="center" wrapText="1"/>
    </xf>
    <xf numFmtId="166"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166" fontId="17" fillId="4" borderId="10" xfId="0" applyNumberFormat="1"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0" borderId="12" xfId="0" applyFont="1" applyBorder="1" applyAlignment="1">
      <alignment horizontal="center" vertical="center" wrapText="1"/>
    </xf>
    <xf numFmtId="2" fontId="22" fillId="4" borderId="10" xfId="0" applyNumberFormat="1" applyFont="1" applyFill="1" applyBorder="1" applyAlignment="1">
      <alignment horizontal="center" vertical="center" wrapText="1"/>
    </xf>
    <xf numFmtId="0" fontId="3" fillId="0" borderId="8" xfId="3" applyFont="1" applyBorder="1" applyAlignment="1">
      <alignment horizontal="center" vertical="center" wrapText="1"/>
    </xf>
    <xf numFmtId="166" fontId="3" fillId="0" borderId="8" xfId="3" applyNumberFormat="1" applyFont="1" applyBorder="1" applyAlignment="1">
      <alignment vertical="center" wrapText="1"/>
    </xf>
    <xf numFmtId="0" fontId="3" fillId="0" borderId="8" xfId="3" applyFont="1" applyBorder="1" applyAlignment="1">
      <alignment vertical="center" wrapText="1"/>
    </xf>
    <xf numFmtId="0" fontId="3" fillId="0" borderId="5" xfId="3" applyFont="1" applyBorder="1" applyAlignment="1">
      <alignment vertical="center" wrapText="1"/>
    </xf>
    <xf numFmtId="0" fontId="3" fillId="0" borderId="0" xfId="3" applyFont="1" applyAlignment="1">
      <alignment vertical="center" wrapText="1"/>
    </xf>
    <xf numFmtId="165" fontId="2" fillId="0" borderId="0" xfId="5" applyFont="1" applyFill="1" applyBorder="1" applyAlignment="1" applyProtection="1">
      <alignment horizontal="center" vertical="center" wrapText="1"/>
    </xf>
    <xf numFmtId="0" fontId="2" fillId="0" borderId="0" xfId="3" applyAlignment="1">
      <alignment vertical="center" wrapText="1"/>
    </xf>
    <xf numFmtId="166" fontId="2" fillId="0" borderId="0" xfId="3" applyNumberFormat="1" applyAlignment="1">
      <alignment vertical="center" wrapText="1"/>
    </xf>
    <xf numFmtId="165" fontId="2" fillId="0" borderId="0" xfId="5" applyFont="1" applyBorder="1" applyAlignment="1" applyProtection="1">
      <alignment horizontal="center" vertical="center" wrapText="1"/>
    </xf>
    <xf numFmtId="165" fontId="2" fillId="0" borderId="16" xfId="5" applyFont="1" applyFill="1" applyBorder="1" applyAlignment="1" applyProtection="1">
      <alignment horizontal="center" vertical="center" wrapText="1"/>
    </xf>
    <xf numFmtId="0" fontId="2" fillId="0" borderId="0" xfId="0" applyFont="1" applyAlignment="1">
      <alignment horizontal="center" vertical="center" wrapText="1"/>
    </xf>
    <xf numFmtId="166"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5" fontId="7" fillId="5" borderId="16" xfId="5" applyFont="1" applyFill="1" applyBorder="1" applyAlignment="1" applyProtection="1">
      <alignment horizontal="center" vertical="center" wrapText="1"/>
    </xf>
    <xf numFmtId="165" fontId="7" fillId="0" borderId="0" xfId="5" applyFont="1" applyFill="1" applyBorder="1" applyAlignment="1" applyProtection="1">
      <alignment horizontal="center" vertical="center" wrapText="1"/>
    </xf>
    <xf numFmtId="0" fontId="3" fillId="0" borderId="4" xfId="3" applyFont="1" applyBorder="1" applyAlignment="1">
      <alignment horizontal="center" vertical="center" wrapText="1"/>
    </xf>
    <xf numFmtId="165" fontId="3" fillId="0" borderId="8" xfId="3" applyNumberFormat="1" applyFont="1" applyBorder="1" applyAlignment="1">
      <alignment vertical="center" wrapText="1"/>
    </xf>
    <xf numFmtId="165" fontId="2" fillId="0" borderId="0" xfId="5" applyFont="1" applyFill="1" applyBorder="1" applyAlignment="1" applyProtection="1">
      <alignment vertical="center" wrapText="1"/>
    </xf>
    <xf numFmtId="165" fontId="7" fillId="0" borderId="16" xfId="5" applyFont="1" applyFill="1" applyBorder="1" applyAlignment="1" applyProtection="1">
      <alignment horizontal="center" vertical="center" wrapText="1"/>
    </xf>
    <xf numFmtId="165" fontId="3" fillId="0" borderId="16" xfId="5" applyFont="1" applyFill="1" applyBorder="1" applyAlignment="1" applyProtection="1">
      <alignment horizontal="center" vertical="center" wrapText="1"/>
    </xf>
    <xf numFmtId="165" fontId="3" fillId="0" borderId="0" xfId="5" applyFont="1" applyFill="1" applyBorder="1" applyAlignment="1" applyProtection="1">
      <alignment horizontal="center" vertical="center" wrapText="1"/>
    </xf>
    <xf numFmtId="168" fontId="2" fillId="0" borderId="0" xfId="0" applyNumberFormat="1" applyFont="1" applyAlignment="1">
      <alignment horizontal="center" vertical="center" wrapText="1"/>
    </xf>
    <xf numFmtId="0" fontId="3" fillId="0" borderId="0" xfId="0" applyFont="1" applyAlignment="1">
      <alignment horizontal="center" vertical="center" wrapText="1"/>
    </xf>
    <xf numFmtId="165" fontId="3" fillId="0" borderId="8" xfId="3"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6" fontId="3" fillId="0" borderId="0" xfId="0" applyNumberFormat="1" applyFont="1" applyAlignment="1">
      <alignment horizontal="left" vertical="center" wrapText="1"/>
    </xf>
    <xf numFmtId="165" fontId="2" fillId="0" borderId="0" xfId="5" applyFont="1" applyBorder="1" applyAlignment="1" applyProtection="1">
      <alignment horizontal="center" vertical="center"/>
    </xf>
    <xf numFmtId="0" fontId="2" fillId="0" borderId="3" xfId="0" applyFont="1" applyBorder="1" applyAlignment="1">
      <alignment horizontal="center" vertical="center" wrapText="1"/>
    </xf>
    <xf numFmtId="165" fontId="5" fillId="0" borderId="16" xfId="5" applyFont="1" applyBorder="1" applyAlignment="1" applyProtection="1">
      <alignment horizontal="center" vertical="center" wrapText="1"/>
    </xf>
    <xf numFmtId="165" fontId="5" fillId="0" borderId="0" xfId="5" applyFont="1" applyFill="1" applyBorder="1" applyAlignment="1" applyProtection="1">
      <alignment horizontal="center" vertical="center" wrapText="1"/>
    </xf>
    <xf numFmtId="0" fontId="3" fillId="0" borderId="0" xfId="0" applyFont="1" applyAlignment="1">
      <alignment vertical="center" wrapText="1"/>
    </xf>
    <xf numFmtId="166" fontId="3" fillId="0" borderId="0" xfId="0" applyNumberFormat="1" applyFont="1" applyAlignment="1">
      <alignment vertical="center" wrapText="1"/>
    </xf>
    <xf numFmtId="165" fontId="3" fillId="0" borderId="0" xfId="0" applyNumberFormat="1" applyFont="1" applyAlignment="1">
      <alignment vertical="center" wrapText="1"/>
    </xf>
    <xf numFmtId="0" fontId="3" fillId="0" borderId="16" xfId="0" applyFont="1" applyBorder="1" applyAlignment="1">
      <alignment vertical="center" wrapText="1"/>
    </xf>
    <xf numFmtId="0" fontId="2" fillId="0" borderId="16" xfId="0" applyFont="1" applyBorder="1"/>
    <xf numFmtId="4" fontId="2" fillId="0" borderId="16"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6" fontId="2" fillId="0" borderId="3" xfId="0" applyNumberFormat="1" applyFont="1" applyBorder="1" applyAlignment="1">
      <alignment horizontal="center" vertical="center" wrapText="1"/>
    </xf>
    <xf numFmtId="165" fontId="2" fillId="0" borderId="3" xfId="5" applyFont="1" applyFill="1" applyBorder="1" applyAlignment="1" applyProtection="1">
      <alignment horizontal="center" vertical="center" wrapText="1"/>
    </xf>
    <xf numFmtId="165" fontId="2" fillId="0" borderId="3" xfId="5" applyFont="1" applyBorder="1" applyAlignment="1" applyProtection="1">
      <alignment horizontal="center" vertical="center" wrapText="1"/>
    </xf>
    <xf numFmtId="165" fontId="2" fillId="0" borderId="18" xfId="5" applyFont="1" applyFill="1" applyBorder="1" applyAlignment="1" applyProtection="1">
      <alignment horizontal="center" vertical="center" wrapText="1"/>
    </xf>
    <xf numFmtId="166" fontId="3" fillId="0" borderId="3" xfId="3" applyNumberFormat="1" applyFont="1" applyBorder="1" applyAlignment="1">
      <alignment vertical="center" wrapText="1"/>
    </xf>
    <xf numFmtId="0" fontId="3" fillId="0" borderId="3" xfId="3" applyFont="1" applyBorder="1" applyAlignment="1">
      <alignment vertical="center" wrapText="1"/>
    </xf>
    <xf numFmtId="0" fontId="3" fillId="0" borderId="18" xfId="3" applyFont="1" applyBorder="1" applyAlignment="1">
      <alignment vertical="center" wrapText="1"/>
    </xf>
    <xf numFmtId="165" fontId="2" fillId="0" borderId="16" xfId="5" applyFont="1" applyBorder="1" applyAlignment="1" applyProtection="1">
      <alignment horizontal="center" vertical="center"/>
    </xf>
    <xf numFmtId="165" fontId="2" fillId="0" borderId="0" xfId="5" applyFont="1" applyFill="1" applyBorder="1" applyAlignment="1" applyProtection="1">
      <alignment horizontal="center" vertical="center"/>
    </xf>
    <xf numFmtId="165" fontId="2" fillId="0" borderId="0" xfId="0" applyNumberFormat="1" applyFont="1" applyAlignment="1">
      <alignment horizontal="center" vertical="center" wrapText="1"/>
    </xf>
    <xf numFmtId="165" fontId="2" fillId="0" borderId="3" xfId="5" applyFont="1" applyBorder="1" applyAlignment="1" applyProtection="1">
      <alignment horizontal="center" vertical="center"/>
    </xf>
    <xf numFmtId="165" fontId="2" fillId="0" borderId="18" xfId="5" applyFont="1" applyBorder="1" applyAlignment="1" applyProtection="1">
      <alignment horizontal="center" vertical="center"/>
    </xf>
    <xf numFmtId="0" fontId="3" fillId="0" borderId="8" xfId="3" applyFont="1" applyBorder="1" applyAlignment="1">
      <alignment horizontal="center" vertical="center"/>
    </xf>
    <xf numFmtId="0" fontId="2" fillId="0" borderId="0" xfId="3" applyAlignment="1">
      <alignment vertical="center"/>
    </xf>
    <xf numFmtId="0" fontId="2" fillId="0" borderId="3" xfId="0" applyFont="1" applyBorder="1" applyAlignment="1">
      <alignment horizontal="center" vertical="center"/>
    </xf>
    <xf numFmtId="0" fontId="10" fillId="4" borderId="0" xfId="0" applyFont="1" applyFill="1" applyAlignment="1">
      <alignment horizontal="centerContinuous" vertical="center"/>
    </xf>
    <xf numFmtId="0" fontId="10" fillId="0" borderId="0" xfId="0" applyFont="1" applyAlignment="1">
      <alignment horizontal="centerContinuous" vertical="center"/>
    </xf>
    <xf numFmtId="0" fontId="8" fillId="0" borderId="0" xfId="0" applyFont="1" applyAlignment="1">
      <alignment vertical="center"/>
    </xf>
    <xf numFmtId="167" fontId="8" fillId="0" borderId="0" xfId="0" applyNumberFormat="1" applyFont="1" applyAlignment="1">
      <alignment vertical="center" wrapText="1"/>
    </xf>
    <xf numFmtId="0" fontId="24" fillId="0" borderId="3" xfId="0" applyFont="1" applyBorder="1" applyAlignment="1">
      <alignment vertical="center" wrapText="1"/>
    </xf>
    <xf numFmtId="0" fontId="25" fillId="0" borderId="3" xfId="0" applyFont="1" applyBorder="1" applyAlignment="1">
      <alignment vertical="center" wrapText="1"/>
    </xf>
    <xf numFmtId="0" fontId="25" fillId="0" borderId="0" xfId="0" applyFont="1" applyAlignment="1">
      <alignment vertical="center" wrapText="1"/>
    </xf>
    <xf numFmtId="167" fontId="24" fillId="0" borderId="3" xfId="0" applyNumberFormat="1" applyFont="1" applyBorder="1" applyAlignment="1">
      <alignment vertical="center" wrapText="1"/>
    </xf>
    <xf numFmtId="167" fontId="22" fillId="4" borderId="10" xfId="0" applyNumberFormat="1" applyFont="1" applyFill="1" applyBorder="1" applyAlignment="1">
      <alignment horizontal="center" vertical="center" wrapText="1"/>
    </xf>
    <xf numFmtId="0" fontId="3" fillId="0" borderId="3" xfId="3" applyFont="1" applyBorder="1" applyAlignment="1">
      <alignment horizontal="center" vertical="center" wrapText="1"/>
    </xf>
    <xf numFmtId="169" fontId="3" fillId="0" borderId="3" xfId="3" applyNumberFormat="1" applyFont="1" applyBorder="1" applyAlignment="1">
      <alignment vertical="center" wrapText="1"/>
    </xf>
    <xf numFmtId="169" fontId="2" fillId="0" borderId="0" xfId="3" applyNumberFormat="1" applyAlignment="1">
      <alignment vertical="center" wrapText="1"/>
    </xf>
    <xf numFmtId="169" fontId="2" fillId="0" borderId="0" xfId="0" applyNumberFormat="1" applyFont="1" applyAlignment="1">
      <alignment horizontal="center" vertical="center" wrapText="1"/>
    </xf>
    <xf numFmtId="169" fontId="3" fillId="0" borderId="8" xfId="3" applyNumberFormat="1" applyFont="1" applyBorder="1" applyAlignment="1">
      <alignment vertical="center" wrapText="1"/>
    </xf>
    <xf numFmtId="165" fontId="0" fillId="0" borderId="0" xfId="0" applyNumberFormat="1"/>
    <xf numFmtId="169" fontId="2" fillId="0" borderId="3" xfId="0" applyNumberFormat="1" applyFont="1" applyBorder="1" applyAlignment="1">
      <alignment horizontal="center" vertical="center" wrapText="1"/>
    </xf>
    <xf numFmtId="165" fontId="0" fillId="0" borderId="0" xfId="0" applyNumberFormat="1" applyAlignment="1">
      <alignment horizontal="center" vertical="center"/>
    </xf>
    <xf numFmtId="165" fontId="2" fillId="0" borderId="0" xfId="5" applyFont="1" applyFill="1" applyBorder="1" applyAlignment="1">
      <alignment vertical="center" wrapText="1"/>
    </xf>
    <xf numFmtId="165" fontId="2" fillId="0" borderId="0" xfId="5" applyFont="1" applyFill="1" applyBorder="1" applyAlignment="1">
      <alignment horizontal="center" vertical="center" wrapText="1"/>
    </xf>
    <xf numFmtId="165" fontId="0" fillId="0" borderId="0" xfId="0" applyNumberFormat="1" applyProtection="1">
      <protection locked="0"/>
    </xf>
    <xf numFmtId="165" fontId="2" fillId="0" borderId="16" xfId="5"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10" fillId="4" borderId="0" xfId="0" applyFont="1" applyFill="1" applyAlignment="1">
      <alignment horizontal="centerContinuous" vertical="center" wrapText="1"/>
    </xf>
    <xf numFmtId="0" fontId="10" fillId="4" borderId="0" xfId="0" applyFont="1" applyFill="1" applyAlignment="1" applyProtection="1">
      <alignment horizontal="centerContinuous" vertical="center"/>
      <protection locked="0"/>
    </xf>
    <xf numFmtId="0" fontId="13" fillId="4" borderId="0" xfId="0" applyFont="1" applyFill="1" applyAlignment="1" applyProtection="1">
      <alignment horizontal="centerContinuous" vertical="center"/>
      <protection locked="0"/>
    </xf>
    <xf numFmtId="0" fontId="26" fillId="6" borderId="0" xfId="0" applyFont="1" applyFill="1" applyAlignment="1" applyProtection="1">
      <alignment horizontal="centerContinuous" vertical="center" wrapText="1"/>
      <protection locked="0"/>
    </xf>
    <xf numFmtId="0" fontId="27" fillId="6" borderId="3" xfId="0" applyFont="1" applyFill="1" applyBorder="1" applyAlignment="1" applyProtection="1">
      <alignment horizontal="center" vertical="center" wrapText="1"/>
      <protection locked="0"/>
    </xf>
    <xf numFmtId="0" fontId="27" fillId="6" borderId="3" xfId="0" applyFont="1" applyFill="1" applyBorder="1" applyAlignment="1" applyProtection="1">
      <alignment vertical="center" wrapText="1"/>
      <protection locked="0"/>
    </xf>
    <xf numFmtId="170" fontId="27" fillId="6" borderId="3" xfId="0" applyNumberFormat="1" applyFont="1" applyFill="1" applyBorder="1" applyAlignment="1" applyProtection="1">
      <alignment horizontal="centerContinuous" vertical="center" wrapText="1"/>
      <protection locked="0"/>
    </xf>
    <xf numFmtId="0" fontId="27" fillId="6" borderId="3" xfId="0" applyFont="1" applyFill="1" applyBorder="1" applyAlignment="1" applyProtection="1">
      <alignment horizontal="centerContinuous" vertical="center" wrapText="1"/>
      <protection locked="0"/>
    </xf>
    <xf numFmtId="168" fontId="0" fillId="6" borderId="0" xfId="0" applyNumberFormat="1" applyFill="1" applyAlignment="1" applyProtection="1">
      <alignment vertical="center" wrapText="1"/>
      <protection locked="0"/>
    </xf>
    <xf numFmtId="0" fontId="27" fillId="6" borderId="0" xfId="0" applyFont="1" applyFill="1" applyAlignment="1" applyProtection="1">
      <alignment horizontal="center" vertical="center" wrapText="1"/>
      <protection locked="0"/>
    </xf>
    <xf numFmtId="3" fontId="2" fillId="0" borderId="6" xfId="4" applyNumberFormat="1" applyFont="1" applyFill="1" applyBorder="1" applyAlignment="1" applyProtection="1">
      <alignment horizontal="center" vertical="center" wrapText="1"/>
      <protection locked="0"/>
    </xf>
    <xf numFmtId="49" fontId="2" fillId="0" borderId="7" xfId="4" applyNumberFormat="1" applyFont="1" applyFill="1" applyBorder="1" applyAlignment="1" applyProtection="1">
      <alignment horizontal="left" vertical="center" wrapText="1"/>
      <protection locked="0"/>
    </xf>
    <xf numFmtId="4" fontId="2" fillId="0" borderId="7" xfId="4" applyNumberFormat="1" applyFont="1" applyFill="1" applyBorder="1" applyAlignment="1" applyProtection="1">
      <alignment horizontal="center" vertical="center" wrapText="1"/>
      <protection locked="0"/>
    </xf>
    <xf numFmtId="0" fontId="2" fillId="0" borderId="0" xfId="0" applyFont="1" applyAlignment="1" applyProtection="1">
      <alignment vertical="center" wrapText="1"/>
      <protection locked="0"/>
    </xf>
    <xf numFmtId="0" fontId="2" fillId="0" borderId="0" xfId="0" applyFont="1" applyAlignment="1" applyProtection="1">
      <alignment horizontal="center" vertical="center" wrapText="1"/>
      <protection locked="0"/>
    </xf>
    <xf numFmtId="0" fontId="0" fillId="0" borderId="0" xfId="0" applyProtection="1">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43" fontId="2" fillId="0" borderId="0" xfId="1" applyFont="1" applyProtection="1">
      <protection locked="0"/>
    </xf>
    <xf numFmtId="43"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43" fontId="2" fillId="0" borderId="0" xfId="1" applyFont="1" applyAlignment="1" applyProtection="1">
      <alignment horizontal="centerContinuous" wrapText="1"/>
      <protection locked="0"/>
    </xf>
    <xf numFmtId="0" fontId="10" fillId="4" borderId="0" xfId="0" applyFont="1" applyFill="1" applyAlignment="1" applyProtection="1">
      <alignment horizontal="centerContinuous" vertical="center" wrapText="1"/>
      <protection locked="0"/>
    </xf>
    <xf numFmtId="0" fontId="13" fillId="4" borderId="0" xfId="0" applyFont="1" applyFill="1" applyAlignment="1" applyProtection="1">
      <alignment horizontal="centerContinuous" vertical="center" wrapText="1"/>
      <protection locked="0"/>
    </xf>
    <xf numFmtId="0" fontId="18" fillId="6" borderId="3" xfId="0" applyFont="1" applyFill="1" applyBorder="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10" fontId="2" fillId="0" borderId="7" xfId="0" applyNumberFormat="1" applyFont="1" applyBorder="1" applyAlignment="1" applyProtection="1">
      <alignment horizontal="center" vertical="center"/>
      <protection locked="0"/>
    </xf>
    <xf numFmtId="0" fontId="25" fillId="0" borderId="3" xfId="0" applyFont="1" applyBorder="1" applyAlignment="1">
      <alignment vertical="center"/>
    </xf>
    <xf numFmtId="0" fontId="17" fillId="4" borderId="2" xfId="0" applyFont="1" applyFill="1" applyBorder="1" applyAlignment="1">
      <alignment horizontal="center" vertical="center"/>
    </xf>
    <xf numFmtId="168" fontId="2" fillId="0" borderId="0" xfId="0" applyNumberFormat="1" applyFont="1" applyAlignment="1">
      <alignment horizontal="center" vertical="center"/>
    </xf>
    <xf numFmtId="0" fontId="14" fillId="4" borderId="0" xfId="0" applyFont="1" applyFill="1" applyAlignment="1">
      <alignment horizontal="centerContinuous" vertical="center"/>
    </xf>
    <xf numFmtId="0" fontId="15" fillId="0" borderId="0" xfId="0" applyFont="1" applyAlignment="1">
      <alignment horizontal="centerContinuous" vertical="center"/>
    </xf>
    <xf numFmtId="165" fontId="2" fillId="0" borderId="7" xfId="5" applyFont="1" applyFill="1" applyBorder="1" applyAlignment="1" applyProtection="1">
      <alignment vertical="center" wrapText="1"/>
    </xf>
    <xf numFmtId="165" fontId="2" fillId="0" borderId="7" xfId="5" applyFont="1" applyFill="1" applyBorder="1" applyAlignment="1" applyProtection="1">
      <alignment horizontal="right" vertical="center" wrapText="1"/>
    </xf>
    <xf numFmtId="10" fontId="2" fillId="0" borderId="7" xfId="2" applyNumberFormat="1" applyFont="1" applyFill="1" applyBorder="1" applyAlignment="1" applyProtection="1">
      <alignment horizontal="center" vertical="center" wrapText="1"/>
    </xf>
    <xf numFmtId="165" fontId="2" fillId="0" borderId="7" xfId="5" applyFont="1" applyFill="1" applyBorder="1" applyAlignment="1" applyProtection="1">
      <alignment horizontal="center" vertical="center" wrapText="1"/>
    </xf>
    <xf numFmtId="173" fontId="28" fillId="2" borderId="0" xfId="1" applyNumberFormat="1" applyFont="1" applyFill="1" applyBorder="1" applyAlignment="1" applyProtection="1">
      <alignment horizontal="right" wrapText="1"/>
    </xf>
    <xf numFmtId="173" fontId="28" fillId="2" borderId="3" xfId="1" applyNumberFormat="1" applyFont="1" applyFill="1" applyBorder="1" applyAlignment="1" applyProtection="1">
      <alignment horizontal="right" wrapText="1"/>
    </xf>
    <xf numFmtId="10" fontId="28" fillId="2" borderId="20" xfId="2" applyNumberFormat="1" applyFont="1" applyFill="1" applyBorder="1" applyAlignment="1" applyProtection="1">
      <alignment wrapText="1"/>
    </xf>
    <xf numFmtId="0" fontId="9" fillId="0" borderId="0" xfId="6" applyNumberFormat="1" applyBorder="1" applyAlignment="1" applyProtection="1">
      <alignment horizontal="left" vertical="center" wrapText="1"/>
    </xf>
    <xf numFmtId="0" fontId="9" fillId="0" borderId="0" xfId="6" applyBorder="1" applyAlignment="1" applyProtection="1">
      <alignment wrapText="1"/>
    </xf>
    <xf numFmtId="0" fontId="6" fillId="0" borderId="4" xfId="3"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0" fontId="23" fillId="0" borderId="0" xfId="6" applyNumberFormat="1" applyFont="1" applyFill="1" applyBorder="1" applyAlignment="1" applyProtection="1">
      <alignment horizontal="center" vertical="center" wrapText="1"/>
    </xf>
    <xf numFmtId="0" fontId="23" fillId="0" borderId="0" xfId="6" applyFont="1" applyBorder="1" applyAlignment="1" applyProtection="1">
      <alignment wrapText="1"/>
    </xf>
    <xf numFmtId="2" fontId="30" fillId="4" borderId="0" xfId="5" applyNumberFormat="1" applyFont="1" applyFill="1" applyBorder="1" applyAlignment="1" applyProtection="1">
      <alignment horizontal="center" vertical="center" wrapText="1"/>
    </xf>
    <xf numFmtId="167" fontId="30" fillId="4" borderId="0" xfId="5" applyNumberFormat="1" applyFont="1" applyFill="1" applyBorder="1" applyAlignment="1" applyProtection="1">
      <alignment horizontal="center" vertical="center" wrapText="1"/>
    </xf>
    <xf numFmtId="0" fontId="31" fillId="6" borderId="0" xfId="0" applyFont="1" applyFill="1" applyAlignment="1" applyProtection="1">
      <alignment vertical="center" wrapText="1"/>
      <protection locked="0"/>
    </xf>
    <xf numFmtId="168" fontId="2" fillId="0" borderId="3" xfId="0" applyNumberFormat="1" applyFont="1" applyBorder="1" applyAlignment="1">
      <alignment horizontal="center" vertical="center" wrapText="1"/>
    </xf>
    <xf numFmtId="0" fontId="3" fillId="0" borderId="17" xfId="3" applyFont="1" applyBorder="1" applyAlignment="1">
      <alignment horizontal="center" vertical="center" wrapText="1"/>
    </xf>
    <xf numFmtId="0" fontId="20" fillId="0" borderId="0" xfId="0" applyFont="1" applyAlignment="1">
      <alignment vertical="center"/>
    </xf>
    <xf numFmtId="0" fontId="17" fillId="4" borderId="10" xfId="0" applyFont="1" applyFill="1" applyBorder="1" applyAlignment="1">
      <alignment horizontal="center" vertical="center"/>
    </xf>
    <xf numFmtId="0" fontId="32" fillId="0" borderId="0" xfId="6" applyFont="1" applyAlignment="1">
      <alignment horizontal="center" vertical="center" wrapText="1"/>
    </xf>
    <xf numFmtId="0" fontId="2" fillId="0" borderId="3" xfId="0" applyFont="1" applyBorder="1" applyAlignment="1">
      <alignment wrapText="1"/>
    </xf>
    <xf numFmtId="165" fontId="3" fillId="0" borderId="18" xfId="5" applyFont="1" applyFill="1" applyBorder="1" applyAlignment="1" applyProtection="1">
      <alignment horizontal="center" vertical="center" wrapText="1"/>
    </xf>
    <xf numFmtId="44" fontId="2" fillId="0" borderId="0" xfId="8" applyFont="1" applyFill="1" applyBorder="1" applyAlignment="1" applyProtection="1">
      <alignment horizontal="center" vertical="center" wrapText="1"/>
    </xf>
    <xf numFmtId="44" fontId="2" fillId="0" borderId="0" xfId="8" applyFont="1" applyBorder="1" applyAlignment="1" applyProtection="1">
      <alignment horizontal="center" vertical="center" wrapText="1"/>
    </xf>
    <xf numFmtId="44" fontId="2" fillId="0" borderId="16" xfId="8" applyFont="1" applyFill="1" applyBorder="1" applyAlignment="1" applyProtection="1">
      <alignment horizontal="center" vertical="center" wrapText="1"/>
    </xf>
    <xf numFmtId="44" fontId="7" fillId="5" borderId="16" xfId="8" applyFont="1" applyFill="1" applyBorder="1" applyAlignment="1" applyProtection="1">
      <alignment horizontal="center" vertical="center" wrapText="1"/>
    </xf>
    <xf numFmtId="44" fontId="7" fillId="0" borderId="0" xfId="8" applyFont="1" applyFill="1" applyBorder="1" applyAlignment="1" applyProtection="1">
      <alignment horizontal="center" vertical="center" wrapText="1"/>
    </xf>
    <xf numFmtId="44" fontId="3" fillId="0" borderId="8" xfId="3" applyNumberFormat="1" applyFont="1" applyBorder="1" applyAlignment="1">
      <alignment vertical="center" wrapText="1"/>
    </xf>
    <xf numFmtId="44" fontId="2" fillId="0" borderId="0" xfId="8" applyFont="1" applyFill="1" applyBorder="1" applyAlignment="1" applyProtection="1">
      <alignment vertical="center" wrapText="1"/>
    </xf>
    <xf numFmtId="43" fontId="2" fillId="0" borderId="0" xfId="0" applyNumberFormat="1" applyFont="1" applyAlignment="1">
      <alignment horizontal="center" vertical="center" wrapText="1"/>
    </xf>
    <xf numFmtId="2" fontId="17" fillId="4" borderId="2" xfId="1" applyNumberFormat="1" applyFont="1" applyFill="1" applyBorder="1" applyAlignment="1" applyProtection="1">
      <alignment horizontal="center" vertical="center" wrapText="1"/>
    </xf>
    <xf numFmtId="43" fontId="17" fillId="4" borderId="2" xfId="1" applyFont="1" applyFill="1" applyBorder="1" applyAlignment="1" applyProtection="1">
      <alignment horizontal="center" vertical="center" wrapText="1"/>
    </xf>
    <xf numFmtId="3" fontId="2" fillId="0" borderId="6" xfId="4" applyNumberFormat="1" applyFont="1" applyFill="1" applyBorder="1" applyAlignment="1" applyProtection="1">
      <alignment horizontal="center" vertical="center" wrapText="1"/>
    </xf>
    <xf numFmtId="49" fontId="2" fillId="0" borderId="7" xfId="4" applyNumberFormat="1" applyFont="1" applyFill="1" applyBorder="1" applyAlignment="1" applyProtection="1">
      <alignment horizontal="left" vertical="center" wrapText="1"/>
    </xf>
    <xf numFmtId="4" fontId="2" fillId="0" borderId="7" xfId="4" applyNumberFormat="1" applyFont="1" applyFill="1" applyBorder="1" applyAlignment="1" applyProtection="1">
      <alignment horizontal="center" vertical="center" wrapText="1"/>
    </xf>
    <xf numFmtId="171" fontId="21" fillId="2" borderId="19" xfId="0" applyNumberFormat="1" applyFont="1" applyFill="1" applyBorder="1" applyAlignment="1">
      <alignment vertical="center" wrapText="1"/>
    </xf>
    <xf numFmtId="49" fontId="21" fillId="2" borderId="20" xfId="0" applyNumberFormat="1" applyFont="1" applyFill="1" applyBorder="1" applyAlignment="1">
      <alignment vertical="center" wrapText="1"/>
    </xf>
    <xf numFmtId="171" fontId="21" fillId="2" borderId="20" xfId="0" applyNumberFormat="1" applyFont="1" applyFill="1" applyBorder="1" applyAlignment="1">
      <alignment vertical="center" wrapText="1"/>
    </xf>
    <xf numFmtId="171" fontId="28" fillId="2" borderId="20" xfId="0" applyNumberFormat="1" applyFont="1" applyFill="1" applyBorder="1" applyAlignment="1">
      <alignment vertical="center" wrapText="1"/>
    </xf>
    <xf numFmtId="10" fontId="2" fillId="2" borderId="21" xfId="2" applyNumberFormat="1" applyFont="1" applyFill="1" applyBorder="1" applyAlignment="1" applyProtection="1">
      <alignment horizontal="center" vertical="center" wrapText="1"/>
    </xf>
    <xf numFmtId="165" fontId="2" fillId="2" borderId="21" xfId="5" applyFont="1" applyFill="1" applyBorder="1" applyAlignment="1" applyProtection="1">
      <alignment horizontal="center" vertical="center" wrapText="1"/>
    </xf>
    <xf numFmtId="165" fontId="2" fillId="2" borderId="0" xfId="5" applyFont="1" applyFill="1" applyBorder="1" applyAlignment="1" applyProtection="1">
      <alignment horizontal="right" vertical="center" wrapText="1"/>
    </xf>
    <xf numFmtId="172" fontId="28" fillId="2" borderId="19" xfId="0" applyNumberFormat="1" applyFont="1" applyFill="1" applyBorder="1" applyAlignment="1">
      <alignment horizontal="center" wrapText="1"/>
    </xf>
    <xf numFmtId="171" fontId="28" fillId="2" borderId="20" xfId="0" applyNumberFormat="1" applyFont="1" applyFill="1" applyBorder="1" applyAlignment="1">
      <alignment wrapText="1"/>
    </xf>
    <xf numFmtId="171" fontId="28" fillId="2" borderId="20" xfId="0" applyNumberFormat="1" applyFont="1" applyFill="1" applyBorder="1" applyAlignment="1">
      <alignment horizontal="centerContinuous" wrapText="1"/>
    </xf>
    <xf numFmtId="171" fontId="28" fillId="2" borderId="20" xfId="0" applyNumberFormat="1" applyFont="1" applyFill="1" applyBorder="1" applyAlignment="1">
      <alignment horizontal="center" wrapText="1"/>
    </xf>
    <xf numFmtId="171" fontId="28" fillId="2" borderId="4" xfId="0" applyNumberFormat="1" applyFont="1" applyFill="1" applyBorder="1" applyAlignment="1">
      <alignment wrapText="1"/>
    </xf>
    <xf numFmtId="171" fontId="28" fillId="2" borderId="8" xfId="0" applyNumberFormat="1" applyFont="1" applyFill="1" applyBorder="1" applyAlignment="1">
      <alignment wrapText="1"/>
    </xf>
    <xf numFmtId="171" fontId="28" fillId="2" borderId="8" xfId="0" applyNumberFormat="1" applyFont="1" applyFill="1" applyBorder="1" applyAlignment="1">
      <alignment horizontal="centerContinuous" wrapText="1"/>
    </xf>
    <xf numFmtId="171" fontId="28" fillId="2" borderId="4" xfId="0" applyNumberFormat="1" applyFont="1" applyFill="1" applyBorder="1" applyAlignment="1">
      <alignment horizontal="center" wrapText="1"/>
    </xf>
    <xf numFmtId="171" fontId="28" fillId="2" borderId="4" xfId="0" applyNumberFormat="1" applyFont="1" applyFill="1" applyBorder="1" applyAlignment="1">
      <alignment horizontal="centerContinuous" wrapText="1"/>
    </xf>
    <xf numFmtId="165" fontId="2" fillId="0" borderId="7" xfId="5" applyFont="1" applyFill="1" applyBorder="1" applyAlignment="1" applyProtection="1">
      <alignment vertical="center" wrapText="1"/>
      <protection locked="0"/>
    </xf>
    <xf numFmtId="0" fontId="17" fillId="4" borderId="4" xfId="0" applyFont="1" applyFill="1" applyBorder="1" applyAlignment="1">
      <alignment horizontal="centerContinuous" vertical="center"/>
    </xf>
    <xf numFmtId="0" fontId="17" fillId="4" borderId="8" xfId="0" applyFont="1" applyFill="1" applyBorder="1" applyAlignment="1">
      <alignment horizontal="centerContinuous" vertical="center"/>
    </xf>
    <xf numFmtId="0" fontId="2" fillId="0" borderId="22" xfId="0" applyFont="1" applyBorder="1" applyAlignment="1">
      <alignment vertical="center"/>
    </xf>
    <xf numFmtId="0" fontId="29" fillId="0" borderId="24" xfId="0" applyFont="1" applyBorder="1" applyAlignment="1">
      <alignment horizontal="center" vertical="center"/>
    </xf>
    <xf numFmtId="0" fontId="27" fillId="0" borderId="0" xfId="0" applyFont="1" applyAlignment="1">
      <alignment horizontal="center" vertical="center"/>
    </xf>
    <xf numFmtId="0" fontId="21" fillId="0" borderId="26" xfId="0" applyFont="1" applyBorder="1" applyAlignment="1">
      <alignment horizontal="center" vertical="center"/>
    </xf>
    <xf numFmtId="0" fontId="11" fillId="0" borderId="7" xfId="0" applyFont="1" applyBorder="1" applyAlignment="1">
      <alignment horizontal="center" vertical="center"/>
    </xf>
    <xf numFmtId="0" fontId="22" fillId="0" borderId="6" xfId="0" applyFont="1" applyBorder="1" applyAlignment="1">
      <alignment horizontal="center" vertical="center"/>
    </xf>
    <xf numFmtId="0" fontId="3" fillId="4" borderId="19" xfId="0" applyFont="1" applyFill="1" applyBorder="1" applyAlignment="1">
      <alignment horizontal="center" vertical="center" wrapText="1"/>
    </xf>
    <xf numFmtId="10" fontId="3" fillId="4" borderId="20" xfId="0" applyNumberFormat="1" applyFont="1" applyFill="1" applyBorder="1" applyAlignment="1">
      <alignment horizontal="center" vertical="center"/>
    </xf>
    <xf numFmtId="0" fontId="3" fillId="4" borderId="17" xfId="0" applyFont="1" applyFill="1" applyBorder="1" applyAlignment="1">
      <alignment horizontal="center" vertical="center"/>
    </xf>
    <xf numFmtId="0" fontId="2" fillId="0" borderId="13" xfId="0" applyFont="1" applyBorder="1" applyAlignment="1">
      <alignment vertical="center"/>
    </xf>
    <xf numFmtId="0" fontId="2" fillId="0" borderId="0" xfId="0" applyFont="1" applyAlignment="1">
      <alignment vertical="center"/>
    </xf>
    <xf numFmtId="0" fontId="7" fillId="0" borderId="0" xfId="0" applyFont="1" applyAlignment="1">
      <alignment horizontal="center" vertical="center"/>
    </xf>
    <xf numFmtId="10" fontId="7" fillId="0" borderId="0" xfId="0" applyNumberFormat="1" applyFont="1" applyAlignment="1">
      <alignment horizontal="center" vertical="center"/>
    </xf>
    <xf numFmtId="0" fontId="0" fillId="0" borderId="0" xfId="0" applyAlignment="1">
      <alignment horizontal="center"/>
    </xf>
    <xf numFmtId="0" fontId="16" fillId="0" borderId="0" xfId="0" applyFont="1" applyAlignment="1">
      <alignment horizontal="left"/>
    </xf>
    <xf numFmtId="0" fontId="17" fillId="7" borderId="9" xfId="0" applyFont="1" applyFill="1" applyBorder="1" applyAlignment="1" applyProtection="1">
      <alignment horizontal="center" vertical="center" wrapText="1"/>
      <protection locked="0"/>
    </xf>
    <xf numFmtId="0" fontId="17" fillId="7" borderId="10" xfId="0" applyFont="1" applyFill="1" applyBorder="1" applyAlignment="1" applyProtection="1">
      <alignment horizontal="center" vertical="center" wrapText="1"/>
      <protection locked="0"/>
    </xf>
    <xf numFmtId="0" fontId="17" fillId="7" borderId="11" xfId="0" applyFont="1" applyFill="1" applyBorder="1" applyAlignment="1" applyProtection="1">
      <alignment horizontal="center" vertical="center" wrapText="1"/>
      <protection locked="0"/>
    </xf>
    <xf numFmtId="166" fontId="2" fillId="0" borderId="15" xfId="0" applyNumberFormat="1" applyFont="1" applyBorder="1" applyAlignment="1">
      <alignment horizontal="center" vertical="center" wrapText="1"/>
    </xf>
    <xf numFmtId="10" fontId="2" fillId="0" borderId="15" xfId="9" applyNumberFormat="1" applyFont="1" applyFill="1" applyBorder="1" applyAlignment="1" applyProtection="1">
      <alignment horizontal="center" vertical="center" wrapText="1"/>
    </xf>
    <xf numFmtId="10" fontId="2" fillId="0" borderId="28" xfId="9" applyNumberFormat="1" applyFont="1" applyFill="1" applyBorder="1" applyAlignment="1" applyProtection="1">
      <alignment horizontal="center" vertical="center" wrapText="1"/>
    </xf>
    <xf numFmtId="166" fontId="2" fillId="0" borderId="13" xfId="0" applyNumberFormat="1" applyFont="1" applyBorder="1" applyAlignment="1">
      <alignment horizontal="center" vertical="center" wrapText="1"/>
    </xf>
    <xf numFmtId="10" fontId="2" fillId="0" borderId="0" xfId="9" applyNumberFormat="1" applyFont="1" applyFill="1" applyBorder="1" applyAlignment="1" applyProtection="1">
      <alignment horizontal="center" vertical="center" wrapText="1"/>
    </xf>
    <xf numFmtId="10" fontId="2" fillId="0" borderId="16" xfId="9" applyNumberFormat="1" applyFont="1" applyFill="1" applyBorder="1" applyAlignment="1" applyProtection="1">
      <alignment horizontal="center" vertical="center" wrapText="1"/>
    </xf>
    <xf numFmtId="166" fontId="3" fillId="0" borderId="4" xfId="3" applyNumberFormat="1" applyFont="1" applyBorder="1" applyAlignment="1">
      <alignment vertical="center" wrapText="1"/>
    </xf>
    <xf numFmtId="166" fontId="2" fillId="0" borderId="13" xfId="3" applyNumberFormat="1" applyBorder="1" applyAlignment="1">
      <alignment vertical="center" wrapText="1"/>
    </xf>
    <xf numFmtId="166" fontId="3" fillId="0" borderId="13" xfId="0" applyNumberFormat="1" applyFont="1" applyBorder="1" applyAlignment="1">
      <alignment horizontal="left" vertical="center" wrapText="1"/>
    </xf>
    <xf numFmtId="166" fontId="3" fillId="0" borderId="13" xfId="0" applyNumberFormat="1" applyFont="1" applyBorder="1" applyAlignment="1">
      <alignment vertical="center" wrapText="1"/>
    </xf>
    <xf numFmtId="166" fontId="2" fillId="0" borderId="17" xfId="0" applyNumberFormat="1" applyFont="1" applyBorder="1" applyAlignment="1">
      <alignment horizontal="center" vertical="center" wrapText="1"/>
    </xf>
    <xf numFmtId="166" fontId="3" fillId="0" borderId="17" xfId="3" applyNumberFormat="1" applyFont="1" applyBorder="1" applyAlignment="1">
      <alignment vertical="center" wrapText="1"/>
    </xf>
    <xf numFmtId="10" fontId="2" fillId="0" borderId="3" xfId="9" applyNumberFormat="1" applyFont="1" applyFill="1" applyBorder="1" applyAlignment="1" applyProtection="1">
      <alignment horizontal="center" vertical="center" wrapText="1"/>
    </xf>
    <xf numFmtId="10" fontId="2" fillId="0" borderId="18" xfId="9" applyNumberFormat="1" applyFont="1" applyFill="1" applyBorder="1" applyAlignment="1" applyProtection="1">
      <alignment horizontal="center" vertical="center" wrapText="1"/>
    </xf>
    <xf numFmtId="169" fontId="3" fillId="0" borderId="4" xfId="3" applyNumberFormat="1" applyFont="1" applyBorder="1" applyAlignment="1">
      <alignment vertical="center" wrapText="1"/>
    </xf>
    <xf numFmtId="169" fontId="2" fillId="0" borderId="13" xfId="3" applyNumberFormat="1" applyBorder="1" applyAlignment="1">
      <alignment vertical="center" wrapText="1"/>
    </xf>
    <xf numFmtId="169" fontId="2" fillId="0" borderId="13" xfId="0" applyNumberFormat="1" applyFont="1" applyBorder="1" applyAlignment="1">
      <alignment horizontal="center" vertical="center" wrapText="1"/>
    </xf>
    <xf numFmtId="169" fontId="2" fillId="0" borderId="17" xfId="0" applyNumberFormat="1" applyFont="1" applyBorder="1" applyAlignment="1">
      <alignment horizontal="center" vertical="center" wrapText="1"/>
    </xf>
    <xf numFmtId="169" fontId="3" fillId="0" borderId="17" xfId="3" applyNumberFormat="1" applyFont="1" applyBorder="1" applyAlignment="1">
      <alignment vertical="center" wrapText="1"/>
    </xf>
    <xf numFmtId="0" fontId="17" fillId="7" borderId="30" xfId="0" applyFont="1" applyFill="1" applyBorder="1" applyAlignment="1" applyProtection="1">
      <alignment horizontal="center" vertical="center" wrapText="1"/>
      <protection locked="0"/>
    </xf>
    <xf numFmtId="0" fontId="17" fillId="7" borderId="31" xfId="0" applyFont="1" applyFill="1" applyBorder="1" applyAlignment="1" applyProtection="1">
      <alignment horizontal="center" vertical="center" wrapText="1"/>
      <protection locked="0"/>
    </xf>
    <xf numFmtId="0" fontId="13" fillId="4" borderId="0" xfId="0" applyFont="1" applyFill="1" applyAlignment="1" applyProtection="1">
      <alignment horizontal="center" vertical="center"/>
      <protection locked="0"/>
    </xf>
    <xf numFmtId="43" fontId="17" fillId="4" borderId="10" xfId="1" applyFont="1" applyFill="1" applyBorder="1" applyAlignment="1" applyProtection="1">
      <alignment horizontal="center" vertical="center" wrapText="1"/>
    </xf>
    <xf numFmtId="43" fontId="17" fillId="4" borderId="11" xfId="1" applyFont="1" applyFill="1" applyBorder="1" applyAlignment="1" applyProtection="1">
      <alignment horizontal="center" vertical="center" wrapText="1"/>
    </xf>
    <xf numFmtId="165" fontId="2" fillId="0" borderId="26" xfId="5" applyFont="1" applyFill="1" applyBorder="1" applyAlignment="1" applyProtection="1">
      <alignment horizontal="center" vertical="center" wrapText="1"/>
    </xf>
    <xf numFmtId="10" fontId="2" fillId="0" borderId="26" xfId="2" applyNumberFormat="1" applyFont="1" applyFill="1" applyBorder="1" applyAlignment="1" applyProtection="1">
      <alignment horizontal="center" vertical="center" wrapText="1"/>
    </xf>
    <xf numFmtId="165" fontId="2" fillId="0" borderId="26" xfId="5" applyFont="1" applyFill="1" applyBorder="1" applyAlignment="1" applyProtection="1">
      <alignment horizontal="right" vertical="center" wrapText="1"/>
    </xf>
    <xf numFmtId="10" fontId="3" fillId="0" borderId="32" xfId="2" applyNumberFormat="1" applyFont="1" applyFill="1" applyBorder="1" applyAlignment="1" applyProtection="1">
      <alignment vertical="center" wrapText="1"/>
      <protection locked="0"/>
    </xf>
    <xf numFmtId="0" fontId="0" fillId="2" borderId="13" xfId="0" applyFill="1" applyBorder="1"/>
    <xf numFmtId="0" fontId="0" fillId="2" borderId="0" xfId="0" applyFill="1"/>
    <xf numFmtId="171" fontId="28" fillId="2" borderId="20" xfId="0" applyNumberFormat="1" applyFont="1" applyFill="1" applyBorder="1" applyAlignment="1">
      <alignment horizontal="right"/>
    </xf>
    <xf numFmtId="171" fontId="28" fillId="2" borderId="4" xfId="0" applyNumberFormat="1" applyFont="1" applyFill="1" applyBorder="1" applyAlignment="1">
      <alignment horizontal="right"/>
    </xf>
    <xf numFmtId="173" fontId="28" fillId="2" borderId="16" xfId="1" applyNumberFormat="1" applyFont="1" applyFill="1" applyBorder="1" applyAlignment="1" applyProtection="1">
      <alignment horizontal="right" wrapText="1"/>
    </xf>
    <xf numFmtId="10" fontId="28" fillId="2" borderId="0" xfId="2" applyNumberFormat="1" applyFont="1" applyFill="1" applyBorder="1" applyAlignment="1" applyProtection="1">
      <alignment horizontal="right" wrapText="1"/>
    </xf>
    <xf numFmtId="0" fontId="17" fillId="4" borderId="5" xfId="0" applyFont="1" applyFill="1" applyBorder="1" applyAlignment="1">
      <alignment horizontal="centerContinuous" vertical="center"/>
    </xf>
    <xf numFmtId="0" fontId="2" fillId="0" borderId="16" xfId="0" applyFont="1" applyBorder="1" applyAlignment="1">
      <alignment vertical="center"/>
    </xf>
    <xf numFmtId="0" fontId="29" fillId="0" borderId="33" xfId="0" applyFont="1" applyBorder="1" applyAlignment="1">
      <alignment horizontal="center" vertical="center"/>
    </xf>
    <xf numFmtId="0" fontId="21" fillId="0" borderId="32" xfId="0" applyFont="1" applyBorder="1" applyAlignment="1">
      <alignment horizontal="center" vertical="center"/>
    </xf>
    <xf numFmtId="0" fontId="11" fillId="0" borderId="35" xfId="0" applyFont="1" applyBorder="1" applyAlignment="1">
      <alignment horizontal="center" vertical="center"/>
    </xf>
    <xf numFmtId="10" fontId="2" fillId="0" borderId="35" xfId="0" applyNumberFormat="1" applyFont="1" applyBorder="1" applyAlignment="1" applyProtection="1">
      <alignment horizontal="center" vertical="center"/>
      <protection locked="0"/>
    </xf>
    <xf numFmtId="10" fontId="3" fillId="4" borderId="36" xfId="0" applyNumberFormat="1" applyFont="1" applyFill="1" applyBorder="1" applyAlignment="1">
      <alignment horizontal="center" vertical="center"/>
    </xf>
    <xf numFmtId="4" fontId="2" fillId="0" borderId="6" xfId="4" applyNumberFormat="1" applyFont="1" applyFill="1" applyBorder="1" applyAlignment="1" applyProtection="1">
      <alignment horizontal="center" vertical="center" wrapText="1"/>
    </xf>
    <xf numFmtId="0" fontId="10" fillId="4" borderId="0" xfId="0" applyFont="1" applyFill="1" applyAlignment="1">
      <alignment horizontal="center" vertical="distributed"/>
    </xf>
    <xf numFmtId="0" fontId="13" fillId="4" borderId="0" xfId="0" applyFont="1" applyFill="1" applyAlignment="1">
      <alignment horizontal="center" vertical="center" wrapText="1"/>
    </xf>
    <xf numFmtId="3" fontId="3" fillId="0" borderId="14" xfId="3" applyNumberFormat="1" applyFont="1" applyBorder="1" applyAlignment="1">
      <alignment horizontal="center" vertical="center"/>
    </xf>
    <xf numFmtId="3" fontId="3" fillId="0" borderId="13" xfId="3" applyNumberFormat="1" applyFont="1" applyBorder="1" applyAlignment="1">
      <alignment horizontal="center" vertical="center"/>
    </xf>
    <xf numFmtId="3" fontId="3" fillId="0" borderId="17" xfId="3" applyNumberFormat="1" applyFont="1" applyBorder="1" applyAlignment="1">
      <alignment horizontal="center" vertical="center"/>
    </xf>
    <xf numFmtId="0" fontId="3" fillId="0" borderId="15" xfId="3" applyFont="1" applyBorder="1" applyAlignment="1">
      <alignment horizontal="center" vertical="center" wrapText="1"/>
    </xf>
    <xf numFmtId="0" fontId="3" fillId="0" borderId="0" xfId="3" applyFont="1" applyAlignment="1">
      <alignment horizontal="center" vertical="center" wrapText="1"/>
    </xf>
    <xf numFmtId="0" fontId="3" fillId="0" borderId="3" xfId="3" applyFont="1" applyBorder="1" applyAlignment="1">
      <alignment horizontal="center" vertical="center" wrapText="1"/>
    </xf>
    <xf numFmtId="0" fontId="3" fillId="0" borderId="13" xfId="3" applyFont="1" applyBorder="1" applyAlignment="1">
      <alignment horizontal="center" vertical="center"/>
    </xf>
    <xf numFmtId="0" fontId="3" fillId="0" borderId="17" xfId="3" applyFont="1" applyBorder="1" applyAlignment="1">
      <alignment horizontal="center" vertical="center"/>
    </xf>
    <xf numFmtId="0" fontId="3" fillId="3" borderId="15" xfId="3" applyFont="1" applyFill="1" applyBorder="1" applyAlignment="1">
      <alignment horizontal="center" vertical="center" wrapText="1"/>
    </xf>
    <xf numFmtId="0" fontId="3" fillId="3" borderId="0" xfId="3" applyFont="1" applyFill="1" applyAlignment="1">
      <alignment horizontal="center" vertical="center" wrapText="1"/>
    </xf>
    <xf numFmtId="0" fontId="3" fillId="3" borderId="3" xfId="3" applyFont="1" applyFill="1" applyBorder="1" applyAlignment="1">
      <alignment horizontal="center" vertical="center" wrapText="1"/>
    </xf>
    <xf numFmtId="3" fontId="3" fillId="0" borderId="14" xfId="3" applyNumberFormat="1" applyFont="1" applyBorder="1" applyAlignment="1">
      <alignment horizontal="center" vertical="center" wrapText="1"/>
    </xf>
    <xf numFmtId="0" fontId="3" fillId="0" borderId="13" xfId="3" applyFont="1" applyBorder="1" applyAlignment="1">
      <alignment horizontal="center" vertical="center" wrapText="1"/>
    </xf>
    <xf numFmtId="0" fontId="3" fillId="0" borderId="14" xfId="3" applyFont="1" applyBorder="1" applyAlignment="1">
      <alignment horizontal="center" vertical="center" wrapText="1"/>
    </xf>
    <xf numFmtId="0" fontId="3" fillId="0" borderId="17" xfId="3" applyFont="1" applyBorder="1" applyAlignment="1">
      <alignment horizontal="center" vertical="center" wrapText="1"/>
    </xf>
    <xf numFmtId="0" fontId="10" fillId="4" borderId="0" xfId="0" applyFont="1" applyFill="1" applyAlignment="1" applyProtection="1">
      <alignment horizontal="center" vertical="center"/>
      <protection locked="0"/>
    </xf>
    <xf numFmtId="0" fontId="16" fillId="0" borderId="0" xfId="0" applyFont="1" applyAlignment="1">
      <alignment horizontal="left"/>
    </xf>
    <xf numFmtId="0" fontId="11" fillId="0" borderId="23"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7" xfId="0" applyFont="1" applyBorder="1" applyAlignment="1">
      <alignment horizontal="center" vertical="center" wrapText="1"/>
    </xf>
    <xf numFmtId="0" fontId="17" fillId="7" borderId="34" xfId="0" applyFont="1" applyFill="1" applyBorder="1" applyAlignment="1" applyProtection="1">
      <alignment horizontal="center" vertical="center" wrapText="1"/>
      <protection locked="0"/>
    </xf>
    <xf numFmtId="0" fontId="17" fillId="7" borderId="22" xfId="0" applyFont="1" applyFill="1" applyBorder="1" applyAlignment="1" applyProtection="1">
      <alignment horizontal="center" vertical="center" wrapText="1"/>
      <protection locked="0"/>
    </xf>
    <xf numFmtId="0" fontId="17" fillId="7" borderId="29" xfId="0" applyFont="1" applyFill="1" applyBorder="1" applyAlignment="1" applyProtection="1">
      <alignment horizontal="center" vertical="center" wrapText="1"/>
      <protection locked="0"/>
    </xf>
  </cellXfs>
  <cellStyles count="10">
    <cellStyle name="Hiperlink" xfId="6" builtinId="8"/>
    <cellStyle name="Moeda 2" xfId="5"/>
    <cellStyle name="Moeda 2 2" xfId="8"/>
    <cellStyle name="Normal" xfId="0" builtinId="0"/>
    <cellStyle name="Normal_Composições" xfId="3"/>
    <cellStyle name="Porcentagem" xfId="2" builtinId="5"/>
    <cellStyle name="Porcentagem 2" xfId="9"/>
    <cellStyle name="Separador de milhares_MODELO CÂMARA" xfId="4"/>
    <cellStyle name="Vírgula" xfId="1" builtinId="3"/>
    <cellStyle name="Vírgula 2" xfId="7"/>
  </cellStyles>
  <dxfs count="1266">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264318</xdr:rowOff>
    </xdr:to>
    <xdr:sp macro="" textlink="">
      <xdr:nvSpPr>
        <xdr:cNvPr id="4124" name="CommandButton1" hidden="1">
          <a:extLst>
            <a:ext uri="{63B3BB69-23CF-44E3-9099-C40C66FF867C}">
              <a14:compatExt xmlns:a14="http://schemas.microsoft.com/office/drawing/2010/main" spid="_x0000_s4124"/>
            </a:ext>
            <a:ext uri="{FF2B5EF4-FFF2-40B4-BE49-F238E27FC236}">
              <a16:creationId xmlns:a16="http://schemas.microsoft.com/office/drawing/2014/main" xmlns="" id="{00000000-0008-0000-0000-00001C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4126" name="CommandButton2" hidden="1">
          <a:extLst>
            <a:ext uri="{63B3BB69-23CF-44E3-9099-C40C66FF867C}">
              <a14:compatExt xmlns:a14="http://schemas.microsoft.com/office/drawing/2010/main" spid="_x0000_s4126"/>
            </a:ext>
            <a:ext uri="{FF2B5EF4-FFF2-40B4-BE49-F238E27FC236}">
              <a16:creationId xmlns:a16="http://schemas.microsoft.com/office/drawing/2014/main" xmlns="" id="{00000000-0008-0000-0000-00001E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140493</xdr:rowOff>
    </xdr:to>
    <xdr:sp macro="" textlink="">
      <xdr:nvSpPr>
        <xdr:cNvPr id="4127" name="CommandButton3" hidden="1">
          <a:extLst>
            <a:ext uri="{63B3BB69-23CF-44E3-9099-C40C66FF867C}">
              <a14:compatExt xmlns:a14="http://schemas.microsoft.com/office/drawing/2010/main" spid="_x0000_s4127"/>
            </a:ext>
            <a:ext uri="{FF2B5EF4-FFF2-40B4-BE49-F238E27FC236}">
              <a16:creationId xmlns:a16="http://schemas.microsoft.com/office/drawing/2014/main" xmlns="" id="{00000000-0008-0000-0000-00001F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0</xdr:colOff>
      <xdr:row>0</xdr:row>
      <xdr:rowOff>19050</xdr:rowOff>
    </xdr:from>
    <xdr:to>
      <xdr:col>11</xdr:col>
      <xdr:colOff>590550</xdr:colOff>
      <xdr:row>1</xdr:row>
      <xdr:rowOff>76200</xdr:rowOff>
    </xdr:to>
    <xdr:sp macro="" textlink="">
      <xdr:nvSpPr>
        <xdr:cNvPr id="5" name="CommandButton1" hidden="1">
          <a:extLst>
            <a:ext uri="{FF2B5EF4-FFF2-40B4-BE49-F238E27FC236}">
              <a16:creationId xmlns:a16="http://schemas.microsoft.com/office/drawing/2014/main" xmlns="" id="{00000000-0008-0000-0000-000005000000}"/>
            </a:ext>
          </a:extLst>
        </xdr:cNvPr>
        <xdr:cNvSpPr>
          <a:spLocks noChangeArrowheads="1"/>
        </xdr:cNvSpPr>
      </xdr:nvSpPr>
      <xdr:spPr bwMode="auto">
        <a:xfrm>
          <a:off x="1592580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0</xdr:row>
      <xdr:rowOff>19050</xdr:rowOff>
    </xdr:from>
    <xdr:to>
      <xdr:col>11</xdr:col>
      <xdr:colOff>590550</xdr:colOff>
      <xdr:row>1</xdr:row>
      <xdr:rowOff>76200</xdr:rowOff>
    </xdr:to>
    <xdr:sp macro="" textlink="">
      <xdr:nvSpPr>
        <xdr:cNvPr id="6" name="CommandButton1" hidden="1">
          <a:extLst>
            <a:ext uri="{FF2B5EF4-FFF2-40B4-BE49-F238E27FC236}">
              <a16:creationId xmlns:a16="http://schemas.microsoft.com/office/drawing/2014/main" xmlns="" id="{00000000-0008-0000-0000-000006000000}"/>
            </a:ext>
          </a:extLst>
        </xdr:cNvPr>
        <xdr:cNvSpPr>
          <a:spLocks noChangeArrowheads="1"/>
        </xdr:cNvSpPr>
      </xdr:nvSpPr>
      <xdr:spPr bwMode="auto">
        <a:xfrm>
          <a:off x="1592580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0</xdr:row>
      <xdr:rowOff>19050</xdr:rowOff>
    </xdr:from>
    <xdr:to>
      <xdr:col>11</xdr:col>
      <xdr:colOff>616744</xdr:colOff>
      <xdr:row>1</xdr:row>
      <xdr:rowOff>76200</xdr:rowOff>
    </xdr:to>
    <xdr:sp macro="" textlink="">
      <xdr:nvSpPr>
        <xdr:cNvPr id="7" name="CommandButton1" hidden="1">
          <a:extLst>
            <a:ext uri="{FF2B5EF4-FFF2-40B4-BE49-F238E27FC236}">
              <a16:creationId xmlns:a16="http://schemas.microsoft.com/office/drawing/2014/main" xmlns="" id="{00000000-0008-0000-0000-000007000000}"/>
            </a:ext>
          </a:extLst>
        </xdr:cNvPr>
        <xdr:cNvSpPr>
          <a:spLocks noChangeArrowheads="1"/>
        </xdr:cNvSpPr>
      </xdr:nvSpPr>
      <xdr:spPr bwMode="auto">
        <a:xfrm>
          <a:off x="15925800" y="19050"/>
          <a:ext cx="12287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0</xdr:row>
      <xdr:rowOff>19050</xdr:rowOff>
    </xdr:from>
    <xdr:to>
      <xdr:col>11</xdr:col>
      <xdr:colOff>590550</xdr:colOff>
      <xdr:row>1</xdr:row>
      <xdr:rowOff>76200</xdr:rowOff>
    </xdr:to>
    <xdr:sp macro="" textlink="">
      <xdr:nvSpPr>
        <xdr:cNvPr id="8" name="CommandButton1" hidden="1">
          <a:extLst>
            <a:ext uri="{FF2B5EF4-FFF2-40B4-BE49-F238E27FC236}">
              <a16:creationId xmlns:a16="http://schemas.microsoft.com/office/drawing/2014/main" xmlns="" id="{00000000-0008-0000-0000-000008000000}"/>
            </a:ext>
          </a:extLst>
        </xdr:cNvPr>
        <xdr:cNvSpPr>
          <a:spLocks noChangeArrowheads="1"/>
        </xdr:cNvSpPr>
      </xdr:nvSpPr>
      <xdr:spPr bwMode="auto">
        <a:xfrm>
          <a:off x="1592580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0</xdr:row>
      <xdr:rowOff>19050</xdr:rowOff>
    </xdr:from>
    <xdr:to>
      <xdr:col>11</xdr:col>
      <xdr:colOff>590550</xdr:colOff>
      <xdr:row>1</xdr:row>
      <xdr:rowOff>76200</xdr:rowOff>
    </xdr:to>
    <xdr:sp macro="" textlink="">
      <xdr:nvSpPr>
        <xdr:cNvPr id="9" name="CommandButton1" hidden="1">
          <a:extLst>
            <a:ext uri="{FF2B5EF4-FFF2-40B4-BE49-F238E27FC236}">
              <a16:creationId xmlns:a16="http://schemas.microsoft.com/office/drawing/2014/main" xmlns="" id="{00000000-0008-0000-0000-000009000000}"/>
            </a:ext>
          </a:extLst>
        </xdr:cNvPr>
        <xdr:cNvSpPr>
          <a:spLocks noChangeArrowheads="1"/>
        </xdr:cNvSpPr>
      </xdr:nvSpPr>
      <xdr:spPr bwMode="auto">
        <a:xfrm>
          <a:off x="1592580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0</xdr:row>
      <xdr:rowOff>19050</xdr:rowOff>
    </xdr:from>
    <xdr:to>
      <xdr:col>11</xdr:col>
      <xdr:colOff>590550</xdr:colOff>
      <xdr:row>1</xdr:row>
      <xdr:rowOff>76200</xdr:rowOff>
    </xdr:to>
    <xdr:sp macro="" textlink="">
      <xdr:nvSpPr>
        <xdr:cNvPr id="10" name="CommandButton1" hidden="1">
          <a:extLst>
            <a:ext uri="{FF2B5EF4-FFF2-40B4-BE49-F238E27FC236}">
              <a16:creationId xmlns:a16="http://schemas.microsoft.com/office/drawing/2014/main" xmlns="" id="{00000000-0008-0000-0000-00000A000000}"/>
            </a:ext>
          </a:extLst>
        </xdr:cNvPr>
        <xdr:cNvSpPr>
          <a:spLocks noChangeArrowheads="1"/>
        </xdr:cNvSpPr>
      </xdr:nvSpPr>
      <xdr:spPr bwMode="auto">
        <a:xfrm>
          <a:off x="1592580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0</xdr:row>
      <xdr:rowOff>19050</xdr:rowOff>
    </xdr:from>
    <xdr:to>
      <xdr:col>11</xdr:col>
      <xdr:colOff>590550</xdr:colOff>
      <xdr:row>1</xdr:row>
      <xdr:rowOff>76200</xdr:rowOff>
    </xdr:to>
    <xdr:sp macro="" textlink="">
      <xdr:nvSpPr>
        <xdr:cNvPr id="11" name="CommandButton1" hidden="1">
          <a:extLst>
            <a:ext uri="{FF2B5EF4-FFF2-40B4-BE49-F238E27FC236}">
              <a16:creationId xmlns:a16="http://schemas.microsoft.com/office/drawing/2014/main" xmlns="" id="{00000000-0008-0000-0000-00000B000000}"/>
            </a:ext>
          </a:extLst>
        </xdr:cNvPr>
        <xdr:cNvSpPr>
          <a:spLocks noChangeArrowheads="1"/>
        </xdr:cNvSpPr>
      </xdr:nvSpPr>
      <xdr:spPr bwMode="auto">
        <a:xfrm>
          <a:off x="1592580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0</xdr:row>
      <xdr:rowOff>19050</xdr:rowOff>
    </xdr:from>
    <xdr:to>
      <xdr:col>11</xdr:col>
      <xdr:colOff>590550</xdr:colOff>
      <xdr:row>1</xdr:row>
      <xdr:rowOff>76200</xdr:rowOff>
    </xdr:to>
    <xdr:sp macro="" textlink="">
      <xdr:nvSpPr>
        <xdr:cNvPr id="12" name="CommandButton1" hidden="1">
          <a:extLst>
            <a:ext uri="{FF2B5EF4-FFF2-40B4-BE49-F238E27FC236}">
              <a16:creationId xmlns:a16="http://schemas.microsoft.com/office/drawing/2014/main" xmlns="" id="{00000000-0008-0000-0000-00000C000000}"/>
            </a:ext>
          </a:extLst>
        </xdr:cNvPr>
        <xdr:cNvSpPr>
          <a:spLocks noChangeArrowheads="1"/>
        </xdr:cNvSpPr>
      </xdr:nvSpPr>
      <xdr:spPr bwMode="auto">
        <a:xfrm>
          <a:off x="1592580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0</xdr:row>
      <xdr:rowOff>19050</xdr:rowOff>
    </xdr:from>
    <xdr:to>
      <xdr:col>11</xdr:col>
      <xdr:colOff>590550</xdr:colOff>
      <xdr:row>1</xdr:row>
      <xdr:rowOff>76200</xdr:rowOff>
    </xdr:to>
    <xdr:sp macro="" textlink="">
      <xdr:nvSpPr>
        <xdr:cNvPr id="13" name="CommandButton1" hidden="1">
          <a:extLst>
            <a:ext uri="{FF2B5EF4-FFF2-40B4-BE49-F238E27FC236}">
              <a16:creationId xmlns:a16="http://schemas.microsoft.com/office/drawing/2014/main" xmlns="" id="{00000000-0008-0000-0000-00000D000000}"/>
            </a:ext>
          </a:extLst>
        </xdr:cNvPr>
        <xdr:cNvSpPr>
          <a:spLocks noChangeArrowheads="1"/>
        </xdr:cNvSpPr>
      </xdr:nvSpPr>
      <xdr:spPr bwMode="auto">
        <a:xfrm>
          <a:off x="1592580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0</xdr:row>
      <xdr:rowOff>19050</xdr:rowOff>
    </xdr:from>
    <xdr:to>
      <xdr:col>11</xdr:col>
      <xdr:colOff>590550</xdr:colOff>
      <xdr:row>1</xdr:row>
      <xdr:rowOff>76200</xdr:rowOff>
    </xdr:to>
    <xdr:sp macro="" textlink="">
      <xdr:nvSpPr>
        <xdr:cNvPr id="14" name="CommandButton1" hidden="1">
          <a:extLst>
            <a:ext uri="{FF2B5EF4-FFF2-40B4-BE49-F238E27FC236}">
              <a16:creationId xmlns:a16="http://schemas.microsoft.com/office/drawing/2014/main" xmlns="" id="{00000000-0008-0000-0000-00000E000000}"/>
            </a:ext>
          </a:extLst>
        </xdr:cNvPr>
        <xdr:cNvSpPr>
          <a:spLocks noChangeArrowheads="1"/>
        </xdr:cNvSpPr>
      </xdr:nvSpPr>
      <xdr:spPr bwMode="auto">
        <a:xfrm>
          <a:off x="1592580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5148" name="CommandButton1" hidden="1">
          <a:extLst>
            <a:ext uri="{63B3BB69-23CF-44E3-9099-C40C66FF867C}">
              <a14:compatExt xmlns:a14="http://schemas.microsoft.com/office/drawing/2010/main" spid="_x0000_s5148"/>
            </a:ext>
            <a:ext uri="{FF2B5EF4-FFF2-40B4-BE49-F238E27FC236}">
              <a16:creationId xmlns:a16="http://schemas.microsoft.com/office/drawing/2014/main" xmlns="" id="{00000000-0008-0000-0100-00001C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169068</xdr:rowOff>
    </xdr:to>
    <xdr:sp macro="" textlink="">
      <xdr:nvSpPr>
        <xdr:cNvPr id="5149" name="CommandButton2" hidden="1">
          <a:extLst>
            <a:ext uri="{63B3BB69-23CF-44E3-9099-C40C66FF867C}">
              <a14:compatExt xmlns:a14="http://schemas.microsoft.com/office/drawing/2010/main" spid="_x0000_s5149"/>
            </a:ext>
            <a:ext uri="{FF2B5EF4-FFF2-40B4-BE49-F238E27FC236}">
              <a16:creationId xmlns:a16="http://schemas.microsoft.com/office/drawing/2014/main" xmlns="" id="{00000000-0008-0000-0100-00001D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4" name="CommandButton1" hidden="1">
          <a:extLst>
            <a:ext uri="{FF2B5EF4-FFF2-40B4-BE49-F238E27FC236}">
              <a16:creationId xmlns:a16="http://schemas.microsoft.com/office/drawing/2014/main" xmlns="" id="{00000000-0008-0000-0100-000004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5" name="CommandButton1" hidden="1">
          <a:extLst>
            <a:ext uri="{FF2B5EF4-FFF2-40B4-BE49-F238E27FC236}">
              <a16:creationId xmlns:a16="http://schemas.microsoft.com/office/drawing/2014/main" xmlns="" id="{00000000-0008-0000-0100-000005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614535</xdr:colOff>
      <xdr:row>1</xdr:row>
      <xdr:rowOff>76200</xdr:rowOff>
    </xdr:to>
    <xdr:sp macro="" textlink="">
      <xdr:nvSpPr>
        <xdr:cNvPr id="6" name="CommandButton1" hidden="1">
          <a:extLst>
            <a:ext uri="{FF2B5EF4-FFF2-40B4-BE49-F238E27FC236}">
              <a16:creationId xmlns:a16="http://schemas.microsoft.com/office/drawing/2014/main" xmlns="" id="{00000000-0008-0000-0100-000006000000}"/>
            </a:ext>
          </a:extLst>
        </xdr:cNvPr>
        <xdr:cNvSpPr>
          <a:spLocks noChangeArrowheads="1"/>
        </xdr:cNvSpPr>
      </xdr:nvSpPr>
      <xdr:spPr bwMode="auto">
        <a:xfrm>
          <a:off x="14687550" y="19050"/>
          <a:ext cx="1226516"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7" name="CommandButton1" hidden="1">
          <a:extLst>
            <a:ext uri="{FF2B5EF4-FFF2-40B4-BE49-F238E27FC236}">
              <a16:creationId xmlns:a16="http://schemas.microsoft.com/office/drawing/2014/main" xmlns="" id="{00000000-0008-0000-0100-000007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8" name="CommandButton1" hidden="1">
          <a:extLst>
            <a:ext uri="{FF2B5EF4-FFF2-40B4-BE49-F238E27FC236}">
              <a16:creationId xmlns:a16="http://schemas.microsoft.com/office/drawing/2014/main" xmlns="" id="{00000000-0008-0000-0100-000008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9" name="CommandButton1" hidden="1">
          <a:extLst>
            <a:ext uri="{FF2B5EF4-FFF2-40B4-BE49-F238E27FC236}">
              <a16:creationId xmlns:a16="http://schemas.microsoft.com/office/drawing/2014/main" xmlns="" id="{00000000-0008-0000-0100-000009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10" name="CommandButton1" hidden="1">
          <a:extLst>
            <a:ext uri="{FF2B5EF4-FFF2-40B4-BE49-F238E27FC236}">
              <a16:creationId xmlns:a16="http://schemas.microsoft.com/office/drawing/2014/main" xmlns="" id="{00000000-0008-0000-0100-00000A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11" name="CommandButton1" hidden="1">
          <a:extLst>
            <a:ext uri="{FF2B5EF4-FFF2-40B4-BE49-F238E27FC236}">
              <a16:creationId xmlns:a16="http://schemas.microsoft.com/office/drawing/2014/main" xmlns="" id="{00000000-0008-0000-0100-00000B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12" name="CommandButton1" hidden="1">
          <a:extLst>
            <a:ext uri="{FF2B5EF4-FFF2-40B4-BE49-F238E27FC236}">
              <a16:creationId xmlns:a16="http://schemas.microsoft.com/office/drawing/2014/main" xmlns="" id="{00000000-0008-0000-0100-00000C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13" name="CommandButton1" hidden="1">
          <a:extLst>
            <a:ext uri="{FF2B5EF4-FFF2-40B4-BE49-F238E27FC236}">
              <a16:creationId xmlns:a16="http://schemas.microsoft.com/office/drawing/2014/main" xmlns="" id="{00000000-0008-0000-0100-00000D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14" name="CommandButton1" hidden="1">
          <a:extLst>
            <a:ext uri="{FF2B5EF4-FFF2-40B4-BE49-F238E27FC236}">
              <a16:creationId xmlns:a16="http://schemas.microsoft.com/office/drawing/2014/main" xmlns="" id="{00000000-0008-0000-0100-00000E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15" name="CommandButton1" hidden="1">
          <a:extLst>
            <a:ext uri="{FF2B5EF4-FFF2-40B4-BE49-F238E27FC236}">
              <a16:creationId xmlns:a16="http://schemas.microsoft.com/office/drawing/2014/main" xmlns="" id="{00000000-0008-0000-0100-00000F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614534</xdr:colOff>
      <xdr:row>1</xdr:row>
      <xdr:rowOff>76200</xdr:rowOff>
    </xdr:to>
    <xdr:sp macro="" textlink="">
      <xdr:nvSpPr>
        <xdr:cNvPr id="16" name="CommandButton1" hidden="1">
          <a:extLst>
            <a:ext uri="{FF2B5EF4-FFF2-40B4-BE49-F238E27FC236}">
              <a16:creationId xmlns:a16="http://schemas.microsoft.com/office/drawing/2014/main" xmlns="" id="{00000000-0008-0000-0100-000010000000}"/>
            </a:ext>
          </a:extLst>
        </xdr:cNvPr>
        <xdr:cNvSpPr>
          <a:spLocks noChangeArrowheads="1"/>
        </xdr:cNvSpPr>
      </xdr:nvSpPr>
      <xdr:spPr bwMode="auto">
        <a:xfrm>
          <a:off x="14687550" y="19050"/>
          <a:ext cx="122651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17" name="CommandButton1" hidden="1">
          <a:extLst>
            <a:ext uri="{FF2B5EF4-FFF2-40B4-BE49-F238E27FC236}">
              <a16:creationId xmlns:a16="http://schemas.microsoft.com/office/drawing/2014/main" xmlns="" id="{00000000-0008-0000-0100-000011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18" name="CommandButton1" hidden="1">
          <a:extLst>
            <a:ext uri="{FF2B5EF4-FFF2-40B4-BE49-F238E27FC236}">
              <a16:creationId xmlns:a16="http://schemas.microsoft.com/office/drawing/2014/main" xmlns="" id="{00000000-0008-0000-0100-000012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19" name="CommandButton1" hidden="1">
          <a:extLst>
            <a:ext uri="{FF2B5EF4-FFF2-40B4-BE49-F238E27FC236}">
              <a16:creationId xmlns:a16="http://schemas.microsoft.com/office/drawing/2014/main" xmlns="" id="{00000000-0008-0000-0100-000013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20" name="CommandButton1" hidden="1">
          <a:extLst>
            <a:ext uri="{FF2B5EF4-FFF2-40B4-BE49-F238E27FC236}">
              <a16:creationId xmlns:a16="http://schemas.microsoft.com/office/drawing/2014/main" xmlns="" id="{00000000-0008-0000-0100-000014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21" name="CommandButton1" hidden="1">
          <a:extLst>
            <a:ext uri="{FF2B5EF4-FFF2-40B4-BE49-F238E27FC236}">
              <a16:creationId xmlns:a16="http://schemas.microsoft.com/office/drawing/2014/main" xmlns="" id="{00000000-0008-0000-0100-000015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22" name="CommandButton1" hidden="1">
          <a:extLst>
            <a:ext uri="{FF2B5EF4-FFF2-40B4-BE49-F238E27FC236}">
              <a16:creationId xmlns:a16="http://schemas.microsoft.com/office/drawing/2014/main" xmlns="" id="{00000000-0008-0000-0100-000016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23" name="CommandButton1" hidden="1">
          <a:extLst>
            <a:ext uri="{FF2B5EF4-FFF2-40B4-BE49-F238E27FC236}">
              <a16:creationId xmlns:a16="http://schemas.microsoft.com/office/drawing/2014/main" xmlns="" id="{00000000-0008-0000-0100-000017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24" name="CommandButton1" hidden="1">
          <a:extLst>
            <a:ext uri="{FF2B5EF4-FFF2-40B4-BE49-F238E27FC236}">
              <a16:creationId xmlns:a16="http://schemas.microsoft.com/office/drawing/2014/main" xmlns="" id="{00000000-0008-0000-0100-000018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25" name="CommandButton1" hidden="1">
          <a:extLst>
            <a:ext uri="{FF2B5EF4-FFF2-40B4-BE49-F238E27FC236}">
              <a16:creationId xmlns:a16="http://schemas.microsoft.com/office/drawing/2014/main" xmlns="" id="{00000000-0008-0000-0100-000019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614535</xdr:colOff>
      <xdr:row>1</xdr:row>
      <xdr:rowOff>76200</xdr:rowOff>
    </xdr:to>
    <xdr:sp macro="" textlink="">
      <xdr:nvSpPr>
        <xdr:cNvPr id="26" name="CommandButton1" hidden="1">
          <a:extLst>
            <a:ext uri="{FF2B5EF4-FFF2-40B4-BE49-F238E27FC236}">
              <a16:creationId xmlns:a16="http://schemas.microsoft.com/office/drawing/2014/main" xmlns="" id="{00000000-0008-0000-0100-00001A000000}"/>
            </a:ext>
          </a:extLst>
        </xdr:cNvPr>
        <xdr:cNvSpPr>
          <a:spLocks noChangeArrowheads="1"/>
        </xdr:cNvSpPr>
      </xdr:nvSpPr>
      <xdr:spPr bwMode="auto">
        <a:xfrm>
          <a:off x="14687550" y="19050"/>
          <a:ext cx="1226516"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27" name="CommandButton1" hidden="1">
          <a:extLst>
            <a:ext uri="{FF2B5EF4-FFF2-40B4-BE49-F238E27FC236}">
              <a16:creationId xmlns:a16="http://schemas.microsoft.com/office/drawing/2014/main" xmlns="" id="{00000000-0008-0000-0100-00001B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28" name="CommandButton1" hidden="1">
          <a:extLst>
            <a:ext uri="{FF2B5EF4-FFF2-40B4-BE49-F238E27FC236}">
              <a16:creationId xmlns:a16="http://schemas.microsoft.com/office/drawing/2014/main" xmlns="" id="{00000000-0008-0000-0100-00001C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29" name="CommandButton1" hidden="1">
          <a:extLst>
            <a:ext uri="{FF2B5EF4-FFF2-40B4-BE49-F238E27FC236}">
              <a16:creationId xmlns:a16="http://schemas.microsoft.com/office/drawing/2014/main" xmlns="" id="{00000000-0008-0000-0100-00001D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30" name="CommandButton1" hidden="1">
          <a:extLst>
            <a:ext uri="{FF2B5EF4-FFF2-40B4-BE49-F238E27FC236}">
              <a16:creationId xmlns:a16="http://schemas.microsoft.com/office/drawing/2014/main" xmlns="" id="{00000000-0008-0000-0100-00001E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31" name="CommandButton1" hidden="1">
          <a:extLst>
            <a:ext uri="{FF2B5EF4-FFF2-40B4-BE49-F238E27FC236}">
              <a16:creationId xmlns:a16="http://schemas.microsoft.com/office/drawing/2014/main" xmlns="" id="{00000000-0008-0000-0100-00001F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32" name="CommandButton1" hidden="1">
          <a:extLst>
            <a:ext uri="{FF2B5EF4-FFF2-40B4-BE49-F238E27FC236}">
              <a16:creationId xmlns:a16="http://schemas.microsoft.com/office/drawing/2014/main" xmlns="" id="{00000000-0008-0000-0100-000020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33" name="CommandButton1" hidden="1">
          <a:extLst>
            <a:ext uri="{FF2B5EF4-FFF2-40B4-BE49-F238E27FC236}">
              <a16:creationId xmlns:a16="http://schemas.microsoft.com/office/drawing/2014/main" xmlns="" id="{00000000-0008-0000-0100-000021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6154" name="CommandButton1" hidden="1">
          <a:extLst>
            <a:ext uri="{63B3BB69-23CF-44E3-9099-C40C66FF867C}">
              <a14:compatExt xmlns:a14="http://schemas.microsoft.com/office/drawing/2010/main" spid="_x0000_s6154"/>
            </a:ext>
            <a:ext uri="{FF2B5EF4-FFF2-40B4-BE49-F238E27FC236}">
              <a16:creationId xmlns:a16="http://schemas.microsoft.com/office/drawing/2014/main" xmlns="" id="{00000000-0008-0000-0200-00000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6155" name="CommandButton2" hidden="1">
          <a:extLst>
            <a:ext uri="{63B3BB69-23CF-44E3-9099-C40C66FF867C}">
              <a14:compatExt xmlns:a14="http://schemas.microsoft.com/office/drawing/2010/main" spid="_x0000_s6155"/>
            </a:ext>
            <a:ext uri="{FF2B5EF4-FFF2-40B4-BE49-F238E27FC236}">
              <a16:creationId xmlns:a16="http://schemas.microsoft.com/office/drawing/2014/main" xmlns="" id="{00000000-0008-0000-0200-00000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4" name="CommandButton1" hidden="1">
          <a:extLst>
            <a:ext uri="{FF2B5EF4-FFF2-40B4-BE49-F238E27FC236}">
              <a16:creationId xmlns:a16="http://schemas.microsoft.com/office/drawing/2014/main" xmlns="" id="{00000000-0008-0000-0200-000004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5" name="CommandButton1" hidden="1">
          <a:extLst>
            <a:ext uri="{FF2B5EF4-FFF2-40B4-BE49-F238E27FC236}">
              <a16:creationId xmlns:a16="http://schemas.microsoft.com/office/drawing/2014/main" xmlns="" id="{00000000-0008-0000-0200-000005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11</xdr:col>
      <xdr:colOff>15899</xdr:colOff>
      <xdr:row>1</xdr:row>
      <xdr:rowOff>76200</xdr:rowOff>
    </xdr:to>
    <xdr:sp macro="" textlink="">
      <xdr:nvSpPr>
        <xdr:cNvPr id="6" name="CommandButton1" hidden="1">
          <a:extLst>
            <a:ext uri="{FF2B5EF4-FFF2-40B4-BE49-F238E27FC236}">
              <a16:creationId xmlns:a16="http://schemas.microsoft.com/office/drawing/2014/main" xmlns="" id="{00000000-0008-0000-0200-000006000000}"/>
            </a:ext>
          </a:extLst>
        </xdr:cNvPr>
        <xdr:cNvSpPr>
          <a:spLocks noChangeArrowheads="1"/>
        </xdr:cNvSpPr>
      </xdr:nvSpPr>
      <xdr:spPr bwMode="auto">
        <a:xfrm>
          <a:off x="14687550" y="19050"/>
          <a:ext cx="123509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7" name="CommandButton1" hidden="1">
          <a:extLst>
            <a:ext uri="{FF2B5EF4-FFF2-40B4-BE49-F238E27FC236}">
              <a16:creationId xmlns:a16="http://schemas.microsoft.com/office/drawing/2014/main" xmlns="" id="{00000000-0008-0000-0200-000007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8" name="CommandButton1" hidden="1">
          <a:extLst>
            <a:ext uri="{FF2B5EF4-FFF2-40B4-BE49-F238E27FC236}">
              <a16:creationId xmlns:a16="http://schemas.microsoft.com/office/drawing/2014/main" xmlns="" id="{00000000-0008-0000-0200-000008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9" name="CommandButton1" hidden="1">
          <a:extLst>
            <a:ext uri="{FF2B5EF4-FFF2-40B4-BE49-F238E27FC236}">
              <a16:creationId xmlns:a16="http://schemas.microsoft.com/office/drawing/2014/main" xmlns="" id="{00000000-0008-0000-0200-000009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10" name="CommandButton1" hidden="1">
          <a:extLst>
            <a:ext uri="{FF2B5EF4-FFF2-40B4-BE49-F238E27FC236}">
              <a16:creationId xmlns:a16="http://schemas.microsoft.com/office/drawing/2014/main" xmlns="" id="{00000000-0008-0000-0200-00000A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11" name="CommandButton1" hidden="1">
          <a:extLst>
            <a:ext uri="{FF2B5EF4-FFF2-40B4-BE49-F238E27FC236}">
              <a16:creationId xmlns:a16="http://schemas.microsoft.com/office/drawing/2014/main" xmlns="" id="{00000000-0008-0000-0200-00000B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12" name="CommandButton1" hidden="1">
          <a:extLst>
            <a:ext uri="{FF2B5EF4-FFF2-40B4-BE49-F238E27FC236}">
              <a16:creationId xmlns:a16="http://schemas.microsoft.com/office/drawing/2014/main" xmlns="" id="{00000000-0008-0000-0200-00000C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13" name="CommandButton1" hidden="1">
          <a:extLst>
            <a:ext uri="{FF2B5EF4-FFF2-40B4-BE49-F238E27FC236}">
              <a16:creationId xmlns:a16="http://schemas.microsoft.com/office/drawing/2014/main" xmlns="" id="{00000000-0008-0000-0200-00000D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14" name="CommandButton1" hidden="1">
          <a:extLst>
            <a:ext uri="{FF2B5EF4-FFF2-40B4-BE49-F238E27FC236}">
              <a16:creationId xmlns:a16="http://schemas.microsoft.com/office/drawing/2014/main" xmlns="" id="{00000000-0008-0000-0200-00000E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15" name="CommandButton1" hidden="1">
          <a:extLst>
            <a:ext uri="{FF2B5EF4-FFF2-40B4-BE49-F238E27FC236}">
              <a16:creationId xmlns:a16="http://schemas.microsoft.com/office/drawing/2014/main" xmlns="" id="{00000000-0008-0000-0200-00000F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11</xdr:col>
      <xdr:colOff>15898</xdr:colOff>
      <xdr:row>1</xdr:row>
      <xdr:rowOff>76200</xdr:rowOff>
    </xdr:to>
    <xdr:sp macro="" textlink="">
      <xdr:nvSpPr>
        <xdr:cNvPr id="16" name="CommandButton1" hidden="1">
          <a:extLst>
            <a:ext uri="{FF2B5EF4-FFF2-40B4-BE49-F238E27FC236}">
              <a16:creationId xmlns:a16="http://schemas.microsoft.com/office/drawing/2014/main" xmlns="" id="{00000000-0008-0000-0200-000010000000}"/>
            </a:ext>
          </a:extLst>
        </xdr:cNvPr>
        <xdr:cNvSpPr>
          <a:spLocks noChangeArrowheads="1"/>
        </xdr:cNvSpPr>
      </xdr:nvSpPr>
      <xdr:spPr bwMode="auto">
        <a:xfrm>
          <a:off x="14687550" y="19050"/>
          <a:ext cx="1235098"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17" name="CommandButton1" hidden="1">
          <a:extLst>
            <a:ext uri="{FF2B5EF4-FFF2-40B4-BE49-F238E27FC236}">
              <a16:creationId xmlns:a16="http://schemas.microsoft.com/office/drawing/2014/main" xmlns="" id="{00000000-0008-0000-0200-000011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18" name="CommandButton1" hidden="1">
          <a:extLst>
            <a:ext uri="{FF2B5EF4-FFF2-40B4-BE49-F238E27FC236}">
              <a16:creationId xmlns:a16="http://schemas.microsoft.com/office/drawing/2014/main" xmlns="" id="{00000000-0008-0000-0200-000012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19" name="CommandButton1" hidden="1">
          <a:extLst>
            <a:ext uri="{FF2B5EF4-FFF2-40B4-BE49-F238E27FC236}">
              <a16:creationId xmlns:a16="http://schemas.microsoft.com/office/drawing/2014/main" xmlns="" id="{00000000-0008-0000-0200-000013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20" name="CommandButton1" hidden="1">
          <a:extLst>
            <a:ext uri="{FF2B5EF4-FFF2-40B4-BE49-F238E27FC236}">
              <a16:creationId xmlns:a16="http://schemas.microsoft.com/office/drawing/2014/main" xmlns="" id="{00000000-0008-0000-0200-000014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21" name="CommandButton1" hidden="1">
          <a:extLst>
            <a:ext uri="{FF2B5EF4-FFF2-40B4-BE49-F238E27FC236}">
              <a16:creationId xmlns:a16="http://schemas.microsoft.com/office/drawing/2014/main" xmlns="" id="{00000000-0008-0000-0200-000015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22" name="CommandButton1" hidden="1">
          <a:extLst>
            <a:ext uri="{FF2B5EF4-FFF2-40B4-BE49-F238E27FC236}">
              <a16:creationId xmlns:a16="http://schemas.microsoft.com/office/drawing/2014/main" xmlns="" id="{00000000-0008-0000-0200-000016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590549</xdr:colOff>
      <xdr:row>1</xdr:row>
      <xdr:rowOff>76200</xdr:rowOff>
    </xdr:to>
    <xdr:sp macro="" textlink="">
      <xdr:nvSpPr>
        <xdr:cNvPr id="23" name="CommandButton1" hidden="1">
          <a:extLst>
            <a:ext uri="{FF2B5EF4-FFF2-40B4-BE49-F238E27FC236}">
              <a16:creationId xmlns:a16="http://schemas.microsoft.com/office/drawing/2014/main" xmlns="" id="{00000000-0008-0000-0200-000017000000}"/>
            </a:ext>
          </a:extLst>
        </xdr:cNvPr>
        <xdr:cNvSpPr>
          <a:spLocks noChangeArrowheads="1"/>
        </xdr:cNvSpPr>
      </xdr:nvSpPr>
      <xdr:spPr bwMode="auto">
        <a:xfrm>
          <a:off x="14687550" y="19050"/>
          <a:ext cx="120014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24" name="CommandButton1" hidden="1">
          <a:extLst>
            <a:ext uri="{FF2B5EF4-FFF2-40B4-BE49-F238E27FC236}">
              <a16:creationId xmlns:a16="http://schemas.microsoft.com/office/drawing/2014/main" xmlns="" id="{00000000-0008-0000-0200-000018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25" name="CommandButton1" hidden="1">
          <a:extLst>
            <a:ext uri="{FF2B5EF4-FFF2-40B4-BE49-F238E27FC236}">
              <a16:creationId xmlns:a16="http://schemas.microsoft.com/office/drawing/2014/main" xmlns="" id="{00000000-0008-0000-0200-000019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11</xdr:col>
      <xdr:colOff>15899</xdr:colOff>
      <xdr:row>1</xdr:row>
      <xdr:rowOff>76200</xdr:rowOff>
    </xdr:to>
    <xdr:sp macro="" textlink="">
      <xdr:nvSpPr>
        <xdr:cNvPr id="26" name="CommandButton1" hidden="1">
          <a:extLst>
            <a:ext uri="{FF2B5EF4-FFF2-40B4-BE49-F238E27FC236}">
              <a16:creationId xmlns:a16="http://schemas.microsoft.com/office/drawing/2014/main" xmlns="" id="{00000000-0008-0000-0200-00001A000000}"/>
            </a:ext>
          </a:extLst>
        </xdr:cNvPr>
        <xdr:cNvSpPr>
          <a:spLocks noChangeArrowheads="1"/>
        </xdr:cNvSpPr>
      </xdr:nvSpPr>
      <xdr:spPr bwMode="auto">
        <a:xfrm>
          <a:off x="14687550" y="19050"/>
          <a:ext cx="1235099"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27" name="CommandButton1" hidden="1">
          <a:extLst>
            <a:ext uri="{FF2B5EF4-FFF2-40B4-BE49-F238E27FC236}">
              <a16:creationId xmlns:a16="http://schemas.microsoft.com/office/drawing/2014/main" xmlns="" id="{00000000-0008-0000-0200-00001B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28" name="CommandButton1" hidden="1">
          <a:extLst>
            <a:ext uri="{FF2B5EF4-FFF2-40B4-BE49-F238E27FC236}">
              <a16:creationId xmlns:a16="http://schemas.microsoft.com/office/drawing/2014/main" xmlns="" id="{00000000-0008-0000-0200-00001C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29" name="CommandButton1" hidden="1">
          <a:extLst>
            <a:ext uri="{FF2B5EF4-FFF2-40B4-BE49-F238E27FC236}">
              <a16:creationId xmlns:a16="http://schemas.microsoft.com/office/drawing/2014/main" xmlns="" id="{00000000-0008-0000-0200-00001D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30" name="CommandButton1" hidden="1">
          <a:extLst>
            <a:ext uri="{FF2B5EF4-FFF2-40B4-BE49-F238E27FC236}">
              <a16:creationId xmlns:a16="http://schemas.microsoft.com/office/drawing/2014/main" xmlns="" id="{00000000-0008-0000-0200-00001E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31" name="CommandButton1" hidden="1">
          <a:extLst>
            <a:ext uri="{FF2B5EF4-FFF2-40B4-BE49-F238E27FC236}">
              <a16:creationId xmlns:a16="http://schemas.microsoft.com/office/drawing/2014/main" xmlns="" id="{00000000-0008-0000-0200-00001F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32" name="CommandButton1" hidden="1">
          <a:extLst>
            <a:ext uri="{FF2B5EF4-FFF2-40B4-BE49-F238E27FC236}">
              <a16:creationId xmlns:a16="http://schemas.microsoft.com/office/drawing/2014/main" xmlns="" id="{00000000-0008-0000-0200-000020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19050</xdr:rowOff>
    </xdr:from>
    <xdr:to>
      <xdr:col>10</xdr:col>
      <xdr:colOff>590550</xdr:colOff>
      <xdr:row>1</xdr:row>
      <xdr:rowOff>76200</xdr:rowOff>
    </xdr:to>
    <xdr:sp macro="" textlink="">
      <xdr:nvSpPr>
        <xdr:cNvPr id="33" name="CommandButton1" hidden="1">
          <a:extLst>
            <a:ext uri="{FF2B5EF4-FFF2-40B4-BE49-F238E27FC236}">
              <a16:creationId xmlns:a16="http://schemas.microsoft.com/office/drawing/2014/main" xmlns="" id="{00000000-0008-0000-0200-000021000000}"/>
            </a:ext>
          </a:extLst>
        </xdr:cNvPr>
        <xdr:cNvSpPr>
          <a:spLocks noChangeArrowheads="1"/>
        </xdr:cNvSpPr>
      </xdr:nvSpPr>
      <xdr:spPr bwMode="auto">
        <a:xfrm>
          <a:off x="14687550" y="19050"/>
          <a:ext cx="12001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19050</xdr:rowOff>
    </xdr:from>
    <xdr:to>
      <xdr:col>11</xdr:col>
      <xdr:colOff>154781</xdr:colOff>
      <xdr:row>1</xdr:row>
      <xdr:rowOff>76200</xdr:rowOff>
    </xdr:to>
    <xdr:sp macro="" textlink="">
      <xdr:nvSpPr>
        <xdr:cNvPr id="11266" name="CommandButton1" hidden="1">
          <a:extLst>
            <a:ext uri="{63B3BB69-23CF-44E3-9099-C40C66FF867C}">
              <a14:compatExt xmlns:a14="http://schemas.microsoft.com/office/drawing/2010/main" spid="_x0000_s11266"/>
            </a:ext>
            <a:ext uri="{FF2B5EF4-FFF2-40B4-BE49-F238E27FC236}">
              <a16:creationId xmlns:a16="http://schemas.microsoft.com/office/drawing/2014/main" xmlns="" id="{00000000-0008-0000-0300-000002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0</xdr:colOff>
      <xdr:row>1</xdr:row>
      <xdr:rowOff>95250</xdr:rowOff>
    </xdr:from>
    <xdr:to>
      <xdr:col>11</xdr:col>
      <xdr:colOff>164306</xdr:colOff>
      <xdr:row>3</xdr:row>
      <xdr:rowOff>190500</xdr:rowOff>
    </xdr:to>
    <xdr:sp macro="" textlink="">
      <xdr:nvSpPr>
        <xdr:cNvPr id="11267" name="CommandButton2" hidden="1">
          <a:extLst>
            <a:ext uri="{63B3BB69-23CF-44E3-9099-C40C66FF867C}">
              <a14:compatExt xmlns:a14="http://schemas.microsoft.com/office/drawing/2010/main" spid="_x0000_s11267"/>
            </a:ext>
            <a:ext uri="{FF2B5EF4-FFF2-40B4-BE49-F238E27FC236}">
              <a16:creationId xmlns:a16="http://schemas.microsoft.com/office/drawing/2014/main" xmlns="" id="{00000000-0008-0000-0300-000003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0</xdr:row>
      <xdr:rowOff>19050</xdr:rowOff>
    </xdr:from>
    <xdr:to>
      <xdr:col>10</xdr:col>
      <xdr:colOff>473870</xdr:colOff>
      <xdr:row>1</xdr:row>
      <xdr:rowOff>76200</xdr:rowOff>
    </xdr:to>
    <xdr:sp macro="" textlink="">
      <xdr:nvSpPr>
        <xdr:cNvPr id="4" name="CommandButton1" hidden="1">
          <a:extLst>
            <a:ext uri="{63B3BB69-23CF-44E3-9099-C40C66FF867C}">
              <a14:compatExt xmlns:a14="http://schemas.microsoft.com/office/drawing/2010/main" spid="_x0000_s11266"/>
            </a:ext>
            <a:ext uri="{FF2B5EF4-FFF2-40B4-BE49-F238E27FC236}">
              <a16:creationId xmlns:a16="http://schemas.microsoft.com/office/drawing/2014/main" xmlns="" id="{00000000-0008-0000-0300-000004000000}"/>
            </a:ext>
          </a:extLst>
        </xdr:cNvPr>
        <xdr:cNvSpPr/>
      </xdr:nvSpPr>
      <xdr:spPr bwMode="auto">
        <a:xfrm>
          <a:off x="15030450" y="19050"/>
          <a:ext cx="122396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10</xdr:col>
      <xdr:colOff>483395</xdr:colOff>
      <xdr:row>3</xdr:row>
      <xdr:rowOff>190500</xdr:rowOff>
    </xdr:to>
    <xdr:sp macro="" textlink="">
      <xdr:nvSpPr>
        <xdr:cNvPr id="5" name="CommandButton2" hidden="1">
          <a:extLst>
            <a:ext uri="{63B3BB69-23CF-44E3-9099-C40C66FF867C}">
              <a14:compatExt xmlns:a14="http://schemas.microsoft.com/office/drawing/2010/main" spid="_x0000_s11267"/>
            </a:ext>
            <a:ext uri="{FF2B5EF4-FFF2-40B4-BE49-F238E27FC236}">
              <a16:creationId xmlns:a16="http://schemas.microsoft.com/office/drawing/2014/main" xmlns="" id="{00000000-0008-0000-0300-000005000000}"/>
            </a:ext>
          </a:extLst>
        </xdr:cNvPr>
        <xdr:cNvSpPr/>
      </xdr:nvSpPr>
      <xdr:spPr bwMode="auto">
        <a:xfrm>
          <a:off x="15030450" y="409575"/>
          <a:ext cx="123348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0</xdr:colOff>
      <xdr:row>0</xdr:row>
      <xdr:rowOff>19050</xdr:rowOff>
    </xdr:from>
    <xdr:to>
      <xdr:col>11</xdr:col>
      <xdr:colOff>171450</xdr:colOff>
      <xdr:row>1</xdr:row>
      <xdr:rowOff>76200</xdr:rowOff>
    </xdr:to>
    <xdr:sp macro="" textlink="">
      <xdr:nvSpPr>
        <xdr:cNvPr id="6" name="CommandButton1" hidden="1">
          <a:extLst>
            <a:ext uri="{FF2B5EF4-FFF2-40B4-BE49-F238E27FC236}">
              <a16:creationId xmlns:a16="http://schemas.microsoft.com/office/drawing/2014/main" xmlns="" id="{00000000-0008-0000-0300-000006000000}"/>
            </a:ext>
          </a:extLst>
        </xdr:cNvPr>
        <xdr:cNvSpPr>
          <a:spLocks noChangeArrowheads="1"/>
        </xdr:cNvSpPr>
      </xdr:nvSpPr>
      <xdr:spPr bwMode="auto">
        <a:xfrm>
          <a:off x="15640050" y="19050"/>
          <a:ext cx="1223963"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xdr:row>
      <xdr:rowOff>95250</xdr:rowOff>
    </xdr:from>
    <xdr:to>
      <xdr:col>11</xdr:col>
      <xdr:colOff>180975</xdr:colOff>
      <xdr:row>3</xdr:row>
      <xdr:rowOff>190500</xdr:rowOff>
    </xdr:to>
    <xdr:sp macro="" textlink="">
      <xdr:nvSpPr>
        <xdr:cNvPr id="7" name="CommandButton2" hidden="1">
          <a:extLst>
            <a:ext uri="{FF2B5EF4-FFF2-40B4-BE49-F238E27FC236}">
              <a16:creationId xmlns:a16="http://schemas.microsoft.com/office/drawing/2014/main" xmlns="" id="{00000000-0008-0000-0300-000007000000}"/>
            </a:ext>
          </a:extLst>
        </xdr:cNvPr>
        <xdr:cNvSpPr>
          <a:spLocks noChangeArrowheads="1"/>
        </xdr:cNvSpPr>
      </xdr:nvSpPr>
      <xdr:spPr bwMode="auto">
        <a:xfrm>
          <a:off x="15640050" y="409575"/>
          <a:ext cx="1233488"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0</xdr:row>
      <xdr:rowOff>19050</xdr:rowOff>
    </xdr:from>
    <xdr:to>
      <xdr:col>11</xdr:col>
      <xdr:colOff>145257</xdr:colOff>
      <xdr:row>1</xdr:row>
      <xdr:rowOff>76200</xdr:rowOff>
    </xdr:to>
    <xdr:sp macro="" textlink="">
      <xdr:nvSpPr>
        <xdr:cNvPr id="8" name="CommandButton1" hidden="1">
          <a:extLst>
            <a:ext uri="{63B3BB69-23CF-44E3-9099-C40C66FF867C}">
              <a14:compatExt xmlns:a14="http://schemas.microsoft.com/office/drawing/2010/main" spid="_x0000_s11266"/>
            </a:ext>
            <a:ext uri="{FF2B5EF4-FFF2-40B4-BE49-F238E27FC236}">
              <a16:creationId xmlns:a16="http://schemas.microsoft.com/office/drawing/2014/main" xmlns="" id="{00000000-0008-0000-0300-000008000000}"/>
            </a:ext>
          </a:extLst>
        </xdr:cNvPr>
        <xdr:cNvSpPr/>
      </xdr:nvSpPr>
      <xdr:spPr bwMode="auto">
        <a:xfrm>
          <a:off x="15640050" y="19050"/>
          <a:ext cx="1195388"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0</xdr:colOff>
      <xdr:row>1</xdr:row>
      <xdr:rowOff>95250</xdr:rowOff>
    </xdr:from>
    <xdr:to>
      <xdr:col>11</xdr:col>
      <xdr:colOff>158750</xdr:colOff>
      <xdr:row>3</xdr:row>
      <xdr:rowOff>190500</xdr:rowOff>
    </xdr:to>
    <xdr:sp macro="" textlink="">
      <xdr:nvSpPr>
        <xdr:cNvPr id="9" name="CommandButton2" hidden="1">
          <a:extLst>
            <a:ext uri="{63B3BB69-23CF-44E3-9099-C40C66FF867C}">
              <a14:compatExt xmlns:a14="http://schemas.microsoft.com/office/drawing/2010/main" spid="_x0000_s11267"/>
            </a:ext>
            <a:ext uri="{FF2B5EF4-FFF2-40B4-BE49-F238E27FC236}">
              <a16:creationId xmlns:a16="http://schemas.microsoft.com/office/drawing/2014/main" xmlns="" id="{00000000-0008-0000-0300-000009000000}"/>
            </a:ext>
          </a:extLst>
        </xdr:cNvPr>
        <xdr:cNvSpPr/>
      </xdr:nvSpPr>
      <xdr:spPr bwMode="auto">
        <a:xfrm>
          <a:off x="15640050" y="409575"/>
          <a:ext cx="1208881"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0</xdr:colOff>
      <xdr:row>0</xdr:row>
      <xdr:rowOff>19050</xdr:rowOff>
    </xdr:from>
    <xdr:to>
      <xdr:col>11</xdr:col>
      <xdr:colOff>147918</xdr:colOff>
      <xdr:row>1</xdr:row>
      <xdr:rowOff>76200</xdr:rowOff>
    </xdr:to>
    <xdr:sp macro="" textlink="">
      <xdr:nvSpPr>
        <xdr:cNvPr id="10" name="CommandButton1" hidden="1">
          <a:extLst>
            <a:ext uri="{63B3BB69-23CF-44E3-9099-C40C66FF867C}">
              <a14:compatExt xmlns:a14="http://schemas.microsoft.com/office/drawing/2010/main" spid="_x0000_s11266"/>
            </a:ext>
            <a:ext uri="{FF2B5EF4-FFF2-40B4-BE49-F238E27FC236}">
              <a16:creationId xmlns:a16="http://schemas.microsoft.com/office/drawing/2014/main" xmlns="" id="{00000000-0008-0000-0300-00000A000000}"/>
            </a:ext>
          </a:extLst>
        </xdr:cNvPr>
        <xdr:cNvSpPr/>
      </xdr:nvSpPr>
      <xdr:spPr bwMode="auto">
        <a:xfrm>
          <a:off x="15640050" y="19050"/>
          <a:ext cx="1198049"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0</xdr:colOff>
      <xdr:row>1</xdr:row>
      <xdr:rowOff>95250</xdr:rowOff>
    </xdr:from>
    <xdr:to>
      <xdr:col>11</xdr:col>
      <xdr:colOff>157443</xdr:colOff>
      <xdr:row>3</xdr:row>
      <xdr:rowOff>190500</xdr:rowOff>
    </xdr:to>
    <xdr:sp macro="" textlink="">
      <xdr:nvSpPr>
        <xdr:cNvPr id="11" name="CommandButton2" hidden="1">
          <a:extLst>
            <a:ext uri="{63B3BB69-23CF-44E3-9099-C40C66FF867C}">
              <a14:compatExt xmlns:a14="http://schemas.microsoft.com/office/drawing/2010/main" spid="_x0000_s11267"/>
            </a:ext>
            <a:ext uri="{FF2B5EF4-FFF2-40B4-BE49-F238E27FC236}">
              <a16:creationId xmlns:a16="http://schemas.microsoft.com/office/drawing/2014/main" xmlns="" id="{00000000-0008-0000-0300-00000B000000}"/>
            </a:ext>
          </a:extLst>
        </xdr:cNvPr>
        <xdr:cNvSpPr/>
      </xdr:nvSpPr>
      <xdr:spPr bwMode="auto">
        <a:xfrm>
          <a:off x="15640050" y="409575"/>
          <a:ext cx="1207574"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oneCellAnchor>
    <xdr:from>
      <xdr:col>6</xdr:col>
      <xdr:colOff>77707</xdr:colOff>
      <xdr:row>17</xdr:row>
      <xdr:rowOff>108160</xdr:rowOff>
    </xdr:from>
    <xdr:ext cx="6614283" cy="3335703"/>
    <xdr:pic>
      <xdr:nvPicPr>
        <xdr:cNvPr id="3" name="Imagem 2">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1"/>
        <a:stretch>
          <a:fillRect/>
        </a:stretch>
      </xdr:blipFill>
      <xdr:spPr>
        <a:xfrm>
          <a:off x="8578770" y="4573004"/>
          <a:ext cx="6614283" cy="333570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EORC/PESQUISAS%20DE%20PRE&#199;OS/2023/00200.004639-2023-11%20-%20Instala&#231;&#227;o%20de%20splits%20no%20bloco%2017/An&#225;lise%20Preg&#227;o/PLANILH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ições"/>
      <sheetName val="Comp.Aux1"/>
      <sheetName val="Comp.Aux2"/>
      <sheetName val="Orçamentária"/>
      <sheetName val="BDI"/>
    </sheetNames>
    <sheetDataSet>
      <sheetData sheetId="0">
        <row r="1">
          <cell r="I1">
            <v>0</v>
          </cell>
          <cell r="J1">
            <v>0</v>
          </cell>
        </row>
        <row r="2">
          <cell r="I2">
            <v>0</v>
          </cell>
          <cell r="J2">
            <v>0</v>
          </cell>
        </row>
        <row r="3">
          <cell r="J3">
            <v>0</v>
          </cell>
        </row>
        <row r="4">
          <cell r="I4">
            <v>0</v>
          </cell>
          <cell r="J4">
            <v>0</v>
          </cell>
          <cell r="L4">
            <v>0</v>
          </cell>
          <cell r="N4">
            <v>0</v>
          </cell>
        </row>
        <row r="5">
          <cell r="I5">
            <v>0</v>
          </cell>
        </row>
        <row r="6">
          <cell r="I6">
            <v>0</v>
          </cell>
        </row>
        <row r="7">
          <cell r="I7">
            <v>0</v>
          </cell>
        </row>
        <row r="8">
          <cell r="I8">
            <v>0</v>
          </cell>
        </row>
        <row r="9">
          <cell r="I9">
            <v>0</v>
          </cell>
        </row>
        <row r="10">
          <cell r="I10">
            <v>0</v>
          </cell>
        </row>
        <row r="11">
          <cell r="I11">
            <v>0</v>
          </cell>
        </row>
        <row r="12">
          <cell r="I12">
            <v>0</v>
          </cell>
        </row>
        <row r="13">
          <cell r="I13">
            <v>0</v>
          </cell>
        </row>
        <row r="14">
          <cell r="I14">
            <v>0</v>
          </cell>
        </row>
        <row r="15">
          <cell r="I15">
            <v>0</v>
          </cell>
        </row>
        <row r="16">
          <cell r="I16">
            <v>0</v>
          </cell>
        </row>
        <row r="17">
          <cell r="I17">
            <v>0</v>
          </cell>
        </row>
        <row r="18">
          <cell r="I18">
            <v>0</v>
          </cell>
        </row>
        <row r="19">
          <cell r="I19">
            <v>0</v>
          </cell>
        </row>
        <row r="20">
          <cell r="I20">
            <v>0</v>
          </cell>
        </row>
        <row r="21">
          <cell r="I21">
            <v>0</v>
          </cell>
        </row>
        <row r="22">
          <cell r="I22">
            <v>0</v>
          </cell>
        </row>
        <row r="23">
          <cell r="I23">
            <v>0</v>
          </cell>
        </row>
        <row r="24">
          <cell r="I24">
            <v>0</v>
          </cell>
        </row>
        <row r="25">
          <cell r="I25">
            <v>0</v>
          </cell>
        </row>
        <row r="26">
          <cell r="I26">
            <v>0</v>
          </cell>
        </row>
        <row r="27">
          <cell r="I27">
            <v>0</v>
          </cell>
        </row>
        <row r="28">
          <cell r="I28">
            <v>0</v>
          </cell>
        </row>
        <row r="29">
          <cell r="I29">
            <v>0</v>
          </cell>
        </row>
        <row r="30">
          <cell r="I30">
            <v>0</v>
          </cell>
        </row>
        <row r="31">
          <cell r="I31">
            <v>0</v>
          </cell>
        </row>
        <row r="32">
          <cell r="I32">
            <v>0</v>
          </cell>
        </row>
        <row r="33">
          <cell r="I33">
            <v>0</v>
          </cell>
        </row>
        <row r="34">
          <cell r="I34">
            <v>0</v>
          </cell>
        </row>
        <row r="35">
          <cell r="I35">
            <v>0</v>
          </cell>
        </row>
        <row r="36">
          <cell r="I36">
            <v>0</v>
          </cell>
        </row>
        <row r="37">
          <cell r="I37">
            <v>0</v>
          </cell>
        </row>
        <row r="38">
          <cell r="I38">
            <v>0</v>
          </cell>
        </row>
        <row r="39">
          <cell r="I39">
            <v>0</v>
          </cell>
        </row>
        <row r="40">
          <cell r="I40">
            <v>0</v>
          </cell>
        </row>
        <row r="41">
          <cell r="I41">
            <v>0</v>
          </cell>
        </row>
        <row r="42">
          <cell r="I42">
            <v>0</v>
          </cell>
        </row>
        <row r="43">
          <cell r="I43">
            <v>0</v>
          </cell>
        </row>
        <row r="44">
          <cell r="I44">
            <v>0</v>
          </cell>
        </row>
        <row r="45">
          <cell r="I45">
            <v>0</v>
          </cell>
        </row>
        <row r="46">
          <cell r="I46">
            <v>0</v>
          </cell>
        </row>
        <row r="47">
          <cell r="I47">
            <v>0</v>
          </cell>
        </row>
        <row r="48">
          <cell r="I48">
            <v>0</v>
          </cell>
        </row>
        <row r="49">
          <cell r="I49">
            <v>0</v>
          </cell>
        </row>
        <row r="50">
          <cell r="I50">
            <v>0</v>
          </cell>
        </row>
        <row r="51">
          <cell r="I51">
            <v>0</v>
          </cell>
        </row>
        <row r="52">
          <cell r="I52">
            <v>0</v>
          </cell>
        </row>
        <row r="53">
          <cell r="I53">
            <v>0</v>
          </cell>
        </row>
        <row r="54">
          <cell r="I54">
            <v>0</v>
          </cell>
        </row>
        <row r="55">
          <cell r="I55">
            <v>0</v>
          </cell>
        </row>
        <row r="56">
          <cell r="I56">
            <v>0</v>
          </cell>
        </row>
        <row r="57">
          <cell r="I57">
            <v>0</v>
          </cell>
        </row>
        <row r="58">
          <cell r="I58">
            <v>0</v>
          </cell>
        </row>
        <row r="59">
          <cell r="I59">
            <v>0</v>
          </cell>
        </row>
        <row r="60">
          <cell r="I60">
            <v>0</v>
          </cell>
        </row>
        <row r="61">
          <cell r="I61">
            <v>0</v>
          </cell>
        </row>
        <row r="62">
          <cell r="I62">
            <v>0</v>
          </cell>
        </row>
        <row r="63">
          <cell r="I63">
            <v>0</v>
          </cell>
        </row>
        <row r="64">
          <cell r="I64">
            <v>0</v>
          </cell>
        </row>
        <row r="65">
          <cell r="I65">
            <v>0</v>
          </cell>
        </row>
        <row r="66">
          <cell r="I66">
            <v>0</v>
          </cell>
        </row>
        <row r="67">
          <cell r="I67">
            <v>0</v>
          </cell>
        </row>
        <row r="68">
          <cell r="I68">
            <v>0</v>
          </cell>
        </row>
        <row r="69">
          <cell r="I69">
            <v>0</v>
          </cell>
        </row>
        <row r="70">
          <cell r="I70">
            <v>0</v>
          </cell>
        </row>
        <row r="71">
          <cell r="I71">
            <v>0</v>
          </cell>
        </row>
        <row r="72">
          <cell r="I72">
            <v>0</v>
          </cell>
        </row>
        <row r="73">
          <cell r="I73">
            <v>0</v>
          </cell>
        </row>
        <row r="74">
          <cell r="I74">
            <v>0</v>
          </cell>
        </row>
        <row r="75">
          <cell r="I75">
            <v>0</v>
          </cell>
        </row>
        <row r="76">
          <cell r="I76">
            <v>0</v>
          </cell>
        </row>
        <row r="77">
          <cell r="I77">
            <v>0</v>
          </cell>
        </row>
        <row r="78">
          <cell r="I78">
            <v>0</v>
          </cell>
        </row>
        <row r="79">
          <cell r="I79">
            <v>0</v>
          </cell>
        </row>
        <row r="80">
          <cell r="I80">
            <v>0</v>
          </cell>
        </row>
        <row r="81">
          <cell r="I81">
            <v>0</v>
          </cell>
        </row>
        <row r="82">
          <cell r="I82">
            <v>0</v>
          </cell>
        </row>
        <row r="83">
          <cell r="I83">
            <v>0</v>
          </cell>
        </row>
        <row r="84">
          <cell r="I84">
            <v>0</v>
          </cell>
        </row>
        <row r="85">
          <cell r="I85">
            <v>0</v>
          </cell>
        </row>
        <row r="86">
          <cell r="I86">
            <v>0</v>
          </cell>
        </row>
        <row r="87">
          <cell r="I87">
            <v>0</v>
          </cell>
        </row>
        <row r="88">
          <cell r="I88">
            <v>0</v>
          </cell>
        </row>
        <row r="89">
          <cell r="I89">
            <v>0</v>
          </cell>
        </row>
        <row r="90">
          <cell r="I90">
            <v>0</v>
          </cell>
        </row>
        <row r="91">
          <cell r="I91">
            <v>0</v>
          </cell>
        </row>
        <row r="92">
          <cell r="I92">
            <v>0</v>
          </cell>
        </row>
        <row r="93">
          <cell r="I93">
            <v>0</v>
          </cell>
        </row>
        <row r="94">
          <cell r="I94">
            <v>0</v>
          </cell>
        </row>
        <row r="95">
          <cell r="I95">
            <v>0</v>
          </cell>
        </row>
        <row r="96">
          <cell r="I96">
            <v>0</v>
          </cell>
        </row>
        <row r="97">
          <cell r="I97">
            <v>0</v>
          </cell>
        </row>
        <row r="98">
          <cell r="I98">
            <v>0</v>
          </cell>
        </row>
        <row r="99">
          <cell r="I99">
            <v>0</v>
          </cell>
        </row>
        <row r="100">
          <cell r="I100">
            <v>0</v>
          </cell>
        </row>
        <row r="101">
          <cell r="I101">
            <v>0</v>
          </cell>
        </row>
        <row r="102">
          <cell r="I102">
            <v>0</v>
          </cell>
        </row>
        <row r="103">
          <cell r="I103">
            <v>0</v>
          </cell>
        </row>
        <row r="104">
          <cell r="I104">
            <v>0</v>
          </cell>
        </row>
        <row r="105">
          <cell r="I105">
            <v>0</v>
          </cell>
        </row>
        <row r="106">
          <cell r="I106">
            <v>0</v>
          </cell>
        </row>
        <row r="107">
          <cell r="I107">
            <v>0</v>
          </cell>
        </row>
        <row r="108">
          <cell r="I108">
            <v>0</v>
          </cell>
        </row>
        <row r="109">
          <cell r="I109">
            <v>0</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136">
          <cell r="I136">
            <v>0</v>
          </cell>
        </row>
        <row r="137">
          <cell r="I137">
            <v>0</v>
          </cell>
        </row>
        <row r="138">
          <cell r="I138">
            <v>0</v>
          </cell>
        </row>
        <row r="139">
          <cell r="I139">
            <v>0</v>
          </cell>
        </row>
        <row r="140">
          <cell r="I140">
            <v>0</v>
          </cell>
        </row>
        <row r="141">
          <cell r="I141">
            <v>0</v>
          </cell>
        </row>
        <row r="142">
          <cell r="I142">
            <v>0</v>
          </cell>
        </row>
        <row r="143">
          <cell r="I143">
            <v>0</v>
          </cell>
        </row>
        <row r="144">
          <cell r="I144">
            <v>0</v>
          </cell>
        </row>
        <row r="145">
          <cell r="I145">
            <v>0</v>
          </cell>
        </row>
        <row r="146">
          <cell r="I146">
            <v>0</v>
          </cell>
        </row>
        <row r="147">
          <cell r="I147">
            <v>0</v>
          </cell>
        </row>
        <row r="148">
          <cell r="I148">
            <v>0</v>
          </cell>
        </row>
        <row r="149">
          <cell r="I149">
            <v>0</v>
          </cell>
        </row>
        <row r="150">
          <cell r="I150">
            <v>0</v>
          </cell>
        </row>
        <row r="151">
          <cell r="I151">
            <v>0</v>
          </cell>
        </row>
        <row r="152">
          <cell r="I152">
            <v>0</v>
          </cell>
        </row>
        <row r="153">
          <cell r="I153">
            <v>0</v>
          </cell>
        </row>
        <row r="154">
          <cell r="I154">
            <v>0</v>
          </cell>
        </row>
        <row r="155">
          <cell r="I155">
            <v>0</v>
          </cell>
        </row>
        <row r="156">
          <cell r="I156">
            <v>0</v>
          </cell>
        </row>
        <row r="157">
          <cell r="I157">
            <v>0</v>
          </cell>
        </row>
        <row r="158">
          <cell r="I158">
            <v>0</v>
          </cell>
        </row>
        <row r="159">
          <cell r="I159">
            <v>0</v>
          </cell>
        </row>
        <row r="160">
          <cell r="I160">
            <v>0</v>
          </cell>
        </row>
        <row r="161">
          <cell r="I161">
            <v>0</v>
          </cell>
        </row>
        <row r="162">
          <cell r="I162">
            <v>0</v>
          </cell>
        </row>
        <row r="163">
          <cell r="I163">
            <v>0</v>
          </cell>
        </row>
        <row r="164">
          <cell r="I164">
            <v>0</v>
          </cell>
        </row>
        <row r="165">
          <cell r="I165">
            <v>0</v>
          </cell>
        </row>
        <row r="166">
          <cell r="I166">
            <v>0</v>
          </cell>
        </row>
        <row r="167">
          <cell r="I167">
            <v>0</v>
          </cell>
        </row>
        <row r="168">
          <cell r="I168">
            <v>0</v>
          </cell>
        </row>
        <row r="169">
          <cell r="I169">
            <v>0</v>
          </cell>
        </row>
        <row r="170">
          <cell r="I170">
            <v>0</v>
          </cell>
        </row>
        <row r="171">
          <cell r="I171">
            <v>0</v>
          </cell>
        </row>
        <row r="172">
          <cell r="I172">
            <v>0</v>
          </cell>
        </row>
        <row r="173">
          <cell r="I173">
            <v>0</v>
          </cell>
        </row>
        <row r="174">
          <cell r="I174">
            <v>0</v>
          </cell>
        </row>
        <row r="175">
          <cell r="I175">
            <v>0</v>
          </cell>
        </row>
        <row r="176">
          <cell r="I176">
            <v>0</v>
          </cell>
        </row>
        <row r="177">
          <cell r="I177">
            <v>0</v>
          </cell>
        </row>
        <row r="178">
          <cell r="I178">
            <v>0</v>
          </cell>
        </row>
        <row r="179">
          <cell r="I179">
            <v>0</v>
          </cell>
        </row>
        <row r="180">
          <cell r="I180">
            <v>0</v>
          </cell>
        </row>
        <row r="181">
          <cell r="I181">
            <v>0</v>
          </cell>
        </row>
        <row r="182">
          <cell r="I182">
            <v>0</v>
          </cell>
        </row>
        <row r="183">
          <cell r="I183">
            <v>0</v>
          </cell>
        </row>
        <row r="184">
          <cell r="I184">
            <v>0</v>
          </cell>
        </row>
        <row r="185">
          <cell r="I185">
            <v>0</v>
          </cell>
        </row>
        <row r="186">
          <cell r="I186">
            <v>0</v>
          </cell>
        </row>
        <row r="187">
          <cell r="I187">
            <v>0</v>
          </cell>
        </row>
        <row r="188">
          <cell r="I188">
            <v>0</v>
          </cell>
        </row>
        <row r="189">
          <cell r="I189">
            <v>0</v>
          </cell>
        </row>
        <row r="190">
          <cell r="I190">
            <v>0</v>
          </cell>
        </row>
        <row r="191">
          <cell r="I191">
            <v>0</v>
          </cell>
        </row>
        <row r="192">
          <cell r="I192">
            <v>0</v>
          </cell>
        </row>
        <row r="193">
          <cell r="I193">
            <v>0</v>
          </cell>
        </row>
        <row r="194">
          <cell r="I194">
            <v>0</v>
          </cell>
        </row>
        <row r="195">
          <cell r="I195">
            <v>0</v>
          </cell>
        </row>
        <row r="196">
          <cell r="I196">
            <v>0</v>
          </cell>
        </row>
        <row r="197">
          <cell r="I197">
            <v>0</v>
          </cell>
        </row>
        <row r="198">
          <cell r="I198">
            <v>0</v>
          </cell>
        </row>
        <row r="199">
          <cell r="I199">
            <v>0</v>
          </cell>
        </row>
        <row r="200">
          <cell r="I200">
            <v>0</v>
          </cell>
        </row>
        <row r="201">
          <cell r="I201">
            <v>0</v>
          </cell>
        </row>
        <row r="202">
          <cell r="I202">
            <v>0</v>
          </cell>
        </row>
        <row r="203">
          <cell r="I203">
            <v>0</v>
          </cell>
        </row>
        <row r="204">
          <cell r="I204">
            <v>0</v>
          </cell>
        </row>
        <row r="205">
          <cell r="I205">
            <v>0</v>
          </cell>
        </row>
        <row r="206">
          <cell r="I206">
            <v>0</v>
          </cell>
        </row>
        <row r="207">
          <cell r="I207">
            <v>0</v>
          </cell>
        </row>
        <row r="208">
          <cell r="I208">
            <v>0</v>
          </cell>
        </row>
        <row r="209">
          <cell r="I209">
            <v>0</v>
          </cell>
        </row>
        <row r="210">
          <cell r="I210">
            <v>0</v>
          </cell>
        </row>
        <row r="211">
          <cell r="I211">
            <v>0</v>
          </cell>
        </row>
        <row r="212">
          <cell r="I212">
            <v>0</v>
          </cell>
        </row>
        <row r="213">
          <cell r="I213">
            <v>0</v>
          </cell>
        </row>
        <row r="214">
          <cell r="I214">
            <v>0</v>
          </cell>
        </row>
        <row r="215">
          <cell r="I215">
            <v>0</v>
          </cell>
        </row>
        <row r="216">
          <cell r="I216">
            <v>0</v>
          </cell>
        </row>
        <row r="217">
          <cell r="I217">
            <v>0</v>
          </cell>
        </row>
        <row r="218">
          <cell r="I218">
            <v>0</v>
          </cell>
        </row>
        <row r="219">
          <cell r="I219">
            <v>0</v>
          </cell>
        </row>
        <row r="220">
          <cell r="I220">
            <v>0</v>
          </cell>
        </row>
        <row r="221">
          <cell r="I221">
            <v>0</v>
          </cell>
        </row>
        <row r="222">
          <cell r="I222">
            <v>0</v>
          </cell>
        </row>
        <row r="223">
          <cell r="I223">
            <v>0</v>
          </cell>
        </row>
        <row r="224">
          <cell r="I224">
            <v>0</v>
          </cell>
        </row>
        <row r="225">
          <cell r="I225">
            <v>0</v>
          </cell>
        </row>
        <row r="226">
          <cell r="I226">
            <v>0</v>
          </cell>
        </row>
        <row r="227">
          <cell r="I227">
            <v>0</v>
          </cell>
        </row>
        <row r="228">
          <cell r="I228">
            <v>0</v>
          </cell>
        </row>
        <row r="229">
          <cell r="I229">
            <v>0</v>
          </cell>
        </row>
        <row r="230">
          <cell r="I230">
            <v>0</v>
          </cell>
        </row>
        <row r="231">
          <cell r="I231">
            <v>0</v>
          </cell>
        </row>
        <row r="232">
          <cell r="I232">
            <v>0</v>
          </cell>
        </row>
        <row r="233">
          <cell r="I233">
            <v>0</v>
          </cell>
        </row>
        <row r="234">
          <cell r="I234">
            <v>0</v>
          </cell>
        </row>
        <row r="235">
          <cell r="I235">
            <v>0</v>
          </cell>
        </row>
        <row r="236">
          <cell r="I236">
            <v>0</v>
          </cell>
        </row>
        <row r="237">
          <cell r="I237">
            <v>0</v>
          </cell>
        </row>
        <row r="238">
          <cell r="I238">
            <v>0</v>
          </cell>
        </row>
        <row r="239">
          <cell r="I239">
            <v>0</v>
          </cell>
        </row>
        <row r="240">
          <cell r="I240">
            <v>0</v>
          </cell>
        </row>
        <row r="241">
          <cell r="I241">
            <v>0</v>
          </cell>
        </row>
        <row r="242">
          <cell r="I242">
            <v>0</v>
          </cell>
        </row>
        <row r="243">
          <cell r="I243">
            <v>0</v>
          </cell>
        </row>
        <row r="244">
          <cell r="I244">
            <v>0</v>
          </cell>
        </row>
        <row r="245">
          <cell r="I245">
            <v>0</v>
          </cell>
        </row>
        <row r="246">
          <cell r="I246">
            <v>0</v>
          </cell>
        </row>
        <row r="247">
          <cell r="I247">
            <v>0</v>
          </cell>
        </row>
        <row r="248">
          <cell r="I248">
            <v>0</v>
          </cell>
        </row>
        <row r="249">
          <cell r="I249">
            <v>0</v>
          </cell>
        </row>
        <row r="250">
          <cell r="I250">
            <v>0</v>
          </cell>
        </row>
        <row r="251">
          <cell r="I251">
            <v>0</v>
          </cell>
        </row>
        <row r="252">
          <cell r="I252">
            <v>0</v>
          </cell>
        </row>
        <row r="253">
          <cell r="I253">
            <v>0</v>
          </cell>
        </row>
        <row r="254">
          <cell r="I254">
            <v>0</v>
          </cell>
        </row>
        <row r="255">
          <cell r="I255">
            <v>0</v>
          </cell>
        </row>
        <row r="256">
          <cell r="I256">
            <v>0</v>
          </cell>
        </row>
        <row r="257">
          <cell r="I257">
            <v>0</v>
          </cell>
        </row>
        <row r="258">
          <cell r="I258">
            <v>0</v>
          </cell>
        </row>
        <row r="259">
          <cell r="I259">
            <v>0</v>
          </cell>
        </row>
        <row r="260">
          <cell r="I260">
            <v>0</v>
          </cell>
        </row>
        <row r="261">
          <cell r="I261">
            <v>0</v>
          </cell>
        </row>
        <row r="262">
          <cell r="I262">
            <v>0</v>
          </cell>
        </row>
        <row r="263">
          <cell r="I263">
            <v>0</v>
          </cell>
        </row>
        <row r="264">
          <cell r="I264">
            <v>0</v>
          </cell>
        </row>
        <row r="265">
          <cell r="I265">
            <v>0</v>
          </cell>
        </row>
        <row r="266">
          <cell r="I266">
            <v>0</v>
          </cell>
        </row>
        <row r="267">
          <cell r="I267">
            <v>0</v>
          </cell>
        </row>
        <row r="268">
          <cell r="I268">
            <v>0</v>
          </cell>
        </row>
        <row r="269">
          <cell r="I269">
            <v>0</v>
          </cell>
        </row>
        <row r="270">
          <cell r="I270">
            <v>0</v>
          </cell>
        </row>
        <row r="271">
          <cell r="I271">
            <v>0</v>
          </cell>
        </row>
        <row r="272">
          <cell r="I272">
            <v>0</v>
          </cell>
        </row>
        <row r="273">
          <cell r="I273">
            <v>0</v>
          </cell>
        </row>
        <row r="274">
          <cell r="I274">
            <v>0</v>
          </cell>
        </row>
        <row r="275">
          <cell r="I275">
            <v>0</v>
          </cell>
        </row>
        <row r="276">
          <cell r="I276">
            <v>0</v>
          </cell>
        </row>
        <row r="277">
          <cell r="I277">
            <v>0</v>
          </cell>
        </row>
        <row r="278">
          <cell r="I278">
            <v>0</v>
          </cell>
        </row>
        <row r="279">
          <cell r="I279">
            <v>0</v>
          </cell>
        </row>
        <row r="280">
          <cell r="I280">
            <v>0</v>
          </cell>
        </row>
        <row r="281">
          <cell r="I281">
            <v>0</v>
          </cell>
        </row>
        <row r="282">
          <cell r="I282">
            <v>0</v>
          </cell>
        </row>
        <row r="283">
          <cell r="I283">
            <v>0</v>
          </cell>
        </row>
        <row r="284">
          <cell r="I284">
            <v>0</v>
          </cell>
        </row>
        <row r="285">
          <cell r="I285">
            <v>0</v>
          </cell>
        </row>
        <row r="286">
          <cell r="I286">
            <v>0</v>
          </cell>
        </row>
        <row r="287">
          <cell r="I287">
            <v>0</v>
          </cell>
        </row>
        <row r="288">
          <cell r="I288">
            <v>0</v>
          </cell>
        </row>
        <row r="289">
          <cell r="I289">
            <v>0</v>
          </cell>
        </row>
        <row r="290">
          <cell r="I290">
            <v>0</v>
          </cell>
        </row>
        <row r="291">
          <cell r="I291">
            <v>0</v>
          </cell>
        </row>
        <row r="292">
          <cell r="I292">
            <v>0</v>
          </cell>
        </row>
        <row r="293">
          <cell r="I293">
            <v>0</v>
          </cell>
        </row>
        <row r="294">
          <cell r="I294">
            <v>0</v>
          </cell>
        </row>
        <row r="295">
          <cell r="I295">
            <v>0</v>
          </cell>
        </row>
        <row r="296">
          <cell r="I296">
            <v>0</v>
          </cell>
        </row>
        <row r="297">
          <cell r="I297">
            <v>0</v>
          </cell>
        </row>
        <row r="298">
          <cell r="I298">
            <v>0</v>
          </cell>
        </row>
        <row r="299">
          <cell r="I299">
            <v>0</v>
          </cell>
        </row>
        <row r="300">
          <cell r="I300">
            <v>0</v>
          </cell>
        </row>
        <row r="301">
          <cell r="I301">
            <v>0</v>
          </cell>
        </row>
        <row r="302">
          <cell r="I302">
            <v>0</v>
          </cell>
        </row>
        <row r="303">
          <cell r="I303">
            <v>0</v>
          </cell>
        </row>
        <row r="304">
          <cell r="I304">
            <v>0</v>
          </cell>
        </row>
        <row r="305">
          <cell r="I305">
            <v>0</v>
          </cell>
        </row>
        <row r="306">
          <cell r="I306">
            <v>0</v>
          </cell>
        </row>
        <row r="307">
          <cell r="I307">
            <v>0</v>
          </cell>
        </row>
        <row r="308">
          <cell r="I308">
            <v>0</v>
          </cell>
        </row>
        <row r="309">
          <cell r="I309">
            <v>0</v>
          </cell>
        </row>
        <row r="310">
          <cell r="I310">
            <v>0</v>
          </cell>
        </row>
        <row r="311">
          <cell r="I311">
            <v>0</v>
          </cell>
        </row>
        <row r="312">
          <cell r="I312">
            <v>0</v>
          </cell>
        </row>
        <row r="313">
          <cell r="I313">
            <v>0</v>
          </cell>
        </row>
        <row r="314">
          <cell r="I314">
            <v>0</v>
          </cell>
        </row>
        <row r="315">
          <cell r="I315">
            <v>0</v>
          </cell>
        </row>
        <row r="316">
          <cell r="I316">
            <v>0</v>
          </cell>
        </row>
        <row r="317">
          <cell r="I317">
            <v>0</v>
          </cell>
        </row>
        <row r="318">
          <cell r="I318">
            <v>0</v>
          </cell>
        </row>
        <row r="319">
          <cell r="I319">
            <v>0</v>
          </cell>
        </row>
        <row r="320">
          <cell r="I320">
            <v>0</v>
          </cell>
        </row>
        <row r="321">
          <cell r="I321">
            <v>0</v>
          </cell>
        </row>
        <row r="322">
          <cell r="I322">
            <v>0</v>
          </cell>
        </row>
        <row r="323">
          <cell r="I323">
            <v>0</v>
          </cell>
        </row>
        <row r="324">
          <cell r="I324">
            <v>0</v>
          </cell>
        </row>
        <row r="325">
          <cell r="I325">
            <v>0</v>
          </cell>
        </row>
        <row r="326">
          <cell r="I326">
            <v>0</v>
          </cell>
        </row>
        <row r="327">
          <cell r="I327">
            <v>0</v>
          </cell>
        </row>
        <row r="328">
          <cell r="I328">
            <v>0</v>
          </cell>
        </row>
        <row r="329">
          <cell r="I329">
            <v>0</v>
          </cell>
        </row>
        <row r="330">
          <cell r="I330">
            <v>0</v>
          </cell>
        </row>
        <row r="331">
          <cell r="I331">
            <v>0</v>
          </cell>
        </row>
        <row r="332">
          <cell r="I332">
            <v>0</v>
          </cell>
        </row>
        <row r="333">
          <cell r="I333">
            <v>0</v>
          </cell>
        </row>
        <row r="334">
          <cell r="I334">
            <v>0</v>
          </cell>
        </row>
        <row r="335">
          <cell r="I335">
            <v>0</v>
          </cell>
        </row>
        <row r="336">
          <cell r="I336">
            <v>0</v>
          </cell>
        </row>
        <row r="337">
          <cell r="I337">
            <v>0</v>
          </cell>
        </row>
        <row r="338">
          <cell r="I338">
            <v>0</v>
          </cell>
        </row>
        <row r="339">
          <cell r="I339">
            <v>0</v>
          </cell>
        </row>
        <row r="340">
          <cell r="I340">
            <v>0</v>
          </cell>
        </row>
        <row r="341">
          <cell r="I341">
            <v>0</v>
          </cell>
        </row>
        <row r="342">
          <cell r="I342">
            <v>0</v>
          </cell>
        </row>
        <row r="343">
          <cell r="I343">
            <v>0</v>
          </cell>
        </row>
        <row r="344">
          <cell r="I344">
            <v>0</v>
          </cell>
        </row>
        <row r="345">
          <cell r="I345">
            <v>0</v>
          </cell>
        </row>
        <row r="346">
          <cell r="I346">
            <v>0</v>
          </cell>
        </row>
        <row r="347">
          <cell r="I347">
            <v>0</v>
          </cell>
        </row>
        <row r="348">
          <cell r="I348">
            <v>0</v>
          </cell>
        </row>
        <row r="349">
          <cell r="I349">
            <v>0</v>
          </cell>
        </row>
        <row r="350">
          <cell r="I350">
            <v>0</v>
          </cell>
        </row>
        <row r="351">
          <cell r="I351">
            <v>0</v>
          </cell>
        </row>
        <row r="352">
          <cell r="I352">
            <v>0</v>
          </cell>
        </row>
        <row r="353">
          <cell r="I353">
            <v>0</v>
          </cell>
        </row>
        <row r="354">
          <cell r="I354">
            <v>0</v>
          </cell>
        </row>
        <row r="355">
          <cell r="I355">
            <v>0</v>
          </cell>
        </row>
        <row r="356">
          <cell r="I356">
            <v>0</v>
          </cell>
        </row>
        <row r="357">
          <cell r="I357">
            <v>0</v>
          </cell>
        </row>
        <row r="358">
          <cell r="I358">
            <v>0</v>
          </cell>
        </row>
        <row r="359">
          <cell r="I359">
            <v>0</v>
          </cell>
        </row>
        <row r="360">
          <cell r="I360">
            <v>0</v>
          </cell>
        </row>
        <row r="361">
          <cell r="I361">
            <v>0</v>
          </cell>
        </row>
        <row r="362">
          <cell r="I362">
            <v>0</v>
          </cell>
        </row>
        <row r="363">
          <cell r="I363">
            <v>0</v>
          </cell>
        </row>
        <row r="364">
          <cell r="I364">
            <v>0</v>
          </cell>
        </row>
        <row r="365">
          <cell r="I365">
            <v>0</v>
          </cell>
        </row>
        <row r="366">
          <cell r="I366">
            <v>0</v>
          </cell>
        </row>
        <row r="367">
          <cell r="I367">
            <v>0</v>
          </cell>
        </row>
        <row r="368">
          <cell r="I368">
            <v>0</v>
          </cell>
        </row>
        <row r="369">
          <cell r="I369">
            <v>0</v>
          </cell>
        </row>
        <row r="370">
          <cell r="I370">
            <v>0</v>
          </cell>
        </row>
        <row r="371">
          <cell r="I371">
            <v>0</v>
          </cell>
        </row>
        <row r="372">
          <cell r="I372">
            <v>0</v>
          </cell>
        </row>
        <row r="373">
          <cell r="I373">
            <v>0</v>
          </cell>
        </row>
        <row r="374">
          <cell r="I374">
            <v>0</v>
          </cell>
        </row>
        <row r="375">
          <cell r="I375">
            <v>0</v>
          </cell>
        </row>
        <row r="376">
          <cell r="I376">
            <v>0</v>
          </cell>
        </row>
        <row r="377">
          <cell r="I377">
            <v>0</v>
          </cell>
        </row>
        <row r="378">
          <cell r="I378">
            <v>0</v>
          </cell>
        </row>
        <row r="379">
          <cell r="I379">
            <v>0</v>
          </cell>
        </row>
        <row r="380">
          <cell r="I380">
            <v>0</v>
          </cell>
        </row>
        <row r="381">
          <cell r="I381">
            <v>0</v>
          </cell>
        </row>
        <row r="382">
          <cell r="I382">
            <v>0</v>
          </cell>
        </row>
        <row r="383">
          <cell r="I383">
            <v>0</v>
          </cell>
        </row>
        <row r="384">
          <cell r="I384">
            <v>0</v>
          </cell>
        </row>
        <row r="385">
          <cell r="I385">
            <v>0</v>
          </cell>
        </row>
        <row r="386">
          <cell r="I386">
            <v>0</v>
          </cell>
        </row>
        <row r="387">
          <cell r="I387">
            <v>0</v>
          </cell>
        </row>
        <row r="388">
          <cell r="I388">
            <v>0</v>
          </cell>
        </row>
        <row r="389">
          <cell r="I389">
            <v>0</v>
          </cell>
        </row>
        <row r="390">
          <cell r="I390">
            <v>0</v>
          </cell>
        </row>
        <row r="391">
          <cell r="I391">
            <v>0</v>
          </cell>
        </row>
        <row r="392">
          <cell r="I392">
            <v>0</v>
          </cell>
        </row>
        <row r="393">
          <cell r="I393">
            <v>0</v>
          </cell>
        </row>
        <row r="394">
          <cell r="I394">
            <v>0</v>
          </cell>
        </row>
        <row r="395">
          <cell r="I395">
            <v>0</v>
          </cell>
        </row>
        <row r="396">
          <cell r="I396">
            <v>0</v>
          </cell>
        </row>
        <row r="397">
          <cell r="I397">
            <v>0</v>
          </cell>
        </row>
        <row r="398">
          <cell r="I398">
            <v>0</v>
          </cell>
        </row>
        <row r="399">
          <cell r="I399">
            <v>0</v>
          </cell>
        </row>
        <row r="400">
          <cell r="I400">
            <v>0</v>
          </cell>
        </row>
        <row r="401">
          <cell r="I401">
            <v>0</v>
          </cell>
        </row>
        <row r="402">
          <cell r="I402">
            <v>0</v>
          </cell>
        </row>
        <row r="403">
          <cell r="I403">
            <v>0</v>
          </cell>
        </row>
        <row r="404">
          <cell r="I404">
            <v>0</v>
          </cell>
        </row>
        <row r="405">
          <cell r="I405">
            <v>0</v>
          </cell>
        </row>
        <row r="406">
          <cell r="I406">
            <v>0</v>
          </cell>
        </row>
        <row r="407">
          <cell r="I407">
            <v>0</v>
          </cell>
        </row>
        <row r="408">
          <cell r="I408">
            <v>0</v>
          </cell>
        </row>
        <row r="409">
          <cell r="I409">
            <v>0</v>
          </cell>
        </row>
        <row r="410">
          <cell r="I410">
            <v>0</v>
          </cell>
        </row>
        <row r="411">
          <cell r="I411">
            <v>0</v>
          </cell>
        </row>
        <row r="412">
          <cell r="I412">
            <v>0</v>
          </cell>
        </row>
        <row r="413">
          <cell r="I413">
            <v>0</v>
          </cell>
        </row>
        <row r="414">
          <cell r="I414">
            <v>0</v>
          </cell>
        </row>
        <row r="415">
          <cell r="I415">
            <v>0</v>
          </cell>
        </row>
        <row r="416">
          <cell r="I416">
            <v>0</v>
          </cell>
        </row>
        <row r="417">
          <cell r="I417">
            <v>0</v>
          </cell>
        </row>
        <row r="418">
          <cell r="I418">
            <v>0</v>
          </cell>
        </row>
        <row r="419">
          <cell r="I419">
            <v>0</v>
          </cell>
        </row>
        <row r="420">
          <cell r="I420">
            <v>0</v>
          </cell>
        </row>
        <row r="421">
          <cell r="I421">
            <v>0</v>
          </cell>
        </row>
        <row r="422">
          <cell r="I422">
            <v>0</v>
          </cell>
        </row>
        <row r="423">
          <cell r="I423">
            <v>0</v>
          </cell>
        </row>
        <row r="424">
          <cell r="I424">
            <v>0</v>
          </cell>
        </row>
        <row r="425">
          <cell r="I425">
            <v>0</v>
          </cell>
        </row>
        <row r="426">
          <cell r="I426">
            <v>0</v>
          </cell>
        </row>
        <row r="427">
          <cell r="I427">
            <v>0</v>
          </cell>
        </row>
        <row r="428">
          <cell r="I428">
            <v>0</v>
          </cell>
        </row>
        <row r="429">
          <cell r="I429">
            <v>0</v>
          </cell>
        </row>
        <row r="430">
          <cell r="I430">
            <v>0</v>
          </cell>
        </row>
        <row r="431">
          <cell r="I431">
            <v>0</v>
          </cell>
        </row>
        <row r="432">
          <cell r="I432">
            <v>0</v>
          </cell>
        </row>
        <row r="433">
          <cell r="I433">
            <v>0</v>
          </cell>
        </row>
        <row r="434">
          <cell r="I434">
            <v>0</v>
          </cell>
        </row>
        <row r="435">
          <cell r="I435">
            <v>0</v>
          </cell>
        </row>
        <row r="436">
          <cell r="I436">
            <v>0</v>
          </cell>
        </row>
        <row r="437">
          <cell r="I437">
            <v>0</v>
          </cell>
        </row>
        <row r="438">
          <cell r="I438">
            <v>0</v>
          </cell>
        </row>
        <row r="439">
          <cell r="I439">
            <v>0</v>
          </cell>
        </row>
        <row r="440">
          <cell r="I440">
            <v>0</v>
          </cell>
        </row>
        <row r="441">
          <cell r="I441">
            <v>0</v>
          </cell>
        </row>
        <row r="442">
          <cell r="I442">
            <v>0</v>
          </cell>
        </row>
        <row r="443">
          <cell r="I443">
            <v>0</v>
          </cell>
        </row>
        <row r="444">
          <cell r="I444">
            <v>0</v>
          </cell>
        </row>
        <row r="445">
          <cell r="I445">
            <v>0</v>
          </cell>
        </row>
        <row r="446">
          <cell r="I446">
            <v>0</v>
          </cell>
        </row>
        <row r="447">
          <cell r="I447">
            <v>0</v>
          </cell>
        </row>
        <row r="448">
          <cell r="I448">
            <v>0</v>
          </cell>
        </row>
        <row r="449">
          <cell r="I449">
            <v>0</v>
          </cell>
        </row>
        <row r="450">
          <cell r="I450">
            <v>0</v>
          </cell>
        </row>
        <row r="451">
          <cell r="I451">
            <v>0</v>
          </cell>
        </row>
        <row r="452">
          <cell r="I452">
            <v>0</v>
          </cell>
        </row>
        <row r="453">
          <cell r="I453">
            <v>0</v>
          </cell>
        </row>
        <row r="454">
          <cell r="I454">
            <v>0</v>
          </cell>
        </row>
        <row r="455">
          <cell r="I455">
            <v>0</v>
          </cell>
        </row>
        <row r="456">
          <cell r="I456">
            <v>0</v>
          </cell>
        </row>
        <row r="457">
          <cell r="I457">
            <v>0</v>
          </cell>
        </row>
        <row r="458">
          <cell r="I458">
            <v>0</v>
          </cell>
        </row>
        <row r="459">
          <cell r="I459">
            <v>0</v>
          </cell>
        </row>
        <row r="460">
          <cell r="I460">
            <v>0</v>
          </cell>
        </row>
        <row r="461">
          <cell r="I461">
            <v>0</v>
          </cell>
        </row>
        <row r="462">
          <cell r="I462">
            <v>0</v>
          </cell>
        </row>
        <row r="463">
          <cell r="I463">
            <v>0</v>
          </cell>
        </row>
        <row r="464">
          <cell r="I464">
            <v>0</v>
          </cell>
        </row>
        <row r="465">
          <cell r="I465">
            <v>0</v>
          </cell>
        </row>
        <row r="466">
          <cell r="I466">
            <v>0</v>
          </cell>
        </row>
        <row r="467">
          <cell r="I467">
            <v>0</v>
          </cell>
        </row>
        <row r="468">
          <cell r="I468">
            <v>0</v>
          </cell>
        </row>
        <row r="469">
          <cell r="I469">
            <v>0</v>
          </cell>
        </row>
        <row r="470">
          <cell r="I470">
            <v>0</v>
          </cell>
        </row>
        <row r="471">
          <cell r="I471">
            <v>0</v>
          </cell>
        </row>
        <row r="472">
          <cell r="I472">
            <v>0</v>
          </cell>
        </row>
        <row r="473">
          <cell r="I473">
            <v>0</v>
          </cell>
        </row>
        <row r="474">
          <cell r="I474">
            <v>0</v>
          </cell>
        </row>
        <row r="475">
          <cell r="I475">
            <v>0</v>
          </cell>
        </row>
        <row r="476">
          <cell r="I476">
            <v>0</v>
          </cell>
        </row>
        <row r="477">
          <cell r="I477">
            <v>0</v>
          </cell>
        </row>
        <row r="478">
          <cell r="I478">
            <v>0</v>
          </cell>
        </row>
        <row r="479">
          <cell r="I479">
            <v>0</v>
          </cell>
        </row>
        <row r="480">
          <cell r="I480">
            <v>0</v>
          </cell>
        </row>
        <row r="481">
          <cell r="I481">
            <v>0</v>
          </cell>
        </row>
        <row r="482">
          <cell r="I482">
            <v>0</v>
          </cell>
        </row>
        <row r="483">
          <cell r="I483">
            <v>0</v>
          </cell>
        </row>
        <row r="484">
          <cell r="I484">
            <v>0</v>
          </cell>
        </row>
        <row r="485">
          <cell r="I485">
            <v>0</v>
          </cell>
        </row>
        <row r="486">
          <cell r="I486">
            <v>0</v>
          </cell>
        </row>
        <row r="487">
          <cell r="I487">
            <v>0</v>
          </cell>
        </row>
        <row r="488">
          <cell r="I488">
            <v>0</v>
          </cell>
        </row>
        <row r="489">
          <cell r="I489">
            <v>0</v>
          </cell>
        </row>
        <row r="490">
          <cell r="I490">
            <v>0</v>
          </cell>
        </row>
        <row r="491">
          <cell r="I491">
            <v>0</v>
          </cell>
        </row>
        <row r="492">
          <cell r="I492">
            <v>0</v>
          </cell>
        </row>
        <row r="493">
          <cell r="I493">
            <v>0</v>
          </cell>
        </row>
        <row r="494">
          <cell r="I494">
            <v>0</v>
          </cell>
        </row>
        <row r="495">
          <cell r="I495">
            <v>0</v>
          </cell>
        </row>
        <row r="496">
          <cell r="I496">
            <v>0</v>
          </cell>
        </row>
        <row r="497">
          <cell r="I497">
            <v>0</v>
          </cell>
        </row>
        <row r="498">
          <cell r="I498">
            <v>0</v>
          </cell>
        </row>
        <row r="499">
          <cell r="I499">
            <v>0</v>
          </cell>
        </row>
        <row r="500">
          <cell r="I500">
            <v>0</v>
          </cell>
        </row>
        <row r="501">
          <cell r="I501">
            <v>0</v>
          </cell>
        </row>
        <row r="502">
          <cell r="I502">
            <v>0</v>
          </cell>
        </row>
        <row r="503">
          <cell r="I503">
            <v>0</v>
          </cell>
        </row>
        <row r="504">
          <cell r="I504">
            <v>0</v>
          </cell>
        </row>
        <row r="505">
          <cell r="I505">
            <v>0</v>
          </cell>
        </row>
        <row r="506">
          <cell r="I506">
            <v>0</v>
          </cell>
        </row>
        <row r="507">
          <cell r="I507">
            <v>0</v>
          </cell>
        </row>
        <row r="508">
          <cell r="I508">
            <v>0</v>
          </cell>
        </row>
        <row r="509">
          <cell r="I509">
            <v>0</v>
          </cell>
        </row>
        <row r="510">
          <cell r="I510">
            <v>0</v>
          </cell>
        </row>
        <row r="511">
          <cell r="I511">
            <v>0</v>
          </cell>
        </row>
        <row r="512">
          <cell r="I512">
            <v>0</v>
          </cell>
        </row>
        <row r="513">
          <cell r="I513">
            <v>0</v>
          </cell>
        </row>
        <row r="514">
          <cell r="I514">
            <v>0</v>
          </cell>
        </row>
        <row r="515">
          <cell r="I515">
            <v>0</v>
          </cell>
        </row>
        <row r="516">
          <cell r="I516">
            <v>0</v>
          </cell>
        </row>
        <row r="517">
          <cell r="I517">
            <v>0</v>
          </cell>
        </row>
        <row r="518">
          <cell r="I518">
            <v>0</v>
          </cell>
        </row>
        <row r="519">
          <cell r="I519">
            <v>0</v>
          </cell>
        </row>
        <row r="520">
          <cell r="I520">
            <v>0</v>
          </cell>
        </row>
        <row r="521">
          <cell r="I521">
            <v>0</v>
          </cell>
        </row>
        <row r="522">
          <cell r="I522">
            <v>0</v>
          </cell>
        </row>
        <row r="523">
          <cell r="I523">
            <v>0</v>
          </cell>
        </row>
        <row r="524">
          <cell r="I524">
            <v>0</v>
          </cell>
        </row>
        <row r="525">
          <cell r="I525">
            <v>0</v>
          </cell>
        </row>
        <row r="526">
          <cell r="I526">
            <v>0</v>
          </cell>
        </row>
        <row r="527">
          <cell r="I527">
            <v>0</v>
          </cell>
        </row>
        <row r="528">
          <cell r="I528">
            <v>0</v>
          </cell>
        </row>
        <row r="529">
          <cell r="I529">
            <v>0</v>
          </cell>
        </row>
        <row r="530">
          <cell r="I530">
            <v>0</v>
          </cell>
        </row>
        <row r="531">
          <cell r="I531">
            <v>0</v>
          </cell>
        </row>
        <row r="532">
          <cell r="I532">
            <v>0</v>
          </cell>
        </row>
        <row r="533">
          <cell r="I533">
            <v>0</v>
          </cell>
        </row>
        <row r="534">
          <cell r="I534">
            <v>0</v>
          </cell>
        </row>
        <row r="535">
          <cell r="I535">
            <v>0</v>
          </cell>
        </row>
        <row r="536">
          <cell r="I536">
            <v>0</v>
          </cell>
        </row>
        <row r="537">
          <cell r="I537">
            <v>0</v>
          </cell>
        </row>
        <row r="538">
          <cell r="I538">
            <v>0</v>
          </cell>
        </row>
        <row r="539">
          <cell r="I539">
            <v>0</v>
          </cell>
        </row>
        <row r="540">
          <cell r="I540">
            <v>0</v>
          </cell>
        </row>
        <row r="541">
          <cell r="I541">
            <v>0</v>
          </cell>
        </row>
        <row r="542">
          <cell r="I542">
            <v>0</v>
          </cell>
        </row>
        <row r="543">
          <cell r="I543">
            <v>0</v>
          </cell>
        </row>
        <row r="544">
          <cell r="I544">
            <v>0</v>
          </cell>
        </row>
        <row r="545">
          <cell r="I545">
            <v>0</v>
          </cell>
        </row>
        <row r="546">
          <cell r="I546">
            <v>0</v>
          </cell>
        </row>
        <row r="547">
          <cell r="I547">
            <v>0</v>
          </cell>
        </row>
        <row r="548">
          <cell r="I548">
            <v>0</v>
          </cell>
        </row>
        <row r="549">
          <cell r="I549">
            <v>0</v>
          </cell>
        </row>
        <row r="550">
          <cell r="I550">
            <v>0</v>
          </cell>
        </row>
        <row r="551">
          <cell r="I551">
            <v>0</v>
          </cell>
        </row>
        <row r="552">
          <cell r="I552">
            <v>0</v>
          </cell>
        </row>
        <row r="553">
          <cell r="I553">
            <v>0</v>
          </cell>
        </row>
        <row r="554">
          <cell r="I554">
            <v>0</v>
          </cell>
        </row>
        <row r="555">
          <cell r="I555">
            <v>0</v>
          </cell>
        </row>
        <row r="556">
          <cell r="I556">
            <v>0</v>
          </cell>
        </row>
        <row r="557">
          <cell r="I557">
            <v>0</v>
          </cell>
        </row>
        <row r="558">
          <cell r="I558">
            <v>0</v>
          </cell>
        </row>
        <row r="559">
          <cell r="I559">
            <v>0</v>
          </cell>
        </row>
        <row r="560">
          <cell r="I560">
            <v>0</v>
          </cell>
        </row>
        <row r="561">
          <cell r="I561">
            <v>0</v>
          </cell>
        </row>
        <row r="562">
          <cell r="I562">
            <v>0</v>
          </cell>
        </row>
        <row r="563">
          <cell r="I563">
            <v>0</v>
          </cell>
        </row>
        <row r="564">
          <cell r="I564">
            <v>0</v>
          </cell>
        </row>
        <row r="565">
          <cell r="I565">
            <v>0</v>
          </cell>
        </row>
        <row r="566">
          <cell r="I566">
            <v>0</v>
          </cell>
        </row>
        <row r="567">
          <cell r="I567">
            <v>0</v>
          </cell>
        </row>
        <row r="568">
          <cell r="I568">
            <v>0</v>
          </cell>
        </row>
        <row r="569">
          <cell r="I569">
            <v>0</v>
          </cell>
        </row>
        <row r="570">
          <cell r="I570">
            <v>0</v>
          </cell>
        </row>
        <row r="571">
          <cell r="I571">
            <v>0</v>
          </cell>
        </row>
        <row r="572">
          <cell r="I572">
            <v>0</v>
          </cell>
        </row>
        <row r="573">
          <cell r="I573">
            <v>0</v>
          </cell>
        </row>
        <row r="574">
          <cell r="I574">
            <v>0</v>
          </cell>
        </row>
        <row r="575">
          <cell r="I575">
            <v>0</v>
          </cell>
        </row>
        <row r="576">
          <cell r="I576">
            <v>0</v>
          </cell>
        </row>
        <row r="577">
          <cell r="I577">
            <v>0</v>
          </cell>
        </row>
        <row r="578">
          <cell r="I578">
            <v>0</v>
          </cell>
        </row>
        <row r="579">
          <cell r="I579">
            <v>0</v>
          </cell>
        </row>
        <row r="580">
          <cell r="I580">
            <v>0</v>
          </cell>
        </row>
        <row r="581">
          <cell r="I581">
            <v>0</v>
          </cell>
        </row>
        <row r="582">
          <cell r="I582">
            <v>0</v>
          </cell>
        </row>
        <row r="583">
          <cell r="I583">
            <v>0</v>
          </cell>
        </row>
        <row r="584">
          <cell r="I584">
            <v>0</v>
          </cell>
        </row>
        <row r="585">
          <cell r="I585">
            <v>0</v>
          </cell>
        </row>
        <row r="586">
          <cell r="I586">
            <v>0</v>
          </cell>
        </row>
        <row r="587">
          <cell r="I587">
            <v>0</v>
          </cell>
        </row>
        <row r="588">
          <cell r="I588">
            <v>0</v>
          </cell>
        </row>
        <row r="589">
          <cell r="I589">
            <v>0</v>
          </cell>
        </row>
        <row r="590">
          <cell r="I590">
            <v>0</v>
          </cell>
        </row>
        <row r="591">
          <cell r="I591">
            <v>0</v>
          </cell>
        </row>
        <row r="592">
          <cell r="I592">
            <v>0</v>
          </cell>
        </row>
        <row r="593">
          <cell r="I593">
            <v>0</v>
          </cell>
        </row>
        <row r="594">
          <cell r="I594">
            <v>0</v>
          </cell>
        </row>
        <row r="595">
          <cell r="I595">
            <v>0</v>
          </cell>
        </row>
        <row r="596">
          <cell r="I596">
            <v>0</v>
          </cell>
        </row>
        <row r="597">
          <cell r="I597">
            <v>0</v>
          </cell>
        </row>
        <row r="598">
          <cell r="I598">
            <v>0</v>
          </cell>
        </row>
        <row r="599">
          <cell r="I599">
            <v>0</v>
          </cell>
        </row>
        <row r="600">
          <cell r="I600">
            <v>0</v>
          </cell>
        </row>
        <row r="601">
          <cell r="I601">
            <v>0</v>
          </cell>
        </row>
        <row r="602">
          <cell r="I602">
            <v>0</v>
          </cell>
        </row>
        <row r="603">
          <cell r="I603">
            <v>0</v>
          </cell>
        </row>
        <row r="604">
          <cell r="I604">
            <v>0</v>
          </cell>
        </row>
        <row r="605">
          <cell r="I605">
            <v>0</v>
          </cell>
        </row>
        <row r="606">
          <cell r="I606">
            <v>0</v>
          </cell>
        </row>
        <row r="607">
          <cell r="I607">
            <v>0</v>
          </cell>
        </row>
        <row r="608">
          <cell r="I608">
            <v>0</v>
          </cell>
        </row>
        <row r="609">
          <cell r="I609">
            <v>0</v>
          </cell>
        </row>
        <row r="610">
          <cell r="I610">
            <v>0</v>
          </cell>
        </row>
        <row r="611">
          <cell r="I611">
            <v>0</v>
          </cell>
        </row>
        <row r="612">
          <cell r="I612">
            <v>0</v>
          </cell>
        </row>
        <row r="613">
          <cell r="I613">
            <v>0</v>
          </cell>
        </row>
        <row r="614">
          <cell r="I614">
            <v>0</v>
          </cell>
        </row>
        <row r="615">
          <cell r="I615">
            <v>0</v>
          </cell>
        </row>
        <row r="616">
          <cell r="I616">
            <v>0</v>
          </cell>
        </row>
        <row r="617">
          <cell r="I617">
            <v>0</v>
          </cell>
        </row>
        <row r="618">
          <cell r="I618">
            <v>0</v>
          </cell>
        </row>
        <row r="619">
          <cell r="I619">
            <v>0</v>
          </cell>
        </row>
        <row r="620">
          <cell r="I620">
            <v>0</v>
          </cell>
        </row>
        <row r="621">
          <cell r="I621">
            <v>0</v>
          </cell>
        </row>
        <row r="622">
          <cell r="I622">
            <v>0</v>
          </cell>
        </row>
        <row r="623">
          <cell r="I623">
            <v>0</v>
          </cell>
        </row>
        <row r="624">
          <cell r="I624">
            <v>0</v>
          </cell>
        </row>
        <row r="625">
          <cell r="I625">
            <v>0</v>
          </cell>
        </row>
        <row r="626">
          <cell r="I626">
            <v>0</v>
          </cell>
        </row>
        <row r="627">
          <cell r="I627">
            <v>0</v>
          </cell>
        </row>
        <row r="628">
          <cell r="I628">
            <v>0</v>
          </cell>
        </row>
        <row r="629">
          <cell r="I629">
            <v>0</v>
          </cell>
        </row>
        <row r="630">
          <cell r="I630">
            <v>0</v>
          </cell>
        </row>
        <row r="631">
          <cell r="I631">
            <v>0</v>
          </cell>
        </row>
        <row r="632">
          <cell r="I632">
            <v>0</v>
          </cell>
        </row>
        <row r="633">
          <cell r="I633">
            <v>0</v>
          </cell>
        </row>
        <row r="634">
          <cell r="I634">
            <v>0</v>
          </cell>
        </row>
        <row r="635">
          <cell r="I635">
            <v>0</v>
          </cell>
        </row>
        <row r="636">
          <cell r="I636">
            <v>0</v>
          </cell>
        </row>
        <row r="637">
          <cell r="I637">
            <v>0</v>
          </cell>
        </row>
        <row r="638">
          <cell r="I638">
            <v>0</v>
          </cell>
        </row>
        <row r="639">
          <cell r="I639">
            <v>0</v>
          </cell>
        </row>
        <row r="640">
          <cell r="I640">
            <v>0</v>
          </cell>
        </row>
        <row r="641">
          <cell r="I641">
            <v>0</v>
          </cell>
        </row>
        <row r="642">
          <cell r="I642">
            <v>0</v>
          </cell>
        </row>
        <row r="643">
          <cell r="I643">
            <v>0</v>
          </cell>
        </row>
        <row r="644">
          <cell r="I644">
            <v>0</v>
          </cell>
        </row>
        <row r="645">
          <cell r="I645">
            <v>0</v>
          </cell>
        </row>
        <row r="646">
          <cell r="I646">
            <v>0</v>
          </cell>
        </row>
        <row r="647">
          <cell r="I647">
            <v>0</v>
          </cell>
        </row>
        <row r="648">
          <cell r="I648">
            <v>0</v>
          </cell>
        </row>
        <row r="649">
          <cell r="I649">
            <v>0</v>
          </cell>
        </row>
        <row r="650">
          <cell r="I650">
            <v>0</v>
          </cell>
        </row>
        <row r="651">
          <cell r="I651">
            <v>0</v>
          </cell>
        </row>
        <row r="652">
          <cell r="I652">
            <v>0</v>
          </cell>
        </row>
        <row r="653">
          <cell r="I653">
            <v>0</v>
          </cell>
        </row>
        <row r="654">
          <cell r="I654">
            <v>0</v>
          </cell>
        </row>
        <row r="655">
          <cell r="I655">
            <v>0</v>
          </cell>
        </row>
        <row r="656">
          <cell r="I656">
            <v>0</v>
          </cell>
        </row>
        <row r="657">
          <cell r="I657">
            <v>0</v>
          </cell>
        </row>
        <row r="658">
          <cell r="I658">
            <v>0</v>
          </cell>
        </row>
        <row r="659">
          <cell r="I659">
            <v>0</v>
          </cell>
        </row>
        <row r="660">
          <cell r="I660">
            <v>0</v>
          </cell>
        </row>
        <row r="661">
          <cell r="I661">
            <v>0</v>
          </cell>
        </row>
        <row r="662">
          <cell r="I662">
            <v>0</v>
          </cell>
        </row>
        <row r="663">
          <cell r="I663">
            <v>0</v>
          </cell>
        </row>
        <row r="664">
          <cell r="I664">
            <v>0</v>
          </cell>
        </row>
        <row r="665">
          <cell r="I665">
            <v>0</v>
          </cell>
        </row>
        <row r="666">
          <cell r="I666">
            <v>0</v>
          </cell>
        </row>
        <row r="667">
          <cell r="I667">
            <v>0</v>
          </cell>
        </row>
        <row r="668">
          <cell r="I668">
            <v>0</v>
          </cell>
        </row>
        <row r="669">
          <cell r="I669">
            <v>0</v>
          </cell>
        </row>
        <row r="670">
          <cell r="I670">
            <v>0</v>
          </cell>
        </row>
        <row r="671">
          <cell r="I671">
            <v>0</v>
          </cell>
        </row>
        <row r="672">
          <cell r="I672">
            <v>0</v>
          </cell>
        </row>
        <row r="673">
          <cell r="I673">
            <v>0</v>
          </cell>
        </row>
        <row r="674">
          <cell r="I674">
            <v>0</v>
          </cell>
        </row>
        <row r="675">
          <cell r="I675">
            <v>0</v>
          </cell>
        </row>
        <row r="676">
          <cell r="I676">
            <v>0</v>
          </cell>
        </row>
        <row r="677">
          <cell r="I677">
            <v>0</v>
          </cell>
        </row>
        <row r="678">
          <cell r="I678">
            <v>0</v>
          </cell>
        </row>
        <row r="679">
          <cell r="I679">
            <v>0</v>
          </cell>
        </row>
        <row r="680">
          <cell r="I680">
            <v>0</v>
          </cell>
        </row>
        <row r="681">
          <cell r="I681">
            <v>0</v>
          </cell>
        </row>
        <row r="682">
          <cell r="I682">
            <v>0</v>
          </cell>
        </row>
        <row r="683">
          <cell r="I683">
            <v>0</v>
          </cell>
        </row>
        <row r="684">
          <cell r="I684">
            <v>0</v>
          </cell>
        </row>
        <row r="685">
          <cell r="I685">
            <v>0</v>
          </cell>
        </row>
        <row r="686">
          <cell r="I686">
            <v>0</v>
          </cell>
        </row>
        <row r="687">
          <cell r="I687">
            <v>0</v>
          </cell>
        </row>
        <row r="688">
          <cell r="I688">
            <v>0</v>
          </cell>
        </row>
        <row r="689">
          <cell r="I689">
            <v>0</v>
          </cell>
        </row>
        <row r="690">
          <cell r="I690">
            <v>0</v>
          </cell>
        </row>
        <row r="691">
          <cell r="I691">
            <v>0</v>
          </cell>
        </row>
        <row r="692">
          <cell r="I692">
            <v>0</v>
          </cell>
        </row>
        <row r="693">
          <cell r="I693">
            <v>0</v>
          </cell>
        </row>
        <row r="694">
          <cell r="I694">
            <v>0</v>
          </cell>
        </row>
        <row r="695">
          <cell r="I695">
            <v>0</v>
          </cell>
        </row>
        <row r="696">
          <cell r="I696">
            <v>0</v>
          </cell>
        </row>
        <row r="697">
          <cell r="I697">
            <v>0</v>
          </cell>
        </row>
        <row r="698">
          <cell r="I698">
            <v>0</v>
          </cell>
        </row>
        <row r="699">
          <cell r="I699">
            <v>0</v>
          </cell>
        </row>
        <row r="700">
          <cell r="I700">
            <v>0</v>
          </cell>
        </row>
        <row r="701">
          <cell r="I701">
            <v>0</v>
          </cell>
        </row>
        <row r="702">
          <cell r="I702">
            <v>0</v>
          </cell>
        </row>
        <row r="703">
          <cell r="I703">
            <v>0</v>
          </cell>
        </row>
        <row r="704">
          <cell r="I704">
            <v>0</v>
          </cell>
        </row>
        <row r="705">
          <cell r="I705">
            <v>0</v>
          </cell>
        </row>
        <row r="706">
          <cell r="I706">
            <v>0</v>
          </cell>
        </row>
        <row r="707">
          <cell r="I707">
            <v>0</v>
          </cell>
        </row>
        <row r="708">
          <cell r="I708">
            <v>0</v>
          </cell>
        </row>
        <row r="709">
          <cell r="I709">
            <v>0</v>
          </cell>
        </row>
        <row r="710">
          <cell r="I710">
            <v>0</v>
          </cell>
        </row>
        <row r="711">
          <cell r="I711">
            <v>0</v>
          </cell>
        </row>
        <row r="712">
          <cell r="I712">
            <v>0</v>
          </cell>
        </row>
        <row r="713">
          <cell r="I713">
            <v>0</v>
          </cell>
        </row>
        <row r="714">
          <cell r="I714">
            <v>0</v>
          </cell>
        </row>
        <row r="715">
          <cell r="I715">
            <v>0</v>
          </cell>
        </row>
        <row r="716">
          <cell r="I716">
            <v>0</v>
          </cell>
        </row>
        <row r="717">
          <cell r="I717">
            <v>0</v>
          </cell>
        </row>
        <row r="718">
          <cell r="I718">
            <v>0</v>
          </cell>
        </row>
        <row r="719">
          <cell r="I719">
            <v>0</v>
          </cell>
        </row>
        <row r="720">
          <cell r="I720">
            <v>0</v>
          </cell>
        </row>
        <row r="721">
          <cell r="I721">
            <v>0</v>
          </cell>
        </row>
        <row r="722">
          <cell r="I722">
            <v>0</v>
          </cell>
        </row>
        <row r="723">
          <cell r="I723">
            <v>0</v>
          </cell>
        </row>
        <row r="724">
          <cell r="I724">
            <v>0</v>
          </cell>
        </row>
        <row r="725">
          <cell r="I725">
            <v>0</v>
          </cell>
        </row>
        <row r="726">
          <cell r="I726">
            <v>0</v>
          </cell>
        </row>
        <row r="727">
          <cell r="I727">
            <v>0</v>
          </cell>
        </row>
        <row r="728">
          <cell r="I728">
            <v>0</v>
          </cell>
        </row>
        <row r="729">
          <cell r="I729">
            <v>0</v>
          </cell>
        </row>
        <row r="730">
          <cell r="I730">
            <v>0</v>
          </cell>
        </row>
        <row r="731">
          <cell r="I731">
            <v>0</v>
          </cell>
        </row>
        <row r="732">
          <cell r="I732">
            <v>0</v>
          </cell>
        </row>
        <row r="733">
          <cell r="I733">
            <v>0</v>
          </cell>
        </row>
        <row r="734">
          <cell r="I734">
            <v>0</v>
          </cell>
        </row>
        <row r="735">
          <cell r="I735">
            <v>0</v>
          </cell>
        </row>
        <row r="736">
          <cell r="I736">
            <v>0</v>
          </cell>
        </row>
        <row r="737">
          <cell r="I737">
            <v>0</v>
          </cell>
        </row>
        <row r="738">
          <cell r="I738">
            <v>0</v>
          </cell>
        </row>
        <row r="739">
          <cell r="I739">
            <v>0</v>
          </cell>
        </row>
        <row r="740">
          <cell r="I740">
            <v>0</v>
          </cell>
        </row>
        <row r="741">
          <cell r="I741">
            <v>0</v>
          </cell>
        </row>
        <row r="742">
          <cell r="I742">
            <v>0</v>
          </cell>
        </row>
        <row r="743">
          <cell r="I743">
            <v>0</v>
          </cell>
        </row>
        <row r="744">
          <cell r="I744">
            <v>0</v>
          </cell>
        </row>
        <row r="745">
          <cell r="I745">
            <v>0</v>
          </cell>
        </row>
        <row r="746">
          <cell r="I746">
            <v>0</v>
          </cell>
        </row>
        <row r="747">
          <cell r="I747">
            <v>0</v>
          </cell>
        </row>
        <row r="748">
          <cell r="I748">
            <v>0</v>
          </cell>
        </row>
        <row r="749">
          <cell r="I749">
            <v>0</v>
          </cell>
        </row>
        <row r="750">
          <cell r="I750">
            <v>0</v>
          </cell>
        </row>
        <row r="751">
          <cell r="I751">
            <v>0</v>
          </cell>
        </row>
        <row r="752">
          <cell r="I752">
            <v>0</v>
          </cell>
        </row>
        <row r="753">
          <cell r="I753">
            <v>0</v>
          </cell>
        </row>
        <row r="754">
          <cell r="I754">
            <v>0</v>
          </cell>
        </row>
        <row r="755">
          <cell r="I755">
            <v>0</v>
          </cell>
        </row>
        <row r="756">
          <cell r="I756">
            <v>0</v>
          </cell>
        </row>
        <row r="757">
          <cell r="I757">
            <v>0</v>
          </cell>
        </row>
        <row r="758">
          <cell r="I758">
            <v>0</v>
          </cell>
        </row>
        <row r="759">
          <cell r="I759">
            <v>0</v>
          </cell>
        </row>
        <row r="760">
          <cell r="I760">
            <v>0</v>
          </cell>
        </row>
        <row r="761">
          <cell r="I761">
            <v>0</v>
          </cell>
        </row>
        <row r="762">
          <cell r="I762">
            <v>0</v>
          </cell>
        </row>
        <row r="763">
          <cell r="I763">
            <v>0</v>
          </cell>
        </row>
        <row r="764">
          <cell r="I764">
            <v>0</v>
          </cell>
        </row>
        <row r="765">
          <cell r="I765">
            <v>0</v>
          </cell>
        </row>
        <row r="766">
          <cell r="I766">
            <v>0</v>
          </cell>
        </row>
        <row r="767">
          <cell r="I767">
            <v>0</v>
          </cell>
        </row>
        <row r="768">
          <cell r="I768">
            <v>0</v>
          </cell>
        </row>
        <row r="769">
          <cell r="I769">
            <v>0</v>
          </cell>
        </row>
        <row r="770">
          <cell r="I770">
            <v>0</v>
          </cell>
        </row>
        <row r="771">
          <cell r="I771">
            <v>0</v>
          </cell>
        </row>
        <row r="772">
          <cell r="I772">
            <v>0</v>
          </cell>
        </row>
        <row r="773">
          <cell r="I773">
            <v>0</v>
          </cell>
        </row>
        <row r="774">
          <cell r="I774">
            <v>0</v>
          </cell>
        </row>
        <row r="775">
          <cell r="I775">
            <v>0</v>
          </cell>
        </row>
        <row r="776">
          <cell r="I776">
            <v>0</v>
          </cell>
        </row>
        <row r="777">
          <cell r="I777">
            <v>0</v>
          </cell>
        </row>
        <row r="778">
          <cell r="I778">
            <v>0</v>
          </cell>
        </row>
        <row r="779">
          <cell r="I779">
            <v>0</v>
          </cell>
        </row>
        <row r="780">
          <cell r="I780">
            <v>0</v>
          </cell>
        </row>
        <row r="781">
          <cell r="I781">
            <v>0</v>
          </cell>
        </row>
        <row r="782">
          <cell r="I782">
            <v>0</v>
          </cell>
        </row>
        <row r="783">
          <cell r="I783">
            <v>0</v>
          </cell>
        </row>
        <row r="784">
          <cell r="I784">
            <v>0</v>
          </cell>
        </row>
        <row r="785">
          <cell r="I785">
            <v>0</v>
          </cell>
        </row>
        <row r="786">
          <cell r="I786">
            <v>0</v>
          </cell>
        </row>
        <row r="787">
          <cell r="I787">
            <v>0</v>
          </cell>
        </row>
        <row r="788">
          <cell r="I788">
            <v>0</v>
          </cell>
        </row>
        <row r="789">
          <cell r="I789">
            <v>0</v>
          </cell>
        </row>
        <row r="790">
          <cell r="I790">
            <v>0</v>
          </cell>
        </row>
        <row r="791">
          <cell r="I791">
            <v>0</v>
          </cell>
        </row>
        <row r="792">
          <cell r="I792">
            <v>0</v>
          </cell>
        </row>
        <row r="793">
          <cell r="I793">
            <v>0</v>
          </cell>
        </row>
        <row r="794">
          <cell r="I794">
            <v>0</v>
          </cell>
        </row>
        <row r="795">
          <cell r="I795">
            <v>0</v>
          </cell>
        </row>
        <row r="796">
          <cell r="I796">
            <v>0</v>
          </cell>
        </row>
        <row r="797">
          <cell r="I797">
            <v>0</v>
          </cell>
        </row>
        <row r="798">
          <cell r="I798">
            <v>0</v>
          </cell>
        </row>
        <row r="799">
          <cell r="I799">
            <v>0</v>
          </cell>
        </row>
        <row r="800">
          <cell r="I800">
            <v>0</v>
          </cell>
        </row>
        <row r="801">
          <cell r="I801">
            <v>0</v>
          </cell>
        </row>
        <row r="802">
          <cell r="I802">
            <v>0</v>
          </cell>
        </row>
        <row r="803">
          <cell r="I803">
            <v>0</v>
          </cell>
        </row>
        <row r="804">
          <cell r="I804">
            <v>0</v>
          </cell>
        </row>
        <row r="805">
          <cell r="I805">
            <v>0</v>
          </cell>
        </row>
        <row r="806">
          <cell r="I806">
            <v>0</v>
          </cell>
        </row>
        <row r="807">
          <cell r="I807">
            <v>0</v>
          </cell>
        </row>
        <row r="808">
          <cell r="I808">
            <v>0</v>
          </cell>
        </row>
        <row r="809">
          <cell r="I809">
            <v>0</v>
          </cell>
        </row>
        <row r="810">
          <cell r="I810">
            <v>0</v>
          </cell>
        </row>
        <row r="811">
          <cell r="I811">
            <v>0</v>
          </cell>
        </row>
        <row r="812">
          <cell r="I812">
            <v>0</v>
          </cell>
        </row>
        <row r="813">
          <cell r="I813">
            <v>0</v>
          </cell>
        </row>
        <row r="814">
          <cell r="I814">
            <v>0</v>
          </cell>
        </row>
        <row r="815">
          <cell r="I815">
            <v>0</v>
          </cell>
        </row>
        <row r="816">
          <cell r="I816">
            <v>0</v>
          </cell>
        </row>
        <row r="817">
          <cell r="I817">
            <v>0</v>
          </cell>
        </row>
        <row r="818">
          <cell r="I818">
            <v>0</v>
          </cell>
        </row>
        <row r="819">
          <cell r="I819">
            <v>0</v>
          </cell>
        </row>
        <row r="820">
          <cell r="I820">
            <v>0</v>
          </cell>
        </row>
        <row r="821">
          <cell r="I821">
            <v>0</v>
          </cell>
        </row>
        <row r="822">
          <cell r="I822">
            <v>0</v>
          </cell>
        </row>
        <row r="823">
          <cell r="I823">
            <v>0</v>
          </cell>
        </row>
        <row r="824">
          <cell r="I824">
            <v>0</v>
          </cell>
        </row>
        <row r="825">
          <cell r="I825">
            <v>0</v>
          </cell>
        </row>
        <row r="826">
          <cell r="I826">
            <v>0</v>
          </cell>
        </row>
        <row r="827">
          <cell r="I827">
            <v>0</v>
          </cell>
        </row>
        <row r="828">
          <cell r="I828">
            <v>0</v>
          </cell>
        </row>
        <row r="829">
          <cell r="I829">
            <v>0</v>
          </cell>
        </row>
        <row r="830">
          <cell r="I830">
            <v>0</v>
          </cell>
        </row>
        <row r="831">
          <cell r="I831">
            <v>0</v>
          </cell>
        </row>
        <row r="832">
          <cell r="I832">
            <v>0</v>
          </cell>
        </row>
        <row r="833">
          <cell r="I833">
            <v>0</v>
          </cell>
        </row>
        <row r="834">
          <cell r="I834">
            <v>0</v>
          </cell>
        </row>
        <row r="835">
          <cell r="I835">
            <v>0</v>
          </cell>
        </row>
        <row r="836">
          <cell r="I836">
            <v>0</v>
          </cell>
        </row>
        <row r="837">
          <cell r="I837">
            <v>0</v>
          </cell>
        </row>
        <row r="838">
          <cell r="I838">
            <v>0</v>
          </cell>
        </row>
        <row r="839">
          <cell r="I839">
            <v>0</v>
          </cell>
        </row>
        <row r="840">
          <cell r="I840">
            <v>0</v>
          </cell>
        </row>
        <row r="841">
          <cell r="I841">
            <v>0</v>
          </cell>
        </row>
        <row r="842">
          <cell r="I842">
            <v>0</v>
          </cell>
        </row>
        <row r="843">
          <cell r="I843">
            <v>0</v>
          </cell>
        </row>
        <row r="844">
          <cell r="I844">
            <v>0</v>
          </cell>
        </row>
        <row r="845">
          <cell r="I845">
            <v>0</v>
          </cell>
        </row>
        <row r="846">
          <cell r="I846">
            <v>0</v>
          </cell>
        </row>
        <row r="847">
          <cell r="I847">
            <v>0</v>
          </cell>
        </row>
        <row r="848">
          <cell r="I848">
            <v>0</v>
          </cell>
        </row>
        <row r="849">
          <cell r="I849">
            <v>0</v>
          </cell>
        </row>
        <row r="850">
          <cell r="I850">
            <v>0</v>
          </cell>
        </row>
        <row r="851">
          <cell r="I851">
            <v>0</v>
          </cell>
        </row>
        <row r="852">
          <cell r="I852">
            <v>0</v>
          </cell>
        </row>
        <row r="853">
          <cell r="I853">
            <v>0</v>
          </cell>
        </row>
        <row r="854">
          <cell r="I854">
            <v>0</v>
          </cell>
        </row>
        <row r="855">
          <cell r="I855">
            <v>0</v>
          </cell>
        </row>
        <row r="856">
          <cell r="I856">
            <v>0</v>
          </cell>
        </row>
        <row r="857">
          <cell r="I857">
            <v>0</v>
          </cell>
        </row>
        <row r="858">
          <cell r="I858">
            <v>0</v>
          </cell>
        </row>
        <row r="859">
          <cell r="I859">
            <v>0</v>
          </cell>
        </row>
        <row r="860">
          <cell r="I860">
            <v>0</v>
          </cell>
        </row>
        <row r="861">
          <cell r="I861">
            <v>0</v>
          </cell>
        </row>
        <row r="862">
          <cell r="I862">
            <v>0</v>
          </cell>
        </row>
        <row r="863">
          <cell r="I863">
            <v>0</v>
          </cell>
        </row>
        <row r="864">
          <cell r="I864">
            <v>0</v>
          </cell>
        </row>
        <row r="865">
          <cell r="I865">
            <v>0</v>
          </cell>
        </row>
        <row r="866">
          <cell r="I866">
            <v>0</v>
          </cell>
        </row>
        <row r="867">
          <cell r="I867">
            <v>0</v>
          </cell>
        </row>
        <row r="868">
          <cell r="I868">
            <v>0</v>
          </cell>
        </row>
        <row r="869">
          <cell r="I869">
            <v>0</v>
          </cell>
        </row>
        <row r="870">
          <cell r="I870">
            <v>0</v>
          </cell>
        </row>
        <row r="871">
          <cell r="I871">
            <v>0</v>
          </cell>
        </row>
        <row r="872">
          <cell r="I872">
            <v>0</v>
          </cell>
        </row>
        <row r="873">
          <cell r="I873">
            <v>0</v>
          </cell>
        </row>
        <row r="874">
          <cell r="I874">
            <v>0</v>
          </cell>
        </row>
        <row r="875">
          <cell r="I875">
            <v>0</v>
          </cell>
        </row>
        <row r="876">
          <cell r="I876">
            <v>0</v>
          </cell>
        </row>
        <row r="877">
          <cell r="I877">
            <v>0</v>
          </cell>
        </row>
        <row r="878">
          <cell r="I878">
            <v>0</v>
          </cell>
        </row>
        <row r="879">
          <cell r="I879">
            <v>0</v>
          </cell>
        </row>
        <row r="880">
          <cell r="I880">
            <v>0</v>
          </cell>
        </row>
        <row r="881">
          <cell r="I881">
            <v>0</v>
          </cell>
        </row>
        <row r="882">
          <cell r="I882">
            <v>0</v>
          </cell>
        </row>
        <row r="883">
          <cell r="I883">
            <v>0</v>
          </cell>
        </row>
        <row r="884">
          <cell r="I884">
            <v>0</v>
          </cell>
        </row>
        <row r="885">
          <cell r="I885">
            <v>0</v>
          </cell>
        </row>
        <row r="886">
          <cell r="I886">
            <v>0</v>
          </cell>
        </row>
        <row r="887">
          <cell r="I887">
            <v>0</v>
          </cell>
        </row>
        <row r="888">
          <cell r="I888">
            <v>0</v>
          </cell>
        </row>
        <row r="889">
          <cell r="I889">
            <v>0</v>
          </cell>
        </row>
        <row r="890">
          <cell r="I890">
            <v>0</v>
          </cell>
        </row>
        <row r="891">
          <cell r="I891">
            <v>0</v>
          </cell>
        </row>
        <row r="892">
          <cell r="I892">
            <v>0</v>
          </cell>
        </row>
        <row r="893">
          <cell r="I893">
            <v>0</v>
          </cell>
        </row>
        <row r="894">
          <cell r="I894">
            <v>0</v>
          </cell>
        </row>
        <row r="895">
          <cell r="I895">
            <v>0</v>
          </cell>
        </row>
        <row r="896">
          <cell r="I896">
            <v>0</v>
          </cell>
        </row>
        <row r="897">
          <cell r="I897">
            <v>0</v>
          </cell>
        </row>
        <row r="898">
          <cell r="I898">
            <v>0</v>
          </cell>
        </row>
        <row r="899">
          <cell r="I899">
            <v>0</v>
          </cell>
        </row>
        <row r="900">
          <cell r="I900">
            <v>0</v>
          </cell>
        </row>
        <row r="901">
          <cell r="I901">
            <v>0</v>
          </cell>
        </row>
        <row r="902">
          <cell r="I902">
            <v>0</v>
          </cell>
        </row>
        <row r="903">
          <cell r="I903">
            <v>0</v>
          </cell>
        </row>
        <row r="904">
          <cell r="I904">
            <v>0</v>
          </cell>
        </row>
        <row r="905">
          <cell r="I905">
            <v>0</v>
          </cell>
        </row>
        <row r="906">
          <cell r="I906">
            <v>0</v>
          </cell>
        </row>
        <row r="907">
          <cell r="I907">
            <v>0</v>
          </cell>
        </row>
        <row r="908">
          <cell r="I908">
            <v>0</v>
          </cell>
        </row>
        <row r="909">
          <cell r="I909">
            <v>0</v>
          </cell>
        </row>
        <row r="910">
          <cell r="I910">
            <v>0</v>
          </cell>
        </row>
        <row r="911">
          <cell r="I911">
            <v>0</v>
          </cell>
        </row>
        <row r="912">
          <cell r="I912">
            <v>0</v>
          </cell>
        </row>
        <row r="913">
          <cell r="I913">
            <v>0</v>
          </cell>
        </row>
        <row r="914">
          <cell r="I914">
            <v>0</v>
          </cell>
        </row>
        <row r="915">
          <cell r="I915">
            <v>0</v>
          </cell>
        </row>
        <row r="916">
          <cell r="I916">
            <v>0</v>
          </cell>
        </row>
        <row r="917">
          <cell r="I917">
            <v>0</v>
          </cell>
        </row>
        <row r="918">
          <cell r="I918">
            <v>0</v>
          </cell>
        </row>
        <row r="919">
          <cell r="I919">
            <v>0</v>
          </cell>
        </row>
        <row r="920">
          <cell r="I920">
            <v>0</v>
          </cell>
        </row>
        <row r="921">
          <cell r="I921">
            <v>0</v>
          </cell>
        </row>
        <row r="922">
          <cell r="I922">
            <v>0</v>
          </cell>
        </row>
        <row r="923">
          <cell r="I923">
            <v>0</v>
          </cell>
        </row>
        <row r="924">
          <cell r="I924">
            <v>0</v>
          </cell>
        </row>
        <row r="925">
          <cell r="I925">
            <v>0</v>
          </cell>
        </row>
        <row r="926">
          <cell r="I926">
            <v>0</v>
          </cell>
        </row>
        <row r="927">
          <cell r="I927">
            <v>0</v>
          </cell>
        </row>
        <row r="928">
          <cell r="I928">
            <v>0</v>
          </cell>
        </row>
        <row r="929">
          <cell r="I929">
            <v>0</v>
          </cell>
        </row>
        <row r="930">
          <cell r="I930">
            <v>0</v>
          </cell>
        </row>
        <row r="931">
          <cell r="I931">
            <v>0</v>
          </cell>
        </row>
        <row r="932">
          <cell r="I932">
            <v>0</v>
          </cell>
        </row>
        <row r="933">
          <cell r="I933">
            <v>0</v>
          </cell>
        </row>
        <row r="934">
          <cell r="I934">
            <v>0</v>
          </cell>
        </row>
        <row r="935">
          <cell r="I935">
            <v>0</v>
          </cell>
        </row>
        <row r="936">
          <cell r="I936">
            <v>0</v>
          </cell>
        </row>
        <row r="937">
          <cell r="I937">
            <v>0</v>
          </cell>
        </row>
        <row r="938">
          <cell r="I938">
            <v>0</v>
          </cell>
        </row>
        <row r="939">
          <cell r="I939">
            <v>0</v>
          </cell>
        </row>
        <row r="940">
          <cell r="I940">
            <v>0</v>
          </cell>
        </row>
        <row r="941">
          <cell r="I941">
            <v>0</v>
          </cell>
        </row>
        <row r="942">
          <cell r="I942">
            <v>0</v>
          </cell>
        </row>
        <row r="943">
          <cell r="I943">
            <v>0</v>
          </cell>
        </row>
        <row r="944">
          <cell r="I944">
            <v>0</v>
          </cell>
        </row>
        <row r="945">
          <cell r="I945">
            <v>0</v>
          </cell>
        </row>
        <row r="946">
          <cell r="I946">
            <v>0</v>
          </cell>
        </row>
        <row r="947">
          <cell r="I947">
            <v>0</v>
          </cell>
        </row>
        <row r="948">
          <cell r="I948">
            <v>0</v>
          </cell>
        </row>
        <row r="949">
          <cell r="I949">
            <v>0</v>
          </cell>
        </row>
        <row r="950">
          <cell r="I950">
            <v>0</v>
          </cell>
        </row>
        <row r="951">
          <cell r="I951">
            <v>0</v>
          </cell>
        </row>
        <row r="952">
          <cell r="I952">
            <v>0</v>
          </cell>
        </row>
        <row r="953">
          <cell r="I953">
            <v>0</v>
          </cell>
        </row>
        <row r="954">
          <cell r="I954">
            <v>0</v>
          </cell>
        </row>
        <row r="955">
          <cell r="I955">
            <v>0</v>
          </cell>
        </row>
        <row r="956">
          <cell r="I956">
            <v>0</v>
          </cell>
        </row>
        <row r="957">
          <cell r="I957">
            <v>0</v>
          </cell>
        </row>
        <row r="958">
          <cell r="I958">
            <v>0</v>
          </cell>
        </row>
        <row r="959">
          <cell r="I959">
            <v>0</v>
          </cell>
        </row>
        <row r="960">
          <cell r="I960">
            <v>0</v>
          </cell>
        </row>
        <row r="961">
          <cell r="I961">
            <v>0</v>
          </cell>
        </row>
        <row r="962">
          <cell r="I962">
            <v>0</v>
          </cell>
        </row>
        <row r="963">
          <cell r="I963">
            <v>0</v>
          </cell>
        </row>
        <row r="964">
          <cell r="I964">
            <v>0</v>
          </cell>
        </row>
        <row r="965">
          <cell r="I965">
            <v>0</v>
          </cell>
        </row>
        <row r="966">
          <cell r="I966">
            <v>0</v>
          </cell>
        </row>
        <row r="967">
          <cell r="I967">
            <v>0</v>
          </cell>
        </row>
        <row r="968">
          <cell r="I968">
            <v>0</v>
          </cell>
        </row>
        <row r="969">
          <cell r="I969">
            <v>0</v>
          </cell>
        </row>
        <row r="970">
          <cell r="I970">
            <v>0</v>
          </cell>
        </row>
        <row r="971">
          <cell r="I971">
            <v>0</v>
          </cell>
        </row>
        <row r="972">
          <cell r="I972">
            <v>0</v>
          </cell>
        </row>
        <row r="973">
          <cell r="I973">
            <v>0</v>
          </cell>
        </row>
        <row r="974">
          <cell r="I974">
            <v>0</v>
          </cell>
        </row>
        <row r="975">
          <cell r="I975">
            <v>0</v>
          </cell>
        </row>
        <row r="976">
          <cell r="I976">
            <v>0</v>
          </cell>
        </row>
        <row r="977">
          <cell r="I977">
            <v>0</v>
          </cell>
        </row>
        <row r="978">
          <cell r="I978">
            <v>0</v>
          </cell>
        </row>
        <row r="979">
          <cell r="I979">
            <v>0</v>
          </cell>
        </row>
        <row r="980">
          <cell r="I980">
            <v>0</v>
          </cell>
        </row>
        <row r="981">
          <cell r="I981">
            <v>0</v>
          </cell>
        </row>
        <row r="982">
          <cell r="I982">
            <v>0</v>
          </cell>
        </row>
        <row r="983">
          <cell r="I983">
            <v>0</v>
          </cell>
        </row>
        <row r="984">
          <cell r="I984">
            <v>0</v>
          </cell>
        </row>
        <row r="985">
          <cell r="I985">
            <v>0</v>
          </cell>
        </row>
        <row r="986">
          <cell r="I986">
            <v>0</v>
          </cell>
        </row>
        <row r="987">
          <cell r="I987">
            <v>0</v>
          </cell>
        </row>
        <row r="988">
          <cell r="I988">
            <v>0</v>
          </cell>
        </row>
        <row r="989">
          <cell r="I989">
            <v>0</v>
          </cell>
        </row>
        <row r="990">
          <cell r="I990">
            <v>0</v>
          </cell>
        </row>
        <row r="991">
          <cell r="I991">
            <v>0</v>
          </cell>
        </row>
        <row r="992">
          <cell r="I992">
            <v>0</v>
          </cell>
        </row>
        <row r="993">
          <cell r="I993">
            <v>0</v>
          </cell>
        </row>
        <row r="994">
          <cell r="I994">
            <v>0</v>
          </cell>
        </row>
        <row r="995">
          <cell r="I995">
            <v>0</v>
          </cell>
        </row>
        <row r="996">
          <cell r="I996">
            <v>0</v>
          </cell>
        </row>
        <row r="997">
          <cell r="I997">
            <v>0</v>
          </cell>
        </row>
        <row r="998">
          <cell r="I998">
            <v>0</v>
          </cell>
        </row>
        <row r="999">
          <cell r="I999">
            <v>0</v>
          </cell>
        </row>
        <row r="1000">
          <cell r="I1000">
            <v>0</v>
          </cell>
        </row>
        <row r="1001">
          <cell r="I1001">
            <v>0</v>
          </cell>
        </row>
        <row r="1002">
          <cell r="I1002">
            <v>0</v>
          </cell>
        </row>
        <row r="1003">
          <cell r="I1003">
            <v>0</v>
          </cell>
        </row>
        <row r="1004">
          <cell r="I1004">
            <v>0</v>
          </cell>
        </row>
        <row r="1005">
          <cell r="I1005">
            <v>0</v>
          </cell>
        </row>
        <row r="1006">
          <cell r="I1006">
            <v>0</v>
          </cell>
        </row>
        <row r="1007">
          <cell r="I1007">
            <v>0</v>
          </cell>
        </row>
        <row r="1008">
          <cell r="I1008">
            <v>0</v>
          </cell>
        </row>
        <row r="1009">
          <cell r="I1009">
            <v>0</v>
          </cell>
        </row>
        <row r="1010">
          <cell r="I1010">
            <v>0</v>
          </cell>
        </row>
        <row r="1011">
          <cell r="I1011">
            <v>0</v>
          </cell>
        </row>
        <row r="1012">
          <cell r="I1012">
            <v>0</v>
          </cell>
        </row>
        <row r="1013">
          <cell r="I1013">
            <v>0</v>
          </cell>
        </row>
        <row r="1014">
          <cell r="I1014">
            <v>0</v>
          </cell>
        </row>
        <row r="1015">
          <cell r="I1015">
            <v>0</v>
          </cell>
        </row>
        <row r="1016">
          <cell r="I1016">
            <v>0</v>
          </cell>
        </row>
        <row r="1017">
          <cell r="I1017">
            <v>0</v>
          </cell>
        </row>
        <row r="1018">
          <cell r="I1018">
            <v>0</v>
          </cell>
        </row>
        <row r="1019">
          <cell r="I1019">
            <v>0</v>
          </cell>
        </row>
        <row r="1020">
          <cell r="I1020">
            <v>0</v>
          </cell>
        </row>
        <row r="1021">
          <cell r="I1021">
            <v>0</v>
          </cell>
        </row>
        <row r="1022">
          <cell r="I1022">
            <v>0</v>
          </cell>
        </row>
        <row r="1023">
          <cell r="I1023">
            <v>0</v>
          </cell>
        </row>
        <row r="1024">
          <cell r="I1024">
            <v>0</v>
          </cell>
        </row>
        <row r="1025">
          <cell r="I1025">
            <v>0</v>
          </cell>
        </row>
        <row r="1026">
          <cell r="I1026">
            <v>0</v>
          </cell>
        </row>
        <row r="1027">
          <cell r="I1027">
            <v>0</v>
          </cell>
        </row>
        <row r="1028">
          <cell r="I1028">
            <v>0</v>
          </cell>
        </row>
        <row r="1029">
          <cell r="I1029">
            <v>0</v>
          </cell>
        </row>
        <row r="1030">
          <cell r="I1030">
            <v>0</v>
          </cell>
        </row>
        <row r="1031">
          <cell r="I1031">
            <v>0</v>
          </cell>
        </row>
        <row r="1032">
          <cell r="I1032">
            <v>0</v>
          </cell>
        </row>
        <row r="1033">
          <cell r="I1033">
            <v>0</v>
          </cell>
        </row>
        <row r="1034">
          <cell r="I1034">
            <v>0</v>
          </cell>
        </row>
        <row r="1035">
          <cell r="I1035">
            <v>0</v>
          </cell>
        </row>
        <row r="1036">
          <cell r="I1036">
            <v>0</v>
          </cell>
        </row>
        <row r="1037">
          <cell r="I1037">
            <v>0</v>
          </cell>
        </row>
        <row r="1038">
          <cell r="I1038">
            <v>0</v>
          </cell>
        </row>
        <row r="1039">
          <cell r="I1039">
            <v>0</v>
          </cell>
        </row>
        <row r="1040">
          <cell r="I1040">
            <v>0</v>
          </cell>
        </row>
        <row r="1041">
          <cell r="I1041">
            <v>0</v>
          </cell>
        </row>
        <row r="1042">
          <cell r="I1042">
            <v>0</v>
          </cell>
        </row>
        <row r="1043">
          <cell r="I1043">
            <v>0</v>
          </cell>
        </row>
        <row r="1044">
          <cell r="I1044">
            <v>0</v>
          </cell>
        </row>
        <row r="1045">
          <cell r="I1045">
            <v>0</v>
          </cell>
        </row>
        <row r="1046">
          <cell r="I1046">
            <v>0</v>
          </cell>
        </row>
        <row r="1047">
          <cell r="I1047">
            <v>0</v>
          </cell>
        </row>
        <row r="1048">
          <cell r="I1048">
            <v>0</v>
          </cell>
        </row>
        <row r="1049">
          <cell r="I1049">
            <v>0</v>
          </cell>
        </row>
        <row r="1050">
          <cell r="I1050">
            <v>0</v>
          </cell>
        </row>
        <row r="1051">
          <cell r="I1051">
            <v>0</v>
          </cell>
        </row>
        <row r="1052">
          <cell r="I1052">
            <v>0</v>
          </cell>
        </row>
        <row r="1053">
          <cell r="I1053">
            <v>0</v>
          </cell>
        </row>
        <row r="1054">
          <cell r="I1054">
            <v>0</v>
          </cell>
        </row>
        <row r="1055">
          <cell r="I1055">
            <v>0</v>
          </cell>
        </row>
        <row r="1056">
          <cell r="I1056">
            <v>0</v>
          </cell>
        </row>
        <row r="1057">
          <cell r="I1057">
            <v>0</v>
          </cell>
        </row>
        <row r="1058">
          <cell r="I1058">
            <v>0</v>
          </cell>
        </row>
        <row r="1059">
          <cell r="I1059">
            <v>0</v>
          </cell>
        </row>
        <row r="1060">
          <cell r="I1060">
            <v>0</v>
          </cell>
        </row>
        <row r="1061">
          <cell r="I1061">
            <v>0</v>
          </cell>
        </row>
        <row r="1062">
          <cell r="I1062">
            <v>0</v>
          </cell>
        </row>
        <row r="1063">
          <cell r="I1063">
            <v>0</v>
          </cell>
        </row>
        <row r="1064">
          <cell r="I1064">
            <v>0</v>
          </cell>
        </row>
        <row r="1065">
          <cell r="I1065">
            <v>0</v>
          </cell>
        </row>
        <row r="1066">
          <cell r="I1066">
            <v>0</v>
          </cell>
        </row>
        <row r="1067">
          <cell r="I1067">
            <v>0</v>
          </cell>
        </row>
        <row r="1068">
          <cell r="I1068">
            <v>0</v>
          </cell>
        </row>
        <row r="1069">
          <cell r="I1069">
            <v>0</v>
          </cell>
        </row>
        <row r="1070">
          <cell r="I1070">
            <v>0</v>
          </cell>
        </row>
        <row r="1071">
          <cell r="I1071">
            <v>0</v>
          </cell>
        </row>
        <row r="1072">
          <cell r="I1072">
            <v>0</v>
          </cell>
        </row>
        <row r="1073">
          <cell r="I1073">
            <v>0</v>
          </cell>
        </row>
        <row r="1074">
          <cell r="I1074">
            <v>0</v>
          </cell>
        </row>
        <row r="1075">
          <cell r="I1075">
            <v>0</v>
          </cell>
        </row>
        <row r="1076">
          <cell r="I1076">
            <v>0</v>
          </cell>
        </row>
        <row r="1077">
          <cell r="I1077">
            <v>0</v>
          </cell>
        </row>
        <row r="1078">
          <cell r="I1078">
            <v>0</v>
          </cell>
        </row>
        <row r="1079">
          <cell r="I1079">
            <v>0</v>
          </cell>
        </row>
        <row r="1080">
          <cell r="I1080">
            <v>0</v>
          </cell>
        </row>
        <row r="1081">
          <cell r="I1081">
            <v>0</v>
          </cell>
        </row>
        <row r="1082">
          <cell r="I1082">
            <v>0</v>
          </cell>
        </row>
        <row r="1083">
          <cell r="I1083">
            <v>0</v>
          </cell>
        </row>
        <row r="1084">
          <cell r="I1084">
            <v>0</v>
          </cell>
        </row>
        <row r="1085">
          <cell r="I1085">
            <v>0</v>
          </cell>
        </row>
        <row r="1086">
          <cell r="I1086">
            <v>0</v>
          </cell>
        </row>
        <row r="1087">
          <cell r="I1087">
            <v>0</v>
          </cell>
        </row>
        <row r="1088">
          <cell r="I1088">
            <v>0</v>
          </cell>
        </row>
        <row r="1089">
          <cell r="I1089">
            <v>0</v>
          </cell>
        </row>
        <row r="1090">
          <cell r="I1090">
            <v>0</v>
          </cell>
        </row>
        <row r="1091">
          <cell r="I1091">
            <v>0</v>
          </cell>
        </row>
        <row r="1092">
          <cell r="I1092">
            <v>0</v>
          </cell>
        </row>
        <row r="1093">
          <cell r="I1093">
            <v>0</v>
          </cell>
        </row>
        <row r="1094">
          <cell r="I1094">
            <v>0</v>
          </cell>
        </row>
        <row r="1095">
          <cell r="I1095">
            <v>0</v>
          </cell>
        </row>
        <row r="1096">
          <cell r="I1096">
            <v>0</v>
          </cell>
        </row>
        <row r="1097">
          <cell r="I1097">
            <v>0</v>
          </cell>
        </row>
        <row r="1098">
          <cell r="I1098">
            <v>0</v>
          </cell>
        </row>
        <row r="1099">
          <cell r="I1099">
            <v>0</v>
          </cell>
        </row>
        <row r="1100">
          <cell r="I1100">
            <v>0</v>
          </cell>
        </row>
        <row r="1101">
          <cell r="I1101">
            <v>0</v>
          </cell>
        </row>
        <row r="1102">
          <cell r="I1102">
            <v>0</v>
          </cell>
        </row>
        <row r="1103">
          <cell r="I1103">
            <v>0</v>
          </cell>
        </row>
        <row r="1104">
          <cell r="I1104">
            <v>0</v>
          </cell>
        </row>
        <row r="1105">
          <cell r="I1105">
            <v>0</v>
          </cell>
        </row>
        <row r="1106">
          <cell r="I1106">
            <v>0</v>
          </cell>
        </row>
        <row r="1107">
          <cell r="I1107">
            <v>0</v>
          </cell>
        </row>
        <row r="1108">
          <cell r="I1108">
            <v>0</v>
          </cell>
        </row>
        <row r="1109">
          <cell r="I1109">
            <v>0</v>
          </cell>
        </row>
        <row r="1110">
          <cell r="I1110">
            <v>0</v>
          </cell>
        </row>
        <row r="1111">
          <cell r="I1111">
            <v>0</v>
          </cell>
        </row>
        <row r="1112">
          <cell r="I1112">
            <v>0</v>
          </cell>
        </row>
        <row r="1113">
          <cell r="I1113">
            <v>0</v>
          </cell>
        </row>
        <row r="1114">
          <cell r="I1114">
            <v>0</v>
          </cell>
        </row>
        <row r="1115">
          <cell r="I1115">
            <v>0</v>
          </cell>
        </row>
        <row r="1116">
          <cell r="I1116">
            <v>0</v>
          </cell>
        </row>
        <row r="1117">
          <cell r="I1117">
            <v>0</v>
          </cell>
        </row>
        <row r="1118">
          <cell r="I1118">
            <v>0</v>
          </cell>
        </row>
        <row r="1119">
          <cell r="I1119">
            <v>0</v>
          </cell>
        </row>
        <row r="1120">
          <cell r="I1120">
            <v>0</v>
          </cell>
        </row>
        <row r="1121">
          <cell r="I1121">
            <v>0</v>
          </cell>
        </row>
        <row r="1122">
          <cell r="I1122">
            <v>0</v>
          </cell>
        </row>
        <row r="1123">
          <cell r="I1123">
            <v>0</v>
          </cell>
        </row>
        <row r="1124">
          <cell r="I1124">
            <v>0</v>
          </cell>
        </row>
        <row r="1125">
          <cell r="I1125">
            <v>0</v>
          </cell>
        </row>
        <row r="1126">
          <cell r="I1126">
            <v>0</v>
          </cell>
        </row>
        <row r="1127">
          <cell r="I1127">
            <v>0</v>
          </cell>
        </row>
        <row r="1128">
          <cell r="I1128">
            <v>0</v>
          </cell>
        </row>
        <row r="1129">
          <cell r="I1129">
            <v>0</v>
          </cell>
        </row>
        <row r="1130">
          <cell r="I1130">
            <v>0</v>
          </cell>
        </row>
        <row r="1131">
          <cell r="I1131">
            <v>0</v>
          </cell>
        </row>
        <row r="1132">
          <cell r="I1132">
            <v>0</v>
          </cell>
        </row>
        <row r="1133">
          <cell r="I1133">
            <v>0</v>
          </cell>
        </row>
        <row r="1134">
          <cell r="I1134">
            <v>0</v>
          </cell>
        </row>
        <row r="1135">
          <cell r="I1135">
            <v>0</v>
          </cell>
        </row>
        <row r="1136">
          <cell r="I1136">
            <v>0</v>
          </cell>
        </row>
        <row r="1137">
          <cell r="I1137">
            <v>0</v>
          </cell>
        </row>
        <row r="1138">
          <cell r="I1138">
            <v>0</v>
          </cell>
        </row>
        <row r="1139">
          <cell r="I1139">
            <v>0</v>
          </cell>
        </row>
        <row r="1140">
          <cell r="I1140">
            <v>0</v>
          </cell>
        </row>
        <row r="1141">
          <cell r="I1141">
            <v>0</v>
          </cell>
        </row>
        <row r="1142">
          <cell r="I1142">
            <v>0</v>
          </cell>
        </row>
        <row r="1143">
          <cell r="I1143">
            <v>0</v>
          </cell>
        </row>
        <row r="1144">
          <cell r="I1144">
            <v>0</v>
          </cell>
        </row>
        <row r="1145">
          <cell r="I1145">
            <v>0</v>
          </cell>
        </row>
        <row r="1146">
          <cell r="I1146">
            <v>0</v>
          </cell>
        </row>
        <row r="1147">
          <cell r="I1147">
            <v>0</v>
          </cell>
        </row>
        <row r="1148">
          <cell r="I1148">
            <v>0</v>
          </cell>
        </row>
        <row r="1149">
          <cell r="I1149">
            <v>0</v>
          </cell>
        </row>
        <row r="1150">
          <cell r="I1150">
            <v>0</v>
          </cell>
        </row>
        <row r="1151">
          <cell r="I1151">
            <v>0</v>
          </cell>
        </row>
        <row r="1152">
          <cell r="I1152">
            <v>0</v>
          </cell>
        </row>
        <row r="1153">
          <cell r="I1153">
            <v>0</v>
          </cell>
        </row>
        <row r="1154">
          <cell r="I1154">
            <v>0</v>
          </cell>
        </row>
        <row r="1155">
          <cell r="I1155">
            <v>0</v>
          </cell>
        </row>
        <row r="1156">
          <cell r="I1156">
            <v>0</v>
          </cell>
        </row>
        <row r="1157">
          <cell r="I1157">
            <v>0</v>
          </cell>
        </row>
        <row r="1158">
          <cell r="I1158">
            <v>0</v>
          </cell>
        </row>
        <row r="1159">
          <cell r="I1159">
            <v>0</v>
          </cell>
        </row>
        <row r="1160">
          <cell r="I1160">
            <v>0</v>
          </cell>
        </row>
        <row r="1161">
          <cell r="I1161">
            <v>0</v>
          </cell>
        </row>
        <row r="1162">
          <cell r="I1162">
            <v>0</v>
          </cell>
        </row>
        <row r="1163">
          <cell r="I1163">
            <v>0</v>
          </cell>
        </row>
        <row r="1164">
          <cell r="I1164">
            <v>0</v>
          </cell>
        </row>
        <row r="1165">
          <cell r="I1165">
            <v>0</v>
          </cell>
        </row>
        <row r="1166">
          <cell r="I1166">
            <v>0</v>
          </cell>
        </row>
        <row r="1167">
          <cell r="I1167">
            <v>0</v>
          </cell>
        </row>
        <row r="1168">
          <cell r="I1168">
            <v>0</v>
          </cell>
        </row>
        <row r="1169">
          <cell r="I1169">
            <v>0</v>
          </cell>
        </row>
        <row r="1170">
          <cell r="I1170">
            <v>0</v>
          </cell>
        </row>
        <row r="1171">
          <cell r="I1171">
            <v>0</v>
          </cell>
        </row>
        <row r="1172">
          <cell r="I1172">
            <v>0</v>
          </cell>
        </row>
        <row r="1173">
          <cell r="I1173">
            <v>0</v>
          </cell>
        </row>
        <row r="1174">
          <cell r="I1174">
            <v>0</v>
          </cell>
        </row>
        <row r="1175">
          <cell r="I1175">
            <v>0</v>
          </cell>
        </row>
        <row r="1176">
          <cell r="I1176">
            <v>0</v>
          </cell>
        </row>
        <row r="1177">
          <cell r="I1177">
            <v>0</v>
          </cell>
        </row>
        <row r="1178">
          <cell r="I1178">
            <v>0</v>
          </cell>
        </row>
        <row r="1179">
          <cell r="I1179">
            <v>0</v>
          </cell>
        </row>
        <row r="1180">
          <cell r="I1180">
            <v>0</v>
          </cell>
        </row>
        <row r="1181">
          <cell r="I1181">
            <v>0</v>
          </cell>
        </row>
        <row r="1182">
          <cell r="I1182">
            <v>0</v>
          </cell>
        </row>
        <row r="1183">
          <cell r="I1183">
            <v>0</v>
          </cell>
        </row>
        <row r="1184">
          <cell r="I1184">
            <v>0</v>
          </cell>
        </row>
        <row r="1185">
          <cell r="I1185">
            <v>0</v>
          </cell>
        </row>
        <row r="1186">
          <cell r="I1186">
            <v>0</v>
          </cell>
        </row>
        <row r="1187">
          <cell r="I1187">
            <v>0</v>
          </cell>
        </row>
        <row r="1188">
          <cell r="I1188">
            <v>0</v>
          </cell>
        </row>
        <row r="1189">
          <cell r="I1189">
            <v>0</v>
          </cell>
        </row>
        <row r="1190">
          <cell r="I1190">
            <v>0</v>
          </cell>
        </row>
        <row r="1191">
          <cell r="I1191">
            <v>0</v>
          </cell>
        </row>
        <row r="1192">
          <cell r="I1192">
            <v>0</v>
          </cell>
        </row>
        <row r="1193">
          <cell r="I1193">
            <v>0</v>
          </cell>
        </row>
        <row r="1194">
          <cell r="I1194">
            <v>0</v>
          </cell>
        </row>
        <row r="1195">
          <cell r="I1195">
            <v>0</v>
          </cell>
        </row>
        <row r="1196">
          <cell r="I1196">
            <v>0</v>
          </cell>
        </row>
        <row r="1197">
          <cell r="I1197">
            <v>0</v>
          </cell>
        </row>
        <row r="1198">
          <cell r="I1198">
            <v>0</v>
          </cell>
        </row>
        <row r="1199">
          <cell r="I1199">
            <v>0</v>
          </cell>
        </row>
        <row r="1200">
          <cell r="I1200">
            <v>0</v>
          </cell>
        </row>
        <row r="1201">
          <cell r="I1201">
            <v>0</v>
          </cell>
        </row>
        <row r="1202">
          <cell r="I1202">
            <v>0</v>
          </cell>
        </row>
        <row r="1203">
          <cell r="I1203">
            <v>0</v>
          </cell>
        </row>
        <row r="1204">
          <cell r="I1204">
            <v>0</v>
          </cell>
        </row>
        <row r="1205">
          <cell r="I1205">
            <v>0</v>
          </cell>
        </row>
        <row r="1206">
          <cell r="I1206">
            <v>0</v>
          </cell>
        </row>
        <row r="1207">
          <cell r="I1207">
            <v>0</v>
          </cell>
        </row>
        <row r="1208">
          <cell r="I1208">
            <v>0</v>
          </cell>
        </row>
        <row r="1209">
          <cell r="I1209">
            <v>0</v>
          </cell>
        </row>
        <row r="1210">
          <cell r="I1210">
            <v>0</v>
          </cell>
        </row>
        <row r="1211">
          <cell r="I1211">
            <v>0</v>
          </cell>
        </row>
        <row r="1212">
          <cell r="I1212">
            <v>0</v>
          </cell>
        </row>
        <row r="1213">
          <cell r="I1213">
            <v>0</v>
          </cell>
        </row>
        <row r="1214">
          <cell r="I1214">
            <v>0</v>
          </cell>
        </row>
        <row r="1215">
          <cell r="I1215">
            <v>0</v>
          </cell>
        </row>
        <row r="1216">
          <cell r="I1216">
            <v>0</v>
          </cell>
        </row>
        <row r="1217">
          <cell r="I1217">
            <v>0</v>
          </cell>
        </row>
        <row r="1218">
          <cell r="I1218">
            <v>0</v>
          </cell>
        </row>
        <row r="1219">
          <cell r="I1219">
            <v>0</v>
          </cell>
        </row>
        <row r="1220">
          <cell r="I1220">
            <v>0</v>
          </cell>
        </row>
        <row r="1221">
          <cell r="I1221">
            <v>0</v>
          </cell>
        </row>
        <row r="1222">
          <cell r="I1222">
            <v>0</v>
          </cell>
        </row>
        <row r="1223">
          <cell r="I1223">
            <v>0</v>
          </cell>
        </row>
        <row r="1224">
          <cell r="I1224">
            <v>0</v>
          </cell>
        </row>
        <row r="1225">
          <cell r="I1225">
            <v>0</v>
          </cell>
        </row>
        <row r="1226">
          <cell r="I1226">
            <v>0</v>
          </cell>
        </row>
        <row r="1227">
          <cell r="I1227">
            <v>0</v>
          </cell>
        </row>
        <row r="1228">
          <cell r="I1228">
            <v>0</v>
          </cell>
        </row>
        <row r="1229">
          <cell r="I1229">
            <v>0</v>
          </cell>
        </row>
        <row r="1230">
          <cell r="I1230">
            <v>0</v>
          </cell>
        </row>
        <row r="1231">
          <cell r="I1231">
            <v>0</v>
          </cell>
        </row>
        <row r="1232">
          <cell r="I1232">
            <v>0</v>
          </cell>
        </row>
        <row r="1233">
          <cell r="I1233">
            <v>0</v>
          </cell>
        </row>
        <row r="1234">
          <cell r="I1234">
            <v>0</v>
          </cell>
        </row>
        <row r="1235">
          <cell r="I1235">
            <v>0</v>
          </cell>
        </row>
        <row r="1236">
          <cell r="I1236">
            <v>0</v>
          </cell>
        </row>
        <row r="1237">
          <cell r="I1237">
            <v>0</v>
          </cell>
        </row>
        <row r="1238">
          <cell r="I1238">
            <v>0</v>
          </cell>
        </row>
        <row r="1239">
          <cell r="I1239">
            <v>0</v>
          </cell>
        </row>
        <row r="1240">
          <cell r="I1240">
            <v>0</v>
          </cell>
        </row>
        <row r="1241">
          <cell r="I1241">
            <v>0</v>
          </cell>
        </row>
        <row r="1242">
          <cell r="I1242">
            <v>0</v>
          </cell>
        </row>
        <row r="1243">
          <cell r="I1243">
            <v>0</v>
          </cell>
        </row>
        <row r="1244">
          <cell r="I1244">
            <v>0</v>
          </cell>
        </row>
        <row r="1245">
          <cell r="I1245">
            <v>0</v>
          </cell>
        </row>
        <row r="1246">
          <cell r="I1246">
            <v>0</v>
          </cell>
        </row>
        <row r="1247">
          <cell r="I1247">
            <v>0</v>
          </cell>
        </row>
        <row r="1248">
          <cell r="I1248">
            <v>0</v>
          </cell>
        </row>
        <row r="1249">
          <cell r="I1249">
            <v>0</v>
          </cell>
        </row>
        <row r="1250">
          <cell r="I1250">
            <v>0</v>
          </cell>
        </row>
        <row r="1251">
          <cell r="I1251">
            <v>0</v>
          </cell>
        </row>
        <row r="1252">
          <cell r="I1252">
            <v>0</v>
          </cell>
        </row>
        <row r="1253">
          <cell r="I1253">
            <v>0</v>
          </cell>
        </row>
        <row r="1254">
          <cell r="I1254">
            <v>0</v>
          </cell>
        </row>
        <row r="1255">
          <cell r="I1255">
            <v>0</v>
          </cell>
        </row>
        <row r="1256">
          <cell r="I1256">
            <v>0</v>
          </cell>
        </row>
        <row r="1257">
          <cell r="I1257">
            <v>0</v>
          </cell>
        </row>
        <row r="1258">
          <cell r="I1258">
            <v>0</v>
          </cell>
        </row>
        <row r="1259">
          <cell r="I1259">
            <v>0</v>
          </cell>
        </row>
        <row r="1260">
          <cell r="I1260">
            <v>0</v>
          </cell>
        </row>
        <row r="1261">
          <cell r="I1261">
            <v>0</v>
          </cell>
        </row>
        <row r="1262">
          <cell r="I1262">
            <v>0</v>
          </cell>
        </row>
        <row r="1263">
          <cell r="I1263">
            <v>0</v>
          </cell>
        </row>
        <row r="1264">
          <cell r="I1264">
            <v>0</v>
          </cell>
        </row>
        <row r="1265">
          <cell r="I1265">
            <v>0</v>
          </cell>
        </row>
        <row r="1266">
          <cell r="I1266">
            <v>0</v>
          </cell>
        </row>
        <row r="1267">
          <cell r="I1267">
            <v>0</v>
          </cell>
        </row>
        <row r="1268">
          <cell r="I1268">
            <v>0</v>
          </cell>
        </row>
        <row r="1269">
          <cell r="I1269">
            <v>0</v>
          </cell>
        </row>
        <row r="1270">
          <cell r="I1270">
            <v>0</v>
          </cell>
        </row>
        <row r="1271">
          <cell r="I1271">
            <v>0</v>
          </cell>
        </row>
        <row r="1272">
          <cell r="I1272">
            <v>0</v>
          </cell>
        </row>
        <row r="1273">
          <cell r="I1273">
            <v>0</v>
          </cell>
        </row>
        <row r="1274">
          <cell r="I1274">
            <v>0</v>
          </cell>
        </row>
        <row r="1275">
          <cell r="I1275">
            <v>0</v>
          </cell>
        </row>
        <row r="1276">
          <cell r="I1276">
            <v>0</v>
          </cell>
        </row>
        <row r="1277">
          <cell r="I1277">
            <v>0</v>
          </cell>
        </row>
        <row r="1278">
          <cell r="I1278">
            <v>0</v>
          </cell>
        </row>
        <row r="1279">
          <cell r="I1279">
            <v>0</v>
          </cell>
        </row>
        <row r="1280">
          <cell r="I1280">
            <v>0</v>
          </cell>
        </row>
        <row r="1281">
          <cell r="I1281">
            <v>0</v>
          </cell>
        </row>
        <row r="1282">
          <cell r="I1282">
            <v>0</v>
          </cell>
        </row>
        <row r="1283">
          <cell r="I1283">
            <v>0</v>
          </cell>
        </row>
        <row r="1284">
          <cell r="I1284">
            <v>0</v>
          </cell>
        </row>
        <row r="1285">
          <cell r="I1285">
            <v>0</v>
          </cell>
        </row>
        <row r="1286">
          <cell r="I1286">
            <v>0</v>
          </cell>
        </row>
        <row r="1287">
          <cell r="I1287">
            <v>0</v>
          </cell>
        </row>
        <row r="1288">
          <cell r="I1288">
            <v>0</v>
          </cell>
        </row>
        <row r="1289">
          <cell r="I1289">
            <v>0</v>
          </cell>
        </row>
        <row r="1290">
          <cell r="I1290">
            <v>0</v>
          </cell>
        </row>
        <row r="1291">
          <cell r="I1291">
            <v>0</v>
          </cell>
        </row>
        <row r="1292">
          <cell r="I1292">
            <v>0</v>
          </cell>
        </row>
        <row r="1293">
          <cell r="I1293">
            <v>0</v>
          </cell>
        </row>
        <row r="1294">
          <cell r="I1294">
            <v>0</v>
          </cell>
        </row>
        <row r="1295">
          <cell r="I1295">
            <v>0</v>
          </cell>
        </row>
        <row r="1296">
          <cell r="I1296">
            <v>0</v>
          </cell>
        </row>
        <row r="1297">
          <cell r="I1297">
            <v>0</v>
          </cell>
        </row>
        <row r="1298">
          <cell r="I1298">
            <v>0</v>
          </cell>
        </row>
        <row r="1299">
          <cell r="I1299">
            <v>0</v>
          </cell>
        </row>
        <row r="1300">
          <cell r="I1300">
            <v>0</v>
          </cell>
        </row>
        <row r="1301">
          <cell r="I1301">
            <v>0</v>
          </cell>
        </row>
        <row r="1302">
          <cell r="I1302">
            <v>0</v>
          </cell>
        </row>
        <row r="1303">
          <cell r="I1303">
            <v>0</v>
          </cell>
        </row>
        <row r="1304">
          <cell r="I1304">
            <v>0</v>
          </cell>
        </row>
        <row r="1305">
          <cell r="I1305">
            <v>0</v>
          </cell>
        </row>
        <row r="1306">
          <cell r="I1306">
            <v>0</v>
          </cell>
        </row>
        <row r="1307">
          <cell r="I1307">
            <v>0</v>
          </cell>
        </row>
        <row r="1308">
          <cell r="I1308">
            <v>0</v>
          </cell>
        </row>
        <row r="1309">
          <cell r="I1309">
            <v>0</v>
          </cell>
        </row>
        <row r="1310">
          <cell r="I1310">
            <v>0</v>
          </cell>
        </row>
        <row r="1311">
          <cell r="I1311">
            <v>0</v>
          </cell>
        </row>
        <row r="1312">
          <cell r="I1312">
            <v>0</v>
          </cell>
        </row>
        <row r="1313">
          <cell r="I1313">
            <v>0</v>
          </cell>
        </row>
        <row r="1314">
          <cell r="I1314">
            <v>0</v>
          </cell>
        </row>
        <row r="1315">
          <cell r="I1315">
            <v>0</v>
          </cell>
        </row>
        <row r="1316">
          <cell r="I1316">
            <v>0</v>
          </cell>
        </row>
        <row r="1317">
          <cell r="I1317">
            <v>0</v>
          </cell>
        </row>
        <row r="1318">
          <cell r="I1318">
            <v>0</v>
          </cell>
        </row>
        <row r="1319">
          <cell r="I1319">
            <v>0</v>
          </cell>
        </row>
        <row r="1320">
          <cell r="I1320">
            <v>0</v>
          </cell>
        </row>
        <row r="1321">
          <cell r="I1321">
            <v>0</v>
          </cell>
        </row>
        <row r="1322">
          <cell r="I1322">
            <v>0</v>
          </cell>
        </row>
        <row r="1323">
          <cell r="I1323">
            <v>0</v>
          </cell>
        </row>
        <row r="1324">
          <cell r="I1324">
            <v>0</v>
          </cell>
        </row>
        <row r="1325">
          <cell r="I1325">
            <v>0</v>
          </cell>
        </row>
        <row r="1326">
          <cell r="I1326">
            <v>0</v>
          </cell>
        </row>
        <row r="1327">
          <cell r="I1327">
            <v>0</v>
          </cell>
        </row>
        <row r="1328">
          <cell r="I1328">
            <v>0</v>
          </cell>
        </row>
        <row r="1329">
          <cell r="I1329">
            <v>0</v>
          </cell>
        </row>
        <row r="1330">
          <cell r="I1330">
            <v>0</v>
          </cell>
        </row>
        <row r="1331">
          <cell r="I1331">
            <v>0</v>
          </cell>
        </row>
        <row r="1332">
          <cell r="I1332">
            <v>0</v>
          </cell>
        </row>
        <row r="1333">
          <cell r="I1333">
            <v>0</v>
          </cell>
        </row>
        <row r="1334">
          <cell r="I1334">
            <v>0</v>
          </cell>
        </row>
        <row r="1335">
          <cell r="I1335">
            <v>0</v>
          </cell>
        </row>
        <row r="1336">
          <cell r="I1336">
            <v>0</v>
          </cell>
        </row>
        <row r="1337">
          <cell r="I1337">
            <v>0</v>
          </cell>
        </row>
        <row r="1338">
          <cell r="I1338">
            <v>0</v>
          </cell>
        </row>
        <row r="1339">
          <cell r="I1339">
            <v>0</v>
          </cell>
        </row>
        <row r="1340">
          <cell r="I1340">
            <v>0</v>
          </cell>
        </row>
        <row r="1341">
          <cell r="I1341">
            <v>0</v>
          </cell>
        </row>
        <row r="1342">
          <cell r="I1342">
            <v>0</v>
          </cell>
        </row>
        <row r="1343">
          <cell r="I1343">
            <v>0</v>
          </cell>
        </row>
        <row r="1344">
          <cell r="I1344">
            <v>0</v>
          </cell>
        </row>
        <row r="1345">
          <cell r="I1345">
            <v>0</v>
          </cell>
        </row>
        <row r="1346">
          <cell r="I1346">
            <v>0</v>
          </cell>
        </row>
        <row r="1347">
          <cell r="I1347">
            <v>0</v>
          </cell>
        </row>
        <row r="1348">
          <cell r="I1348">
            <v>0</v>
          </cell>
        </row>
        <row r="1349">
          <cell r="I1349">
            <v>0</v>
          </cell>
        </row>
        <row r="1350">
          <cell r="I1350">
            <v>0</v>
          </cell>
        </row>
        <row r="1351">
          <cell r="I1351">
            <v>0</v>
          </cell>
        </row>
        <row r="1352">
          <cell r="I1352">
            <v>0</v>
          </cell>
        </row>
        <row r="1353">
          <cell r="I1353">
            <v>0</v>
          </cell>
        </row>
        <row r="1354">
          <cell r="I1354">
            <v>0</v>
          </cell>
        </row>
        <row r="1355">
          <cell r="I1355">
            <v>0</v>
          </cell>
        </row>
        <row r="1356">
          <cell r="I1356">
            <v>0</v>
          </cell>
        </row>
        <row r="1357">
          <cell r="I1357">
            <v>0</v>
          </cell>
        </row>
        <row r="1358">
          <cell r="I1358">
            <v>0</v>
          </cell>
        </row>
        <row r="1359">
          <cell r="I1359">
            <v>0</v>
          </cell>
        </row>
        <row r="1360">
          <cell r="I1360">
            <v>0</v>
          </cell>
        </row>
        <row r="1361">
          <cell r="I1361">
            <v>0</v>
          </cell>
        </row>
        <row r="1362">
          <cell r="I1362">
            <v>0</v>
          </cell>
        </row>
        <row r="1363">
          <cell r="I1363">
            <v>0</v>
          </cell>
        </row>
        <row r="1364">
          <cell r="I1364">
            <v>0</v>
          </cell>
        </row>
        <row r="1365">
          <cell r="I1365">
            <v>0</v>
          </cell>
        </row>
        <row r="1366">
          <cell r="I1366">
            <v>0</v>
          </cell>
        </row>
        <row r="1367">
          <cell r="I1367">
            <v>0</v>
          </cell>
        </row>
        <row r="1368">
          <cell r="I1368">
            <v>0</v>
          </cell>
        </row>
        <row r="1369">
          <cell r="I1369">
            <v>0</v>
          </cell>
        </row>
        <row r="1370">
          <cell r="I1370">
            <v>0</v>
          </cell>
        </row>
        <row r="1371">
          <cell r="I1371">
            <v>0</v>
          </cell>
        </row>
        <row r="1372">
          <cell r="I1372">
            <v>0</v>
          </cell>
        </row>
        <row r="1373">
          <cell r="I1373">
            <v>0</v>
          </cell>
        </row>
        <row r="1374">
          <cell r="I1374">
            <v>0</v>
          </cell>
        </row>
        <row r="1375">
          <cell r="I1375">
            <v>0</v>
          </cell>
        </row>
        <row r="1376">
          <cell r="I1376">
            <v>0</v>
          </cell>
        </row>
        <row r="1377">
          <cell r="I1377">
            <v>0</v>
          </cell>
        </row>
        <row r="1378">
          <cell r="I1378">
            <v>0</v>
          </cell>
        </row>
        <row r="1379">
          <cell r="I1379">
            <v>0</v>
          </cell>
        </row>
        <row r="1380">
          <cell r="I1380">
            <v>0</v>
          </cell>
        </row>
        <row r="1381">
          <cell r="I1381">
            <v>0</v>
          </cell>
        </row>
        <row r="1382">
          <cell r="I1382">
            <v>0</v>
          </cell>
        </row>
        <row r="1383">
          <cell r="I1383">
            <v>0</v>
          </cell>
        </row>
        <row r="1384">
          <cell r="I1384">
            <v>0</v>
          </cell>
        </row>
        <row r="1385">
          <cell r="I1385">
            <v>0</v>
          </cell>
        </row>
        <row r="1386">
          <cell r="I1386">
            <v>0</v>
          </cell>
        </row>
        <row r="1387">
          <cell r="I1387">
            <v>0</v>
          </cell>
        </row>
        <row r="1388">
          <cell r="I1388">
            <v>0</v>
          </cell>
        </row>
        <row r="1389">
          <cell r="I1389">
            <v>0</v>
          </cell>
        </row>
        <row r="1390">
          <cell r="I1390">
            <v>0</v>
          </cell>
        </row>
        <row r="1391">
          <cell r="I1391">
            <v>0</v>
          </cell>
        </row>
        <row r="1392">
          <cell r="I1392">
            <v>0</v>
          </cell>
        </row>
        <row r="1393">
          <cell r="I1393">
            <v>0</v>
          </cell>
        </row>
        <row r="1394">
          <cell r="I1394">
            <v>0</v>
          </cell>
        </row>
        <row r="1395">
          <cell r="I1395">
            <v>0</v>
          </cell>
        </row>
        <row r="1396">
          <cell r="I1396">
            <v>0</v>
          </cell>
        </row>
        <row r="1397">
          <cell r="I1397">
            <v>0</v>
          </cell>
        </row>
        <row r="1398">
          <cell r="I1398">
            <v>0</v>
          </cell>
        </row>
        <row r="1399">
          <cell r="I1399">
            <v>0</v>
          </cell>
        </row>
        <row r="1400">
          <cell r="I1400">
            <v>0</v>
          </cell>
        </row>
        <row r="1401">
          <cell r="I1401">
            <v>0</v>
          </cell>
        </row>
        <row r="1402">
          <cell r="I1402">
            <v>0</v>
          </cell>
        </row>
        <row r="1403">
          <cell r="I1403">
            <v>0</v>
          </cell>
        </row>
        <row r="1404">
          <cell r="I1404">
            <v>0</v>
          </cell>
        </row>
        <row r="1405">
          <cell r="I1405">
            <v>0</v>
          </cell>
        </row>
        <row r="1406">
          <cell r="I1406">
            <v>0</v>
          </cell>
        </row>
        <row r="1407">
          <cell r="I1407">
            <v>0</v>
          </cell>
        </row>
        <row r="1408">
          <cell r="I1408">
            <v>0</v>
          </cell>
        </row>
        <row r="1409">
          <cell r="I1409">
            <v>0</v>
          </cell>
        </row>
        <row r="1410">
          <cell r="I1410">
            <v>0</v>
          </cell>
        </row>
        <row r="1411">
          <cell r="I1411">
            <v>0</v>
          </cell>
        </row>
        <row r="1412">
          <cell r="I1412">
            <v>0</v>
          </cell>
        </row>
        <row r="1413">
          <cell r="I1413">
            <v>0</v>
          </cell>
        </row>
        <row r="1414">
          <cell r="I1414">
            <v>0</v>
          </cell>
        </row>
        <row r="1415">
          <cell r="I1415">
            <v>0</v>
          </cell>
        </row>
        <row r="1416">
          <cell r="I1416">
            <v>0</v>
          </cell>
        </row>
        <row r="1417">
          <cell r="I1417">
            <v>0</v>
          </cell>
        </row>
        <row r="1418">
          <cell r="I1418">
            <v>0</v>
          </cell>
        </row>
        <row r="1419">
          <cell r="I1419">
            <v>0</v>
          </cell>
        </row>
        <row r="1420">
          <cell r="I1420">
            <v>0</v>
          </cell>
        </row>
        <row r="1421">
          <cell r="I1421">
            <v>0</v>
          </cell>
        </row>
        <row r="1422">
          <cell r="I1422">
            <v>0</v>
          </cell>
        </row>
        <row r="1423">
          <cell r="I1423">
            <v>0</v>
          </cell>
        </row>
        <row r="1424">
          <cell r="I1424">
            <v>0</v>
          </cell>
        </row>
        <row r="1425">
          <cell r="I1425">
            <v>0</v>
          </cell>
        </row>
        <row r="1426">
          <cell r="I1426">
            <v>0</v>
          </cell>
        </row>
        <row r="1427">
          <cell r="I1427">
            <v>0</v>
          </cell>
        </row>
        <row r="1428">
          <cell r="I1428">
            <v>0</v>
          </cell>
        </row>
        <row r="1429">
          <cell r="I1429">
            <v>0</v>
          </cell>
        </row>
        <row r="1430">
          <cell r="I1430">
            <v>0</v>
          </cell>
        </row>
        <row r="1431">
          <cell r="I1431">
            <v>0</v>
          </cell>
        </row>
        <row r="1432">
          <cell r="I1432">
            <v>0</v>
          </cell>
        </row>
        <row r="1433">
          <cell r="I1433">
            <v>0</v>
          </cell>
        </row>
        <row r="1434">
          <cell r="I1434">
            <v>0</v>
          </cell>
        </row>
        <row r="1435">
          <cell r="I1435">
            <v>0</v>
          </cell>
        </row>
        <row r="1436">
          <cell r="I1436">
            <v>0</v>
          </cell>
        </row>
        <row r="1437">
          <cell r="I1437">
            <v>0</v>
          </cell>
        </row>
        <row r="1438">
          <cell r="I1438">
            <v>0</v>
          </cell>
        </row>
        <row r="1439">
          <cell r="I1439">
            <v>0</v>
          </cell>
        </row>
        <row r="1440">
          <cell r="I1440">
            <v>0</v>
          </cell>
        </row>
        <row r="1441">
          <cell r="I1441">
            <v>0</v>
          </cell>
        </row>
        <row r="1442">
          <cell r="I1442">
            <v>0</v>
          </cell>
        </row>
        <row r="1443">
          <cell r="I1443">
            <v>0</v>
          </cell>
        </row>
        <row r="1444">
          <cell r="I1444">
            <v>0</v>
          </cell>
        </row>
        <row r="1445">
          <cell r="I1445">
            <v>0</v>
          </cell>
        </row>
        <row r="1446">
          <cell r="I1446">
            <v>0</v>
          </cell>
        </row>
        <row r="1447">
          <cell r="I1447">
            <v>0</v>
          </cell>
        </row>
        <row r="1448">
          <cell r="I1448">
            <v>0</v>
          </cell>
        </row>
        <row r="1449">
          <cell r="I1449">
            <v>0</v>
          </cell>
        </row>
        <row r="1450">
          <cell r="I1450">
            <v>0</v>
          </cell>
        </row>
        <row r="1451">
          <cell r="I1451">
            <v>0</v>
          </cell>
        </row>
        <row r="1452">
          <cell r="I1452">
            <v>0</v>
          </cell>
        </row>
        <row r="1453">
          <cell r="I1453">
            <v>0</v>
          </cell>
        </row>
        <row r="1454">
          <cell r="I1454">
            <v>0</v>
          </cell>
        </row>
        <row r="1455">
          <cell r="I1455">
            <v>0</v>
          </cell>
        </row>
        <row r="1456">
          <cell r="I1456">
            <v>0</v>
          </cell>
        </row>
        <row r="1457">
          <cell r="I1457">
            <v>0</v>
          </cell>
        </row>
        <row r="1458">
          <cell r="I1458">
            <v>0</v>
          </cell>
        </row>
        <row r="1459">
          <cell r="I1459">
            <v>0</v>
          </cell>
        </row>
        <row r="1460">
          <cell r="I1460">
            <v>0</v>
          </cell>
        </row>
        <row r="1461">
          <cell r="I1461">
            <v>0</v>
          </cell>
        </row>
        <row r="1462">
          <cell r="I1462">
            <v>0</v>
          </cell>
        </row>
        <row r="1463">
          <cell r="I1463">
            <v>0</v>
          </cell>
        </row>
        <row r="1464">
          <cell r="I1464">
            <v>0</v>
          </cell>
        </row>
        <row r="1465">
          <cell r="I1465">
            <v>0</v>
          </cell>
        </row>
        <row r="1466">
          <cell r="I1466">
            <v>0</v>
          </cell>
        </row>
        <row r="1467">
          <cell r="I1467">
            <v>0</v>
          </cell>
        </row>
        <row r="1468">
          <cell r="I1468">
            <v>0</v>
          </cell>
        </row>
        <row r="1469">
          <cell r="I1469">
            <v>0</v>
          </cell>
        </row>
        <row r="1470">
          <cell r="I1470">
            <v>0</v>
          </cell>
        </row>
        <row r="1471">
          <cell r="I1471">
            <v>0</v>
          </cell>
        </row>
        <row r="1472">
          <cell r="I1472">
            <v>0</v>
          </cell>
        </row>
        <row r="1473">
          <cell r="I1473">
            <v>0</v>
          </cell>
        </row>
        <row r="1474">
          <cell r="I1474">
            <v>0</v>
          </cell>
        </row>
        <row r="1475">
          <cell r="I1475">
            <v>0</v>
          </cell>
        </row>
        <row r="1476">
          <cell r="I1476">
            <v>0</v>
          </cell>
        </row>
        <row r="1477">
          <cell r="I1477">
            <v>0</v>
          </cell>
        </row>
        <row r="1478">
          <cell r="I1478">
            <v>0</v>
          </cell>
        </row>
        <row r="1479">
          <cell r="I1479">
            <v>0</v>
          </cell>
        </row>
        <row r="1480">
          <cell r="I1480">
            <v>0</v>
          </cell>
        </row>
        <row r="1481">
          <cell r="I1481">
            <v>0</v>
          </cell>
        </row>
        <row r="1482">
          <cell r="I1482">
            <v>0</v>
          </cell>
        </row>
        <row r="1483">
          <cell r="I1483">
            <v>0</v>
          </cell>
        </row>
        <row r="1484">
          <cell r="I1484">
            <v>0</v>
          </cell>
        </row>
        <row r="1485">
          <cell r="I1485">
            <v>0</v>
          </cell>
        </row>
        <row r="1486">
          <cell r="I1486">
            <v>0</v>
          </cell>
        </row>
        <row r="1487">
          <cell r="I1487">
            <v>0</v>
          </cell>
        </row>
        <row r="1488">
          <cell r="I1488">
            <v>0</v>
          </cell>
        </row>
        <row r="1489">
          <cell r="I1489">
            <v>0</v>
          </cell>
        </row>
        <row r="1490">
          <cell r="I1490">
            <v>0</v>
          </cell>
        </row>
        <row r="1491">
          <cell r="I1491">
            <v>0</v>
          </cell>
        </row>
        <row r="1492">
          <cell r="I1492">
            <v>0</v>
          </cell>
        </row>
        <row r="1493">
          <cell r="I1493">
            <v>0</v>
          </cell>
        </row>
        <row r="1494">
          <cell r="I1494">
            <v>0</v>
          </cell>
        </row>
        <row r="1495">
          <cell r="I1495">
            <v>0</v>
          </cell>
        </row>
        <row r="1496">
          <cell r="I1496">
            <v>0</v>
          </cell>
        </row>
        <row r="1497">
          <cell r="I1497">
            <v>0</v>
          </cell>
        </row>
        <row r="1498">
          <cell r="I1498">
            <v>0</v>
          </cell>
        </row>
        <row r="1499">
          <cell r="I1499">
            <v>0</v>
          </cell>
        </row>
        <row r="1500">
          <cell r="I1500">
            <v>0</v>
          </cell>
        </row>
        <row r="1501">
          <cell r="I1501">
            <v>0</v>
          </cell>
        </row>
        <row r="1502">
          <cell r="I1502">
            <v>0</v>
          </cell>
        </row>
        <row r="1503">
          <cell r="I1503">
            <v>0</v>
          </cell>
        </row>
        <row r="1504">
          <cell r="I1504">
            <v>0</v>
          </cell>
        </row>
        <row r="1505">
          <cell r="I1505">
            <v>0</v>
          </cell>
        </row>
        <row r="1506">
          <cell r="I1506">
            <v>0</v>
          </cell>
        </row>
        <row r="1507">
          <cell r="I1507">
            <v>0</v>
          </cell>
        </row>
        <row r="1508">
          <cell r="I1508">
            <v>0</v>
          </cell>
        </row>
        <row r="1509">
          <cell r="I1509">
            <v>0</v>
          </cell>
        </row>
        <row r="1510">
          <cell r="I1510">
            <v>0</v>
          </cell>
        </row>
        <row r="1511">
          <cell r="I1511">
            <v>0</v>
          </cell>
        </row>
        <row r="1512">
          <cell r="I1512">
            <v>0</v>
          </cell>
        </row>
        <row r="1513">
          <cell r="I1513">
            <v>0</v>
          </cell>
        </row>
        <row r="1514">
          <cell r="I1514">
            <v>0</v>
          </cell>
        </row>
        <row r="1515">
          <cell r="I1515">
            <v>0</v>
          </cell>
        </row>
        <row r="1516">
          <cell r="I1516">
            <v>0</v>
          </cell>
        </row>
        <row r="1517">
          <cell r="I1517">
            <v>0</v>
          </cell>
        </row>
        <row r="1518">
          <cell r="I1518">
            <v>0</v>
          </cell>
        </row>
        <row r="1519">
          <cell r="I1519">
            <v>0</v>
          </cell>
        </row>
        <row r="1520">
          <cell r="I1520">
            <v>0</v>
          </cell>
        </row>
        <row r="1521">
          <cell r="I1521">
            <v>0</v>
          </cell>
        </row>
        <row r="1522">
          <cell r="I1522">
            <v>0</v>
          </cell>
        </row>
        <row r="1523">
          <cell r="I1523">
            <v>0</v>
          </cell>
        </row>
        <row r="1524">
          <cell r="I1524">
            <v>0</v>
          </cell>
        </row>
        <row r="1525">
          <cell r="I1525">
            <v>0</v>
          </cell>
        </row>
        <row r="1526">
          <cell r="I1526">
            <v>0</v>
          </cell>
        </row>
        <row r="1527">
          <cell r="I1527">
            <v>0</v>
          </cell>
        </row>
        <row r="1528">
          <cell r="I1528">
            <v>0</v>
          </cell>
        </row>
        <row r="1529">
          <cell r="I1529">
            <v>0</v>
          </cell>
        </row>
        <row r="1530">
          <cell r="I1530">
            <v>0</v>
          </cell>
        </row>
        <row r="1531">
          <cell r="I1531">
            <v>0</v>
          </cell>
        </row>
        <row r="1532">
          <cell r="I1532">
            <v>0</v>
          </cell>
        </row>
        <row r="1533">
          <cell r="I1533">
            <v>0</v>
          </cell>
        </row>
        <row r="1534">
          <cell r="I1534">
            <v>0</v>
          </cell>
        </row>
        <row r="1535">
          <cell r="I1535">
            <v>0</v>
          </cell>
        </row>
        <row r="1536">
          <cell r="I1536">
            <v>0</v>
          </cell>
        </row>
        <row r="1537">
          <cell r="I1537">
            <v>0</v>
          </cell>
        </row>
        <row r="1538">
          <cell r="I1538">
            <v>0</v>
          </cell>
        </row>
        <row r="1539">
          <cell r="I1539">
            <v>0</v>
          </cell>
        </row>
        <row r="1540">
          <cell r="I1540">
            <v>0</v>
          </cell>
        </row>
        <row r="1541">
          <cell r="I1541">
            <v>0</v>
          </cell>
        </row>
        <row r="1542">
          <cell r="I1542">
            <v>0</v>
          </cell>
        </row>
        <row r="1543">
          <cell r="I1543">
            <v>0</v>
          </cell>
        </row>
        <row r="1544">
          <cell r="I1544">
            <v>0</v>
          </cell>
        </row>
        <row r="1545">
          <cell r="I1545">
            <v>0</v>
          </cell>
        </row>
        <row r="1546">
          <cell r="I1546">
            <v>0</v>
          </cell>
        </row>
        <row r="1547">
          <cell r="I1547">
            <v>0</v>
          </cell>
        </row>
        <row r="1548">
          <cell r="I1548">
            <v>0</v>
          </cell>
        </row>
        <row r="1549">
          <cell r="I1549">
            <v>0</v>
          </cell>
        </row>
        <row r="1550">
          <cell r="I1550">
            <v>0</v>
          </cell>
        </row>
        <row r="1551">
          <cell r="I1551">
            <v>0</v>
          </cell>
        </row>
        <row r="1552">
          <cell r="I1552">
            <v>0</v>
          </cell>
        </row>
        <row r="1553">
          <cell r="I1553">
            <v>0</v>
          </cell>
        </row>
        <row r="1554">
          <cell r="I1554">
            <v>0</v>
          </cell>
        </row>
        <row r="1555">
          <cell r="I1555">
            <v>0</v>
          </cell>
        </row>
        <row r="1556">
          <cell r="I1556">
            <v>0</v>
          </cell>
        </row>
        <row r="1557">
          <cell r="I1557">
            <v>0</v>
          </cell>
        </row>
        <row r="1558">
          <cell r="I1558">
            <v>0</v>
          </cell>
        </row>
        <row r="1559">
          <cell r="I1559">
            <v>0</v>
          </cell>
        </row>
        <row r="1560">
          <cell r="I1560">
            <v>0</v>
          </cell>
        </row>
        <row r="1561">
          <cell r="I1561">
            <v>0</v>
          </cell>
        </row>
        <row r="1562">
          <cell r="I1562">
            <v>0</v>
          </cell>
        </row>
        <row r="1563">
          <cell r="I1563">
            <v>0</v>
          </cell>
        </row>
        <row r="1564">
          <cell r="I1564">
            <v>0</v>
          </cell>
        </row>
        <row r="1565">
          <cell r="I1565">
            <v>0</v>
          </cell>
        </row>
        <row r="1566">
          <cell r="I1566">
            <v>0</v>
          </cell>
        </row>
        <row r="1567">
          <cell r="I1567">
            <v>0</v>
          </cell>
        </row>
        <row r="1568">
          <cell r="I1568">
            <v>0</v>
          </cell>
        </row>
        <row r="1569">
          <cell r="I1569">
            <v>0</v>
          </cell>
        </row>
        <row r="1570">
          <cell r="I1570">
            <v>0</v>
          </cell>
        </row>
        <row r="1571">
          <cell r="I1571">
            <v>0</v>
          </cell>
        </row>
        <row r="1572">
          <cell r="I1572">
            <v>0</v>
          </cell>
        </row>
        <row r="1573">
          <cell r="I1573">
            <v>0</v>
          </cell>
        </row>
        <row r="1574">
          <cell r="I1574">
            <v>0</v>
          </cell>
        </row>
        <row r="1575">
          <cell r="I1575">
            <v>0</v>
          </cell>
        </row>
        <row r="1576">
          <cell r="I1576">
            <v>0</v>
          </cell>
        </row>
        <row r="1577">
          <cell r="I1577">
            <v>0</v>
          </cell>
        </row>
        <row r="1578">
          <cell r="I1578">
            <v>0</v>
          </cell>
        </row>
        <row r="1579">
          <cell r="I1579">
            <v>0</v>
          </cell>
        </row>
        <row r="1580">
          <cell r="I1580">
            <v>0</v>
          </cell>
        </row>
        <row r="1581">
          <cell r="I1581">
            <v>0</v>
          </cell>
        </row>
        <row r="1582">
          <cell r="I1582">
            <v>0</v>
          </cell>
        </row>
        <row r="1583">
          <cell r="I1583">
            <v>0</v>
          </cell>
        </row>
        <row r="1584">
          <cell r="I1584">
            <v>0</v>
          </cell>
        </row>
        <row r="1585">
          <cell r="I1585">
            <v>0</v>
          </cell>
        </row>
        <row r="1586">
          <cell r="I1586">
            <v>0</v>
          </cell>
        </row>
        <row r="1587">
          <cell r="I1587">
            <v>0</v>
          </cell>
        </row>
        <row r="1588">
          <cell r="I1588">
            <v>0</v>
          </cell>
        </row>
        <row r="1589">
          <cell r="I1589">
            <v>0</v>
          </cell>
        </row>
        <row r="1590">
          <cell r="I1590">
            <v>0</v>
          </cell>
        </row>
        <row r="1591">
          <cell r="I1591">
            <v>0</v>
          </cell>
        </row>
        <row r="1592">
          <cell r="I1592">
            <v>0</v>
          </cell>
        </row>
        <row r="1593">
          <cell r="I1593">
            <v>0</v>
          </cell>
        </row>
        <row r="1594">
          <cell r="I1594">
            <v>0</v>
          </cell>
        </row>
        <row r="1595">
          <cell r="I1595">
            <v>0</v>
          </cell>
        </row>
        <row r="1596">
          <cell r="I1596">
            <v>0</v>
          </cell>
        </row>
        <row r="1597">
          <cell r="I1597">
            <v>0</v>
          </cell>
        </row>
        <row r="1598">
          <cell r="I1598">
            <v>0</v>
          </cell>
        </row>
        <row r="1599">
          <cell r="I1599">
            <v>0</v>
          </cell>
        </row>
        <row r="1600">
          <cell r="I1600">
            <v>0</v>
          </cell>
        </row>
        <row r="1601">
          <cell r="I1601">
            <v>0</v>
          </cell>
        </row>
        <row r="1602">
          <cell r="I1602">
            <v>0</v>
          </cell>
        </row>
        <row r="1603">
          <cell r="I1603">
            <v>0</v>
          </cell>
        </row>
        <row r="1604">
          <cell r="I1604">
            <v>0</v>
          </cell>
        </row>
        <row r="1605">
          <cell r="I1605">
            <v>0</v>
          </cell>
        </row>
        <row r="1606">
          <cell r="I1606">
            <v>0</v>
          </cell>
        </row>
        <row r="1607">
          <cell r="I1607">
            <v>0</v>
          </cell>
        </row>
        <row r="1608">
          <cell r="I1608">
            <v>0</v>
          </cell>
        </row>
        <row r="1609">
          <cell r="I1609">
            <v>0</v>
          </cell>
        </row>
        <row r="1610">
          <cell r="I1610">
            <v>0</v>
          </cell>
        </row>
        <row r="1611">
          <cell r="I1611">
            <v>0</v>
          </cell>
        </row>
        <row r="1612">
          <cell r="I1612">
            <v>0</v>
          </cell>
        </row>
        <row r="1613">
          <cell r="I1613">
            <v>0</v>
          </cell>
        </row>
        <row r="1614">
          <cell r="I1614">
            <v>0</v>
          </cell>
        </row>
        <row r="1615">
          <cell r="I1615">
            <v>0</v>
          </cell>
        </row>
        <row r="1616">
          <cell r="I1616">
            <v>0</v>
          </cell>
        </row>
        <row r="1617">
          <cell r="I1617">
            <v>0</v>
          </cell>
        </row>
        <row r="1618">
          <cell r="I1618">
            <v>0</v>
          </cell>
        </row>
        <row r="1619">
          <cell r="I1619">
            <v>0</v>
          </cell>
        </row>
        <row r="1620">
          <cell r="I1620">
            <v>0</v>
          </cell>
        </row>
        <row r="1621">
          <cell r="I1621">
            <v>0</v>
          </cell>
        </row>
        <row r="1622">
          <cell r="I1622">
            <v>0</v>
          </cell>
        </row>
        <row r="1623">
          <cell r="I1623">
            <v>0</v>
          </cell>
        </row>
        <row r="1624">
          <cell r="I1624">
            <v>0</v>
          </cell>
        </row>
        <row r="1625">
          <cell r="I1625">
            <v>0</v>
          </cell>
        </row>
        <row r="1626">
          <cell r="I1626">
            <v>0</v>
          </cell>
        </row>
        <row r="1627">
          <cell r="I1627">
            <v>0</v>
          </cell>
        </row>
        <row r="1628">
          <cell r="I1628">
            <v>0</v>
          </cell>
        </row>
        <row r="1629">
          <cell r="I1629">
            <v>0</v>
          </cell>
        </row>
        <row r="1630">
          <cell r="I1630">
            <v>0</v>
          </cell>
        </row>
        <row r="1631">
          <cell r="I1631">
            <v>0</v>
          </cell>
        </row>
        <row r="1632">
          <cell r="I1632">
            <v>0</v>
          </cell>
        </row>
        <row r="1633">
          <cell r="I1633">
            <v>0</v>
          </cell>
        </row>
        <row r="1634">
          <cell r="I1634">
            <v>0</v>
          </cell>
        </row>
        <row r="1635">
          <cell r="I1635">
            <v>0</v>
          </cell>
        </row>
        <row r="1636">
          <cell r="I1636">
            <v>0</v>
          </cell>
        </row>
        <row r="1637">
          <cell r="I1637">
            <v>0</v>
          </cell>
        </row>
        <row r="1638">
          <cell r="I1638">
            <v>0</v>
          </cell>
        </row>
        <row r="1639">
          <cell r="I1639">
            <v>0</v>
          </cell>
        </row>
        <row r="1640">
          <cell r="I1640">
            <v>0</v>
          </cell>
        </row>
        <row r="1641">
          <cell r="I1641">
            <v>0</v>
          </cell>
        </row>
        <row r="1642">
          <cell r="I1642">
            <v>0</v>
          </cell>
        </row>
        <row r="1643">
          <cell r="I1643">
            <v>0</v>
          </cell>
        </row>
        <row r="1644">
          <cell r="I1644">
            <v>0</v>
          </cell>
        </row>
        <row r="1645">
          <cell r="I1645">
            <v>0</v>
          </cell>
        </row>
        <row r="1646">
          <cell r="I1646">
            <v>0</v>
          </cell>
        </row>
        <row r="1647">
          <cell r="I1647">
            <v>0</v>
          </cell>
        </row>
        <row r="1648">
          <cell r="I1648">
            <v>0</v>
          </cell>
        </row>
        <row r="1649">
          <cell r="I1649">
            <v>0</v>
          </cell>
        </row>
        <row r="1650">
          <cell r="I1650">
            <v>0</v>
          </cell>
        </row>
        <row r="1651">
          <cell r="I1651">
            <v>0</v>
          </cell>
        </row>
        <row r="1652">
          <cell r="I1652">
            <v>0</v>
          </cell>
        </row>
        <row r="1653">
          <cell r="I1653">
            <v>0</v>
          </cell>
        </row>
        <row r="1654">
          <cell r="I1654">
            <v>0</v>
          </cell>
        </row>
        <row r="1655">
          <cell r="I1655">
            <v>0</v>
          </cell>
        </row>
        <row r="1656">
          <cell r="I1656">
            <v>0</v>
          </cell>
        </row>
        <row r="1657">
          <cell r="I1657">
            <v>0</v>
          </cell>
        </row>
        <row r="1658">
          <cell r="I1658">
            <v>0</v>
          </cell>
        </row>
        <row r="1659">
          <cell r="I1659">
            <v>0</v>
          </cell>
        </row>
        <row r="1660">
          <cell r="I1660">
            <v>0</v>
          </cell>
        </row>
        <row r="1661">
          <cell r="I1661">
            <v>0</v>
          </cell>
        </row>
        <row r="1662">
          <cell r="I1662">
            <v>0</v>
          </cell>
        </row>
        <row r="1663">
          <cell r="I1663">
            <v>0</v>
          </cell>
        </row>
        <row r="1664">
          <cell r="I1664">
            <v>0</v>
          </cell>
        </row>
        <row r="1665">
          <cell r="I1665">
            <v>0</v>
          </cell>
        </row>
        <row r="1666">
          <cell r="I1666">
            <v>0</v>
          </cell>
        </row>
        <row r="1667">
          <cell r="I1667">
            <v>0</v>
          </cell>
        </row>
        <row r="1668">
          <cell r="I1668">
            <v>0</v>
          </cell>
        </row>
        <row r="1669">
          <cell r="I1669">
            <v>0</v>
          </cell>
        </row>
        <row r="1670">
          <cell r="I1670">
            <v>0</v>
          </cell>
        </row>
        <row r="1671">
          <cell r="I1671">
            <v>0</v>
          </cell>
        </row>
        <row r="1672">
          <cell r="I1672">
            <v>0</v>
          </cell>
        </row>
        <row r="1673">
          <cell r="I1673">
            <v>0</v>
          </cell>
        </row>
        <row r="1674">
          <cell r="I1674">
            <v>0</v>
          </cell>
        </row>
        <row r="1675">
          <cell r="I1675">
            <v>0</v>
          </cell>
        </row>
        <row r="1676">
          <cell r="I1676">
            <v>0</v>
          </cell>
        </row>
        <row r="1677">
          <cell r="I1677">
            <v>0</v>
          </cell>
        </row>
        <row r="1678">
          <cell r="I1678">
            <v>0</v>
          </cell>
        </row>
        <row r="1679">
          <cell r="I1679">
            <v>0</v>
          </cell>
        </row>
        <row r="1680">
          <cell r="I1680">
            <v>0</v>
          </cell>
        </row>
        <row r="1681">
          <cell r="I1681">
            <v>0</v>
          </cell>
        </row>
        <row r="1682">
          <cell r="I1682">
            <v>0</v>
          </cell>
        </row>
        <row r="1683">
          <cell r="I1683">
            <v>0</v>
          </cell>
        </row>
        <row r="1684">
          <cell r="I1684">
            <v>0</v>
          </cell>
        </row>
        <row r="1685">
          <cell r="I1685">
            <v>0</v>
          </cell>
        </row>
        <row r="1686">
          <cell r="I1686">
            <v>0</v>
          </cell>
        </row>
        <row r="1687">
          <cell r="I1687">
            <v>0</v>
          </cell>
        </row>
        <row r="1688">
          <cell r="I1688">
            <v>0</v>
          </cell>
        </row>
        <row r="1689">
          <cell r="I1689">
            <v>0</v>
          </cell>
        </row>
        <row r="1690">
          <cell r="I1690">
            <v>0</v>
          </cell>
        </row>
        <row r="1691">
          <cell r="I1691">
            <v>0</v>
          </cell>
        </row>
        <row r="1692">
          <cell r="I1692">
            <v>0</v>
          </cell>
        </row>
        <row r="1693">
          <cell r="I1693">
            <v>0</v>
          </cell>
        </row>
        <row r="1694">
          <cell r="I1694">
            <v>0</v>
          </cell>
        </row>
        <row r="1695">
          <cell r="I1695">
            <v>0</v>
          </cell>
        </row>
        <row r="1696">
          <cell r="I1696">
            <v>0</v>
          </cell>
        </row>
        <row r="1697">
          <cell r="I1697">
            <v>0</v>
          </cell>
        </row>
        <row r="1698">
          <cell r="I1698">
            <v>0</v>
          </cell>
        </row>
        <row r="1699">
          <cell r="I1699">
            <v>0</v>
          </cell>
        </row>
        <row r="1700">
          <cell r="I1700">
            <v>0</v>
          </cell>
        </row>
        <row r="1701">
          <cell r="I1701">
            <v>0</v>
          </cell>
        </row>
        <row r="1702">
          <cell r="I1702">
            <v>0</v>
          </cell>
        </row>
        <row r="1703">
          <cell r="I1703">
            <v>0</v>
          </cell>
        </row>
        <row r="1704">
          <cell r="I1704">
            <v>0</v>
          </cell>
        </row>
        <row r="1705">
          <cell r="I1705">
            <v>0</v>
          </cell>
        </row>
        <row r="1706">
          <cell r="I1706">
            <v>0</v>
          </cell>
        </row>
        <row r="1707">
          <cell r="I1707">
            <v>0</v>
          </cell>
        </row>
        <row r="1708">
          <cell r="I1708">
            <v>0</v>
          </cell>
        </row>
        <row r="1709">
          <cell r="I1709">
            <v>0</v>
          </cell>
        </row>
        <row r="1710">
          <cell r="I1710">
            <v>0</v>
          </cell>
        </row>
        <row r="1711">
          <cell r="I1711">
            <v>0</v>
          </cell>
        </row>
        <row r="1712">
          <cell r="I1712">
            <v>0</v>
          </cell>
        </row>
        <row r="1713">
          <cell r="I1713">
            <v>0</v>
          </cell>
        </row>
        <row r="1714">
          <cell r="I1714">
            <v>0</v>
          </cell>
        </row>
        <row r="1715">
          <cell r="I1715">
            <v>0</v>
          </cell>
        </row>
        <row r="1716">
          <cell r="I1716">
            <v>0</v>
          </cell>
        </row>
        <row r="1717">
          <cell r="I1717">
            <v>0</v>
          </cell>
        </row>
        <row r="1718">
          <cell r="I1718">
            <v>0</v>
          </cell>
        </row>
        <row r="1719">
          <cell r="I1719">
            <v>0</v>
          </cell>
        </row>
        <row r="1720">
          <cell r="I1720">
            <v>0</v>
          </cell>
        </row>
        <row r="1721">
          <cell r="I1721">
            <v>0</v>
          </cell>
        </row>
        <row r="1722">
          <cell r="I1722">
            <v>0</v>
          </cell>
        </row>
        <row r="1723">
          <cell r="I1723">
            <v>0</v>
          </cell>
        </row>
        <row r="1724">
          <cell r="I1724">
            <v>0</v>
          </cell>
        </row>
        <row r="1725">
          <cell r="I1725">
            <v>0</v>
          </cell>
        </row>
        <row r="1726">
          <cell r="I1726">
            <v>0</v>
          </cell>
        </row>
        <row r="1727">
          <cell r="I1727">
            <v>0</v>
          </cell>
        </row>
        <row r="1728">
          <cell r="I1728">
            <v>0</v>
          </cell>
        </row>
        <row r="1729">
          <cell r="I1729">
            <v>0</v>
          </cell>
        </row>
        <row r="1730">
          <cell r="I1730">
            <v>0</v>
          </cell>
        </row>
        <row r="1731">
          <cell r="I1731">
            <v>0</v>
          </cell>
        </row>
        <row r="1732">
          <cell r="I1732">
            <v>0</v>
          </cell>
        </row>
        <row r="1733">
          <cell r="I1733">
            <v>0</v>
          </cell>
        </row>
        <row r="1734">
          <cell r="I1734">
            <v>0</v>
          </cell>
        </row>
        <row r="1735">
          <cell r="I1735">
            <v>0</v>
          </cell>
        </row>
        <row r="1736">
          <cell r="I1736">
            <v>0</v>
          </cell>
        </row>
        <row r="1737">
          <cell r="I1737">
            <v>0</v>
          </cell>
        </row>
        <row r="1738">
          <cell r="I1738">
            <v>0</v>
          </cell>
        </row>
        <row r="1739">
          <cell r="I1739">
            <v>0</v>
          </cell>
        </row>
        <row r="1740">
          <cell r="I1740">
            <v>0</v>
          </cell>
        </row>
        <row r="1741">
          <cell r="I1741">
            <v>0</v>
          </cell>
        </row>
        <row r="1742">
          <cell r="I1742">
            <v>0</v>
          </cell>
        </row>
        <row r="1743">
          <cell r="I1743">
            <v>0</v>
          </cell>
        </row>
        <row r="1744">
          <cell r="I1744">
            <v>0</v>
          </cell>
        </row>
        <row r="1745">
          <cell r="I1745">
            <v>0</v>
          </cell>
        </row>
        <row r="1746">
          <cell r="I1746">
            <v>0</v>
          </cell>
        </row>
        <row r="1747">
          <cell r="I1747">
            <v>0</v>
          </cell>
        </row>
        <row r="1748">
          <cell r="I1748">
            <v>0</v>
          </cell>
        </row>
        <row r="1749">
          <cell r="I1749">
            <v>0</v>
          </cell>
        </row>
        <row r="1750">
          <cell r="I1750">
            <v>0</v>
          </cell>
        </row>
        <row r="1751">
          <cell r="I1751">
            <v>0</v>
          </cell>
        </row>
        <row r="1752">
          <cell r="I1752">
            <v>0</v>
          </cell>
        </row>
        <row r="1753">
          <cell r="I1753">
            <v>0</v>
          </cell>
        </row>
        <row r="1754">
          <cell r="I1754">
            <v>0</v>
          </cell>
        </row>
        <row r="1755">
          <cell r="I1755">
            <v>0</v>
          </cell>
        </row>
        <row r="1756">
          <cell r="I1756">
            <v>0</v>
          </cell>
        </row>
        <row r="1757">
          <cell r="I1757">
            <v>0</v>
          </cell>
        </row>
        <row r="1758">
          <cell r="I1758">
            <v>0</v>
          </cell>
        </row>
        <row r="1759">
          <cell r="I1759">
            <v>0</v>
          </cell>
        </row>
        <row r="1760">
          <cell r="I1760">
            <v>0</v>
          </cell>
        </row>
        <row r="1761">
          <cell r="I1761">
            <v>0</v>
          </cell>
        </row>
        <row r="1762">
          <cell r="I1762">
            <v>0</v>
          </cell>
        </row>
        <row r="1763">
          <cell r="I1763">
            <v>0</v>
          </cell>
        </row>
        <row r="1764">
          <cell r="I1764">
            <v>0</v>
          </cell>
        </row>
        <row r="1765">
          <cell r="I1765">
            <v>0</v>
          </cell>
        </row>
        <row r="1766">
          <cell r="I1766">
            <v>0</v>
          </cell>
        </row>
        <row r="1767">
          <cell r="I1767">
            <v>0</v>
          </cell>
        </row>
        <row r="1768">
          <cell r="I1768">
            <v>0</v>
          </cell>
        </row>
        <row r="1769">
          <cell r="I1769">
            <v>0</v>
          </cell>
        </row>
        <row r="1770">
          <cell r="I1770">
            <v>0</v>
          </cell>
        </row>
        <row r="1771">
          <cell r="I1771">
            <v>0</v>
          </cell>
        </row>
        <row r="1772">
          <cell r="I1772">
            <v>0</v>
          </cell>
        </row>
        <row r="1773">
          <cell r="I1773">
            <v>0</v>
          </cell>
        </row>
        <row r="1774">
          <cell r="I1774">
            <v>0</v>
          </cell>
        </row>
        <row r="1775">
          <cell r="I1775">
            <v>0</v>
          </cell>
        </row>
        <row r="1776">
          <cell r="I1776">
            <v>0</v>
          </cell>
        </row>
        <row r="1777">
          <cell r="I1777">
            <v>0</v>
          </cell>
        </row>
        <row r="1778">
          <cell r="I1778">
            <v>0</v>
          </cell>
        </row>
        <row r="1779">
          <cell r="I1779">
            <v>0</v>
          </cell>
        </row>
        <row r="1780">
          <cell r="I1780">
            <v>0</v>
          </cell>
        </row>
        <row r="1781">
          <cell r="I1781">
            <v>0</v>
          </cell>
        </row>
        <row r="1782">
          <cell r="I1782">
            <v>0</v>
          </cell>
        </row>
        <row r="1783">
          <cell r="I1783">
            <v>0</v>
          </cell>
        </row>
        <row r="1784">
          <cell r="I1784">
            <v>0</v>
          </cell>
        </row>
        <row r="1785">
          <cell r="I1785">
            <v>0</v>
          </cell>
        </row>
        <row r="1786">
          <cell r="I1786">
            <v>0</v>
          </cell>
        </row>
        <row r="1787">
          <cell r="I1787">
            <v>0</v>
          </cell>
        </row>
        <row r="1788">
          <cell r="I1788">
            <v>0</v>
          </cell>
        </row>
        <row r="1789">
          <cell r="I1789">
            <v>0</v>
          </cell>
        </row>
        <row r="1790">
          <cell r="I1790">
            <v>0</v>
          </cell>
        </row>
        <row r="1791">
          <cell r="I1791">
            <v>0</v>
          </cell>
        </row>
        <row r="1792">
          <cell r="I1792">
            <v>0</v>
          </cell>
        </row>
        <row r="1793">
          <cell r="I1793">
            <v>0</v>
          </cell>
        </row>
        <row r="1794">
          <cell r="I1794">
            <v>0</v>
          </cell>
        </row>
        <row r="1795">
          <cell r="I1795">
            <v>0</v>
          </cell>
        </row>
        <row r="1796">
          <cell r="I1796">
            <v>0</v>
          </cell>
        </row>
        <row r="1797">
          <cell r="I1797">
            <v>0</v>
          </cell>
        </row>
        <row r="1798">
          <cell r="I1798">
            <v>0</v>
          </cell>
        </row>
        <row r="1799">
          <cell r="I1799">
            <v>0</v>
          </cell>
        </row>
        <row r="1800">
          <cell r="I1800">
            <v>0</v>
          </cell>
        </row>
        <row r="1801">
          <cell r="I1801">
            <v>0</v>
          </cell>
        </row>
        <row r="1802">
          <cell r="I1802">
            <v>0</v>
          </cell>
        </row>
        <row r="1803">
          <cell r="I1803">
            <v>0</v>
          </cell>
        </row>
        <row r="1804">
          <cell r="I1804">
            <v>0</v>
          </cell>
        </row>
        <row r="1805">
          <cell r="I1805">
            <v>0</v>
          </cell>
        </row>
        <row r="1806">
          <cell r="I1806">
            <v>0</v>
          </cell>
        </row>
        <row r="1807">
          <cell r="I1807">
            <v>0</v>
          </cell>
        </row>
        <row r="1808">
          <cell r="I1808">
            <v>0</v>
          </cell>
        </row>
        <row r="1809">
          <cell r="I1809">
            <v>0</v>
          </cell>
        </row>
        <row r="1810">
          <cell r="I1810">
            <v>0</v>
          </cell>
        </row>
        <row r="1811">
          <cell r="I1811">
            <v>0</v>
          </cell>
        </row>
        <row r="1812">
          <cell r="I1812">
            <v>0</v>
          </cell>
        </row>
        <row r="1813">
          <cell r="I1813">
            <v>0</v>
          </cell>
        </row>
        <row r="1814">
          <cell r="I1814">
            <v>0</v>
          </cell>
        </row>
        <row r="1815">
          <cell r="I1815">
            <v>0</v>
          </cell>
        </row>
        <row r="1816">
          <cell r="I1816">
            <v>0</v>
          </cell>
        </row>
        <row r="1817">
          <cell r="I1817">
            <v>0</v>
          </cell>
        </row>
        <row r="1818">
          <cell r="I1818">
            <v>0</v>
          </cell>
        </row>
        <row r="1819">
          <cell r="I1819">
            <v>0</v>
          </cell>
        </row>
        <row r="1820">
          <cell r="I1820">
            <v>0</v>
          </cell>
        </row>
        <row r="1821">
          <cell r="I1821">
            <v>0</v>
          </cell>
        </row>
        <row r="1822">
          <cell r="I1822">
            <v>0</v>
          </cell>
        </row>
        <row r="1823">
          <cell r="I1823">
            <v>0</v>
          </cell>
        </row>
        <row r="1824">
          <cell r="I1824">
            <v>0</v>
          </cell>
        </row>
        <row r="1825">
          <cell r="I1825">
            <v>0</v>
          </cell>
        </row>
        <row r="1826">
          <cell r="I1826">
            <v>0</v>
          </cell>
        </row>
        <row r="1827">
          <cell r="I1827">
            <v>0</v>
          </cell>
        </row>
        <row r="1828">
          <cell r="I1828">
            <v>0</v>
          </cell>
        </row>
        <row r="1829">
          <cell r="I1829">
            <v>0</v>
          </cell>
        </row>
        <row r="1830">
          <cell r="I1830">
            <v>0</v>
          </cell>
        </row>
        <row r="1831">
          <cell r="I1831">
            <v>0</v>
          </cell>
        </row>
        <row r="1832">
          <cell r="I1832">
            <v>0</v>
          </cell>
        </row>
        <row r="1833">
          <cell r="I1833">
            <v>0</v>
          </cell>
        </row>
        <row r="1834">
          <cell r="I1834">
            <v>0</v>
          </cell>
        </row>
        <row r="1835">
          <cell r="I1835">
            <v>0</v>
          </cell>
        </row>
        <row r="1836">
          <cell r="I1836">
            <v>0</v>
          </cell>
        </row>
        <row r="1837">
          <cell r="I1837">
            <v>0</v>
          </cell>
        </row>
        <row r="1838">
          <cell r="I1838">
            <v>0</v>
          </cell>
        </row>
        <row r="1839">
          <cell r="I1839">
            <v>0</v>
          </cell>
        </row>
        <row r="1840">
          <cell r="I1840">
            <v>0</v>
          </cell>
        </row>
        <row r="1841">
          <cell r="I1841">
            <v>0</v>
          </cell>
        </row>
        <row r="1842">
          <cell r="I1842">
            <v>0</v>
          </cell>
        </row>
        <row r="1843">
          <cell r="I1843">
            <v>0</v>
          </cell>
        </row>
        <row r="1844">
          <cell r="I1844">
            <v>0</v>
          </cell>
        </row>
        <row r="1845">
          <cell r="I1845">
            <v>0</v>
          </cell>
        </row>
        <row r="1846">
          <cell r="I1846">
            <v>0</v>
          </cell>
        </row>
        <row r="1847">
          <cell r="I1847">
            <v>0</v>
          </cell>
        </row>
        <row r="1848">
          <cell r="I1848">
            <v>0</v>
          </cell>
        </row>
        <row r="1849">
          <cell r="I1849">
            <v>0</v>
          </cell>
        </row>
        <row r="1850">
          <cell r="I1850">
            <v>0</v>
          </cell>
        </row>
        <row r="1851">
          <cell r="I1851">
            <v>0</v>
          </cell>
        </row>
        <row r="1852">
          <cell r="I1852">
            <v>0</v>
          </cell>
        </row>
        <row r="1853">
          <cell r="I1853">
            <v>0</v>
          </cell>
        </row>
        <row r="1854">
          <cell r="I1854">
            <v>0</v>
          </cell>
        </row>
        <row r="1855">
          <cell r="I1855">
            <v>0</v>
          </cell>
        </row>
        <row r="1856">
          <cell r="I1856">
            <v>0</v>
          </cell>
        </row>
        <row r="1857">
          <cell r="I1857">
            <v>0</v>
          </cell>
        </row>
        <row r="1858">
          <cell r="I1858">
            <v>0</v>
          </cell>
        </row>
        <row r="1859">
          <cell r="I1859">
            <v>0</v>
          </cell>
        </row>
        <row r="1860">
          <cell r="I1860">
            <v>0</v>
          </cell>
        </row>
        <row r="1861">
          <cell r="I1861">
            <v>0</v>
          </cell>
        </row>
        <row r="1862">
          <cell r="I1862">
            <v>0</v>
          </cell>
        </row>
        <row r="1863">
          <cell r="I1863">
            <v>0</v>
          </cell>
        </row>
        <row r="1864">
          <cell r="I1864">
            <v>0</v>
          </cell>
        </row>
        <row r="1865">
          <cell r="I1865">
            <v>0</v>
          </cell>
        </row>
        <row r="1866">
          <cell r="I1866">
            <v>0</v>
          </cell>
        </row>
        <row r="1867">
          <cell r="I1867">
            <v>0</v>
          </cell>
        </row>
        <row r="1868">
          <cell r="I1868">
            <v>0</v>
          </cell>
        </row>
        <row r="1869">
          <cell r="I1869">
            <v>0</v>
          </cell>
        </row>
        <row r="1870">
          <cell r="I1870">
            <v>0</v>
          </cell>
        </row>
        <row r="1871">
          <cell r="I1871">
            <v>0</v>
          </cell>
        </row>
        <row r="1872">
          <cell r="I1872">
            <v>0</v>
          </cell>
        </row>
        <row r="1873">
          <cell r="I1873">
            <v>0</v>
          </cell>
        </row>
        <row r="1874">
          <cell r="I1874">
            <v>0</v>
          </cell>
        </row>
        <row r="1875">
          <cell r="I1875">
            <v>0</v>
          </cell>
        </row>
        <row r="1876">
          <cell r="I1876">
            <v>0</v>
          </cell>
        </row>
        <row r="1877">
          <cell r="I1877">
            <v>0</v>
          </cell>
        </row>
        <row r="1878">
          <cell r="I1878">
            <v>0</v>
          </cell>
        </row>
        <row r="1879">
          <cell r="I1879">
            <v>0</v>
          </cell>
        </row>
        <row r="1880">
          <cell r="I1880">
            <v>0</v>
          </cell>
        </row>
        <row r="1881">
          <cell r="I1881">
            <v>0</v>
          </cell>
        </row>
        <row r="1882">
          <cell r="I1882">
            <v>0</v>
          </cell>
        </row>
        <row r="1883">
          <cell r="I1883">
            <v>0</v>
          </cell>
        </row>
        <row r="1884">
          <cell r="I1884">
            <v>0</v>
          </cell>
        </row>
        <row r="1885">
          <cell r="I1885">
            <v>0</v>
          </cell>
        </row>
        <row r="1886">
          <cell r="I1886">
            <v>0</v>
          </cell>
        </row>
        <row r="1887">
          <cell r="I1887">
            <v>0</v>
          </cell>
        </row>
        <row r="1888">
          <cell r="I1888">
            <v>0</v>
          </cell>
        </row>
        <row r="1889">
          <cell r="I1889">
            <v>0</v>
          </cell>
        </row>
        <row r="1890">
          <cell r="I1890">
            <v>0</v>
          </cell>
        </row>
        <row r="1891">
          <cell r="I1891">
            <v>0</v>
          </cell>
        </row>
        <row r="1892">
          <cell r="I1892">
            <v>0</v>
          </cell>
        </row>
        <row r="1893">
          <cell r="I1893">
            <v>0</v>
          </cell>
        </row>
        <row r="1894">
          <cell r="I1894">
            <v>0</v>
          </cell>
        </row>
        <row r="1895">
          <cell r="I1895">
            <v>0</v>
          </cell>
        </row>
        <row r="1896">
          <cell r="I1896">
            <v>0</v>
          </cell>
        </row>
        <row r="1897">
          <cell r="I1897">
            <v>0</v>
          </cell>
        </row>
        <row r="1898">
          <cell r="I1898">
            <v>0</v>
          </cell>
        </row>
        <row r="1899">
          <cell r="I1899">
            <v>0</v>
          </cell>
        </row>
        <row r="1900">
          <cell r="I1900">
            <v>0</v>
          </cell>
        </row>
        <row r="1901">
          <cell r="I1901">
            <v>0</v>
          </cell>
        </row>
        <row r="1902">
          <cell r="I1902">
            <v>0</v>
          </cell>
        </row>
        <row r="1903">
          <cell r="I1903">
            <v>0</v>
          </cell>
        </row>
        <row r="1904">
          <cell r="I1904">
            <v>0</v>
          </cell>
        </row>
        <row r="1905">
          <cell r="I1905">
            <v>0</v>
          </cell>
        </row>
        <row r="1906">
          <cell r="I1906">
            <v>0</v>
          </cell>
        </row>
        <row r="1907">
          <cell r="I1907">
            <v>0</v>
          </cell>
        </row>
        <row r="1908">
          <cell r="I1908">
            <v>0</v>
          </cell>
        </row>
        <row r="1909">
          <cell r="I1909">
            <v>0</v>
          </cell>
        </row>
        <row r="1910">
          <cell r="I1910">
            <v>0</v>
          </cell>
        </row>
        <row r="1911">
          <cell r="I1911">
            <v>0</v>
          </cell>
        </row>
        <row r="1912">
          <cell r="I1912">
            <v>0</v>
          </cell>
        </row>
        <row r="1913">
          <cell r="I1913">
            <v>0</v>
          </cell>
        </row>
        <row r="1914">
          <cell r="I1914">
            <v>0</v>
          </cell>
        </row>
        <row r="1915">
          <cell r="I1915">
            <v>0</v>
          </cell>
        </row>
        <row r="1916">
          <cell r="I1916">
            <v>0</v>
          </cell>
        </row>
        <row r="1917">
          <cell r="I1917">
            <v>0</v>
          </cell>
        </row>
        <row r="1918">
          <cell r="I1918">
            <v>0</v>
          </cell>
        </row>
        <row r="1919">
          <cell r="I1919">
            <v>0</v>
          </cell>
        </row>
        <row r="1920">
          <cell r="I1920">
            <v>0</v>
          </cell>
        </row>
        <row r="1921">
          <cell r="I1921">
            <v>0</v>
          </cell>
        </row>
        <row r="1922">
          <cell r="I1922">
            <v>0</v>
          </cell>
        </row>
        <row r="1923">
          <cell r="I1923">
            <v>0</v>
          </cell>
        </row>
        <row r="1924">
          <cell r="I1924">
            <v>0</v>
          </cell>
        </row>
        <row r="1925">
          <cell r="I1925">
            <v>0</v>
          </cell>
        </row>
        <row r="1926">
          <cell r="I1926">
            <v>0</v>
          </cell>
        </row>
        <row r="1927">
          <cell r="I1927">
            <v>0</v>
          </cell>
        </row>
        <row r="1928">
          <cell r="I1928">
            <v>0</v>
          </cell>
        </row>
        <row r="1929">
          <cell r="I1929">
            <v>0</v>
          </cell>
        </row>
        <row r="1930">
          <cell r="I1930">
            <v>0</v>
          </cell>
        </row>
        <row r="1931">
          <cell r="I1931">
            <v>0</v>
          </cell>
        </row>
        <row r="1932">
          <cell r="I1932">
            <v>0</v>
          </cell>
        </row>
        <row r="1933">
          <cell r="I1933">
            <v>0</v>
          </cell>
        </row>
        <row r="1934">
          <cell r="I1934">
            <v>0</v>
          </cell>
        </row>
        <row r="1935">
          <cell r="I1935">
            <v>0</v>
          </cell>
        </row>
        <row r="1936">
          <cell r="I1936">
            <v>0</v>
          </cell>
        </row>
        <row r="1937">
          <cell r="I1937">
            <v>0</v>
          </cell>
        </row>
        <row r="1938">
          <cell r="I1938">
            <v>0</v>
          </cell>
        </row>
        <row r="1939">
          <cell r="I1939">
            <v>0</v>
          </cell>
        </row>
        <row r="1940">
          <cell r="I1940">
            <v>0</v>
          </cell>
        </row>
        <row r="1941">
          <cell r="I1941">
            <v>0</v>
          </cell>
        </row>
        <row r="1942">
          <cell r="I1942">
            <v>0</v>
          </cell>
        </row>
        <row r="1943">
          <cell r="I1943">
            <v>0</v>
          </cell>
        </row>
        <row r="1944">
          <cell r="I1944">
            <v>0</v>
          </cell>
        </row>
        <row r="1945">
          <cell r="I1945">
            <v>0</v>
          </cell>
        </row>
        <row r="1946">
          <cell r="I1946">
            <v>0</v>
          </cell>
        </row>
        <row r="1947">
          <cell r="I1947">
            <v>0</v>
          </cell>
        </row>
        <row r="1948">
          <cell r="I1948">
            <v>0</v>
          </cell>
        </row>
        <row r="1949">
          <cell r="I1949">
            <v>0</v>
          </cell>
        </row>
        <row r="1950">
          <cell r="I1950">
            <v>0</v>
          </cell>
        </row>
        <row r="1951">
          <cell r="I1951">
            <v>0</v>
          </cell>
        </row>
        <row r="1952">
          <cell r="I1952">
            <v>0</v>
          </cell>
        </row>
        <row r="1953">
          <cell r="I1953">
            <v>0</v>
          </cell>
        </row>
        <row r="1954">
          <cell r="I1954">
            <v>0</v>
          </cell>
        </row>
        <row r="1955">
          <cell r="I1955">
            <v>0</v>
          </cell>
        </row>
        <row r="1956">
          <cell r="I1956">
            <v>0</v>
          </cell>
        </row>
        <row r="1957">
          <cell r="I1957">
            <v>0</v>
          </cell>
        </row>
        <row r="1958">
          <cell r="I1958">
            <v>0</v>
          </cell>
        </row>
        <row r="1959">
          <cell r="I1959">
            <v>0</v>
          </cell>
        </row>
        <row r="1960">
          <cell r="I1960">
            <v>0</v>
          </cell>
        </row>
        <row r="1961">
          <cell r="I1961">
            <v>0</v>
          </cell>
        </row>
        <row r="1962">
          <cell r="I1962">
            <v>0</v>
          </cell>
        </row>
        <row r="1963">
          <cell r="I1963">
            <v>0</v>
          </cell>
        </row>
        <row r="1964">
          <cell r="I1964">
            <v>0</v>
          </cell>
        </row>
        <row r="1965">
          <cell r="I1965">
            <v>0</v>
          </cell>
        </row>
        <row r="1966">
          <cell r="I1966">
            <v>0</v>
          </cell>
        </row>
        <row r="1967">
          <cell r="I1967">
            <v>0</v>
          </cell>
        </row>
        <row r="1968">
          <cell r="I1968">
            <v>0</v>
          </cell>
        </row>
        <row r="1969">
          <cell r="I1969">
            <v>0</v>
          </cell>
        </row>
        <row r="1970">
          <cell r="I1970">
            <v>0</v>
          </cell>
        </row>
        <row r="1971">
          <cell r="I1971">
            <v>0</v>
          </cell>
        </row>
        <row r="1972">
          <cell r="I1972">
            <v>0</v>
          </cell>
        </row>
        <row r="1973">
          <cell r="I1973">
            <v>0</v>
          </cell>
        </row>
        <row r="1974">
          <cell r="I1974">
            <v>0</v>
          </cell>
        </row>
        <row r="1975">
          <cell r="I1975">
            <v>0</v>
          </cell>
        </row>
        <row r="1976">
          <cell r="I1976">
            <v>0</v>
          </cell>
        </row>
        <row r="1977">
          <cell r="I1977">
            <v>0</v>
          </cell>
        </row>
        <row r="1978">
          <cell r="I1978">
            <v>0</v>
          </cell>
        </row>
        <row r="1979">
          <cell r="I1979">
            <v>0</v>
          </cell>
        </row>
        <row r="1980">
          <cell r="I1980">
            <v>0</v>
          </cell>
        </row>
        <row r="1981">
          <cell r="I1981">
            <v>0</v>
          </cell>
        </row>
        <row r="1982">
          <cell r="I1982">
            <v>0</v>
          </cell>
        </row>
        <row r="1983">
          <cell r="I1983">
            <v>0</v>
          </cell>
        </row>
        <row r="1984">
          <cell r="I1984">
            <v>0</v>
          </cell>
        </row>
        <row r="1985">
          <cell r="I1985">
            <v>0</v>
          </cell>
        </row>
        <row r="1986">
          <cell r="I1986">
            <v>0</v>
          </cell>
        </row>
        <row r="1987">
          <cell r="I1987">
            <v>0</v>
          </cell>
        </row>
        <row r="1988">
          <cell r="I1988">
            <v>0</v>
          </cell>
        </row>
        <row r="1989">
          <cell r="I1989">
            <v>0</v>
          </cell>
        </row>
        <row r="1990">
          <cell r="I1990">
            <v>0</v>
          </cell>
        </row>
        <row r="1991">
          <cell r="I1991">
            <v>0</v>
          </cell>
        </row>
        <row r="1992">
          <cell r="I1992">
            <v>0</v>
          </cell>
        </row>
        <row r="1993">
          <cell r="I1993">
            <v>0</v>
          </cell>
        </row>
        <row r="1994">
          <cell r="I1994">
            <v>0</v>
          </cell>
        </row>
        <row r="1995">
          <cell r="I1995">
            <v>0</v>
          </cell>
        </row>
        <row r="1996">
          <cell r="I1996">
            <v>0</v>
          </cell>
        </row>
        <row r="1997">
          <cell r="I1997">
            <v>0</v>
          </cell>
        </row>
        <row r="1998">
          <cell r="I1998">
            <v>0</v>
          </cell>
        </row>
        <row r="1999">
          <cell r="I1999">
            <v>0</v>
          </cell>
        </row>
        <row r="2000">
          <cell r="I2000">
            <v>0</v>
          </cell>
        </row>
        <row r="2001">
          <cell r="I2001">
            <v>0</v>
          </cell>
        </row>
        <row r="2002">
          <cell r="I2002">
            <v>0</v>
          </cell>
        </row>
        <row r="2003">
          <cell r="I2003">
            <v>0</v>
          </cell>
        </row>
        <row r="2004">
          <cell r="I2004">
            <v>0</v>
          </cell>
        </row>
        <row r="2005">
          <cell r="I2005">
            <v>0</v>
          </cell>
        </row>
        <row r="2006">
          <cell r="I2006">
            <v>0</v>
          </cell>
        </row>
        <row r="2007">
          <cell r="I2007">
            <v>0</v>
          </cell>
        </row>
        <row r="2008">
          <cell r="I2008">
            <v>0</v>
          </cell>
        </row>
        <row r="2009">
          <cell r="I2009">
            <v>0</v>
          </cell>
        </row>
        <row r="2010">
          <cell r="I2010">
            <v>0</v>
          </cell>
        </row>
        <row r="2011">
          <cell r="I2011">
            <v>0</v>
          </cell>
        </row>
        <row r="2012">
          <cell r="I2012">
            <v>0</v>
          </cell>
        </row>
        <row r="2013">
          <cell r="I2013">
            <v>0</v>
          </cell>
        </row>
        <row r="2014">
          <cell r="I2014">
            <v>0</v>
          </cell>
        </row>
        <row r="2015">
          <cell r="I2015">
            <v>0</v>
          </cell>
        </row>
        <row r="2016">
          <cell r="I2016">
            <v>0</v>
          </cell>
        </row>
        <row r="2017">
          <cell r="I2017">
            <v>0</v>
          </cell>
        </row>
        <row r="2018">
          <cell r="I2018">
            <v>0</v>
          </cell>
        </row>
        <row r="2019">
          <cell r="I2019">
            <v>0</v>
          </cell>
        </row>
        <row r="2020">
          <cell r="I2020">
            <v>0</v>
          </cell>
        </row>
        <row r="2021">
          <cell r="I2021">
            <v>0</v>
          </cell>
        </row>
        <row r="2022">
          <cell r="I2022">
            <v>0</v>
          </cell>
        </row>
        <row r="2023">
          <cell r="I2023">
            <v>0</v>
          </cell>
        </row>
        <row r="2024">
          <cell r="I2024">
            <v>0</v>
          </cell>
        </row>
        <row r="2025">
          <cell r="I2025">
            <v>0</v>
          </cell>
        </row>
        <row r="2026">
          <cell r="I2026">
            <v>0</v>
          </cell>
        </row>
        <row r="2027">
          <cell r="I2027">
            <v>0</v>
          </cell>
        </row>
        <row r="2028">
          <cell r="I2028">
            <v>0</v>
          </cell>
        </row>
        <row r="2029">
          <cell r="I2029">
            <v>0</v>
          </cell>
        </row>
        <row r="2030">
          <cell r="I2030">
            <v>0</v>
          </cell>
        </row>
        <row r="2031">
          <cell r="I2031">
            <v>0</v>
          </cell>
        </row>
        <row r="2032">
          <cell r="I2032">
            <v>0</v>
          </cell>
        </row>
        <row r="2033">
          <cell r="I2033">
            <v>0</v>
          </cell>
        </row>
        <row r="2034">
          <cell r="I2034">
            <v>0</v>
          </cell>
        </row>
        <row r="2035">
          <cell r="I2035">
            <v>0</v>
          </cell>
        </row>
        <row r="2036">
          <cell r="I2036">
            <v>0</v>
          </cell>
        </row>
        <row r="2037">
          <cell r="I2037">
            <v>0</v>
          </cell>
        </row>
        <row r="2038">
          <cell r="I2038">
            <v>0</v>
          </cell>
        </row>
        <row r="2039">
          <cell r="I2039">
            <v>0</v>
          </cell>
        </row>
        <row r="2040">
          <cell r="I2040">
            <v>0</v>
          </cell>
        </row>
        <row r="2041">
          <cell r="I2041">
            <v>0</v>
          </cell>
        </row>
        <row r="2042">
          <cell r="I2042">
            <v>0</v>
          </cell>
        </row>
        <row r="2043">
          <cell r="I2043">
            <v>0</v>
          </cell>
        </row>
        <row r="2044">
          <cell r="I2044">
            <v>0</v>
          </cell>
        </row>
        <row r="2045">
          <cell r="I2045">
            <v>0</v>
          </cell>
        </row>
        <row r="2046">
          <cell r="I2046">
            <v>0</v>
          </cell>
        </row>
        <row r="2047">
          <cell r="I2047">
            <v>0</v>
          </cell>
        </row>
        <row r="2048">
          <cell r="I2048">
            <v>0</v>
          </cell>
        </row>
        <row r="2049">
          <cell r="I2049">
            <v>0</v>
          </cell>
        </row>
        <row r="2050">
          <cell r="I2050">
            <v>0</v>
          </cell>
        </row>
        <row r="2051">
          <cell r="I2051">
            <v>0</v>
          </cell>
        </row>
        <row r="2052">
          <cell r="I2052">
            <v>0</v>
          </cell>
        </row>
        <row r="2053">
          <cell r="I2053">
            <v>0</v>
          </cell>
        </row>
        <row r="2054">
          <cell r="I2054">
            <v>0</v>
          </cell>
        </row>
        <row r="2055">
          <cell r="I2055">
            <v>0</v>
          </cell>
        </row>
        <row r="2056">
          <cell r="I2056">
            <v>0</v>
          </cell>
        </row>
        <row r="2057">
          <cell r="I2057">
            <v>0</v>
          </cell>
        </row>
        <row r="2058">
          <cell r="I2058">
            <v>0</v>
          </cell>
        </row>
        <row r="2059">
          <cell r="I2059">
            <v>0</v>
          </cell>
        </row>
        <row r="2060">
          <cell r="I2060">
            <v>0</v>
          </cell>
        </row>
        <row r="2061">
          <cell r="I2061">
            <v>0</v>
          </cell>
        </row>
        <row r="2062">
          <cell r="I2062">
            <v>0</v>
          </cell>
        </row>
        <row r="2063">
          <cell r="I2063">
            <v>0</v>
          </cell>
        </row>
        <row r="2064">
          <cell r="I2064">
            <v>0</v>
          </cell>
        </row>
        <row r="2065">
          <cell r="I2065">
            <v>0</v>
          </cell>
        </row>
        <row r="2066">
          <cell r="I2066">
            <v>0</v>
          </cell>
        </row>
        <row r="2067">
          <cell r="I2067">
            <v>0</v>
          </cell>
        </row>
        <row r="2068">
          <cell r="I2068">
            <v>0</v>
          </cell>
        </row>
        <row r="2069">
          <cell r="I2069">
            <v>0</v>
          </cell>
        </row>
        <row r="2070">
          <cell r="I2070">
            <v>0</v>
          </cell>
        </row>
        <row r="2071">
          <cell r="I2071">
            <v>0</v>
          </cell>
        </row>
        <row r="2072">
          <cell r="I2072">
            <v>0</v>
          </cell>
        </row>
        <row r="2073">
          <cell r="I2073">
            <v>0</v>
          </cell>
        </row>
        <row r="2074">
          <cell r="I2074">
            <v>0</v>
          </cell>
        </row>
        <row r="2075">
          <cell r="I2075">
            <v>0</v>
          </cell>
        </row>
        <row r="2076">
          <cell r="I2076">
            <v>0</v>
          </cell>
        </row>
        <row r="2077">
          <cell r="I2077">
            <v>0</v>
          </cell>
        </row>
        <row r="2078">
          <cell r="I2078">
            <v>0</v>
          </cell>
        </row>
        <row r="2079">
          <cell r="I2079">
            <v>0</v>
          </cell>
        </row>
        <row r="2080">
          <cell r="I2080">
            <v>0</v>
          </cell>
        </row>
        <row r="2081">
          <cell r="I2081">
            <v>0</v>
          </cell>
        </row>
        <row r="2082">
          <cell r="I2082">
            <v>0</v>
          </cell>
        </row>
        <row r="2083">
          <cell r="I2083">
            <v>0</v>
          </cell>
        </row>
        <row r="2084">
          <cell r="I2084">
            <v>0</v>
          </cell>
        </row>
        <row r="2085">
          <cell r="I2085">
            <v>0</v>
          </cell>
        </row>
        <row r="2086">
          <cell r="I2086">
            <v>0</v>
          </cell>
        </row>
        <row r="2087">
          <cell r="I2087">
            <v>0</v>
          </cell>
        </row>
        <row r="2088">
          <cell r="I2088">
            <v>0</v>
          </cell>
        </row>
        <row r="2089">
          <cell r="I2089">
            <v>0</v>
          </cell>
        </row>
        <row r="2090">
          <cell r="I2090">
            <v>0</v>
          </cell>
        </row>
        <row r="2091">
          <cell r="I2091">
            <v>0</v>
          </cell>
        </row>
        <row r="2092">
          <cell r="I2092">
            <v>0</v>
          </cell>
        </row>
        <row r="2093">
          <cell r="I2093">
            <v>0</v>
          </cell>
        </row>
        <row r="2094">
          <cell r="I2094">
            <v>0</v>
          </cell>
        </row>
        <row r="2095">
          <cell r="I2095">
            <v>0</v>
          </cell>
        </row>
        <row r="2096">
          <cell r="I2096">
            <v>0</v>
          </cell>
        </row>
        <row r="2097">
          <cell r="I2097">
            <v>0</v>
          </cell>
        </row>
        <row r="2098">
          <cell r="I2098">
            <v>0</v>
          </cell>
        </row>
        <row r="2099">
          <cell r="I2099">
            <v>0</v>
          </cell>
        </row>
        <row r="2100">
          <cell r="I2100">
            <v>0</v>
          </cell>
        </row>
        <row r="2101">
          <cell r="I2101">
            <v>0</v>
          </cell>
        </row>
        <row r="2102">
          <cell r="I2102">
            <v>0</v>
          </cell>
        </row>
        <row r="2103">
          <cell r="I2103">
            <v>0</v>
          </cell>
        </row>
        <row r="2104">
          <cell r="I2104">
            <v>0</v>
          </cell>
        </row>
        <row r="2105">
          <cell r="I2105">
            <v>0</v>
          </cell>
        </row>
        <row r="2106">
          <cell r="I2106">
            <v>0</v>
          </cell>
        </row>
        <row r="2107">
          <cell r="I2107">
            <v>0</v>
          </cell>
        </row>
        <row r="2108">
          <cell r="I2108">
            <v>0</v>
          </cell>
        </row>
        <row r="2109">
          <cell r="I2109">
            <v>0</v>
          </cell>
        </row>
        <row r="2110">
          <cell r="I2110">
            <v>0</v>
          </cell>
        </row>
        <row r="2111">
          <cell r="I2111">
            <v>0</v>
          </cell>
        </row>
        <row r="2112">
          <cell r="I2112">
            <v>0</v>
          </cell>
        </row>
        <row r="2113">
          <cell r="I2113">
            <v>0</v>
          </cell>
        </row>
        <row r="2114">
          <cell r="I2114">
            <v>0</v>
          </cell>
        </row>
        <row r="2115">
          <cell r="I2115">
            <v>0</v>
          </cell>
        </row>
        <row r="2116">
          <cell r="I2116">
            <v>0</v>
          </cell>
        </row>
        <row r="2117">
          <cell r="I2117">
            <v>0</v>
          </cell>
        </row>
        <row r="2118">
          <cell r="I2118">
            <v>0</v>
          </cell>
        </row>
        <row r="2119">
          <cell r="I2119">
            <v>0</v>
          </cell>
        </row>
        <row r="2120">
          <cell r="I2120">
            <v>0</v>
          </cell>
        </row>
        <row r="2121">
          <cell r="I2121">
            <v>0</v>
          </cell>
        </row>
        <row r="2122">
          <cell r="I2122">
            <v>0</v>
          </cell>
        </row>
        <row r="2123">
          <cell r="I2123">
            <v>0</v>
          </cell>
        </row>
        <row r="2124">
          <cell r="I2124">
            <v>0</v>
          </cell>
        </row>
        <row r="2125">
          <cell r="I2125">
            <v>0</v>
          </cell>
        </row>
        <row r="2126">
          <cell r="I2126">
            <v>0</v>
          </cell>
        </row>
        <row r="2127">
          <cell r="I2127">
            <v>0</v>
          </cell>
        </row>
        <row r="2128">
          <cell r="I2128">
            <v>0</v>
          </cell>
        </row>
        <row r="2129">
          <cell r="I2129">
            <v>0</v>
          </cell>
        </row>
        <row r="2130">
          <cell r="I2130">
            <v>0</v>
          </cell>
        </row>
        <row r="2131">
          <cell r="I2131">
            <v>0</v>
          </cell>
        </row>
        <row r="2132">
          <cell r="I2132">
            <v>0</v>
          </cell>
        </row>
        <row r="2133">
          <cell r="I2133">
            <v>0</v>
          </cell>
        </row>
        <row r="2134">
          <cell r="I2134">
            <v>0</v>
          </cell>
        </row>
        <row r="2135">
          <cell r="I2135">
            <v>0</v>
          </cell>
        </row>
        <row r="2136">
          <cell r="I2136">
            <v>0</v>
          </cell>
        </row>
        <row r="2137">
          <cell r="I2137">
            <v>0</v>
          </cell>
        </row>
        <row r="2138">
          <cell r="I2138">
            <v>0</v>
          </cell>
        </row>
        <row r="2139">
          <cell r="I2139">
            <v>0</v>
          </cell>
        </row>
        <row r="2140">
          <cell r="I2140">
            <v>0</v>
          </cell>
        </row>
        <row r="2141">
          <cell r="I2141">
            <v>0</v>
          </cell>
        </row>
        <row r="2142">
          <cell r="I2142">
            <v>0</v>
          </cell>
        </row>
        <row r="2143">
          <cell r="I2143">
            <v>0</v>
          </cell>
        </row>
        <row r="2144">
          <cell r="I2144">
            <v>0</v>
          </cell>
        </row>
        <row r="2145">
          <cell r="I2145">
            <v>0</v>
          </cell>
        </row>
        <row r="2146">
          <cell r="I2146">
            <v>0</v>
          </cell>
        </row>
        <row r="2147">
          <cell r="I2147">
            <v>0</v>
          </cell>
        </row>
        <row r="2148">
          <cell r="I2148">
            <v>0</v>
          </cell>
        </row>
        <row r="2149">
          <cell r="I2149">
            <v>0</v>
          </cell>
        </row>
        <row r="2150">
          <cell r="I2150">
            <v>0</v>
          </cell>
        </row>
        <row r="2151">
          <cell r="I2151">
            <v>0</v>
          </cell>
        </row>
        <row r="2152">
          <cell r="I2152">
            <v>0</v>
          </cell>
        </row>
        <row r="2153">
          <cell r="I2153">
            <v>0</v>
          </cell>
        </row>
        <row r="2154">
          <cell r="I2154">
            <v>0</v>
          </cell>
        </row>
        <row r="2155">
          <cell r="I2155">
            <v>0</v>
          </cell>
        </row>
        <row r="2156">
          <cell r="I2156">
            <v>0</v>
          </cell>
        </row>
        <row r="2157">
          <cell r="I2157">
            <v>0</v>
          </cell>
        </row>
        <row r="2158">
          <cell r="I2158">
            <v>0</v>
          </cell>
        </row>
        <row r="2159">
          <cell r="I2159">
            <v>0</v>
          </cell>
        </row>
        <row r="2160">
          <cell r="I2160">
            <v>0</v>
          </cell>
        </row>
        <row r="2161">
          <cell r="I2161">
            <v>0</v>
          </cell>
        </row>
        <row r="2162">
          <cell r="I2162">
            <v>0</v>
          </cell>
        </row>
        <row r="2163">
          <cell r="I2163">
            <v>0</v>
          </cell>
        </row>
        <row r="2164">
          <cell r="I2164">
            <v>0</v>
          </cell>
        </row>
        <row r="2165">
          <cell r="I2165">
            <v>0</v>
          </cell>
        </row>
        <row r="2166">
          <cell r="I2166">
            <v>0</v>
          </cell>
        </row>
        <row r="2167">
          <cell r="I2167">
            <v>0</v>
          </cell>
        </row>
        <row r="2168">
          <cell r="I2168">
            <v>0</v>
          </cell>
        </row>
        <row r="2169">
          <cell r="I2169">
            <v>0</v>
          </cell>
        </row>
        <row r="2170">
          <cell r="I2170">
            <v>0</v>
          </cell>
        </row>
        <row r="2171">
          <cell r="I2171">
            <v>0</v>
          </cell>
        </row>
        <row r="2172">
          <cell r="I2172">
            <v>0</v>
          </cell>
        </row>
        <row r="2173">
          <cell r="I2173">
            <v>0</v>
          </cell>
        </row>
        <row r="2174">
          <cell r="I2174">
            <v>0</v>
          </cell>
        </row>
        <row r="2175">
          <cell r="I2175">
            <v>0</v>
          </cell>
        </row>
        <row r="2176">
          <cell r="I2176">
            <v>0</v>
          </cell>
        </row>
        <row r="2177">
          <cell r="I2177">
            <v>0</v>
          </cell>
        </row>
        <row r="2178">
          <cell r="I2178">
            <v>0</v>
          </cell>
        </row>
        <row r="2179">
          <cell r="I2179">
            <v>0</v>
          </cell>
        </row>
        <row r="2180">
          <cell r="I2180">
            <v>0</v>
          </cell>
        </row>
        <row r="2181">
          <cell r="I2181">
            <v>0</v>
          </cell>
        </row>
        <row r="2182">
          <cell r="I2182">
            <v>0</v>
          </cell>
        </row>
        <row r="2183">
          <cell r="I2183">
            <v>0</v>
          </cell>
        </row>
        <row r="2184">
          <cell r="I2184">
            <v>0</v>
          </cell>
        </row>
        <row r="2185">
          <cell r="I2185">
            <v>0</v>
          </cell>
        </row>
        <row r="2186">
          <cell r="I2186">
            <v>0</v>
          </cell>
        </row>
        <row r="2187">
          <cell r="I2187">
            <v>0</v>
          </cell>
        </row>
        <row r="2188">
          <cell r="I2188">
            <v>0</v>
          </cell>
        </row>
        <row r="2189">
          <cell r="I2189">
            <v>0</v>
          </cell>
        </row>
        <row r="2190">
          <cell r="I2190">
            <v>0</v>
          </cell>
        </row>
        <row r="2191">
          <cell r="I2191">
            <v>0</v>
          </cell>
        </row>
        <row r="2192">
          <cell r="I2192">
            <v>0</v>
          </cell>
        </row>
        <row r="2193">
          <cell r="I2193">
            <v>0</v>
          </cell>
        </row>
        <row r="2194">
          <cell r="I2194">
            <v>0</v>
          </cell>
        </row>
        <row r="2195">
          <cell r="I2195">
            <v>0</v>
          </cell>
        </row>
        <row r="2196">
          <cell r="I2196">
            <v>0</v>
          </cell>
        </row>
        <row r="2197">
          <cell r="I2197">
            <v>0</v>
          </cell>
        </row>
        <row r="2198">
          <cell r="I2198">
            <v>0</v>
          </cell>
        </row>
        <row r="2199">
          <cell r="I2199">
            <v>0</v>
          </cell>
        </row>
        <row r="2200">
          <cell r="I2200">
            <v>0</v>
          </cell>
        </row>
        <row r="2201">
          <cell r="I2201">
            <v>0</v>
          </cell>
        </row>
        <row r="2202">
          <cell r="I2202">
            <v>0</v>
          </cell>
        </row>
        <row r="2203">
          <cell r="I2203">
            <v>0</v>
          </cell>
        </row>
        <row r="2204">
          <cell r="I2204">
            <v>0</v>
          </cell>
        </row>
        <row r="2205">
          <cell r="I2205">
            <v>0</v>
          </cell>
        </row>
        <row r="2206">
          <cell r="I2206">
            <v>0</v>
          </cell>
        </row>
        <row r="2207">
          <cell r="I2207">
            <v>0</v>
          </cell>
        </row>
        <row r="2208">
          <cell r="I2208">
            <v>0</v>
          </cell>
        </row>
        <row r="2209">
          <cell r="I2209">
            <v>0</v>
          </cell>
        </row>
        <row r="2210">
          <cell r="I2210">
            <v>0</v>
          </cell>
        </row>
        <row r="2211">
          <cell r="I2211">
            <v>0</v>
          </cell>
        </row>
        <row r="2212">
          <cell r="I2212">
            <v>0</v>
          </cell>
        </row>
        <row r="2213">
          <cell r="I2213">
            <v>0</v>
          </cell>
        </row>
        <row r="2214">
          <cell r="I2214">
            <v>0</v>
          </cell>
        </row>
        <row r="2215">
          <cell r="I2215">
            <v>0</v>
          </cell>
        </row>
        <row r="2216">
          <cell r="I2216">
            <v>0</v>
          </cell>
        </row>
        <row r="2217">
          <cell r="I2217">
            <v>0</v>
          </cell>
        </row>
        <row r="2218">
          <cell r="I2218">
            <v>0</v>
          </cell>
        </row>
        <row r="2219">
          <cell r="I2219">
            <v>0</v>
          </cell>
        </row>
        <row r="2220">
          <cell r="I2220">
            <v>0</v>
          </cell>
        </row>
        <row r="2221">
          <cell r="I2221">
            <v>0</v>
          </cell>
        </row>
        <row r="2222">
          <cell r="I2222">
            <v>0</v>
          </cell>
        </row>
        <row r="2223">
          <cell r="I2223">
            <v>0</v>
          </cell>
        </row>
        <row r="2224">
          <cell r="I2224">
            <v>0</v>
          </cell>
        </row>
        <row r="2225">
          <cell r="I2225">
            <v>0</v>
          </cell>
        </row>
        <row r="2226">
          <cell r="I2226">
            <v>0</v>
          </cell>
        </row>
        <row r="2227">
          <cell r="I2227">
            <v>0</v>
          </cell>
        </row>
        <row r="2228">
          <cell r="I2228">
            <v>0</v>
          </cell>
        </row>
        <row r="2229">
          <cell r="I2229">
            <v>0</v>
          </cell>
        </row>
        <row r="2230">
          <cell r="I2230">
            <v>0</v>
          </cell>
        </row>
        <row r="2231">
          <cell r="I2231">
            <v>0</v>
          </cell>
        </row>
        <row r="2232">
          <cell r="I2232">
            <v>0</v>
          </cell>
        </row>
        <row r="2233">
          <cell r="I2233">
            <v>0</v>
          </cell>
        </row>
        <row r="2234">
          <cell r="I2234">
            <v>0</v>
          </cell>
        </row>
        <row r="2235">
          <cell r="I2235">
            <v>0</v>
          </cell>
        </row>
        <row r="2236">
          <cell r="I2236">
            <v>0</v>
          </cell>
        </row>
        <row r="2237">
          <cell r="I2237">
            <v>0</v>
          </cell>
        </row>
        <row r="2238">
          <cell r="I2238">
            <v>0</v>
          </cell>
        </row>
        <row r="2239">
          <cell r="I2239">
            <v>0</v>
          </cell>
        </row>
        <row r="2240">
          <cell r="I2240">
            <v>0</v>
          </cell>
        </row>
        <row r="2241">
          <cell r="I2241">
            <v>0</v>
          </cell>
        </row>
        <row r="2242">
          <cell r="I2242">
            <v>0</v>
          </cell>
        </row>
        <row r="2243">
          <cell r="I2243">
            <v>0</v>
          </cell>
        </row>
        <row r="2244">
          <cell r="I2244">
            <v>0</v>
          </cell>
        </row>
        <row r="2245">
          <cell r="I2245">
            <v>0</v>
          </cell>
        </row>
        <row r="2246">
          <cell r="I2246">
            <v>0</v>
          </cell>
        </row>
        <row r="2247">
          <cell r="I2247">
            <v>0</v>
          </cell>
        </row>
        <row r="2248">
          <cell r="I2248">
            <v>0</v>
          </cell>
        </row>
        <row r="2249">
          <cell r="I2249">
            <v>0</v>
          </cell>
        </row>
        <row r="2250">
          <cell r="I2250">
            <v>0</v>
          </cell>
        </row>
        <row r="2251">
          <cell r="I2251">
            <v>0</v>
          </cell>
        </row>
        <row r="2252">
          <cell r="I2252">
            <v>0</v>
          </cell>
        </row>
        <row r="2253">
          <cell r="I2253">
            <v>0</v>
          </cell>
        </row>
        <row r="2254">
          <cell r="I2254">
            <v>0</v>
          </cell>
        </row>
        <row r="2255">
          <cell r="I2255">
            <v>0</v>
          </cell>
        </row>
        <row r="2256">
          <cell r="I2256">
            <v>0</v>
          </cell>
        </row>
        <row r="2257">
          <cell r="I2257">
            <v>0</v>
          </cell>
        </row>
        <row r="2258">
          <cell r="I2258">
            <v>0</v>
          </cell>
        </row>
        <row r="2259">
          <cell r="I2259">
            <v>0</v>
          </cell>
        </row>
        <row r="2260">
          <cell r="I2260">
            <v>0</v>
          </cell>
        </row>
        <row r="2261">
          <cell r="I2261">
            <v>0</v>
          </cell>
        </row>
        <row r="2262">
          <cell r="I2262">
            <v>0</v>
          </cell>
        </row>
        <row r="2263">
          <cell r="I2263">
            <v>0</v>
          </cell>
        </row>
        <row r="2264">
          <cell r="I2264">
            <v>0</v>
          </cell>
        </row>
        <row r="2265">
          <cell r="I2265">
            <v>0</v>
          </cell>
        </row>
        <row r="2266">
          <cell r="I2266">
            <v>0</v>
          </cell>
        </row>
        <row r="2267">
          <cell r="I2267">
            <v>0</v>
          </cell>
        </row>
        <row r="2268">
          <cell r="I2268">
            <v>0</v>
          </cell>
        </row>
        <row r="2269">
          <cell r="I2269">
            <v>0</v>
          </cell>
        </row>
        <row r="2270">
          <cell r="I2270">
            <v>0</v>
          </cell>
        </row>
        <row r="2271">
          <cell r="I2271">
            <v>0</v>
          </cell>
        </row>
        <row r="2272">
          <cell r="I2272">
            <v>0</v>
          </cell>
        </row>
        <row r="2273">
          <cell r="I2273">
            <v>0</v>
          </cell>
        </row>
        <row r="2274">
          <cell r="I2274">
            <v>0</v>
          </cell>
        </row>
        <row r="2275">
          <cell r="I2275">
            <v>0</v>
          </cell>
        </row>
        <row r="2276">
          <cell r="I2276">
            <v>0</v>
          </cell>
        </row>
        <row r="2277">
          <cell r="I2277">
            <v>0</v>
          </cell>
        </row>
        <row r="2278">
          <cell r="I2278">
            <v>0</v>
          </cell>
        </row>
        <row r="2279">
          <cell r="I2279">
            <v>0</v>
          </cell>
        </row>
        <row r="2280">
          <cell r="I2280">
            <v>0</v>
          </cell>
        </row>
        <row r="2281">
          <cell r="I2281">
            <v>0</v>
          </cell>
        </row>
        <row r="2282">
          <cell r="I2282">
            <v>0</v>
          </cell>
        </row>
        <row r="2283">
          <cell r="I2283">
            <v>0</v>
          </cell>
        </row>
        <row r="2284">
          <cell r="I2284">
            <v>0</v>
          </cell>
        </row>
        <row r="2285">
          <cell r="I2285">
            <v>0</v>
          </cell>
        </row>
        <row r="2286">
          <cell r="I2286">
            <v>0</v>
          </cell>
        </row>
        <row r="2287">
          <cell r="I2287">
            <v>0</v>
          </cell>
        </row>
        <row r="2288">
          <cell r="I2288">
            <v>0</v>
          </cell>
        </row>
        <row r="2289">
          <cell r="I2289">
            <v>0</v>
          </cell>
        </row>
        <row r="2290">
          <cell r="I2290">
            <v>0</v>
          </cell>
        </row>
        <row r="2291">
          <cell r="I2291">
            <v>0</v>
          </cell>
        </row>
        <row r="2292">
          <cell r="I2292">
            <v>0</v>
          </cell>
        </row>
        <row r="2293">
          <cell r="I2293">
            <v>0</v>
          </cell>
        </row>
        <row r="2294">
          <cell r="I2294">
            <v>0</v>
          </cell>
        </row>
        <row r="2295">
          <cell r="I2295">
            <v>0</v>
          </cell>
        </row>
        <row r="2296">
          <cell r="I2296">
            <v>0</v>
          </cell>
        </row>
        <row r="2297">
          <cell r="I2297">
            <v>0</v>
          </cell>
        </row>
        <row r="2298">
          <cell r="I2298">
            <v>0</v>
          </cell>
        </row>
        <row r="2299">
          <cell r="I2299">
            <v>0</v>
          </cell>
        </row>
        <row r="2300">
          <cell r="I2300">
            <v>0</v>
          </cell>
        </row>
        <row r="2301">
          <cell r="I2301">
            <v>0</v>
          </cell>
        </row>
        <row r="2302">
          <cell r="I2302">
            <v>0</v>
          </cell>
        </row>
        <row r="2303">
          <cell r="I2303">
            <v>0</v>
          </cell>
        </row>
        <row r="2304">
          <cell r="I2304">
            <v>0</v>
          </cell>
        </row>
        <row r="2305">
          <cell r="I2305">
            <v>0</v>
          </cell>
        </row>
        <row r="2306">
          <cell r="I2306">
            <v>0</v>
          </cell>
        </row>
        <row r="2307">
          <cell r="I2307">
            <v>0</v>
          </cell>
        </row>
        <row r="2308">
          <cell r="I2308">
            <v>0</v>
          </cell>
        </row>
        <row r="2309">
          <cell r="I2309">
            <v>0</v>
          </cell>
        </row>
        <row r="2310">
          <cell r="I2310">
            <v>0</v>
          </cell>
        </row>
        <row r="2311">
          <cell r="I2311">
            <v>0</v>
          </cell>
        </row>
        <row r="2312">
          <cell r="I2312">
            <v>0</v>
          </cell>
        </row>
        <row r="2313">
          <cell r="I2313">
            <v>0</v>
          </cell>
        </row>
        <row r="2314">
          <cell r="I2314">
            <v>0</v>
          </cell>
        </row>
        <row r="2315">
          <cell r="I2315">
            <v>0</v>
          </cell>
        </row>
        <row r="2316">
          <cell r="I2316">
            <v>0</v>
          </cell>
        </row>
        <row r="2317">
          <cell r="I2317">
            <v>0</v>
          </cell>
        </row>
        <row r="2318">
          <cell r="I2318">
            <v>0</v>
          </cell>
        </row>
        <row r="2319">
          <cell r="I2319">
            <v>0</v>
          </cell>
        </row>
        <row r="2320">
          <cell r="I2320">
            <v>0</v>
          </cell>
        </row>
        <row r="2321">
          <cell r="I2321">
            <v>0</v>
          </cell>
        </row>
        <row r="2322">
          <cell r="I2322">
            <v>0</v>
          </cell>
        </row>
        <row r="2323">
          <cell r="I2323">
            <v>0</v>
          </cell>
        </row>
        <row r="2324">
          <cell r="I2324">
            <v>0</v>
          </cell>
        </row>
        <row r="2325">
          <cell r="I2325">
            <v>0</v>
          </cell>
        </row>
        <row r="2326">
          <cell r="I2326">
            <v>0</v>
          </cell>
        </row>
        <row r="2327">
          <cell r="I2327">
            <v>0</v>
          </cell>
        </row>
        <row r="2328">
          <cell r="I2328">
            <v>0</v>
          </cell>
        </row>
        <row r="2329">
          <cell r="I2329">
            <v>0</v>
          </cell>
        </row>
        <row r="2330">
          <cell r="I2330">
            <v>0</v>
          </cell>
        </row>
        <row r="2331">
          <cell r="I2331">
            <v>0</v>
          </cell>
        </row>
        <row r="2332">
          <cell r="I2332">
            <v>0</v>
          </cell>
        </row>
        <row r="2333">
          <cell r="I2333">
            <v>0</v>
          </cell>
        </row>
        <row r="2334">
          <cell r="I2334">
            <v>0</v>
          </cell>
        </row>
        <row r="2335">
          <cell r="I2335">
            <v>0</v>
          </cell>
        </row>
        <row r="2336">
          <cell r="I2336">
            <v>0</v>
          </cell>
        </row>
        <row r="2337">
          <cell r="I2337">
            <v>0</v>
          </cell>
        </row>
        <row r="2338">
          <cell r="I2338">
            <v>0</v>
          </cell>
        </row>
        <row r="2339">
          <cell r="I2339">
            <v>0</v>
          </cell>
        </row>
        <row r="2340">
          <cell r="I2340">
            <v>0</v>
          </cell>
        </row>
        <row r="2341">
          <cell r="I2341">
            <v>0</v>
          </cell>
        </row>
        <row r="2342">
          <cell r="I2342">
            <v>0</v>
          </cell>
        </row>
        <row r="2343">
          <cell r="I2343">
            <v>0</v>
          </cell>
        </row>
        <row r="2344">
          <cell r="I2344">
            <v>0</v>
          </cell>
        </row>
        <row r="2345">
          <cell r="I2345">
            <v>0</v>
          </cell>
        </row>
        <row r="2346">
          <cell r="I2346">
            <v>0</v>
          </cell>
        </row>
        <row r="2347">
          <cell r="I2347">
            <v>0</v>
          </cell>
        </row>
        <row r="2348">
          <cell r="I2348">
            <v>0</v>
          </cell>
        </row>
        <row r="2349">
          <cell r="I2349">
            <v>0</v>
          </cell>
        </row>
        <row r="2350">
          <cell r="I2350">
            <v>0</v>
          </cell>
        </row>
        <row r="2351">
          <cell r="I2351">
            <v>0</v>
          </cell>
        </row>
        <row r="2352">
          <cell r="I2352">
            <v>0</v>
          </cell>
        </row>
        <row r="2353">
          <cell r="I2353">
            <v>0</v>
          </cell>
        </row>
        <row r="2354">
          <cell r="I2354">
            <v>0</v>
          </cell>
        </row>
        <row r="2355">
          <cell r="I2355">
            <v>0</v>
          </cell>
        </row>
        <row r="2356">
          <cell r="I2356">
            <v>0</v>
          </cell>
        </row>
        <row r="2357">
          <cell r="I2357">
            <v>0</v>
          </cell>
        </row>
        <row r="2358">
          <cell r="I2358">
            <v>0</v>
          </cell>
        </row>
        <row r="2359">
          <cell r="I2359">
            <v>0</v>
          </cell>
        </row>
        <row r="2360">
          <cell r="I2360">
            <v>0</v>
          </cell>
        </row>
        <row r="2361">
          <cell r="I2361">
            <v>0</v>
          </cell>
        </row>
        <row r="2362">
          <cell r="I2362">
            <v>0</v>
          </cell>
        </row>
        <row r="2363">
          <cell r="I2363">
            <v>0</v>
          </cell>
        </row>
        <row r="2364">
          <cell r="I2364">
            <v>0</v>
          </cell>
        </row>
        <row r="2365">
          <cell r="I2365">
            <v>0</v>
          </cell>
        </row>
        <row r="2366">
          <cell r="I2366">
            <v>0</v>
          </cell>
        </row>
        <row r="2367">
          <cell r="I2367">
            <v>0</v>
          </cell>
        </row>
        <row r="2368">
          <cell r="I2368">
            <v>0</v>
          </cell>
        </row>
        <row r="2369">
          <cell r="I2369">
            <v>0</v>
          </cell>
        </row>
        <row r="2370">
          <cell r="I2370">
            <v>0</v>
          </cell>
        </row>
        <row r="2371">
          <cell r="I2371">
            <v>0</v>
          </cell>
        </row>
        <row r="2372">
          <cell r="I2372">
            <v>0</v>
          </cell>
        </row>
        <row r="2373">
          <cell r="I2373">
            <v>0</v>
          </cell>
        </row>
        <row r="2374">
          <cell r="I2374">
            <v>0</v>
          </cell>
        </row>
        <row r="2375">
          <cell r="I2375">
            <v>0</v>
          </cell>
        </row>
        <row r="2376">
          <cell r="I2376">
            <v>0</v>
          </cell>
        </row>
        <row r="2377">
          <cell r="I2377">
            <v>0</v>
          </cell>
        </row>
        <row r="2378">
          <cell r="I2378">
            <v>0</v>
          </cell>
        </row>
        <row r="2379">
          <cell r="I2379">
            <v>0</v>
          </cell>
        </row>
        <row r="2380">
          <cell r="I2380">
            <v>0</v>
          </cell>
        </row>
        <row r="2381">
          <cell r="I2381">
            <v>0</v>
          </cell>
        </row>
        <row r="2382">
          <cell r="I2382">
            <v>0</v>
          </cell>
        </row>
        <row r="2383">
          <cell r="I2383">
            <v>0</v>
          </cell>
        </row>
        <row r="2384">
          <cell r="I2384">
            <v>0</v>
          </cell>
        </row>
        <row r="2385">
          <cell r="I2385">
            <v>0</v>
          </cell>
        </row>
        <row r="2386">
          <cell r="I2386">
            <v>0</v>
          </cell>
        </row>
        <row r="2387">
          <cell r="I2387">
            <v>0</v>
          </cell>
        </row>
        <row r="2388">
          <cell r="I2388">
            <v>0</v>
          </cell>
        </row>
        <row r="2389">
          <cell r="I2389">
            <v>0</v>
          </cell>
        </row>
        <row r="2390">
          <cell r="I2390">
            <v>0</v>
          </cell>
        </row>
        <row r="2391">
          <cell r="I2391">
            <v>0</v>
          </cell>
        </row>
        <row r="2392">
          <cell r="I2392">
            <v>0</v>
          </cell>
        </row>
        <row r="2393">
          <cell r="I2393">
            <v>0</v>
          </cell>
        </row>
        <row r="2394">
          <cell r="I2394">
            <v>0</v>
          </cell>
        </row>
        <row r="2395">
          <cell r="I2395">
            <v>0</v>
          </cell>
        </row>
        <row r="2396">
          <cell r="I2396">
            <v>0</v>
          </cell>
        </row>
        <row r="2397">
          <cell r="I2397">
            <v>0</v>
          </cell>
        </row>
        <row r="2398">
          <cell r="I2398">
            <v>0</v>
          </cell>
        </row>
        <row r="2399">
          <cell r="I2399">
            <v>0</v>
          </cell>
        </row>
        <row r="2400">
          <cell r="I2400">
            <v>0</v>
          </cell>
        </row>
        <row r="2401">
          <cell r="I2401">
            <v>0</v>
          </cell>
        </row>
        <row r="2402">
          <cell r="I2402">
            <v>0</v>
          </cell>
        </row>
        <row r="2403">
          <cell r="I2403">
            <v>0</v>
          </cell>
        </row>
        <row r="2404">
          <cell r="I2404">
            <v>0</v>
          </cell>
        </row>
        <row r="2405">
          <cell r="I2405">
            <v>0</v>
          </cell>
        </row>
        <row r="2406">
          <cell r="I2406">
            <v>0</v>
          </cell>
        </row>
        <row r="2407">
          <cell r="I2407">
            <v>0</v>
          </cell>
        </row>
        <row r="2408">
          <cell r="I2408">
            <v>0</v>
          </cell>
        </row>
        <row r="2409">
          <cell r="I2409">
            <v>0</v>
          </cell>
        </row>
        <row r="2410">
          <cell r="I2410">
            <v>0</v>
          </cell>
        </row>
        <row r="2411">
          <cell r="I2411">
            <v>0</v>
          </cell>
        </row>
        <row r="2412">
          <cell r="I2412">
            <v>0</v>
          </cell>
        </row>
        <row r="2413">
          <cell r="I2413">
            <v>0</v>
          </cell>
        </row>
        <row r="2414">
          <cell r="I2414">
            <v>0</v>
          </cell>
        </row>
        <row r="2415">
          <cell r="I2415">
            <v>0</v>
          </cell>
        </row>
        <row r="2416">
          <cell r="I2416">
            <v>0</v>
          </cell>
        </row>
        <row r="2417">
          <cell r="I2417">
            <v>0</v>
          </cell>
        </row>
        <row r="2418">
          <cell r="I2418">
            <v>0</v>
          </cell>
        </row>
        <row r="2419">
          <cell r="I2419">
            <v>0</v>
          </cell>
        </row>
        <row r="2420">
          <cell r="I2420">
            <v>0</v>
          </cell>
        </row>
        <row r="2421">
          <cell r="I2421">
            <v>0</v>
          </cell>
        </row>
        <row r="2422">
          <cell r="I2422">
            <v>0</v>
          </cell>
        </row>
        <row r="2423">
          <cell r="I2423">
            <v>0</v>
          </cell>
        </row>
        <row r="2424">
          <cell r="I2424">
            <v>0</v>
          </cell>
        </row>
        <row r="2425">
          <cell r="I2425">
            <v>0</v>
          </cell>
        </row>
        <row r="2426">
          <cell r="I2426">
            <v>0</v>
          </cell>
        </row>
        <row r="2427">
          <cell r="I2427">
            <v>0</v>
          </cell>
        </row>
        <row r="2428">
          <cell r="I2428">
            <v>0</v>
          </cell>
        </row>
        <row r="2429">
          <cell r="I2429">
            <v>0</v>
          </cell>
        </row>
        <row r="2430">
          <cell r="I2430">
            <v>0</v>
          </cell>
        </row>
        <row r="2431">
          <cell r="I2431">
            <v>0</v>
          </cell>
        </row>
        <row r="2432">
          <cell r="I2432">
            <v>0</v>
          </cell>
        </row>
        <row r="2433">
          <cell r="I2433">
            <v>0</v>
          </cell>
        </row>
        <row r="2434">
          <cell r="I2434">
            <v>0</v>
          </cell>
        </row>
        <row r="2435">
          <cell r="I2435">
            <v>0</v>
          </cell>
        </row>
        <row r="2436">
          <cell r="I2436">
            <v>0</v>
          </cell>
        </row>
        <row r="2437">
          <cell r="I2437">
            <v>0</v>
          </cell>
        </row>
        <row r="2438">
          <cell r="I2438">
            <v>0</v>
          </cell>
        </row>
        <row r="2439">
          <cell r="I2439">
            <v>0</v>
          </cell>
        </row>
        <row r="2440">
          <cell r="I2440">
            <v>0</v>
          </cell>
        </row>
        <row r="2441">
          <cell r="I2441">
            <v>0</v>
          </cell>
        </row>
        <row r="2442">
          <cell r="I2442">
            <v>0</v>
          </cell>
        </row>
        <row r="2443">
          <cell r="I2443">
            <v>0</v>
          </cell>
        </row>
        <row r="2444">
          <cell r="I2444">
            <v>0</v>
          </cell>
        </row>
        <row r="2445">
          <cell r="I2445">
            <v>0</v>
          </cell>
        </row>
        <row r="2446">
          <cell r="I2446">
            <v>0</v>
          </cell>
        </row>
        <row r="2447">
          <cell r="I2447">
            <v>0</v>
          </cell>
        </row>
        <row r="2448">
          <cell r="I2448">
            <v>0</v>
          </cell>
        </row>
        <row r="2449">
          <cell r="I2449">
            <v>0</v>
          </cell>
        </row>
        <row r="2450">
          <cell r="I2450">
            <v>0</v>
          </cell>
        </row>
        <row r="2451">
          <cell r="I2451">
            <v>0</v>
          </cell>
        </row>
        <row r="2452">
          <cell r="I2452">
            <v>0</v>
          </cell>
        </row>
        <row r="2453">
          <cell r="I2453">
            <v>0</v>
          </cell>
        </row>
        <row r="2454">
          <cell r="I2454">
            <v>0</v>
          </cell>
        </row>
        <row r="2455">
          <cell r="I2455">
            <v>0</v>
          </cell>
        </row>
        <row r="2456">
          <cell r="I2456">
            <v>0</v>
          </cell>
        </row>
        <row r="2457">
          <cell r="I2457">
            <v>0</v>
          </cell>
        </row>
        <row r="2458">
          <cell r="I2458">
            <v>0</v>
          </cell>
        </row>
        <row r="2459">
          <cell r="I2459">
            <v>0</v>
          </cell>
        </row>
        <row r="2460">
          <cell r="I2460">
            <v>0</v>
          </cell>
        </row>
        <row r="2461">
          <cell r="I2461">
            <v>0</v>
          </cell>
        </row>
        <row r="2462">
          <cell r="I2462">
            <v>0</v>
          </cell>
        </row>
        <row r="2463">
          <cell r="I2463">
            <v>0</v>
          </cell>
        </row>
        <row r="2464">
          <cell r="I2464">
            <v>0</v>
          </cell>
        </row>
        <row r="2465">
          <cell r="I2465">
            <v>0</v>
          </cell>
        </row>
        <row r="2466">
          <cell r="I2466">
            <v>0</v>
          </cell>
        </row>
        <row r="2467">
          <cell r="I2467">
            <v>0</v>
          </cell>
        </row>
        <row r="2468">
          <cell r="I2468">
            <v>0</v>
          </cell>
        </row>
        <row r="2469">
          <cell r="I2469">
            <v>0</v>
          </cell>
        </row>
        <row r="2470">
          <cell r="I2470">
            <v>0</v>
          </cell>
        </row>
        <row r="2471">
          <cell r="I2471">
            <v>0</v>
          </cell>
        </row>
        <row r="2472">
          <cell r="I2472">
            <v>0</v>
          </cell>
        </row>
        <row r="2473">
          <cell r="I2473">
            <v>0</v>
          </cell>
        </row>
        <row r="2474">
          <cell r="I2474">
            <v>0</v>
          </cell>
        </row>
        <row r="2475">
          <cell r="I2475">
            <v>0</v>
          </cell>
        </row>
        <row r="2476">
          <cell r="I2476">
            <v>0</v>
          </cell>
        </row>
        <row r="2477">
          <cell r="I2477">
            <v>0</v>
          </cell>
        </row>
        <row r="2478">
          <cell r="I2478">
            <v>0</v>
          </cell>
        </row>
        <row r="2479">
          <cell r="I2479">
            <v>0</v>
          </cell>
        </row>
        <row r="2480">
          <cell r="I2480">
            <v>0</v>
          </cell>
        </row>
        <row r="2481">
          <cell r="I2481">
            <v>0</v>
          </cell>
        </row>
        <row r="2482">
          <cell r="I2482">
            <v>0</v>
          </cell>
        </row>
        <row r="2483">
          <cell r="I2483">
            <v>0</v>
          </cell>
        </row>
        <row r="2484">
          <cell r="I2484">
            <v>0</v>
          </cell>
        </row>
        <row r="2485">
          <cell r="I2485">
            <v>0</v>
          </cell>
        </row>
        <row r="2486">
          <cell r="I2486">
            <v>0</v>
          </cell>
        </row>
        <row r="2487">
          <cell r="I2487">
            <v>0</v>
          </cell>
        </row>
        <row r="2488">
          <cell r="I2488">
            <v>0</v>
          </cell>
        </row>
        <row r="2489">
          <cell r="I2489">
            <v>0</v>
          </cell>
        </row>
        <row r="2490">
          <cell r="I2490">
            <v>0</v>
          </cell>
        </row>
        <row r="2491">
          <cell r="I2491">
            <v>0</v>
          </cell>
        </row>
        <row r="2492">
          <cell r="I2492">
            <v>0</v>
          </cell>
        </row>
        <row r="2493">
          <cell r="I2493">
            <v>0</v>
          </cell>
        </row>
        <row r="2494">
          <cell r="I2494">
            <v>0</v>
          </cell>
        </row>
        <row r="2495">
          <cell r="I2495">
            <v>0</v>
          </cell>
        </row>
        <row r="2496">
          <cell r="I2496">
            <v>0</v>
          </cell>
        </row>
        <row r="2497">
          <cell r="I2497">
            <v>0</v>
          </cell>
        </row>
        <row r="2498">
          <cell r="I2498">
            <v>0</v>
          </cell>
        </row>
        <row r="2499">
          <cell r="I2499">
            <v>0</v>
          </cell>
        </row>
        <row r="2500">
          <cell r="I2500">
            <v>0</v>
          </cell>
        </row>
        <row r="2501">
          <cell r="I2501">
            <v>0</v>
          </cell>
        </row>
        <row r="2502">
          <cell r="I2502">
            <v>0</v>
          </cell>
        </row>
        <row r="2503">
          <cell r="I2503">
            <v>0</v>
          </cell>
        </row>
        <row r="2504">
          <cell r="I2504">
            <v>0</v>
          </cell>
        </row>
        <row r="2505">
          <cell r="I2505">
            <v>0</v>
          </cell>
        </row>
        <row r="2506">
          <cell r="I2506">
            <v>0</v>
          </cell>
        </row>
        <row r="2507">
          <cell r="I2507">
            <v>0</v>
          </cell>
        </row>
        <row r="2508">
          <cell r="I2508">
            <v>0</v>
          </cell>
        </row>
        <row r="2509">
          <cell r="I2509">
            <v>0</v>
          </cell>
        </row>
        <row r="2510">
          <cell r="I2510">
            <v>0</v>
          </cell>
        </row>
        <row r="2511">
          <cell r="I2511">
            <v>0</v>
          </cell>
        </row>
        <row r="2512">
          <cell r="I2512">
            <v>0</v>
          </cell>
        </row>
        <row r="2513">
          <cell r="I2513">
            <v>0</v>
          </cell>
        </row>
        <row r="2514">
          <cell r="I2514">
            <v>0</v>
          </cell>
        </row>
        <row r="2515">
          <cell r="I2515">
            <v>0</v>
          </cell>
        </row>
        <row r="2516">
          <cell r="I2516">
            <v>0</v>
          </cell>
        </row>
        <row r="2517">
          <cell r="I2517">
            <v>0</v>
          </cell>
        </row>
        <row r="2518">
          <cell r="I2518">
            <v>0</v>
          </cell>
        </row>
        <row r="2519">
          <cell r="I2519">
            <v>0</v>
          </cell>
        </row>
        <row r="2520">
          <cell r="I2520">
            <v>0</v>
          </cell>
        </row>
        <row r="2521">
          <cell r="I2521">
            <v>0</v>
          </cell>
        </row>
        <row r="2522">
          <cell r="I2522">
            <v>0</v>
          </cell>
        </row>
        <row r="2523">
          <cell r="I2523">
            <v>0</v>
          </cell>
        </row>
        <row r="2524">
          <cell r="I2524">
            <v>0</v>
          </cell>
        </row>
        <row r="2525">
          <cell r="I2525">
            <v>0</v>
          </cell>
        </row>
        <row r="2526">
          <cell r="I2526">
            <v>0</v>
          </cell>
        </row>
        <row r="2527">
          <cell r="I2527">
            <v>0</v>
          </cell>
        </row>
        <row r="2528">
          <cell r="I2528">
            <v>0</v>
          </cell>
        </row>
        <row r="2529">
          <cell r="I2529">
            <v>0</v>
          </cell>
        </row>
        <row r="2530">
          <cell r="I2530">
            <v>0</v>
          </cell>
        </row>
        <row r="2531">
          <cell r="I2531">
            <v>0</v>
          </cell>
        </row>
        <row r="2532">
          <cell r="I2532">
            <v>0</v>
          </cell>
        </row>
        <row r="2533">
          <cell r="I2533">
            <v>0</v>
          </cell>
        </row>
        <row r="2534">
          <cell r="I2534">
            <v>0</v>
          </cell>
        </row>
        <row r="2535">
          <cell r="I2535">
            <v>0</v>
          </cell>
        </row>
        <row r="2536">
          <cell r="I2536">
            <v>0</v>
          </cell>
        </row>
        <row r="2537">
          <cell r="I2537">
            <v>0</v>
          </cell>
        </row>
        <row r="2538">
          <cell r="I2538">
            <v>0</v>
          </cell>
        </row>
        <row r="2539">
          <cell r="I2539">
            <v>0</v>
          </cell>
        </row>
        <row r="2540">
          <cell r="I2540">
            <v>0</v>
          </cell>
        </row>
        <row r="2541">
          <cell r="I2541">
            <v>0</v>
          </cell>
        </row>
        <row r="2542">
          <cell r="I2542">
            <v>0</v>
          </cell>
        </row>
        <row r="2543">
          <cell r="I2543">
            <v>0</v>
          </cell>
        </row>
        <row r="2544">
          <cell r="I2544">
            <v>0</v>
          </cell>
        </row>
        <row r="2545">
          <cell r="I2545">
            <v>0</v>
          </cell>
        </row>
        <row r="2546">
          <cell r="I2546">
            <v>0</v>
          </cell>
        </row>
        <row r="2547">
          <cell r="I2547">
            <v>0</v>
          </cell>
        </row>
        <row r="2548">
          <cell r="I2548">
            <v>0</v>
          </cell>
        </row>
        <row r="2549">
          <cell r="I2549">
            <v>0</v>
          </cell>
        </row>
        <row r="2550">
          <cell r="I2550">
            <v>0</v>
          </cell>
        </row>
        <row r="2551">
          <cell r="I2551">
            <v>0</v>
          </cell>
        </row>
        <row r="2552">
          <cell r="I2552">
            <v>0</v>
          </cell>
        </row>
        <row r="2553">
          <cell r="I2553">
            <v>0</v>
          </cell>
        </row>
        <row r="2554">
          <cell r="I2554">
            <v>0</v>
          </cell>
        </row>
        <row r="2555">
          <cell r="I2555">
            <v>0</v>
          </cell>
        </row>
        <row r="2556">
          <cell r="I2556">
            <v>0</v>
          </cell>
        </row>
        <row r="2557">
          <cell r="I2557">
            <v>0</v>
          </cell>
        </row>
        <row r="2558">
          <cell r="I2558">
            <v>0</v>
          </cell>
        </row>
        <row r="2559">
          <cell r="I2559">
            <v>0</v>
          </cell>
        </row>
        <row r="2560">
          <cell r="I2560">
            <v>0</v>
          </cell>
        </row>
        <row r="2561">
          <cell r="I2561">
            <v>0</v>
          </cell>
        </row>
        <row r="2562">
          <cell r="I2562">
            <v>0</v>
          </cell>
        </row>
        <row r="2563">
          <cell r="I2563">
            <v>0</v>
          </cell>
        </row>
        <row r="2564">
          <cell r="I2564">
            <v>0</v>
          </cell>
        </row>
        <row r="2565">
          <cell r="I2565">
            <v>0</v>
          </cell>
        </row>
        <row r="2566">
          <cell r="I2566">
            <v>0</v>
          </cell>
        </row>
        <row r="2567">
          <cell r="I2567">
            <v>0</v>
          </cell>
        </row>
        <row r="2568">
          <cell r="I2568">
            <v>0</v>
          </cell>
        </row>
        <row r="2569">
          <cell r="I2569">
            <v>0</v>
          </cell>
        </row>
        <row r="2570">
          <cell r="I2570">
            <v>0</v>
          </cell>
        </row>
        <row r="2571">
          <cell r="I2571">
            <v>0</v>
          </cell>
        </row>
        <row r="2572">
          <cell r="I2572">
            <v>0</v>
          </cell>
        </row>
        <row r="2573">
          <cell r="I2573">
            <v>0</v>
          </cell>
        </row>
        <row r="2574">
          <cell r="I2574">
            <v>0</v>
          </cell>
        </row>
        <row r="2575">
          <cell r="I2575">
            <v>0</v>
          </cell>
        </row>
        <row r="2576">
          <cell r="I2576">
            <v>0</v>
          </cell>
        </row>
        <row r="2577">
          <cell r="I2577">
            <v>0</v>
          </cell>
        </row>
        <row r="2578">
          <cell r="I2578">
            <v>0</v>
          </cell>
        </row>
        <row r="2579">
          <cell r="I2579">
            <v>0</v>
          </cell>
        </row>
        <row r="2580">
          <cell r="I2580">
            <v>0</v>
          </cell>
        </row>
        <row r="2581">
          <cell r="I2581">
            <v>0</v>
          </cell>
        </row>
        <row r="2582">
          <cell r="I2582">
            <v>0</v>
          </cell>
        </row>
        <row r="2583">
          <cell r="I2583">
            <v>0</v>
          </cell>
        </row>
        <row r="2584">
          <cell r="I2584">
            <v>0</v>
          </cell>
        </row>
        <row r="2585">
          <cell r="I2585">
            <v>0</v>
          </cell>
        </row>
        <row r="2586">
          <cell r="I2586">
            <v>0</v>
          </cell>
        </row>
        <row r="2587">
          <cell r="I2587">
            <v>0</v>
          </cell>
        </row>
        <row r="2588">
          <cell r="I2588">
            <v>0</v>
          </cell>
        </row>
        <row r="2589">
          <cell r="I2589">
            <v>0</v>
          </cell>
        </row>
        <row r="2590">
          <cell r="I2590">
            <v>0</v>
          </cell>
        </row>
        <row r="2591">
          <cell r="I2591">
            <v>0</v>
          </cell>
        </row>
        <row r="2592">
          <cell r="I2592">
            <v>0</v>
          </cell>
        </row>
        <row r="2593">
          <cell r="I2593">
            <v>0</v>
          </cell>
        </row>
        <row r="2594">
          <cell r="I2594">
            <v>0</v>
          </cell>
        </row>
        <row r="2595">
          <cell r="I2595">
            <v>0</v>
          </cell>
        </row>
        <row r="2596">
          <cell r="I2596">
            <v>0</v>
          </cell>
        </row>
        <row r="2597">
          <cell r="I2597">
            <v>0</v>
          </cell>
        </row>
        <row r="2598">
          <cell r="I2598">
            <v>0</v>
          </cell>
        </row>
        <row r="2599">
          <cell r="I2599">
            <v>0</v>
          </cell>
        </row>
        <row r="2600">
          <cell r="I2600">
            <v>0</v>
          </cell>
        </row>
        <row r="2601">
          <cell r="I2601">
            <v>0</v>
          </cell>
        </row>
        <row r="2602">
          <cell r="I2602">
            <v>0</v>
          </cell>
        </row>
        <row r="2603">
          <cell r="I2603">
            <v>0</v>
          </cell>
        </row>
        <row r="2604">
          <cell r="I2604">
            <v>0</v>
          </cell>
        </row>
        <row r="2605">
          <cell r="I2605">
            <v>0</v>
          </cell>
        </row>
        <row r="2606">
          <cell r="I2606">
            <v>0</v>
          </cell>
        </row>
        <row r="2607">
          <cell r="I2607">
            <v>0</v>
          </cell>
        </row>
        <row r="2608">
          <cell r="I2608">
            <v>0</v>
          </cell>
        </row>
        <row r="2609">
          <cell r="I2609">
            <v>0</v>
          </cell>
        </row>
        <row r="2610">
          <cell r="I2610">
            <v>0</v>
          </cell>
        </row>
        <row r="2611">
          <cell r="I2611">
            <v>0</v>
          </cell>
        </row>
        <row r="2612">
          <cell r="I2612">
            <v>0</v>
          </cell>
        </row>
        <row r="2613">
          <cell r="I2613">
            <v>0</v>
          </cell>
        </row>
        <row r="2614">
          <cell r="I2614">
            <v>0</v>
          </cell>
        </row>
        <row r="2615">
          <cell r="I2615">
            <v>0</v>
          </cell>
        </row>
        <row r="2616">
          <cell r="I2616">
            <v>0</v>
          </cell>
        </row>
        <row r="2617">
          <cell r="I2617">
            <v>0</v>
          </cell>
        </row>
        <row r="2618">
          <cell r="I2618">
            <v>0</v>
          </cell>
        </row>
        <row r="2619">
          <cell r="I2619">
            <v>0</v>
          </cell>
        </row>
        <row r="2620">
          <cell r="I2620">
            <v>0</v>
          </cell>
        </row>
        <row r="2621">
          <cell r="I2621">
            <v>0</v>
          </cell>
        </row>
        <row r="2622">
          <cell r="I2622">
            <v>0</v>
          </cell>
        </row>
        <row r="2623">
          <cell r="I2623">
            <v>0</v>
          </cell>
        </row>
        <row r="2624">
          <cell r="I2624">
            <v>0</v>
          </cell>
        </row>
        <row r="2625">
          <cell r="I2625">
            <v>0</v>
          </cell>
        </row>
        <row r="2626">
          <cell r="I2626">
            <v>0</v>
          </cell>
        </row>
        <row r="2627">
          <cell r="I2627">
            <v>0</v>
          </cell>
        </row>
        <row r="2628">
          <cell r="I2628">
            <v>0</v>
          </cell>
        </row>
        <row r="2629">
          <cell r="I2629">
            <v>0</v>
          </cell>
        </row>
        <row r="2630">
          <cell r="I2630">
            <v>0</v>
          </cell>
        </row>
        <row r="2631">
          <cell r="I2631">
            <v>0</v>
          </cell>
        </row>
        <row r="2632">
          <cell r="I2632">
            <v>0</v>
          </cell>
        </row>
        <row r="2633">
          <cell r="I2633">
            <v>0</v>
          </cell>
        </row>
        <row r="2634">
          <cell r="I2634">
            <v>0</v>
          </cell>
        </row>
        <row r="2635">
          <cell r="I2635">
            <v>0</v>
          </cell>
        </row>
        <row r="2636">
          <cell r="I2636">
            <v>0</v>
          </cell>
        </row>
        <row r="2637">
          <cell r="I2637">
            <v>0</v>
          </cell>
        </row>
        <row r="2638">
          <cell r="I2638">
            <v>0</v>
          </cell>
        </row>
        <row r="2639">
          <cell r="I2639">
            <v>0</v>
          </cell>
        </row>
        <row r="2640">
          <cell r="I2640">
            <v>0</v>
          </cell>
        </row>
        <row r="2641">
          <cell r="I2641">
            <v>0</v>
          </cell>
        </row>
        <row r="2642">
          <cell r="I2642">
            <v>0</v>
          </cell>
        </row>
        <row r="2643">
          <cell r="I2643">
            <v>0</v>
          </cell>
        </row>
        <row r="2644">
          <cell r="I2644">
            <v>0</v>
          </cell>
        </row>
        <row r="2645">
          <cell r="I2645">
            <v>0</v>
          </cell>
        </row>
        <row r="2646">
          <cell r="I2646">
            <v>0</v>
          </cell>
        </row>
        <row r="2647">
          <cell r="I2647">
            <v>0</v>
          </cell>
        </row>
        <row r="2648">
          <cell r="I2648">
            <v>0</v>
          </cell>
        </row>
        <row r="2649">
          <cell r="I2649">
            <v>0</v>
          </cell>
        </row>
        <row r="2650">
          <cell r="I2650">
            <v>0</v>
          </cell>
        </row>
        <row r="2651">
          <cell r="I2651">
            <v>0</v>
          </cell>
        </row>
        <row r="2652">
          <cell r="I2652">
            <v>0</v>
          </cell>
        </row>
        <row r="2653">
          <cell r="I2653">
            <v>0</v>
          </cell>
        </row>
        <row r="2654">
          <cell r="I2654">
            <v>0</v>
          </cell>
        </row>
        <row r="2655">
          <cell r="I2655">
            <v>0</v>
          </cell>
        </row>
        <row r="2656">
          <cell r="I2656">
            <v>0</v>
          </cell>
        </row>
        <row r="2657">
          <cell r="I2657">
            <v>0</v>
          </cell>
        </row>
        <row r="2658">
          <cell r="I2658">
            <v>0</v>
          </cell>
        </row>
        <row r="2659">
          <cell r="I2659">
            <v>0</v>
          </cell>
        </row>
        <row r="2660">
          <cell r="I2660">
            <v>0</v>
          </cell>
        </row>
        <row r="2661">
          <cell r="I2661">
            <v>0</v>
          </cell>
        </row>
        <row r="2662">
          <cell r="I2662">
            <v>0</v>
          </cell>
        </row>
        <row r="2663">
          <cell r="I2663">
            <v>0</v>
          </cell>
        </row>
        <row r="2664">
          <cell r="I2664">
            <v>0</v>
          </cell>
        </row>
        <row r="2665">
          <cell r="I2665">
            <v>0</v>
          </cell>
        </row>
        <row r="2666">
          <cell r="I2666">
            <v>0</v>
          </cell>
        </row>
        <row r="2667">
          <cell r="I2667">
            <v>0</v>
          </cell>
        </row>
        <row r="2668">
          <cell r="I2668">
            <v>0</v>
          </cell>
        </row>
        <row r="2669">
          <cell r="I2669">
            <v>0</v>
          </cell>
        </row>
        <row r="2670">
          <cell r="I2670">
            <v>0</v>
          </cell>
        </row>
        <row r="2671">
          <cell r="I2671">
            <v>0</v>
          </cell>
        </row>
        <row r="2672">
          <cell r="I2672">
            <v>0</v>
          </cell>
        </row>
        <row r="2673">
          <cell r="I2673">
            <v>0</v>
          </cell>
        </row>
        <row r="2674">
          <cell r="I2674">
            <v>0</v>
          </cell>
        </row>
        <row r="2675">
          <cell r="I2675">
            <v>0</v>
          </cell>
        </row>
        <row r="2676">
          <cell r="I2676">
            <v>0</v>
          </cell>
        </row>
        <row r="2677">
          <cell r="I2677">
            <v>0</v>
          </cell>
        </row>
        <row r="2678">
          <cell r="I2678">
            <v>0</v>
          </cell>
        </row>
        <row r="2679">
          <cell r="I2679">
            <v>0</v>
          </cell>
        </row>
        <row r="2680">
          <cell r="I2680">
            <v>0</v>
          </cell>
        </row>
        <row r="2681">
          <cell r="I2681">
            <v>0</v>
          </cell>
        </row>
        <row r="2682">
          <cell r="I2682">
            <v>0</v>
          </cell>
        </row>
        <row r="2683">
          <cell r="I2683">
            <v>0</v>
          </cell>
        </row>
        <row r="2684">
          <cell r="I2684">
            <v>0</v>
          </cell>
        </row>
        <row r="2685">
          <cell r="I2685">
            <v>0</v>
          </cell>
        </row>
        <row r="2686">
          <cell r="I2686">
            <v>0</v>
          </cell>
        </row>
        <row r="2687">
          <cell r="I2687">
            <v>0</v>
          </cell>
        </row>
        <row r="2688">
          <cell r="I2688">
            <v>0</v>
          </cell>
        </row>
        <row r="2689">
          <cell r="I2689">
            <v>0</v>
          </cell>
        </row>
        <row r="2690">
          <cell r="I2690">
            <v>0</v>
          </cell>
        </row>
        <row r="2691">
          <cell r="I2691">
            <v>0</v>
          </cell>
        </row>
        <row r="2692">
          <cell r="I2692">
            <v>0</v>
          </cell>
        </row>
        <row r="2693">
          <cell r="I2693">
            <v>0</v>
          </cell>
        </row>
        <row r="2694">
          <cell r="I2694">
            <v>0</v>
          </cell>
        </row>
        <row r="2695">
          <cell r="I2695">
            <v>0</v>
          </cell>
        </row>
        <row r="2696">
          <cell r="I2696">
            <v>0</v>
          </cell>
        </row>
        <row r="2697">
          <cell r="I2697">
            <v>0</v>
          </cell>
        </row>
        <row r="2698">
          <cell r="I2698">
            <v>0</v>
          </cell>
        </row>
        <row r="2699">
          <cell r="I2699">
            <v>0</v>
          </cell>
        </row>
        <row r="2700">
          <cell r="I2700">
            <v>0</v>
          </cell>
        </row>
        <row r="2701">
          <cell r="I2701">
            <v>0</v>
          </cell>
        </row>
        <row r="2702">
          <cell r="I2702">
            <v>0</v>
          </cell>
        </row>
        <row r="2703">
          <cell r="I2703">
            <v>0</v>
          </cell>
        </row>
        <row r="2704">
          <cell r="I2704">
            <v>0</v>
          </cell>
        </row>
        <row r="2705">
          <cell r="I2705">
            <v>0</v>
          </cell>
        </row>
        <row r="2706">
          <cell r="I2706">
            <v>0</v>
          </cell>
        </row>
        <row r="2707">
          <cell r="I2707">
            <v>0</v>
          </cell>
        </row>
        <row r="2708">
          <cell r="I2708">
            <v>0</v>
          </cell>
        </row>
        <row r="2709">
          <cell r="I2709">
            <v>0</v>
          </cell>
        </row>
        <row r="2710">
          <cell r="I2710">
            <v>0</v>
          </cell>
        </row>
        <row r="2711">
          <cell r="I2711">
            <v>0</v>
          </cell>
        </row>
        <row r="2712">
          <cell r="I2712">
            <v>0</v>
          </cell>
        </row>
        <row r="2713">
          <cell r="I2713">
            <v>0</v>
          </cell>
        </row>
        <row r="2714">
          <cell r="I2714">
            <v>0</v>
          </cell>
        </row>
        <row r="2715">
          <cell r="I2715">
            <v>0</v>
          </cell>
        </row>
        <row r="2716">
          <cell r="I2716">
            <v>0</v>
          </cell>
        </row>
        <row r="2717">
          <cell r="I2717">
            <v>0</v>
          </cell>
        </row>
        <row r="2718">
          <cell r="I2718">
            <v>0</v>
          </cell>
        </row>
        <row r="2719">
          <cell r="I2719">
            <v>0</v>
          </cell>
        </row>
        <row r="2720">
          <cell r="I2720">
            <v>0</v>
          </cell>
        </row>
        <row r="2721">
          <cell r="I2721">
            <v>0</v>
          </cell>
        </row>
        <row r="2722">
          <cell r="I2722">
            <v>0</v>
          </cell>
        </row>
        <row r="2723">
          <cell r="I2723">
            <v>0</v>
          </cell>
        </row>
        <row r="2724">
          <cell r="I2724">
            <v>0</v>
          </cell>
        </row>
        <row r="2725">
          <cell r="I2725">
            <v>0</v>
          </cell>
        </row>
        <row r="2726">
          <cell r="I2726">
            <v>0</v>
          </cell>
        </row>
        <row r="2727">
          <cell r="I2727">
            <v>0</v>
          </cell>
        </row>
        <row r="2728">
          <cell r="I2728">
            <v>0</v>
          </cell>
        </row>
        <row r="2729">
          <cell r="I2729">
            <v>0</v>
          </cell>
        </row>
        <row r="2730">
          <cell r="I2730">
            <v>0</v>
          </cell>
        </row>
        <row r="2731">
          <cell r="I2731">
            <v>0</v>
          </cell>
        </row>
        <row r="2732">
          <cell r="I2732">
            <v>0</v>
          </cell>
        </row>
        <row r="2733">
          <cell r="I2733">
            <v>0</v>
          </cell>
        </row>
        <row r="2734">
          <cell r="I2734">
            <v>0</v>
          </cell>
        </row>
        <row r="2735">
          <cell r="I2735">
            <v>0</v>
          </cell>
        </row>
        <row r="2736">
          <cell r="I2736">
            <v>0</v>
          </cell>
        </row>
        <row r="2737">
          <cell r="I2737">
            <v>0</v>
          </cell>
        </row>
        <row r="2738">
          <cell r="I2738">
            <v>0</v>
          </cell>
        </row>
        <row r="2739">
          <cell r="I2739">
            <v>0</v>
          </cell>
        </row>
        <row r="2740">
          <cell r="I2740">
            <v>0</v>
          </cell>
        </row>
        <row r="2741">
          <cell r="I2741">
            <v>0</v>
          </cell>
        </row>
        <row r="2742">
          <cell r="I2742">
            <v>0</v>
          </cell>
        </row>
        <row r="2743">
          <cell r="I2743">
            <v>0</v>
          </cell>
        </row>
        <row r="2744">
          <cell r="I2744">
            <v>0</v>
          </cell>
        </row>
        <row r="2745">
          <cell r="I2745">
            <v>0</v>
          </cell>
        </row>
        <row r="2746">
          <cell r="I2746">
            <v>0</v>
          </cell>
        </row>
        <row r="2747">
          <cell r="I2747">
            <v>0</v>
          </cell>
        </row>
        <row r="2748">
          <cell r="I2748">
            <v>0</v>
          </cell>
        </row>
        <row r="2749">
          <cell r="I2749">
            <v>0</v>
          </cell>
        </row>
        <row r="2750">
          <cell r="I2750">
            <v>0</v>
          </cell>
        </row>
        <row r="2751">
          <cell r="I2751">
            <v>0</v>
          </cell>
        </row>
        <row r="2752">
          <cell r="I2752">
            <v>0</v>
          </cell>
        </row>
        <row r="2753">
          <cell r="I2753">
            <v>0</v>
          </cell>
        </row>
        <row r="2754">
          <cell r="I2754">
            <v>0</v>
          </cell>
        </row>
        <row r="2755">
          <cell r="I2755">
            <v>0</v>
          </cell>
        </row>
        <row r="2756">
          <cell r="I2756">
            <v>0</v>
          </cell>
        </row>
        <row r="2757">
          <cell r="I2757">
            <v>0</v>
          </cell>
        </row>
        <row r="2758">
          <cell r="I2758">
            <v>0</v>
          </cell>
        </row>
        <row r="2759">
          <cell r="I2759">
            <v>0</v>
          </cell>
        </row>
        <row r="2760">
          <cell r="I2760">
            <v>0</v>
          </cell>
        </row>
        <row r="2761">
          <cell r="I2761">
            <v>0</v>
          </cell>
        </row>
        <row r="2762">
          <cell r="I2762">
            <v>0</v>
          </cell>
        </row>
        <row r="2763">
          <cell r="I2763">
            <v>0</v>
          </cell>
        </row>
        <row r="2764">
          <cell r="I2764">
            <v>0</v>
          </cell>
        </row>
        <row r="2765">
          <cell r="I2765">
            <v>0</v>
          </cell>
        </row>
        <row r="2766">
          <cell r="I2766">
            <v>0</v>
          </cell>
        </row>
        <row r="2767">
          <cell r="I2767">
            <v>0</v>
          </cell>
        </row>
        <row r="2768">
          <cell r="I2768">
            <v>0</v>
          </cell>
        </row>
        <row r="2769">
          <cell r="I2769">
            <v>0</v>
          </cell>
        </row>
        <row r="2770">
          <cell r="I2770">
            <v>0</v>
          </cell>
        </row>
        <row r="2771">
          <cell r="I2771">
            <v>0</v>
          </cell>
        </row>
        <row r="2772">
          <cell r="I2772">
            <v>0</v>
          </cell>
        </row>
        <row r="2773">
          <cell r="I2773">
            <v>0</v>
          </cell>
        </row>
        <row r="2774">
          <cell r="I2774">
            <v>0</v>
          </cell>
        </row>
        <row r="2775">
          <cell r="I2775">
            <v>0</v>
          </cell>
        </row>
        <row r="2776">
          <cell r="I2776">
            <v>0</v>
          </cell>
        </row>
        <row r="2777">
          <cell r="I2777">
            <v>0</v>
          </cell>
        </row>
        <row r="2778">
          <cell r="I2778">
            <v>0</v>
          </cell>
        </row>
        <row r="2779">
          <cell r="I2779">
            <v>0</v>
          </cell>
        </row>
        <row r="2780">
          <cell r="I2780">
            <v>0</v>
          </cell>
        </row>
        <row r="2781">
          <cell r="I2781">
            <v>0</v>
          </cell>
        </row>
        <row r="2782">
          <cell r="I2782">
            <v>0</v>
          </cell>
        </row>
        <row r="2783">
          <cell r="I2783">
            <v>0</v>
          </cell>
        </row>
        <row r="2784">
          <cell r="I2784">
            <v>0</v>
          </cell>
        </row>
        <row r="2785">
          <cell r="I2785">
            <v>0</v>
          </cell>
        </row>
        <row r="2786">
          <cell r="I2786">
            <v>0</v>
          </cell>
        </row>
        <row r="2787">
          <cell r="I2787">
            <v>0</v>
          </cell>
        </row>
        <row r="2788">
          <cell r="I2788">
            <v>0</v>
          </cell>
        </row>
        <row r="2789">
          <cell r="I2789">
            <v>0</v>
          </cell>
        </row>
        <row r="2790">
          <cell r="I2790">
            <v>0</v>
          </cell>
        </row>
        <row r="2791">
          <cell r="I2791">
            <v>0</v>
          </cell>
        </row>
        <row r="2792">
          <cell r="I2792">
            <v>0</v>
          </cell>
        </row>
        <row r="2793">
          <cell r="I2793">
            <v>0</v>
          </cell>
        </row>
        <row r="2794">
          <cell r="I2794">
            <v>0</v>
          </cell>
        </row>
        <row r="2795">
          <cell r="I2795">
            <v>0</v>
          </cell>
        </row>
        <row r="2796">
          <cell r="I2796">
            <v>0</v>
          </cell>
        </row>
        <row r="2797">
          <cell r="I2797">
            <v>0</v>
          </cell>
        </row>
        <row r="2798">
          <cell r="I2798">
            <v>0</v>
          </cell>
        </row>
        <row r="2799">
          <cell r="I2799">
            <v>0</v>
          </cell>
        </row>
        <row r="2800">
          <cell r="I2800">
            <v>0</v>
          </cell>
        </row>
        <row r="2801">
          <cell r="I2801">
            <v>0</v>
          </cell>
        </row>
        <row r="2802">
          <cell r="I2802">
            <v>0</v>
          </cell>
        </row>
        <row r="2803">
          <cell r="I2803">
            <v>0</v>
          </cell>
        </row>
        <row r="2804">
          <cell r="I2804">
            <v>0</v>
          </cell>
        </row>
        <row r="2805">
          <cell r="I2805">
            <v>0</v>
          </cell>
        </row>
        <row r="2806">
          <cell r="I2806">
            <v>0</v>
          </cell>
        </row>
        <row r="2807">
          <cell r="I2807">
            <v>0</v>
          </cell>
        </row>
        <row r="2808">
          <cell r="I2808">
            <v>0</v>
          </cell>
        </row>
        <row r="2809">
          <cell r="I2809">
            <v>0</v>
          </cell>
        </row>
        <row r="2810">
          <cell r="I2810">
            <v>0</v>
          </cell>
        </row>
        <row r="2811">
          <cell r="I2811">
            <v>0</v>
          </cell>
        </row>
        <row r="2812">
          <cell r="I2812">
            <v>0</v>
          </cell>
        </row>
        <row r="2813">
          <cell r="I2813">
            <v>0</v>
          </cell>
        </row>
        <row r="2814">
          <cell r="I2814">
            <v>0</v>
          </cell>
        </row>
        <row r="2815">
          <cell r="I2815">
            <v>0</v>
          </cell>
        </row>
        <row r="2816">
          <cell r="I2816">
            <v>0</v>
          </cell>
        </row>
        <row r="2817">
          <cell r="I2817">
            <v>0</v>
          </cell>
        </row>
        <row r="2818">
          <cell r="I2818">
            <v>0</v>
          </cell>
        </row>
        <row r="2819">
          <cell r="I2819">
            <v>0</v>
          </cell>
        </row>
        <row r="2820">
          <cell r="I2820">
            <v>0</v>
          </cell>
        </row>
        <row r="2821">
          <cell r="I2821">
            <v>0</v>
          </cell>
        </row>
        <row r="2822">
          <cell r="I2822">
            <v>0</v>
          </cell>
        </row>
        <row r="2823">
          <cell r="I2823">
            <v>0</v>
          </cell>
        </row>
        <row r="2824">
          <cell r="I2824">
            <v>0</v>
          </cell>
        </row>
        <row r="2825">
          <cell r="I2825">
            <v>0</v>
          </cell>
        </row>
        <row r="2826">
          <cell r="I2826">
            <v>0</v>
          </cell>
        </row>
        <row r="2827">
          <cell r="I2827">
            <v>0</v>
          </cell>
        </row>
        <row r="2828">
          <cell r="I2828">
            <v>0</v>
          </cell>
        </row>
        <row r="2829">
          <cell r="I2829">
            <v>0</v>
          </cell>
        </row>
        <row r="2830">
          <cell r="I2830">
            <v>0</v>
          </cell>
        </row>
        <row r="2831">
          <cell r="I2831">
            <v>0</v>
          </cell>
        </row>
        <row r="2832">
          <cell r="I2832">
            <v>0</v>
          </cell>
        </row>
        <row r="2833">
          <cell r="I2833">
            <v>0</v>
          </cell>
        </row>
        <row r="2834">
          <cell r="I2834">
            <v>0</v>
          </cell>
        </row>
        <row r="2835">
          <cell r="I2835">
            <v>0</v>
          </cell>
        </row>
        <row r="2836">
          <cell r="I2836">
            <v>0</v>
          </cell>
        </row>
        <row r="2837">
          <cell r="I2837">
            <v>0</v>
          </cell>
        </row>
        <row r="2838">
          <cell r="I2838">
            <v>0</v>
          </cell>
        </row>
        <row r="2839">
          <cell r="I2839">
            <v>0</v>
          </cell>
        </row>
        <row r="2840">
          <cell r="I2840">
            <v>0</v>
          </cell>
        </row>
        <row r="2841">
          <cell r="I2841">
            <v>0</v>
          </cell>
        </row>
        <row r="2842">
          <cell r="I2842">
            <v>0</v>
          </cell>
        </row>
        <row r="2843">
          <cell r="I2843">
            <v>0</v>
          </cell>
        </row>
        <row r="2844">
          <cell r="I2844">
            <v>0</v>
          </cell>
        </row>
        <row r="2845">
          <cell r="I2845">
            <v>0</v>
          </cell>
        </row>
        <row r="2846">
          <cell r="I2846">
            <v>0</v>
          </cell>
        </row>
        <row r="2847">
          <cell r="I2847">
            <v>0</v>
          </cell>
        </row>
        <row r="2848">
          <cell r="I2848">
            <v>0</v>
          </cell>
        </row>
        <row r="2849">
          <cell r="I2849">
            <v>0</v>
          </cell>
        </row>
        <row r="2850">
          <cell r="I2850">
            <v>0</v>
          </cell>
        </row>
        <row r="2851">
          <cell r="I2851">
            <v>0</v>
          </cell>
        </row>
        <row r="2852">
          <cell r="I2852">
            <v>0</v>
          </cell>
        </row>
        <row r="2853">
          <cell r="I2853">
            <v>0</v>
          </cell>
        </row>
        <row r="2854">
          <cell r="I2854">
            <v>0</v>
          </cell>
        </row>
        <row r="2855">
          <cell r="I2855">
            <v>0</v>
          </cell>
        </row>
        <row r="2856">
          <cell r="I2856">
            <v>0</v>
          </cell>
        </row>
        <row r="2857">
          <cell r="I2857">
            <v>0</v>
          </cell>
        </row>
        <row r="2858">
          <cell r="I2858">
            <v>0</v>
          </cell>
        </row>
        <row r="2859">
          <cell r="I2859">
            <v>0</v>
          </cell>
        </row>
        <row r="2860">
          <cell r="I2860">
            <v>0</v>
          </cell>
        </row>
        <row r="2861">
          <cell r="I2861">
            <v>0</v>
          </cell>
        </row>
        <row r="2862">
          <cell r="I2862">
            <v>0</v>
          </cell>
        </row>
        <row r="2863">
          <cell r="I2863">
            <v>0</v>
          </cell>
        </row>
        <row r="2864">
          <cell r="I2864">
            <v>0</v>
          </cell>
        </row>
        <row r="2865">
          <cell r="I2865">
            <v>0</v>
          </cell>
        </row>
        <row r="2866">
          <cell r="I2866">
            <v>0</v>
          </cell>
        </row>
        <row r="2867">
          <cell r="I2867">
            <v>0</v>
          </cell>
        </row>
        <row r="2868">
          <cell r="I2868">
            <v>0</v>
          </cell>
        </row>
        <row r="2869">
          <cell r="I2869">
            <v>0</v>
          </cell>
        </row>
        <row r="2870">
          <cell r="I2870">
            <v>0</v>
          </cell>
        </row>
        <row r="2871">
          <cell r="I2871">
            <v>0</v>
          </cell>
        </row>
        <row r="2872">
          <cell r="I2872">
            <v>0</v>
          </cell>
        </row>
        <row r="2873">
          <cell r="I2873">
            <v>0</v>
          </cell>
        </row>
        <row r="2874">
          <cell r="I2874">
            <v>0</v>
          </cell>
        </row>
        <row r="2875">
          <cell r="I2875">
            <v>0</v>
          </cell>
        </row>
        <row r="2876">
          <cell r="I2876">
            <v>0</v>
          </cell>
        </row>
        <row r="2877">
          <cell r="I2877">
            <v>0</v>
          </cell>
        </row>
        <row r="2878">
          <cell r="I2878">
            <v>0</v>
          </cell>
        </row>
        <row r="2879">
          <cell r="I2879">
            <v>0</v>
          </cell>
        </row>
        <row r="2880">
          <cell r="I2880">
            <v>0</v>
          </cell>
        </row>
        <row r="2881">
          <cell r="I2881">
            <v>0</v>
          </cell>
        </row>
        <row r="2882">
          <cell r="I2882">
            <v>0</v>
          </cell>
        </row>
        <row r="2883">
          <cell r="I2883">
            <v>0</v>
          </cell>
        </row>
        <row r="2884">
          <cell r="I2884">
            <v>0</v>
          </cell>
        </row>
        <row r="2885">
          <cell r="I2885">
            <v>0</v>
          </cell>
        </row>
        <row r="2886">
          <cell r="I2886">
            <v>0</v>
          </cell>
        </row>
        <row r="2887">
          <cell r="I2887">
            <v>0</v>
          </cell>
        </row>
        <row r="2888">
          <cell r="I2888">
            <v>0</v>
          </cell>
        </row>
        <row r="2889">
          <cell r="I2889">
            <v>0</v>
          </cell>
        </row>
        <row r="2890">
          <cell r="I2890">
            <v>0</v>
          </cell>
        </row>
        <row r="2891">
          <cell r="I2891">
            <v>0</v>
          </cell>
        </row>
        <row r="2892">
          <cell r="I2892">
            <v>0</v>
          </cell>
        </row>
        <row r="2893">
          <cell r="I2893">
            <v>0</v>
          </cell>
        </row>
        <row r="2894">
          <cell r="I2894">
            <v>0</v>
          </cell>
        </row>
        <row r="2895">
          <cell r="I2895">
            <v>0</v>
          </cell>
        </row>
        <row r="2896">
          <cell r="I2896">
            <v>0</v>
          </cell>
        </row>
        <row r="2897">
          <cell r="I2897">
            <v>0</v>
          </cell>
        </row>
        <row r="2898">
          <cell r="I2898">
            <v>0</v>
          </cell>
        </row>
        <row r="2899">
          <cell r="I2899">
            <v>0</v>
          </cell>
        </row>
        <row r="2900">
          <cell r="I2900">
            <v>0</v>
          </cell>
        </row>
        <row r="2901">
          <cell r="I2901">
            <v>0</v>
          </cell>
        </row>
        <row r="2902">
          <cell r="I2902">
            <v>0</v>
          </cell>
        </row>
        <row r="2903">
          <cell r="I2903">
            <v>0</v>
          </cell>
        </row>
        <row r="2904">
          <cell r="I2904">
            <v>0</v>
          </cell>
        </row>
        <row r="2905">
          <cell r="I2905">
            <v>0</v>
          </cell>
        </row>
        <row r="2906">
          <cell r="I2906">
            <v>0</v>
          </cell>
        </row>
        <row r="2907">
          <cell r="I2907">
            <v>0</v>
          </cell>
        </row>
        <row r="2908">
          <cell r="I2908">
            <v>0</v>
          </cell>
        </row>
        <row r="2909">
          <cell r="I2909">
            <v>0</v>
          </cell>
        </row>
        <row r="2910">
          <cell r="I2910">
            <v>0</v>
          </cell>
        </row>
        <row r="2911">
          <cell r="I2911">
            <v>0</v>
          </cell>
        </row>
        <row r="2912">
          <cell r="I2912">
            <v>0</v>
          </cell>
        </row>
        <row r="2913">
          <cell r="I2913">
            <v>0</v>
          </cell>
        </row>
        <row r="2914">
          <cell r="I2914">
            <v>0</v>
          </cell>
        </row>
        <row r="2915">
          <cell r="I2915">
            <v>0</v>
          </cell>
        </row>
        <row r="2916">
          <cell r="I2916">
            <v>0</v>
          </cell>
        </row>
        <row r="2917">
          <cell r="I2917">
            <v>0</v>
          </cell>
        </row>
        <row r="2918">
          <cell r="I2918">
            <v>0</v>
          </cell>
        </row>
        <row r="2919">
          <cell r="I2919">
            <v>0</v>
          </cell>
        </row>
        <row r="2920">
          <cell r="I2920">
            <v>0</v>
          </cell>
        </row>
        <row r="2921">
          <cell r="I2921">
            <v>0</v>
          </cell>
        </row>
        <row r="2922">
          <cell r="I2922">
            <v>0</v>
          </cell>
        </row>
        <row r="2923">
          <cell r="I2923">
            <v>0</v>
          </cell>
        </row>
        <row r="2924">
          <cell r="I2924">
            <v>0</v>
          </cell>
        </row>
        <row r="2925">
          <cell r="I2925">
            <v>0</v>
          </cell>
        </row>
        <row r="2926">
          <cell r="I2926">
            <v>0</v>
          </cell>
        </row>
        <row r="2927">
          <cell r="I2927">
            <v>0</v>
          </cell>
        </row>
        <row r="2928">
          <cell r="I2928">
            <v>0</v>
          </cell>
        </row>
        <row r="2929">
          <cell r="I2929">
            <v>0</v>
          </cell>
        </row>
        <row r="2930">
          <cell r="I2930">
            <v>0</v>
          </cell>
        </row>
        <row r="2931">
          <cell r="I2931">
            <v>0</v>
          </cell>
        </row>
        <row r="2932">
          <cell r="I2932">
            <v>0</v>
          </cell>
        </row>
        <row r="2933">
          <cell r="I2933">
            <v>0</v>
          </cell>
        </row>
        <row r="2934">
          <cell r="I2934">
            <v>0</v>
          </cell>
        </row>
        <row r="2935">
          <cell r="I2935">
            <v>0</v>
          </cell>
        </row>
        <row r="2936">
          <cell r="I2936">
            <v>0</v>
          </cell>
        </row>
        <row r="2937">
          <cell r="I2937">
            <v>0</v>
          </cell>
        </row>
        <row r="2938">
          <cell r="I2938">
            <v>0</v>
          </cell>
        </row>
        <row r="2939">
          <cell r="I2939">
            <v>0</v>
          </cell>
        </row>
        <row r="2940">
          <cell r="I2940">
            <v>0</v>
          </cell>
        </row>
        <row r="2941">
          <cell r="I2941">
            <v>0</v>
          </cell>
        </row>
        <row r="2942">
          <cell r="I2942">
            <v>0</v>
          </cell>
        </row>
        <row r="2943">
          <cell r="I2943">
            <v>0</v>
          </cell>
        </row>
        <row r="2944">
          <cell r="I2944">
            <v>0</v>
          </cell>
        </row>
        <row r="2945">
          <cell r="I2945">
            <v>0</v>
          </cell>
        </row>
        <row r="2946">
          <cell r="I2946">
            <v>0</v>
          </cell>
        </row>
        <row r="2947">
          <cell r="I2947">
            <v>0</v>
          </cell>
        </row>
        <row r="2948">
          <cell r="I2948">
            <v>0</v>
          </cell>
        </row>
        <row r="2949">
          <cell r="I2949">
            <v>0</v>
          </cell>
        </row>
        <row r="2950">
          <cell r="I2950">
            <v>0</v>
          </cell>
        </row>
        <row r="2951">
          <cell r="I2951">
            <v>0</v>
          </cell>
        </row>
        <row r="2952">
          <cell r="I2952">
            <v>0</v>
          </cell>
        </row>
        <row r="2953">
          <cell r="I2953">
            <v>0</v>
          </cell>
        </row>
        <row r="2954">
          <cell r="I2954">
            <v>0</v>
          </cell>
        </row>
        <row r="2955">
          <cell r="I2955">
            <v>0</v>
          </cell>
        </row>
        <row r="2956">
          <cell r="I2956">
            <v>0</v>
          </cell>
        </row>
        <row r="2957">
          <cell r="I2957">
            <v>0</v>
          </cell>
        </row>
        <row r="2958">
          <cell r="I2958">
            <v>0</v>
          </cell>
        </row>
        <row r="2959">
          <cell r="I2959">
            <v>0</v>
          </cell>
        </row>
        <row r="2960">
          <cell r="I2960">
            <v>0</v>
          </cell>
        </row>
        <row r="2961">
          <cell r="I2961">
            <v>0</v>
          </cell>
        </row>
        <row r="2962">
          <cell r="I2962">
            <v>0</v>
          </cell>
        </row>
        <row r="2963">
          <cell r="I2963">
            <v>0</v>
          </cell>
        </row>
        <row r="2964">
          <cell r="I2964">
            <v>0</v>
          </cell>
        </row>
        <row r="2965">
          <cell r="I2965">
            <v>0</v>
          </cell>
        </row>
        <row r="2966">
          <cell r="I2966">
            <v>0</v>
          </cell>
        </row>
        <row r="2967">
          <cell r="I2967">
            <v>0</v>
          </cell>
        </row>
        <row r="2968">
          <cell r="I2968">
            <v>0</v>
          </cell>
        </row>
        <row r="2969">
          <cell r="I2969">
            <v>0</v>
          </cell>
        </row>
        <row r="2970">
          <cell r="I2970">
            <v>0</v>
          </cell>
        </row>
        <row r="2971">
          <cell r="I2971">
            <v>0</v>
          </cell>
        </row>
        <row r="2972">
          <cell r="I2972">
            <v>0</v>
          </cell>
        </row>
        <row r="2973">
          <cell r="I2973">
            <v>0</v>
          </cell>
        </row>
        <row r="2974">
          <cell r="I2974">
            <v>0</v>
          </cell>
        </row>
        <row r="2975">
          <cell r="I2975">
            <v>0</v>
          </cell>
        </row>
        <row r="2976">
          <cell r="I2976">
            <v>0</v>
          </cell>
        </row>
        <row r="2977">
          <cell r="I2977">
            <v>0</v>
          </cell>
        </row>
        <row r="2978">
          <cell r="I2978">
            <v>0</v>
          </cell>
        </row>
        <row r="2979">
          <cell r="I2979">
            <v>0</v>
          </cell>
        </row>
        <row r="2980">
          <cell r="I2980">
            <v>0</v>
          </cell>
        </row>
        <row r="2981">
          <cell r="I2981">
            <v>0</v>
          </cell>
        </row>
        <row r="2982">
          <cell r="I2982">
            <v>0</v>
          </cell>
        </row>
        <row r="2983">
          <cell r="I2983">
            <v>0</v>
          </cell>
        </row>
        <row r="2984">
          <cell r="I2984">
            <v>0</v>
          </cell>
        </row>
        <row r="2985">
          <cell r="I2985">
            <v>0</v>
          </cell>
        </row>
        <row r="2986">
          <cell r="I2986">
            <v>0</v>
          </cell>
        </row>
        <row r="2987">
          <cell r="I2987">
            <v>0</v>
          </cell>
        </row>
        <row r="2988">
          <cell r="I2988">
            <v>0</v>
          </cell>
        </row>
        <row r="2989">
          <cell r="I2989">
            <v>0</v>
          </cell>
        </row>
        <row r="2990">
          <cell r="I2990">
            <v>0</v>
          </cell>
        </row>
        <row r="2991">
          <cell r="I2991">
            <v>0</v>
          </cell>
        </row>
        <row r="2992">
          <cell r="I2992">
            <v>0</v>
          </cell>
        </row>
        <row r="2993">
          <cell r="I2993">
            <v>0</v>
          </cell>
        </row>
        <row r="2994">
          <cell r="I2994">
            <v>0</v>
          </cell>
        </row>
        <row r="2995">
          <cell r="I2995">
            <v>0</v>
          </cell>
        </row>
        <row r="2996">
          <cell r="I2996">
            <v>0</v>
          </cell>
        </row>
        <row r="2997">
          <cell r="I2997">
            <v>0</v>
          </cell>
        </row>
        <row r="2998">
          <cell r="I2998">
            <v>0</v>
          </cell>
        </row>
        <row r="2999">
          <cell r="I2999">
            <v>0</v>
          </cell>
        </row>
        <row r="3000">
          <cell r="I3000">
            <v>0</v>
          </cell>
        </row>
        <row r="3001">
          <cell r="I3001">
            <v>0</v>
          </cell>
        </row>
        <row r="3002">
          <cell r="I3002">
            <v>0</v>
          </cell>
        </row>
        <row r="3003">
          <cell r="I3003">
            <v>0</v>
          </cell>
        </row>
        <row r="3004">
          <cell r="I3004">
            <v>0</v>
          </cell>
        </row>
        <row r="3005">
          <cell r="I3005">
            <v>0</v>
          </cell>
        </row>
        <row r="3006">
          <cell r="I3006">
            <v>0</v>
          </cell>
        </row>
        <row r="3007">
          <cell r="I3007">
            <v>0</v>
          </cell>
        </row>
        <row r="3008">
          <cell r="I3008">
            <v>0</v>
          </cell>
        </row>
        <row r="3009">
          <cell r="I3009">
            <v>0</v>
          </cell>
        </row>
        <row r="3010">
          <cell r="I3010">
            <v>0</v>
          </cell>
        </row>
        <row r="3011">
          <cell r="I3011">
            <v>0</v>
          </cell>
        </row>
        <row r="3012">
          <cell r="I3012">
            <v>0</v>
          </cell>
        </row>
        <row r="3013">
          <cell r="I3013">
            <v>0</v>
          </cell>
        </row>
        <row r="3014">
          <cell r="I3014">
            <v>0</v>
          </cell>
        </row>
        <row r="3015">
          <cell r="I3015">
            <v>0</v>
          </cell>
        </row>
        <row r="3016">
          <cell r="I3016">
            <v>0</v>
          </cell>
        </row>
        <row r="3017">
          <cell r="I3017">
            <v>0</v>
          </cell>
        </row>
        <row r="3018">
          <cell r="I3018">
            <v>0</v>
          </cell>
        </row>
        <row r="3019">
          <cell r="I3019">
            <v>0</v>
          </cell>
        </row>
        <row r="3020">
          <cell r="I3020">
            <v>0</v>
          </cell>
        </row>
        <row r="3021">
          <cell r="I3021">
            <v>0</v>
          </cell>
        </row>
        <row r="3022">
          <cell r="I3022">
            <v>0</v>
          </cell>
        </row>
        <row r="3023">
          <cell r="I3023">
            <v>0</v>
          </cell>
        </row>
        <row r="3024">
          <cell r="I3024">
            <v>0</v>
          </cell>
        </row>
        <row r="3025">
          <cell r="I3025">
            <v>0</v>
          </cell>
        </row>
        <row r="3026">
          <cell r="I3026">
            <v>0</v>
          </cell>
        </row>
        <row r="3027">
          <cell r="I3027">
            <v>0</v>
          </cell>
        </row>
        <row r="3028">
          <cell r="I3028">
            <v>0</v>
          </cell>
        </row>
        <row r="3029">
          <cell r="I3029">
            <v>0</v>
          </cell>
        </row>
        <row r="3030">
          <cell r="I3030">
            <v>0</v>
          </cell>
        </row>
        <row r="3031">
          <cell r="I3031">
            <v>0</v>
          </cell>
        </row>
        <row r="3032">
          <cell r="I3032">
            <v>0</v>
          </cell>
        </row>
        <row r="3033">
          <cell r="I3033">
            <v>0</v>
          </cell>
        </row>
        <row r="3034">
          <cell r="I3034">
            <v>0</v>
          </cell>
        </row>
        <row r="3035">
          <cell r="I3035">
            <v>0</v>
          </cell>
        </row>
        <row r="3036">
          <cell r="I3036">
            <v>0</v>
          </cell>
        </row>
        <row r="3037">
          <cell r="I3037">
            <v>0</v>
          </cell>
        </row>
        <row r="3038">
          <cell r="I3038">
            <v>0</v>
          </cell>
        </row>
        <row r="3039">
          <cell r="I3039">
            <v>0</v>
          </cell>
        </row>
        <row r="3040">
          <cell r="I3040">
            <v>0</v>
          </cell>
        </row>
        <row r="3041">
          <cell r="I3041">
            <v>0</v>
          </cell>
        </row>
        <row r="3042">
          <cell r="I3042">
            <v>0</v>
          </cell>
        </row>
        <row r="3043">
          <cell r="I3043">
            <v>0</v>
          </cell>
        </row>
        <row r="3044">
          <cell r="I3044">
            <v>0</v>
          </cell>
        </row>
        <row r="3045">
          <cell r="I3045">
            <v>0</v>
          </cell>
        </row>
        <row r="3046">
          <cell r="I3046">
            <v>0</v>
          </cell>
        </row>
        <row r="3047">
          <cell r="I3047">
            <v>0</v>
          </cell>
        </row>
        <row r="3048">
          <cell r="I3048">
            <v>0</v>
          </cell>
        </row>
        <row r="3049">
          <cell r="I3049">
            <v>0</v>
          </cell>
        </row>
        <row r="3050">
          <cell r="I3050">
            <v>0</v>
          </cell>
        </row>
        <row r="3051">
          <cell r="I3051">
            <v>0</v>
          </cell>
        </row>
        <row r="3052">
          <cell r="I3052">
            <v>0</v>
          </cell>
        </row>
        <row r="3053">
          <cell r="I3053">
            <v>0</v>
          </cell>
        </row>
        <row r="3054">
          <cell r="I3054">
            <v>0</v>
          </cell>
        </row>
        <row r="3055">
          <cell r="I3055">
            <v>0</v>
          </cell>
        </row>
        <row r="3056">
          <cell r="I3056">
            <v>0</v>
          </cell>
        </row>
        <row r="3057">
          <cell r="I3057">
            <v>0</v>
          </cell>
        </row>
        <row r="3058">
          <cell r="I3058">
            <v>0</v>
          </cell>
        </row>
        <row r="3059">
          <cell r="I3059">
            <v>0</v>
          </cell>
        </row>
        <row r="3060">
          <cell r="I3060">
            <v>0</v>
          </cell>
        </row>
        <row r="3061">
          <cell r="I3061">
            <v>0</v>
          </cell>
        </row>
        <row r="3062">
          <cell r="I3062">
            <v>0</v>
          </cell>
        </row>
        <row r="3063">
          <cell r="I3063">
            <v>0</v>
          </cell>
        </row>
        <row r="3064">
          <cell r="I3064">
            <v>0</v>
          </cell>
        </row>
        <row r="3065">
          <cell r="I3065">
            <v>0</v>
          </cell>
        </row>
        <row r="3066">
          <cell r="I3066">
            <v>0</v>
          </cell>
        </row>
        <row r="3067">
          <cell r="I3067">
            <v>0</v>
          </cell>
        </row>
        <row r="3068">
          <cell r="I3068">
            <v>0</v>
          </cell>
        </row>
        <row r="3069">
          <cell r="I3069">
            <v>0</v>
          </cell>
        </row>
        <row r="3070">
          <cell r="I3070">
            <v>0</v>
          </cell>
        </row>
        <row r="3071">
          <cell r="I3071">
            <v>0</v>
          </cell>
        </row>
        <row r="3072">
          <cell r="I3072">
            <v>0</v>
          </cell>
        </row>
        <row r="3073">
          <cell r="I3073">
            <v>0</v>
          </cell>
        </row>
        <row r="3074">
          <cell r="I3074">
            <v>0</v>
          </cell>
        </row>
        <row r="3075">
          <cell r="I3075">
            <v>0</v>
          </cell>
        </row>
        <row r="3076">
          <cell r="I3076">
            <v>0</v>
          </cell>
        </row>
        <row r="3077">
          <cell r="I3077">
            <v>0</v>
          </cell>
        </row>
        <row r="3078">
          <cell r="I3078">
            <v>0</v>
          </cell>
        </row>
        <row r="3079">
          <cell r="I3079">
            <v>0</v>
          </cell>
        </row>
        <row r="3080">
          <cell r="I3080">
            <v>0</v>
          </cell>
        </row>
        <row r="3081">
          <cell r="I3081">
            <v>0</v>
          </cell>
        </row>
        <row r="3082">
          <cell r="I3082">
            <v>0</v>
          </cell>
        </row>
        <row r="3083">
          <cell r="I3083">
            <v>0</v>
          </cell>
        </row>
        <row r="3084">
          <cell r="I3084">
            <v>0</v>
          </cell>
        </row>
        <row r="3085">
          <cell r="I3085">
            <v>0</v>
          </cell>
        </row>
        <row r="3086">
          <cell r="I3086">
            <v>0</v>
          </cell>
        </row>
        <row r="3087">
          <cell r="I3087">
            <v>0</v>
          </cell>
        </row>
        <row r="3088">
          <cell r="I3088">
            <v>0</v>
          </cell>
        </row>
        <row r="3089">
          <cell r="I3089">
            <v>0</v>
          </cell>
        </row>
        <row r="3090">
          <cell r="I3090">
            <v>0</v>
          </cell>
        </row>
        <row r="3091">
          <cell r="I3091">
            <v>0</v>
          </cell>
        </row>
        <row r="3092">
          <cell r="I3092">
            <v>0</v>
          </cell>
        </row>
        <row r="3093">
          <cell r="I3093">
            <v>0</v>
          </cell>
        </row>
        <row r="3094">
          <cell r="I3094">
            <v>0</v>
          </cell>
        </row>
        <row r="3095">
          <cell r="I3095">
            <v>0</v>
          </cell>
        </row>
        <row r="3096">
          <cell r="I3096">
            <v>0</v>
          </cell>
        </row>
        <row r="3097">
          <cell r="I3097">
            <v>0</v>
          </cell>
        </row>
        <row r="3098">
          <cell r="I3098">
            <v>0</v>
          </cell>
        </row>
        <row r="3099">
          <cell r="I3099">
            <v>0</v>
          </cell>
        </row>
        <row r="3100">
          <cell r="I3100">
            <v>0</v>
          </cell>
        </row>
        <row r="3101">
          <cell r="I3101">
            <v>0</v>
          </cell>
        </row>
        <row r="3102">
          <cell r="I3102">
            <v>0</v>
          </cell>
        </row>
        <row r="3103">
          <cell r="I3103">
            <v>0</v>
          </cell>
        </row>
        <row r="3104">
          <cell r="I3104">
            <v>0</v>
          </cell>
        </row>
        <row r="3105">
          <cell r="I3105">
            <v>0</v>
          </cell>
        </row>
        <row r="3106">
          <cell r="I3106">
            <v>0</v>
          </cell>
        </row>
        <row r="3107">
          <cell r="I3107">
            <v>0</v>
          </cell>
        </row>
        <row r="3108">
          <cell r="I3108">
            <v>0</v>
          </cell>
        </row>
        <row r="3109">
          <cell r="I3109">
            <v>0</v>
          </cell>
        </row>
        <row r="3110">
          <cell r="I3110">
            <v>0</v>
          </cell>
        </row>
        <row r="3111">
          <cell r="I3111">
            <v>0</v>
          </cell>
        </row>
        <row r="3112">
          <cell r="I3112">
            <v>0</v>
          </cell>
        </row>
        <row r="3113">
          <cell r="I3113">
            <v>0</v>
          </cell>
        </row>
        <row r="3114">
          <cell r="I3114">
            <v>0</v>
          </cell>
        </row>
        <row r="3115">
          <cell r="I3115">
            <v>0</v>
          </cell>
        </row>
        <row r="3116">
          <cell r="I3116">
            <v>0</v>
          </cell>
        </row>
        <row r="3117">
          <cell r="I3117">
            <v>0</v>
          </cell>
        </row>
        <row r="3118">
          <cell r="I3118">
            <v>0</v>
          </cell>
        </row>
        <row r="3119">
          <cell r="I3119">
            <v>0</v>
          </cell>
        </row>
        <row r="3120">
          <cell r="I3120">
            <v>0</v>
          </cell>
        </row>
        <row r="3121">
          <cell r="I3121">
            <v>0</v>
          </cell>
        </row>
        <row r="3122">
          <cell r="I3122">
            <v>0</v>
          </cell>
        </row>
        <row r="3123">
          <cell r="I3123">
            <v>0</v>
          </cell>
        </row>
        <row r="3124">
          <cell r="I3124">
            <v>0</v>
          </cell>
        </row>
        <row r="3125">
          <cell r="I3125">
            <v>0</v>
          </cell>
        </row>
        <row r="3126">
          <cell r="I3126">
            <v>0</v>
          </cell>
        </row>
        <row r="3127">
          <cell r="I3127">
            <v>0</v>
          </cell>
        </row>
        <row r="3128">
          <cell r="I3128">
            <v>0</v>
          </cell>
        </row>
        <row r="3129">
          <cell r="I3129">
            <v>0</v>
          </cell>
        </row>
        <row r="3130">
          <cell r="I3130">
            <v>0</v>
          </cell>
        </row>
        <row r="3131">
          <cell r="I3131">
            <v>0</v>
          </cell>
        </row>
        <row r="3132">
          <cell r="I3132">
            <v>0</v>
          </cell>
        </row>
        <row r="3133">
          <cell r="I3133">
            <v>0</v>
          </cell>
        </row>
        <row r="3134">
          <cell r="I3134">
            <v>0</v>
          </cell>
        </row>
        <row r="3135">
          <cell r="I3135">
            <v>0</v>
          </cell>
        </row>
        <row r="3136">
          <cell r="I3136">
            <v>0</v>
          </cell>
        </row>
        <row r="3137">
          <cell r="I3137">
            <v>0</v>
          </cell>
        </row>
        <row r="3138">
          <cell r="I3138">
            <v>0</v>
          </cell>
        </row>
        <row r="3139">
          <cell r="I3139">
            <v>0</v>
          </cell>
        </row>
        <row r="3140">
          <cell r="I3140">
            <v>0</v>
          </cell>
        </row>
        <row r="3141">
          <cell r="I3141">
            <v>0</v>
          </cell>
        </row>
        <row r="3142">
          <cell r="I3142">
            <v>0</v>
          </cell>
        </row>
        <row r="3143">
          <cell r="I3143">
            <v>0</v>
          </cell>
        </row>
        <row r="3144">
          <cell r="I3144">
            <v>0</v>
          </cell>
        </row>
        <row r="3145">
          <cell r="I3145">
            <v>0</v>
          </cell>
        </row>
        <row r="3146">
          <cell r="I3146">
            <v>0</v>
          </cell>
        </row>
        <row r="3147">
          <cell r="I3147">
            <v>0</v>
          </cell>
        </row>
        <row r="3148">
          <cell r="I3148">
            <v>0</v>
          </cell>
        </row>
        <row r="3149">
          <cell r="I3149">
            <v>0</v>
          </cell>
        </row>
        <row r="3150">
          <cell r="I3150">
            <v>0</v>
          </cell>
        </row>
        <row r="3151">
          <cell r="I3151">
            <v>0</v>
          </cell>
        </row>
        <row r="3152">
          <cell r="I3152">
            <v>0</v>
          </cell>
        </row>
        <row r="3153">
          <cell r="I3153">
            <v>0</v>
          </cell>
        </row>
        <row r="3154">
          <cell r="I3154">
            <v>0</v>
          </cell>
        </row>
        <row r="3155">
          <cell r="I3155">
            <v>0</v>
          </cell>
        </row>
        <row r="3156">
          <cell r="I3156">
            <v>0</v>
          </cell>
        </row>
        <row r="3157">
          <cell r="I3157">
            <v>0</v>
          </cell>
        </row>
        <row r="3158">
          <cell r="I3158">
            <v>0</v>
          </cell>
        </row>
        <row r="3159">
          <cell r="I3159">
            <v>0</v>
          </cell>
        </row>
        <row r="3160">
          <cell r="I3160">
            <v>0</v>
          </cell>
        </row>
        <row r="3161">
          <cell r="I3161">
            <v>0</v>
          </cell>
        </row>
        <row r="3162">
          <cell r="I3162">
            <v>0</v>
          </cell>
        </row>
        <row r="3163">
          <cell r="I3163">
            <v>0</v>
          </cell>
        </row>
        <row r="3164">
          <cell r="I3164">
            <v>0</v>
          </cell>
        </row>
        <row r="3165">
          <cell r="I3165">
            <v>0</v>
          </cell>
        </row>
        <row r="3166">
          <cell r="I3166">
            <v>0</v>
          </cell>
        </row>
        <row r="3167">
          <cell r="I3167">
            <v>0</v>
          </cell>
        </row>
        <row r="3168">
          <cell r="I3168">
            <v>0</v>
          </cell>
        </row>
        <row r="3169">
          <cell r="I3169">
            <v>0</v>
          </cell>
        </row>
        <row r="3170">
          <cell r="I3170">
            <v>0</v>
          </cell>
        </row>
        <row r="3171">
          <cell r="I3171">
            <v>0</v>
          </cell>
        </row>
        <row r="3172">
          <cell r="I3172">
            <v>0</v>
          </cell>
        </row>
        <row r="3173">
          <cell r="I3173">
            <v>0</v>
          </cell>
        </row>
        <row r="3174">
          <cell r="I3174">
            <v>0</v>
          </cell>
        </row>
        <row r="3175">
          <cell r="I3175">
            <v>0</v>
          </cell>
        </row>
        <row r="3176">
          <cell r="I3176">
            <v>0</v>
          </cell>
        </row>
        <row r="3177">
          <cell r="I3177">
            <v>0</v>
          </cell>
        </row>
        <row r="3178">
          <cell r="I3178">
            <v>0</v>
          </cell>
        </row>
        <row r="3179">
          <cell r="I3179">
            <v>0</v>
          </cell>
        </row>
        <row r="3180">
          <cell r="I3180">
            <v>0</v>
          </cell>
        </row>
        <row r="3181">
          <cell r="I3181">
            <v>0</v>
          </cell>
        </row>
        <row r="3182">
          <cell r="I3182">
            <v>0</v>
          </cell>
        </row>
        <row r="3183">
          <cell r="I3183">
            <v>0</v>
          </cell>
        </row>
        <row r="3184">
          <cell r="I3184">
            <v>0</v>
          </cell>
        </row>
        <row r="3185">
          <cell r="I3185">
            <v>0</v>
          </cell>
        </row>
        <row r="3186">
          <cell r="I3186">
            <v>0</v>
          </cell>
        </row>
        <row r="3187">
          <cell r="I3187">
            <v>0</v>
          </cell>
        </row>
        <row r="3188">
          <cell r="I3188">
            <v>0</v>
          </cell>
        </row>
        <row r="3189">
          <cell r="I3189">
            <v>0</v>
          </cell>
        </row>
        <row r="3190">
          <cell r="I3190">
            <v>0</v>
          </cell>
        </row>
        <row r="3191">
          <cell r="I3191">
            <v>0</v>
          </cell>
        </row>
        <row r="3192">
          <cell r="I3192">
            <v>0</v>
          </cell>
        </row>
        <row r="3193">
          <cell r="I3193">
            <v>0</v>
          </cell>
        </row>
        <row r="3194">
          <cell r="I3194">
            <v>0</v>
          </cell>
        </row>
        <row r="3195">
          <cell r="I3195">
            <v>0</v>
          </cell>
        </row>
        <row r="3196">
          <cell r="I3196">
            <v>0</v>
          </cell>
        </row>
        <row r="3197">
          <cell r="I3197">
            <v>0</v>
          </cell>
        </row>
        <row r="3198">
          <cell r="I3198">
            <v>0</v>
          </cell>
        </row>
        <row r="3199">
          <cell r="I3199">
            <v>0</v>
          </cell>
        </row>
        <row r="3200">
          <cell r="I3200">
            <v>0</v>
          </cell>
        </row>
        <row r="3201">
          <cell r="I3201">
            <v>0</v>
          </cell>
        </row>
        <row r="3202">
          <cell r="I3202">
            <v>0</v>
          </cell>
        </row>
        <row r="3203">
          <cell r="I3203">
            <v>0</v>
          </cell>
        </row>
        <row r="3204">
          <cell r="I3204">
            <v>0</v>
          </cell>
        </row>
        <row r="3205">
          <cell r="I3205">
            <v>0</v>
          </cell>
        </row>
        <row r="3206">
          <cell r="I3206">
            <v>0</v>
          </cell>
        </row>
        <row r="3207">
          <cell r="I3207">
            <v>0</v>
          </cell>
        </row>
        <row r="3208">
          <cell r="I3208">
            <v>0</v>
          </cell>
        </row>
        <row r="3209">
          <cell r="I3209">
            <v>0</v>
          </cell>
        </row>
        <row r="3210">
          <cell r="I3210">
            <v>0</v>
          </cell>
        </row>
        <row r="3211">
          <cell r="I3211">
            <v>0</v>
          </cell>
        </row>
        <row r="3212">
          <cell r="I3212">
            <v>0</v>
          </cell>
        </row>
        <row r="3213">
          <cell r="I3213">
            <v>0</v>
          </cell>
        </row>
        <row r="3214">
          <cell r="I3214">
            <v>0</v>
          </cell>
        </row>
        <row r="3215">
          <cell r="I3215">
            <v>0</v>
          </cell>
        </row>
        <row r="3216">
          <cell r="I3216">
            <v>0</v>
          </cell>
        </row>
        <row r="3217">
          <cell r="I3217">
            <v>0</v>
          </cell>
        </row>
        <row r="3218">
          <cell r="I3218">
            <v>0</v>
          </cell>
        </row>
        <row r="3219">
          <cell r="I3219">
            <v>0</v>
          </cell>
        </row>
        <row r="3220">
          <cell r="I3220">
            <v>0</v>
          </cell>
        </row>
        <row r="3221">
          <cell r="I3221">
            <v>0</v>
          </cell>
        </row>
        <row r="3222">
          <cell r="I3222">
            <v>0</v>
          </cell>
        </row>
        <row r="3223">
          <cell r="I3223">
            <v>0</v>
          </cell>
        </row>
        <row r="3224">
          <cell r="I3224">
            <v>0</v>
          </cell>
        </row>
        <row r="3225">
          <cell r="I3225">
            <v>0</v>
          </cell>
        </row>
        <row r="3226">
          <cell r="I3226">
            <v>0</v>
          </cell>
        </row>
        <row r="3227">
          <cell r="I3227">
            <v>0</v>
          </cell>
        </row>
        <row r="3228">
          <cell r="I3228">
            <v>0</v>
          </cell>
        </row>
        <row r="3229">
          <cell r="I3229">
            <v>0</v>
          </cell>
        </row>
        <row r="3230">
          <cell r="I3230">
            <v>0</v>
          </cell>
        </row>
        <row r="3231">
          <cell r="I3231">
            <v>0</v>
          </cell>
        </row>
        <row r="3232">
          <cell r="I3232">
            <v>0</v>
          </cell>
        </row>
        <row r="3233">
          <cell r="I3233">
            <v>0</v>
          </cell>
        </row>
        <row r="3234">
          <cell r="I3234">
            <v>0</v>
          </cell>
        </row>
        <row r="3235">
          <cell r="I3235">
            <v>0</v>
          </cell>
        </row>
        <row r="3236">
          <cell r="I3236">
            <v>0</v>
          </cell>
        </row>
        <row r="3237">
          <cell r="I3237">
            <v>0</v>
          </cell>
        </row>
        <row r="3238">
          <cell r="I3238">
            <v>0</v>
          </cell>
        </row>
        <row r="3239">
          <cell r="I3239">
            <v>0</v>
          </cell>
        </row>
        <row r="3240">
          <cell r="I3240">
            <v>0</v>
          </cell>
        </row>
        <row r="3241">
          <cell r="I3241">
            <v>0</v>
          </cell>
        </row>
        <row r="3242">
          <cell r="I3242">
            <v>0</v>
          </cell>
        </row>
        <row r="3243">
          <cell r="I3243">
            <v>0</v>
          </cell>
        </row>
        <row r="3244">
          <cell r="I3244">
            <v>0</v>
          </cell>
        </row>
        <row r="3245">
          <cell r="I3245">
            <v>0</v>
          </cell>
        </row>
        <row r="3246">
          <cell r="I3246">
            <v>0</v>
          </cell>
        </row>
        <row r="3247">
          <cell r="I3247">
            <v>0</v>
          </cell>
        </row>
        <row r="3248">
          <cell r="I3248">
            <v>0</v>
          </cell>
        </row>
        <row r="3249">
          <cell r="I3249">
            <v>0</v>
          </cell>
        </row>
        <row r="3250">
          <cell r="I3250">
            <v>0</v>
          </cell>
        </row>
        <row r="3251">
          <cell r="I3251">
            <v>0</v>
          </cell>
        </row>
        <row r="3252">
          <cell r="I3252">
            <v>0</v>
          </cell>
        </row>
        <row r="3253">
          <cell r="I3253">
            <v>0</v>
          </cell>
        </row>
        <row r="3254">
          <cell r="I3254">
            <v>0</v>
          </cell>
        </row>
        <row r="3255">
          <cell r="I3255">
            <v>0</v>
          </cell>
        </row>
        <row r="3256">
          <cell r="I3256">
            <v>0</v>
          </cell>
        </row>
        <row r="3257">
          <cell r="I3257">
            <v>0</v>
          </cell>
        </row>
        <row r="3258">
          <cell r="I3258">
            <v>0</v>
          </cell>
        </row>
        <row r="3259">
          <cell r="I3259">
            <v>0</v>
          </cell>
        </row>
        <row r="3260">
          <cell r="I3260">
            <v>0</v>
          </cell>
        </row>
        <row r="3261">
          <cell r="I3261">
            <v>0</v>
          </cell>
        </row>
        <row r="3262">
          <cell r="I3262">
            <v>0</v>
          </cell>
        </row>
        <row r="3263">
          <cell r="I3263">
            <v>0</v>
          </cell>
        </row>
        <row r="3264">
          <cell r="I3264">
            <v>0</v>
          </cell>
        </row>
        <row r="3265">
          <cell r="I3265">
            <v>0</v>
          </cell>
        </row>
        <row r="3266">
          <cell r="I3266">
            <v>0</v>
          </cell>
        </row>
        <row r="3267">
          <cell r="I3267">
            <v>0</v>
          </cell>
        </row>
        <row r="3268">
          <cell r="I3268">
            <v>0</v>
          </cell>
        </row>
        <row r="3269">
          <cell r="I3269">
            <v>0</v>
          </cell>
        </row>
        <row r="3270">
          <cell r="I3270">
            <v>0</v>
          </cell>
        </row>
        <row r="3271">
          <cell r="I3271">
            <v>0</v>
          </cell>
        </row>
        <row r="3272">
          <cell r="I3272">
            <v>0</v>
          </cell>
        </row>
        <row r="3273">
          <cell r="I3273">
            <v>0</v>
          </cell>
        </row>
        <row r="3274">
          <cell r="I3274">
            <v>0</v>
          </cell>
        </row>
        <row r="3275">
          <cell r="I3275">
            <v>0</v>
          </cell>
        </row>
        <row r="3276">
          <cell r="I3276">
            <v>0</v>
          </cell>
        </row>
        <row r="3277">
          <cell r="I3277">
            <v>0</v>
          </cell>
        </row>
        <row r="3278">
          <cell r="I3278">
            <v>0</v>
          </cell>
        </row>
        <row r="3279">
          <cell r="I3279">
            <v>0</v>
          </cell>
        </row>
        <row r="3280">
          <cell r="I3280">
            <v>0</v>
          </cell>
        </row>
        <row r="3281">
          <cell r="I3281">
            <v>0</v>
          </cell>
        </row>
        <row r="3282">
          <cell r="I3282">
            <v>0</v>
          </cell>
        </row>
        <row r="3283">
          <cell r="I3283">
            <v>0</v>
          </cell>
        </row>
        <row r="3284">
          <cell r="I3284">
            <v>0</v>
          </cell>
        </row>
        <row r="3285">
          <cell r="I3285">
            <v>0</v>
          </cell>
        </row>
        <row r="3286">
          <cell r="I3286">
            <v>0</v>
          </cell>
        </row>
        <row r="3287">
          <cell r="I3287">
            <v>0</v>
          </cell>
        </row>
        <row r="3288">
          <cell r="I3288">
            <v>0</v>
          </cell>
        </row>
        <row r="3289">
          <cell r="I3289">
            <v>0</v>
          </cell>
        </row>
        <row r="3290">
          <cell r="I3290">
            <v>0</v>
          </cell>
        </row>
        <row r="3291">
          <cell r="I3291">
            <v>0</v>
          </cell>
        </row>
        <row r="3292">
          <cell r="I3292">
            <v>0</v>
          </cell>
        </row>
        <row r="3293">
          <cell r="I3293">
            <v>0</v>
          </cell>
        </row>
        <row r="3294">
          <cell r="I3294">
            <v>0</v>
          </cell>
        </row>
        <row r="3295">
          <cell r="I3295">
            <v>0</v>
          </cell>
        </row>
        <row r="3296">
          <cell r="I3296">
            <v>0</v>
          </cell>
        </row>
        <row r="3297">
          <cell r="I3297">
            <v>0</v>
          </cell>
        </row>
        <row r="3298">
          <cell r="I3298">
            <v>0</v>
          </cell>
        </row>
        <row r="3299">
          <cell r="I3299">
            <v>0</v>
          </cell>
        </row>
        <row r="3300">
          <cell r="I3300">
            <v>0</v>
          </cell>
        </row>
        <row r="3301">
          <cell r="I3301">
            <v>0</v>
          </cell>
        </row>
        <row r="3302">
          <cell r="I3302">
            <v>0</v>
          </cell>
        </row>
        <row r="3303">
          <cell r="I3303">
            <v>0</v>
          </cell>
        </row>
        <row r="3304">
          <cell r="I3304">
            <v>0</v>
          </cell>
        </row>
        <row r="3305">
          <cell r="I3305">
            <v>0</v>
          </cell>
        </row>
        <row r="3306">
          <cell r="I3306">
            <v>0</v>
          </cell>
        </row>
        <row r="3307">
          <cell r="I3307">
            <v>0</v>
          </cell>
        </row>
        <row r="3308">
          <cell r="I3308">
            <v>0</v>
          </cell>
        </row>
        <row r="3309">
          <cell r="I3309">
            <v>0</v>
          </cell>
        </row>
        <row r="3310">
          <cell r="I3310">
            <v>0</v>
          </cell>
        </row>
        <row r="3311">
          <cell r="I3311">
            <v>0</v>
          </cell>
        </row>
        <row r="3312">
          <cell r="I3312">
            <v>0</v>
          </cell>
        </row>
        <row r="3313">
          <cell r="I3313">
            <v>0</v>
          </cell>
        </row>
        <row r="3314">
          <cell r="I3314">
            <v>0</v>
          </cell>
        </row>
        <row r="3315">
          <cell r="I3315">
            <v>0</v>
          </cell>
        </row>
        <row r="3316">
          <cell r="I3316">
            <v>0</v>
          </cell>
        </row>
        <row r="3317">
          <cell r="I3317">
            <v>0</v>
          </cell>
        </row>
        <row r="3318">
          <cell r="I3318">
            <v>0</v>
          </cell>
        </row>
        <row r="3319">
          <cell r="I3319">
            <v>0</v>
          </cell>
        </row>
        <row r="3320">
          <cell r="I3320">
            <v>0</v>
          </cell>
        </row>
        <row r="3321">
          <cell r="I3321">
            <v>0</v>
          </cell>
        </row>
        <row r="3322">
          <cell r="I3322">
            <v>0</v>
          </cell>
        </row>
        <row r="3323">
          <cell r="I3323">
            <v>0</v>
          </cell>
        </row>
        <row r="3324">
          <cell r="I3324">
            <v>0</v>
          </cell>
        </row>
        <row r="3325">
          <cell r="I3325">
            <v>0</v>
          </cell>
        </row>
        <row r="3326">
          <cell r="I3326">
            <v>0</v>
          </cell>
        </row>
        <row r="3327">
          <cell r="I3327">
            <v>0</v>
          </cell>
        </row>
        <row r="3328">
          <cell r="I3328">
            <v>0</v>
          </cell>
        </row>
        <row r="3329">
          <cell r="I3329">
            <v>0</v>
          </cell>
        </row>
        <row r="3330">
          <cell r="I3330">
            <v>0</v>
          </cell>
        </row>
        <row r="3331">
          <cell r="I3331">
            <v>0</v>
          </cell>
        </row>
        <row r="3332">
          <cell r="I3332">
            <v>0</v>
          </cell>
        </row>
        <row r="3333">
          <cell r="I3333">
            <v>0</v>
          </cell>
        </row>
        <row r="3334">
          <cell r="I3334">
            <v>0</v>
          </cell>
        </row>
        <row r="3335">
          <cell r="I3335">
            <v>0</v>
          </cell>
        </row>
        <row r="3336">
          <cell r="I3336">
            <v>0</v>
          </cell>
        </row>
        <row r="3337">
          <cell r="I3337">
            <v>0</v>
          </cell>
        </row>
        <row r="3338">
          <cell r="I3338">
            <v>0</v>
          </cell>
        </row>
        <row r="3339">
          <cell r="I3339">
            <v>0</v>
          </cell>
        </row>
        <row r="3340">
          <cell r="I3340">
            <v>0</v>
          </cell>
        </row>
        <row r="3341">
          <cell r="I3341">
            <v>0</v>
          </cell>
        </row>
        <row r="3342">
          <cell r="I3342">
            <v>0</v>
          </cell>
        </row>
        <row r="3343">
          <cell r="I3343">
            <v>0</v>
          </cell>
        </row>
        <row r="3344">
          <cell r="I3344">
            <v>0</v>
          </cell>
        </row>
        <row r="3345">
          <cell r="I3345">
            <v>0</v>
          </cell>
        </row>
        <row r="3346">
          <cell r="I3346">
            <v>0</v>
          </cell>
        </row>
        <row r="3347">
          <cell r="I3347">
            <v>0</v>
          </cell>
        </row>
        <row r="3348">
          <cell r="I3348">
            <v>0</v>
          </cell>
        </row>
        <row r="3349">
          <cell r="I3349">
            <v>0</v>
          </cell>
        </row>
        <row r="3350">
          <cell r="I3350">
            <v>0</v>
          </cell>
        </row>
        <row r="3351">
          <cell r="I3351">
            <v>0</v>
          </cell>
        </row>
        <row r="3352">
          <cell r="I3352">
            <v>0</v>
          </cell>
        </row>
        <row r="3353">
          <cell r="I3353">
            <v>0</v>
          </cell>
        </row>
        <row r="3354">
          <cell r="I3354">
            <v>0</v>
          </cell>
        </row>
        <row r="3355">
          <cell r="I3355">
            <v>0</v>
          </cell>
        </row>
        <row r="3356">
          <cell r="I3356">
            <v>0</v>
          </cell>
        </row>
        <row r="3357">
          <cell r="I3357">
            <v>0</v>
          </cell>
        </row>
        <row r="3358">
          <cell r="I3358">
            <v>0</v>
          </cell>
        </row>
        <row r="3359">
          <cell r="I3359">
            <v>0</v>
          </cell>
        </row>
        <row r="3360">
          <cell r="I3360">
            <v>0</v>
          </cell>
        </row>
        <row r="3361">
          <cell r="I3361">
            <v>0</v>
          </cell>
        </row>
        <row r="3362">
          <cell r="I3362">
            <v>0</v>
          </cell>
        </row>
        <row r="3363">
          <cell r="I3363">
            <v>0</v>
          </cell>
        </row>
        <row r="3364">
          <cell r="I3364">
            <v>0</v>
          </cell>
        </row>
        <row r="3365">
          <cell r="I3365">
            <v>0</v>
          </cell>
        </row>
        <row r="3366">
          <cell r="I3366">
            <v>0</v>
          </cell>
        </row>
        <row r="3367">
          <cell r="I3367">
            <v>0</v>
          </cell>
        </row>
        <row r="3368">
          <cell r="I3368">
            <v>0</v>
          </cell>
        </row>
        <row r="3369">
          <cell r="I3369">
            <v>0</v>
          </cell>
        </row>
        <row r="3370">
          <cell r="I3370">
            <v>0</v>
          </cell>
        </row>
        <row r="3371">
          <cell r="I3371">
            <v>0</v>
          </cell>
        </row>
        <row r="3372">
          <cell r="I3372">
            <v>0</v>
          </cell>
        </row>
        <row r="3373">
          <cell r="I3373">
            <v>0</v>
          </cell>
        </row>
        <row r="3374">
          <cell r="I3374">
            <v>0</v>
          </cell>
        </row>
        <row r="3375">
          <cell r="I3375">
            <v>0</v>
          </cell>
        </row>
        <row r="3376">
          <cell r="I3376">
            <v>0</v>
          </cell>
        </row>
        <row r="3377">
          <cell r="I3377">
            <v>0</v>
          </cell>
        </row>
        <row r="3378">
          <cell r="I3378">
            <v>0</v>
          </cell>
        </row>
        <row r="3379">
          <cell r="I3379">
            <v>0</v>
          </cell>
        </row>
        <row r="3380">
          <cell r="I3380">
            <v>0</v>
          </cell>
        </row>
        <row r="3381">
          <cell r="I3381">
            <v>0</v>
          </cell>
        </row>
        <row r="3382">
          <cell r="I3382">
            <v>0</v>
          </cell>
        </row>
        <row r="3383">
          <cell r="I3383">
            <v>0</v>
          </cell>
        </row>
        <row r="3384">
          <cell r="I3384">
            <v>0</v>
          </cell>
        </row>
        <row r="3385">
          <cell r="I3385">
            <v>0</v>
          </cell>
        </row>
        <row r="3386">
          <cell r="I3386">
            <v>0</v>
          </cell>
        </row>
        <row r="3387">
          <cell r="I3387">
            <v>0</v>
          </cell>
        </row>
        <row r="3388">
          <cell r="I3388">
            <v>0</v>
          </cell>
        </row>
        <row r="3389">
          <cell r="I3389">
            <v>0</v>
          </cell>
        </row>
        <row r="3390">
          <cell r="I3390">
            <v>0</v>
          </cell>
        </row>
        <row r="3391">
          <cell r="I3391">
            <v>0</v>
          </cell>
        </row>
        <row r="3392">
          <cell r="I3392">
            <v>0</v>
          </cell>
        </row>
        <row r="3393">
          <cell r="I3393">
            <v>0</v>
          </cell>
        </row>
        <row r="3394">
          <cell r="I3394">
            <v>0</v>
          </cell>
        </row>
        <row r="3395">
          <cell r="I3395">
            <v>0</v>
          </cell>
        </row>
        <row r="3396">
          <cell r="I3396">
            <v>0</v>
          </cell>
        </row>
        <row r="3397">
          <cell r="I3397">
            <v>0</v>
          </cell>
        </row>
        <row r="3398">
          <cell r="I3398">
            <v>0</v>
          </cell>
        </row>
        <row r="3399">
          <cell r="I3399">
            <v>0</v>
          </cell>
        </row>
        <row r="3400">
          <cell r="I3400">
            <v>0</v>
          </cell>
        </row>
        <row r="3401">
          <cell r="I3401">
            <v>0</v>
          </cell>
        </row>
        <row r="3402">
          <cell r="I3402">
            <v>0</v>
          </cell>
        </row>
        <row r="3403">
          <cell r="I3403">
            <v>0</v>
          </cell>
        </row>
        <row r="3404">
          <cell r="I3404">
            <v>0</v>
          </cell>
        </row>
        <row r="3405">
          <cell r="I3405">
            <v>0</v>
          </cell>
        </row>
        <row r="3406">
          <cell r="I3406">
            <v>0</v>
          </cell>
        </row>
        <row r="3407">
          <cell r="I3407">
            <v>0</v>
          </cell>
        </row>
        <row r="3408">
          <cell r="I3408">
            <v>0</v>
          </cell>
        </row>
        <row r="3409">
          <cell r="I3409">
            <v>0</v>
          </cell>
        </row>
        <row r="3410">
          <cell r="I3410">
            <v>0</v>
          </cell>
        </row>
        <row r="3411">
          <cell r="I3411">
            <v>0</v>
          </cell>
        </row>
        <row r="3412">
          <cell r="I3412">
            <v>0</v>
          </cell>
        </row>
        <row r="3413">
          <cell r="I3413">
            <v>0</v>
          </cell>
        </row>
        <row r="3414">
          <cell r="I3414">
            <v>0</v>
          </cell>
        </row>
        <row r="3415">
          <cell r="I3415">
            <v>0</v>
          </cell>
        </row>
        <row r="3416">
          <cell r="I3416">
            <v>0</v>
          </cell>
        </row>
        <row r="3417">
          <cell r="I3417">
            <v>0</v>
          </cell>
        </row>
        <row r="3418">
          <cell r="I3418">
            <v>0</v>
          </cell>
        </row>
        <row r="3419">
          <cell r="I3419">
            <v>0</v>
          </cell>
        </row>
        <row r="3420">
          <cell r="I3420">
            <v>0</v>
          </cell>
        </row>
        <row r="3421">
          <cell r="I3421">
            <v>0</v>
          </cell>
        </row>
        <row r="3422">
          <cell r="I3422">
            <v>0</v>
          </cell>
        </row>
        <row r="3423">
          <cell r="I3423">
            <v>0</v>
          </cell>
        </row>
        <row r="3424">
          <cell r="I3424">
            <v>0</v>
          </cell>
        </row>
        <row r="3425">
          <cell r="I3425">
            <v>0</v>
          </cell>
        </row>
        <row r="3426">
          <cell r="I3426">
            <v>0</v>
          </cell>
        </row>
        <row r="3427">
          <cell r="I3427">
            <v>0</v>
          </cell>
        </row>
        <row r="3428">
          <cell r="I3428">
            <v>0</v>
          </cell>
        </row>
        <row r="3429">
          <cell r="I3429">
            <v>0</v>
          </cell>
        </row>
        <row r="3430">
          <cell r="I3430">
            <v>0</v>
          </cell>
        </row>
        <row r="3431">
          <cell r="I3431">
            <v>0</v>
          </cell>
        </row>
        <row r="3432">
          <cell r="I3432">
            <v>0</v>
          </cell>
        </row>
        <row r="3433">
          <cell r="I3433">
            <v>0</v>
          </cell>
        </row>
        <row r="3434">
          <cell r="I3434">
            <v>0</v>
          </cell>
        </row>
        <row r="3435">
          <cell r="I3435">
            <v>0</v>
          </cell>
        </row>
        <row r="3436">
          <cell r="I3436">
            <v>0</v>
          </cell>
        </row>
        <row r="3437">
          <cell r="I3437">
            <v>0</v>
          </cell>
        </row>
        <row r="3438">
          <cell r="I3438">
            <v>0</v>
          </cell>
        </row>
        <row r="3439">
          <cell r="I3439">
            <v>0</v>
          </cell>
        </row>
        <row r="3440">
          <cell r="I3440">
            <v>0</v>
          </cell>
        </row>
        <row r="3441">
          <cell r="I3441">
            <v>0</v>
          </cell>
        </row>
        <row r="3442">
          <cell r="I3442">
            <v>0</v>
          </cell>
        </row>
        <row r="3443">
          <cell r="I3443">
            <v>0</v>
          </cell>
        </row>
        <row r="3444">
          <cell r="I3444">
            <v>0</v>
          </cell>
        </row>
        <row r="3445">
          <cell r="I3445">
            <v>0</v>
          </cell>
        </row>
        <row r="3446">
          <cell r="I3446">
            <v>0</v>
          </cell>
        </row>
        <row r="3447">
          <cell r="I3447">
            <v>0</v>
          </cell>
        </row>
        <row r="3448">
          <cell r="I3448">
            <v>0</v>
          </cell>
        </row>
        <row r="3449">
          <cell r="I3449">
            <v>0</v>
          </cell>
        </row>
        <row r="3450">
          <cell r="I3450">
            <v>0</v>
          </cell>
        </row>
        <row r="3451">
          <cell r="I3451">
            <v>0</v>
          </cell>
        </row>
        <row r="3452">
          <cell r="I3452">
            <v>0</v>
          </cell>
        </row>
        <row r="3453">
          <cell r="I3453">
            <v>0</v>
          </cell>
        </row>
        <row r="3454">
          <cell r="I3454">
            <v>0</v>
          </cell>
        </row>
        <row r="3455">
          <cell r="I3455">
            <v>0</v>
          </cell>
        </row>
        <row r="3456">
          <cell r="I3456">
            <v>0</v>
          </cell>
        </row>
        <row r="3457">
          <cell r="I3457">
            <v>0</v>
          </cell>
        </row>
        <row r="3458">
          <cell r="I3458">
            <v>0</v>
          </cell>
        </row>
        <row r="3459">
          <cell r="I3459">
            <v>0</v>
          </cell>
        </row>
        <row r="3460">
          <cell r="I3460">
            <v>0</v>
          </cell>
        </row>
        <row r="3461">
          <cell r="I3461">
            <v>0</v>
          </cell>
        </row>
        <row r="3462">
          <cell r="I3462">
            <v>0</v>
          </cell>
        </row>
        <row r="3463">
          <cell r="I3463">
            <v>0</v>
          </cell>
        </row>
        <row r="3464">
          <cell r="I3464">
            <v>0</v>
          </cell>
        </row>
        <row r="3465">
          <cell r="I3465">
            <v>0</v>
          </cell>
        </row>
        <row r="3466">
          <cell r="I3466">
            <v>0</v>
          </cell>
        </row>
        <row r="3467">
          <cell r="I3467">
            <v>0</v>
          </cell>
        </row>
        <row r="3468">
          <cell r="I3468">
            <v>0</v>
          </cell>
        </row>
        <row r="3469">
          <cell r="I3469">
            <v>0</v>
          </cell>
        </row>
        <row r="3470">
          <cell r="I3470">
            <v>0</v>
          </cell>
        </row>
        <row r="3471">
          <cell r="I3471">
            <v>0</v>
          </cell>
        </row>
        <row r="3472">
          <cell r="I3472">
            <v>0</v>
          </cell>
        </row>
        <row r="3473">
          <cell r="I3473">
            <v>0</v>
          </cell>
        </row>
        <row r="3474">
          <cell r="I3474">
            <v>0</v>
          </cell>
        </row>
        <row r="3475">
          <cell r="I3475">
            <v>0</v>
          </cell>
        </row>
        <row r="3476">
          <cell r="I3476">
            <v>0</v>
          </cell>
        </row>
        <row r="3477">
          <cell r="I3477">
            <v>0</v>
          </cell>
        </row>
        <row r="3478">
          <cell r="I3478">
            <v>0</v>
          </cell>
        </row>
        <row r="3479">
          <cell r="I3479">
            <v>0</v>
          </cell>
        </row>
        <row r="3480">
          <cell r="I3480">
            <v>0</v>
          </cell>
        </row>
        <row r="3481">
          <cell r="I3481">
            <v>0</v>
          </cell>
        </row>
        <row r="3482">
          <cell r="I3482">
            <v>0</v>
          </cell>
        </row>
        <row r="3483">
          <cell r="I3483">
            <v>0</v>
          </cell>
        </row>
        <row r="3484">
          <cell r="I3484">
            <v>0</v>
          </cell>
        </row>
        <row r="3485">
          <cell r="I3485">
            <v>0</v>
          </cell>
        </row>
        <row r="3486">
          <cell r="I3486">
            <v>0</v>
          </cell>
        </row>
        <row r="3487">
          <cell r="I3487">
            <v>0</v>
          </cell>
        </row>
        <row r="3488">
          <cell r="I3488">
            <v>0</v>
          </cell>
        </row>
        <row r="3489">
          <cell r="I3489">
            <v>0</v>
          </cell>
        </row>
        <row r="3490">
          <cell r="I3490">
            <v>0</v>
          </cell>
        </row>
        <row r="3491">
          <cell r="I3491">
            <v>0</v>
          </cell>
        </row>
        <row r="3492">
          <cell r="I3492">
            <v>0</v>
          </cell>
        </row>
        <row r="3493">
          <cell r="I3493">
            <v>0</v>
          </cell>
        </row>
        <row r="3494">
          <cell r="I3494">
            <v>0</v>
          </cell>
        </row>
        <row r="3495">
          <cell r="I3495">
            <v>0</v>
          </cell>
        </row>
        <row r="3496">
          <cell r="I3496">
            <v>0</v>
          </cell>
        </row>
        <row r="3497">
          <cell r="I3497">
            <v>0</v>
          </cell>
        </row>
        <row r="3498">
          <cell r="I3498">
            <v>0</v>
          </cell>
        </row>
        <row r="3499">
          <cell r="I3499">
            <v>0</v>
          </cell>
        </row>
        <row r="3500">
          <cell r="I3500">
            <v>0</v>
          </cell>
        </row>
        <row r="3501">
          <cell r="I3501">
            <v>0</v>
          </cell>
        </row>
        <row r="3502">
          <cell r="I3502">
            <v>0</v>
          </cell>
        </row>
        <row r="3503">
          <cell r="I3503">
            <v>0</v>
          </cell>
        </row>
        <row r="3504">
          <cell r="I3504">
            <v>0</v>
          </cell>
        </row>
        <row r="3505">
          <cell r="I3505">
            <v>0</v>
          </cell>
        </row>
        <row r="3506">
          <cell r="I3506">
            <v>0</v>
          </cell>
        </row>
        <row r="3507">
          <cell r="I3507">
            <v>0</v>
          </cell>
        </row>
        <row r="3508">
          <cell r="I3508">
            <v>0</v>
          </cell>
        </row>
        <row r="3509">
          <cell r="I3509">
            <v>0</v>
          </cell>
        </row>
        <row r="3510">
          <cell r="I3510">
            <v>0</v>
          </cell>
        </row>
        <row r="3511">
          <cell r="I3511">
            <v>0</v>
          </cell>
        </row>
        <row r="3512">
          <cell r="I3512">
            <v>0</v>
          </cell>
        </row>
        <row r="3513">
          <cell r="I3513">
            <v>0</v>
          </cell>
        </row>
        <row r="3514">
          <cell r="I3514">
            <v>0</v>
          </cell>
        </row>
        <row r="3515">
          <cell r="I3515">
            <v>0</v>
          </cell>
        </row>
        <row r="3516">
          <cell r="I3516">
            <v>0</v>
          </cell>
        </row>
        <row r="3517">
          <cell r="I3517">
            <v>0</v>
          </cell>
        </row>
        <row r="3518">
          <cell r="I3518">
            <v>0</v>
          </cell>
        </row>
        <row r="3519">
          <cell r="I3519">
            <v>0</v>
          </cell>
        </row>
        <row r="3520">
          <cell r="I3520">
            <v>0</v>
          </cell>
        </row>
        <row r="3521">
          <cell r="I3521">
            <v>0</v>
          </cell>
        </row>
        <row r="3522">
          <cell r="I3522">
            <v>0</v>
          </cell>
        </row>
        <row r="3523">
          <cell r="I3523">
            <v>0</v>
          </cell>
        </row>
        <row r="3524">
          <cell r="I3524">
            <v>0</v>
          </cell>
        </row>
        <row r="3525">
          <cell r="I3525">
            <v>0</v>
          </cell>
        </row>
        <row r="3526">
          <cell r="I3526">
            <v>0</v>
          </cell>
        </row>
        <row r="3527">
          <cell r="I3527">
            <v>0</v>
          </cell>
        </row>
        <row r="3528">
          <cell r="I3528">
            <v>0</v>
          </cell>
        </row>
        <row r="3529">
          <cell r="I3529">
            <v>0</v>
          </cell>
        </row>
        <row r="3530">
          <cell r="I3530">
            <v>0</v>
          </cell>
        </row>
        <row r="3531">
          <cell r="I3531">
            <v>0</v>
          </cell>
        </row>
        <row r="3532">
          <cell r="I3532">
            <v>0</v>
          </cell>
        </row>
        <row r="3533">
          <cell r="I3533">
            <v>0</v>
          </cell>
        </row>
        <row r="3534">
          <cell r="I3534">
            <v>0</v>
          </cell>
        </row>
        <row r="3535">
          <cell r="I3535">
            <v>0</v>
          </cell>
        </row>
        <row r="3536">
          <cell r="I3536">
            <v>0</v>
          </cell>
        </row>
        <row r="3537">
          <cell r="I3537">
            <v>0</v>
          </cell>
        </row>
        <row r="3538">
          <cell r="I3538">
            <v>0</v>
          </cell>
        </row>
        <row r="3539">
          <cell r="I3539">
            <v>0</v>
          </cell>
        </row>
        <row r="3540">
          <cell r="I3540">
            <v>0</v>
          </cell>
        </row>
        <row r="3541">
          <cell r="I3541">
            <v>0</v>
          </cell>
        </row>
        <row r="3542">
          <cell r="I3542">
            <v>0</v>
          </cell>
        </row>
        <row r="3543">
          <cell r="I3543">
            <v>0</v>
          </cell>
        </row>
        <row r="3544">
          <cell r="I3544">
            <v>0</v>
          </cell>
        </row>
        <row r="3545">
          <cell r="I3545">
            <v>0</v>
          </cell>
        </row>
        <row r="3546">
          <cell r="I3546">
            <v>0</v>
          </cell>
        </row>
        <row r="3547">
          <cell r="I3547">
            <v>0</v>
          </cell>
        </row>
        <row r="3548">
          <cell r="I3548">
            <v>0</v>
          </cell>
        </row>
        <row r="3549">
          <cell r="I3549">
            <v>0</v>
          </cell>
        </row>
        <row r="3550">
          <cell r="I3550">
            <v>0</v>
          </cell>
        </row>
        <row r="3551">
          <cell r="I3551">
            <v>0</v>
          </cell>
        </row>
        <row r="3552">
          <cell r="I3552">
            <v>0</v>
          </cell>
        </row>
        <row r="3553">
          <cell r="I3553">
            <v>0</v>
          </cell>
        </row>
        <row r="3554">
          <cell r="I3554">
            <v>0</v>
          </cell>
        </row>
        <row r="3555">
          <cell r="I3555">
            <v>0</v>
          </cell>
        </row>
        <row r="3556">
          <cell r="I3556">
            <v>0</v>
          </cell>
        </row>
        <row r="3557">
          <cell r="I3557">
            <v>0</v>
          </cell>
        </row>
        <row r="3558">
          <cell r="I3558">
            <v>0</v>
          </cell>
        </row>
        <row r="3559">
          <cell r="I3559">
            <v>0</v>
          </cell>
        </row>
        <row r="3560">
          <cell r="I3560">
            <v>0</v>
          </cell>
        </row>
        <row r="3561">
          <cell r="I3561">
            <v>0</v>
          </cell>
        </row>
        <row r="3562">
          <cell r="I3562">
            <v>0</v>
          </cell>
        </row>
        <row r="3563">
          <cell r="I3563">
            <v>0</v>
          </cell>
        </row>
        <row r="3564">
          <cell r="I3564">
            <v>0</v>
          </cell>
        </row>
        <row r="3565">
          <cell r="I3565">
            <v>0</v>
          </cell>
        </row>
        <row r="3566">
          <cell r="I3566">
            <v>0</v>
          </cell>
        </row>
        <row r="3567">
          <cell r="I3567">
            <v>0</v>
          </cell>
        </row>
        <row r="3568">
          <cell r="I3568">
            <v>0</v>
          </cell>
        </row>
        <row r="3569">
          <cell r="I3569">
            <v>0</v>
          </cell>
        </row>
        <row r="3570">
          <cell r="I3570">
            <v>0</v>
          </cell>
        </row>
        <row r="3571">
          <cell r="I3571">
            <v>0</v>
          </cell>
        </row>
        <row r="3572">
          <cell r="I3572">
            <v>0</v>
          </cell>
        </row>
        <row r="3573">
          <cell r="I3573">
            <v>0</v>
          </cell>
        </row>
        <row r="3574">
          <cell r="I3574">
            <v>0</v>
          </cell>
        </row>
        <row r="3575">
          <cell r="I3575">
            <v>0</v>
          </cell>
        </row>
        <row r="3576">
          <cell r="I3576">
            <v>0</v>
          </cell>
        </row>
        <row r="3577">
          <cell r="I3577">
            <v>0</v>
          </cell>
        </row>
        <row r="3578">
          <cell r="I3578">
            <v>0</v>
          </cell>
        </row>
        <row r="3579">
          <cell r="I3579">
            <v>0</v>
          </cell>
        </row>
        <row r="3580">
          <cell r="I3580">
            <v>0</v>
          </cell>
        </row>
        <row r="3581">
          <cell r="I3581">
            <v>0</v>
          </cell>
        </row>
        <row r="3582">
          <cell r="I3582">
            <v>0</v>
          </cell>
        </row>
        <row r="3583">
          <cell r="I3583">
            <v>0</v>
          </cell>
        </row>
        <row r="3584">
          <cell r="I3584">
            <v>0</v>
          </cell>
        </row>
        <row r="3585">
          <cell r="I3585">
            <v>0</v>
          </cell>
        </row>
        <row r="3586">
          <cell r="I3586">
            <v>0</v>
          </cell>
        </row>
        <row r="3587">
          <cell r="I3587">
            <v>0</v>
          </cell>
        </row>
        <row r="3588">
          <cell r="I3588">
            <v>0</v>
          </cell>
        </row>
        <row r="3589">
          <cell r="I3589">
            <v>0</v>
          </cell>
        </row>
        <row r="3590">
          <cell r="I3590">
            <v>0</v>
          </cell>
        </row>
        <row r="3591">
          <cell r="I3591">
            <v>0</v>
          </cell>
        </row>
        <row r="3592">
          <cell r="I3592">
            <v>0</v>
          </cell>
        </row>
        <row r="3593">
          <cell r="I3593">
            <v>0</v>
          </cell>
        </row>
        <row r="3594">
          <cell r="I3594">
            <v>0</v>
          </cell>
        </row>
        <row r="3595">
          <cell r="I3595">
            <v>0</v>
          </cell>
        </row>
        <row r="3596">
          <cell r="I3596">
            <v>0</v>
          </cell>
        </row>
        <row r="3597">
          <cell r="I3597">
            <v>0</v>
          </cell>
        </row>
        <row r="3598">
          <cell r="I3598">
            <v>0</v>
          </cell>
        </row>
        <row r="3599">
          <cell r="I3599">
            <v>0</v>
          </cell>
        </row>
        <row r="3600">
          <cell r="I3600">
            <v>0</v>
          </cell>
        </row>
        <row r="3601">
          <cell r="I3601">
            <v>0</v>
          </cell>
        </row>
        <row r="3602">
          <cell r="I3602">
            <v>0</v>
          </cell>
        </row>
        <row r="3603">
          <cell r="I3603">
            <v>0</v>
          </cell>
        </row>
        <row r="3604">
          <cell r="I3604">
            <v>0</v>
          </cell>
        </row>
        <row r="3605">
          <cell r="I3605">
            <v>0</v>
          </cell>
        </row>
        <row r="3606">
          <cell r="I3606">
            <v>0</v>
          </cell>
        </row>
        <row r="3607">
          <cell r="I3607">
            <v>0</v>
          </cell>
        </row>
        <row r="3608">
          <cell r="I3608">
            <v>0</v>
          </cell>
        </row>
        <row r="3609">
          <cell r="I3609">
            <v>0</v>
          </cell>
        </row>
        <row r="3610">
          <cell r="I3610">
            <v>0</v>
          </cell>
        </row>
        <row r="3611">
          <cell r="I3611">
            <v>0</v>
          </cell>
        </row>
        <row r="3612">
          <cell r="I3612">
            <v>0</v>
          </cell>
        </row>
        <row r="3613">
          <cell r="I3613">
            <v>0</v>
          </cell>
        </row>
        <row r="3614">
          <cell r="I3614">
            <v>0</v>
          </cell>
        </row>
        <row r="3615">
          <cell r="I3615">
            <v>0</v>
          </cell>
        </row>
        <row r="3616">
          <cell r="I3616">
            <v>0</v>
          </cell>
        </row>
        <row r="3617">
          <cell r="I3617">
            <v>0</v>
          </cell>
        </row>
        <row r="3618">
          <cell r="I3618">
            <v>0</v>
          </cell>
        </row>
        <row r="3619">
          <cell r="I3619">
            <v>0</v>
          </cell>
        </row>
        <row r="3620">
          <cell r="I3620">
            <v>0</v>
          </cell>
        </row>
        <row r="3621">
          <cell r="I3621">
            <v>0</v>
          </cell>
        </row>
        <row r="3622">
          <cell r="I3622">
            <v>0</v>
          </cell>
        </row>
        <row r="3623">
          <cell r="I3623">
            <v>0</v>
          </cell>
        </row>
        <row r="3624">
          <cell r="I3624">
            <v>0</v>
          </cell>
        </row>
        <row r="3625">
          <cell r="I3625">
            <v>0</v>
          </cell>
        </row>
        <row r="3626">
          <cell r="I3626">
            <v>0</v>
          </cell>
        </row>
        <row r="3627">
          <cell r="I3627">
            <v>0</v>
          </cell>
        </row>
        <row r="3628">
          <cell r="I3628">
            <v>0</v>
          </cell>
        </row>
        <row r="3629">
          <cell r="I3629">
            <v>0</v>
          </cell>
        </row>
        <row r="3630">
          <cell r="I3630">
            <v>0</v>
          </cell>
        </row>
        <row r="3631">
          <cell r="I3631">
            <v>0</v>
          </cell>
        </row>
        <row r="3632">
          <cell r="I3632">
            <v>0</v>
          </cell>
        </row>
        <row r="3633">
          <cell r="I3633">
            <v>0</v>
          </cell>
        </row>
        <row r="3634">
          <cell r="I3634">
            <v>0</v>
          </cell>
        </row>
        <row r="3635">
          <cell r="I3635">
            <v>0</v>
          </cell>
        </row>
        <row r="3636">
          <cell r="I3636">
            <v>0</v>
          </cell>
        </row>
        <row r="3637">
          <cell r="I3637">
            <v>0</v>
          </cell>
        </row>
        <row r="3638">
          <cell r="I3638">
            <v>0</v>
          </cell>
        </row>
        <row r="3639">
          <cell r="I3639">
            <v>0</v>
          </cell>
        </row>
        <row r="3640">
          <cell r="I3640">
            <v>0</v>
          </cell>
        </row>
        <row r="3641">
          <cell r="I3641">
            <v>0</v>
          </cell>
        </row>
        <row r="3642">
          <cell r="I3642">
            <v>0</v>
          </cell>
        </row>
        <row r="3643">
          <cell r="I3643">
            <v>0</v>
          </cell>
        </row>
        <row r="3644">
          <cell r="I3644">
            <v>0</v>
          </cell>
        </row>
        <row r="3645">
          <cell r="I3645">
            <v>0</v>
          </cell>
        </row>
        <row r="3646">
          <cell r="I3646">
            <v>0</v>
          </cell>
        </row>
        <row r="3647">
          <cell r="I3647">
            <v>0</v>
          </cell>
        </row>
        <row r="3648">
          <cell r="I3648">
            <v>0</v>
          </cell>
        </row>
        <row r="3649">
          <cell r="I3649">
            <v>0</v>
          </cell>
        </row>
        <row r="3650">
          <cell r="I3650">
            <v>0</v>
          </cell>
        </row>
        <row r="3651">
          <cell r="I3651">
            <v>0</v>
          </cell>
        </row>
        <row r="3652">
          <cell r="I3652">
            <v>0</v>
          </cell>
        </row>
        <row r="3653">
          <cell r="I3653">
            <v>0</v>
          </cell>
        </row>
        <row r="3654">
          <cell r="I3654">
            <v>0</v>
          </cell>
        </row>
        <row r="3655">
          <cell r="I3655">
            <v>0</v>
          </cell>
        </row>
        <row r="3656">
          <cell r="I3656">
            <v>0</v>
          </cell>
        </row>
        <row r="3657">
          <cell r="I3657">
            <v>0</v>
          </cell>
        </row>
        <row r="3658">
          <cell r="I3658">
            <v>0</v>
          </cell>
        </row>
        <row r="3659">
          <cell r="I3659">
            <v>0</v>
          </cell>
        </row>
        <row r="3660">
          <cell r="I3660">
            <v>0</v>
          </cell>
        </row>
        <row r="3661">
          <cell r="I3661">
            <v>0</v>
          </cell>
        </row>
        <row r="3662">
          <cell r="I3662">
            <v>0</v>
          </cell>
        </row>
        <row r="3663">
          <cell r="I3663">
            <v>0</v>
          </cell>
        </row>
        <row r="3664">
          <cell r="I3664">
            <v>0</v>
          </cell>
        </row>
        <row r="3665">
          <cell r="I3665">
            <v>0</v>
          </cell>
        </row>
        <row r="3666">
          <cell r="I3666">
            <v>0</v>
          </cell>
        </row>
        <row r="3667">
          <cell r="I3667">
            <v>0</v>
          </cell>
        </row>
        <row r="3668">
          <cell r="I3668">
            <v>0</v>
          </cell>
        </row>
        <row r="3669">
          <cell r="I3669">
            <v>0</v>
          </cell>
        </row>
        <row r="3670">
          <cell r="I3670">
            <v>0</v>
          </cell>
        </row>
        <row r="3671">
          <cell r="I3671">
            <v>0</v>
          </cell>
        </row>
        <row r="3672">
          <cell r="I3672">
            <v>0</v>
          </cell>
        </row>
        <row r="3673">
          <cell r="I3673">
            <v>0</v>
          </cell>
        </row>
        <row r="3674">
          <cell r="I3674">
            <v>0</v>
          </cell>
        </row>
        <row r="3675">
          <cell r="I3675">
            <v>0</v>
          </cell>
        </row>
        <row r="3676">
          <cell r="I3676">
            <v>0</v>
          </cell>
        </row>
        <row r="3677">
          <cell r="I3677">
            <v>0</v>
          </cell>
        </row>
        <row r="3678">
          <cell r="I3678">
            <v>0</v>
          </cell>
        </row>
        <row r="3679">
          <cell r="I3679">
            <v>0</v>
          </cell>
        </row>
        <row r="3680">
          <cell r="I3680">
            <v>0</v>
          </cell>
        </row>
        <row r="3681">
          <cell r="I3681">
            <v>0</v>
          </cell>
        </row>
        <row r="3682">
          <cell r="I3682">
            <v>0</v>
          </cell>
        </row>
        <row r="3683">
          <cell r="I3683">
            <v>0</v>
          </cell>
        </row>
        <row r="3684">
          <cell r="I3684">
            <v>0</v>
          </cell>
        </row>
        <row r="3685">
          <cell r="I3685">
            <v>0</v>
          </cell>
        </row>
        <row r="3686">
          <cell r="I3686">
            <v>0</v>
          </cell>
        </row>
        <row r="3687">
          <cell r="I3687">
            <v>0</v>
          </cell>
        </row>
        <row r="3688">
          <cell r="I3688">
            <v>0</v>
          </cell>
        </row>
        <row r="3689">
          <cell r="I3689">
            <v>0</v>
          </cell>
        </row>
        <row r="3690">
          <cell r="I3690">
            <v>0</v>
          </cell>
        </row>
        <row r="3691">
          <cell r="I3691">
            <v>0</v>
          </cell>
        </row>
        <row r="3692">
          <cell r="I3692">
            <v>0</v>
          </cell>
        </row>
        <row r="3693">
          <cell r="I3693">
            <v>0</v>
          </cell>
        </row>
        <row r="3694">
          <cell r="I3694">
            <v>0</v>
          </cell>
        </row>
        <row r="3695">
          <cell r="I3695">
            <v>0</v>
          </cell>
        </row>
        <row r="3696">
          <cell r="I3696">
            <v>0</v>
          </cell>
        </row>
        <row r="3697">
          <cell r="I3697">
            <v>0</v>
          </cell>
        </row>
        <row r="3698">
          <cell r="I3698">
            <v>0</v>
          </cell>
        </row>
        <row r="3699">
          <cell r="I3699">
            <v>0</v>
          </cell>
        </row>
        <row r="3700">
          <cell r="I3700">
            <v>0</v>
          </cell>
        </row>
        <row r="3701">
          <cell r="I3701">
            <v>0</v>
          </cell>
        </row>
        <row r="3702">
          <cell r="I3702">
            <v>0</v>
          </cell>
        </row>
        <row r="3703">
          <cell r="I3703">
            <v>0</v>
          </cell>
        </row>
        <row r="3704">
          <cell r="I3704">
            <v>0</v>
          </cell>
        </row>
        <row r="3705">
          <cell r="I3705">
            <v>0</v>
          </cell>
        </row>
        <row r="3706">
          <cell r="I3706">
            <v>0</v>
          </cell>
        </row>
        <row r="3707">
          <cell r="I3707">
            <v>0</v>
          </cell>
        </row>
        <row r="3708">
          <cell r="I3708">
            <v>0</v>
          </cell>
        </row>
        <row r="3709">
          <cell r="I3709">
            <v>0</v>
          </cell>
        </row>
        <row r="3710">
          <cell r="I3710">
            <v>0</v>
          </cell>
        </row>
        <row r="3711">
          <cell r="I3711">
            <v>0</v>
          </cell>
        </row>
        <row r="3712">
          <cell r="I3712">
            <v>0</v>
          </cell>
        </row>
        <row r="3713">
          <cell r="I3713">
            <v>0</v>
          </cell>
        </row>
        <row r="3714">
          <cell r="I3714">
            <v>0</v>
          </cell>
        </row>
        <row r="3715">
          <cell r="I3715">
            <v>0</v>
          </cell>
        </row>
        <row r="3716">
          <cell r="I3716">
            <v>0</v>
          </cell>
        </row>
        <row r="3717">
          <cell r="I3717">
            <v>0</v>
          </cell>
        </row>
        <row r="3718">
          <cell r="I3718">
            <v>0</v>
          </cell>
        </row>
        <row r="3719">
          <cell r="I3719">
            <v>0</v>
          </cell>
        </row>
        <row r="3720">
          <cell r="I3720">
            <v>0</v>
          </cell>
        </row>
        <row r="3721">
          <cell r="I3721">
            <v>0</v>
          </cell>
        </row>
        <row r="3722">
          <cell r="I3722">
            <v>0</v>
          </cell>
        </row>
        <row r="3723">
          <cell r="I3723">
            <v>0</v>
          </cell>
        </row>
        <row r="3724">
          <cell r="I3724">
            <v>0</v>
          </cell>
        </row>
        <row r="3725">
          <cell r="I3725">
            <v>0</v>
          </cell>
        </row>
        <row r="3726">
          <cell r="I3726">
            <v>0</v>
          </cell>
        </row>
        <row r="3727">
          <cell r="I3727">
            <v>0</v>
          </cell>
        </row>
        <row r="3728">
          <cell r="I3728">
            <v>0</v>
          </cell>
        </row>
        <row r="3729">
          <cell r="I3729">
            <v>0</v>
          </cell>
        </row>
        <row r="3730">
          <cell r="I3730">
            <v>0</v>
          </cell>
        </row>
        <row r="3731">
          <cell r="I3731">
            <v>0</v>
          </cell>
        </row>
        <row r="3732">
          <cell r="I3732">
            <v>0</v>
          </cell>
        </row>
        <row r="3733">
          <cell r="I3733">
            <v>0</v>
          </cell>
        </row>
        <row r="3734">
          <cell r="I3734">
            <v>0</v>
          </cell>
        </row>
        <row r="3735">
          <cell r="I3735">
            <v>0</v>
          </cell>
        </row>
        <row r="3736">
          <cell r="I3736">
            <v>0</v>
          </cell>
        </row>
        <row r="3737">
          <cell r="I3737">
            <v>0</v>
          </cell>
        </row>
        <row r="3738">
          <cell r="I3738">
            <v>0</v>
          </cell>
        </row>
        <row r="3739">
          <cell r="I3739">
            <v>0</v>
          </cell>
        </row>
        <row r="3740">
          <cell r="I3740">
            <v>0</v>
          </cell>
        </row>
        <row r="3741">
          <cell r="I3741">
            <v>0</v>
          </cell>
        </row>
        <row r="3742">
          <cell r="I3742">
            <v>0</v>
          </cell>
        </row>
        <row r="3743">
          <cell r="I3743">
            <v>0</v>
          </cell>
        </row>
        <row r="3744">
          <cell r="I3744">
            <v>0</v>
          </cell>
        </row>
        <row r="3745">
          <cell r="I3745">
            <v>0</v>
          </cell>
        </row>
        <row r="3746">
          <cell r="I3746">
            <v>0</v>
          </cell>
        </row>
        <row r="3747">
          <cell r="I3747">
            <v>0</v>
          </cell>
        </row>
        <row r="3748">
          <cell r="I3748">
            <v>0</v>
          </cell>
        </row>
        <row r="3749">
          <cell r="I3749">
            <v>0</v>
          </cell>
        </row>
        <row r="3750">
          <cell r="I3750">
            <v>0</v>
          </cell>
        </row>
        <row r="3751">
          <cell r="I3751">
            <v>0</v>
          </cell>
        </row>
        <row r="3752">
          <cell r="I3752">
            <v>0</v>
          </cell>
        </row>
        <row r="3753">
          <cell r="I3753">
            <v>0</v>
          </cell>
        </row>
        <row r="3754">
          <cell r="I3754">
            <v>0</v>
          </cell>
        </row>
        <row r="3755">
          <cell r="I3755">
            <v>0</v>
          </cell>
        </row>
        <row r="3756">
          <cell r="I3756">
            <v>0</v>
          </cell>
        </row>
        <row r="3757">
          <cell r="I3757">
            <v>0</v>
          </cell>
        </row>
        <row r="3758">
          <cell r="I3758">
            <v>0</v>
          </cell>
        </row>
        <row r="3759">
          <cell r="I3759">
            <v>0</v>
          </cell>
        </row>
        <row r="3760">
          <cell r="I3760">
            <v>0</v>
          </cell>
        </row>
        <row r="3761">
          <cell r="I3761">
            <v>0</v>
          </cell>
        </row>
        <row r="3762">
          <cell r="I3762">
            <v>0</v>
          </cell>
        </row>
        <row r="3763">
          <cell r="I3763">
            <v>0</v>
          </cell>
        </row>
        <row r="3764">
          <cell r="I3764">
            <v>0</v>
          </cell>
        </row>
        <row r="3765">
          <cell r="I3765">
            <v>0</v>
          </cell>
        </row>
        <row r="3766">
          <cell r="I3766">
            <v>0</v>
          </cell>
        </row>
        <row r="3767">
          <cell r="I3767">
            <v>0</v>
          </cell>
        </row>
        <row r="3768">
          <cell r="I3768">
            <v>0</v>
          </cell>
        </row>
        <row r="3769">
          <cell r="I3769">
            <v>0</v>
          </cell>
        </row>
        <row r="3770">
          <cell r="I3770">
            <v>0</v>
          </cell>
        </row>
        <row r="3771">
          <cell r="I3771">
            <v>0</v>
          </cell>
        </row>
        <row r="3772">
          <cell r="I3772">
            <v>0</v>
          </cell>
        </row>
        <row r="3773">
          <cell r="I3773">
            <v>0</v>
          </cell>
        </row>
        <row r="3774">
          <cell r="I3774">
            <v>0</v>
          </cell>
        </row>
        <row r="3775">
          <cell r="I3775">
            <v>0</v>
          </cell>
        </row>
        <row r="3776">
          <cell r="I3776">
            <v>0</v>
          </cell>
        </row>
        <row r="3777">
          <cell r="I3777">
            <v>0</v>
          </cell>
        </row>
        <row r="3778">
          <cell r="I3778">
            <v>0</v>
          </cell>
        </row>
        <row r="3779">
          <cell r="I3779">
            <v>0</v>
          </cell>
        </row>
        <row r="3780">
          <cell r="I3780">
            <v>0</v>
          </cell>
        </row>
        <row r="3781">
          <cell r="I3781">
            <v>0</v>
          </cell>
        </row>
        <row r="3782">
          <cell r="I3782">
            <v>0</v>
          </cell>
        </row>
        <row r="3783">
          <cell r="I3783">
            <v>0</v>
          </cell>
        </row>
        <row r="3784">
          <cell r="I3784">
            <v>0</v>
          </cell>
        </row>
        <row r="3785">
          <cell r="I3785">
            <v>0</v>
          </cell>
        </row>
        <row r="3786">
          <cell r="I3786">
            <v>0</v>
          </cell>
        </row>
        <row r="3787">
          <cell r="I3787">
            <v>0</v>
          </cell>
        </row>
        <row r="3788">
          <cell r="I3788">
            <v>0</v>
          </cell>
        </row>
        <row r="3789">
          <cell r="I3789">
            <v>0</v>
          </cell>
        </row>
        <row r="3790">
          <cell r="I3790">
            <v>0</v>
          </cell>
        </row>
        <row r="3791">
          <cell r="I3791">
            <v>0</v>
          </cell>
        </row>
        <row r="3792">
          <cell r="I3792">
            <v>0</v>
          </cell>
        </row>
        <row r="3793">
          <cell r="I3793">
            <v>0</v>
          </cell>
        </row>
        <row r="3794">
          <cell r="I3794">
            <v>0</v>
          </cell>
        </row>
        <row r="3795">
          <cell r="I3795">
            <v>0</v>
          </cell>
        </row>
        <row r="3796">
          <cell r="I3796">
            <v>0</v>
          </cell>
        </row>
        <row r="3797">
          <cell r="I3797">
            <v>0</v>
          </cell>
        </row>
        <row r="3798">
          <cell r="I3798">
            <v>0</v>
          </cell>
        </row>
        <row r="3799">
          <cell r="I3799">
            <v>0</v>
          </cell>
        </row>
        <row r="3800">
          <cell r="I3800">
            <v>0</v>
          </cell>
        </row>
        <row r="3801">
          <cell r="I3801">
            <v>0</v>
          </cell>
        </row>
        <row r="3802">
          <cell r="I3802">
            <v>0</v>
          </cell>
        </row>
        <row r="3803">
          <cell r="I3803">
            <v>0</v>
          </cell>
        </row>
        <row r="3804">
          <cell r="I3804">
            <v>0</v>
          </cell>
        </row>
        <row r="3805">
          <cell r="I3805">
            <v>0</v>
          </cell>
        </row>
        <row r="3806">
          <cell r="I3806">
            <v>0</v>
          </cell>
        </row>
        <row r="3807">
          <cell r="I3807">
            <v>0</v>
          </cell>
        </row>
        <row r="3808">
          <cell r="I3808">
            <v>0</v>
          </cell>
        </row>
        <row r="3809">
          <cell r="I3809">
            <v>0</v>
          </cell>
        </row>
        <row r="3810">
          <cell r="I3810">
            <v>0</v>
          </cell>
        </row>
        <row r="3811">
          <cell r="I3811">
            <v>0</v>
          </cell>
        </row>
        <row r="3812">
          <cell r="I3812">
            <v>0</v>
          </cell>
        </row>
        <row r="3813">
          <cell r="I3813">
            <v>0</v>
          </cell>
        </row>
        <row r="3814">
          <cell r="I3814">
            <v>0</v>
          </cell>
        </row>
        <row r="3815">
          <cell r="I3815">
            <v>0</v>
          </cell>
        </row>
        <row r="3816">
          <cell r="I3816">
            <v>0</v>
          </cell>
        </row>
        <row r="3817">
          <cell r="I3817">
            <v>0</v>
          </cell>
        </row>
        <row r="3818">
          <cell r="I3818">
            <v>0</v>
          </cell>
        </row>
        <row r="3819">
          <cell r="I3819">
            <v>0</v>
          </cell>
        </row>
        <row r="3820">
          <cell r="I3820">
            <v>0</v>
          </cell>
        </row>
        <row r="3821">
          <cell r="I3821">
            <v>0</v>
          </cell>
        </row>
        <row r="3822">
          <cell r="I3822">
            <v>0</v>
          </cell>
        </row>
        <row r="3823">
          <cell r="I3823">
            <v>0</v>
          </cell>
        </row>
        <row r="3824">
          <cell r="I3824">
            <v>0</v>
          </cell>
        </row>
        <row r="3825">
          <cell r="I3825">
            <v>0</v>
          </cell>
        </row>
        <row r="3826">
          <cell r="I3826">
            <v>0</v>
          </cell>
        </row>
        <row r="3827">
          <cell r="I3827">
            <v>0</v>
          </cell>
        </row>
        <row r="3828">
          <cell r="I3828">
            <v>0</v>
          </cell>
        </row>
        <row r="3829">
          <cell r="I3829">
            <v>0</v>
          </cell>
        </row>
        <row r="3830">
          <cell r="I3830">
            <v>0</v>
          </cell>
        </row>
        <row r="3831">
          <cell r="I3831">
            <v>0</v>
          </cell>
        </row>
        <row r="3832">
          <cell r="I3832">
            <v>0</v>
          </cell>
        </row>
        <row r="3833">
          <cell r="I3833">
            <v>0</v>
          </cell>
        </row>
        <row r="3834">
          <cell r="I3834">
            <v>0</v>
          </cell>
        </row>
        <row r="3835">
          <cell r="I3835">
            <v>0</v>
          </cell>
        </row>
        <row r="3836">
          <cell r="I3836">
            <v>0</v>
          </cell>
        </row>
        <row r="3837">
          <cell r="I3837">
            <v>0</v>
          </cell>
        </row>
        <row r="3838">
          <cell r="I3838">
            <v>0</v>
          </cell>
        </row>
        <row r="3839">
          <cell r="I3839">
            <v>0</v>
          </cell>
        </row>
        <row r="3840">
          <cell r="I3840">
            <v>0</v>
          </cell>
        </row>
        <row r="3841">
          <cell r="I3841">
            <v>0</v>
          </cell>
        </row>
        <row r="3842">
          <cell r="I3842">
            <v>0</v>
          </cell>
        </row>
        <row r="3843">
          <cell r="I3843">
            <v>0</v>
          </cell>
        </row>
        <row r="3844">
          <cell r="I3844">
            <v>0</v>
          </cell>
        </row>
        <row r="3845">
          <cell r="I3845">
            <v>0</v>
          </cell>
        </row>
        <row r="3846">
          <cell r="I3846">
            <v>0</v>
          </cell>
        </row>
        <row r="3847">
          <cell r="I3847">
            <v>0</v>
          </cell>
        </row>
        <row r="3848">
          <cell r="I3848">
            <v>0</v>
          </cell>
        </row>
        <row r="3849">
          <cell r="I3849">
            <v>0</v>
          </cell>
        </row>
        <row r="3850">
          <cell r="I3850">
            <v>0</v>
          </cell>
        </row>
        <row r="3851">
          <cell r="I3851">
            <v>0</v>
          </cell>
        </row>
        <row r="3852">
          <cell r="I3852">
            <v>0</v>
          </cell>
        </row>
        <row r="3853">
          <cell r="I3853">
            <v>0</v>
          </cell>
        </row>
        <row r="3854">
          <cell r="I3854">
            <v>0</v>
          </cell>
        </row>
        <row r="3855">
          <cell r="I3855">
            <v>0</v>
          </cell>
        </row>
        <row r="3856">
          <cell r="I3856">
            <v>0</v>
          </cell>
        </row>
        <row r="3857">
          <cell r="I3857">
            <v>0</v>
          </cell>
        </row>
        <row r="3858">
          <cell r="I3858">
            <v>0</v>
          </cell>
        </row>
        <row r="3859">
          <cell r="I3859">
            <v>0</v>
          </cell>
        </row>
        <row r="3860">
          <cell r="I3860">
            <v>0</v>
          </cell>
        </row>
        <row r="3861">
          <cell r="I3861">
            <v>0</v>
          </cell>
        </row>
        <row r="3862">
          <cell r="I3862">
            <v>0</v>
          </cell>
        </row>
        <row r="3863">
          <cell r="I3863">
            <v>0</v>
          </cell>
        </row>
        <row r="3864">
          <cell r="I3864">
            <v>0</v>
          </cell>
        </row>
        <row r="3865">
          <cell r="I3865">
            <v>0</v>
          </cell>
        </row>
        <row r="3866">
          <cell r="I3866">
            <v>0</v>
          </cell>
        </row>
        <row r="3867">
          <cell r="I3867">
            <v>0</v>
          </cell>
        </row>
        <row r="3868">
          <cell r="I3868">
            <v>0</v>
          </cell>
        </row>
        <row r="3869">
          <cell r="I3869">
            <v>0</v>
          </cell>
        </row>
        <row r="3870">
          <cell r="I3870">
            <v>0</v>
          </cell>
        </row>
        <row r="3871">
          <cell r="I3871">
            <v>0</v>
          </cell>
        </row>
        <row r="3872">
          <cell r="I3872">
            <v>0</v>
          </cell>
        </row>
        <row r="3873">
          <cell r="I3873">
            <v>0</v>
          </cell>
        </row>
        <row r="3874">
          <cell r="I3874">
            <v>0</v>
          </cell>
        </row>
        <row r="3875">
          <cell r="I3875">
            <v>0</v>
          </cell>
        </row>
        <row r="3876">
          <cell r="I3876">
            <v>0</v>
          </cell>
        </row>
        <row r="3877">
          <cell r="I3877">
            <v>0</v>
          </cell>
        </row>
        <row r="3878">
          <cell r="I3878">
            <v>0</v>
          </cell>
        </row>
        <row r="3879">
          <cell r="I3879">
            <v>0</v>
          </cell>
        </row>
        <row r="3880">
          <cell r="I3880">
            <v>0</v>
          </cell>
        </row>
        <row r="3881">
          <cell r="I3881">
            <v>0</v>
          </cell>
        </row>
        <row r="3882">
          <cell r="I3882">
            <v>0</v>
          </cell>
        </row>
        <row r="3883">
          <cell r="I3883">
            <v>0</v>
          </cell>
        </row>
        <row r="3884">
          <cell r="I3884">
            <v>0</v>
          </cell>
        </row>
        <row r="3885">
          <cell r="I3885">
            <v>0</v>
          </cell>
        </row>
        <row r="3886">
          <cell r="I3886">
            <v>0</v>
          </cell>
        </row>
        <row r="3887">
          <cell r="I3887">
            <v>0</v>
          </cell>
        </row>
        <row r="3888">
          <cell r="I3888">
            <v>0</v>
          </cell>
        </row>
        <row r="3889">
          <cell r="I3889">
            <v>0</v>
          </cell>
        </row>
        <row r="3890">
          <cell r="I3890">
            <v>0</v>
          </cell>
        </row>
        <row r="3891">
          <cell r="I3891">
            <v>0</v>
          </cell>
        </row>
        <row r="3892">
          <cell r="I3892">
            <v>0</v>
          </cell>
        </row>
        <row r="3893">
          <cell r="I3893">
            <v>0</v>
          </cell>
        </row>
        <row r="3894">
          <cell r="I3894">
            <v>0</v>
          </cell>
        </row>
        <row r="3895">
          <cell r="I3895">
            <v>0</v>
          </cell>
        </row>
        <row r="3896">
          <cell r="I3896">
            <v>0</v>
          </cell>
        </row>
        <row r="3897">
          <cell r="I3897">
            <v>0</v>
          </cell>
        </row>
        <row r="3898">
          <cell r="I3898">
            <v>0</v>
          </cell>
        </row>
        <row r="3899">
          <cell r="I3899">
            <v>0</v>
          </cell>
        </row>
        <row r="3900">
          <cell r="I3900">
            <v>0</v>
          </cell>
        </row>
        <row r="3901">
          <cell r="I3901">
            <v>0</v>
          </cell>
        </row>
        <row r="3902">
          <cell r="I3902">
            <v>0</v>
          </cell>
        </row>
        <row r="3903">
          <cell r="I3903">
            <v>0</v>
          </cell>
        </row>
        <row r="3904">
          <cell r="I3904">
            <v>0</v>
          </cell>
        </row>
        <row r="3905">
          <cell r="I3905">
            <v>0</v>
          </cell>
        </row>
        <row r="3906">
          <cell r="I3906">
            <v>0</v>
          </cell>
        </row>
        <row r="3907">
          <cell r="I3907">
            <v>0</v>
          </cell>
        </row>
        <row r="3908">
          <cell r="I3908">
            <v>0</v>
          </cell>
        </row>
        <row r="3909">
          <cell r="I3909">
            <v>0</v>
          </cell>
        </row>
        <row r="3910">
          <cell r="I3910">
            <v>0</v>
          </cell>
        </row>
        <row r="3911">
          <cell r="I3911">
            <v>0</v>
          </cell>
        </row>
        <row r="3912">
          <cell r="I3912">
            <v>0</v>
          </cell>
        </row>
        <row r="3913">
          <cell r="I3913">
            <v>0</v>
          </cell>
        </row>
        <row r="3914">
          <cell r="I3914">
            <v>0</v>
          </cell>
        </row>
        <row r="3915">
          <cell r="I3915">
            <v>0</v>
          </cell>
        </row>
        <row r="3916">
          <cell r="I3916">
            <v>0</v>
          </cell>
        </row>
        <row r="3917">
          <cell r="I3917">
            <v>0</v>
          </cell>
        </row>
        <row r="3918">
          <cell r="I3918">
            <v>0</v>
          </cell>
        </row>
        <row r="3919">
          <cell r="I3919">
            <v>0</v>
          </cell>
        </row>
        <row r="3920">
          <cell r="I3920">
            <v>0</v>
          </cell>
        </row>
        <row r="3921">
          <cell r="I3921">
            <v>0</v>
          </cell>
        </row>
        <row r="3922">
          <cell r="I3922">
            <v>0</v>
          </cell>
        </row>
        <row r="3923">
          <cell r="I3923">
            <v>0</v>
          </cell>
        </row>
        <row r="3924">
          <cell r="I3924">
            <v>0</v>
          </cell>
        </row>
        <row r="3925">
          <cell r="I3925">
            <v>0</v>
          </cell>
        </row>
        <row r="3926">
          <cell r="I3926">
            <v>0</v>
          </cell>
        </row>
        <row r="3927">
          <cell r="I3927">
            <v>0</v>
          </cell>
        </row>
        <row r="3928">
          <cell r="I3928">
            <v>0</v>
          </cell>
        </row>
        <row r="3929">
          <cell r="I3929">
            <v>0</v>
          </cell>
        </row>
        <row r="3930">
          <cell r="I3930">
            <v>0</v>
          </cell>
        </row>
        <row r="3931">
          <cell r="I3931">
            <v>0</v>
          </cell>
        </row>
        <row r="3932">
          <cell r="I3932">
            <v>0</v>
          </cell>
        </row>
        <row r="3933">
          <cell r="I3933">
            <v>0</v>
          </cell>
        </row>
        <row r="3934">
          <cell r="I3934">
            <v>0</v>
          </cell>
        </row>
        <row r="3935">
          <cell r="I3935">
            <v>0</v>
          </cell>
        </row>
        <row r="3936">
          <cell r="I3936">
            <v>0</v>
          </cell>
        </row>
        <row r="3937">
          <cell r="I3937">
            <v>0</v>
          </cell>
        </row>
        <row r="3938">
          <cell r="I3938">
            <v>0</v>
          </cell>
        </row>
        <row r="3939">
          <cell r="I3939">
            <v>0</v>
          </cell>
        </row>
        <row r="3940">
          <cell r="I3940">
            <v>0</v>
          </cell>
        </row>
        <row r="3941">
          <cell r="I3941">
            <v>0</v>
          </cell>
        </row>
        <row r="3942">
          <cell r="I3942">
            <v>0</v>
          </cell>
        </row>
        <row r="3943">
          <cell r="I3943">
            <v>0</v>
          </cell>
        </row>
        <row r="3944">
          <cell r="I3944">
            <v>0</v>
          </cell>
        </row>
        <row r="3945">
          <cell r="I3945">
            <v>0</v>
          </cell>
        </row>
        <row r="3946">
          <cell r="I3946">
            <v>0</v>
          </cell>
        </row>
        <row r="3947">
          <cell r="I3947">
            <v>0</v>
          </cell>
        </row>
        <row r="3948">
          <cell r="I3948">
            <v>0</v>
          </cell>
        </row>
        <row r="3949">
          <cell r="I3949">
            <v>0</v>
          </cell>
        </row>
        <row r="3950">
          <cell r="I3950">
            <v>0</v>
          </cell>
        </row>
        <row r="3951">
          <cell r="I3951">
            <v>0</v>
          </cell>
        </row>
        <row r="3952">
          <cell r="I3952">
            <v>0</v>
          </cell>
        </row>
        <row r="3953">
          <cell r="I3953">
            <v>0</v>
          </cell>
        </row>
        <row r="3954">
          <cell r="I3954">
            <v>0</v>
          </cell>
        </row>
        <row r="3955">
          <cell r="I3955">
            <v>0</v>
          </cell>
        </row>
        <row r="3956">
          <cell r="I3956">
            <v>0</v>
          </cell>
        </row>
        <row r="3957">
          <cell r="I3957">
            <v>0</v>
          </cell>
        </row>
        <row r="3958">
          <cell r="I3958">
            <v>0</v>
          </cell>
        </row>
        <row r="3959">
          <cell r="I3959">
            <v>0</v>
          </cell>
        </row>
        <row r="3960">
          <cell r="I3960">
            <v>0</v>
          </cell>
        </row>
        <row r="3961">
          <cell r="I3961">
            <v>0</v>
          </cell>
        </row>
        <row r="3962">
          <cell r="I3962">
            <v>0</v>
          </cell>
        </row>
        <row r="3963">
          <cell r="I3963">
            <v>0</v>
          </cell>
        </row>
        <row r="3964">
          <cell r="I3964">
            <v>0</v>
          </cell>
        </row>
        <row r="3965">
          <cell r="I3965">
            <v>0</v>
          </cell>
        </row>
        <row r="3966">
          <cell r="I3966">
            <v>0</v>
          </cell>
        </row>
        <row r="3967">
          <cell r="I3967">
            <v>0</v>
          </cell>
        </row>
        <row r="3968">
          <cell r="I3968">
            <v>0</v>
          </cell>
        </row>
        <row r="3969">
          <cell r="I3969">
            <v>0</v>
          </cell>
        </row>
        <row r="3970">
          <cell r="I3970">
            <v>0</v>
          </cell>
        </row>
        <row r="3971">
          <cell r="I3971">
            <v>0</v>
          </cell>
        </row>
        <row r="3972">
          <cell r="I3972">
            <v>0</v>
          </cell>
        </row>
        <row r="3973">
          <cell r="I3973">
            <v>0</v>
          </cell>
        </row>
        <row r="3974">
          <cell r="I3974">
            <v>0</v>
          </cell>
        </row>
        <row r="3975">
          <cell r="I3975">
            <v>0</v>
          </cell>
        </row>
        <row r="3976">
          <cell r="I3976">
            <v>0</v>
          </cell>
        </row>
        <row r="3977">
          <cell r="I3977">
            <v>0</v>
          </cell>
        </row>
        <row r="3978">
          <cell r="I3978">
            <v>0</v>
          </cell>
        </row>
        <row r="3979">
          <cell r="I3979">
            <v>0</v>
          </cell>
        </row>
        <row r="3980">
          <cell r="I3980">
            <v>0</v>
          </cell>
        </row>
        <row r="3981">
          <cell r="I3981">
            <v>0</v>
          </cell>
        </row>
        <row r="3982">
          <cell r="I3982">
            <v>0</v>
          </cell>
        </row>
        <row r="3983">
          <cell r="I3983">
            <v>0</v>
          </cell>
        </row>
        <row r="3984">
          <cell r="I3984">
            <v>0</v>
          </cell>
        </row>
        <row r="3985">
          <cell r="I3985">
            <v>0</v>
          </cell>
        </row>
        <row r="3986">
          <cell r="I3986">
            <v>0</v>
          </cell>
        </row>
        <row r="3987">
          <cell r="I3987">
            <v>0</v>
          </cell>
        </row>
        <row r="3988">
          <cell r="I3988">
            <v>0</v>
          </cell>
        </row>
        <row r="3989">
          <cell r="I3989">
            <v>0</v>
          </cell>
        </row>
        <row r="3990">
          <cell r="I3990">
            <v>0</v>
          </cell>
        </row>
        <row r="3991">
          <cell r="I3991">
            <v>0</v>
          </cell>
        </row>
        <row r="3992">
          <cell r="I3992">
            <v>0</v>
          </cell>
        </row>
        <row r="3993">
          <cell r="I3993">
            <v>0</v>
          </cell>
        </row>
        <row r="3994">
          <cell r="I3994">
            <v>0</v>
          </cell>
        </row>
        <row r="3995">
          <cell r="I3995">
            <v>0</v>
          </cell>
        </row>
        <row r="3996">
          <cell r="I3996">
            <v>0</v>
          </cell>
        </row>
        <row r="3997">
          <cell r="I3997">
            <v>0</v>
          </cell>
        </row>
        <row r="3998">
          <cell r="I3998">
            <v>0</v>
          </cell>
        </row>
        <row r="3999">
          <cell r="I3999">
            <v>0</v>
          </cell>
        </row>
        <row r="4000">
          <cell r="I4000">
            <v>0</v>
          </cell>
        </row>
        <row r="4001">
          <cell r="I4001">
            <v>0</v>
          </cell>
        </row>
        <row r="4002">
          <cell r="I4002">
            <v>0</v>
          </cell>
        </row>
        <row r="4003">
          <cell r="I4003">
            <v>0</v>
          </cell>
        </row>
        <row r="4004">
          <cell r="I4004">
            <v>0</v>
          </cell>
        </row>
        <row r="4005">
          <cell r="I4005">
            <v>0</v>
          </cell>
        </row>
        <row r="4006">
          <cell r="I4006">
            <v>0</v>
          </cell>
        </row>
        <row r="4007">
          <cell r="I4007">
            <v>0</v>
          </cell>
        </row>
        <row r="4008">
          <cell r="I4008">
            <v>0</v>
          </cell>
        </row>
        <row r="4009">
          <cell r="I4009">
            <v>0</v>
          </cell>
        </row>
        <row r="4010">
          <cell r="I4010">
            <v>0</v>
          </cell>
        </row>
        <row r="4011">
          <cell r="I4011">
            <v>0</v>
          </cell>
        </row>
        <row r="4012">
          <cell r="I4012">
            <v>0</v>
          </cell>
        </row>
        <row r="4013">
          <cell r="I4013">
            <v>0</v>
          </cell>
        </row>
        <row r="4014">
          <cell r="I4014">
            <v>0</v>
          </cell>
        </row>
        <row r="4015">
          <cell r="I4015">
            <v>0</v>
          </cell>
        </row>
        <row r="4016">
          <cell r="I4016">
            <v>0</v>
          </cell>
        </row>
        <row r="4017">
          <cell r="I4017">
            <v>0</v>
          </cell>
        </row>
        <row r="4018">
          <cell r="I4018">
            <v>0</v>
          </cell>
        </row>
        <row r="4019">
          <cell r="I4019">
            <v>0</v>
          </cell>
        </row>
        <row r="4020">
          <cell r="I4020">
            <v>0</v>
          </cell>
        </row>
        <row r="4021">
          <cell r="I4021">
            <v>0</v>
          </cell>
        </row>
        <row r="4022">
          <cell r="I4022">
            <v>0</v>
          </cell>
        </row>
        <row r="4023">
          <cell r="I4023">
            <v>0</v>
          </cell>
        </row>
        <row r="4024">
          <cell r="I4024">
            <v>0</v>
          </cell>
        </row>
        <row r="4025">
          <cell r="I4025">
            <v>0</v>
          </cell>
        </row>
        <row r="4026">
          <cell r="I4026">
            <v>0</v>
          </cell>
        </row>
        <row r="4027">
          <cell r="I4027">
            <v>0</v>
          </cell>
        </row>
        <row r="4028">
          <cell r="I4028">
            <v>0</v>
          </cell>
        </row>
        <row r="4029">
          <cell r="I4029">
            <v>0</v>
          </cell>
        </row>
        <row r="4030">
          <cell r="I4030">
            <v>0</v>
          </cell>
        </row>
        <row r="4031">
          <cell r="I4031">
            <v>0</v>
          </cell>
        </row>
        <row r="4032">
          <cell r="I4032">
            <v>0</v>
          </cell>
        </row>
        <row r="4033">
          <cell r="I4033">
            <v>0</v>
          </cell>
        </row>
        <row r="4034">
          <cell r="I4034">
            <v>0</v>
          </cell>
        </row>
        <row r="4035">
          <cell r="I4035">
            <v>0</v>
          </cell>
        </row>
        <row r="4036">
          <cell r="I4036">
            <v>0</v>
          </cell>
        </row>
        <row r="4037">
          <cell r="I4037">
            <v>0</v>
          </cell>
        </row>
        <row r="4038">
          <cell r="I4038">
            <v>0</v>
          </cell>
        </row>
        <row r="4039">
          <cell r="I4039">
            <v>0</v>
          </cell>
        </row>
        <row r="4040">
          <cell r="I4040">
            <v>0</v>
          </cell>
        </row>
        <row r="4041">
          <cell r="I4041">
            <v>0</v>
          </cell>
        </row>
        <row r="4042">
          <cell r="I4042">
            <v>0</v>
          </cell>
        </row>
        <row r="4043">
          <cell r="I4043">
            <v>0</v>
          </cell>
        </row>
        <row r="4044">
          <cell r="I4044">
            <v>0</v>
          </cell>
        </row>
        <row r="4045">
          <cell r="I4045">
            <v>0</v>
          </cell>
        </row>
        <row r="4046">
          <cell r="I4046">
            <v>0</v>
          </cell>
        </row>
        <row r="4047">
          <cell r="I4047">
            <v>0</v>
          </cell>
        </row>
        <row r="4048">
          <cell r="I4048">
            <v>0</v>
          </cell>
        </row>
        <row r="4049">
          <cell r="I4049">
            <v>0</v>
          </cell>
        </row>
        <row r="4050">
          <cell r="I4050">
            <v>0</v>
          </cell>
        </row>
        <row r="4051">
          <cell r="I4051">
            <v>0</v>
          </cell>
        </row>
        <row r="4052">
          <cell r="I4052">
            <v>0</v>
          </cell>
        </row>
        <row r="4053">
          <cell r="I4053">
            <v>0</v>
          </cell>
        </row>
        <row r="4054">
          <cell r="I4054">
            <v>0</v>
          </cell>
        </row>
        <row r="4055">
          <cell r="I4055">
            <v>0</v>
          </cell>
        </row>
        <row r="4056">
          <cell r="I4056">
            <v>0</v>
          </cell>
        </row>
        <row r="4057">
          <cell r="I4057">
            <v>0</v>
          </cell>
        </row>
        <row r="4058">
          <cell r="I4058">
            <v>0</v>
          </cell>
        </row>
        <row r="4059">
          <cell r="I4059">
            <v>0</v>
          </cell>
        </row>
        <row r="4060">
          <cell r="I4060">
            <v>0</v>
          </cell>
        </row>
        <row r="4061">
          <cell r="I4061">
            <v>0</v>
          </cell>
        </row>
        <row r="4062">
          <cell r="I4062">
            <v>0</v>
          </cell>
        </row>
        <row r="4063">
          <cell r="I4063">
            <v>0</v>
          </cell>
        </row>
        <row r="4064">
          <cell r="I4064">
            <v>0</v>
          </cell>
        </row>
        <row r="4065">
          <cell r="I4065">
            <v>0</v>
          </cell>
        </row>
        <row r="4066">
          <cell r="I4066">
            <v>0</v>
          </cell>
        </row>
        <row r="4067">
          <cell r="I4067">
            <v>0</v>
          </cell>
        </row>
        <row r="4068">
          <cell r="I4068">
            <v>0</v>
          </cell>
        </row>
        <row r="4069">
          <cell r="I4069">
            <v>0</v>
          </cell>
        </row>
        <row r="4070">
          <cell r="I4070">
            <v>0</v>
          </cell>
        </row>
        <row r="4071">
          <cell r="I4071">
            <v>0</v>
          </cell>
        </row>
        <row r="4072">
          <cell r="I4072">
            <v>0</v>
          </cell>
        </row>
        <row r="4073">
          <cell r="I4073">
            <v>0</v>
          </cell>
        </row>
        <row r="4074">
          <cell r="I4074">
            <v>0</v>
          </cell>
        </row>
        <row r="4075">
          <cell r="I4075">
            <v>0</v>
          </cell>
        </row>
        <row r="4076">
          <cell r="I4076">
            <v>0</v>
          </cell>
        </row>
        <row r="4077">
          <cell r="I4077">
            <v>0</v>
          </cell>
        </row>
        <row r="4078">
          <cell r="I4078">
            <v>0</v>
          </cell>
        </row>
        <row r="4079">
          <cell r="I4079">
            <v>0</v>
          </cell>
        </row>
        <row r="4080">
          <cell r="I4080">
            <v>0</v>
          </cell>
        </row>
        <row r="4081">
          <cell r="I4081">
            <v>0</v>
          </cell>
        </row>
        <row r="4082">
          <cell r="I4082">
            <v>0</v>
          </cell>
        </row>
        <row r="4083">
          <cell r="I4083">
            <v>0</v>
          </cell>
        </row>
        <row r="4084">
          <cell r="I4084">
            <v>0</v>
          </cell>
        </row>
        <row r="4085">
          <cell r="I4085">
            <v>0</v>
          </cell>
        </row>
        <row r="4086">
          <cell r="I4086">
            <v>0</v>
          </cell>
        </row>
        <row r="4087">
          <cell r="I4087">
            <v>0</v>
          </cell>
        </row>
        <row r="4088">
          <cell r="I4088">
            <v>0</v>
          </cell>
        </row>
        <row r="4089">
          <cell r="I4089">
            <v>0</v>
          </cell>
        </row>
        <row r="4090">
          <cell r="I4090">
            <v>0</v>
          </cell>
        </row>
        <row r="4091">
          <cell r="I4091">
            <v>0</v>
          </cell>
        </row>
        <row r="4092">
          <cell r="I4092">
            <v>0</v>
          </cell>
        </row>
        <row r="4093">
          <cell r="I4093">
            <v>0</v>
          </cell>
        </row>
        <row r="4094">
          <cell r="I4094">
            <v>0</v>
          </cell>
        </row>
        <row r="4095">
          <cell r="I4095">
            <v>0</v>
          </cell>
        </row>
        <row r="4096">
          <cell r="I4096">
            <v>0</v>
          </cell>
        </row>
        <row r="4097">
          <cell r="I4097">
            <v>0</v>
          </cell>
        </row>
        <row r="4098">
          <cell r="I4098">
            <v>0</v>
          </cell>
        </row>
        <row r="4099">
          <cell r="I4099">
            <v>0</v>
          </cell>
        </row>
        <row r="4100">
          <cell r="I4100">
            <v>0</v>
          </cell>
        </row>
        <row r="4101">
          <cell r="I4101">
            <v>0</v>
          </cell>
        </row>
        <row r="4102">
          <cell r="I4102">
            <v>0</v>
          </cell>
        </row>
        <row r="4103">
          <cell r="I4103">
            <v>0</v>
          </cell>
        </row>
        <row r="4104">
          <cell r="I4104">
            <v>0</v>
          </cell>
        </row>
        <row r="4105">
          <cell r="I4105">
            <v>0</v>
          </cell>
        </row>
        <row r="4106">
          <cell r="I4106">
            <v>0</v>
          </cell>
        </row>
        <row r="4107">
          <cell r="I4107">
            <v>0</v>
          </cell>
        </row>
        <row r="4108">
          <cell r="I4108">
            <v>0</v>
          </cell>
        </row>
        <row r="4109">
          <cell r="I4109">
            <v>0</v>
          </cell>
        </row>
        <row r="4110">
          <cell r="I4110">
            <v>0</v>
          </cell>
        </row>
        <row r="4111">
          <cell r="I4111">
            <v>0</v>
          </cell>
        </row>
        <row r="4112">
          <cell r="I4112">
            <v>0</v>
          </cell>
        </row>
        <row r="4113">
          <cell r="I4113">
            <v>0</v>
          </cell>
        </row>
        <row r="4114">
          <cell r="I4114">
            <v>0</v>
          </cell>
        </row>
        <row r="4115">
          <cell r="I4115">
            <v>0</v>
          </cell>
        </row>
        <row r="4116">
          <cell r="I4116">
            <v>0</v>
          </cell>
        </row>
        <row r="4117">
          <cell r="I4117">
            <v>0</v>
          </cell>
        </row>
        <row r="4118">
          <cell r="I4118">
            <v>0</v>
          </cell>
        </row>
        <row r="4119">
          <cell r="I4119">
            <v>0</v>
          </cell>
        </row>
        <row r="4120">
          <cell r="I4120">
            <v>0</v>
          </cell>
        </row>
        <row r="4121">
          <cell r="I4121">
            <v>0</v>
          </cell>
        </row>
        <row r="4122">
          <cell r="I4122">
            <v>0</v>
          </cell>
        </row>
        <row r="4123">
          <cell r="I4123">
            <v>0</v>
          </cell>
        </row>
        <row r="4124">
          <cell r="I4124">
            <v>0</v>
          </cell>
        </row>
        <row r="4125">
          <cell r="I4125">
            <v>0</v>
          </cell>
        </row>
        <row r="4126">
          <cell r="I4126">
            <v>0</v>
          </cell>
        </row>
        <row r="4127">
          <cell r="I4127">
            <v>0</v>
          </cell>
        </row>
        <row r="4128">
          <cell r="I4128">
            <v>0</v>
          </cell>
        </row>
        <row r="4129">
          <cell r="I4129">
            <v>0</v>
          </cell>
        </row>
        <row r="4130">
          <cell r="I4130">
            <v>0</v>
          </cell>
        </row>
        <row r="4131">
          <cell r="I4131">
            <v>0</v>
          </cell>
        </row>
        <row r="4132">
          <cell r="I4132">
            <v>0</v>
          </cell>
        </row>
        <row r="4133">
          <cell r="I4133">
            <v>0</v>
          </cell>
        </row>
        <row r="4134">
          <cell r="I4134">
            <v>0</v>
          </cell>
        </row>
        <row r="4135">
          <cell r="I4135">
            <v>0</v>
          </cell>
        </row>
        <row r="4136">
          <cell r="I4136">
            <v>0</v>
          </cell>
        </row>
        <row r="4137">
          <cell r="I4137">
            <v>0</v>
          </cell>
        </row>
        <row r="4138">
          <cell r="I4138">
            <v>0</v>
          </cell>
        </row>
        <row r="4139">
          <cell r="I4139">
            <v>0</v>
          </cell>
        </row>
        <row r="4140">
          <cell r="I4140">
            <v>0</v>
          </cell>
        </row>
        <row r="4141">
          <cell r="I4141">
            <v>0</v>
          </cell>
        </row>
        <row r="4142">
          <cell r="I4142">
            <v>0</v>
          </cell>
        </row>
        <row r="4143">
          <cell r="I4143">
            <v>0</v>
          </cell>
        </row>
        <row r="4144">
          <cell r="I4144">
            <v>0</v>
          </cell>
        </row>
        <row r="4145">
          <cell r="I4145">
            <v>0</v>
          </cell>
        </row>
        <row r="4146">
          <cell r="I4146">
            <v>0</v>
          </cell>
        </row>
        <row r="4147">
          <cell r="I4147">
            <v>0</v>
          </cell>
        </row>
        <row r="4148">
          <cell r="I4148">
            <v>0</v>
          </cell>
        </row>
        <row r="4149">
          <cell r="I4149">
            <v>0</v>
          </cell>
        </row>
        <row r="4150">
          <cell r="I4150">
            <v>0</v>
          </cell>
        </row>
        <row r="4151">
          <cell r="I4151">
            <v>0</v>
          </cell>
        </row>
        <row r="4152">
          <cell r="I4152">
            <v>0</v>
          </cell>
        </row>
        <row r="4153">
          <cell r="I4153">
            <v>0</v>
          </cell>
        </row>
        <row r="4154">
          <cell r="I4154">
            <v>0</v>
          </cell>
        </row>
        <row r="4155">
          <cell r="I4155">
            <v>0</v>
          </cell>
        </row>
        <row r="4156">
          <cell r="I4156">
            <v>0</v>
          </cell>
        </row>
        <row r="4157">
          <cell r="I4157">
            <v>0</v>
          </cell>
        </row>
        <row r="4158">
          <cell r="I4158">
            <v>0</v>
          </cell>
        </row>
        <row r="4159">
          <cell r="I4159">
            <v>0</v>
          </cell>
        </row>
        <row r="4160">
          <cell r="I4160">
            <v>0</v>
          </cell>
        </row>
        <row r="4161">
          <cell r="I4161">
            <v>0</v>
          </cell>
        </row>
        <row r="4162">
          <cell r="I4162">
            <v>0</v>
          </cell>
        </row>
        <row r="4163">
          <cell r="I4163">
            <v>0</v>
          </cell>
        </row>
        <row r="4164">
          <cell r="I4164">
            <v>0</v>
          </cell>
        </row>
        <row r="4165">
          <cell r="I4165">
            <v>0</v>
          </cell>
        </row>
        <row r="4166">
          <cell r="I4166">
            <v>0</v>
          </cell>
        </row>
        <row r="4167">
          <cell r="I4167">
            <v>0</v>
          </cell>
        </row>
        <row r="4168">
          <cell r="I4168">
            <v>0</v>
          </cell>
        </row>
        <row r="4169">
          <cell r="I4169">
            <v>0</v>
          </cell>
        </row>
        <row r="4170">
          <cell r="I4170">
            <v>0</v>
          </cell>
        </row>
        <row r="4171">
          <cell r="I4171">
            <v>0</v>
          </cell>
        </row>
        <row r="4172">
          <cell r="I4172">
            <v>0</v>
          </cell>
        </row>
        <row r="4173">
          <cell r="I4173">
            <v>0</v>
          </cell>
        </row>
        <row r="4174">
          <cell r="I4174">
            <v>0</v>
          </cell>
        </row>
        <row r="4175">
          <cell r="I4175">
            <v>0</v>
          </cell>
        </row>
        <row r="4176">
          <cell r="I4176">
            <v>0</v>
          </cell>
        </row>
        <row r="4177">
          <cell r="I4177">
            <v>0</v>
          </cell>
        </row>
        <row r="4178">
          <cell r="I4178">
            <v>0</v>
          </cell>
        </row>
        <row r="4179">
          <cell r="I4179">
            <v>0</v>
          </cell>
        </row>
        <row r="4180">
          <cell r="I4180">
            <v>0</v>
          </cell>
        </row>
        <row r="4181">
          <cell r="I4181">
            <v>0</v>
          </cell>
        </row>
        <row r="4182">
          <cell r="I4182">
            <v>0</v>
          </cell>
        </row>
        <row r="4183">
          <cell r="I4183">
            <v>0</v>
          </cell>
        </row>
        <row r="4184">
          <cell r="I4184">
            <v>0</v>
          </cell>
        </row>
        <row r="4185">
          <cell r="I4185">
            <v>0</v>
          </cell>
        </row>
        <row r="4186">
          <cell r="I4186">
            <v>0</v>
          </cell>
        </row>
        <row r="4187">
          <cell r="I4187">
            <v>0</v>
          </cell>
        </row>
        <row r="4188">
          <cell r="I4188">
            <v>0</v>
          </cell>
        </row>
        <row r="4189">
          <cell r="I4189">
            <v>0</v>
          </cell>
        </row>
        <row r="4190">
          <cell r="I4190">
            <v>0</v>
          </cell>
        </row>
        <row r="4191">
          <cell r="I4191">
            <v>0</v>
          </cell>
        </row>
        <row r="4192">
          <cell r="I4192">
            <v>0</v>
          </cell>
        </row>
        <row r="4193">
          <cell r="I4193">
            <v>0</v>
          </cell>
        </row>
        <row r="4194">
          <cell r="I4194">
            <v>0</v>
          </cell>
        </row>
        <row r="4195">
          <cell r="I4195">
            <v>0</v>
          </cell>
        </row>
        <row r="4196">
          <cell r="I4196">
            <v>0</v>
          </cell>
        </row>
        <row r="4197">
          <cell r="I4197">
            <v>0</v>
          </cell>
        </row>
        <row r="4198">
          <cell r="I4198">
            <v>0</v>
          </cell>
        </row>
        <row r="4199">
          <cell r="I4199">
            <v>0</v>
          </cell>
        </row>
        <row r="4200">
          <cell r="I4200">
            <v>0</v>
          </cell>
        </row>
        <row r="4201">
          <cell r="I4201">
            <v>0</v>
          </cell>
        </row>
        <row r="4202">
          <cell r="I4202">
            <v>0</v>
          </cell>
        </row>
        <row r="4203">
          <cell r="I4203">
            <v>0</v>
          </cell>
        </row>
        <row r="4204">
          <cell r="I4204">
            <v>0</v>
          </cell>
        </row>
        <row r="4205">
          <cell r="I4205">
            <v>0</v>
          </cell>
        </row>
        <row r="4206">
          <cell r="I4206">
            <v>0</v>
          </cell>
        </row>
        <row r="4207">
          <cell r="I4207">
            <v>0</v>
          </cell>
        </row>
        <row r="4208">
          <cell r="I4208">
            <v>0</v>
          </cell>
        </row>
        <row r="4209">
          <cell r="I4209">
            <v>0</v>
          </cell>
        </row>
        <row r="4210">
          <cell r="I4210">
            <v>0</v>
          </cell>
        </row>
        <row r="4211">
          <cell r="I4211">
            <v>0</v>
          </cell>
        </row>
        <row r="4212">
          <cell r="I4212">
            <v>0</v>
          </cell>
        </row>
        <row r="4213">
          <cell r="I4213">
            <v>0</v>
          </cell>
        </row>
        <row r="4214">
          <cell r="I4214">
            <v>0</v>
          </cell>
        </row>
        <row r="4215">
          <cell r="I4215">
            <v>0</v>
          </cell>
        </row>
        <row r="4216">
          <cell r="I4216">
            <v>0</v>
          </cell>
        </row>
        <row r="4217">
          <cell r="I4217">
            <v>0</v>
          </cell>
        </row>
        <row r="4218">
          <cell r="I4218">
            <v>0</v>
          </cell>
        </row>
        <row r="4219">
          <cell r="I4219">
            <v>0</v>
          </cell>
        </row>
        <row r="4220">
          <cell r="I4220">
            <v>0</v>
          </cell>
        </row>
        <row r="4221">
          <cell r="I4221">
            <v>0</v>
          </cell>
        </row>
        <row r="4222">
          <cell r="I4222">
            <v>0</v>
          </cell>
        </row>
        <row r="4223">
          <cell r="I4223">
            <v>0</v>
          </cell>
        </row>
        <row r="4224">
          <cell r="I4224">
            <v>0</v>
          </cell>
        </row>
        <row r="4225">
          <cell r="I4225">
            <v>0</v>
          </cell>
        </row>
        <row r="4226">
          <cell r="I4226">
            <v>0</v>
          </cell>
        </row>
        <row r="4227">
          <cell r="I4227">
            <v>0</v>
          </cell>
        </row>
        <row r="4228">
          <cell r="I4228">
            <v>0</v>
          </cell>
        </row>
        <row r="4229">
          <cell r="I4229">
            <v>0</v>
          </cell>
        </row>
        <row r="4230">
          <cell r="I4230">
            <v>0</v>
          </cell>
        </row>
        <row r="4231">
          <cell r="I4231">
            <v>0</v>
          </cell>
        </row>
        <row r="4232">
          <cell r="I4232">
            <v>0</v>
          </cell>
        </row>
        <row r="4233">
          <cell r="I4233">
            <v>0</v>
          </cell>
        </row>
        <row r="4234">
          <cell r="I4234">
            <v>0</v>
          </cell>
        </row>
        <row r="4235">
          <cell r="I4235">
            <v>0</v>
          </cell>
        </row>
        <row r="4236">
          <cell r="I4236">
            <v>0</v>
          </cell>
        </row>
        <row r="4237">
          <cell r="I4237">
            <v>0</v>
          </cell>
        </row>
        <row r="4238">
          <cell r="I4238">
            <v>0</v>
          </cell>
        </row>
        <row r="4239">
          <cell r="I4239">
            <v>0</v>
          </cell>
        </row>
        <row r="4240">
          <cell r="I4240">
            <v>0</v>
          </cell>
        </row>
        <row r="4241">
          <cell r="I4241">
            <v>0</v>
          </cell>
        </row>
        <row r="4242">
          <cell r="I4242">
            <v>0</v>
          </cell>
        </row>
        <row r="4243">
          <cell r="I4243">
            <v>0</v>
          </cell>
        </row>
        <row r="4244">
          <cell r="I4244">
            <v>0</v>
          </cell>
        </row>
        <row r="4245">
          <cell r="I4245">
            <v>0</v>
          </cell>
        </row>
        <row r="4246">
          <cell r="I4246">
            <v>0</v>
          </cell>
        </row>
        <row r="4247">
          <cell r="I4247">
            <v>0</v>
          </cell>
        </row>
        <row r="4248">
          <cell r="I4248">
            <v>0</v>
          </cell>
        </row>
        <row r="4249">
          <cell r="I4249">
            <v>0</v>
          </cell>
        </row>
        <row r="4250">
          <cell r="I4250">
            <v>0</v>
          </cell>
        </row>
        <row r="4251">
          <cell r="I4251">
            <v>0</v>
          </cell>
        </row>
        <row r="4252">
          <cell r="I4252">
            <v>0</v>
          </cell>
        </row>
        <row r="4253">
          <cell r="I4253">
            <v>0</v>
          </cell>
        </row>
        <row r="4254">
          <cell r="I4254">
            <v>0</v>
          </cell>
        </row>
        <row r="4255">
          <cell r="I4255">
            <v>0</v>
          </cell>
        </row>
        <row r="4256">
          <cell r="I4256">
            <v>0</v>
          </cell>
        </row>
        <row r="4257">
          <cell r="I4257">
            <v>0</v>
          </cell>
        </row>
        <row r="4258">
          <cell r="I4258">
            <v>0</v>
          </cell>
        </row>
        <row r="4259">
          <cell r="I4259">
            <v>0</v>
          </cell>
        </row>
        <row r="4260">
          <cell r="I4260">
            <v>0</v>
          </cell>
        </row>
        <row r="4261">
          <cell r="I4261">
            <v>0</v>
          </cell>
        </row>
        <row r="4262">
          <cell r="I4262">
            <v>0</v>
          </cell>
        </row>
        <row r="4263">
          <cell r="I4263">
            <v>0</v>
          </cell>
        </row>
        <row r="4264">
          <cell r="I4264">
            <v>0</v>
          </cell>
        </row>
        <row r="4265">
          <cell r="I4265">
            <v>0</v>
          </cell>
        </row>
        <row r="4266">
          <cell r="I4266">
            <v>0</v>
          </cell>
        </row>
        <row r="4267">
          <cell r="I4267">
            <v>0</v>
          </cell>
        </row>
        <row r="4268">
          <cell r="I4268">
            <v>0</v>
          </cell>
        </row>
        <row r="4269">
          <cell r="I4269">
            <v>0</v>
          </cell>
        </row>
        <row r="4270">
          <cell r="I4270">
            <v>0</v>
          </cell>
        </row>
        <row r="4271">
          <cell r="I4271">
            <v>0</v>
          </cell>
        </row>
        <row r="4272">
          <cell r="I4272">
            <v>0</v>
          </cell>
        </row>
        <row r="4273">
          <cell r="I4273">
            <v>0</v>
          </cell>
        </row>
        <row r="4274">
          <cell r="I4274">
            <v>0</v>
          </cell>
        </row>
        <row r="4275">
          <cell r="I4275">
            <v>0</v>
          </cell>
        </row>
        <row r="4276">
          <cell r="I4276">
            <v>0</v>
          </cell>
        </row>
        <row r="4277">
          <cell r="I4277">
            <v>0</v>
          </cell>
        </row>
        <row r="4278">
          <cell r="I4278">
            <v>0</v>
          </cell>
        </row>
        <row r="4279">
          <cell r="I4279">
            <v>0</v>
          </cell>
        </row>
        <row r="4280">
          <cell r="I4280">
            <v>0</v>
          </cell>
        </row>
        <row r="4281">
          <cell r="I4281">
            <v>0</v>
          </cell>
        </row>
        <row r="4282">
          <cell r="I4282">
            <v>0</v>
          </cell>
        </row>
        <row r="4283">
          <cell r="I4283">
            <v>0</v>
          </cell>
        </row>
        <row r="4284">
          <cell r="I4284">
            <v>0</v>
          </cell>
        </row>
        <row r="4285">
          <cell r="I4285">
            <v>0</v>
          </cell>
        </row>
        <row r="4286">
          <cell r="I4286">
            <v>0</v>
          </cell>
        </row>
        <row r="4287">
          <cell r="I4287">
            <v>0</v>
          </cell>
        </row>
        <row r="4288">
          <cell r="I4288">
            <v>0</v>
          </cell>
        </row>
        <row r="4289">
          <cell r="I4289">
            <v>0</v>
          </cell>
        </row>
        <row r="4290">
          <cell r="I4290">
            <v>0</v>
          </cell>
        </row>
        <row r="4291">
          <cell r="I4291">
            <v>0</v>
          </cell>
        </row>
        <row r="4292">
          <cell r="I4292">
            <v>0</v>
          </cell>
        </row>
        <row r="4293">
          <cell r="I4293">
            <v>0</v>
          </cell>
        </row>
        <row r="4294">
          <cell r="I4294">
            <v>0</v>
          </cell>
        </row>
        <row r="4295">
          <cell r="I4295">
            <v>0</v>
          </cell>
        </row>
        <row r="4296">
          <cell r="I4296">
            <v>0</v>
          </cell>
        </row>
        <row r="4297">
          <cell r="I4297">
            <v>0</v>
          </cell>
        </row>
        <row r="4298">
          <cell r="I4298">
            <v>0</v>
          </cell>
        </row>
        <row r="4299">
          <cell r="I4299">
            <v>0</v>
          </cell>
        </row>
        <row r="4300">
          <cell r="I4300">
            <v>0</v>
          </cell>
        </row>
        <row r="4301">
          <cell r="I4301">
            <v>0</v>
          </cell>
        </row>
        <row r="4302">
          <cell r="I4302">
            <v>0</v>
          </cell>
        </row>
        <row r="4303">
          <cell r="I4303">
            <v>0</v>
          </cell>
        </row>
        <row r="4304">
          <cell r="I4304">
            <v>0</v>
          </cell>
        </row>
        <row r="4305">
          <cell r="I4305">
            <v>0</v>
          </cell>
        </row>
        <row r="4306">
          <cell r="I4306">
            <v>0</v>
          </cell>
        </row>
        <row r="4307">
          <cell r="I4307">
            <v>0</v>
          </cell>
        </row>
        <row r="4308">
          <cell r="I4308">
            <v>0</v>
          </cell>
        </row>
        <row r="4309">
          <cell r="I4309">
            <v>0</v>
          </cell>
        </row>
        <row r="4310">
          <cell r="I4310">
            <v>0</v>
          </cell>
        </row>
        <row r="4311">
          <cell r="I4311">
            <v>0</v>
          </cell>
        </row>
        <row r="4312">
          <cell r="I4312">
            <v>0</v>
          </cell>
        </row>
        <row r="4313">
          <cell r="I4313">
            <v>0</v>
          </cell>
        </row>
        <row r="4314">
          <cell r="I4314">
            <v>0</v>
          </cell>
        </row>
        <row r="4315">
          <cell r="I4315">
            <v>0</v>
          </cell>
        </row>
        <row r="4316">
          <cell r="I4316">
            <v>0</v>
          </cell>
        </row>
        <row r="4317">
          <cell r="I4317">
            <v>0</v>
          </cell>
        </row>
        <row r="4318">
          <cell r="I4318">
            <v>0</v>
          </cell>
        </row>
        <row r="4319">
          <cell r="I4319">
            <v>0</v>
          </cell>
        </row>
        <row r="4320">
          <cell r="I4320">
            <v>0</v>
          </cell>
        </row>
        <row r="4321">
          <cell r="I4321">
            <v>0</v>
          </cell>
        </row>
        <row r="4322">
          <cell r="I4322">
            <v>0</v>
          </cell>
        </row>
        <row r="4323">
          <cell r="I4323">
            <v>0</v>
          </cell>
        </row>
        <row r="4324">
          <cell r="I4324">
            <v>0</v>
          </cell>
        </row>
        <row r="4325">
          <cell r="I4325">
            <v>0</v>
          </cell>
        </row>
        <row r="4326">
          <cell r="I4326">
            <v>0</v>
          </cell>
        </row>
        <row r="4327">
          <cell r="I4327">
            <v>0</v>
          </cell>
        </row>
        <row r="4328">
          <cell r="I4328">
            <v>0</v>
          </cell>
        </row>
        <row r="4329">
          <cell r="I4329">
            <v>0</v>
          </cell>
        </row>
        <row r="4330">
          <cell r="I4330">
            <v>0</v>
          </cell>
        </row>
        <row r="4331">
          <cell r="I4331">
            <v>0</v>
          </cell>
        </row>
        <row r="4332">
          <cell r="I4332">
            <v>0</v>
          </cell>
        </row>
        <row r="4333">
          <cell r="I4333">
            <v>0</v>
          </cell>
        </row>
        <row r="4334">
          <cell r="I4334">
            <v>0</v>
          </cell>
        </row>
        <row r="4335">
          <cell r="I4335">
            <v>0</v>
          </cell>
        </row>
        <row r="4336">
          <cell r="I4336">
            <v>0</v>
          </cell>
        </row>
        <row r="4337">
          <cell r="I4337">
            <v>0</v>
          </cell>
        </row>
        <row r="4338">
          <cell r="I4338">
            <v>0</v>
          </cell>
        </row>
        <row r="4339">
          <cell r="I4339">
            <v>0</v>
          </cell>
        </row>
        <row r="4340">
          <cell r="I4340">
            <v>0</v>
          </cell>
        </row>
        <row r="4341">
          <cell r="I4341">
            <v>0</v>
          </cell>
        </row>
        <row r="4342">
          <cell r="I4342">
            <v>0</v>
          </cell>
        </row>
        <row r="4343">
          <cell r="I4343">
            <v>0</v>
          </cell>
        </row>
        <row r="4344">
          <cell r="I4344">
            <v>0</v>
          </cell>
        </row>
        <row r="4345">
          <cell r="I4345">
            <v>0</v>
          </cell>
        </row>
        <row r="4346">
          <cell r="I4346">
            <v>0</v>
          </cell>
        </row>
        <row r="4347">
          <cell r="I4347">
            <v>0</v>
          </cell>
        </row>
        <row r="4348">
          <cell r="I4348">
            <v>0</v>
          </cell>
        </row>
        <row r="4349">
          <cell r="I4349">
            <v>0</v>
          </cell>
        </row>
        <row r="4350">
          <cell r="I4350">
            <v>0</v>
          </cell>
        </row>
        <row r="4351">
          <cell r="I4351">
            <v>0</v>
          </cell>
        </row>
        <row r="4352">
          <cell r="I4352">
            <v>0</v>
          </cell>
        </row>
        <row r="4353">
          <cell r="I4353">
            <v>0</v>
          </cell>
        </row>
        <row r="4354">
          <cell r="I4354">
            <v>0</v>
          </cell>
        </row>
        <row r="4355">
          <cell r="I4355">
            <v>0</v>
          </cell>
        </row>
        <row r="4356">
          <cell r="I4356">
            <v>0</v>
          </cell>
        </row>
        <row r="4357">
          <cell r="I4357">
            <v>0</v>
          </cell>
        </row>
        <row r="4358">
          <cell r="I4358">
            <v>0</v>
          </cell>
        </row>
        <row r="4359">
          <cell r="I4359">
            <v>0</v>
          </cell>
        </row>
        <row r="4360">
          <cell r="I4360">
            <v>0</v>
          </cell>
        </row>
        <row r="4361">
          <cell r="I4361">
            <v>0</v>
          </cell>
        </row>
        <row r="4362">
          <cell r="I4362">
            <v>0</v>
          </cell>
        </row>
        <row r="4363">
          <cell r="I4363">
            <v>0</v>
          </cell>
        </row>
        <row r="4364">
          <cell r="I4364">
            <v>0</v>
          </cell>
        </row>
        <row r="4365">
          <cell r="I4365">
            <v>0</v>
          </cell>
        </row>
        <row r="4366">
          <cell r="I4366">
            <v>0</v>
          </cell>
        </row>
        <row r="4367">
          <cell r="I4367">
            <v>0</v>
          </cell>
        </row>
        <row r="4368">
          <cell r="I4368">
            <v>0</v>
          </cell>
        </row>
        <row r="4369">
          <cell r="I4369">
            <v>0</v>
          </cell>
        </row>
        <row r="4370">
          <cell r="I4370">
            <v>0</v>
          </cell>
        </row>
        <row r="4371">
          <cell r="I4371">
            <v>0</v>
          </cell>
        </row>
        <row r="4372">
          <cell r="I4372">
            <v>0</v>
          </cell>
        </row>
        <row r="4373">
          <cell r="I4373">
            <v>0</v>
          </cell>
        </row>
        <row r="4374">
          <cell r="I4374">
            <v>0</v>
          </cell>
        </row>
        <row r="4375">
          <cell r="I4375">
            <v>0</v>
          </cell>
        </row>
        <row r="4376">
          <cell r="I4376">
            <v>0</v>
          </cell>
        </row>
        <row r="4377">
          <cell r="I4377">
            <v>0</v>
          </cell>
        </row>
        <row r="4378">
          <cell r="I4378">
            <v>0</v>
          </cell>
        </row>
        <row r="4379">
          <cell r="I4379">
            <v>0</v>
          </cell>
        </row>
        <row r="4380">
          <cell r="I4380">
            <v>0</v>
          </cell>
        </row>
        <row r="4381">
          <cell r="I4381">
            <v>0</v>
          </cell>
        </row>
        <row r="4382">
          <cell r="I4382">
            <v>0</v>
          </cell>
        </row>
        <row r="4383">
          <cell r="I4383">
            <v>0</v>
          </cell>
        </row>
        <row r="4384">
          <cell r="I4384">
            <v>0</v>
          </cell>
        </row>
        <row r="4385">
          <cell r="I4385">
            <v>0</v>
          </cell>
        </row>
        <row r="4386">
          <cell r="I4386">
            <v>0</v>
          </cell>
        </row>
        <row r="4387">
          <cell r="I4387">
            <v>0</v>
          </cell>
        </row>
        <row r="4388">
          <cell r="I4388">
            <v>0</v>
          </cell>
        </row>
        <row r="4389">
          <cell r="I4389">
            <v>0</v>
          </cell>
        </row>
        <row r="4390">
          <cell r="I4390">
            <v>0</v>
          </cell>
        </row>
        <row r="4391">
          <cell r="I4391">
            <v>0</v>
          </cell>
        </row>
        <row r="4392">
          <cell r="I4392">
            <v>0</v>
          </cell>
        </row>
        <row r="4393">
          <cell r="I4393">
            <v>0</v>
          </cell>
        </row>
        <row r="4394">
          <cell r="I4394">
            <v>0</v>
          </cell>
        </row>
        <row r="4395">
          <cell r="I4395">
            <v>0</v>
          </cell>
        </row>
        <row r="4396">
          <cell r="I4396">
            <v>0</v>
          </cell>
        </row>
        <row r="4397">
          <cell r="I4397">
            <v>0</v>
          </cell>
        </row>
        <row r="4398">
          <cell r="I4398">
            <v>0</v>
          </cell>
        </row>
        <row r="4399">
          <cell r="I4399">
            <v>0</v>
          </cell>
        </row>
        <row r="4400">
          <cell r="I4400">
            <v>0</v>
          </cell>
        </row>
        <row r="4401">
          <cell r="I4401">
            <v>0</v>
          </cell>
        </row>
        <row r="4402">
          <cell r="I4402">
            <v>0</v>
          </cell>
        </row>
        <row r="4403">
          <cell r="I4403">
            <v>0</v>
          </cell>
        </row>
        <row r="4404">
          <cell r="I4404">
            <v>0</v>
          </cell>
        </row>
        <row r="4405">
          <cell r="I4405">
            <v>0</v>
          </cell>
        </row>
        <row r="4406">
          <cell r="I4406">
            <v>0</v>
          </cell>
        </row>
        <row r="4407">
          <cell r="I4407">
            <v>0</v>
          </cell>
        </row>
        <row r="4408">
          <cell r="I4408">
            <v>0</v>
          </cell>
        </row>
        <row r="4409">
          <cell r="I4409">
            <v>0</v>
          </cell>
        </row>
        <row r="4410">
          <cell r="I4410">
            <v>0</v>
          </cell>
        </row>
        <row r="4411">
          <cell r="I4411">
            <v>0</v>
          </cell>
        </row>
        <row r="4412">
          <cell r="I4412">
            <v>0</v>
          </cell>
        </row>
        <row r="4413">
          <cell r="I4413">
            <v>0</v>
          </cell>
        </row>
        <row r="4414">
          <cell r="I4414">
            <v>0</v>
          </cell>
        </row>
        <row r="4415">
          <cell r="I4415">
            <v>0</v>
          </cell>
        </row>
        <row r="4416">
          <cell r="I4416">
            <v>0</v>
          </cell>
        </row>
        <row r="4417">
          <cell r="I4417">
            <v>0</v>
          </cell>
        </row>
        <row r="4418">
          <cell r="I4418">
            <v>0</v>
          </cell>
        </row>
        <row r="4419">
          <cell r="I4419">
            <v>0</v>
          </cell>
        </row>
        <row r="4420">
          <cell r="I4420">
            <v>0</v>
          </cell>
        </row>
        <row r="4421">
          <cell r="I4421">
            <v>0</v>
          </cell>
        </row>
        <row r="4422">
          <cell r="I4422">
            <v>0</v>
          </cell>
        </row>
        <row r="4423">
          <cell r="I4423">
            <v>0</v>
          </cell>
        </row>
        <row r="4424">
          <cell r="I4424">
            <v>0</v>
          </cell>
        </row>
        <row r="4425">
          <cell r="I4425">
            <v>0</v>
          </cell>
        </row>
        <row r="4426">
          <cell r="I4426">
            <v>0</v>
          </cell>
        </row>
        <row r="4427">
          <cell r="I4427">
            <v>0</v>
          </cell>
        </row>
        <row r="4428">
          <cell r="I4428">
            <v>0</v>
          </cell>
        </row>
        <row r="4429">
          <cell r="I4429">
            <v>0</v>
          </cell>
        </row>
        <row r="4430">
          <cell r="I4430">
            <v>0</v>
          </cell>
        </row>
        <row r="4431">
          <cell r="I4431">
            <v>0</v>
          </cell>
        </row>
        <row r="4432">
          <cell r="I4432">
            <v>0</v>
          </cell>
        </row>
        <row r="4433">
          <cell r="I4433">
            <v>0</v>
          </cell>
        </row>
        <row r="4434">
          <cell r="I4434">
            <v>0</v>
          </cell>
        </row>
        <row r="4435">
          <cell r="I4435">
            <v>0</v>
          </cell>
        </row>
        <row r="4436">
          <cell r="I4436">
            <v>0</v>
          </cell>
        </row>
        <row r="4437">
          <cell r="I4437">
            <v>0</v>
          </cell>
        </row>
        <row r="4438">
          <cell r="I4438">
            <v>0</v>
          </cell>
        </row>
        <row r="4439">
          <cell r="I4439">
            <v>0</v>
          </cell>
        </row>
        <row r="4440">
          <cell r="I4440">
            <v>0</v>
          </cell>
        </row>
        <row r="4441">
          <cell r="I4441">
            <v>0</v>
          </cell>
        </row>
        <row r="4442">
          <cell r="I4442">
            <v>0</v>
          </cell>
        </row>
        <row r="4443">
          <cell r="I4443">
            <v>0</v>
          </cell>
        </row>
        <row r="4444">
          <cell r="I4444">
            <v>0</v>
          </cell>
        </row>
        <row r="4445">
          <cell r="I4445">
            <v>0</v>
          </cell>
        </row>
        <row r="4446">
          <cell r="I4446">
            <v>0</v>
          </cell>
        </row>
        <row r="4447">
          <cell r="I4447">
            <v>0</v>
          </cell>
        </row>
        <row r="4448">
          <cell r="I4448">
            <v>0</v>
          </cell>
        </row>
        <row r="4449">
          <cell r="I4449">
            <v>0</v>
          </cell>
        </row>
        <row r="4450">
          <cell r="I4450">
            <v>0</v>
          </cell>
        </row>
        <row r="4451">
          <cell r="I4451">
            <v>0</v>
          </cell>
        </row>
        <row r="4452">
          <cell r="I4452">
            <v>0</v>
          </cell>
        </row>
        <row r="4453">
          <cell r="I4453">
            <v>0</v>
          </cell>
        </row>
        <row r="4454">
          <cell r="I4454">
            <v>0</v>
          </cell>
        </row>
        <row r="4455">
          <cell r="I4455">
            <v>0</v>
          </cell>
        </row>
        <row r="4456">
          <cell r="I4456">
            <v>0</v>
          </cell>
        </row>
        <row r="4457">
          <cell r="I4457">
            <v>0</v>
          </cell>
        </row>
        <row r="4458">
          <cell r="I4458">
            <v>0</v>
          </cell>
        </row>
        <row r="4459">
          <cell r="I4459">
            <v>0</v>
          </cell>
        </row>
        <row r="4460">
          <cell r="I4460">
            <v>0</v>
          </cell>
        </row>
        <row r="4461">
          <cell r="I4461">
            <v>0</v>
          </cell>
        </row>
        <row r="4462">
          <cell r="I4462">
            <v>0</v>
          </cell>
        </row>
        <row r="4463">
          <cell r="I4463">
            <v>0</v>
          </cell>
        </row>
        <row r="4464">
          <cell r="I4464">
            <v>0</v>
          </cell>
        </row>
        <row r="4465">
          <cell r="I4465">
            <v>0</v>
          </cell>
        </row>
        <row r="4466">
          <cell r="I4466">
            <v>0</v>
          </cell>
        </row>
        <row r="4467">
          <cell r="I4467">
            <v>0</v>
          </cell>
        </row>
        <row r="4468">
          <cell r="I4468">
            <v>0</v>
          </cell>
        </row>
        <row r="4469">
          <cell r="I4469">
            <v>0</v>
          </cell>
        </row>
        <row r="4470">
          <cell r="I4470">
            <v>0</v>
          </cell>
        </row>
        <row r="4471">
          <cell r="I4471">
            <v>0</v>
          </cell>
        </row>
        <row r="4472">
          <cell r="I4472">
            <v>0</v>
          </cell>
        </row>
        <row r="4473">
          <cell r="I4473">
            <v>0</v>
          </cell>
        </row>
        <row r="4474">
          <cell r="I4474">
            <v>0</v>
          </cell>
        </row>
        <row r="4475">
          <cell r="I4475">
            <v>0</v>
          </cell>
        </row>
        <row r="4476">
          <cell r="I4476">
            <v>0</v>
          </cell>
        </row>
        <row r="4477">
          <cell r="I4477">
            <v>0</v>
          </cell>
        </row>
        <row r="4478">
          <cell r="I4478">
            <v>0</v>
          </cell>
        </row>
        <row r="4479">
          <cell r="I4479">
            <v>0</v>
          </cell>
        </row>
        <row r="4480">
          <cell r="I4480">
            <v>0</v>
          </cell>
        </row>
        <row r="4481">
          <cell r="I4481">
            <v>0</v>
          </cell>
        </row>
        <row r="4482">
          <cell r="I4482">
            <v>0</v>
          </cell>
        </row>
        <row r="4483">
          <cell r="I4483">
            <v>0</v>
          </cell>
        </row>
        <row r="4484">
          <cell r="I4484">
            <v>0</v>
          </cell>
        </row>
        <row r="4485">
          <cell r="I4485">
            <v>0</v>
          </cell>
        </row>
        <row r="4486">
          <cell r="I4486">
            <v>0</v>
          </cell>
        </row>
        <row r="4487">
          <cell r="I4487">
            <v>0</v>
          </cell>
        </row>
        <row r="4488">
          <cell r="I4488">
            <v>0</v>
          </cell>
        </row>
        <row r="4489">
          <cell r="I4489">
            <v>0</v>
          </cell>
        </row>
        <row r="4490">
          <cell r="I4490">
            <v>0</v>
          </cell>
        </row>
        <row r="4491">
          <cell r="I4491">
            <v>0</v>
          </cell>
        </row>
        <row r="4492">
          <cell r="I4492">
            <v>0</v>
          </cell>
        </row>
        <row r="4493">
          <cell r="I4493">
            <v>0</v>
          </cell>
        </row>
        <row r="4494">
          <cell r="I4494">
            <v>0</v>
          </cell>
        </row>
        <row r="4495">
          <cell r="I4495">
            <v>0</v>
          </cell>
        </row>
        <row r="4496">
          <cell r="I4496">
            <v>0</v>
          </cell>
        </row>
        <row r="4497">
          <cell r="I4497">
            <v>0</v>
          </cell>
        </row>
        <row r="4498">
          <cell r="I4498">
            <v>0</v>
          </cell>
        </row>
        <row r="4499">
          <cell r="I4499">
            <v>0</v>
          </cell>
        </row>
        <row r="4500">
          <cell r="I4500">
            <v>0</v>
          </cell>
        </row>
        <row r="4501">
          <cell r="I4501">
            <v>0</v>
          </cell>
        </row>
        <row r="4502">
          <cell r="I4502">
            <v>0</v>
          </cell>
        </row>
        <row r="4503">
          <cell r="I4503">
            <v>0</v>
          </cell>
        </row>
        <row r="4504">
          <cell r="I4504">
            <v>0</v>
          </cell>
        </row>
        <row r="4505">
          <cell r="I4505">
            <v>0</v>
          </cell>
        </row>
        <row r="4506">
          <cell r="I4506">
            <v>0</v>
          </cell>
        </row>
        <row r="4507">
          <cell r="I4507">
            <v>0</v>
          </cell>
        </row>
        <row r="4508">
          <cell r="I4508">
            <v>0</v>
          </cell>
        </row>
        <row r="4509">
          <cell r="I4509">
            <v>0</v>
          </cell>
        </row>
        <row r="4510">
          <cell r="I4510">
            <v>0</v>
          </cell>
        </row>
        <row r="4511">
          <cell r="I4511">
            <v>0</v>
          </cell>
        </row>
        <row r="4512">
          <cell r="I4512">
            <v>0</v>
          </cell>
        </row>
        <row r="4513">
          <cell r="I4513">
            <v>0</v>
          </cell>
        </row>
        <row r="4514">
          <cell r="I4514">
            <v>0</v>
          </cell>
        </row>
        <row r="4515">
          <cell r="I4515">
            <v>0</v>
          </cell>
        </row>
        <row r="4516">
          <cell r="I4516">
            <v>0</v>
          </cell>
        </row>
        <row r="4517">
          <cell r="I4517">
            <v>0</v>
          </cell>
        </row>
        <row r="4518">
          <cell r="I4518">
            <v>0</v>
          </cell>
        </row>
        <row r="4519">
          <cell r="I4519">
            <v>0</v>
          </cell>
        </row>
        <row r="4520">
          <cell r="I4520">
            <v>0</v>
          </cell>
        </row>
        <row r="4521">
          <cell r="I4521">
            <v>0</v>
          </cell>
        </row>
        <row r="4522">
          <cell r="I4522">
            <v>0</v>
          </cell>
        </row>
        <row r="4523">
          <cell r="I4523">
            <v>0</v>
          </cell>
        </row>
        <row r="4524">
          <cell r="I4524">
            <v>0</v>
          </cell>
        </row>
        <row r="4525">
          <cell r="I4525">
            <v>0</v>
          </cell>
        </row>
        <row r="4526">
          <cell r="I4526">
            <v>0</v>
          </cell>
        </row>
        <row r="4527">
          <cell r="I4527">
            <v>0</v>
          </cell>
        </row>
        <row r="4528">
          <cell r="I4528">
            <v>0</v>
          </cell>
        </row>
        <row r="4529">
          <cell r="I4529">
            <v>0</v>
          </cell>
        </row>
        <row r="4530">
          <cell r="I4530">
            <v>0</v>
          </cell>
        </row>
        <row r="4531">
          <cell r="I4531">
            <v>0</v>
          </cell>
        </row>
        <row r="4532">
          <cell r="I4532">
            <v>0</v>
          </cell>
        </row>
        <row r="4533">
          <cell r="I4533">
            <v>0</v>
          </cell>
        </row>
        <row r="4534">
          <cell r="I4534">
            <v>0</v>
          </cell>
        </row>
        <row r="4535">
          <cell r="I4535">
            <v>0</v>
          </cell>
        </row>
        <row r="4536">
          <cell r="I4536">
            <v>0</v>
          </cell>
        </row>
        <row r="4537">
          <cell r="I4537">
            <v>0</v>
          </cell>
        </row>
        <row r="4538">
          <cell r="I4538">
            <v>0</v>
          </cell>
        </row>
        <row r="4539">
          <cell r="I4539">
            <v>0</v>
          </cell>
        </row>
        <row r="4540">
          <cell r="I4540">
            <v>0</v>
          </cell>
        </row>
        <row r="4541">
          <cell r="I4541">
            <v>0</v>
          </cell>
        </row>
        <row r="4542">
          <cell r="I4542">
            <v>0</v>
          </cell>
        </row>
        <row r="4543">
          <cell r="I4543">
            <v>0</v>
          </cell>
        </row>
        <row r="4544">
          <cell r="I4544">
            <v>0</v>
          </cell>
        </row>
        <row r="4545">
          <cell r="I4545">
            <v>0</v>
          </cell>
        </row>
        <row r="4546">
          <cell r="I4546">
            <v>0</v>
          </cell>
        </row>
        <row r="4547">
          <cell r="I4547">
            <v>0</v>
          </cell>
        </row>
        <row r="4548">
          <cell r="I4548">
            <v>0</v>
          </cell>
        </row>
        <row r="4549">
          <cell r="I4549">
            <v>0</v>
          </cell>
        </row>
        <row r="4550">
          <cell r="I4550">
            <v>0</v>
          </cell>
        </row>
        <row r="4551">
          <cell r="I4551">
            <v>0</v>
          </cell>
        </row>
        <row r="4552">
          <cell r="I4552">
            <v>0</v>
          </cell>
        </row>
        <row r="4553">
          <cell r="I4553">
            <v>0</v>
          </cell>
        </row>
        <row r="4554">
          <cell r="I4554">
            <v>0</v>
          </cell>
        </row>
        <row r="4555">
          <cell r="I4555">
            <v>0</v>
          </cell>
        </row>
        <row r="4556">
          <cell r="I4556">
            <v>0</v>
          </cell>
        </row>
        <row r="4557">
          <cell r="I4557">
            <v>0</v>
          </cell>
        </row>
        <row r="4558">
          <cell r="I4558">
            <v>0</v>
          </cell>
        </row>
        <row r="4559">
          <cell r="I4559">
            <v>0</v>
          </cell>
        </row>
        <row r="4560">
          <cell r="I4560">
            <v>0</v>
          </cell>
        </row>
        <row r="4561">
          <cell r="I4561">
            <v>0</v>
          </cell>
        </row>
        <row r="4562">
          <cell r="I4562">
            <v>0</v>
          </cell>
        </row>
        <row r="4563">
          <cell r="I4563">
            <v>0</v>
          </cell>
        </row>
        <row r="4564">
          <cell r="I4564">
            <v>0</v>
          </cell>
        </row>
        <row r="4565">
          <cell r="I4565">
            <v>0</v>
          </cell>
        </row>
        <row r="4566">
          <cell r="I4566">
            <v>0</v>
          </cell>
        </row>
        <row r="4567">
          <cell r="I4567">
            <v>0</v>
          </cell>
        </row>
        <row r="4568">
          <cell r="I4568">
            <v>0</v>
          </cell>
        </row>
        <row r="4569">
          <cell r="I4569">
            <v>0</v>
          </cell>
        </row>
        <row r="4570">
          <cell r="I4570">
            <v>0</v>
          </cell>
        </row>
        <row r="4571">
          <cell r="I4571">
            <v>0</v>
          </cell>
        </row>
        <row r="4572">
          <cell r="I4572">
            <v>0</v>
          </cell>
        </row>
        <row r="4573">
          <cell r="I4573">
            <v>0</v>
          </cell>
        </row>
        <row r="4574">
          <cell r="I4574">
            <v>0</v>
          </cell>
        </row>
        <row r="4575">
          <cell r="I4575">
            <v>0</v>
          </cell>
        </row>
        <row r="4576">
          <cell r="I4576">
            <v>0</v>
          </cell>
        </row>
        <row r="4577">
          <cell r="I4577">
            <v>0</v>
          </cell>
        </row>
        <row r="4578">
          <cell r="I4578">
            <v>0</v>
          </cell>
        </row>
        <row r="4579">
          <cell r="I4579">
            <v>0</v>
          </cell>
        </row>
        <row r="4580">
          <cell r="I4580">
            <v>0</v>
          </cell>
        </row>
        <row r="4581">
          <cell r="I4581">
            <v>0</v>
          </cell>
        </row>
        <row r="4582">
          <cell r="I4582">
            <v>0</v>
          </cell>
        </row>
        <row r="4583">
          <cell r="I4583">
            <v>0</v>
          </cell>
        </row>
        <row r="4584">
          <cell r="I4584">
            <v>0</v>
          </cell>
        </row>
        <row r="4585">
          <cell r="I4585">
            <v>0</v>
          </cell>
        </row>
        <row r="4586">
          <cell r="I4586">
            <v>0</v>
          </cell>
        </row>
        <row r="4587">
          <cell r="I4587">
            <v>0</v>
          </cell>
        </row>
        <row r="4588">
          <cell r="I4588">
            <v>0</v>
          </cell>
        </row>
        <row r="4589">
          <cell r="I4589">
            <v>0</v>
          </cell>
        </row>
        <row r="4590">
          <cell r="I4590">
            <v>0</v>
          </cell>
        </row>
        <row r="4591">
          <cell r="I4591">
            <v>0</v>
          </cell>
        </row>
        <row r="4592">
          <cell r="I4592">
            <v>0</v>
          </cell>
        </row>
        <row r="4593">
          <cell r="I4593">
            <v>0</v>
          </cell>
        </row>
        <row r="4594">
          <cell r="I4594">
            <v>0</v>
          </cell>
        </row>
        <row r="4595">
          <cell r="I4595">
            <v>0</v>
          </cell>
        </row>
        <row r="4596">
          <cell r="I4596">
            <v>0</v>
          </cell>
        </row>
        <row r="4597">
          <cell r="I4597">
            <v>0</v>
          </cell>
        </row>
        <row r="4598">
          <cell r="I4598">
            <v>0</v>
          </cell>
        </row>
        <row r="4599">
          <cell r="I4599">
            <v>0</v>
          </cell>
        </row>
        <row r="4600">
          <cell r="I4600">
            <v>0</v>
          </cell>
        </row>
        <row r="4601">
          <cell r="I4601">
            <v>0</v>
          </cell>
        </row>
        <row r="4602">
          <cell r="I4602">
            <v>0</v>
          </cell>
        </row>
        <row r="4603">
          <cell r="I4603">
            <v>0</v>
          </cell>
        </row>
        <row r="4604">
          <cell r="I4604">
            <v>0</v>
          </cell>
        </row>
        <row r="4605">
          <cell r="I4605">
            <v>0</v>
          </cell>
        </row>
        <row r="4606">
          <cell r="I4606">
            <v>0</v>
          </cell>
        </row>
        <row r="4607">
          <cell r="I4607">
            <v>0</v>
          </cell>
        </row>
        <row r="4608">
          <cell r="I4608">
            <v>0</v>
          </cell>
        </row>
        <row r="4609">
          <cell r="I4609">
            <v>0</v>
          </cell>
        </row>
        <row r="4610">
          <cell r="I4610">
            <v>0</v>
          </cell>
        </row>
        <row r="4611">
          <cell r="I4611">
            <v>0</v>
          </cell>
        </row>
        <row r="4612">
          <cell r="I4612">
            <v>0</v>
          </cell>
        </row>
        <row r="4613">
          <cell r="I4613">
            <v>0</v>
          </cell>
        </row>
        <row r="4614">
          <cell r="I4614">
            <v>0</v>
          </cell>
        </row>
        <row r="4615">
          <cell r="I4615">
            <v>0</v>
          </cell>
        </row>
        <row r="4616">
          <cell r="I4616">
            <v>0</v>
          </cell>
        </row>
        <row r="4617">
          <cell r="I4617">
            <v>0</v>
          </cell>
        </row>
        <row r="4618">
          <cell r="I4618">
            <v>0</v>
          </cell>
        </row>
        <row r="4619">
          <cell r="I4619">
            <v>0</v>
          </cell>
        </row>
        <row r="4620">
          <cell r="I4620">
            <v>0</v>
          </cell>
        </row>
        <row r="4621">
          <cell r="I4621">
            <v>0</v>
          </cell>
        </row>
        <row r="4622">
          <cell r="I4622">
            <v>0</v>
          </cell>
        </row>
        <row r="4623">
          <cell r="I4623">
            <v>0</v>
          </cell>
        </row>
        <row r="4624">
          <cell r="I4624">
            <v>0</v>
          </cell>
        </row>
        <row r="4625">
          <cell r="I4625">
            <v>0</v>
          </cell>
        </row>
        <row r="4626">
          <cell r="I4626">
            <v>0</v>
          </cell>
        </row>
        <row r="4627">
          <cell r="I4627">
            <v>0</v>
          </cell>
        </row>
        <row r="4628">
          <cell r="I4628">
            <v>0</v>
          </cell>
        </row>
        <row r="4629">
          <cell r="I4629">
            <v>0</v>
          </cell>
        </row>
        <row r="4630">
          <cell r="I4630">
            <v>0</v>
          </cell>
        </row>
        <row r="4631">
          <cell r="I4631">
            <v>0</v>
          </cell>
        </row>
        <row r="4632">
          <cell r="I4632">
            <v>0</v>
          </cell>
        </row>
        <row r="4633">
          <cell r="I4633">
            <v>0</v>
          </cell>
        </row>
        <row r="4634">
          <cell r="I4634">
            <v>0</v>
          </cell>
        </row>
        <row r="4635">
          <cell r="I4635">
            <v>0</v>
          </cell>
        </row>
        <row r="4636">
          <cell r="I4636">
            <v>0</v>
          </cell>
        </row>
        <row r="4637">
          <cell r="I4637">
            <v>0</v>
          </cell>
        </row>
        <row r="4638">
          <cell r="I4638">
            <v>0</v>
          </cell>
        </row>
        <row r="4639">
          <cell r="I4639">
            <v>0</v>
          </cell>
        </row>
        <row r="4640">
          <cell r="I4640">
            <v>0</v>
          </cell>
        </row>
        <row r="4641">
          <cell r="I4641">
            <v>0</v>
          </cell>
        </row>
        <row r="4642">
          <cell r="I4642">
            <v>0</v>
          </cell>
        </row>
        <row r="4643">
          <cell r="I4643">
            <v>0</v>
          </cell>
        </row>
        <row r="4644">
          <cell r="I4644">
            <v>0</v>
          </cell>
        </row>
        <row r="4645">
          <cell r="I4645">
            <v>0</v>
          </cell>
        </row>
        <row r="4646">
          <cell r="I4646">
            <v>0</v>
          </cell>
        </row>
        <row r="4647">
          <cell r="I4647">
            <v>0</v>
          </cell>
        </row>
        <row r="4648">
          <cell r="I4648">
            <v>0</v>
          </cell>
        </row>
        <row r="4649">
          <cell r="I4649">
            <v>0</v>
          </cell>
        </row>
        <row r="4650">
          <cell r="I4650">
            <v>0</v>
          </cell>
        </row>
        <row r="4651">
          <cell r="I4651">
            <v>0</v>
          </cell>
        </row>
        <row r="4652">
          <cell r="I4652">
            <v>0</v>
          </cell>
        </row>
        <row r="4653">
          <cell r="I4653">
            <v>0</v>
          </cell>
        </row>
        <row r="4654">
          <cell r="I4654">
            <v>0</v>
          </cell>
        </row>
        <row r="4655">
          <cell r="I4655">
            <v>0</v>
          </cell>
        </row>
        <row r="4656">
          <cell r="I4656">
            <v>0</v>
          </cell>
        </row>
        <row r="4657">
          <cell r="I4657">
            <v>0</v>
          </cell>
        </row>
        <row r="4658">
          <cell r="I4658">
            <v>0</v>
          </cell>
        </row>
        <row r="4659">
          <cell r="I4659">
            <v>0</v>
          </cell>
        </row>
        <row r="4660">
          <cell r="I4660">
            <v>0</v>
          </cell>
        </row>
        <row r="4661">
          <cell r="I4661">
            <v>0</v>
          </cell>
        </row>
        <row r="4662">
          <cell r="I4662">
            <v>0</v>
          </cell>
        </row>
        <row r="4663">
          <cell r="I4663">
            <v>0</v>
          </cell>
        </row>
        <row r="4664">
          <cell r="I4664">
            <v>0</v>
          </cell>
        </row>
        <row r="4665">
          <cell r="I4665">
            <v>0</v>
          </cell>
        </row>
        <row r="4666">
          <cell r="I4666">
            <v>0</v>
          </cell>
        </row>
        <row r="4667">
          <cell r="I4667">
            <v>0</v>
          </cell>
        </row>
        <row r="4668">
          <cell r="I4668">
            <v>0</v>
          </cell>
        </row>
        <row r="4669">
          <cell r="I4669">
            <v>0</v>
          </cell>
        </row>
        <row r="4670">
          <cell r="I4670">
            <v>0</v>
          </cell>
        </row>
        <row r="4671">
          <cell r="I4671">
            <v>0</v>
          </cell>
        </row>
        <row r="4672">
          <cell r="I4672">
            <v>0</v>
          </cell>
        </row>
        <row r="4673">
          <cell r="I4673">
            <v>0</v>
          </cell>
        </row>
        <row r="4674">
          <cell r="I4674">
            <v>0</v>
          </cell>
        </row>
        <row r="4675">
          <cell r="I4675">
            <v>0</v>
          </cell>
        </row>
        <row r="4676">
          <cell r="I4676">
            <v>0</v>
          </cell>
        </row>
        <row r="4677">
          <cell r="I4677">
            <v>0</v>
          </cell>
        </row>
        <row r="4678">
          <cell r="I4678">
            <v>0</v>
          </cell>
        </row>
        <row r="4679">
          <cell r="I4679">
            <v>0</v>
          </cell>
        </row>
        <row r="4680">
          <cell r="I4680">
            <v>0</v>
          </cell>
        </row>
        <row r="4681">
          <cell r="I4681">
            <v>0</v>
          </cell>
        </row>
        <row r="4682">
          <cell r="I4682">
            <v>0</v>
          </cell>
        </row>
        <row r="4683">
          <cell r="I4683">
            <v>0</v>
          </cell>
        </row>
        <row r="4684">
          <cell r="I4684">
            <v>0</v>
          </cell>
        </row>
        <row r="4685">
          <cell r="I4685">
            <v>0</v>
          </cell>
        </row>
        <row r="4686">
          <cell r="I4686">
            <v>0</v>
          </cell>
        </row>
        <row r="4687">
          <cell r="I4687">
            <v>0</v>
          </cell>
        </row>
        <row r="4688">
          <cell r="I4688">
            <v>0</v>
          </cell>
        </row>
        <row r="4689">
          <cell r="I4689">
            <v>0</v>
          </cell>
        </row>
        <row r="4690">
          <cell r="I4690">
            <v>0</v>
          </cell>
        </row>
        <row r="4691">
          <cell r="I4691">
            <v>0</v>
          </cell>
        </row>
        <row r="4692">
          <cell r="I4692">
            <v>0</v>
          </cell>
        </row>
        <row r="4693">
          <cell r="I4693">
            <v>0</v>
          </cell>
        </row>
        <row r="4694">
          <cell r="I4694">
            <v>0</v>
          </cell>
        </row>
        <row r="4695">
          <cell r="I4695">
            <v>0</v>
          </cell>
        </row>
        <row r="4696">
          <cell r="I4696">
            <v>0</v>
          </cell>
        </row>
        <row r="4697">
          <cell r="I4697">
            <v>0</v>
          </cell>
        </row>
        <row r="4698">
          <cell r="I4698">
            <v>0</v>
          </cell>
        </row>
        <row r="4699">
          <cell r="I4699">
            <v>0</v>
          </cell>
        </row>
        <row r="4700">
          <cell r="I4700">
            <v>0</v>
          </cell>
        </row>
        <row r="4701">
          <cell r="I4701">
            <v>0</v>
          </cell>
        </row>
        <row r="4702">
          <cell r="I4702">
            <v>0</v>
          </cell>
        </row>
        <row r="4703">
          <cell r="I4703">
            <v>0</v>
          </cell>
        </row>
        <row r="4704">
          <cell r="I4704">
            <v>0</v>
          </cell>
        </row>
        <row r="4705">
          <cell r="I4705">
            <v>0</v>
          </cell>
        </row>
        <row r="4706">
          <cell r="I4706">
            <v>0</v>
          </cell>
        </row>
        <row r="4707">
          <cell r="I4707">
            <v>0</v>
          </cell>
        </row>
        <row r="4708">
          <cell r="I4708">
            <v>0</v>
          </cell>
        </row>
        <row r="4709">
          <cell r="I4709">
            <v>0</v>
          </cell>
        </row>
        <row r="4710">
          <cell r="I4710">
            <v>0</v>
          </cell>
        </row>
        <row r="4711">
          <cell r="I4711">
            <v>0</v>
          </cell>
        </row>
        <row r="4712">
          <cell r="I4712">
            <v>0</v>
          </cell>
        </row>
        <row r="4713">
          <cell r="I4713">
            <v>0</v>
          </cell>
        </row>
        <row r="4714">
          <cell r="I4714">
            <v>0</v>
          </cell>
        </row>
        <row r="4715">
          <cell r="I4715">
            <v>0</v>
          </cell>
        </row>
        <row r="4716">
          <cell r="I4716">
            <v>0</v>
          </cell>
        </row>
        <row r="4717">
          <cell r="I4717">
            <v>0</v>
          </cell>
        </row>
        <row r="4718">
          <cell r="I4718">
            <v>0</v>
          </cell>
        </row>
        <row r="4719">
          <cell r="I4719">
            <v>0</v>
          </cell>
        </row>
        <row r="4720">
          <cell r="I4720">
            <v>0</v>
          </cell>
        </row>
        <row r="4721">
          <cell r="I4721">
            <v>0</v>
          </cell>
        </row>
        <row r="4722">
          <cell r="I4722">
            <v>0</v>
          </cell>
        </row>
        <row r="4723">
          <cell r="I4723">
            <v>0</v>
          </cell>
        </row>
        <row r="4724">
          <cell r="I4724">
            <v>0</v>
          </cell>
        </row>
        <row r="4725">
          <cell r="I4725">
            <v>0</v>
          </cell>
        </row>
        <row r="4726">
          <cell r="I4726">
            <v>0</v>
          </cell>
        </row>
        <row r="4727">
          <cell r="I4727">
            <v>0</v>
          </cell>
        </row>
        <row r="4728">
          <cell r="I4728">
            <v>0</v>
          </cell>
        </row>
        <row r="4729">
          <cell r="I4729">
            <v>0</v>
          </cell>
        </row>
        <row r="4730">
          <cell r="I4730">
            <v>0</v>
          </cell>
        </row>
        <row r="4731">
          <cell r="I4731">
            <v>0</v>
          </cell>
        </row>
        <row r="4732">
          <cell r="I4732">
            <v>0</v>
          </cell>
        </row>
        <row r="4733">
          <cell r="I4733">
            <v>0</v>
          </cell>
        </row>
        <row r="4734">
          <cell r="I4734">
            <v>0</v>
          </cell>
        </row>
        <row r="4735">
          <cell r="I4735">
            <v>0</v>
          </cell>
        </row>
        <row r="4736">
          <cell r="I4736">
            <v>0</v>
          </cell>
        </row>
        <row r="4737">
          <cell r="I4737">
            <v>0</v>
          </cell>
        </row>
        <row r="4738">
          <cell r="I4738">
            <v>0</v>
          </cell>
        </row>
        <row r="4739">
          <cell r="I4739">
            <v>0</v>
          </cell>
        </row>
        <row r="4740">
          <cell r="I4740">
            <v>0</v>
          </cell>
        </row>
        <row r="4741">
          <cell r="I4741">
            <v>0</v>
          </cell>
        </row>
        <row r="4742">
          <cell r="I4742">
            <v>0</v>
          </cell>
        </row>
        <row r="4743">
          <cell r="I4743">
            <v>0</v>
          </cell>
        </row>
        <row r="4744">
          <cell r="I4744">
            <v>0</v>
          </cell>
        </row>
        <row r="4745">
          <cell r="I4745">
            <v>0</v>
          </cell>
        </row>
        <row r="4746">
          <cell r="I4746">
            <v>0</v>
          </cell>
        </row>
        <row r="4747">
          <cell r="I4747">
            <v>0</v>
          </cell>
        </row>
        <row r="4748">
          <cell r="I4748">
            <v>0</v>
          </cell>
        </row>
        <row r="4749">
          <cell r="I4749">
            <v>0</v>
          </cell>
        </row>
        <row r="4750">
          <cell r="I4750">
            <v>0</v>
          </cell>
        </row>
        <row r="4751">
          <cell r="I4751">
            <v>0</v>
          </cell>
        </row>
        <row r="4752">
          <cell r="I4752">
            <v>0</v>
          </cell>
        </row>
        <row r="4753">
          <cell r="I4753">
            <v>0</v>
          </cell>
        </row>
        <row r="4754">
          <cell r="I4754">
            <v>0</v>
          </cell>
        </row>
        <row r="4755">
          <cell r="I4755">
            <v>0</v>
          </cell>
        </row>
        <row r="4756">
          <cell r="I4756">
            <v>0</v>
          </cell>
        </row>
        <row r="4757">
          <cell r="I4757">
            <v>0</v>
          </cell>
        </row>
        <row r="4758">
          <cell r="I4758">
            <v>0</v>
          </cell>
        </row>
        <row r="4759">
          <cell r="I4759">
            <v>0</v>
          </cell>
        </row>
        <row r="4760">
          <cell r="I4760">
            <v>0</v>
          </cell>
        </row>
        <row r="4761">
          <cell r="I4761">
            <v>0</v>
          </cell>
        </row>
        <row r="4762">
          <cell r="I4762">
            <v>0</v>
          </cell>
        </row>
        <row r="4763">
          <cell r="I4763">
            <v>0</v>
          </cell>
        </row>
        <row r="4764">
          <cell r="I4764">
            <v>0</v>
          </cell>
        </row>
        <row r="4765">
          <cell r="I4765">
            <v>0</v>
          </cell>
        </row>
        <row r="4766">
          <cell r="I4766">
            <v>0</v>
          </cell>
        </row>
        <row r="4767">
          <cell r="I4767">
            <v>0</v>
          </cell>
        </row>
        <row r="4768">
          <cell r="I4768">
            <v>0</v>
          </cell>
        </row>
        <row r="4769">
          <cell r="I4769">
            <v>0</v>
          </cell>
        </row>
        <row r="4770">
          <cell r="I4770">
            <v>0</v>
          </cell>
        </row>
        <row r="4771">
          <cell r="I4771">
            <v>0</v>
          </cell>
        </row>
        <row r="4772">
          <cell r="I4772">
            <v>0</v>
          </cell>
        </row>
        <row r="4773">
          <cell r="I4773">
            <v>0</v>
          </cell>
        </row>
        <row r="4774">
          <cell r="I4774">
            <v>0</v>
          </cell>
        </row>
        <row r="4775">
          <cell r="I4775">
            <v>0</v>
          </cell>
        </row>
        <row r="4776">
          <cell r="I4776">
            <v>0</v>
          </cell>
        </row>
        <row r="4777">
          <cell r="I4777">
            <v>0</v>
          </cell>
        </row>
        <row r="4778">
          <cell r="I4778">
            <v>0</v>
          </cell>
        </row>
        <row r="4779">
          <cell r="I4779">
            <v>0</v>
          </cell>
        </row>
        <row r="4780">
          <cell r="I4780">
            <v>0</v>
          </cell>
        </row>
        <row r="4781">
          <cell r="I4781">
            <v>0</v>
          </cell>
        </row>
        <row r="4782">
          <cell r="I4782">
            <v>0</v>
          </cell>
        </row>
        <row r="4783">
          <cell r="I4783">
            <v>0</v>
          </cell>
        </row>
        <row r="4784">
          <cell r="I4784">
            <v>0</v>
          </cell>
        </row>
        <row r="4785">
          <cell r="I4785">
            <v>0</v>
          </cell>
        </row>
        <row r="4786">
          <cell r="I4786">
            <v>0</v>
          </cell>
        </row>
        <row r="4787">
          <cell r="I4787">
            <v>0</v>
          </cell>
        </row>
        <row r="4788">
          <cell r="I4788">
            <v>0</v>
          </cell>
        </row>
        <row r="4789">
          <cell r="I4789">
            <v>0</v>
          </cell>
        </row>
        <row r="4790">
          <cell r="I4790">
            <v>0</v>
          </cell>
        </row>
        <row r="4791">
          <cell r="I4791">
            <v>0</v>
          </cell>
        </row>
        <row r="4792">
          <cell r="I4792">
            <v>0</v>
          </cell>
        </row>
        <row r="4793">
          <cell r="I4793">
            <v>0</v>
          </cell>
        </row>
        <row r="4794">
          <cell r="I4794">
            <v>0</v>
          </cell>
        </row>
        <row r="4795">
          <cell r="I4795">
            <v>0</v>
          </cell>
        </row>
        <row r="4796">
          <cell r="I4796">
            <v>0</v>
          </cell>
        </row>
        <row r="4797">
          <cell r="I4797">
            <v>0</v>
          </cell>
        </row>
        <row r="4798">
          <cell r="I4798">
            <v>0</v>
          </cell>
        </row>
        <row r="4799">
          <cell r="I4799">
            <v>0</v>
          </cell>
        </row>
        <row r="4800">
          <cell r="I4800">
            <v>0</v>
          </cell>
        </row>
        <row r="4801">
          <cell r="I4801">
            <v>0</v>
          </cell>
        </row>
        <row r="4802">
          <cell r="I4802">
            <v>0</v>
          </cell>
        </row>
        <row r="4803">
          <cell r="I4803">
            <v>0</v>
          </cell>
        </row>
        <row r="4804">
          <cell r="I4804">
            <v>0</v>
          </cell>
        </row>
        <row r="4805">
          <cell r="I4805">
            <v>0</v>
          </cell>
        </row>
        <row r="4806">
          <cell r="I4806">
            <v>0</v>
          </cell>
        </row>
        <row r="4807">
          <cell r="I4807">
            <v>0</v>
          </cell>
        </row>
        <row r="4808">
          <cell r="I4808">
            <v>0</v>
          </cell>
        </row>
        <row r="4809">
          <cell r="I4809">
            <v>0</v>
          </cell>
        </row>
        <row r="4810">
          <cell r="I4810">
            <v>0</v>
          </cell>
        </row>
        <row r="4811">
          <cell r="I4811">
            <v>0</v>
          </cell>
        </row>
        <row r="4812">
          <cell r="I4812">
            <v>0</v>
          </cell>
        </row>
        <row r="4813">
          <cell r="I4813">
            <v>0</v>
          </cell>
        </row>
        <row r="4814">
          <cell r="I4814">
            <v>0</v>
          </cell>
        </row>
        <row r="4815">
          <cell r="I4815">
            <v>0</v>
          </cell>
        </row>
        <row r="4816">
          <cell r="I4816">
            <v>0</v>
          </cell>
        </row>
        <row r="4817">
          <cell r="I4817">
            <v>0</v>
          </cell>
        </row>
        <row r="4818">
          <cell r="I4818">
            <v>0</v>
          </cell>
        </row>
        <row r="4819">
          <cell r="I4819">
            <v>0</v>
          </cell>
        </row>
        <row r="4820">
          <cell r="I4820">
            <v>0</v>
          </cell>
        </row>
        <row r="4821">
          <cell r="I4821">
            <v>0</v>
          </cell>
        </row>
        <row r="4822">
          <cell r="I4822">
            <v>0</v>
          </cell>
        </row>
        <row r="4823">
          <cell r="I4823">
            <v>0</v>
          </cell>
        </row>
        <row r="4824">
          <cell r="I4824">
            <v>0</v>
          </cell>
        </row>
        <row r="4825">
          <cell r="I4825">
            <v>0</v>
          </cell>
        </row>
        <row r="4826">
          <cell r="I4826">
            <v>0</v>
          </cell>
        </row>
        <row r="4827">
          <cell r="I4827">
            <v>0</v>
          </cell>
        </row>
        <row r="4828">
          <cell r="I4828">
            <v>0</v>
          </cell>
        </row>
        <row r="4829">
          <cell r="I4829">
            <v>0</v>
          </cell>
        </row>
        <row r="4830">
          <cell r="I4830">
            <v>0</v>
          </cell>
        </row>
        <row r="4831">
          <cell r="I4831">
            <v>0</v>
          </cell>
        </row>
        <row r="4832">
          <cell r="I4832">
            <v>0</v>
          </cell>
        </row>
        <row r="4833">
          <cell r="I4833">
            <v>0</v>
          </cell>
        </row>
        <row r="4834">
          <cell r="I4834">
            <v>0</v>
          </cell>
        </row>
        <row r="4835">
          <cell r="I4835">
            <v>0</v>
          </cell>
        </row>
        <row r="4836">
          <cell r="I4836">
            <v>0</v>
          </cell>
        </row>
        <row r="4837">
          <cell r="I4837">
            <v>0</v>
          </cell>
        </row>
        <row r="4838">
          <cell r="I4838">
            <v>0</v>
          </cell>
        </row>
        <row r="4839">
          <cell r="I4839">
            <v>0</v>
          </cell>
        </row>
        <row r="4840">
          <cell r="I4840">
            <v>0</v>
          </cell>
        </row>
        <row r="4841">
          <cell r="I4841">
            <v>0</v>
          </cell>
        </row>
        <row r="4842">
          <cell r="I4842">
            <v>0</v>
          </cell>
        </row>
        <row r="4843">
          <cell r="I4843">
            <v>0</v>
          </cell>
        </row>
        <row r="4844">
          <cell r="I4844">
            <v>0</v>
          </cell>
        </row>
        <row r="4845">
          <cell r="I4845">
            <v>0</v>
          </cell>
        </row>
        <row r="4846">
          <cell r="I4846">
            <v>0</v>
          </cell>
        </row>
        <row r="4847">
          <cell r="I4847">
            <v>0</v>
          </cell>
        </row>
        <row r="4848">
          <cell r="I4848">
            <v>0</v>
          </cell>
        </row>
        <row r="4849">
          <cell r="I4849">
            <v>0</v>
          </cell>
        </row>
        <row r="4850">
          <cell r="I4850">
            <v>0</v>
          </cell>
        </row>
        <row r="4851">
          <cell r="I4851">
            <v>0</v>
          </cell>
        </row>
        <row r="4852">
          <cell r="I4852">
            <v>0</v>
          </cell>
        </row>
        <row r="4853">
          <cell r="I4853">
            <v>0</v>
          </cell>
        </row>
        <row r="4854">
          <cell r="I4854">
            <v>0</v>
          </cell>
        </row>
        <row r="4855">
          <cell r="I4855">
            <v>0</v>
          </cell>
        </row>
        <row r="4856">
          <cell r="I4856">
            <v>0</v>
          </cell>
        </row>
        <row r="4857">
          <cell r="I4857">
            <v>0</v>
          </cell>
        </row>
        <row r="4858">
          <cell r="I4858">
            <v>0</v>
          </cell>
        </row>
        <row r="4859">
          <cell r="I4859">
            <v>0</v>
          </cell>
        </row>
        <row r="4860">
          <cell r="I4860">
            <v>0</v>
          </cell>
        </row>
        <row r="4861">
          <cell r="I4861">
            <v>0</v>
          </cell>
        </row>
        <row r="4862">
          <cell r="I4862">
            <v>0</v>
          </cell>
        </row>
        <row r="4863">
          <cell r="I4863">
            <v>0</v>
          </cell>
        </row>
        <row r="4864">
          <cell r="I4864">
            <v>0</v>
          </cell>
        </row>
        <row r="4865">
          <cell r="I4865">
            <v>0</v>
          </cell>
        </row>
        <row r="4866">
          <cell r="I4866">
            <v>0</v>
          </cell>
        </row>
        <row r="4867">
          <cell r="I4867">
            <v>0</v>
          </cell>
        </row>
        <row r="4868">
          <cell r="I4868">
            <v>0</v>
          </cell>
        </row>
        <row r="4869">
          <cell r="I4869">
            <v>0</v>
          </cell>
        </row>
        <row r="4870">
          <cell r="I4870">
            <v>0</v>
          </cell>
        </row>
        <row r="4871">
          <cell r="I4871">
            <v>0</v>
          </cell>
        </row>
        <row r="4872">
          <cell r="I4872">
            <v>0</v>
          </cell>
        </row>
        <row r="4873">
          <cell r="I4873">
            <v>0</v>
          </cell>
        </row>
        <row r="4874">
          <cell r="I4874">
            <v>0</v>
          </cell>
        </row>
        <row r="4875">
          <cell r="I4875">
            <v>0</v>
          </cell>
        </row>
        <row r="4876">
          <cell r="I4876">
            <v>0</v>
          </cell>
        </row>
        <row r="4877">
          <cell r="I4877">
            <v>0</v>
          </cell>
        </row>
        <row r="4878">
          <cell r="I4878">
            <v>0</v>
          </cell>
        </row>
        <row r="4879">
          <cell r="I4879">
            <v>0</v>
          </cell>
        </row>
        <row r="4880">
          <cell r="I4880">
            <v>0</v>
          </cell>
        </row>
        <row r="4881">
          <cell r="I4881">
            <v>0</v>
          </cell>
        </row>
        <row r="4882">
          <cell r="I4882">
            <v>0</v>
          </cell>
        </row>
        <row r="4883">
          <cell r="I4883">
            <v>0</v>
          </cell>
        </row>
        <row r="4884">
          <cell r="I4884">
            <v>0</v>
          </cell>
        </row>
        <row r="4885">
          <cell r="I4885">
            <v>0</v>
          </cell>
        </row>
        <row r="4886">
          <cell r="I4886">
            <v>0</v>
          </cell>
        </row>
        <row r="4887">
          <cell r="I4887">
            <v>0</v>
          </cell>
        </row>
        <row r="4888">
          <cell r="I4888">
            <v>0</v>
          </cell>
        </row>
        <row r="4889">
          <cell r="I4889">
            <v>0</v>
          </cell>
        </row>
        <row r="4890">
          <cell r="I4890">
            <v>0</v>
          </cell>
        </row>
        <row r="4891">
          <cell r="I4891">
            <v>0</v>
          </cell>
        </row>
        <row r="4892">
          <cell r="I4892">
            <v>0</v>
          </cell>
        </row>
        <row r="4893">
          <cell r="I4893">
            <v>0</v>
          </cell>
        </row>
        <row r="4894">
          <cell r="I4894">
            <v>0</v>
          </cell>
        </row>
        <row r="4895">
          <cell r="I4895">
            <v>0</v>
          </cell>
        </row>
        <row r="4896">
          <cell r="I4896">
            <v>0</v>
          </cell>
        </row>
        <row r="4897">
          <cell r="I4897">
            <v>0</v>
          </cell>
        </row>
        <row r="4898">
          <cell r="I4898">
            <v>0</v>
          </cell>
        </row>
        <row r="4899">
          <cell r="I4899">
            <v>0</v>
          </cell>
        </row>
        <row r="4900">
          <cell r="I4900">
            <v>0</v>
          </cell>
        </row>
        <row r="4901">
          <cell r="I4901">
            <v>0</v>
          </cell>
        </row>
        <row r="4902">
          <cell r="I4902">
            <v>0</v>
          </cell>
        </row>
        <row r="4903">
          <cell r="I4903">
            <v>0</v>
          </cell>
        </row>
        <row r="4904">
          <cell r="I4904">
            <v>0</v>
          </cell>
        </row>
        <row r="4905">
          <cell r="I4905">
            <v>0</v>
          </cell>
        </row>
        <row r="4906">
          <cell r="I4906">
            <v>0</v>
          </cell>
        </row>
        <row r="4907">
          <cell r="I4907">
            <v>0</v>
          </cell>
        </row>
        <row r="4908">
          <cell r="I4908">
            <v>0</v>
          </cell>
        </row>
        <row r="4909">
          <cell r="I4909">
            <v>0</v>
          </cell>
        </row>
        <row r="4910">
          <cell r="I4910">
            <v>0</v>
          </cell>
        </row>
        <row r="4911">
          <cell r="I4911">
            <v>0</v>
          </cell>
        </row>
        <row r="4912">
          <cell r="I4912">
            <v>0</v>
          </cell>
        </row>
        <row r="4913">
          <cell r="I4913">
            <v>0</v>
          </cell>
        </row>
        <row r="4914">
          <cell r="I4914">
            <v>0</v>
          </cell>
        </row>
        <row r="4915">
          <cell r="I4915">
            <v>0</v>
          </cell>
        </row>
        <row r="4916">
          <cell r="I4916">
            <v>0</v>
          </cell>
        </row>
        <row r="4917">
          <cell r="I4917">
            <v>0</v>
          </cell>
        </row>
        <row r="4918">
          <cell r="I4918">
            <v>0</v>
          </cell>
        </row>
        <row r="4919">
          <cell r="I4919">
            <v>0</v>
          </cell>
        </row>
        <row r="4920">
          <cell r="I4920">
            <v>0</v>
          </cell>
        </row>
        <row r="4921">
          <cell r="I4921">
            <v>0</v>
          </cell>
        </row>
        <row r="4922">
          <cell r="I4922">
            <v>0</v>
          </cell>
        </row>
        <row r="4923">
          <cell r="I4923">
            <v>0</v>
          </cell>
        </row>
        <row r="4924">
          <cell r="I4924">
            <v>0</v>
          </cell>
        </row>
        <row r="4925">
          <cell r="I4925">
            <v>0</v>
          </cell>
        </row>
        <row r="4926">
          <cell r="I4926">
            <v>0</v>
          </cell>
        </row>
        <row r="4927">
          <cell r="I4927">
            <v>0</v>
          </cell>
        </row>
        <row r="4928">
          <cell r="I4928">
            <v>0</v>
          </cell>
        </row>
        <row r="4929">
          <cell r="I4929">
            <v>0</v>
          </cell>
        </row>
        <row r="4930">
          <cell r="I4930">
            <v>0</v>
          </cell>
        </row>
        <row r="4931">
          <cell r="I4931">
            <v>0</v>
          </cell>
        </row>
        <row r="4932">
          <cell r="I4932">
            <v>0</v>
          </cell>
        </row>
        <row r="4933">
          <cell r="I4933">
            <v>0</v>
          </cell>
        </row>
        <row r="4934">
          <cell r="I4934">
            <v>0</v>
          </cell>
        </row>
        <row r="4935">
          <cell r="I4935">
            <v>0</v>
          </cell>
        </row>
        <row r="4936">
          <cell r="I4936">
            <v>0</v>
          </cell>
        </row>
        <row r="4937">
          <cell r="I4937">
            <v>0</v>
          </cell>
        </row>
        <row r="4938">
          <cell r="I4938">
            <v>0</v>
          </cell>
        </row>
        <row r="4939">
          <cell r="I4939">
            <v>0</v>
          </cell>
        </row>
        <row r="4940">
          <cell r="I4940">
            <v>0</v>
          </cell>
        </row>
        <row r="4941">
          <cell r="I4941">
            <v>0</v>
          </cell>
        </row>
        <row r="4942">
          <cell r="I4942">
            <v>0</v>
          </cell>
        </row>
        <row r="4943">
          <cell r="I4943">
            <v>0</v>
          </cell>
        </row>
        <row r="4944">
          <cell r="I4944">
            <v>0</v>
          </cell>
        </row>
        <row r="4945">
          <cell r="I4945">
            <v>0</v>
          </cell>
        </row>
        <row r="4946">
          <cell r="I4946">
            <v>0</v>
          </cell>
        </row>
        <row r="4947">
          <cell r="I4947">
            <v>0</v>
          </cell>
        </row>
        <row r="4948">
          <cell r="I4948">
            <v>0</v>
          </cell>
        </row>
        <row r="4949">
          <cell r="I4949">
            <v>0</v>
          </cell>
        </row>
        <row r="4950">
          <cell r="I4950">
            <v>0</v>
          </cell>
        </row>
        <row r="4951">
          <cell r="I4951">
            <v>0</v>
          </cell>
        </row>
        <row r="4952">
          <cell r="I4952">
            <v>0</v>
          </cell>
        </row>
        <row r="4953">
          <cell r="I4953">
            <v>0</v>
          </cell>
        </row>
        <row r="4954">
          <cell r="I4954">
            <v>0</v>
          </cell>
        </row>
        <row r="4955">
          <cell r="I4955">
            <v>0</v>
          </cell>
        </row>
        <row r="4956">
          <cell r="I4956">
            <v>0</v>
          </cell>
        </row>
        <row r="4957">
          <cell r="I4957">
            <v>0</v>
          </cell>
        </row>
        <row r="4958">
          <cell r="I4958">
            <v>0</v>
          </cell>
        </row>
        <row r="4959">
          <cell r="I4959">
            <v>0</v>
          </cell>
        </row>
        <row r="4960">
          <cell r="I4960">
            <v>0</v>
          </cell>
        </row>
        <row r="4961">
          <cell r="I4961">
            <v>0</v>
          </cell>
        </row>
        <row r="4962">
          <cell r="I4962">
            <v>0</v>
          </cell>
        </row>
        <row r="4963">
          <cell r="I4963">
            <v>0</v>
          </cell>
        </row>
        <row r="4964">
          <cell r="I4964">
            <v>0</v>
          </cell>
        </row>
        <row r="4965">
          <cell r="I4965">
            <v>0</v>
          </cell>
        </row>
        <row r="4966">
          <cell r="I4966">
            <v>0</v>
          </cell>
        </row>
        <row r="4967">
          <cell r="I4967">
            <v>0</v>
          </cell>
        </row>
        <row r="4968">
          <cell r="I4968">
            <v>0</v>
          </cell>
        </row>
        <row r="4969">
          <cell r="I4969">
            <v>0</v>
          </cell>
        </row>
        <row r="4970">
          <cell r="I4970">
            <v>0</v>
          </cell>
        </row>
        <row r="4971">
          <cell r="I4971">
            <v>0</v>
          </cell>
        </row>
        <row r="4972">
          <cell r="I4972">
            <v>0</v>
          </cell>
        </row>
        <row r="4973">
          <cell r="I4973">
            <v>0</v>
          </cell>
        </row>
        <row r="4974">
          <cell r="I4974">
            <v>0</v>
          </cell>
        </row>
        <row r="4975">
          <cell r="I4975">
            <v>0</v>
          </cell>
        </row>
        <row r="4976">
          <cell r="I4976">
            <v>0</v>
          </cell>
        </row>
        <row r="4977">
          <cell r="I4977">
            <v>0</v>
          </cell>
        </row>
        <row r="4978">
          <cell r="I4978">
            <v>0</v>
          </cell>
        </row>
        <row r="4979">
          <cell r="I4979">
            <v>0</v>
          </cell>
        </row>
        <row r="4980">
          <cell r="I4980">
            <v>0</v>
          </cell>
        </row>
        <row r="4981">
          <cell r="I4981">
            <v>0</v>
          </cell>
        </row>
        <row r="4982">
          <cell r="I4982">
            <v>0</v>
          </cell>
        </row>
        <row r="4983">
          <cell r="I4983">
            <v>0</v>
          </cell>
        </row>
        <row r="4984">
          <cell r="I4984">
            <v>0</v>
          </cell>
        </row>
        <row r="4985">
          <cell r="I4985">
            <v>0</v>
          </cell>
        </row>
        <row r="4986">
          <cell r="I4986">
            <v>0</v>
          </cell>
        </row>
        <row r="4987">
          <cell r="I4987">
            <v>0</v>
          </cell>
        </row>
        <row r="4988">
          <cell r="I4988">
            <v>0</v>
          </cell>
        </row>
        <row r="4989">
          <cell r="I4989">
            <v>0</v>
          </cell>
        </row>
        <row r="4990">
          <cell r="I4990">
            <v>0</v>
          </cell>
        </row>
        <row r="4991">
          <cell r="I4991">
            <v>0</v>
          </cell>
        </row>
        <row r="4992">
          <cell r="I4992">
            <v>0</v>
          </cell>
        </row>
        <row r="4993">
          <cell r="I4993">
            <v>0</v>
          </cell>
        </row>
        <row r="4994">
          <cell r="I4994">
            <v>0</v>
          </cell>
        </row>
        <row r="4995">
          <cell r="I4995">
            <v>0</v>
          </cell>
        </row>
        <row r="4996">
          <cell r="I4996">
            <v>0</v>
          </cell>
        </row>
        <row r="4997">
          <cell r="I4997">
            <v>0</v>
          </cell>
        </row>
        <row r="4998">
          <cell r="I4998">
            <v>0</v>
          </cell>
        </row>
        <row r="4999">
          <cell r="I4999">
            <v>0</v>
          </cell>
        </row>
        <row r="5000">
          <cell r="I5000">
            <v>0</v>
          </cell>
        </row>
        <row r="5001">
          <cell r="I5001">
            <v>0</v>
          </cell>
        </row>
        <row r="5002">
          <cell r="I5002">
            <v>0</v>
          </cell>
        </row>
        <row r="5003">
          <cell r="I5003">
            <v>0</v>
          </cell>
        </row>
        <row r="5004">
          <cell r="I5004">
            <v>0</v>
          </cell>
        </row>
        <row r="5005">
          <cell r="I5005">
            <v>0</v>
          </cell>
        </row>
        <row r="5006">
          <cell r="I5006">
            <v>0</v>
          </cell>
        </row>
        <row r="5007">
          <cell r="I5007">
            <v>0</v>
          </cell>
        </row>
        <row r="5008">
          <cell r="I5008">
            <v>0</v>
          </cell>
        </row>
        <row r="5009">
          <cell r="I5009">
            <v>0</v>
          </cell>
        </row>
        <row r="5010">
          <cell r="I5010">
            <v>0</v>
          </cell>
        </row>
        <row r="5011">
          <cell r="I5011">
            <v>0</v>
          </cell>
        </row>
        <row r="5012">
          <cell r="I5012">
            <v>0</v>
          </cell>
        </row>
        <row r="5013">
          <cell r="I5013">
            <v>0</v>
          </cell>
        </row>
        <row r="5014">
          <cell r="I5014">
            <v>0</v>
          </cell>
        </row>
        <row r="5015">
          <cell r="I5015">
            <v>0</v>
          </cell>
        </row>
        <row r="5016">
          <cell r="I5016">
            <v>0</v>
          </cell>
        </row>
        <row r="5017">
          <cell r="I5017">
            <v>0</v>
          </cell>
        </row>
        <row r="5018">
          <cell r="I5018">
            <v>0</v>
          </cell>
        </row>
        <row r="5019">
          <cell r="I5019">
            <v>0</v>
          </cell>
        </row>
        <row r="5020">
          <cell r="I5020">
            <v>0</v>
          </cell>
        </row>
        <row r="5021">
          <cell r="I5021">
            <v>0</v>
          </cell>
        </row>
        <row r="5022">
          <cell r="I5022">
            <v>0</v>
          </cell>
        </row>
        <row r="5023">
          <cell r="I5023">
            <v>0</v>
          </cell>
        </row>
        <row r="5024">
          <cell r="I5024">
            <v>0</v>
          </cell>
        </row>
        <row r="5025">
          <cell r="I5025">
            <v>0</v>
          </cell>
        </row>
        <row r="5026">
          <cell r="I5026">
            <v>0</v>
          </cell>
        </row>
        <row r="5027">
          <cell r="I5027">
            <v>0</v>
          </cell>
        </row>
        <row r="5028">
          <cell r="I5028">
            <v>0</v>
          </cell>
        </row>
        <row r="5029">
          <cell r="I5029">
            <v>0</v>
          </cell>
        </row>
        <row r="5030">
          <cell r="I5030">
            <v>0</v>
          </cell>
        </row>
        <row r="5031">
          <cell r="I5031">
            <v>0</v>
          </cell>
        </row>
        <row r="5032">
          <cell r="I5032">
            <v>0</v>
          </cell>
        </row>
        <row r="5033">
          <cell r="I5033">
            <v>0</v>
          </cell>
        </row>
        <row r="5034">
          <cell r="I5034">
            <v>0</v>
          </cell>
        </row>
        <row r="5035">
          <cell r="I5035">
            <v>0</v>
          </cell>
        </row>
        <row r="5036">
          <cell r="I5036">
            <v>0</v>
          </cell>
        </row>
        <row r="5037">
          <cell r="I5037">
            <v>0</v>
          </cell>
        </row>
        <row r="5038">
          <cell r="I5038">
            <v>0</v>
          </cell>
        </row>
        <row r="5039">
          <cell r="I5039">
            <v>0</v>
          </cell>
        </row>
        <row r="5040">
          <cell r="I5040">
            <v>0</v>
          </cell>
        </row>
        <row r="5041">
          <cell r="I5041">
            <v>0</v>
          </cell>
        </row>
        <row r="5042">
          <cell r="I5042">
            <v>0</v>
          </cell>
        </row>
        <row r="5043">
          <cell r="I5043">
            <v>0</v>
          </cell>
        </row>
        <row r="5044">
          <cell r="I5044">
            <v>0</v>
          </cell>
        </row>
        <row r="5045">
          <cell r="I5045">
            <v>0</v>
          </cell>
        </row>
        <row r="5046">
          <cell r="I5046">
            <v>0</v>
          </cell>
        </row>
        <row r="5047">
          <cell r="I5047">
            <v>0</v>
          </cell>
        </row>
        <row r="5048">
          <cell r="I5048">
            <v>0</v>
          </cell>
        </row>
        <row r="5049">
          <cell r="I5049">
            <v>0</v>
          </cell>
        </row>
        <row r="5050">
          <cell r="I5050">
            <v>0</v>
          </cell>
        </row>
        <row r="5051">
          <cell r="I5051">
            <v>0</v>
          </cell>
        </row>
        <row r="5052">
          <cell r="I5052">
            <v>0</v>
          </cell>
        </row>
        <row r="5053">
          <cell r="I5053">
            <v>0</v>
          </cell>
        </row>
        <row r="5054">
          <cell r="I5054">
            <v>0</v>
          </cell>
        </row>
        <row r="5055">
          <cell r="I5055">
            <v>0</v>
          </cell>
        </row>
        <row r="5056">
          <cell r="I5056">
            <v>0</v>
          </cell>
        </row>
        <row r="5057">
          <cell r="I5057">
            <v>0</v>
          </cell>
        </row>
        <row r="5058">
          <cell r="I5058">
            <v>0</v>
          </cell>
        </row>
        <row r="5059">
          <cell r="I5059">
            <v>0</v>
          </cell>
        </row>
        <row r="5060">
          <cell r="I5060">
            <v>0</v>
          </cell>
        </row>
        <row r="5061">
          <cell r="I5061">
            <v>0</v>
          </cell>
        </row>
        <row r="5062">
          <cell r="I5062">
            <v>0</v>
          </cell>
        </row>
        <row r="5063">
          <cell r="I5063">
            <v>0</v>
          </cell>
        </row>
        <row r="5064">
          <cell r="I5064">
            <v>0</v>
          </cell>
        </row>
        <row r="5065">
          <cell r="I5065">
            <v>0</v>
          </cell>
        </row>
        <row r="5066">
          <cell r="I5066">
            <v>0</v>
          </cell>
        </row>
        <row r="5067">
          <cell r="I5067">
            <v>0</v>
          </cell>
        </row>
        <row r="5068">
          <cell r="I5068">
            <v>0</v>
          </cell>
        </row>
        <row r="5069">
          <cell r="I5069">
            <v>0</v>
          </cell>
        </row>
        <row r="5070">
          <cell r="I5070">
            <v>0</v>
          </cell>
        </row>
        <row r="5071">
          <cell r="I5071">
            <v>0</v>
          </cell>
        </row>
        <row r="5072">
          <cell r="I5072">
            <v>0</v>
          </cell>
        </row>
        <row r="5073">
          <cell r="I5073">
            <v>0</v>
          </cell>
        </row>
        <row r="5074">
          <cell r="I5074">
            <v>0</v>
          </cell>
        </row>
        <row r="5075">
          <cell r="I5075">
            <v>0</v>
          </cell>
        </row>
        <row r="5076">
          <cell r="I5076">
            <v>0</v>
          </cell>
        </row>
        <row r="5077">
          <cell r="I5077">
            <v>0</v>
          </cell>
        </row>
        <row r="5078">
          <cell r="I5078">
            <v>0</v>
          </cell>
        </row>
        <row r="5079">
          <cell r="I5079">
            <v>0</v>
          </cell>
        </row>
        <row r="5080">
          <cell r="I5080">
            <v>0</v>
          </cell>
        </row>
        <row r="5081">
          <cell r="I5081">
            <v>0</v>
          </cell>
        </row>
        <row r="5082">
          <cell r="I5082">
            <v>0</v>
          </cell>
        </row>
        <row r="5083">
          <cell r="I5083">
            <v>0</v>
          </cell>
        </row>
        <row r="5084">
          <cell r="I5084">
            <v>0</v>
          </cell>
        </row>
        <row r="5085">
          <cell r="I5085">
            <v>0</v>
          </cell>
        </row>
        <row r="5086">
          <cell r="I5086">
            <v>0</v>
          </cell>
        </row>
        <row r="5087">
          <cell r="I5087">
            <v>0</v>
          </cell>
        </row>
        <row r="5088">
          <cell r="I5088">
            <v>0</v>
          </cell>
        </row>
        <row r="5089">
          <cell r="I5089">
            <v>0</v>
          </cell>
        </row>
        <row r="5090">
          <cell r="I5090">
            <v>0</v>
          </cell>
        </row>
        <row r="5091">
          <cell r="I5091">
            <v>0</v>
          </cell>
        </row>
        <row r="5092">
          <cell r="I5092">
            <v>0</v>
          </cell>
        </row>
        <row r="5093">
          <cell r="I5093">
            <v>0</v>
          </cell>
        </row>
        <row r="5094">
          <cell r="I5094">
            <v>0</v>
          </cell>
        </row>
        <row r="5095">
          <cell r="I5095">
            <v>0</v>
          </cell>
        </row>
        <row r="5096">
          <cell r="I5096">
            <v>0</v>
          </cell>
        </row>
        <row r="5097">
          <cell r="I5097">
            <v>0</v>
          </cell>
        </row>
        <row r="5098">
          <cell r="I5098">
            <v>0</v>
          </cell>
        </row>
        <row r="5099">
          <cell r="I5099">
            <v>0</v>
          </cell>
        </row>
        <row r="5100">
          <cell r="I5100">
            <v>0</v>
          </cell>
        </row>
        <row r="5101">
          <cell r="I5101">
            <v>0</v>
          </cell>
        </row>
        <row r="5102">
          <cell r="I5102">
            <v>0</v>
          </cell>
        </row>
        <row r="5103">
          <cell r="I5103">
            <v>0</v>
          </cell>
        </row>
        <row r="5104">
          <cell r="I5104">
            <v>0</v>
          </cell>
        </row>
        <row r="5105">
          <cell r="I5105">
            <v>0</v>
          </cell>
        </row>
        <row r="5106">
          <cell r="I5106">
            <v>0</v>
          </cell>
        </row>
        <row r="5107">
          <cell r="I5107">
            <v>0</v>
          </cell>
        </row>
        <row r="5108">
          <cell r="I5108">
            <v>0</v>
          </cell>
        </row>
        <row r="5109">
          <cell r="I5109">
            <v>0</v>
          </cell>
        </row>
        <row r="5110">
          <cell r="I5110">
            <v>0</v>
          </cell>
        </row>
        <row r="5111">
          <cell r="I5111">
            <v>0</v>
          </cell>
        </row>
        <row r="5112">
          <cell r="I5112">
            <v>0</v>
          </cell>
        </row>
        <row r="5113">
          <cell r="I5113">
            <v>0</v>
          </cell>
        </row>
        <row r="5114">
          <cell r="I5114">
            <v>0</v>
          </cell>
        </row>
        <row r="5115">
          <cell r="I5115">
            <v>0</v>
          </cell>
        </row>
        <row r="5116">
          <cell r="I5116">
            <v>0</v>
          </cell>
        </row>
        <row r="5117">
          <cell r="I5117">
            <v>0</v>
          </cell>
        </row>
        <row r="5118">
          <cell r="I5118">
            <v>0</v>
          </cell>
        </row>
        <row r="5119">
          <cell r="I5119">
            <v>0</v>
          </cell>
        </row>
        <row r="5120">
          <cell r="I5120">
            <v>0</v>
          </cell>
        </row>
        <row r="5121">
          <cell r="I5121">
            <v>0</v>
          </cell>
        </row>
        <row r="5122">
          <cell r="I5122">
            <v>0</v>
          </cell>
        </row>
        <row r="5123">
          <cell r="I5123">
            <v>0</v>
          </cell>
        </row>
        <row r="5124">
          <cell r="I5124">
            <v>0</v>
          </cell>
        </row>
        <row r="5125">
          <cell r="I5125">
            <v>0</v>
          </cell>
        </row>
        <row r="5126">
          <cell r="I5126">
            <v>0</v>
          </cell>
        </row>
        <row r="5127">
          <cell r="I5127">
            <v>0</v>
          </cell>
        </row>
        <row r="5128">
          <cell r="I5128">
            <v>0</v>
          </cell>
        </row>
        <row r="5129">
          <cell r="I5129">
            <v>0</v>
          </cell>
        </row>
        <row r="5130">
          <cell r="I5130">
            <v>0</v>
          </cell>
        </row>
        <row r="5131">
          <cell r="I5131">
            <v>0</v>
          </cell>
        </row>
        <row r="5132">
          <cell r="I5132">
            <v>0</v>
          </cell>
        </row>
        <row r="5133">
          <cell r="I5133">
            <v>0</v>
          </cell>
        </row>
        <row r="5134">
          <cell r="I5134">
            <v>0</v>
          </cell>
        </row>
        <row r="5135">
          <cell r="I5135">
            <v>0</v>
          </cell>
        </row>
        <row r="5136">
          <cell r="I5136">
            <v>0</v>
          </cell>
        </row>
        <row r="5137">
          <cell r="I5137">
            <v>0</v>
          </cell>
        </row>
        <row r="5138">
          <cell r="I5138">
            <v>0</v>
          </cell>
        </row>
        <row r="5139">
          <cell r="I5139">
            <v>0</v>
          </cell>
        </row>
        <row r="5140">
          <cell r="I5140">
            <v>0</v>
          </cell>
        </row>
        <row r="5141">
          <cell r="I5141">
            <v>0</v>
          </cell>
        </row>
        <row r="5142">
          <cell r="I5142">
            <v>0</v>
          </cell>
        </row>
        <row r="5143">
          <cell r="I5143">
            <v>0</v>
          </cell>
        </row>
        <row r="5144">
          <cell r="I5144">
            <v>0</v>
          </cell>
        </row>
        <row r="5145">
          <cell r="I5145">
            <v>0</v>
          </cell>
        </row>
        <row r="5146">
          <cell r="I5146">
            <v>0</v>
          </cell>
        </row>
        <row r="5147">
          <cell r="I5147">
            <v>0</v>
          </cell>
        </row>
        <row r="5148">
          <cell r="I5148">
            <v>0</v>
          </cell>
        </row>
        <row r="5149">
          <cell r="I5149">
            <v>0</v>
          </cell>
        </row>
        <row r="5150">
          <cell r="I5150">
            <v>0</v>
          </cell>
        </row>
        <row r="5151">
          <cell r="I5151">
            <v>0</v>
          </cell>
        </row>
        <row r="5152">
          <cell r="I5152">
            <v>0</v>
          </cell>
        </row>
        <row r="5153">
          <cell r="I5153">
            <v>0</v>
          </cell>
        </row>
        <row r="5154">
          <cell r="I5154">
            <v>0</v>
          </cell>
        </row>
        <row r="5155">
          <cell r="I5155">
            <v>0</v>
          </cell>
        </row>
        <row r="5156">
          <cell r="I5156">
            <v>0</v>
          </cell>
        </row>
        <row r="5157">
          <cell r="I5157">
            <v>0</v>
          </cell>
        </row>
        <row r="5158">
          <cell r="I5158">
            <v>0</v>
          </cell>
        </row>
        <row r="5159">
          <cell r="I5159">
            <v>0</v>
          </cell>
        </row>
        <row r="5160">
          <cell r="I5160">
            <v>0</v>
          </cell>
        </row>
        <row r="5161">
          <cell r="I5161">
            <v>0</v>
          </cell>
        </row>
        <row r="5162">
          <cell r="I5162">
            <v>0</v>
          </cell>
        </row>
        <row r="5163">
          <cell r="I5163">
            <v>0</v>
          </cell>
        </row>
        <row r="5164">
          <cell r="I5164">
            <v>0</v>
          </cell>
        </row>
        <row r="5165">
          <cell r="I5165">
            <v>0</v>
          </cell>
        </row>
        <row r="5166">
          <cell r="I5166">
            <v>0</v>
          </cell>
        </row>
        <row r="5167">
          <cell r="I5167">
            <v>0</v>
          </cell>
        </row>
        <row r="5168">
          <cell r="I5168">
            <v>0</v>
          </cell>
        </row>
        <row r="5169">
          <cell r="I5169">
            <v>0</v>
          </cell>
        </row>
        <row r="5170">
          <cell r="I5170">
            <v>0</v>
          </cell>
        </row>
        <row r="5171">
          <cell r="I5171">
            <v>0</v>
          </cell>
        </row>
        <row r="5172">
          <cell r="I5172">
            <v>0</v>
          </cell>
        </row>
        <row r="5173">
          <cell r="I5173">
            <v>0</v>
          </cell>
        </row>
        <row r="5174">
          <cell r="I5174">
            <v>0</v>
          </cell>
        </row>
        <row r="5175">
          <cell r="I5175">
            <v>0</v>
          </cell>
        </row>
        <row r="5176">
          <cell r="I5176">
            <v>0</v>
          </cell>
        </row>
        <row r="5177">
          <cell r="I5177">
            <v>0</v>
          </cell>
        </row>
        <row r="5178">
          <cell r="I5178">
            <v>0</v>
          </cell>
        </row>
        <row r="5179">
          <cell r="I5179">
            <v>0</v>
          </cell>
        </row>
        <row r="5180">
          <cell r="I5180">
            <v>0</v>
          </cell>
        </row>
        <row r="5181">
          <cell r="I5181">
            <v>0</v>
          </cell>
        </row>
        <row r="5182">
          <cell r="I5182">
            <v>0</v>
          </cell>
        </row>
        <row r="5183">
          <cell r="I5183">
            <v>0</v>
          </cell>
        </row>
        <row r="5184">
          <cell r="I5184">
            <v>0</v>
          </cell>
        </row>
        <row r="5185">
          <cell r="I5185">
            <v>0</v>
          </cell>
        </row>
        <row r="5186">
          <cell r="I5186">
            <v>0</v>
          </cell>
        </row>
        <row r="5187">
          <cell r="I5187">
            <v>0</v>
          </cell>
        </row>
        <row r="5188">
          <cell r="I5188">
            <v>0</v>
          </cell>
        </row>
        <row r="5189">
          <cell r="I5189">
            <v>0</v>
          </cell>
        </row>
        <row r="5190">
          <cell r="I5190">
            <v>0</v>
          </cell>
        </row>
        <row r="5191">
          <cell r="I5191">
            <v>0</v>
          </cell>
        </row>
        <row r="5192">
          <cell r="I5192">
            <v>0</v>
          </cell>
        </row>
        <row r="5193">
          <cell r="I5193">
            <v>0</v>
          </cell>
        </row>
        <row r="5194">
          <cell r="I5194">
            <v>0</v>
          </cell>
        </row>
        <row r="5195">
          <cell r="I5195">
            <v>0</v>
          </cell>
        </row>
        <row r="5196">
          <cell r="I5196">
            <v>0</v>
          </cell>
        </row>
        <row r="5197">
          <cell r="I5197">
            <v>0</v>
          </cell>
        </row>
        <row r="5198">
          <cell r="I5198">
            <v>0</v>
          </cell>
        </row>
        <row r="5199">
          <cell r="I5199">
            <v>0</v>
          </cell>
        </row>
        <row r="5200">
          <cell r="I5200">
            <v>0</v>
          </cell>
        </row>
        <row r="5201">
          <cell r="I5201">
            <v>0</v>
          </cell>
        </row>
        <row r="5202">
          <cell r="I5202">
            <v>0</v>
          </cell>
        </row>
        <row r="5203">
          <cell r="I5203">
            <v>0</v>
          </cell>
        </row>
        <row r="5204">
          <cell r="I5204">
            <v>0</v>
          </cell>
        </row>
        <row r="5205">
          <cell r="I5205">
            <v>0</v>
          </cell>
        </row>
        <row r="5206">
          <cell r="I5206">
            <v>0</v>
          </cell>
        </row>
        <row r="5207">
          <cell r="I5207">
            <v>0</v>
          </cell>
        </row>
        <row r="5208">
          <cell r="I5208">
            <v>0</v>
          </cell>
        </row>
        <row r="5209">
          <cell r="I5209">
            <v>0</v>
          </cell>
        </row>
        <row r="5210">
          <cell r="I5210">
            <v>0</v>
          </cell>
        </row>
        <row r="5211">
          <cell r="I5211">
            <v>0</v>
          </cell>
        </row>
        <row r="5212">
          <cell r="I5212">
            <v>0</v>
          </cell>
        </row>
        <row r="5213">
          <cell r="I5213">
            <v>0</v>
          </cell>
        </row>
        <row r="5214">
          <cell r="I5214">
            <v>0</v>
          </cell>
        </row>
        <row r="5215">
          <cell r="I5215">
            <v>0</v>
          </cell>
        </row>
        <row r="5216">
          <cell r="I5216">
            <v>0</v>
          </cell>
        </row>
        <row r="5217">
          <cell r="I5217">
            <v>0</v>
          </cell>
        </row>
        <row r="5218">
          <cell r="I5218">
            <v>0</v>
          </cell>
        </row>
        <row r="5219">
          <cell r="I5219">
            <v>0</v>
          </cell>
        </row>
        <row r="5220">
          <cell r="I5220">
            <v>0</v>
          </cell>
        </row>
        <row r="5221">
          <cell r="I5221">
            <v>0</v>
          </cell>
        </row>
        <row r="5222">
          <cell r="I5222">
            <v>0</v>
          </cell>
        </row>
        <row r="5223">
          <cell r="I5223">
            <v>0</v>
          </cell>
        </row>
        <row r="5224">
          <cell r="I5224">
            <v>0</v>
          </cell>
        </row>
        <row r="5225">
          <cell r="I5225">
            <v>0</v>
          </cell>
        </row>
        <row r="5226">
          <cell r="I5226">
            <v>0</v>
          </cell>
        </row>
        <row r="5227">
          <cell r="I5227">
            <v>0</v>
          </cell>
        </row>
        <row r="5228">
          <cell r="I5228">
            <v>0</v>
          </cell>
        </row>
        <row r="5229">
          <cell r="I5229">
            <v>0</v>
          </cell>
        </row>
        <row r="5230">
          <cell r="I5230">
            <v>0</v>
          </cell>
        </row>
        <row r="5231">
          <cell r="I5231">
            <v>0</v>
          </cell>
        </row>
        <row r="5232">
          <cell r="I5232">
            <v>0</v>
          </cell>
        </row>
        <row r="5233">
          <cell r="I5233">
            <v>0</v>
          </cell>
        </row>
        <row r="5234">
          <cell r="I5234">
            <v>0</v>
          </cell>
        </row>
        <row r="5235">
          <cell r="I5235">
            <v>0</v>
          </cell>
        </row>
        <row r="5236">
          <cell r="I5236">
            <v>0</v>
          </cell>
        </row>
        <row r="5237">
          <cell r="I5237">
            <v>0</v>
          </cell>
        </row>
        <row r="5238">
          <cell r="I5238">
            <v>0</v>
          </cell>
        </row>
        <row r="5239">
          <cell r="I5239">
            <v>0</v>
          </cell>
        </row>
        <row r="5240">
          <cell r="I5240">
            <v>0</v>
          </cell>
        </row>
        <row r="5241">
          <cell r="I5241">
            <v>0</v>
          </cell>
        </row>
        <row r="5242">
          <cell r="I5242">
            <v>0</v>
          </cell>
        </row>
        <row r="5243">
          <cell r="I5243">
            <v>0</v>
          </cell>
        </row>
        <row r="5244">
          <cell r="I5244">
            <v>0</v>
          </cell>
        </row>
        <row r="5245">
          <cell r="I5245">
            <v>0</v>
          </cell>
        </row>
        <row r="5246">
          <cell r="I5246">
            <v>0</v>
          </cell>
        </row>
        <row r="5247">
          <cell r="I5247">
            <v>0</v>
          </cell>
        </row>
        <row r="5248">
          <cell r="I5248">
            <v>0</v>
          </cell>
        </row>
        <row r="5249">
          <cell r="I5249">
            <v>0</v>
          </cell>
        </row>
        <row r="5250">
          <cell r="I5250">
            <v>0</v>
          </cell>
        </row>
        <row r="5251">
          <cell r="I5251">
            <v>0</v>
          </cell>
        </row>
        <row r="5252">
          <cell r="I5252">
            <v>0</v>
          </cell>
        </row>
        <row r="5253">
          <cell r="I5253">
            <v>0</v>
          </cell>
        </row>
        <row r="5254">
          <cell r="I5254">
            <v>0</v>
          </cell>
        </row>
        <row r="5255">
          <cell r="I5255">
            <v>0</v>
          </cell>
        </row>
        <row r="5256">
          <cell r="I5256">
            <v>0</v>
          </cell>
        </row>
        <row r="5257">
          <cell r="I5257">
            <v>0</v>
          </cell>
        </row>
        <row r="5258">
          <cell r="I5258">
            <v>0</v>
          </cell>
        </row>
        <row r="5259">
          <cell r="I5259">
            <v>0</v>
          </cell>
        </row>
        <row r="5260">
          <cell r="I5260">
            <v>0</v>
          </cell>
        </row>
        <row r="5261">
          <cell r="I5261">
            <v>0</v>
          </cell>
        </row>
        <row r="5262">
          <cell r="I5262">
            <v>0</v>
          </cell>
        </row>
        <row r="5263">
          <cell r="I5263">
            <v>0</v>
          </cell>
        </row>
        <row r="5264">
          <cell r="I5264">
            <v>0</v>
          </cell>
        </row>
        <row r="5265">
          <cell r="I5265">
            <v>0</v>
          </cell>
        </row>
        <row r="5266">
          <cell r="I5266">
            <v>0</v>
          </cell>
        </row>
        <row r="5267">
          <cell r="I5267">
            <v>0</v>
          </cell>
        </row>
        <row r="5268">
          <cell r="I5268">
            <v>0</v>
          </cell>
        </row>
        <row r="5269">
          <cell r="I5269">
            <v>0</v>
          </cell>
        </row>
        <row r="5270">
          <cell r="I5270">
            <v>0</v>
          </cell>
        </row>
        <row r="5271">
          <cell r="I5271">
            <v>0</v>
          </cell>
        </row>
        <row r="5272">
          <cell r="I5272">
            <v>0</v>
          </cell>
        </row>
        <row r="5273">
          <cell r="I5273">
            <v>0</v>
          </cell>
        </row>
        <row r="5274">
          <cell r="I5274">
            <v>0</v>
          </cell>
        </row>
        <row r="5275">
          <cell r="I5275">
            <v>0</v>
          </cell>
        </row>
        <row r="5276">
          <cell r="I5276">
            <v>0</v>
          </cell>
        </row>
        <row r="5277">
          <cell r="I5277">
            <v>0</v>
          </cell>
        </row>
        <row r="5278">
          <cell r="I5278">
            <v>0</v>
          </cell>
        </row>
        <row r="5279">
          <cell r="I5279">
            <v>0</v>
          </cell>
        </row>
        <row r="5280">
          <cell r="I5280">
            <v>0</v>
          </cell>
        </row>
        <row r="5281">
          <cell r="I5281">
            <v>0</v>
          </cell>
        </row>
        <row r="5282">
          <cell r="I5282">
            <v>0</v>
          </cell>
        </row>
        <row r="5283">
          <cell r="I5283">
            <v>0</v>
          </cell>
        </row>
        <row r="5284">
          <cell r="I5284">
            <v>0</v>
          </cell>
        </row>
        <row r="5285">
          <cell r="I5285">
            <v>0</v>
          </cell>
        </row>
        <row r="5286">
          <cell r="I5286">
            <v>0</v>
          </cell>
        </row>
        <row r="5287">
          <cell r="I5287">
            <v>0</v>
          </cell>
        </row>
        <row r="5288">
          <cell r="I5288">
            <v>0</v>
          </cell>
        </row>
        <row r="5289">
          <cell r="I5289">
            <v>0</v>
          </cell>
        </row>
        <row r="5290">
          <cell r="I5290">
            <v>0</v>
          </cell>
        </row>
        <row r="5291">
          <cell r="I5291">
            <v>0</v>
          </cell>
        </row>
        <row r="5292">
          <cell r="I5292">
            <v>0</v>
          </cell>
        </row>
        <row r="5293">
          <cell r="I5293">
            <v>0</v>
          </cell>
        </row>
        <row r="5294">
          <cell r="I5294">
            <v>0</v>
          </cell>
        </row>
        <row r="5295">
          <cell r="I5295">
            <v>0</v>
          </cell>
        </row>
        <row r="5296">
          <cell r="I5296">
            <v>0</v>
          </cell>
        </row>
        <row r="5297">
          <cell r="I5297">
            <v>0</v>
          </cell>
        </row>
        <row r="5298">
          <cell r="I5298">
            <v>0</v>
          </cell>
        </row>
        <row r="5299">
          <cell r="I5299">
            <v>0</v>
          </cell>
        </row>
        <row r="5300">
          <cell r="I5300">
            <v>0</v>
          </cell>
        </row>
        <row r="5301">
          <cell r="I5301">
            <v>0</v>
          </cell>
        </row>
        <row r="5302">
          <cell r="I5302">
            <v>0</v>
          </cell>
        </row>
        <row r="5303">
          <cell r="I5303">
            <v>0</v>
          </cell>
        </row>
        <row r="5304">
          <cell r="I5304">
            <v>0</v>
          </cell>
        </row>
        <row r="5305">
          <cell r="I5305">
            <v>0</v>
          </cell>
        </row>
        <row r="5306">
          <cell r="I5306">
            <v>0</v>
          </cell>
        </row>
        <row r="5307">
          <cell r="I5307">
            <v>0</v>
          </cell>
        </row>
        <row r="5308">
          <cell r="I5308">
            <v>0</v>
          </cell>
        </row>
        <row r="5309">
          <cell r="I5309">
            <v>0</v>
          </cell>
        </row>
        <row r="5310">
          <cell r="I5310">
            <v>0</v>
          </cell>
        </row>
        <row r="5311">
          <cell r="I5311">
            <v>0</v>
          </cell>
        </row>
        <row r="5312">
          <cell r="I5312">
            <v>0</v>
          </cell>
        </row>
        <row r="5313">
          <cell r="I5313">
            <v>0</v>
          </cell>
        </row>
        <row r="5314">
          <cell r="I5314">
            <v>0</v>
          </cell>
        </row>
        <row r="5315">
          <cell r="I5315">
            <v>0</v>
          </cell>
        </row>
        <row r="5316">
          <cell r="I5316">
            <v>0</v>
          </cell>
        </row>
        <row r="5317">
          <cell r="I5317">
            <v>0</v>
          </cell>
        </row>
        <row r="5318">
          <cell r="I5318">
            <v>0</v>
          </cell>
        </row>
        <row r="5319">
          <cell r="I5319">
            <v>0</v>
          </cell>
        </row>
        <row r="5320">
          <cell r="I5320">
            <v>0</v>
          </cell>
        </row>
        <row r="5321">
          <cell r="I5321">
            <v>0</v>
          </cell>
        </row>
        <row r="5322">
          <cell r="I5322">
            <v>0</v>
          </cell>
        </row>
        <row r="5323">
          <cell r="I5323">
            <v>0</v>
          </cell>
        </row>
        <row r="5324">
          <cell r="I5324">
            <v>0</v>
          </cell>
        </row>
        <row r="5325">
          <cell r="I5325">
            <v>0</v>
          </cell>
        </row>
        <row r="5326">
          <cell r="I5326">
            <v>0</v>
          </cell>
        </row>
        <row r="5327">
          <cell r="I5327">
            <v>0</v>
          </cell>
        </row>
        <row r="5328">
          <cell r="I5328">
            <v>0</v>
          </cell>
        </row>
        <row r="5329">
          <cell r="I5329">
            <v>0</v>
          </cell>
        </row>
        <row r="5330">
          <cell r="I5330">
            <v>0</v>
          </cell>
        </row>
        <row r="5331">
          <cell r="I5331">
            <v>0</v>
          </cell>
        </row>
        <row r="5332">
          <cell r="I5332">
            <v>0</v>
          </cell>
        </row>
        <row r="5333">
          <cell r="I5333">
            <v>0</v>
          </cell>
        </row>
        <row r="5334">
          <cell r="I5334">
            <v>0</v>
          </cell>
        </row>
        <row r="5335">
          <cell r="I5335">
            <v>0</v>
          </cell>
        </row>
        <row r="5336">
          <cell r="I5336">
            <v>0</v>
          </cell>
        </row>
        <row r="5337">
          <cell r="I5337">
            <v>0</v>
          </cell>
        </row>
        <row r="5338">
          <cell r="I5338">
            <v>0</v>
          </cell>
        </row>
        <row r="5339">
          <cell r="I5339">
            <v>0</v>
          </cell>
        </row>
        <row r="5340">
          <cell r="I5340">
            <v>0</v>
          </cell>
        </row>
        <row r="5341">
          <cell r="I5341">
            <v>0</v>
          </cell>
        </row>
        <row r="5342">
          <cell r="I5342">
            <v>0</v>
          </cell>
        </row>
        <row r="5343">
          <cell r="I5343">
            <v>0</v>
          </cell>
        </row>
        <row r="5344">
          <cell r="I5344">
            <v>0</v>
          </cell>
        </row>
        <row r="5345">
          <cell r="I5345">
            <v>0</v>
          </cell>
        </row>
        <row r="5346">
          <cell r="I5346">
            <v>0</v>
          </cell>
        </row>
        <row r="5347">
          <cell r="I5347">
            <v>0</v>
          </cell>
        </row>
        <row r="5348">
          <cell r="I5348">
            <v>0</v>
          </cell>
        </row>
        <row r="5349">
          <cell r="I5349">
            <v>0</v>
          </cell>
        </row>
        <row r="5350">
          <cell r="I5350">
            <v>0</v>
          </cell>
        </row>
        <row r="5351">
          <cell r="I5351">
            <v>0</v>
          </cell>
        </row>
        <row r="5352">
          <cell r="I5352">
            <v>0</v>
          </cell>
        </row>
        <row r="5353">
          <cell r="I5353">
            <v>0</v>
          </cell>
        </row>
        <row r="5354">
          <cell r="I5354">
            <v>0</v>
          </cell>
        </row>
        <row r="5355">
          <cell r="I5355">
            <v>0</v>
          </cell>
        </row>
        <row r="5356">
          <cell r="I5356">
            <v>0</v>
          </cell>
        </row>
        <row r="5357">
          <cell r="I5357">
            <v>0</v>
          </cell>
        </row>
        <row r="5358">
          <cell r="I5358">
            <v>0</v>
          </cell>
        </row>
        <row r="5359">
          <cell r="I5359">
            <v>0</v>
          </cell>
        </row>
        <row r="5360">
          <cell r="I5360">
            <v>0</v>
          </cell>
        </row>
        <row r="5361">
          <cell r="I5361">
            <v>0</v>
          </cell>
        </row>
        <row r="5362">
          <cell r="I5362">
            <v>0</v>
          </cell>
        </row>
        <row r="5363">
          <cell r="I5363">
            <v>0</v>
          </cell>
        </row>
        <row r="5364">
          <cell r="I5364">
            <v>0</v>
          </cell>
        </row>
        <row r="5365">
          <cell r="I5365">
            <v>0</v>
          </cell>
        </row>
        <row r="5366">
          <cell r="I5366">
            <v>0</v>
          </cell>
        </row>
        <row r="5367">
          <cell r="I5367">
            <v>0</v>
          </cell>
        </row>
        <row r="5368">
          <cell r="I5368">
            <v>0</v>
          </cell>
        </row>
        <row r="5369">
          <cell r="I5369">
            <v>0</v>
          </cell>
        </row>
        <row r="5370">
          <cell r="I5370">
            <v>0</v>
          </cell>
        </row>
        <row r="5371">
          <cell r="I5371">
            <v>0</v>
          </cell>
        </row>
        <row r="5372">
          <cell r="I5372">
            <v>0</v>
          </cell>
        </row>
        <row r="5373">
          <cell r="I5373">
            <v>0</v>
          </cell>
        </row>
        <row r="5374">
          <cell r="I5374">
            <v>0</v>
          </cell>
        </row>
        <row r="5375">
          <cell r="I5375">
            <v>0</v>
          </cell>
        </row>
        <row r="5376">
          <cell r="I5376">
            <v>0</v>
          </cell>
        </row>
        <row r="5377">
          <cell r="I5377">
            <v>0</v>
          </cell>
        </row>
        <row r="5378">
          <cell r="I5378">
            <v>0</v>
          </cell>
        </row>
        <row r="5379">
          <cell r="I5379">
            <v>0</v>
          </cell>
        </row>
        <row r="5380">
          <cell r="I5380">
            <v>0</v>
          </cell>
        </row>
        <row r="5381">
          <cell r="I5381">
            <v>0</v>
          </cell>
        </row>
        <row r="5382">
          <cell r="I5382">
            <v>0</v>
          </cell>
        </row>
        <row r="5383">
          <cell r="I5383">
            <v>0</v>
          </cell>
        </row>
        <row r="5384">
          <cell r="I5384">
            <v>0</v>
          </cell>
        </row>
        <row r="5385">
          <cell r="I5385">
            <v>0</v>
          </cell>
        </row>
        <row r="5386">
          <cell r="I5386">
            <v>0</v>
          </cell>
        </row>
        <row r="5387">
          <cell r="I5387">
            <v>0</v>
          </cell>
        </row>
        <row r="5388">
          <cell r="I5388">
            <v>0</v>
          </cell>
        </row>
        <row r="5389">
          <cell r="I5389">
            <v>0</v>
          </cell>
        </row>
        <row r="5390">
          <cell r="I5390">
            <v>0</v>
          </cell>
        </row>
        <row r="5391">
          <cell r="I5391">
            <v>0</v>
          </cell>
        </row>
        <row r="5392">
          <cell r="I5392">
            <v>0</v>
          </cell>
        </row>
        <row r="5393">
          <cell r="I5393">
            <v>0</v>
          </cell>
        </row>
        <row r="5394">
          <cell r="I5394">
            <v>0</v>
          </cell>
        </row>
        <row r="5395">
          <cell r="I5395">
            <v>0</v>
          </cell>
        </row>
        <row r="5396">
          <cell r="I5396">
            <v>0</v>
          </cell>
        </row>
        <row r="5397">
          <cell r="I5397">
            <v>0</v>
          </cell>
        </row>
        <row r="5398">
          <cell r="I5398">
            <v>0</v>
          </cell>
        </row>
        <row r="5399">
          <cell r="I5399">
            <v>0</v>
          </cell>
        </row>
        <row r="5400">
          <cell r="I5400">
            <v>0</v>
          </cell>
        </row>
        <row r="5401">
          <cell r="I5401">
            <v>0</v>
          </cell>
        </row>
        <row r="5402">
          <cell r="I5402">
            <v>0</v>
          </cell>
        </row>
        <row r="5403">
          <cell r="I5403">
            <v>0</v>
          </cell>
        </row>
        <row r="5404">
          <cell r="I5404">
            <v>0</v>
          </cell>
        </row>
        <row r="5405">
          <cell r="I5405">
            <v>0</v>
          </cell>
        </row>
        <row r="5406">
          <cell r="I5406">
            <v>0</v>
          </cell>
        </row>
        <row r="5407">
          <cell r="I5407">
            <v>0</v>
          </cell>
        </row>
        <row r="5408">
          <cell r="I5408">
            <v>0</v>
          </cell>
        </row>
        <row r="5409">
          <cell r="I5409">
            <v>0</v>
          </cell>
        </row>
        <row r="5410">
          <cell r="I5410">
            <v>0</v>
          </cell>
        </row>
        <row r="5411">
          <cell r="I5411">
            <v>0</v>
          </cell>
        </row>
        <row r="5412">
          <cell r="I5412">
            <v>0</v>
          </cell>
        </row>
        <row r="5413">
          <cell r="I5413">
            <v>0</v>
          </cell>
        </row>
        <row r="5414">
          <cell r="I5414">
            <v>0</v>
          </cell>
        </row>
        <row r="5415">
          <cell r="I5415">
            <v>0</v>
          </cell>
        </row>
        <row r="5416">
          <cell r="I5416">
            <v>0</v>
          </cell>
        </row>
        <row r="5417">
          <cell r="I5417">
            <v>0</v>
          </cell>
        </row>
        <row r="5418">
          <cell r="I5418">
            <v>0</v>
          </cell>
        </row>
        <row r="5419">
          <cell r="I5419">
            <v>0</v>
          </cell>
        </row>
        <row r="5420">
          <cell r="I5420">
            <v>0</v>
          </cell>
        </row>
        <row r="5421">
          <cell r="I5421">
            <v>0</v>
          </cell>
        </row>
        <row r="5422">
          <cell r="I5422">
            <v>0</v>
          </cell>
        </row>
        <row r="5423">
          <cell r="I5423">
            <v>0</v>
          </cell>
        </row>
        <row r="5424">
          <cell r="I5424">
            <v>0</v>
          </cell>
        </row>
        <row r="5425">
          <cell r="I5425">
            <v>0</v>
          </cell>
        </row>
        <row r="5426">
          <cell r="I5426">
            <v>0</v>
          </cell>
        </row>
        <row r="5427">
          <cell r="I5427">
            <v>0</v>
          </cell>
        </row>
        <row r="5428">
          <cell r="I5428">
            <v>0</v>
          </cell>
        </row>
        <row r="5429">
          <cell r="I5429">
            <v>0</v>
          </cell>
        </row>
        <row r="5430">
          <cell r="I5430">
            <v>0</v>
          </cell>
        </row>
        <row r="5431">
          <cell r="I5431">
            <v>0</v>
          </cell>
        </row>
        <row r="5432">
          <cell r="I5432">
            <v>0</v>
          </cell>
        </row>
        <row r="5433">
          <cell r="I5433">
            <v>0</v>
          </cell>
        </row>
        <row r="5434">
          <cell r="I5434">
            <v>0</v>
          </cell>
        </row>
        <row r="5435">
          <cell r="I5435">
            <v>0</v>
          </cell>
        </row>
        <row r="5436">
          <cell r="I5436">
            <v>0</v>
          </cell>
        </row>
        <row r="5437">
          <cell r="I5437">
            <v>0</v>
          </cell>
        </row>
        <row r="5438">
          <cell r="I5438">
            <v>0</v>
          </cell>
        </row>
        <row r="5439">
          <cell r="I5439">
            <v>0</v>
          </cell>
        </row>
        <row r="5440">
          <cell r="I5440">
            <v>0</v>
          </cell>
        </row>
        <row r="5441">
          <cell r="I5441">
            <v>0</v>
          </cell>
        </row>
        <row r="5442">
          <cell r="I5442">
            <v>0</v>
          </cell>
        </row>
        <row r="5443">
          <cell r="I5443">
            <v>0</v>
          </cell>
        </row>
        <row r="5444">
          <cell r="I5444">
            <v>0</v>
          </cell>
        </row>
        <row r="5445">
          <cell r="I5445">
            <v>0</v>
          </cell>
        </row>
        <row r="5446">
          <cell r="I5446">
            <v>0</v>
          </cell>
        </row>
        <row r="5447">
          <cell r="I5447">
            <v>0</v>
          </cell>
        </row>
        <row r="5448">
          <cell r="I5448">
            <v>0</v>
          </cell>
        </row>
        <row r="5449">
          <cell r="I5449">
            <v>0</v>
          </cell>
        </row>
        <row r="5450">
          <cell r="I5450">
            <v>0</v>
          </cell>
        </row>
        <row r="5451">
          <cell r="I5451">
            <v>0</v>
          </cell>
        </row>
        <row r="5452">
          <cell r="I5452">
            <v>0</v>
          </cell>
        </row>
        <row r="5453">
          <cell r="I5453">
            <v>0</v>
          </cell>
        </row>
        <row r="5454">
          <cell r="I5454">
            <v>0</v>
          </cell>
        </row>
        <row r="5455">
          <cell r="I5455">
            <v>0</v>
          </cell>
        </row>
        <row r="5456">
          <cell r="I5456">
            <v>0</v>
          </cell>
        </row>
        <row r="5457">
          <cell r="I5457">
            <v>0</v>
          </cell>
        </row>
        <row r="5458">
          <cell r="I5458">
            <v>0</v>
          </cell>
        </row>
        <row r="5459">
          <cell r="I5459">
            <v>0</v>
          </cell>
        </row>
        <row r="5460">
          <cell r="I5460">
            <v>0</v>
          </cell>
        </row>
        <row r="5461">
          <cell r="I5461">
            <v>0</v>
          </cell>
        </row>
        <row r="5462">
          <cell r="I5462">
            <v>0</v>
          </cell>
        </row>
        <row r="5463">
          <cell r="I5463">
            <v>0</v>
          </cell>
        </row>
        <row r="5464">
          <cell r="I5464">
            <v>0</v>
          </cell>
        </row>
        <row r="5465">
          <cell r="I5465">
            <v>0</v>
          </cell>
        </row>
        <row r="5466">
          <cell r="I5466">
            <v>0</v>
          </cell>
        </row>
        <row r="5467">
          <cell r="I5467">
            <v>0</v>
          </cell>
        </row>
        <row r="5468">
          <cell r="I5468">
            <v>0</v>
          </cell>
        </row>
        <row r="5469">
          <cell r="I5469">
            <v>0</v>
          </cell>
        </row>
        <row r="5470">
          <cell r="I5470">
            <v>0</v>
          </cell>
        </row>
        <row r="5471">
          <cell r="I5471">
            <v>0</v>
          </cell>
        </row>
        <row r="5472">
          <cell r="I5472">
            <v>0</v>
          </cell>
        </row>
        <row r="5473">
          <cell r="I5473">
            <v>0</v>
          </cell>
        </row>
        <row r="5474">
          <cell r="I5474">
            <v>0</v>
          </cell>
        </row>
        <row r="5475">
          <cell r="I5475">
            <v>0</v>
          </cell>
        </row>
        <row r="5476">
          <cell r="I5476">
            <v>0</v>
          </cell>
        </row>
        <row r="5477">
          <cell r="I5477">
            <v>0</v>
          </cell>
        </row>
        <row r="5478">
          <cell r="I5478">
            <v>0</v>
          </cell>
        </row>
        <row r="5479">
          <cell r="I5479">
            <v>0</v>
          </cell>
        </row>
        <row r="5480">
          <cell r="I5480">
            <v>0</v>
          </cell>
        </row>
        <row r="5481">
          <cell r="I5481">
            <v>0</v>
          </cell>
        </row>
        <row r="5482">
          <cell r="I5482">
            <v>0</v>
          </cell>
        </row>
        <row r="5483">
          <cell r="I5483">
            <v>0</v>
          </cell>
        </row>
        <row r="5484">
          <cell r="I5484">
            <v>0</v>
          </cell>
        </row>
        <row r="5485">
          <cell r="I5485">
            <v>0</v>
          </cell>
        </row>
        <row r="5486">
          <cell r="I5486">
            <v>0</v>
          </cell>
        </row>
        <row r="5487">
          <cell r="I5487">
            <v>0</v>
          </cell>
        </row>
        <row r="5488">
          <cell r="I5488">
            <v>0</v>
          </cell>
        </row>
        <row r="5489">
          <cell r="I5489">
            <v>0</v>
          </cell>
        </row>
        <row r="5490">
          <cell r="I5490">
            <v>0</v>
          </cell>
        </row>
        <row r="5491">
          <cell r="I5491">
            <v>0</v>
          </cell>
        </row>
        <row r="5492">
          <cell r="I5492">
            <v>0</v>
          </cell>
        </row>
        <row r="5493">
          <cell r="I5493">
            <v>0</v>
          </cell>
        </row>
        <row r="5494">
          <cell r="I5494">
            <v>0</v>
          </cell>
        </row>
        <row r="5495">
          <cell r="I5495">
            <v>0</v>
          </cell>
        </row>
        <row r="5496">
          <cell r="I5496">
            <v>0</v>
          </cell>
        </row>
        <row r="5497">
          <cell r="I5497">
            <v>0</v>
          </cell>
        </row>
        <row r="5498">
          <cell r="I5498">
            <v>0</v>
          </cell>
        </row>
        <row r="5499">
          <cell r="I5499">
            <v>0</v>
          </cell>
        </row>
        <row r="5500">
          <cell r="I5500">
            <v>0</v>
          </cell>
        </row>
        <row r="5501">
          <cell r="I5501">
            <v>0</v>
          </cell>
        </row>
        <row r="5502">
          <cell r="I5502">
            <v>0</v>
          </cell>
        </row>
        <row r="5503">
          <cell r="I5503">
            <v>0</v>
          </cell>
        </row>
        <row r="5504">
          <cell r="I5504">
            <v>0</v>
          </cell>
        </row>
        <row r="5505">
          <cell r="I5505">
            <v>0</v>
          </cell>
        </row>
        <row r="5506">
          <cell r="I5506">
            <v>0</v>
          </cell>
        </row>
        <row r="5507">
          <cell r="I5507">
            <v>0</v>
          </cell>
        </row>
        <row r="5508">
          <cell r="I5508">
            <v>0</v>
          </cell>
        </row>
        <row r="5509">
          <cell r="I5509">
            <v>0</v>
          </cell>
        </row>
        <row r="5510">
          <cell r="I5510">
            <v>0</v>
          </cell>
        </row>
        <row r="5511">
          <cell r="I5511">
            <v>0</v>
          </cell>
        </row>
        <row r="5512">
          <cell r="I5512">
            <v>0</v>
          </cell>
        </row>
        <row r="5513">
          <cell r="I5513">
            <v>0</v>
          </cell>
        </row>
        <row r="5514">
          <cell r="I5514">
            <v>0</v>
          </cell>
        </row>
        <row r="5515">
          <cell r="I5515">
            <v>0</v>
          </cell>
        </row>
        <row r="5516">
          <cell r="I5516">
            <v>0</v>
          </cell>
        </row>
        <row r="5517">
          <cell r="I5517">
            <v>0</v>
          </cell>
        </row>
        <row r="5518">
          <cell r="I5518">
            <v>0</v>
          </cell>
        </row>
        <row r="5519">
          <cell r="I5519">
            <v>0</v>
          </cell>
        </row>
        <row r="5520">
          <cell r="I5520">
            <v>0</v>
          </cell>
        </row>
        <row r="5521">
          <cell r="I5521">
            <v>0</v>
          </cell>
        </row>
        <row r="5522">
          <cell r="I5522">
            <v>0</v>
          </cell>
        </row>
        <row r="5523">
          <cell r="I5523">
            <v>0</v>
          </cell>
        </row>
        <row r="5524">
          <cell r="I5524">
            <v>0</v>
          </cell>
        </row>
        <row r="5525">
          <cell r="I5525">
            <v>0</v>
          </cell>
        </row>
        <row r="5526">
          <cell r="I5526">
            <v>0</v>
          </cell>
        </row>
        <row r="5527">
          <cell r="I5527">
            <v>0</v>
          </cell>
        </row>
        <row r="5528">
          <cell r="I5528">
            <v>0</v>
          </cell>
        </row>
        <row r="5529">
          <cell r="I5529">
            <v>0</v>
          </cell>
        </row>
        <row r="5530">
          <cell r="I5530">
            <v>0</v>
          </cell>
        </row>
        <row r="5531">
          <cell r="I5531">
            <v>0</v>
          </cell>
        </row>
        <row r="5532">
          <cell r="I5532">
            <v>0</v>
          </cell>
        </row>
        <row r="5533">
          <cell r="I5533">
            <v>0</v>
          </cell>
        </row>
        <row r="5534">
          <cell r="I5534">
            <v>0</v>
          </cell>
        </row>
        <row r="5535">
          <cell r="I5535">
            <v>0</v>
          </cell>
        </row>
        <row r="5536">
          <cell r="I5536">
            <v>0</v>
          </cell>
        </row>
        <row r="5537">
          <cell r="I5537">
            <v>0</v>
          </cell>
        </row>
        <row r="5538">
          <cell r="I5538">
            <v>0</v>
          </cell>
        </row>
        <row r="5539">
          <cell r="I5539">
            <v>0</v>
          </cell>
        </row>
        <row r="5540">
          <cell r="I5540">
            <v>0</v>
          </cell>
        </row>
        <row r="5541">
          <cell r="I5541">
            <v>0</v>
          </cell>
        </row>
        <row r="5542">
          <cell r="I5542">
            <v>0</v>
          </cell>
        </row>
        <row r="5543">
          <cell r="I5543">
            <v>0</v>
          </cell>
        </row>
        <row r="5544">
          <cell r="I5544">
            <v>0</v>
          </cell>
        </row>
        <row r="5545">
          <cell r="I5545">
            <v>0</v>
          </cell>
        </row>
        <row r="5546">
          <cell r="I5546">
            <v>0</v>
          </cell>
        </row>
        <row r="5547">
          <cell r="I5547">
            <v>0</v>
          </cell>
        </row>
        <row r="5548">
          <cell r="I5548">
            <v>0</v>
          </cell>
        </row>
        <row r="5549">
          <cell r="I5549">
            <v>0</v>
          </cell>
        </row>
        <row r="5550">
          <cell r="I5550">
            <v>0</v>
          </cell>
        </row>
        <row r="5551">
          <cell r="I5551">
            <v>0</v>
          </cell>
        </row>
        <row r="5552">
          <cell r="I5552">
            <v>0</v>
          </cell>
        </row>
        <row r="5553">
          <cell r="I5553">
            <v>0</v>
          </cell>
        </row>
        <row r="5554">
          <cell r="I5554">
            <v>0</v>
          </cell>
        </row>
        <row r="5555">
          <cell r="I5555">
            <v>0</v>
          </cell>
        </row>
        <row r="5556">
          <cell r="I5556">
            <v>0</v>
          </cell>
        </row>
        <row r="5557">
          <cell r="I5557">
            <v>0</v>
          </cell>
        </row>
        <row r="5558">
          <cell r="I5558">
            <v>0</v>
          </cell>
        </row>
        <row r="5559">
          <cell r="I5559">
            <v>0</v>
          </cell>
        </row>
        <row r="5560">
          <cell r="I5560">
            <v>0</v>
          </cell>
        </row>
        <row r="5561">
          <cell r="I5561">
            <v>0</v>
          </cell>
        </row>
        <row r="5562">
          <cell r="I5562">
            <v>0</v>
          </cell>
        </row>
        <row r="5563">
          <cell r="I5563">
            <v>0</v>
          </cell>
        </row>
        <row r="5564">
          <cell r="I5564">
            <v>0</v>
          </cell>
        </row>
        <row r="5565">
          <cell r="I5565">
            <v>0</v>
          </cell>
        </row>
        <row r="5566">
          <cell r="I5566">
            <v>0</v>
          </cell>
        </row>
        <row r="5567">
          <cell r="I5567">
            <v>0</v>
          </cell>
        </row>
        <row r="5568">
          <cell r="I5568">
            <v>0</v>
          </cell>
        </row>
        <row r="5569">
          <cell r="I5569">
            <v>0</v>
          </cell>
        </row>
        <row r="5570">
          <cell r="I5570">
            <v>0</v>
          </cell>
        </row>
        <row r="5571">
          <cell r="I5571">
            <v>0</v>
          </cell>
        </row>
        <row r="5572">
          <cell r="I5572">
            <v>0</v>
          </cell>
        </row>
        <row r="5573">
          <cell r="I5573">
            <v>0</v>
          </cell>
        </row>
        <row r="5574">
          <cell r="I5574">
            <v>0</v>
          </cell>
        </row>
        <row r="5575">
          <cell r="I5575">
            <v>0</v>
          </cell>
        </row>
        <row r="5576">
          <cell r="I5576">
            <v>0</v>
          </cell>
        </row>
        <row r="5577">
          <cell r="I5577">
            <v>0</v>
          </cell>
        </row>
        <row r="5578">
          <cell r="I5578">
            <v>0</v>
          </cell>
        </row>
        <row r="5579">
          <cell r="I5579">
            <v>0</v>
          </cell>
        </row>
        <row r="5580">
          <cell r="I5580">
            <v>0</v>
          </cell>
        </row>
        <row r="5581">
          <cell r="I5581">
            <v>0</v>
          </cell>
        </row>
        <row r="5582">
          <cell r="I5582">
            <v>0</v>
          </cell>
        </row>
        <row r="5583">
          <cell r="I5583">
            <v>0</v>
          </cell>
        </row>
        <row r="5584">
          <cell r="I5584">
            <v>0</v>
          </cell>
        </row>
        <row r="5585">
          <cell r="I5585">
            <v>0</v>
          </cell>
        </row>
        <row r="5586">
          <cell r="I5586">
            <v>0</v>
          </cell>
        </row>
        <row r="5587">
          <cell r="I5587">
            <v>0</v>
          </cell>
        </row>
        <row r="5588">
          <cell r="I5588">
            <v>0</v>
          </cell>
        </row>
        <row r="5589">
          <cell r="I5589">
            <v>0</v>
          </cell>
        </row>
        <row r="5590">
          <cell r="I5590">
            <v>0</v>
          </cell>
        </row>
        <row r="5591">
          <cell r="I5591">
            <v>0</v>
          </cell>
        </row>
        <row r="5592">
          <cell r="I5592">
            <v>0</v>
          </cell>
        </row>
        <row r="5593">
          <cell r="I5593">
            <v>0</v>
          </cell>
        </row>
        <row r="5594">
          <cell r="I5594">
            <v>0</v>
          </cell>
        </row>
        <row r="5595">
          <cell r="I5595">
            <v>0</v>
          </cell>
        </row>
        <row r="5596">
          <cell r="I5596">
            <v>0</v>
          </cell>
        </row>
        <row r="5597">
          <cell r="I5597">
            <v>0</v>
          </cell>
        </row>
        <row r="5598">
          <cell r="I5598">
            <v>0</v>
          </cell>
        </row>
        <row r="5599">
          <cell r="I5599">
            <v>0</v>
          </cell>
        </row>
        <row r="5600">
          <cell r="I5600">
            <v>0</v>
          </cell>
        </row>
        <row r="5601">
          <cell r="I5601">
            <v>0</v>
          </cell>
        </row>
        <row r="5602">
          <cell r="I5602">
            <v>0</v>
          </cell>
        </row>
        <row r="5603">
          <cell r="I5603">
            <v>0</v>
          </cell>
        </row>
        <row r="5604">
          <cell r="I5604">
            <v>0</v>
          </cell>
        </row>
        <row r="5605">
          <cell r="I5605">
            <v>0</v>
          </cell>
        </row>
        <row r="5606">
          <cell r="I5606">
            <v>0</v>
          </cell>
        </row>
        <row r="5607">
          <cell r="I5607">
            <v>0</v>
          </cell>
        </row>
        <row r="5608">
          <cell r="I5608">
            <v>0</v>
          </cell>
        </row>
        <row r="5609">
          <cell r="I5609">
            <v>0</v>
          </cell>
        </row>
        <row r="5610">
          <cell r="I5610">
            <v>0</v>
          </cell>
        </row>
        <row r="5611">
          <cell r="I5611">
            <v>0</v>
          </cell>
        </row>
        <row r="5612">
          <cell r="I5612">
            <v>0</v>
          </cell>
        </row>
        <row r="5613">
          <cell r="I5613">
            <v>0</v>
          </cell>
        </row>
        <row r="5614">
          <cell r="I5614">
            <v>0</v>
          </cell>
        </row>
        <row r="5615">
          <cell r="I5615">
            <v>0</v>
          </cell>
        </row>
        <row r="5616">
          <cell r="I5616">
            <v>0</v>
          </cell>
        </row>
        <row r="5617">
          <cell r="I5617">
            <v>0</v>
          </cell>
        </row>
        <row r="5618">
          <cell r="I5618">
            <v>0</v>
          </cell>
        </row>
        <row r="5619">
          <cell r="I5619">
            <v>0</v>
          </cell>
        </row>
        <row r="5620">
          <cell r="I5620">
            <v>0</v>
          </cell>
        </row>
        <row r="5621">
          <cell r="I5621">
            <v>0</v>
          </cell>
        </row>
        <row r="5622">
          <cell r="I5622">
            <v>0</v>
          </cell>
        </row>
        <row r="5623">
          <cell r="I5623">
            <v>0</v>
          </cell>
        </row>
        <row r="5624">
          <cell r="I5624">
            <v>0</v>
          </cell>
        </row>
        <row r="5625">
          <cell r="I5625">
            <v>0</v>
          </cell>
        </row>
        <row r="5626">
          <cell r="I5626">
            <v>0</v>
          </cell>
        </row>
        <row r="5627">
          <cell r="I5627">
            <v>0</v>
          </cell>
        </row>
        <row r="5628">
          <cell r="I5628">
            <v>0</v>
          </cell>
        </row>
        <row r="5629">
          <cell r="I5629">
            <v>0</v>
          </cell>
        </row>
        <row r="5630">
          <cell r="I5630">
            <v>0</v>
          </cell>
        </row>
        <row r="5631">
          <cell r="I5631">
            <v>0</v>
          </cell>
        </row>
        <row r="5632">
          <cell r="I5632">
            <v>0</v>
          </cell>
        </row>
        <row r="5633">
          <cell r="I5633">
            <v>0</v>
          </cell>
        </row>
        <row r="5634">
          <cell r="I5634">
            <v>0</v>
          </cell>
        </row>
        <row r="5635">
          <cell r="I5635">
            <v>0</v>
          </cell>
        </row>
        <row r="5636">
          <cell r="I5636">
            <v>0</v>
          </cell>
        </row>
        <row r="5637">
          <cell r="I5637">
            <v>0</v>
          </cell>
        </row>
        <row r="5638">
          <cell r="I5638">
            <v>0</v>
          </cell>
        </row>
        <row r="5639">
          <cell r="I5639">
            <v>0</v>
          </cell>
        </row>
        <row r="5640">
          <cell r="I5640">
            <v>0</v>
          </cell>
        </row>
        <row r="5641">
          <cell r="I5641">
            <v>0</v>
          </cell>
        </row>
        <row r="5642">
          <cell r="I5642">
            <v>0</v>
          </cell>
        </row>
        <row r="5643">
          <cell r="I5643">
            <v>0</v>
          </cell>
        </row>
        <row r="5644">
          <cell r="I5644">
            <v>0</v>
          </cell>
        </row>
        <row r="5645">
          <cell r="I5645">
            <v>0</v>
          </cell>
        </row>
        <row r="5646">
          <cell r="I5646">
            <v>0</v>
          </cell>
        </row>
        <row r="5647">
          <cell r="I5647">
            <v>0</v>
          </cell>
        </row>
        <row r="5648">
          <cell r="I5648">
            <v>0</v>
          </cell>
        </row>
        <row r="5649">
          <cell r="I5649">
            <v>0</v>
          </cell>
        </row>
        <row r="5650">
          <cell r="I5650">
            <v>0</v>
          </cell>
        </row>
        <row r="5651">
          <cell r="I5651">
            <v>0</v>
          </cell>
        </row>
        <row r="5652">
          <cell r="I5652">
            <v>0</v>
          </cell>
        </row>
        <row r="5653">
          <cell r="I5653">
            <v>0</v>
          </cell>
        </row>
        <row r="5654">
          <cell r="I5654">
            <v>0</v>
          </cell>
        </row>
        <row r="5655">
          <cell r="I5655">
            <v>0</v>
          </cell>
        </row>
        <row r="5656">
          <cell r="I5656">
            <v>0</v>
          </cell>
        </row>
        <row r="5657">
          <cell r="I5657">
            <v>0</v>
          </cell>
        </row>
        <row r="5658">
          <cell r="I5658">
            <v>0</v>
          </cell>
        </row>
        <row r="5659">
          <cell r="I5659">
            <v>0</v>
          </cell>
        </row>
        <row r="5660">
          <cell r="I5660">
            <v>0</v>
          </cell>
        </row>
        <row r="5661">
          <cell r="I5661">
            <v>0</v>
          </cell>
        </row>
        <row r="5662">
          <cell r="I5662">
            <v>0</v>
          </cell>
        </row>
        <row r="5663">
          <cell r="I5663">
            <v>0</v>
          </cell>
        </row>
        <row r="5664">
          <cell r="I5664">
            <v>0</v>
          </cell>
        </row>
        <row r="5665">
          <cell r="I5665">
            <v>0</v>
          </cell>
        </row>
        <row r="5666">
          <cell r="I5666">
            <v>0</v>
          </cell>
        </row>
        <row r="5667">
          <cell r="I5667">
            <v>0</v>
          </cell>
        </row>
        <row r="5668">
          <cell r="I5668">
            <v>0</v>
          </cell>
        </row>
        <row r="5669">
          <cell r="I5669">
            <v>0</v>
          </cell>
        </row>
        <row r="5670">
          <cell r="I5670">
            <v>0</v>
          </cell>
        </row>
        <row r="5671">
          <cell r="I5671">
            <v>0</v>
          </cell>
        </row>
        <row r="5672">
          <cell r="I5672">
            <v>0</v>
          </cell>
        </row>
        <row r="5673">
          <cell r="I5673">
            <v>0</v>
          </cell>
        </row>
        <row r="5674">
          <cell r="I5674">
            <v>0</v>
          </cell>
        </row>
        <row r="5675">
          <cell r="I5675">
            <v>0</v>
          </cell>
        </row>
        <row r="5676">
          <cell r="I5676">
            <v>0</v>
          </cell>
        </row>
        <row r="5677">
          <cell r="I5677">
            <v>0</v>
          </cell>
        </row>
        <row r="5678">
          <cell r="I5678">
            <v>0</v>
          </cell>
        </row>
        <row r="5679">
          <cell r="I5679">
            <v>0</v>
          </cell>
        </row>
        <row r="5680">
          <cell r="I5680">
            <v>0</v>
          </cell>
        </row>
        <row r="5681">
          <cell r="I5681">
            <v>0</v>
          </cell>
        </row>
        <row r="5682">
          <cell r="I5682">
            <v>0</v>
          </cell>
        </row>
        <row r="5683">
          <cell r="I5683">
            <v>0</v>
          </cell>
        </row>
        <row r="5684">
          <cell r="I5684">
            <v>0</v>
          </cell>
        </row>
        <row r="5685">
          <cell r="I5685">
            <v>0</v>
          </cell>
        </row>
        <row r="5686">
          <cell r="I5686">
            <v>0</v>
          </cell>
        </row>
        <row r="5687">
          <cell r="I5687">
            <v>0</v>
          </cell>
        </row>
        <row r="5688">
          <cell r="I5688">
            <v>0</v>
          </cell>
        </row>
        <row r="5689">
          <cell r="I5689">
            <v>0</v>
          </cell>
        </row>
        <row r="5690">
          <cell r="I5690">
            <v>0</v>
          </cell>
        </row>
        <row r="5691">
          <cell r="I5691">
            <v>0</v>
          </cell>
        </row>
        <row r="5692">
          <cell r="I5692">
            <v>0</v>
          </cell>
        </row>
        <row r="5693">
          <cell r="I5693">
            <v>0</v>
          </cell>
        </row>
        <row r="5694">
          <cell r="I5694">
            <v>0</v>
          </cell>
        </row>
        <row r="5695">
          <cell r="I5695">
            <v>0</v>
          </cell>
        </row>
        <row r="5696">
          <cell r="I5696">
            <v>0</v>
          </cell>
        </row>
        <row r="5697">
          <cell r="I5697">
            <v>0</v>
          </cell>
        </row>
        <row r="5698">
          <cell r="I5698">
            <v>0</v>
          </cell>
        </row>
        <row r="5699">
          <cell r="I5699">
            <v>0</v>
          </cell>
        </row>
        <row r="5700">
          <cell r="I5700">
            <v>0</v>
          </cell>
        </row>
        <row r="5701">
          <cell r="I5701">
            <v>0</v>
          </cell>
        </row>
        <row r="5702">
          <cell r="I5702">
            <v>0</v>
          </cell>
        </row>
        <row r="5703">
          <cell r="I5703">
            <v>0</v>
          </cell>
        </row>
        <row r="5704">
          <cell r="I5704">
            <v>0</v>
          </cell>
        </row>
        <row r="5705">
          <cell r="I5705">
            <v>0</v>
          </cell>
        </row>
        <row r="5706">
          <cell r="I5706">
            <v>0</v>
          </cell>
        </row>
        <row r="5707">
          <cell r="I5707">
            <v>0</v>
          </cell>
        </row>
        <row r="5708">
          <cell r="I5708">
            <v>0</v>
          </cell>
        </row>
        <row r="5709">
          <cell r="I5709">
            <v>0</v>
          </cell>
        </row>
        <row r="5710">
          <cell r="I5710">
            <v>0</v>
          </cell>
        </row>
        <row r="5711">
          <cell r="I5711">
            <v>0</v>
          </cell>
        </row>
        <row r="5712">
          <cell r="I5712">
            <v>0</v>
          </cell>
        </row>
        <row r="5713">
          <cell r="I5713">
            <v>0</v>
          </cell>
        </row>
        <row r="5714">
          <cell r="I5714">
            <v>0</v>
          </cell>
        </row>
        <row r="5715">
          <cell r="I5715">
            <v>0</v>
          </cell>
        </row>
        <row r="5716">
          <cell r="I5716">
            <v>0</v>
          </cell>
        </row>
        <row r="5717">
          <cell r="I5717">
            <v>0</v>
          </cell>
        </row>
        <row r="5718">
          <cell r="I5718">
            <v>0</v>
          </cell>
        </row>
        <row r="5719">
          <cell r="I5719">
            <v>0</v>
          </cell>
        </row>
        <row r="5720">
          <cell r="I5720">
            <v>0</v>
          </cell>
        </row>
        <row r="5721">
          <cell r="I5721">
            <v>0</v>
          </cell>
        </row>
        <row r="5722">
          <cell r="I5722">
            <v>0</v>
          </cell>
        </row>
        <row r="5723">
          <cell r="I5723">
            <v>0</v>
          </cell>
        </row>
        <row r="5724">
          <cell r="I5724">
            <v>0</v>
          </cell>
        </row>
        <row r="5725">
          <cell r="I5725">
            <v>0</v>
          </cell>
        </row>
        <row r="5726">
          <cell r="I5726">
            <v>0</v>
          </cell>
        </row>
        <row r="5727">
          <cell r="I5727">
            <v>0</v>
          </cell>
        </row>
        <row r="5728">
          <cell r="I5728">
            <v>0</v>
          </cell>
        </row>
        <row r="5729">
          <cell r="I5729">
            <v>0</v>
          </cell>
        </row>
        <row r="5730">
          <cell r="I5730">
            <v>0</v>
          </cell>
        </row>
        <row r="5731">
          <cell r="I5731">
            <v>0</v>
          </cell>
        </row>
        <row r="5732">
          <cell r="I5732">
            <v>0</v>
          </cell>
        </row>
        <row r="5733">
          <cell r="I5733">
            <v>0</v>
          </cell>
        </row>
        <row r="5734">
          <cell r="I5734">
            <v>0</v>
          </cell>
        </row>
        <row r="5735">
          <cell r="I5735">
            <v>0</v>
          </cell>
        </row>
        <row r="5736">
          <cell r="I5736">
            <v>0</v>
          </cell>
        </row>
        <row r="5737">
          <cell r="I5737">
            <v>0</v>
          </cell>
        </row>
        <row r="5738">
          <cell r="I5738">
            <v>0</v>
          </cell>
        </row>
        <row r="5739">
          <cell r="I5739">
            <v>0</v>
          </cell>
        </row>
        <row r="5740">
          <cell r="I5740">
            <v>0</v>
          </cell>
        </row>
        <row r="5741">
          <cell r="I5741">
            <v>0</v>
          </cell>
        </row>
        <row r="5742">
          <cell r="I5742">
            <v>0</v>
          </cell>
        </row>
        <row r="5743">
          <cell r="I5743">
            <v>0</v>
          </cell>
        </row>
        <row r="5744">
          <cell r="I5744">
            <v>0</v>
          </cell>
        </row>
        <row r="5745">
          <cell r="I5745">
            <v>0</v>
          </cell>
        </row>
        <row r="5746">
          <cell r="I5746">
            <v>0</v>
          </cell>
        </row>
        <row r="5747">
          <cell r="I5747">
            <v>0</v>
          </cell>
        </row>
        <row r="5748">
          <cell r="I5748">
            <v>0</v>
          </cell>
        </row>
        <row r="5749">
          <cell r="I5749">
            <v>0</v>
          </cell>
        </row>
        <row r="5750">
          <cell r="I5750">
            <v>0</v>
          </cell>
        </row>
        <row r="5751">
          <cell r="I5751">
            <v>0</v>
          </cell>
        </row>
        <row r="5752">
          <cell r="I5752">
            <v>0</v>
          </cell>
        </row>
        <row r="5753">
          <cell r="I5753">
            <v>0</v>
          </cell>
        </row>
        <row r="5754">
          <cell r="I5754">
            <v>0</v>
          </cell>
        </row>
        <row r="5755">
          <cell r="I5755">
            <v>0</v>
          </cell>
        </row>
        <row r="5756">
          <cell r="I5756">
            <v>0</v>
          </cell>
        </row>
        <row r="5757">
          <cell r="I5757">
            <v>0</v>
          </cell>
        </row>
        <row r="5758">
          <cell r="I5758">
            <v>0</v>
          </cell>
        </row>
        <row r="5759">
          <cell r="I5759">
            <v>0</v>
          </cell>
        </row>
        <row r="5760">
          <cell r="I5760">
            <v>0</v>
          </cell>
        </row>
        <row r="5761">
          <cell r="I5761">
            <v>0</v>
          </cell>
        </row>
        <row r="5762">
          <cell r="I5762">
            <v>0</v>
          </cell>
        </row>
        <row r="5763">
          <cell r="I5763">
            <v>0</v>
          </cell>
        </row>
        <row r="5764">
          <cell r="I5764">
            <v>0</v>
          </cell>
        </row>
        <row r="5765">
          <cell r="I5765">
            <v>0</v>
          </cell>
        </row>
        <row r="5766">
          <cell r="I5766">
            <v>0</v>
          </cell>
        </row>
        <row r="5767">
          <cell r="I5767">
            <v>0</v>
          </cell>
        </row>
        <row r="5768">
          <cell r="I5768">
            <v>0</v>
          </cell>
        </row>
        <row r="5769">
          <cell r="I5769">
            <v>0</v>
          </cell>
        </row>
        <row r="5770">
          <cell r="I5770">
            <v>0</v>
          </cell>
        </row>
        <row r="5771">
          <cell r="I5771">
            <v>0</v>
          </cell>
        </row>
        <row r="5772">
          <cell r="I5772">
            <v>0</v>
          </cell>
        </row>
        <row r="5773">
          <cell r="I5773">
            <v>0</v>
          </cell>
        </row>
        <row r="5774">
          <cell r="I5774">
            <v>0</v>
          </cell>
        </row>
        <row r="5775">
          <cell r="I5775">
            <v>0</v>
          </cell>
        </row>
        <row r="5776">
          <cell r="I5776">
            <v>0</v>
          </cell>
        </row>
        <row r="5777">
          <cell r="I5777">
            <v>0</v>
          </cell>
        </row>
        <row r="5778">
          <cell r="I5778">
            <v>0</v>
          </cell>
        </row>
        <row r="5779">
          <cell r="I5779">
            <v>0</v>
          </cell>
        </row>
        <row r="5780">
          <cell r="I5780">
            <v>0</v>
          </cell>
        </row>
        <row r="5781">
          <cell r="I5781">
            <v>0</v>
          </cell>
        </row>
        <row r="5782">
          <cell r="I5782">
            <v>0</v>
          </cell>
        </row>
        <row r="5783">
          <cell r="I5783">
            <v>0</v>
          </cell>
        </row>
        <row r="5784">
          <cell r="I5784">
            <v>0</v>
          </cell>
        </row>
        <row r="5785">
          <cell r="I5785">
            <v>0</v>
          </cell>
        </row>
        <row r="5786">
          <cell r="I5786">
            <v>0</v>
          </cell>
        </row>
        <row r="5787">
          <cell r="I5787">
            <v>0</v>
          </cell>
        </row>
        <row r="5788">
          <cell r="I5788">
            <v>0</v>
          </cell>
        </row>
        <row r="5789">
          <cell r="I5789">
            <v>0</v>
          </cell>
        </row>
        <row r="5790">
          <cell r="I5790">
            <v>0</v>
          </cell>
        </row>
        <row r="5791">
          <cell r="I5791">
            <v>0</v>
          </cell>
        </row>
        <row r="5792">
          <cell r="I5792">
            <v>0</v>
          </cell>
        </row>
        <row r="5793">
          <cell r="I5793">
            <v>0</v>
          </cell>
        </row>
        <row r="5794">
          <cell r="I5794">
            <v>0</v>
          </cell>
        </row>
        <row r="5795">
          <cell r="I5795">
            <v>0</v>
          </cell>
        </row>
        <row r="5796">
          <cell r="I5796">
            <v>0</v>
          </cell>
        </row>
        <row r="5797">
          <cell r="I5797">
            <v>0</v>
          </cell>
        </row>
        <row r="5798">
          <cell r="I5798">
            <v>0</v>
          </cell>
        </row>
        <row r="5799">
          <cell r="I5799">
            <v>0</v>
          </cell>
        </row>
        <row r="5800">
          <cell r="I5800">
            <v>0</v>
          </cell>
        </row>
        <row r="5801">
          <cell r="I5801">
            <v>0</v>
          </cell>
        </row>
        <row r="5802">
          <cell r="I5802">
            <v>0</v>
          </cell>
        </row>
        <row r="5803">
          <cell r="I5803">
            <v>0</v>
          </cell>
        </row>
        <row r="5804">
          <cell r="I5804">
            <v>0</v>
          </cell>
        </row>
        <row r="5805">
          <cell r="I5805">
            <v>0</v>
          </cell>
        </row>
        <row r="5806">
          <cell r="I5806">
            <v>0</v>
          </cell>
        </row>
        <row r="5807">
          <cell r="I5807">
            <v>0</v>
          </cell>
        </row>
        <row r="5808">
          <cell r="I5808">
            <v>0</v>
          </cell>
        </row>
        <row r="5809">
          <cell r="I5809">
            <v>0</v>
          </cell>
        </row>
        <row r="5810">
          <cell r="I5810">
            <v>0</v>
          </cell>
        </row>
        <row r="5811">
          <cell r="I5811">
            <v>0</v>
          </cell>
        </row>
        <row r="5812">
          <cell r="I5812">
            <v>0</v>
          </cell>
        </row>
        <row r="5813">
          <cell r="I5813">
            <v>0</v>
          </cell>
        </row>
        <row r="5814">
          <cell r="I5814">
            <v>0</v>
          </cell>
        </row>
        <row r="5815">
          <cell r="I5815">
            <v>0</v>
          </cell>
        </row>
        <row r="5816">
          <cell r="I5816">
            <v>0</v>
          </cell>
        </row>
        <row r="5817">
          <cell r="I5817">
            <v>0</v>
          </cell>
        </row>
        <row r="5818">
          <cell r="I5818">
            <v>0</v>
          </cell>
        </row>
        <row r="5819">
          <cell r="I5819">
            <v>0</v>
          </cell>
        </row>
        <row r="5820">
          <cell r="I5820">
            <v>0</v>
          </cell>
        </row>
        <row r="5821">
          <cell r="I5821">
            <v>0</v>
          </cell>
        </row>
        <row r="5822">
          <cell r="I5822">
            <v>0</v>
          </cell>
        </row>
        <row r="5823">
          <cell r="I5823">
            <v>0</v>
          </cell>
        </row>
        <row r="5824">
          <cell r="I5824">
            <v>0</v>
          </cell>
        </row>
        <row r="5825">
          <cell r="I5825">
            <v>0</v>
          </cell>
        </row>
        <row r="5826">
          <cell r="I5826">
            <v>0</v>
          </cell>
        </row>
        <row r="5827">
          <cell r="I5827">
            <v>0</v>
          </cell>
        </row>
        <row r="5828">
          <cell r="I5828">
            <v>0</v>
          </cell>
        </row>
        <row r="5829">
          <cell r="I5829">
            <v>0</v>
          </cell>
        </row>
        <row r="5830">
          <cell r="I5830">
            <v>0</v>
          </cell>
        </row>
        <row r="5831">
          <cell r="I5831">
            <v>0</v>
          </cell>
        </row>
        <row r="5832">
          <cell r="I5832">
            <v>0</v>
          </cell>
        </row>
        <row r="5833">
          <cell r="I5833">
            <v>0</v>
          </cell>
        </row>
        <row r="5834">
          <cell r="I5834">
            <v>0</v>
          </cell>
        </row>
        <row r="5835">
          <cell r="I5835">
            <v>0</v>
          </cell>
        </row>
        <row r="5836">
          <cell r="I5836">
            <v>0</v>
          </cell>
        </row>
        <row r="5837">
          <cell r="I5837">
            <v>0</v>
          </cell>
        </row>
        <row r="5838">
          <cell r="I5838">
            <v>0</v>
          </cell>
        </row>
        <row r="5839">
          <cell r="I5839">
            <v>0</v>
          </cell>
        </row>
        <row r="5840">
          <cell r="I5840">
            <v>0</v>
          </cell>
        </row>
        <row r="5841">
          <cell r="I5841">
            <v>0</v>
          </cell>
        </row>
        <row r="5842">
          <cell r="I5842">
            <v>0</v>
          </cell>
        </row>
        <row r="5843">
          <cell r="I5843">
            <v>0</v>
          </cell>
        </row>
        <row r="5844">
          <cell r="I5844">
            <v>0</v>
          </cell>
        </row>
        <row r="5845">
          <cell r="I5845">
            <v>0</v>
          </cell>
        </row>
        <row r="5846">
          <cell r="I5846">
            <v>0</v>
          </cell>
        </row>
        <row r="5847">
          <cell r="I5847">
            <v>0</v>
          </cell>
        </row>
        <row r="5848">
          <cell r="I5848">
            <v>0</v>
          </cell>
        </row>
        <row r="5849">
          <cell r="I5849">
            <v>0</v>
          </cell>
        </row>
        <row r="5850">
          <cell r="I5850">
            <v>0</v>
          </cell>
        </row>
        <row r="5851">
          <cell r="I5851">
            <v>0</v>
          </cell>
        </row>
        <row r="5852">
          <cell r="I5852">
            <v>0</v>
          </cell>
        </row>
        <row r="5853">
          <cell r="I5853">
            <v>0</v>
          </cell>
        </row>
        <row r="5854">
          <cell r="I5854">
            <v>0</v>
          </cell>
        </row>
        <row r="5855">
          <cell r="I5855">
            <v>0</v>
          </cell>
        </row>
        <row r="5856">
          <cell r="I5856">
            <v>0</v>
          </cell>
        </row>
        <row r="5857">
          <cell r="I5857">
            <v>0</v>
          </cell>
        </row>
        <row r="5858">
          <cell r="I5858">
            <v>0</v>
          </cell>
        </row>
        <row r="5859">
          <cell r="I5859">
            <v>0</v>
          </cell>
        </row>
        <row r="5860">
          <cell r="I5860">
            <v>0</v>
          </cell>
        </row>
        <row r="5861">
          <cell r="I5861">
            <v>0</v>
          </cell>
        </row>
        <row r="5862">
          <cell r="I5862">
            <v>0</v>
          </cell>
        </row>
        <row r="5863">
          <cell r="I5863">
            <v>0</v>
          </cell>
        </row>
        <row r="5864">
          <cell r="I5864">
            <v>0</v>
          </cell>
        </row>
        <row r="5865">
          <cell r="I5865">
            <v>0</v>
          </cell>
        </row>
        <row r="5866">
          <cell r="I5866">
            <v>0</v>
          </cell>
        </row>
        <row r="5867">
          <cell r="I5867">
            <v>0</v>
          </cell>
        </row>
        <row r="5868">
          <cell r="I5868">
            <v>0</v>
          </cell>
        </row>
        <row r="5869">
          <cell r="I5869">
            <v>0</v>
          </cell>
        </row>
        <row r="5870">
          <cell r="I5870">
            <v>0</v>
          </cell>
        </row>
        <row r="5871">
          <cell r="I5871">
            <v>0</v>
          </cell>
        </row>
        <row r="5872">
          <cell r="I5872">
            <v>0</v>
          </cell>
        </row>
        <row r="5873">
          <cell r="I5873">
            <v>0</v>
          </cell>
        </row>
        <row r="5874">
          <cell r="I5874">
            <v>0</v>
          </cell>
        </row>
        <row r="5875">
          <cell r="I5875">
            <v>0</v>
          </cell>
        </row>
        <row r="5876">
          <cell r="I5876">
            <v>0</v>
          </cell>
        </row>
        <row r="5877">
          <cell r="I5877">
            <v>0</v>
          </cell>
        </row>
        <row r="5878">
          <cell r="I5878">
            <v>0</v>
          </cell>
        </row>
        <row r="5879">
          <cell r="I5879">
            <v>0</v>
          </cell>
        </row>
        <row r="5880">
          <cell r="I5880">
            <v>0</v>
          </cell>
        </row>
        <row r="5881">
          <cell r="I5881">
            <v>0</v>
          </cell>
        </row>
        <row r="5882">
          <cell r="I5882">
            <v>0</v>
          </cell>
        </row>
        <row r="5883">
          <cell r="I5883">
            <v>0</v>
          </cell>
        </row>
        <row r="5884">
          <cell r="I5884">
            <v>0</v>
          </cell>
        </row>
        <row r="5885">
          <cell r="I5885">
            <v>0</v>
          </cell>
        </row>
        <row r="5886">
          <cell r="I5886">
            <v>0</v>
          </cell>
        </row>
        <row r="5887">
          <cell r="I5887">
            <v>0</v>
          </cell>
        </row>
        <row r="5888">
          <cell r="I5888">
            <v>0</v>
          </cell>
        </row>
        <row r="5889">
          <cell r="I5889">
            <v>0</v>
          </cell>
        </row>
        <row r="5890">
          <cell r="I5890">
            <v>0</v>
          </cell>
        </row>
        <row r="5891">
          <cell r="I5891">
            <v>0</v>
          </cell>
        </row>
        <row r="5892">
          <cell r="I5892">
            <v>0</v>
          </cell>
        </row>
        <row r="5893">
          <cell r="I5893">
            <v>0</v>
          </cell>
        </row>
        <row r="5894">
          <cell r="I5894">
            <v>0</v>
          </cell>
        </row>
        <row r="5895">
          <cell r="I5895">
            <v>0</v>
          </cell>
        </row>
        <row r="5896">
          <cell r="I5896">
            <v>0</v>
          </cell>
        </row>
        <row r="5897">
          <cell r="I5897">
            <v>0</v>
          </cell>
        </row>
        <row r="5898">
          <cell r="I5898">
            <v>0</v>
          </cell>
        </row>
        <row r="5899">
          <cell r="I5899">
            <v>0</v>
          </cell>
        </row>
        <row r="5900">
          <cell r="I5900">
            <v>0</v>
          </cell>
        </row>
        <row r="5901">
          <cell r="I5901">
            <v>0</v>
          </cell>
        </row>
        <row r="5902">
          <cell r="I5902">
            <v>0</v>
          </cell>
        </row>
        <row r="5903">
          <cell r="I5903">
            <v>0</v>
          </cell>
        </row>
        <row r="5904">
          <cell r="I5904">
            <v>0</v>
          </cell>
        </row>
        <row r="5905">
          <cell r="I5905">
            <v>0</v>
          </cell>
        </row>
        <row r="5906">
          <cell r="I5906">
            <v>0</v>
          </cell>
        </row>
        <row r="5907">
          <cell r="I5907">
            <v>0</v>
          </cell>
        </row>
        <row r="5908">
          <cell r="I5908">
            <v>0</v>
          </cell>
        </row>
        <row r="5909">
          <cell r="I5909">
            <v>0</v>
          </cell>
        </row>
        <row r="5910">
          <cell r="I5910">
            <v>0</v>
          </cell>
        </row>
        <row r="5911">
          <cell r="I5911">
            <v>0</v>
          </cell>
        </row>
        <row r="5912">
          <cell r="I5912">
            <v>0</v>
          </cell>
        </row>
        <row r="5913">
          <cell r="I5913">
            <v>0</v>
          </cell>
        </row>
        <row r="5914">
          <cell r="I5914">
            <v>0</v>
          </cell>
        </row>
        <row r="5915">
          <cell r="I5915">
            <v>0</v>
          </cell>
        </row>
        <row r="5916">
          <cell r="I5916">
            <v>0</v>
          </cell>
        </row>
        <row r="5917">
          <cell r="I5917">
            <v>0</v>
          </cell>
        </row>
        <row r="5918">
          <cell r="I5918">
            <v>0</v>
          </cell>
        </row>
        <row r="5919">
          <cell r="I5919">
            <v>0</v>
          </cell>
        </row>
        <row r="5920">
          <cell r="I5920">
            <v>0</v>
          </cell>
        </row>
        <row r="5921">
          <cell r="I5921">
            <v>0</v>
          </cell>
        </row>
        <row r="5922">
          <cell r="I5922">
            <v>0</v>
          </cell>
        </row>
        <row r="5923">
          <cell r="I5923">
            <v>0</v>
          </cell>
        </row>
        <row r="5924">
          <cell r="I5924">
            <v>0</v>
          </cell>
        </row>
        <row r="5925">
          <cell r="I5925">
            <v>0</v>
          </cell>
        </row>
        <row r="5926">
          <cell r="I5926">
            <v>0</v>
          </cell>
        </row>
        <row r="5927">
          <cell r="I5927">
            <v>0</v>
          </cell>
        </row>
        <row r="5928">
          <cell r="I5928">
            <v>0</v>
          </cell>
        </row>
        <row r="5929">
          <cell r="I5929">
            <v>0</v>
          </cell>
        </row>
        <row r="5930">
          <cell r="I5930">
            <v>0</v>
          </cell>
        </row>
        <row r="5931">
          <cell r="I5931">
            <v>0</v>
          </cell>
        </row>
        <row r="5932">
          <cell r="I5932">
            <v>0</v>
          </cell>
        </row>
        <row r="5933">
          <cell r="I5933">
            <v>0</v>
          </cell>
        </row>
        <row r="5934">
          <cell r="I5934">
            <v>0</v>
          </cell>
        </row>
        <row r="5935">
          <cell r="I5935">
            <v>0</v>
          </cell>
        </row>
        <row r="5936">
          <cell r="I5936">
            <v>0</v>
          </cell>
        </row>
        <row r="5937">
          <cell r="I5937">
            <v>0</v>
          </cell>
        </row>
        <row r="5938">
          <cell r="I5938">
            <v>0</v>
          </cell>
        </row>
        <row r="5939">
          <cell r="I5939">
            <v>0</v>
          </cell>
        </row>
        <row r="5940">
          <cell r="I5940">
            <v>0</v>
          </cell>
        </row>
        <row r="5941">
          <cell r="I5941">
            <v>0</v>
          </cell>
        </row>
        <row r="5942">
          <cell r="I5942">
            <v>0</v>
          </cell>
        </row>
        <row r="5943">
          <cell r="I5943">
            <v>0</v>
          </cell>
        </row>
        <row r="5944">
          <cell r="I5944">
            <v>0</v>
          </cell>
        </row>
        <row r="5945">
          <cell r="I5945">
            <v>0</v>
          </cell>
        </row>
        <row r="5946">
          <cell r="I5946">
            <v>0</v>
          </cell>
        </row>
        <row r="5947">
          <cell r="I5947">
            <v>0</v>
          </cell>
        </row>
        <row r="5948">
          <cell r="I5948">
            <v>0</v>
          </cell>
        </row>
        <row r="5949">
          <cell r="I5949">
            <v>0</v>
          </cell>
        </row>
        <row r="5950">
          <cell r="I5950">
            <v>0</v>
          </cell>
        </row>
        <row r="5951">
          <cell r="I5951">
            <v>0</v>
          </cell>
        </row>
        <row r="5952">
          <cell r="I5952">
            <v>0</v>
          </cell>
        </row>
        <row r="5953">
          <cell r="I5953">
            <v>0</v>
          </cell>
        </row>
        <row r="5954">
          <cell r="I5954">
            <v>0</v>
          </cell>
        </row>
        <row r="5955">
          <cell r="I5955">
            <v>0</v>
          </cell>
        </row>
        <row r="5956">
          <cell r="I5956">
            <v>0</v>
          </cell>
        </row>
        <row r="5957">
          <cell r="I5957">
            <v>0</v>
          </cell>
        </row>
        <row r="5958">
          <cell r="I5958">
            <v>0</v>
          </cell>
        </row>
        <row r="5959">
          <cell r="I5959">
            <v>0</v>
          </cell>
        </row>
        <row r="5960">
          <cell r="I5960">
            <v>0</v>
          </cell>
        </row>
        <row r="5961">
          <cell r="I5961">
            <v>0</v>
          </cell>
        </row>
        <row r="5962">
          <cell r="I5962">
            <v>0</v>
          </cell>
        </row>
        <row r="5963">
          <cell r="I5963">
            <v>0</v>
          </cell>
        </row>
        <row r="5964">
          <cell r="I5964">
            <v>0</v>
          </cell>
        </row>
        <row r="5965">
          <cell r="I5965">
            <v>0</v>
          </cell>
        </row>
        <row r="5966">
          <cell r="I5966">
            <v>0</v>
          </cell>
        </row>
        <row r="5967">
          <cell r="I5967">
            <v>0</v>
          </cell>
        </row>
        <row r="5968">
          <cell r="I5968">
            <v>0</v>
          </cell>
        </row>
        <row r="5969">
          <cell r="I5969">
            <v>0</v>
          </cell>
        </row>
        <row r="5970">
          <cell r="I5970">
            <v>0</v>
          </cell>
        </row>
        <row r="5971">
          <cell r="I5971">
            <v>0</v>
          </cell>
        </row>
        <row r="5972">
          <cell r="I5972">
            <v>0</v>
          </cell>
        </row>
        <row r="5973">
          <cell r="I5973">
            <v>0</v>
          </cell>
        </row>
        <row r="5974">
          <cell r="I5974">
            <v>0</v>
          </cell>
        </row>
        <row r="5975">
          <cell r="I5975">
            <v>0</v>
          </cell>
        </row>
        <row r="5976">
          <cell r="I5976">
            <v>0</v>
          </cell>
        </row>
        <row r="5977">
          <cell r="I5977">
            <v>0</v>
          </cell>
        </row>
        <row r="5978">
          <cell r="I5978">
            <v>0</v>
          </cell>
        </row>
        <row r="5979">
          <cell r="I5979">
            <v>0</v>
          </cell>
        </row>
        <row r="5980">
          <cell r="I5980">
            <v>0</v>
          </cell>
        </row>
        <row r="5981">
          <cell r="I5981">
            <v>0</v>
          </cell>
        </row>
        <row r="5982">
          <cell r="I5982">
            <v>0</v>
          </cell>
        </row>
        <row r="5983">
          <cell r="I5983">
            <v>0</v>
          </cell>
        </row>
        <row r="5984">
          <cell r="I5984">
            <v>0</v>
          </cell>
        </row>
        <row r="5985">
          <cell r="I5985">
            <v>0</v>
          </cell>
        </row>
        <row r="5986">
          <cell r="I5986">
            <v>0</v>
          </cell>
        </row>
        <row r="5987">
          <cell r="I5987">
            <v>0</v>
          </cell>
        </row>
        <row r="5988">
          <cell r="I5988">
            <v>0</v>
          </cell>
        </row>
        <row r="5989">
          <cell r="I5989">
            <v>0</v>
          </cell>
        </row>
        <row r="5990">
          <cell r="I5990">
            <v>0</v>
          </cell>
        </row>
        <row r="5991">
          <cell r="I5991">
            <v>0</v>
          </cell>
        </row>
        <row r="5992">
          <cell r="I5992">
            <v>0</v>
          </cell>
        </row>
        <row r="5993">
          <cell r="I5993">
            <v>0</v>
          </cell>
        </row>
        <row r="5994">
          <cell r="I5994">
            <v>0</v>
          </cell>
        </row>
        <row r="5995">
          <cell r="I5995">
            <v>0</v>
          </cell>
        </row>
        <row r="5996">
          <cell r="I5996">
            <v>0</v>
          </cell>
        </row>
        <row r="5997">
          <cell r="I5997">
            <v>0</v>
          </cell>
        </row>
        <row r="5998">
          <cell r="I5998">
            <v>0</v>
          </cell>
        </row>
        <row r="5999">
          <cell r="I5999">
            <v>0</v>
          </cell>
        </row>
        <row r="6000">
          <cell r="I6000">
            <v>0</v>
          </cell>
        </row>
        <row r="6001">
          <cell r="I6001">
            <v>0</v>
          </cell>
        </row>
        <row r="6002">
          <cell r="I6002">
            <v>0</v>
          </cell>
        </row>
        <row r="6003">
          <cell r="I6003">
            <v>0</v>
          </cell>
        </row>
        <row r="6004">
          <cell r="I6004">
            <v>0</v>
          </cell>
        </row>
        <row r="6005">
          <cell r="I6005">
            <v>0</v>
          </cell>
        </row>
        <row r="6006">
          <cell r="I6006">
            <v>0</v>
          </cell>
        </row>
        <row r="6007">
          <cell r="I6007">
            <v>0</v>
          </cell>
        </row>
        <row r="6008">
          <cell r="I6008">
            <v>0</v>
          </cell>
        </row>
        <row r="6009">
          <cell r="I6009">
            <v>0</v>
          </cell>
        </row>
        <row r="6010">
          <cell r="I6010">
            <v>0</v>
          </cell>
        </row>
        <row r="6011">
          <cell r="I6011">
            <v>0</v>
          </cell>
        </row>
        <row r="6012">
          <cell r="I6012">
            <v>0</v>
          </cell>
        </row>
        <row r="6013">
          <cell r="I6013">
            <v>0</v>
          </cell>
        </row>
        <row r="6014">
          <cell r="I6014">
            <v>0</v>
          </cell>
        </row>
        <row r="6015">
          <cell r="I6015">
            <v>0</v>
          </cell>
        </row>
        <row r="6016">
          <cell r="I6016">
            <v>0</v>
          </cell>
        </row>
        <row r="6017">
          <cell r="I6017">
            <v>0</v>
          </cell>
        </row>
        <row r="6018">
          <cell r="I6018">
            <v>0</v>
          </cell>
        </row>
        <row r="6019">
          <cell r="I6019">
            <v>0</v>
          </cell>
        </row>
        <row r="6020">
          <cell r="I6020">
            <v>0</v>
          </cell>
        </row>
        <row r="6021">
          <cell r="I6021">
            <v>0</v>
          </cell>
        </row>
        <row r="6022">
          <cell r="I6022">
            <v>0</v>
          </cell>
        </row>
        <row r="6023">
          <cell r="I6023">
            <v>0</v>
          </cell>
        </row>
        <row r="6024">
          <cell r="I6024">
            <v>0</v>
          </cell>
        </row>
        <row r="6025">
          <cell r="I6025">
            <v>0</v>
          </cell>
        </row>
        <row r="6026">
          <cell r="I6026">
            <v>0</v>
          </cell>
        </row>
        <row r="6027">
          <cell r="I6027">
            <v>0</v>
          </cell>
        </row>
        <row r="6028">
          <cell r="I6028">
            <v>0</v>
          </cell>
        </row>
        <row r="6029">
          <cell r="I6029">
            <v>0</v>
          </cell>
        </row>
        <row r="6030">
          <cell r="I6030">
            <v>0</v>
          </cell>
        </row>
        <row r="6031">
          <cell r="I6031">
            <v>0</v>
          </cell>
        </row>
        <row r="6032">
          <cell r="I6032">
            <v>0</v>
          </cell>
        </row>
        <row r="6033">
          <cell r="I6033">
            <v>0</v>
          </cell>
        </row>
        <row r="6034">
          <cell r="I6034">
            <v>0</v>
          </cell>
        </row>
        <row r="6035">
          <cell r="I6035">
            <v>0</v>
          </cell>
        </row>
        <row r="6036">
          <cell r="I6036">
            <v>0</v>
          </cell>
        </row>
        <row r="6037">
          <cell r="I6037">
            <v>0</v>
          </cell>
        </row>
        <row r="6038">
          <cell r="I6038">
            <v>0</v>
          </cell>
        </row>
        <row r="6039">
          <cell r="I6039">
            <v>0</v>
          </cell>
        </row>
        <row r="6040">
          <cell r="I6040">
            <v>0</v>
          </cell>
        </row>
        <row r="6041">
          <cell r="I6041">
            <v>0</v>
          </cell>
        </row>
        <row r="6042">
          <cell r="I6042">
            <v>0</v>
          </cell>
        </row>
        <row r="6043">
          <cell r="I6043">
            <v>0</v>
          </cell>
        </row>
        <row r="6044">
          <cell r="I6044">
            <v>0</v>
          </cell>
        </row>
        <row r="6045">
          <cell r="I6045">
            <v>0</v>
          </cell>
        </row>
        <row r="6046">
          <cell r="I6046">
            <v>0</v>
          </cell>
        </row>
        <row r="6047">
          <cell r="I6047">
            <v>0</v>
          </cell>
        </row>
        <row r="6048">
          <cell r="I6048">
            <v>0</v>
          </cell>
        </row>
        <row r="6049">
          <cell r="I6049">
            <v>0</v>
          </cell>
        </row>
        <row r="6050">
          <cell r="I6050">
            <v>0</v>
          </cell>
        </row>
        <row r="6051">
          <cell r="I6051">
            <v>0</v>
          </cell>
        </row>
        <row r="6052">
          <cell r="I6052">
            <v>0</v>
          </cell>
        </row>
        <row r="6053">
          <cell r="I6053">
            <v>0</v>
          </cell>
        </row>
        <row r="6054">
          <cell r="I6054">
            <v>0</v>
          </cell>
        </row>
        <row r="6055">
          <cell r="I6055">
            <v>0</v>
          </cell>
        </row>
        <row r="6056">
          <cell r="I6056">
            <v>0</v>
          </cell>
        </row>
        <row r="6057">
          <cell r="I6057">
            <v>0</v>
          </cell>
        </row>
        <row r="6058">
          <cell r="I6058">
            <v>0</v>
          </cell>
        </row>
        <row r="6059">
          <cell r="I6059">
            <v>0</v>
          </cell>
        </row>
        <row r="6060">
          <cell r="I6060">
            <v>0</v>
          </cell>
        </row>
        <row r="6061">
          <cell r="I6061">
            <v>0</v>
          </cell>
        </row>
        <row r="6062">
          <cell r="I6062">
            <v>0</v>
          </cell>
        </row>
        <row r="6063">
          <cell r="I6063">
            <v>0</v>
          </cell>
        </row>
        <row r="6064">
          <cell r="I6064">
            <v>0</v>
          </cell>
        </row>
        <row r="6065">
          <cell r="I6065">
            <v>0</v>
          </cell>
        </row>
        <row r="6066">
          <cell r="I6066">
            <v>0</v>
          </cell>
        </row>
        <row r="6067">
          <cell r="I6067">
            <v>0</v>
          </cell>
        </row>
        <row r="6068">
          <cell r="I6068">
            <v>0</v>
          </cell>
        </row>
        <row r="6069">
          <cell r="I6069">
            <v>0</v>
          </cell>
        </row>
        <row r="6070">
          <cell r="I6070">
            <v>0</v>
          </cell>
        </row>
        <row r="6071">
          <cell r="I6071">
            <v>0</v>
          </cell>
        </row>
        <row r="6072">
          <cell r="I6072">
            <v>0</v>
          </cell>
        </row>
        <row r="6073">
          <cell r="I6073">
            <v>0</v>
          </cell>
        </row>
        <row r="6074">
          <cell r="I6074">
            <v>0</v>
          </cell>
        </row>
        <row r="6075">
          <cell r="I6075">
            <v>0</v>
          </cell>
        </row>
        <row r="6076">
          <cell r="I6076">
            <v>0</v>
          </cell>
        </row>
        <row r="6077">
          <cell r="I6077">
            <v>0</v>
          </cell>
        </row>
        <row r="6078">
          <cell r="I6078">
            <v>0</v>
          </cell>
        </row>
        <row r="6079">
          <cell r="I6079">
            <v>0</v>
          </cell>
        </row>
        <row r="6080">
          <cell r="I6080">
            <v>0</v>
          </cell>
        </row>
        <row r="6081">
          <cell r="I6081">
            <v>0</v>
          </cell>
        </row>
        <row r="6082">
          <cell r="I6082">
            <v>0</v>
          </cell>
        </row>
        <row r="6083">
          <cell r="I6083">
            <v>0</v>
          </cell>
        </row>
        <row r="6084">
          <cell r="I6084">
            <v>0</v>
          </cell>
        </row>
        <row r="6085">
          <cell r="I6085">
            <v>0</v>
          </cell>
        </row>
        <row r="6086">
          <cell r="I6086">
            <v>0</v>
          </cell>
        </row>
        <row r="6087">
          <cell r="I6087">
            <v>0</v>
          </cell>
        </row>
        <row r="6088">
          <cell r="I6088">
            <v>0</v>
          </cell>
        </row>
        <row r="6089">
          <cell r="I6089">
            <v>0</v>
          </cell>
        </row>
        <row r="6090">
          <cell r="I6090">
            <v>0</v>
          </cell>
        </row>
        <row r="6091">
          <cell r="I6091">
            <v>0</v>
          </cell>
        </row>
        <row r="6092">
          <cell r="I6092">
            <v>0</v>
          </cell>
        </row>
        <row r="6093">
          <cell r="I6093">
            <v>0</v>
          </cell>
        </row>
        <row r="6094">
          <cell r="I6094">
            <v>0</v>
          </cell>
        </row>
        <row r="6095">
          <cell r="I6095">
            <v>0</v>
          </cell>
        </row>
        <row r="6096">
          <cell r="I6096">
            <v>0</v>
          </cell>
        </row>
        <row r="6097">
          <cell r="I6097">
            <v>0</v>
          </cell>
        </row>
        <row r="6098">
          <cell r="I6098">
            <v>0</v>
          </cell>
        </row>
        <row r="6099">
          <cell r="I6099">
            <v>0</v>
          </cell>
        </row>
        <row r="6100">
          <cell r="I6100">
            <v>0</v>
          </cell>
        </row>
        <row r="6101">
          <cell r="I6101">
            <v>0</v>
          </cell>
        </row>
        <row r="6102">
          <cell r="I6102">
            <v>0</v>
          </cell>
        </row>
        <row r="6103">
          <cell r="I6103">
            <v>0</v>
          </cell>
        </row>
        <row r="6104">
          <cell r="I6104">
            <v>0</v>
          </cell>
        </row>
        <row r="6105">
          <cell r="I6105">
            <v>0</v>
          </cell>
        </row>
        <row r="6106">
          <cell r="I6106">
            <v>0</v>
          </cell>
        </row>
        <row r="6107">
          <cell r="I6107">
            <v>0</v>
          </cell>
        </row>
        <row r="6108">
          <cell r="I6108">
            <v>0</v>
          </cell>
        </row>
        <row r="6109">
          <cell r="I6109">
            <v>0</v>
          </cell>
        </row>
        <row r="6110">
          <cell r="I6110">
            <v>0</v>
          </cell>
        </row>
        <row r="6111">
          <cell r="I6111">
            <v>0</v>
          </cell>
        </row>
        <row r="6112">
          <cell r="I6112">
            <v>0</v>
          </cell>
        </row>
        <row r="6113">
          <cell r="I6113">
            <v>0</v>
          </cell>
        </row>
        <row r="6114">
          <cell r="I6114">
            <v>0</v>
          </cell>
        </row>
        <row r="6115">
          <cell r="I6115">
            <v>0</v>
          </cell>
        </row>
        <row r="6116">
          <cell r="I6116">
            <v>0</v>
          </cell>
        </row>
        <row r="6117">
          <cell r="I6117">
            <v>0</v>
          </cell>
        </row>
        <row r="6118">
          <cell r="I6118">
            <v>0</v>
          </cell>
        </row>
        <row r="6119">
          <cell r="I6119">
            <v>0</v>
          </cell>
        </row>
        <row r="6120">
          <cell r="I6120">
            <v>0</v>
          </cell>
        </row>
        <row r="6121">
          <cell r="I6121">
            <v>0</v>
          </cell>
        </row>
        <row r="6122">
          <cell r="I6122">
            <v>0</v>
          </cell>
        </row>
        <row r="6123">
          <cell r="I6123">
            <v>0</v>
          </cell>
        </row>
        <row r="6124">
          <cell r="I6124">
            <v>0</v>
          </cell>
        </row>
        <row r="6125">
          <cell r="I6125">
            <v>0</v>
          </cell>
        </row>
        <row r="6126">
          <cell r="I6126">
            <v>0</v>
          </cell>
        </row>
        <row r="6127">
          <cell r="I6127">
            <v>0</v>
          </cell>
        </row>
        <row r="6128">
          <cell r="I6128">
            <v>0</v>
          </cell>
        </row>
        <row r="6129">
          <cell r="I6129">
            <v>0</v>
          </cell>
        </row>
        <row r="6130">
          <cell r="I6130">
            <v>0</v>
          </cell>
        </row>
        <row r="6131">
          <cell r="I6131">
            <v>0</v>
          </cell>
        </row>
        <row r="6132">
          <cell r="I6132">
            <v>0</v>
          </cell>
        </row>
        <row r="6133">
          <cell r="I6133">
            <v>0</v>
          </cell>
        </row>
        <row r="6134">
          <cell r="I6134">
            <v>0</v>
          </cell>
        </row>
        <row r="6135">
          <cell r="I6135">
            <v>0</v>
          </cell>
        </row>
        <row r="6136">
          <cell r="I6136">
            <v>0</v>
          </cell>
        </row>
        <row r="6137">
          <cell r="I6137">
            <v>0</v>
          </cell>
        </row>
        <row r="6138">
          <cell r="I6138">
            <v>0</v>
          </cell>
        </row>
        <row r="6139">
          <cell r="I6139">
            <v>0</v>
          </cell>
        </row>
        <row r="6140">
          <cell r="I6140">
            <v>0</v>
          </cell>
        </row>
        <row r="6141">
          <cell r="I6141">
            <v>0</v>
          </cell>
        </row>
        <row r="6142">
          <cell r="I6142">
            <v>0</v>
          </cell>
        </row>
        <row r="6143">
          <cell r="I6143">
            <v>0</v>
          </cell>
        </row>
        <row r="6144">
          <cell r="I6144">
            <v>0</v>
          </cell>
        </row>
        <row r="6145">
          <cell r="I6145">
            <v>0</v>
          </cell>
        </row>
        <row r="6146">
          <cell r="I6146">
            <v>0</v>
          </cell>
        </row>
        <row r="6147">
          <cell r="I6147">
            <v>0</v>
          </cell>
        </row>
        <row r="6148">
          <cell r="I6148">
            <v>0</v>
          </cell>
        </row>
        <row r="6149">
          <cell r="I6149">
            <v>0</v>
          </cell>
        </row>
        <row r="6150">
          <cell r="I6150">
            <v>0</v>
          </cell>
        </row>
        <row r="6151">
          <cell r="I6151">
            <v>0</v>
          </cell>
        </row>
        <row r="6152">
          <cell r="I6152">
            <v>0</v>
          </cell>
        </row>
        <row r="6153">
          <cell r="I6153">
            <v>0</v>
          </cell>
        </row>
        <row r="6154">
          <cell r="I6154">
            <v>0</v>
          </cell>
        </row>
        <row r="6155">
          <cell r="I6155">
            <v>0</v>
          </cell>
        </row>
        <row r="6156">
          <cell r="I6156">
            <v>0</v>
          </cell>
        </row>
        <row r="6157">
          <cell r="I6157">
            <v>0</v>
          </cell>
        </row>
        <row r="6158">
          <cell r="I6158">
            <v>0</v>
          </cell>
        </row>
        <row r="6159">
          <cell r="I6159">
            <v>0</v>
          </cell>
        </row>
        <row r="6160">
          <cell r="I6160">
            <v>0</v>
          </cell>
        </row>
        <row r="6161">
          <cell r="I6161">
            <v>0</v>
          </cell>
        </row>
        <row r="6162">
          <cell r="I6162">
            <v>0</v>
          </cell>
        </row>
        <row r="6163">
          <cell r="I6163">
            <v>0</v>
          </cell>
        </row>
        <row r="6164">
          <cell r="I6164">
            <v>0</v>
          </cell>
        </row>
        <row r="6165">
          <cell r="I6165">
            <v>0</v>
          </cell>
        </row>
        <row r="6166">
          <cell r="I6166">
            <v>0</v>
          </cell>
        </row>
        <row r="6167">
          <cell r="I6167">
            <v>0</v>
          </cell>
        </row>
        <row r="6168">
          <cell r="I6168">
            <v>0</v>
          </cell>
        </row>
        <row r="6169">
          <cell r="I6169">
            <v>0</v>
          </cell>
        </row>
        <row r="6170">
          <cell r="I6170">
            <v>0</v>
          </cell>
        </row>
        <row r="6171">
          <cell r="I6171">
            <v>0</v>
          </cell>
        </row>
        <row r="6172">
          <cell r="I6172">
            <v>0</v>
          </cell>
        </row>
        <row r="6173">
          <cell r="I6173">
            <v>0</v>
          </cell>
        </row>
        <row r="6174">
          <cell r="I6174">
            <v>0</v>
          </cell>
        </row>
        <row r="6175">
          <cell r="I6175">
            <v>0</v>
          </cell>
        </row>
        <row r="6176">
          <cell r="I6176">
            <v>0</v>
          </cell>
        </row>
        <row r="6177">
          <cell r="I6177">
            <v>0</v>
          </cell>
        </row>
        <row r="6178">
          <cell r="I6178">
            <v>0</v>
          </cell>
        </row>
        <row r="6179">
          <cell r="I6179">
            <v>0</v>
          </cell>
        </row>
        <row r="6180">
          <cell r="I6180">
            <v>0</v>
          </cell>
        </row>
        <row r="6181">
          <cell r="I6181">
            <v>0</v>
          </cell>
        </row>
        <row r="6182">
          <cell r="I6182">
            <v>0</v>
          </cell>
        </row>
        <row r="6183">
          <cell r="I6183">
            <v>0</v>
          </cell>
        </row>
        <row r="6184">
          <cell r="I6184">
            <v>0</v>
          </cell>
        </row>
        <row r="6185">
          <cell r="I6185">
            <v>0</v>
          </cell>
        </row>
        <row r="6186">
          <cell r="I6186">
            <v>0</v>
          </cell>
        </row>
        <row r="6187">
          <cell r="I6187">
            <v>0</v>
          </cell>
        </row>
        <row r="6188">
          <cell r="I6188">
            <v>0</v>
          </cell>
        </row>
        <row r="6189">
          <cell r="I6189">
            <v>0</v>
          </cell>
        </row>
        <row r="6190">
          <cell r="I6190">
            <v>0</v>
          </cell>
        </row>
        <row r="6191">
          <cell r="I6191">
            <v>0</v>
          </cell>
        </row>
        <row r="6192">
          <cell r="I6192">
            <v>0</v>
          </cell>
        </row>
        <row r="6193">
          <cell r="I6193">
            <v>0</v>
          </cell>
        </row>
        <row r="6194">
          <cell r="I6194">
            <v>0</v>
          </cell>
        </row>
        <row r="6195">
          <cell r="I6195">
            <v>0</v>
          </cell>
        </row>
        <row r="6196">
          <cell r="I6196">
            <v>0</v>
          </cell>
        </row>
        <row r="6197">
          <cell r="I6197">
            <v>0</v>
          </cell>
        </row>
        <row r="6198">
          <cell r="I6198">
            <v>0</v>
          </cell>
        </row>
        <row r="6199">
          <cell r="I6199">
            <v>0</v>
          </cell>
        </row>
        <row r="6200">
          <cell r="I6200">
            <v>0</v>
          </cell>
        </row>
        <row r="6201">
          <cell r="I6201">
            <v>0</v>
          </cell>
        </row>
        <row r="6202">
          <cell r="I6202">
            <v>0</v>
          </cell>
        </row>
        <row r="6203">
          <cell r="I6203">
            <v>0</v>
          </cell>
        </row>
        <row r="6204">
          <cell r="I6204">
            <v>0</v>
          </cell>
        </row>
        <row r="6205">
          <cell r="I6205">
            <v>0</v>
          </cell>
        </row>
        <row r="6206">
          <cell r="I6206">
            <v>0</v>
          </cell>
        </row>
        <row r="6207">
          <cell r="I6207">
            <v>0</v>
          </cell>
        </row>
        <row r="6208">
          <cell r="I6208">
            <v>0</v>
          </cell>
        </row>
        <row r="6209">
          <cell r="I6209">
            <v>0</v>
          </cell>
        </row>
        <row r="6210">
          <cell r="I6210">
            <v>0</v>
          </cell>
        </row>
        <row r="6211">
          <cell r="I6211">
            <v>0</v>
          </cell>
        </row>
        <row r="6212">
          <cell r="I6212">
            <v>0</v>
          </cell>
        </row>
        <row r="6213">
          <cell r="I6213">
            <v>0</v>
          </cell>
        </row>
        <row r="6214">
          <cell r="I6214">
            <v>0</v>
          </cell>
        </row>
        <row r="6215">
          <cell r="I6215">
            <v>0</v>
          </cell>
        </row>
        <row r="6216">
          <cell r="I6216">
            <v>0</v>
          </cell>
        </row>
        <row r="6217">
          <cell r="I6217">
            <v>0</v>
          </cell>
        </row>
        <row r="6218">
          <cell r="I6218">
            <v>0</v>
          </cell>
        </row>
        <row r="6219">
          <cell r="I6219">
            <v>0</v>
          </cell>
        </row>
        <row r="6220">
          <cell r="I6220">
            <v>0</v>
          </cell>
        </row>
        <row r="6221">
          <cell r="I6221">
            <v>0</v>
          </cell>
        </row>
        <row r="6222">
          <cell r="I6222">
            <v>0</v>
          </cell>
        </row>
        <row r="6223">
          <cell r="I6223">
            <v>0</v>
          </cell>
        </row>
        <row r="6224">
          <cell r="I6224">
            <v>0</v>
          </cell>
        </row>
        <row r="6225">
          <cell r="I6225">
            <v>0</v>
          </cell>
        </row>
        <row r="6226">
          <cell r="I6226">
            <v>0</v>
          </cell>
        </row>
        <row r="6227">
          <cell r="I6227">
            <v>0</v>
          </cell>
        </row>
        <row r="6228">
          <cell r="I6228">
            <v>0</v>
          </cell>
        </row>
        <row r="6229">
          <cell r="I6229">
            <v>0</v>
          </cell>
        </row>
        <row r="6230">
          <cell r="I6230">
            <v>0</v>
          </cell>
        </row>
        <row r="6231">
          <cell r="I6231">
            <v>0</v>
          </cell>
        </row>
        <row r="6232">
          <cell r="I6232">
            <v>0</v>
          </cell>
        </row>
        <row r="6233">
          <cell r="I6233">
            <v>0</v>
          </cell>
        </row>
        <row r="6234">
          <cell r="I6234">
            <v>0</v>
          </cell>
        </row>
        <row r="6235">
          <cell r="I6235">
            <v>0</v>
          </cell>
        </row>
        <row r="6236">
          <cell r="I6236">
            <v>0</v>
          </cell>
        </row>
        <row r="6237">
          <cell r="I6237">
            <v>0</v>
          </cell>
        </row>
        <row r="6238">
          <cell r="I6238">
            <v>0</v>
          </cell>
        </row>
        <row r="6239">
          <cell r="I6239">
            <v>0</v>
          </cell>
        </row>
        <row r="6240">
          <cell r="I6240">
            <v>0</v>
          </cell>
        </row>
        <row r="6241">
          <cell r="I6241">
            <v>0</v>
          </cell>
        </row>
        <row r="6242">
          <cell r="I6242">
            <v>0</v>
          </cell>
        </row>
        <row r="6243">
          <cell r="I6243">
            <v>0</v>
          </cell>
        </row>
        <row r="6244">
          <cell r="I6244">
            <v>0</v>
          </cell>
        </row>
        <row r="6245">
          <cell r="I6245">
            <v>0</v>
          </cell>
        </row>
        <row r="6246">
          <cell r="I6246">
            <v>0</v>
          </cell>
        </row>
        <row r="6247">
          <cell r="I6247">
            <v>0</v>
          </cell>
        </row>
        <row r="6248">
          <cell r="I6248">
            <v>0</v>
          </cell>
        </row>
        <row r="6249">
          <cell r="I6249">
            <v>0</v>
          </cell>
        </row>
        <row r="6250">
          <cell r="I6250">
            <v>0</v>
          </cell>
        </row>
        <row r="6251">
          <cell r="I6251">
            <v>0</v>
          </cell>
        </row>
        <row r="6252">
          <cell r="I6252">
            <v>0</v>
          </cell>
        </row>
        <row r="6253">
          <cell r="I6253">
            <v>0</v>
          </cell>
        </row>
        <row r="6254">
          <cell r="I6254">
            <v>0</v>
          </cell>
        </row>
        <row r="6255">
          <cell r="I6255">
            <v>0</v>
          </cell>
        </row>
        <row r="6256">
          <cell r="I6256">
            <v>0</v>
          </cell>
        </row>
        <row r="6257">
          <cell r="I6257">
            <v>0</v>
          </cell>
        </row>
        <row r="6258">
          <cell r="I6258">
            <v>0</v>
          </cell>
        </row>
        <row r="6259">
          <cell r="I6259">
            <v>0</v>
          </cell>
        </row>
        <row r="6260">
          <cell r="I6260">
            <v>0</v>
          </cell>
        </row>
        <row r="6261">
          <cell r="I6261">
            <v>0</v>
          </cell>
        </row>
        <row r="6262">
          <cell r="I6262">
            <v>0</v>
          </cell>
        </row>
        <row r="6263">
          <cell r="I6263">
            <v>0</v>
          </cell>
        </row>
        <row r="6264">
          <cell r="I6264">
            <v>0</v>
          </cell>
        </row>
        <row r="6265">
          <cell r="I6265">
            <v>0</v>
          </cell>
        </row>
        <row r="6266">
          <cell r="I6266">
            <v>0</v>
          </cell>
        </row>
        <row r="6267">
          <cell r="I6267">
            <v>0</v>
          </cell>
        </row>
        <row r="6268">
          <cell r="I6268">
            <v>0</v>
          </cell>
        </row>
        <row r="6269">
          <cell r="I6269">
            <v>0</v>
          </cell>
        </row>
        <row r="6270">
          <cell r="I6270">
            <v>0</v>
          </cell>
        </row>
        <row r="6271">
          <cell r="I6271">
            <v>0</v>
          </cell>
        </row>
        <row r="6272">
          <cell r="I6272">
            <v>0</v>
          </cell>
        </row>
        <row r="6273">
          <cell r="I6273">
            <v>0</v>
          </cell>
        </row>
        <row r="6274">
          <cell r="I6274">
            <v>0</v>
          </cell>
        </row>
        <row r="6275">
          <cell r="I6275">
            <v>0</v>
          </cell>
        </row>
        <row r="6276">
          <cell r="I6276">
            <v>0</v>
          </cell>
        </row>
        <row r="6277">
          <cell r="I6277">
            <v>0</v>
          </cell>
        </row>
        <row r="6278">
          <cell r="I6278">
            <v>0</v>
          </cell>
        </row>
        <row r="6279">
          <cell r="I6279">
            <v>0</v>
          </cell>
        </row>
        <row r="6280">
          <cell r="I6280">
            <v>0</v>
          </cell>
        </row>
        <row r="6281">
          <cell r="I6281">
            <v>0</v>
          </cell>
        </row>
        <row r="6282">
          <cell r="I6282">
            <v>0</v>
          </cell>
        </row>
        <row r="6283">
          <cell r="I6283">
            <v>0</v>
          </cell>
        </row>
        <row r="6284">
          <cell r="I6284">
            <v>0</v>
          </cell>
        </row>
        <row r="6285">
          <cell r="I6285">
            <v>0</v>
          </cell>
        </row>
        <row r="6286">
          <cell r="I6286">
            <v>0</v>
          </cell>
        </row>
        <row r="6287">
          <cell r="I6287">
            <v>0</v>
          </cell>
        </row>
        <row r="6288">
          <cell r="I6288">
            <v>0</v>
          </cell>
        </row>
        <row r="6289">
          <cell r="I6289">
            <v>0</v>
          </cell>
        </row>
        <row r="6290">
          <cell r="I6290">
            <v>0</v>
          </cell>
        </row>
        <row r="6291">
          <cell r="I6291">
            <v>0</v>
          </cell>
        </row>
        <row r="6292">
          <cell r="I6292">
            <v>0</v>
          </cell>
        </row>
        <row r="6293">
          <cell r="I6293">
            <v>0</v>
          </cell>
        </row>
        <row r="6294">
          <cell r="I6294">
            <v>0</v>
          </cell>
        </row>
        <row r="6295">
          <cell r="I6295">
            <v>0</v>
          </cell>
        </row>
        <row r="6296">
          <cell r="I6296">
            <v>0</v>
          </cell>
        </row>
        <row r="6297">
          <cell r="I6297">
            <v>0</v>
          </cell>
        </row>
        <row r="6298">
          <cell r="I6298">
            <v>0</v>
          </cell>
        </row>
        <row r="6299">
          <cell r="I6299">
            <v>0</v>
          </cell>
        </row>
        <row r="6300">
          <cell r="I6300">
            <v>0</v>
          </cell>
        </row>
        <row r="6301">
          <cell r="I6301">
            <v>0</v>
          </cell>
        </row>
        <row r="6302">
          <cell r="I6302">
            <v>0</v>
          </cell>
        </row>
        <row r="6303">
          <cell r="I6303">
            <v>0</v>
          </cell>
        </row>
        <row r="6304">
          <cell r="I6304">
            <v>0</v>
          </cell>
        </row>
        <row r="6305">
          <cell r="I6305">
            <v>0</v>
          </cell>
        </row>
        <row r="6306">
          <cell r="I6306">
            <v>0</v>
          </cell>
        </row>
        <row r="6307">
          <cell r="I6307">
            <v>0</v>
          </cell>
        </row>
        <row r="6308">
          <cell r="I6308">
            <v>0</v>
          </cell>
        </row>
        <row r="6309">
          <cell r="I6309">
            <v>0</v>
          </cell>
        </row>
        <row r="6310">
          <cell r="I6310">
            <v>0</v>
          </cell>
        </row>
        <row r="6311">
          <cell r="I6311">
            <v>0</v>
          </cell>
        </row>
        <row r="6312">
          <cell r="I6312">
            <v>0</v>
          </cell>
        </row>
        <row r="6313">
          <cell r="I6313">
            <v>0</v>
          </cell>
        </row>
        <row r="6314">
          <cell r="I6314">
            <v>0</v>
          </cell>
        </row>
        <row r="6315">
          <cell r="I6315">
            <v>0</v>
          </cell>
        </row>
        <row r="6316">
          <cell r="I6316">
            <v>0</v>
          </cell>
        </row>
        <row r="6317">
          <cell r="I6317">
            <v>0</v>
          </cell>
        </row>
        <row r="6318">
          <cell r="I6318">
            <v>0</v>
          </cell>
        </row>
        <row r="6319">
          <cell r="I6319">
            <v>0</v>
          </cell>
        </row>
        <row r="6320">
          <cell r="I6320">
            <v>0</v>
          </cell>
        </row>
        <row r="6321">
          <cell r="I6321">
            <v>0</v>
          </cell>
        </row>
        <row r="6322">
          <cell r="I6322">
            <v>0</v>
          </cell>
        </row>
        <row r="6323">
          <cell r="I6323">
            <v>0</v>
          </cell>
        </row>
        <row r="6324">
          <cell r="I6324">
            <v>0</v>
          </cell>
        </row>
        <row r="6325">
          <cell r="I6325">
            <v>0</v>
          </cell>
        </row>
        <row r="6326">
          <cell r="I6326">
            <v>0</v>
          </cell>
        </row>
        <row r="6327">
          <cell r="I6327">
            <v>0</v>
          </cell>
        </row>
        <row r="6328">
          <cell r="I6328">
            <v>0</v>
          </cell>
        </row>
        <row r="6329">
          <cell r="I6329">
            <v>0</v>
          </cell>
        </row>
        <row r="6330">
          <cell r="I6330">
            <v>0</v>
          </cell>
        </row>
        <row r="6331">
          <cell r="I6331">
            <v>0</v>
          </cell>
        </row>
        <row r="6332">
          <cell r="I6332">
            <v>0</v>
          </cell>
        </row>
        <row r="6333">
          <cell r="I6333">
            <v>0</v>
          </cell>
        </row>
        <row r="6334">
          <cell r="I6334">
            <v>0</v>
          </cell>
        </row>
        <row r="6335">
          <cell r="I6335">
            <v>0</v>
          </cell>
        </row>
        <row r="6336">
          <cell r="I6336">
            <v>0</v>
          </cell>
        </row>
        <row r="6337">
          <cell r="I6337">
            <v>0</v>
          </cell>
        </row>
        <row r="6338">
          <cell r="I6338">
            <v>0</v>
          </cell>
        </row>
        <row r="6339">
          <cell r="I6339">
            <v>0</v>
          </cell>
        </row>
        <row r="6340">
          <cell r="I6340">
            <v>0</v>
          </cell>
        </row>
        <row r="6341">
          <cell r="I6341">
            <v>0</v>
          </cell>
        </row>
        <row r="6342">
          <cell r="I6342">
            <v>0</v>
          </cell>
        </row>
        <row r="6343">
          <cell r="I6343">
            <v>0</v>
          </cell>
        </row>
        <row r="6344">
          <cell r="I6344">
            <v>0</v>
          </cell>
        </row>
        <row r="6345">
          <cell r="I6345">
            <v>0</v>
          </cell>
        </row>
        <row r="6346">
          <cell r="I6346">
            <v>0</v>
          </cell>
        </row>
        <row r="6347">
          <cell r="I6347">
            <v>0</v>
          </cell>
        </row>
        <row r="6348">
          <cell r="I6348">
            <v>0</v>
          </cell>
        </row>
        <row r="6349">
          <cell r="I6349">
            <v>0</v>
          </cell>
        </row>
        <row r="6350">
          <cell r="I6350">
            <v>0</v>
          </cell>
        </row>
        <row r="6351">
          <cell r="I6351">
            <v>0</v>
          </cell>
        </row>
        <row r="6352">
          <cell r="I6352">
            <v>0</v>
          </cell>
        </row>
        <row r="6353">
          <cell r="I6353">
            <v>0</v>
          </cell>
        </row>
        <row r="6354">
          <cell r="I6354">
            <v>0</v>
          </cell>
        </row>
        <row r="6355">
          <cell r="I6355">
            <v>0</v>
          </cell>
        </row>
        <row r="6356">
          <cell r="I6356">
            <v>0</v>
          </cell>
        </row>
        <row r="6357">
          <cell r="I6357">
            <v>0</v>
          </cell>
        </row>
        <row r="6358">
          <cell r="I6358">
            <v>0</v>
          </cell>
        </row>
        <row r="6359">
          <cell r="I6359">
            <v>0</v>
          </cell>
        </row>
        <row r="6360">
          <cell r="I6360">
            <v>0</v>
          </cell>
        </row>
        <row r="6361">
          <cell r="I6361">
            <v>0</v>
          </cell>
        </row>
        <row r="6362">
          <cell r="I6362">
            <v>0</v>
          </cell>
        </row>
        <row r="6363">
          <cell r="I6363">
            <v>0</v>
          </cell>
        </row>
        <row r="6364">
          <cell r="I6364">
            <v>0</v>
          </cell>
        </row>
        <row r="6365">
          <cell r="I6365">
            <v>0</v>
          </cell>
        </row>
        <row r="6366">
          <cell r="I6366">
            <v>0</v>
          </cell>
        </row>
        <row r="6367">
          <cell r="I6367">
            <v>0</v>
          </cell>
        </row>
        <row r="6368">
          <cell r="I6368">
            <v>0</v>
          </cell>
        </row>
        <row r="6369">
          <cell r="I6369">
            <v>0</v>
          </cell>
        </row>
        <row r="6370">
          <cell r="I6370">
            <v>0</v>
          </cell>
        </row>
        <row r="6371">
          <cell r="I6371">
            <v>0</v>
          </cell>
        </row>
        <row r="6372">
          <cell r="I6372">
            <v>0</v>
          </cell>
        </row>
        <row r="6373">
          <cell r="I6373">
            <v>0</v>
          </cell>
        </row>
        <row r="6374">
          <cell r="I6374">
            <v>0</v>
          </cell>
        </row>
        <row r="6375">
          <cell r="I6375">
            <v>0</v>
          </cell>
        </row>
        <row r="6376">
          <cell r="I6376">
            <v>0</v>
          </cell>
        </row>
        <row r="6377">
          <cell r="I6377">
            <v>0</v>
          </cell>
        </row>
        <row r="6378">
          <cell r="I6378">
            <v>0</v>
          </cell>
        </row>
        <row r="6379">
          <cell r="I6379">
            <v>0</v>
          </cell>
        </row>
        <row r="6380">
          <cell r="I6380">
            <v>0</v>
          </cell>
        </row>
        <row r="6381">
          <cell r="I6381">
            <v>0</v>
          </cell>
        </row>
        <row r="6382">
          <cell r="I6382">
            <v>0</v>
          </cell>
        </row>
        <row r="6383">
          <cell r="I6383">
            <v>0</v>
          </cell>
        </row>
        <row r="6384">
          <cell r="I6384">
            <v>0</v>
          </cell>
        </row>
        <row r="6385">
          <cell r="I6385">
            <v>0</v>
          </cell>
        </row>
        <row r="6386">
          <cell r="I6386">
            <v>0</v>
          </cell>
        </row>
        <row r="6387">
          <cell r="I6387">
            <v>0</v>
          </cell>
        </row>
        <row r="6388">
          <cell r="I6388">
            <v>0</v>
          </cell>
        </row>
        <row r="6389">
          <cell r="I6389">
            <v>0</v>
          </cell>
        </row>
        <row r="6390">
          <cell r="I6390">
            <v>0</v>
          </cell>
        </row>
        <row r="6391">
          <cell r="I6391">
            <v>0</v>
          </cell>
        </row>
        <row r="6392">
          <cell r="I6392">
            <v>0</v>
          </cell>
        </row>
        <row r="6393">
          <cell r="I6393">
            <v>0</v>
          </cell>
        </row>
        <row r="6394">
          <cell r="I6394">
            <v>0</v>
          </cell>
        </row>
        <row r="6395">
          <cell r="I6395">
            <v>0</v>
          </cell>
        </row>
        <row r="6396">
          <cell r="I6396">
            <v>0</v>
          </cell>
        </row>
        <row r="6397">
          <cell r="I6397">
            <v>0</v>
          </cell>
        </row>
        <row r="6398">
          <cell r="I6398">
            <v>0</v>
          </cell>
        </row>
        <row r="6399">
          <cell r="I6399">
            <v>0</v>
          </cell>
        </row>
        <row r="6400">
          <cell r="I6400">
            <v>0</v>
          </cell>
        </row>
        <row r="6401">
          <cell r="I6401">
            <v>0</v>
          </cell>
        </row>
        <row r="6402">
          <cell r="I6402">
            <v>0</v>
          </cell>
        </row>
        <row r="6403">
          <cell r="I6403">
            <v>0</v>
          </cell>
        </row>
        <row r="6404">
          <cell r="I6404">
            <v>0</v>
          </cell>
        </row>
        <row r="6405">
          <cell r="I6405">
            <v>0</v>
          </cell>
        </row>
        <row r="6406">
          <cell r="I6406">
            <v>0</v>
          </cell>
        </row>
        <row r="6407">
          <cell r="I6407">
            <v>0</v>
          </cell>
        </row>
        <row r="6408">
          <cell r="I6408">
            <v>0</v>
          </cell>
        </row>
        <row r="6409">
          <cell r="I6409">
            <v>0</v>
          </cell>
        </row>
        <row r="6410">
          <cell r="I6410">
            <v>0</v>
          </cell>
        </row>
        <row r="6411">
          <cell r="I6411">
            <v>0</v>
          </cell>
        </row>
        <row r="6412">
          <cell r="I6412">
            <v>0</v>
          </cell>
        </row>
        <row r="6413">
          <cell r="I6413">
            <v>0</v>
          </cell>
        </row>
        <row r="6414">
          <cell r="I6414">
            <v>0</v>
          </cell>
        </row>
        <row r="6415">
          <cell r="I6415">
            <v>0</v>
          </cell>
        </row>
        <row r="6416">
          <cell r="I6416">
            <v>0</v>
          </cell>
        </row>
        <row r="6417">
          <cell r="I6417">
            <v>0</v>
          </cell>
        </row>
        <row r="6418">
          <cell r="I6418">
            <v>0</v>
          </cell>
        </row>
        <row r="6419">
          <cell r="I6419">
            <v>0</v>
          </cell>
        </row>
        <row r="6420">
          <cell r="I6420">
            <v>0</v>
          </cell>
        </row>
        <row r="6421">
          <cell r="I6421">
            <v>0</v>
          </cell>
        </row>
        <row r="6422">
          <cell r="I6422">
            <v>0</v>
          </cell>
        </row>
        <row r="6423">
          <cell r="I6423">
            <v>0</v>
          </cell>
        </row>
        <row r="6424">
          <cell r="I6424">
            <v>0</v>
          </cell>
        </row>
        <row r="6425">
          <cell r="I6425">
            <v>0</v>
          </cell>
        </row>
        <row r="6426">
          <cell r="I6426">
            <v>0</v>
          </cell>
        </row>
        <row r="6427">
          <cell r="I6427">
            <v>0</v>
          </cell>
        </row>
        <row r="6428">
          <cell r="I6428">
            <v>0</v>
          </cell>
        </row>
        <row r="6429">
          <cell r="I6429">
            <v>0</v>
          </cell>
        </row>
        <row r="6430">
          <cell r="I6430">
            <v>0</v>
          </cell>
        </row>
        <row r="6431">
          <cell r="I6431">
            <v>0</v>
          </cell>
        </row>
        <row r="6432">
          <cell r="I6432">
            <v>0</v>
          </cell>
        </row>
        <row r="6433">
          <cell r="I6433">
            <v>0</v>
          </cell>
        </row>
        <row r="6434">
          <cell r="I6434">
            <v>0</v>
          </cell>
        </row>
        <row r="6435">
          <cell r="I6435">
            <v>0</v>
          </cell>
        </row>
        <row r="6436">
          <cell r="I6436">
            <v>0</v>
          </cell>
        </row>
        <row r="6437">
          <cell r="I6437">
            <v>0</v>
          </cell>
        </row>
        <row r="6438">
          <cell r="I6438">
            <v>0</v>
          </cell>
        </row>
        <row r="6439">
          <cell r="I6439">
            <v>0</v>
          </cell>
        </row>
        <row r="6440">
          <cell r="I6440">
            <v>0</v>
          </cell>
        </row>
        <row r="6441">
          <cell r="I6441">
            <v>0</v>
          </cell>
        </row>
        <row r="6442">
          <cell r="I6442">
            <v>0</v>
          </cell>
        </row>
        <row r="6443">
          <cell r="I6443">
            <v>0</v>
          </cell>
        </row>
        <row r="6444">
          <cell r="I6444">
            <v>0</v>
          </cell>
        </row>
        <row r="6445">
          <cell r="I6445">
            <v>0</v>
          </cell>
        </row>
        <row r="6446">
          <cell r="I6446">
            <v>0</v>
          </cell>
        </row>
        <row r="6447">
          <cell r="I6447">
            <v>0</v>
          </cell>
        </row>
        <row r="6448">
          <cell r="I6448">
            <v>0</v>
          </cell>
        </row>
        <row r="6449">
          <cell r="I6449">
            <v>0</v>
          </cell>
        </row>
        <row r="6450">
          <cell r="I6450">
            <v>0</v>
          </cell>
        </row>
        <row r="6451">
          <cell r="I6451">
            <v>0</v>
          </cell>
        </row>
        <row r="6452">
          <cell r="I6452">
            <v>0</v>
          </cell>
        </row>
        <row r="6453">
          <cell r="I6453">
            <v>0</v>
          </cell>
        </row>
        <row r="6454">
          <cell r="I6454">
            <v>0</v>
          </cell>
        </row>
        <row r="6455">
          <cell r="I6455">
            <v>0</v>
          </cell>
        </row>
        <row r="6456">
          <cell r="I6456">
            <v>0</v>
          </cell>
        </row>
        <row r="6457">
          <cell r="I6457">
            <v>0</v>
          </cell>
        </row>
        <row r="6458">
          <cell r="I6458">
            <v>0</v>
          </cell>
        </row>
        <row r="6459">
          <cell r="I6459">
            <v>0</v>
          </cell>
        </row>
        <row r="6460">
          <cell r="I6460">
            <v>0</v>
          </cell>
        </row>
        <row r="6461">
          <cell r="I6461">
            <v>0</v>
          </cell>
        </row>
        <row r="6462">
          <cell r="I6462">
            <v>0</v>
          </cell>
        </row>
        <row r="6463">
          <cell r="I6463">
            <v>0</v>
          </cell>
        </row>
        <row r="6464">
          <cell r="I6464">
            <v>0</v>
          </cell>
        </row>
        <row r="6465">
          <cell r="I6465">
            <v>0</v>
          </cell>
        </row>
        <row r="6466">
          <cell r="I6466">
            <v>0</v>
          </cell>
        </row>
        <row r="6467">
          <cell r="I6467">
            <v>0</v>
          </cell>
        </row>
        <row r="6468">
          <cell r="I6468">
            <v>0</v>
          </cell>
        </row>
        <row r="6469">
          <cell r="I6469">
            <v>0</v>
          </cell>
        </row>
        <row r="6470">
          <cell r="I6470">
            <v>0</v>
          </cell>
        </row>
        <row r="6471">
          <cell r="I6471">
            <v>0</v>
          </cell>
        </row>
        <row r="6472">
          <cell r="I6472">
            <v>0</v>
          </cell>
        </row>
        <row r="6473">
          <cell r="I6473">
            <v>0</v>
          </cell>
        </row>
        <row r="6474">
          <cell r="I6474">
            <v>0</v>
          </cell>
        </row>
        <row r="6475">
          <cell r="I6475">
            <v>0</v>
          </cell>
        </row>
        <row r="6476">
          <cell r="I6476">
            <v>0</v>
          </cell>
        </row>
        <row r="6477">
          <cell r="I6477">
            <v>0</v>
          </cell>
        </row>
        <row r="6478">
          <cell r="I6478">
            <v>0</v>
          </cell>
        </row>
        <row r="6479">
          <cell r="I6479">
            <v>0</v>
          </cell>
        </row>
        <row r="6480">
          <cell r="I6480">
            <v>0</v>
          </cell>
        </row>
        <row r="6481">
          <cell r="I6481">
            <v>0</v>
          </cell>
        </row>
        <row r="6482">
          <cell r="I6482">
            <v>0</v>
          </cell>
        </row>
        <row r="6483">
          <cell r="I6483">
            <v>0</v>
          </cell>
        </row>
        <row r="6484">
          <cell r="I6484">
            <v>0</v>
          </cell>
        </row>
        <row r="6485">
          <cell r="I6485">
            <v>0</v>
          </cell>
        </row>
        <row r="6486">
          <cell r="I6486">
            <v>0</v>
          </cell>
        </row>
        <row r="6487">
          <cell r="I6487">
            <v>0</v>
          </cell>
        </row>
        <row r="6488">
          <cell r="I6488">
            <v>0</v>
          </cell>
        </row>
        <row r="6489">
          <cell r="I6489">
            <v>0</v>
          </cell>
        </row>
        <row r="6490">
          <cell r="I6490">
            <v>0</v>
          </cell>
        </row>
        <row r="6491">
          <cell r="I6491">
            <v>0</v>
          </cell>
        </row>
        <row r="6492">
          <cell r="I6492">
            <v>0</v>
          </cell>
        </row>
        <row r="6493">
          <cell r="I6493">
            <v>0</v>
          </cell>
        </row>
        <row r="6494">
          <cell r="I6494">
            <v>0</v>
          </cell>
        </row>
        <row r="6495">
          <cell r="I6495">
            <v>0</v>
          </cell>
        </row>
        <row r="6496">
          <cell r="I6496">
            <v>0</v>
          </cell>
        </row>
        <row r="6497">
          <cell r="I6497">
            <v>0</v>
          </cell>
        </row>
        <row r="6498">
          <cell r="I6498">
            <v>0</v>
          </cell>
        </row>
        <row r="6499">
          <cell r="I6499">
            <v>0</v>
          </cell>
        </row>
        <row r="6500">
          <cell r="I6500">
            <v>0</v>
          </cell>
        </row>
        <row r="6501">
          <cell r="I6501">
            <v>0</v>
          </cell>
        </row>
        <row r="6502">
          <cell r="I6502">
            <v>0</v>
          </cell>
        </row>
        <row r="6503">
          <cell r="I6503">
            <v>0</v>
          </cell>
        </row>
        <row r="6504">
          <cell r="I6504">
            <v>0</v>
          </cell>
        </row>
        <row r="6505">
          <cell r="I6505">
            <v>0</v>
          </cell>
        </row>
        <row r="6506">
          <cell r="I6506">
            <v>0</v>
          </cell>
        </row>
        <row r="6507">
          <cell r="I6507">
            <v>0</v>
          </cell>
        </row>
        <row r="6508">
          <cell r="I6508">
            <v>0</v>
          </cell>
        </row>
        <row r="6509">
          <cell r="I6509">
            <v>0</v>
          </cell>
        </row>
        <row r="6510">
          <cell r="I6510">
            <v>0</v>
          </cell>
        </row>
        <row r="6511">
          <cell r="I6511">
            <v>0</v>
          </cell>
        </row>
        <row r="6512">
          <cell r="I6512">
            <v>0</v>
          </cell>
        </row>
        <row r="6513">
          <cell r="I6513">
            <v>0</v>
          </cell>
        </row>
        <row r="6514">
          <cell r="I6514">
            <v>0</v>
          </cell>
        </row>
        <row r="6515">
          <cell r="I6515">
            <v>0</v>
          </cell>
        </row>
        <row r="6516">
          <cell r="I6516">
            <v>0</v>
          </cell>
        </row>
        <row r="6517">
          <cell r="I6517">
            <v>0</v>
          </cell>
        </row>
        <row r="6518">
          <cell r="I6518">
            <v>0</v>
          </cell>
        </row>
        <row r="6519">
          <cell r="I6519">
            <v>0</v>
          </cell>
        </row>
        <row r="6520">
          <cell r="I6520">
            <v>0</v>
          </cell>
        </row>
        <row r="6521">
          <cell r="I6521">
            <v>0</v>
          </cell>
        </row>
        <row r="6522">
          <cell r="I6522">
            <v>0</v>
          </cell>
        </row>
        <row r="6523">
          <cell r="I6523">
            <v>0</v>
          </cell>
        </row>
        <row r="6524">
          <cell r="I6524">
            <v>0</v>
          </cell>
        </row>
        <row r="6525">
          <cell r="I6525">
            <v>0</v>
          </cell>
        </row>
        <row r="6526">
          <cell r="I6526">
            <v>0</v>
          </cell>
        </row>
        <row r="6527">
          <cell r="I6527">
            <v>0</v>
          </cell>
        </row>
        <row r="6528">
          <cell r="I6528">
            <v>0</v>
          </cell>
        </row>
        <row r="6529">
          <cell r="I6529">
            <v>0</v>
          </cell>
        </row>
        <row r="6530">
          <cell r="I6530">
            <v>0</v>
          </cell>
        </row>
        <row r="6531">
          <cell r="I6531">
            <v>0</v>
          </cell>
        </row>
        <row r="6532">
          <cell r="I6532">
            <v>0</v>
          </cell>
        </row>
        <row r="6533">
          <cell r="I6533">
            <v>0</v>
          </cell>
        </row>
        <row r="6534">
          <cell r="I6534">
            <v>0</v>
          </cell>
        </row>
        <row r="6535">
          <cell r="I6535">
            <v>0</v>
          </cell>
        </row>
        <row r="6536">
          <cell r="I6536">
            <v>0</v>
          </cell>
        </row>
        <row r="6537">
          <cell r="I6537">
            <v>0</v>
          </cell>
        </row>
        <row r="6538">
          <cell r="I6538">
            <v>0</v>
          </cell>
        </row>
        <row r="6539">
          <cell r="I6539">
            <v>0</v>
          </cell>
        </row>
        <row r="6540">
          <cell r="I6540">
            <v>0</v>
          </cell>
        </row>
        <row r="6541">
          <cell r="I6541">
            <v>0</v>
          </cell>
        </row>
        <row r="6542">
          <cell r="I6542">
            <v>0</v>
          </cell>
        </row>
        <row r="6543">
          <cell r="I6543">
            <v>0</v>
          </cell>
        </row>
        <row r="6544">
          <cell r="I6544">
            <v>0</v>
          </cell>
        </row>
        <row r="6545">
          <cell r="I6545">
            <v>0</v>
          </cell>
        </row>
        <row r="6546">
          <cell r="I6546">
            <v>0</v>
          </cell>
        </row>
        <row r="6547">
          <cell r="I6547">
            <v>0</v>
          </cell>
        </row>
        <row r="6548">
          <cell r="I6548">
            <v>0</v>
          </cell>
        </row>
        <row r="6549">
          <cell r="I6549">
            <v>0</v>
          </cell>
        </row>
        <row r="6550">
          <cell r="I6550">
            <v>0</v>
          </cell>
        </row>
        <row r="6551">
          <cell r="I6551">
            <v>0</v>
          </cell>
        </row>
        <row r="6552">
          <cell r="I6552">
            <v>0</v>
          </cell>
        </row>
        <row r="6553">
          <cell r="I6553">
            <v>0</v>
          </cell>
        </row>
        <row r="6554">
          <cell r="I6554">
            <v>0</v>
          </cell>
        </row>
        <row r="6555">
          <cell r="I6555">
            <v>0</v>
          </cell>
        </row>
        <row r="6556">
          <cell r="I6556">
            <v>0</v>
          </cell>
        </row>
        <row r="6557">
          <cell r="I6557">
            <v>0</v>
          </cell>
        </row>
        <row r="6558">
          <cell r="I6558">
            <v>0</v>
          </cell>
        </row>
        <row r="6559">
          <cell r="I6559">
            <v>0</v>
          </cell>
        </row>
        <row r="6560">
          <cell r="I6560">
            <v>0</v>
          </cell>
        </row>
        <row r="6561">
          <cell r="I6561">
            <v>0</v>
          </cell>
        </row>
        <row r="6562">
          <cell r="I6562">
            <v>0</v>
          </cell>
        </row>
        <row r="6563">
          <cell r="I6563">
            <v>0</v>
          </cell>
        </row>
        <row r="6564">
          <cell r="I6564">
            <v>0</v>
          </cell>
        </row>
        <row r="6565">
          <cell r="I6565">
            <v>0</v>
          </cell>
        </row>
        <row r="6566">
          <cell r="I6566">
            <v>0</v>
          </cell>
        </row>
        <row r="6567">
          <cell r="I6567">
            <v>0</v>
          </cell>
        </row>
        <row r="6568">
          <cell r="I6568">
            <v>0</v>
          </cell>
        </row>
        <row r="6569">
          <cell r="I6569">
            <v>0</v>
          </cell>
        </row>
        <row r="6570">
          <cell r="I6570">
            <v>0</v>
          </cell>
        </row>
        <row r="6571">
          <cell r="I6571">
            <v>0</v>
          </cell>
        </row>
        <row r="6572">
          <cell r="I6572">
            <v>0</v>
          </cell>
        </row>
        <row r="6573">
          <cell r="I6573">
            <v>0</v>
          </cell>
        </row>
        <row r="6574">
          <cell r="I6574">
            <v>0</v>
          </cell>
        </row>
        <row r="6575">
          <cell r="I6575">
            <v>0</v>
          </cell>
        </row>
        <row r="6576">
          <cell r="I6576">
            <v>0</v>
          </cell>
        </row>
        <row r="6577">
          <cell r="I6577">
            <v>0</v>
          </cell>
        </row>
        <row r="6578">
          <cell r="I6578">
            <v>0</v>
          </cell>
        </row>
        <row r="6579">
          <cell r="I6579">
            <v>0</v>
          </cell>
        </row>
        <row r="6580">
          <cell r="I6580">
            <v>0</v>
          </cell>
        </row>
        <row r="6581">
          <cell r="I6581">
            <v>0</v>
          </cell>
        </row>
        <row r="6582">
          <cell r="I6582">
            <v>0</v>
          </cell>
        </row>
        <row r="6583">
          <cell r="I6583">
            <v>0</v>
          </cell>
        </row>
        <row r="6584">
          <cell r="I6584">
            <v>0</v>
          </cell>
        </row>
        <row r="6585">
          <cell r="I6585">
            <v>0</v>
          </cell>
        </row>
        <row r="6586">
          <cell r="I6586">
            <v>0</v>
          </cell>
        </row>
        <row r="6587">
          <cell r="I6587">
            <v>0</v>
          </cell>
        </row>
        <row r="6588">
          <cell r="I6588">
            <v>0</v>
          </cell>
        </row>
        <row r="6589">
          <cell r="I6589">
            <v>0</v>
          </cell>
        </row>
        <row r="6590">
          <cell r="I6590">
            <v>0</v>
          </cell>
        </row>
        <row r="6591">
          <cell r="I6591">
            <v>0</v>
          </cell>
        </row>
        <row r="6592">
          <cell r="I6592">
            <v>0</v>
          </cell>
        </row>
        <row r="6593">
          <cell r="I6593">
            <v>0</v>
          </cell>
        </row>
        <row r="6594">
          <cell r="I6594">
            <v>0</v>
          </cell>
        </row>
        <row r="6595">
          <cell r="I6595">
            <v>0</v>
          </cell>
        </row>
        <row r="6596">
          <cell r="I6596">
            <v>0</v>
          </cell>
        </row>
        <row r="6597">
          <cell r="I6597">
            <v>0</v>
          </cell>
        </row>
        <row r="6598">
          <cell r="I6598">
            <v>0</v>
          </cell>
        </row>
        <row r="6599">
          <cell r="I6599">
            <v>0</v>
          </cell>
        </row>
        <row r="6600">
          <cell r="I6600">
            <v>0</v>
          </cell>
        </row>
        <row r="6601">
          <cell r="I6601">
            <v>0</v>
          </cell>
        </row>
        <row r="6602">
          <cell r="I6602">
            <v>0</v>
          </cell>
        </row>
        <row r="6603">
          <cell r="I6603">
            <v>0</v>
          </cell>
        </row>
        <row r="6604">
          <cell r="I6604">
            <v>0</v>
          </cell>
        </row>
        <row r="6605">
          <cell r="I6605">
            <v>0</v>
          </cell>
        </row>
        <row r="6606">
          <cell r="I6606">
            <v>0</v>
          </cell>
        </row>
        <row r="6607">
          <cell r="I6607">
            <v>0</v>
          </cell>
        </row>
        <row r="6608">
          <cell r="I6608">
            <v>0</v>
          </cell>
        </row>
        <row r="6609">
          <cell r="I6609">
            <v>0</v>
          </cell>
        </row>
        <row r="6610">
          <cell r="I6610">
            <v>0</v>
          </cell>
        </row>
        <row r="6611">
          <cell r="I6611">
            <v>0</v>
          </cell>
        </row>
        <row r="6612">
          <cell r="I6612">
            <v>0</v>
          </cell>
        </row>
        <row r="6613">
          <cell r="I6613">
            <v>0</v>
          </cell>
        </row>
        <row r="6614">
          <cell r="I6614">
            <v>0</v>
          </cell>
        </row>
        <row r="6615">
          <cell r="I6615">
            <v>0</v>
          </cell>
        </row>
        <row r="6616">
          <cell r="I6616">
            <v>0</v>
          </cell>
        </row>
        <row r="6617">
          <cell r="I6617">
            <v>0</v>
          </cell>
        </row>
        <row r="6618">
          <cell r="I6618">
            <v>0</v>
          </cell>
        </row>
        <row r="6619">
          <cell r="I6619">
            <v>0</v>
          </cell>
        </row>
        <row r="6620">
          <cell r="I6620">
            <v>0</v>
          </cell>
        </row>
        <row r="6621">
          <cell r="I6621">
            <v>0</v>
          </cell>
        </row>
        <row r="6622">
          <cell r="I6622">
            <v>0</v>
          </cell>
        </row>
        <row r="6623">
          <cell r="I6623">
            <v>0</v>
          </cell>
        </row>
        <row r="6624">
          <cell r="I6624">
            <v>0</v>
          </cell>
        </row>
        <row r="6625">
          <cell r="I6625">
            <v>0</v>
          </cell>
        </row>
        <row r="6626">
          <cell r="I6626">
            <v>0</v>
          </cell>
        </row>
        <row r="6627">
          <cell r="I6627">
            <v>0</v>
          </cell>
        </row>
        <row r="6628">
          <cell r="I6628">
            <v>0</v>
          </cell>
        </row>
        <row r="6629">
          <cell r="I6629">
            <v>0</v>
          </cell>
        </row>
        <row r="6630">
          <cell r="I6630">
            <v>0</v>
          </cell>
        </row>
        <row r="6631">
          <cell r="I6631">
            <v>0</v>
          </cell>
        </row>
        <row r="6632">
          <cell r="I6632">
            <v>0</v>
          </cell>
        </row>
        <row r="6633">
          <cell r="I6633">
            <v>0</v>
          </cell>
        </row>
        <row r="6634">
          <cell r="I6634">
            <v>0</v>
          </cell>
        </row>
        <row r="6635">
          <cell r="I6635">
            <v>0</v>
          </cell>
        </row>
        <row r="6636">
          <cell r="I6636">
            <v>0</v>
          </cell>
        </row>
        <row r="6637">
          <cell r="I6637">
            <v>0</v>
          </cell>
        </row>
        <row r="6638">
          <cell r="I6638">
            <v>0</v>
          </cell>
        </row>
        <row r="6639">
          <cell r="I6639">
            <v>0</v>
          </cell>
        </row>
        <row r="6640">
          <cell r="I6640">
            <v>0</v>
          </cell>
        </row>
        <row r="6641">
          <cell r="I6641">
            <v>0</v>
          </cell>
        </row>
        <row r="6642">
          <cell r="I6642">
            <v>0</v>
          </cell>
        </row>
        <row r="6643">
          <cell r="I6643">
            <v>0</v>
          </cell>
        </row>
        <row r="6644">
          <cell r="I6644">
            <v>0</v>
          </cell>
        </row>
        <row r="6645">
          <cell r="I6645">
            <v>0</v>
          </cell>
        </row>
        <row r="6646">
          <cell r="I6646">
            <v>0</v>
          </cell>
        </row>
        <row r="6647">
          <cell r="I6647">
            <v>0</v>
          </cell>
        </row>
        <row r="6648">
          <cell r="I6648">
            <v>0</v>
          </cell>
        </row>
        <row r="6649">
          <cell r="I6649">
            <v>0</v>
          </cell>
        </row>
        <row r="6650">
          <cell r="I6650">
            <v>0</v>
          </cell>
        </row>
        <row r="6651">
          <cell r="I6651">
            <v>0</v>
          </cell>
        </row>
        <row r="6652">
          <cell r="I6652">
            <v>0</v>
          </cell>
        </row>
        <row r="6653">
          <cell r="I6653">
            <v>0</v>
          </cell>
        </row>
        <row r="6654">
          <cell r="I6654">
            <v>0</v>
          </cell>
        </row>
        <row r="6655">
          <cell r="I6655">
            <v>0</v>
          </cell>
        </row>
        <row r="6656">
          <cell r="I6656">
            <v>0</v>
          </cell>
        </row>
        <row r="6657">
          <cell r="I6657">
            <v>0</v>
          </cell>
        </row>
        <row r="6658">
          <cell r="I6658">
            <v>0</v>
          </cell>
        </row>
        <row r="6659">
          <cell r="I6659">
            <v>0</v>
          </cell>
        </row>
        <row r="6660">
          <cell r="I6660">
            <v>0</v>
          </cell>
        </row>
        <row r="6661">
          <cell r="I6661">
            <v>0</v>
          </cell>
        </row>
        <row r="6662">
          <cell r="I6662">
            <v>0</v>
          </cell>
        </row>
        <row r="6663">
          <cell r="I6663">
            <v>0</v>
          </cell>
        </row>
        <row r="6664">
          <cell r="I6664">
            <v>0</v>
          </cell>
        </row>
        <row r="6665">
          <cell r="I6665">
            <v>0</v>
          </cell>
        </row>
        <row r="6666">
          <cell r="I6666">
            <v>0</v>
          </cell>
        </row>
        <row r="6667">
          <cell r="I6667">
            <v>0</v>
          </cell>
        </row>
        <row r="6668">
          <cell r="I6668">
            <v>0</v>
          </cell>
        </row>
        <row r="6669">
          <cell r="I6669">
            <v>0</v>
          </cell>
        </row>
        <row r="6670">
          <cell r="I6670">
            <v>0</v>
          </cell>
        </row>
        <row r="6671">
          <cell r="I6671">
            <v>0</v>
          </cell>
        </row>
        <row r="6672">
          <cell r="I6672">
            <v>0</v>
          </cell>
        </row>
        <row r="6673">
          <cell r="I6673">
            <v>0</v>
          </cell>
        </row>
        <row r="6674">
          <cell r="I6674">
            <v>0</v>
          </cell>
        </row>
        <row r="6675">
          <cell r="I6675">
            <v>0</v>
          </cell>
        </row>
        <row r="6676">
          <cell r="I6676">
            <v>0</v>
          </cell>
        </row>
        <row r="6677">
          <cell r="I6677">
            <v>0</v>
          </cell>
        </row>
        <row r="6678">
          <cell r="I6678">
            <v>0</v>
          </cell>
        </row>
        <row r="6679">
          <cell r="I6679">
            <v>0</v>
          </cell>
        </row>
        <row r="6680">
          <cell r="I6680">
            <v>0</v>
          </cell>
        </row>
        <row r="6681">
          <cell r="I6681">
            <v>0</v>
          </cell>
        </row>
        <row r="6682">
          <cell r="I6682">
            <v>0</v>
          </cell>
        </row>
        <row r="6683">
          <cell r="I6683">
            <v>0</v>
          </cell>
        </row>
        <row r="6684">
          <cell r="I6684">
            <v>0</v>
          </cell>
        </row>
        <row r="6685">
          <cell r="I6685">
            <v>0</v>
          </cell>
        </row>
        <row r="6686">
          <cell r="I6686">
            <v>0</v>
          </cell>
        </row>
        <row r="6687">
          <cell r="I6687">
            <v>0</v>
          </cell>
        </row>
        <row r="6688">
          <cell r="I6688">
            <v>0</v>
          </cell>
        </row>
        <row r="6689">
          <cell r="I6689">
            <v>0</v>
          </cell>
        </row>
        <row r="6690">
          <cell r="I6690">
            <v>0</v>
          </cell>
        </row>
        <row r="6691">
          <cell r="I6691">
            <v>0</v>
          </cell>
        </row>
        <row r="6692">
          <cell r="I6692">
            <v>0</v>
          </cell>
        </row>
        <row r="6693">
          <cell r="I6693">
            <v>0</v>
          </cell>
        </row>
        <row r="6694">
          <cell r="I6694">
            <v>0</v>
          </cell>
        </row>
        <row r="6695">
          <cell r="I6695">
            <v>0</v>
          </cell>
        </row>
        <row r="6696">
          <cell r="I6696">
            <v>0</v>
          </cell>
        </row>
        <row r="6697">
          <cell r="I6697">
            <v>0</v>
          </cell>
        </row>
        <row r="6698">
          <cell r="I6698">
            <v>0</v>
          </cell>
        </row>
        <row r="6699">
          <cell r="I6699">
            <v>0</v>
          </cell>
        </row>
        <row r="6700">
          <cell r="I6700">
            <v>0</v>
          </cell>
        </row>
        <row r="6701">
          <cell r="I6701">
            <v>0</v>
          </cell>
        </row>
        <row r="6702">
          <cell r="I6702">
            <v>0</v>
          </cell>
        </row>
        <row r="6703">
          <cell r="I6703">
            <v>0</v>
          </cell>
        </row>
        <row r="6704">
          <cell r="I6704">
            <v>0</v>
          </cell>
        </row>
        <row r="6705">
          <cell r="I6705">
            <v>0</v>
          </cell>
        </row>
        <row r="6706">
          <cell r="I6706">
            <v>0</v>
          </cell>
        </row>
        <row r="6707">
          <cell r="I6707">
            <v>0</v>
          </cell>
        </row>
        <row r="6708">
          <cell r="I6708">
            <v>0</v>
          </cell>
        </row>
        <row r="6709">
          <cell r="I6709">
            <v>0</v>
          </cell>
        </row>
        <row r="6710">
          <cell r="I6710">
            <v>0</v>
          </cell>
        </row>
        <row r="6711">
          <cell r="I6711">
            <v>0</v>
          </cell>
        </row>
        <row r="6712">
          <cell r="I6712">
            <v>0</v>
          </cell>
        </row>
        <row r="6713">
          <cell r="I6713">
            <v>0</v>
          </cell>
        </row>
        <row r="6714">
          <cell r="I6714">
            <v>0</v>
          </cell>
        </row>
        <row r="6715">
          <cell r="I6715">
            <v>0</v>
          </cell>
        </row>
        <row r="6716">
          <cell r="I6716">
            <v>0</v>
          </cell>
        </row>
        <row r="6717">
          <cell r="I6717">
            <v>0</v>
          </cell>
        </row>
        <row r="6718">
          <cell r="I6718">
            <v>0</v>
          </cell>
        </row>
        <row r="6719">
          <cell r="I6719">
            <v>0</v>
          </cell>
        </row>
        <row r="6720">
          <cell r="I6720">
            <v>0</v>
          </cell>
        </row>
        <row r="6721">
          <cell r="I6721">
            <v>0</v>
          </cell>
        </row>
        <row r="6722">
          <cell r="I6722">
            <v>0</v>
          </cell>
        </row>
        <row r="6723">
          <cell r="I6723">
            <v>0</v>
          </cell>
        </row>
        <row r="6724">
          <cell r="I6724">
            <v>0</v>
          </cell>
        </row>
        <row r="6725">
          <cell r="I6725">
            <v>0</v>
          </cell>
        </row>
        <row r="6726">
          <cell r="I6726">
            <v>0</v>
          </cell>
        </row>
        <row r="6727">
          <cell r="I6727">
            <v>0</v>
          </cell>
        </row>
        <row r="6728">
          <cell r="I6728">
            <v>0</v>
          </cell>
        </row>
        <row r="6729">
          <cell r="I6729">
            <v>0</v>
          </cell>
        </row>
        <row r="6730">
          <cell r="I6730">
            <v>0</v>
          </cell>
        </row>
        <row r="6731">
          <cell r="I6731">
            <v>0</v>
          </cell>
        </row>
        <row r="6732">
          <cell r="I6732">
            <v>0</v>
          </cell>
        </row>
        <row r="6733">
          <cell r="I6733">
            <v>0</v>
          </cell>
        </row>
        <row r="6734">
          <cell r="I6734">
            <v>0</v>
          </cell>
        </row>
        <row r="6735">
          <cell r="I6735">
            <v>0</v>
          </cell>
        </row>
        <row r="6736">
          <cell r="I6736">
            <v>0</v>
          </cell>
        </row>
        <row r="6737">
          <cell r="I6737">
            <v>0</v>
          </cell>
        </row>
        <row r="6738">
          <cell r="I6738">
            <v>0</v>
          </cell>
        </row>
        <row r="6739">
          <cell r="I6739">
            <v>0</v>
          </cell>
        </row>
        <row r="6740">
          <cell r="I6740">
            <v>0</v>
          </cell>
        </row>
        <row r="6741">
          <cell r="I6741">
            <v>0</v>
          </cell>
        </row>
        <row r="6742">
          <cell r="I6742">
            <v>0</v>
          </cell>
        </row>
        <row r="6743">
          <cell r="I6743">
            <v>0</v>
          </cell>
        </row>
        <row r="6744">
          <cell r="I6744">
            <v>0</v>
          </cell>
        </row>
        <row r="6745">
          <cell r="I6745">
            <v>0</v>
          </cell>
        </row>
        <row r="6746">
          <cell r="I6746">
            <v>0</v>
          </cell>
        </row>
        <row r="6747">
          <cell r="I6747">
            <v>0</v>
          </cell>
        </row>
        <row r="6748">
          <cell r="I6748">
            <v>0</v>
          </cell>
        </row>
        <row r="6749">
          <cell r="I6749">
            <v>0</v>
          </cell>
        </row>
        <row r="6750">
          <cell r="I6750">
            <v>0</v>
          </cell>
        </row>
        <row r="6751">
          <cell r="I6751">
            <v>0</v>
          </cell>
        </row>
        <row r="6752">
          <cell r="I6752">
            <v>0</v>
          </cell>
        </row>
        <row r="6753">
          <cell r="I6753">
            <v>0</v>
          </cell>
        </row>
        <row r="6754">
          <cell r="I6754">
            <v>0</v>
          </cell>
        </row>
        <row r="6755">
          <cell r="I6755">
            <v>0</v>
          </cell>
        </row>
        <row r="6756">
          <cell r="I6756">
            <v>0</v>
          </cell>
        </row>
        <row r="6757">
          <cell r="I6757">
            <v>0</v>
          </cell>
        </row>
        <row r="6758">
          <cell r="I6758">
            <v>0</v>
          </cell>
        </row>
        <row r="6759">
          <cell r="I6759">
            <v>0</v>
          </cell>
        </row>
        <row r="6760">
          <cell r="I6760">
            <v>0</v>
          </cell>
        </row>
        <row r="6761">
          <cell r="I6761">
            <v>0</v>
          </cell>
        </row>
        <row r="6762">
          <cell r="I6762">
            <v>0</v>
          </cell>
        </row>
        <row r="6763">
          <cell r="I6763">
            <v>0</v>
          </cell>
        </row>
        <row r="6764">
          <cell r="I6764">
            <v>0</v>
          </cell>
        </row>
        <row r="6765">
          <cell r="I6765">
            <v>0</v>
          </cell>
        </row>
        <row r="6766">
          <cell r="I6766">
            <v>0</v>
          </cell>
        </row>
        <row r="6767">
          <cell r="I6767">
            <v>0</v>
          </cell>
        </row>
        <row r="6768">
          <cell r="I6768">
            <v>0</v>
          </cell>
        </row>
        <row r="6769">
          <cell r="I6769">
            <v>0</v>
          </cell>
        </row>
        <row r="6770">
          <cell r="I6770">
            <v>0</v>
          </cell>
        </row>
        <row r="6771">
          <cell r="I6771">
            <v>0</v>
          </cell>
        </row>
        <row r="6772">
          <cell r="I6772">
            <v>0</v>
          </cell>
        </row>
        <row r="6773">
          <cell r="I6773">
            <v>0</v>
          </cell>
        </row>
        <row r="6774">
          <cell r="I6774">
            <v>0</v>
          </cell>
        </row>
        <row r="6775">
          <cell r="I6775">
            <v>0</v>
          </cell>
        </row>
        <row r="6776">
          <cell r="I6776">
            <v>0</v>
          </cell>
        </row>
        <row r="6777">
          <cell r="I6777">
            <v>0</v>
          </cell>
        </row>
        <row r="6778">
          <cell r="I6778">
            <v>0</v>
          </cell>
        </row>
        <row r="6779">
          <cell r="I6779">
            <v>0</v>
          </cell>
        </row>
        <row r="6780">
          <cell r="I6780">
            <v>0</v>
          </cell>
        </row>
        <row r="6781">
          <cell r="I6781">
            <v>0</v>
          </cell>
        </row>
        <row r="6782">
          <cell r="I6782">
            <v>0</v>
          </cell>
        </row>
        <row r="6783">
          <cell r="I6783">
            <v>0</v>
          </cell>
        </row>
        <row r="6784">
          <cell r="I6784">
            <v>0</v>
          </cell>
        </row>
        <row r="6785">
          <cell r="I6785">
            <v>0</v>
          </cell>
        </row>
        <row r="6786">
          <cell r="I6786">
            <v>0</v>
          </cell>
        </row>
        <row r="6787">
          <cell r="I6787">
            <v>0</v>
          </cell>
        </row>
        <row r="6788">
          <cell r="I6788">
            <v>0</v>
          </cell>
        </row>
        <row r="6789">
          <cell r="I6789">
            <v>0</v>
          </cell>
        </row>
        <row r="6790">
          <cell r="I6790">
            <v>0</v>
          </cell>
        </row>
        <row r="6791">
          <cell r="I6791">
            <v>0</v>
          </cell>
        </row>
        <row r="6792">
          <cell r="I6792">
            <v>0</v>
          </cell>
        </row>
        <row r="6793">
          <cell r="I6793">
            <v>0</v>
          </cell>
        </row>
        <row r="6794">
          <cell r="I6794">
            <v>0</v>
          </cell>
        </row>
        <row r="6795">
          <cell r="I6795">
            <v>0</v>
          </cell>
        </row>
        <row r="6796">
          <cell r="I6796">
            <v>0</v>
          </cell>
        </row>
        <row r="6797">
          <cell r="I6797">
            <v>0</v>
          </cell>
        </row>
        <row r="6798">
          <cell r="I6798">
            <v>0</v>
          </cell>
        </row>
        <row r="6799">
          <cell r="I6799">
            <v>0</v>
          </cell>
        </row>
        <row r="6800">
          <cell r="I6800">
            <v>0</v>
          </cell>
        </row>
        <row r="6801">
          <cell r="I6801">
            <v>0</v>
          </cell>
        </row>
        <row r="6802">
          <cell r="I6802">
            <v>0</v>
          </cell>
        </row>
        <row r="6803">
          <cell r="I6803">
            <v>0</v>
          </cell>
        </row>
        <row r="6804">
          <cell r="I6804">
            <v>0</v>
          </cell>
        </row>
        <row r="6805">
          <cell r="I6805">
            <v>0</v>
          </cell>
        </row>
        <row r="6806">
          <cell r="I6806">
            <v>0</v>
          </cell>
        </row>
        <row r="6807">
          <cell r="I6807">
            <v>0</v>
          </cell>
        </row>
        <row r="6808">
          <cell r="I6808">
            <v>0</v>
          </cell>
        </row>
        <row r="6809">
          <cell r="I6809">
            <v>0</v>
          </cell>
        </row>
        <row r="6810">
          <cell r="I6810">
            <v>0</v>
          </cell>
        </row>
        <row r="6811">
          <cell r="I6811">
            <v>0</v>
          </cell>
        </row>
        <row r="6812">
          <cell r="I6812">
            <v>0</v>
          </cell>
        </row>
        <row r="6813">
          <cell r="I6813">
            <v>0</v>
          </cell>
        </row>
        <row r="6814">
          <cell r="I6814">
            <v>0</v>
          </cell>
        </row>
        <row r="6815">
          <cell r="I6815">
            <v>0</v>
          </cell>
        </row>
        <row r="6816">
          <cell r="I6816">
            <v>0</v>
          </cell>
        </row>
        <row r="6817">
          <cell r="I6817">
            <v>0</v>
          </cell>
        </row>
        <row r="6818">
          <cell r="I6818">
            <v>0</v>
          </cell>
        </row>
        <row r="6819">
          <cell r="I6819">
            <v>0</v>
          </cell>
        </row>
        <row r="6820">
          <cell r="I6820">
            <v>0</v>
          </cell>
        </row>
        <row r="6821">
          <cell r="I6821">
            <v>0</v>
          </cell>
        </row>
        <row r="6822">
          <cell r="I6822">
            <v>0</v>
          </cell>
        </row>
        <row r="6823">
          <cell r="I6823">
            <v>0</v>
          </cell>
        </row>
        <row r="6824">
          <cell r="I6824">
            <v>0</v>
          </cell>
        </row>
        <row r="6825">
          <cell r="I6825">
            <v>0</v>
          </cell>
        </row>
        <row r="6826">
          <cell r="I6826">
            <v>0</v>
          </cell>
        </row>
        <row r="6827">
          <cell r="I6827">
            <v>0</v>
          </cell>
        </row>
        <row r="6828">
          <cell r="I6828">
            <v>0</v>
          </cell>
        </row>
        <row r="6829">
          <cell r="I6829">
            <v>0</v>
          </cell>
        </row>
        <row r="6830">
          <cell r="I6830">
            <v>0</v>
          </cell>
        </row>
        <row r="6831">
          <cell r="I6831">
            <v>0</v>
          </cell>
        </row>
        <row r="6832">
          <cell r="I6832">
            <v>0</v>
          </cell>
        </row>
        <row r="6833">
          <cell r="I6833">
            <v>0</v>
          </cell>
        </row>
        <row r="6834">
          <cell r="I6834">
            <v>0</v>
          </cell>
        </row>
        <row r="6835">
          <cell r="I6835">
            <v>0</v>
          </cell>
        </row>
        <row r="6836">
          <cell r="I6836">
            <v>0</v>
          </cell>
        </row>
        <row r="6837">
          <cell r="I6837">
            <v>0</v>
          </cell>
        </row>
        <row r="6838">
          <cell r="I6838">
            <v>0</v>
          </cell>
        </row>
        <row r="6839">
          <cell r="I6839">
            <v>0</v>
          </cell>
        </row>
        <row r="6840">
          <cell r="I6840">
            <v>0</v>
          </cell>
        </row>
        <row r="6841">
          <cell r="I6841">
            <v>0</v>
          </cell>
        </row>
        <row r="6842">
          <cell r="I6842">
            <v>0</v>
          </cell>
        </row>
        <row r="6843">
          <cell r="I6843">
            <v>0</v>
          </cell>
        </row>
        <row r="6844">
          <cell r="I6844">
            <v>0</v>
          </cell>
        </row>
        <row r="6845">
          <cell r="I6845">
            <v>0</v>
          </cell>
        </row>
        <row r="6846">
          <cell r="I6846">
            <v>0</v>
          </cell>
        </row>
        <row r="6847">
          <cell r="I6847">
            <v>0</v>
          </cell>
        </row>
        <row r="6848">
          <cell r="I6848">
            <v>0</v>
          </cell>
        </row>
        <row r="6849">
          <cell r="I6849">
            <v>0</v>
          </cell>
        </row>
        <row r="6850">
          <cell r="I6850">
            <v>0</v>
          </cell>
        </row>
        <row r="6851">
          <cell r="I6851">
            <v>0</v>
          </cell>
        </row>
        <row r="6852">
          <cell r="I6852">
            <v>0</v>
          </cell>
        </row>
        <row r="6853">
          <cell r="I6853">
            <v>0</v>
          </cell>
        </row>
        <row r="6854">
          <cell r="I6854">
            <v>0</v>
          </cell>
        </row>
        <row r="6855">
          <cell r="I6855">
            <v>0</v>
          </cell>
        </row>
        <row r="6856">
          <cell r="I6856">
            <v>0</v>
          </cell>
        </row>
        <row r="6857">
          <cell r="I6857">
            <v>0</v>
          </cell>
        </row>
        <row r="6858">
          <cell r="I6858">
            <v>0</v>
          </cell>
        </row>
        <row r="6859">
          <cell r="I6859">
            <v>0</v>
          </cell>
        </row>
        <row r="6860">
          <cell r="I6860">
            <v>0</v>
          </cell>
        </row>
        <row r="6861">
          <cell r="I6861">
            <v>0</v>
          </cell>
        </row>
        <row r="6862">
          <cell r="I6862">
            <v>0</v>
          </cell>
        </row>
        <row r="6863">
          <cell r="I6863">
            <v>0</v>
          </cell>
        </row>
        <row r="6864">
          <cell r="I6864">
            <v>0</v>
          </cell>
        </row>
        <row r="6865">
          <cell r="I6865">
            <v>0</v>
          </cell>
        </row>
        <row r="6866">
          <cell r="I6866">
            <v>0</v>
          </cell>
        </row>
        <row r="6867">
          <cell r="I6867">
            <v>0</v>
          </cell>
        </row>
        <row r="6868">
          <cell r="I6868">
            <v>0</v>
          </cell>
        </row>
        <row r="6869">
          <cell r="I6869">
            <v>0</v>
          </cell>
        </row>
        <row r="6870">
          <cell r="I6870">
            <v>0</v>
          </cell>
        </row>
        <row r="6871">
          <cell r="I6871">
            <v>0</v>
          </cell>
        </row>
        <row r="6872">
          <cell r="I6872">
            <v>0</v>
          </cell>
        </row>
        <row r="6873">
          <cell r="I6873">
            <v>0</v>
          </cell>
        </row>
        <row r="6874">
          <cell r="I6874">
            <v>0</v>
          </cell>
        </row>
        <row r="6875">
          <cell r="I6875">
            <v>0</v>
          </cell>
        </row>
        <row r="6876">
          <cell r="I6876">
            <v>0</v>
          </cell>
        </row>
        <row r="6877">
          <cell r="I6877">
            <v>0</v>
          </cell>
        </row>
        <row r="6878">
          <cell r="I6878">
            <v>0</v>
          </cell>
        </row>
        <row r="6879">
          <cell r="I6879">
            <v>0</v>
          </cell>
        </row>
        <row r="6880">
          <cell r="I6880">
            <v>0</v>
          </cell>
        </row>
        <row r="6881">
          <cell r="I6881">
            <v>0</v>
          </cell>
        </row>
        <row r="6882">
          <cell r="I6882">
            <v>0</v>
          </cell>
        </row>
        <row r="6883">
          <cell r="I6883">
            <v>0</v>
          </cell>
        </row>
        <row r="6884">
          <cell r="I6884">
            <v>0</v>
          </cell>
        </row>
        <row r="6885">
          <cell r="I6885">
            <v>0</v>
          </cell>
        </row>
        <row r="6886">
          <cell r="I6886">
            <v>0</v>
          </cell>
        </row>
        <row r="6887">
          <cell r="I6887">
            <v>0</v>
          </cell>
        </row>
        <row r="6888">
          <cell r="I6888">
            <v>0</v>
          </cell>
        </row>
        <row r="6889">
          <cell r="I6889">
            <v>0</v>
          </cell>
        </row>
        <row r="6890">
          <cell r="I6890">
            <v>0</v>
          </cell>
        </row>
        <row r="6891">
          <cell r="I6891">
            <v>0</v>
          </cell>
        </row>
        <row r="6892">
          <cell r="I6892">
            <v>0</v>
          </cell>
        </row>
        <row r="6893">
          <cell r="I6893">
            <v>0</v>
          </cell>
        </row>
        <row r="6894">
          <cell r="I6894">
            <v>0</v>
          </cell>
        </row>
        <row r="6895">
          <cell r="I6895">
            <v>0</v>
          </cell>
        </row>
        <row r="6896">
          <cell r="I6896">
            <v>0</v>
          </cell>
        </row>
        <row r="6897">
          <cell r="I6897">
            <v>0</v>
          </cell>
        </row>
        <row r="6898">
          <cell r="I6898">
            <v>0</v>
          </cell>
        </row>
        <row r="6899">
          <cell r="I6899">
            <v>0</v>
          </cell>
        </row>
        <row r="6900">
          <cell r="I6900">
            <v>0</v>
          </cell>
        </row>
        <row r="6901">
          <cell r="I6901">
            <v>0</v>
          </cell>
        </row>
        <row r="6902">
          <cell r="I6902">
            <v>0</v>
          </cell>
        </row>
        <row r="6903">
          <cell r="I6903">
            <v>0</v>
          </cell>
        </row>
        <row r="6904">
          <cell r="I6904">
            <v>0</v>
          </cell>
        </row>
        <row r="6905">
          <cell r="I6905">
            <v>0</v>
          </cell>
        </row>
        <row r="6906">
          <cell r="I6906">
            <v>0</v>
          </cell>
        </row>
        <row r="6907">
          <cell r="I6907">
            <v>0</v>
          </cell>
        </row>
        <row r="6908">
          <cell r="I6908">
            <v>0</v>
          </cell>
        </row>
        <row r="6909">
          <cell r="I6909">
            <v>0</v>
          </cell>
        </row>
        <row r="6910">
          <cell r="I6910">
            <v>0</v>
          </cell>
        </row>
        <row r="6911">
          <cell r="I6911">
            <v>0</v>
          </cell>
        </row>
        <row r="6912">
          <cell r="I6912">
            <v>0</v>
          </cell>
        </row>
        <row r="6913">
          <cell r="I6913">
            <v>0</v>
          </cell>
        </row>
        <row r="6914">
          <cell r="I6914">
            <v>0</v>
          </cell>
        </row>
        <row r="6915">
          <cell r="I6915">
            <v>0</v>
          </cell>
        </row>
        <row r="6916">
          <cell r="I6916">
            <v>0</v>
          </cell>
        </row>
        <row r="6917">
          <cell r="I6917">
            <v>0</v>
          </cell>
        </row>
        <row r="6918">
          <cell r="I6918">
            <v>0</v>
          </cell>
        </row>
        <row r="6919">
          <cell r="I6919">
            <v>0</v>
          </cell>
        </row>
        <row r="6920">
          <cell r="I6920">
            <v>0</v>
          </cell>
        </row>
        <row r="6921">
          <cell r="I6921">
            <v>0</v>
          </cell>
        </row>
        <row r="6922">
          <cell r="I6922">
            <v>0</v>
          </cell>
        </row>
        <row r="6923">
          <cell r="I6923">
            <v>0</v>
          </cell>
        </row>
        <row r="6924">
          <cell r="I6924">
            <v>0</v>
          </cell>
        </row>
        <row r="6925">
          <cell r="I6925">
            <v>0</v>
          </cell>
        </row>
        <row r="6926">
          <cell r="I6926">
            <v>0</v>
          </cell>
        </row>
        <row r="6927">
          <cell r="I6927">
            <v>0</v>
          </cell>
        </row>
        <row r="6928">
          <cell r="I6928">
            <v>0</v>
          </cell>
        </row>
        <row r="6929">
          <cell r="I6929">
            <v>0</v>
          </cell>
        </row>
        <row r="6930">
          <cell r="I6930">
            <v>0</v>
          </cell>
        </row>
        <row r="6931">
          <cell r="I6931">
            <v>0</v>
          </cell>
        </row>
        <row r="6932">
          <cell r="I6932">
            <v>0</v>
          </cell>
        </row>
        <row r="6933">
          <cell r="I6933">
            <v>0</v>
          </cell>
        </row>
        <row r="6934">
          <cell r="I6934">
            <v>0</v>
          </cell>
        </row>
        <row r="6935">
          <cell r="I6935">
            <v>0</v>
          </cell>
        </row>
        <row r="6936">
          <cell r="I6936">
            <v>0</v>
          </cell>
        </row>
        <row r="6937">
          <cell r="I6937">
            <v>0</v>
          </cell>
        </row>
        <row r="6938">
          <cell r="I6938">
            <v>0</v>
          </cell>
        </row>
        <row r="6939">
          <cell r="I6939">
            <v>0</v>
          </cell>
        </row>
        <row r="6940">
          <cell r="I6940">
            <v>0</v>
          </cell>
        </row>
        <row r="6941">
          <cell r="I6941">
            <v>0</v>
          </cell>
        </row>
        <row r="6942">
          <cell r="I6942">
            <v>0</v>
          </cell>
        </row>
        <row r="6943">
          <cell r="I6943">
            <v>0</v>
          </cell>
        </row>
        <row r="6944">
          <cell r="I6944">
            <v>0</v>
          </cell>
        </row>
        <row r="6945">
          <cell r="I6945">
            <v>0</v>
          </cell>
        </row>
        <row r="6946">
          <cell r="I6946">
            <v>0</v>
          </cell>
        </row>
        <row r="6947">
          <cell r="I6947">
            <v>0</v>
          </cell>
        </row>
        <row r="6948">
          <cell r="I6948">
            <v>0</v>
          </cell>
        </row>
        <row r="6949">
          <cell r="I6949">
            <v>0</v>
          </cell>
        </row>
        <row r="6950">
          <cell r="I6950">
            <v>0</v>
          </cell>
        </row>
        <row r="6951">
          <cell r="I6951">
            <v>0</v>
          </cell>
        </row>
        <row r="6952">
          <cell r="I6952">
            <v>0</v>
          </cell>
        </row>
        <row r="6953">
          <cell r="I6953">
            <v>0</v>
          </cell>
        </row>
        <row r="6954">
          <cell r="I6954">
            <v>0</v>
          </cell>
        </row>
        <row r="6955">
          <cell r="I6955">
            <v>0</v>
          </cell>
        </row>
        <row r="6956">
          <cell r="I6956">
            <v>0</v>
          </cell>
        </row>
        <row r="6957">
          <cell r="I6957">
            <v>0</v>
          </cell>
        </row>
        <row r="6958">
          <cell r="I6958">
            <v>0</v>
          </cell>
        </row>
        <row r="6959">
          <cell r="I6959">
            <v>0</v>
          </cell>
        </row>
        <row r="6960">
          <cell r="I6960">
            <v>0</v>
          </cell>
        </row>
        <row r="6961">
          <cell r="I6961">
            <v>0</v>
          </cell>
        </row>
        <row r="6962">
          <cell r="I6962">
            <v>0</v>
          </cell>
        </row>
        <row r="6963">
          <cell r="I6963">
            <v>0</v>
          </cell>
        </row>
        <row r="6964">
          <cell r="I6964">
            <v>0</v>
          </cell>
        </row>
        <row r="6965">
          <cell r="I6965">
            <v>0</v>
          </cell>
        </row>
        <row r="6966">
          <cell r="I6966">
            <v>0</v>
          </cell>
        </row>
        <row r="6967">
          <cell r="I6967">
            <v>0</v>
          </cell>
        </row>
        <row r="6968">
          <cell r="I6968">
            <v>0</v>
          </cell>
        </row>
        <row r="6969">
          <cell r="I6969">
            <v>0</v>
          </cell>
        </row>
        <row r="6970">
          <cell r="I6970">
            <v>0</v>
          </cell>
        </row>
        <row r="6971">
          <cell r="I6971">
            <v>0</v>
          </cell>
        </row>
        <row r="6972">
          <cell r="I6972">
            <v>0</v>
          </cell>
        </row>
        <row r="6973">
          <cell r="I6973">
            <v>0</v>
          </cell>
        </row>
        <row r="6974">
          <cell r="I6974">
            <v>0</v>
          </cell>
        </row>
        <row r="6975">
          <cell r="I6975">
            <v>0</v>
          </cell>
        </row>
        <row r="6976">
          <cell r="I6976">
            <v>0</v>
          </cell>
        </row>
        <row r="6977">
          <cell r="I6977">
            <v>0</v>
          </cell>
        </row>
        <row r="6978">
          <cell r="I6978">
            <v>0</v>
          </cell>
        </row>
        <row r="6979">
          <cell r="I6979">
            <v>0</v>
          </cell>
        </row>
        <row r="6980">
          <cell r="I6980">
            <v>0</v>
          </cell>
        </row>
        <row r="6981">
          <cell r="I6981">
            <v>0</v>
          </cell>
        </row>
        <row r="6982">
          <cell r="I6982">
            <v>0</v>
          </cell>
        </row>
        <row r="6983">
          <cell r="I6983">
            <v>0</v>
          </cell>
        </row>
        <row r="6984">
          <cell r="I6984">
            <v>0</v>
          </cell>
        </row>
        <row r="6985">
          <cell r="I6985">
            <v>0</v>
          </cell>
        </row>
        <row r="6986">
          <cell r="I6986">
            <v>0</v>
          </cell>
        </row>
        <row r="6987">
          <cell r="I6987">
            <v>0</v>
          </cell>
        </row>
        <row r="6988">
          <cell r="I6988">
            <v>0</v>
          </cell>
        </row>
        <row r="6989">
          <cell r="I6989">
            <v>0</v>
          </cell>
        </row>
        <row r="6990">
          <cell r="I6990">
            <v>0</v>
          </cell>
        </row>
        <row r="6991">
          <cell r="I6991">
            <v>0</v>
          </cell>
        </row>
        <row r="6992">
          <cell r="I6992">
            <v>0</v>
          </cell>
        </row>
        <row r="6993">
          <cell r="I6993">
            <v>0</v>
          </cell>
        </row>
        <row r="6994">
          <cell r="I6994">
            <v>0</v>
          </cell>
        </row>
        <row r="6995">
          <cell r="I6995">
            <v>0</v>
          </cell>
        </row>
        <row r="6996">
          <cell r="I6996">
            <v>0</v>
          </cell>
        </row>
        <row r="6997">
          <cell r="I6997">
            <v>0</v>
          </cell>
        </row>
        <row r="6998">
          <cell r="I6998">
            <v>0</v>
          </cell>
        </row>
        <row r="6999">
          <cell r="I6999">
            <v>0</v>
          </cell>
        </row>
        <row r="7000">
          <cell r="I7000">
            <v>0</v>
          </cell>
        </row>
        <row r="7001">
          <cell r="I7001">
            <v>0</v>
          </cell>
        </row>
        <row r="7002">
          <cell r="I7002">
            <v>0</v>
          </cell>
        </row>
        <row r="7003">
          <cell r="I7003">
            <v>0</v>
          </cell>
        </row>
        <row r="7004">
          <cell r="I7004">
            <v>0</v>
          </cell>
        </row>
        <row r="7005">
          <cell r="I7005">
            <v>0</v>
          </cell>
        </row>
        <row r="7006">
          <cell r="I7006">
            <v>0</v>
          </cell>
        </row>
        <row r="7007">
          <cell r="I7007">
            <v>0</v>
          </cell>
        </row>
        <row r="7008">
          <cell r="I7008">
            <v>0</v>
          </cell>
        </row>
        <row r="7009">
          <cell r="I7009">
            <v>0</v>
          </cell>
        </row>
        <row r="7010">
          <cell r="I7010">
            <v>0</v>
          </cell>
        </row>
        <row r="7011">
          <cell r="I7011">
            <v>0</v>
          </cell>
        </row>
        <row r="7012">
          <cell r="I7012">
            <v>0</v>
          </cell>
        </row>
        <row r="7013">
          <cell r="I7013">
            <v>0</v>
          </cell>
        </row>
        <row r="7014">
          <cell r="I7014">
            <v>0</v>
          </cell>
        </row>
        <row r="7015">
          <cell r="I7015">
            <v>0</v>
          </cell>
        </row>
        <row r="7016">
          <cell r="I7016">
            <v>0</v>
          </cell>
        </row>
        <row r="7017">
          <cell r="I7017">
            <v>0</v>
          </cell>
        </row>
        <row r="7018">
          <cell r="I7018">
            <v>0</v>
          </cell>
        </row>
        <row r="7019">
          <cell r="I7019">
            <v>0</v>
          </cell>
        </row>
        <row r="7020">
          <cell r="I7020">
            <v>0</v>
          </cell>
        </row>
        <row r="7021">
          <cell r="I7021">
            <v>0</v>
          </cell>
        </row>
        <row r="7022">
          <cell r="I7022">
            <v>0</v>
          </cell>
        </row>
        <row r="7023">
          <cell r="I7023">
            <v>0</v>
          </cell>
        </row>
        <row r="7024">
          <cell r="I7024">
            <v>0</v>
          </cell>
        </row>
        <row r="7025">
          <cell r="I7025">
            <v>0</v>
          </cell>
        </row>
        <row r="7026">
          <cell r="I7026">
            <v>0</v>
          </cell>
        </row>
        <row r="7027">
          <cell r="I7027">
            <v>0</v>
          </cell>
        </row>
        <row r="7028">
          <cell r="I7028">
            <v>0</v>
          </cell>
        </row>
        <row r="7029">
          <cell r="I7029">
            <v>0</v>
          </cell>
        </row>
        <row r="7030">
          <cell r="I7030">
            <v>0</v>
          </cell>
        </row>
        <row r="7031">
          <cell r="I7031">
            <v>0</v>
          </cell>
        </row>
        <row r="7032">
          <cell r="I7032">
            <v>0</v>
          </cell>
        </row>
        <row r="7033">
          <cell r="I7033">
            <v>0</v>
          </cell>
        </row>
        <row r="7034">
          <cell r="I7034">
            <v>0</v>
          </cell>
        </row>
        <row r="7035">
          <cell r="I7035">
            <v>0</v>
          </cell>
        </row>
        <row r="7036">
          <cell r="I7036">
            <v>0</v>
          </cell>
        </row>
        <row r="7037">
          <cell r="I7037">
            <v>0</v>
          </cell>
        </row>
        <row r="7038">
          <cell r="I7038">
            <v>0</v>
          </cell>
        </row>
        <row r="7039">
          <cell r="I7039">
            <v>0</v>
          </cell>
        </row>
        <row r="7040">
          <cell r="I7040">
            <v>0</v>
          </cell>
        </row>
        <row r="7041">
          <cell r="I7041">
            <v>0</v>
          </cell>
        </row>
        <row r="7042">
          <cell r="I7042">
            <v>0</v>
          </cell>
        </row>
        <row r="7043">
          <cell r="I7043">
            <v>0</v>
          </cell>
        </row>
        <row r="7044">
          <cell r="I7044">
            <v>0</v>
          </cell>
        </row>
        <row r="7045">
          <cell r="I7045">
            <v>0</v>
          </cell>
        </row>
        <row r="7046">
          <cell r="I7046">
            <v>0</v>
          </cell>
        </row>
        <row r="7047">
          <cell r="I7047">
            <v>0</v>
          </cell>
        </row>
        <row r="7048">
          <cell r="I7048">
            <v>0</v>
          </cell>
        </row>
        <row r="7049">
          <cell r="I7049">
            <v>0</v>
          </cell>
        </row>
        <row r="7050">
          <cell r="I7050">
            <v>0</v>
          </cell>
        </row>
        <row r="7051">
          <cell r="I7051">
            <v>0</v>
          </cell>
        </row>
        <row r="7052">
          <cell r="I7052">
            <v>0</v>
          </cell>
        </row>
        <row r="7053">
          <cell r="I7053">
            <v>0</v>
          </cell>
        </row>
        <row r="7054">
          <cell r="I7054">
            <v>0</v>
          </cell>
        </row>
        <row r="7055">
          <cell r="I7055">
            <v>0</v>
          </cell>
        </row>
        <row r="7056">
          <cell r="I7056">
            <v>0</v>
          </cell>
        </row>
        <row r="7057">
          <cell r="I7057">
            <v>0</v>
          </cell>
        </row>
        <row r="7058">
          <cell r="I7058">
            <v>0</v>
          </cell>
        </row>
        <row r="7059">
          <cell r="I7059">
            <v>0</v>
          </cell>
        </row>
        <row r="7060">
          <cell r="I7060">
            <v>0</v>
          </cell>
        </row>
        <row r="7061">
          <cell r="I7061">
            <v>0</v>
          </cell>
        </row>
        <row r="7062">
          <cell r="I7062">
            <v>0</v>
          </cell>
        </row>
        <row r="7063">
          <cell r="I7063">
            <v>0</v>
          </cell>
        </row>
        <row r="7064">
          <cell r="I7064">
            <v>0</v>
          </cell>
        </row>
        <row r="7065">
          <cell r="I7065">
            <v>0</v>
          </cell>
        </row>
        <row r="7066">
          <cell r="I7066">
            <v>0</v>
          </cell>
        </row>
        <row r="7067">
          <cell r="I7067">
            <v>0</v>
          </cell>
        </row>
        <row r="7068">
          <cell r="I7068">
            <v>0</v>
          </cell>
        </row>
        <row r="7069">
          <cell r="I7069">
            <v>0</v>
          </cell>
        </row>
        <row r="7070">
          <cell r="I7070">
            <v>0</v>
          </cell>
        </row>
        <row r="7071">
          <cell r="I7071">
            <v>0</v>
          </cell>
        </row>
        <row r="7072">
          <cell r="I7072">
            <v>0</v>
          </cell>
        </row>
        <row r="7073">
          <cell r="I7073">
            <v>0</v>
          </cell>
        </row>
        <row r="7074">
          <cell r="I7074">
            <v>0</v>
          </cell>
        </row>
        <row r="7075">
          <cell r="I7075">
            <v>0</v>
          </cell>
        </row>
        <row r="7076">
          <cell r="I7076">
            <v>0</v>
          </cell>
        </row>
        <row r="7077">
          <cell r="I7077">
            <v>0</v>
          </cell>
        </row>
        <row r="7078">
          <cell r="I7078">
            <v>0</v>
          </cell>
        </row>
        <row r="7079">
          <cell r="I7079">
            <v>0</v>
          </cell>
        </row>
        <row r="7080">
          <cell r="I7080">
            <v>0</v>
          </cell>
        </row>
        <row r="7081">
          <cell r="I7081">
            <v>0</v>
          </cell>
        </row>
        <row r="7082">
          <cell r="I7082">
            <v>0</v>
          </cell>
        </row>
        <row r="7083">
          <cell r="I7083">
            <v>0</v>
          </cell>
        </row>
        <row r="7084">
          <cell r="I7084">
            <v>0</v>
          </cell>
        </row>
        <row r="7085">
          <cell r="I7085">
            <v>0</v>
          </cell>
        </row>
        <row r="7086">
          <cell r="I7086">
            <v>0</v>
          </cell>
        </row>
        <row r="7087">
          <cell r="I7087">
            <v>0</v>
          </cell>
        </row>
        <row r="7088">
          <cell r="I7088">
            <v>0</v>
          </cell>
        </row>
        <row r="7089">
          <cell r="I7089">
            <v>0</v>
          </cell>
        </row>
        <row r="7090">
          <cell r="I7090">
            <v>0</v>
          </cell>
        </row>
        <row r="7091">
          <cell r="I7091">
            <v>0</v>
          </cell>
        </row>
        <row r="7092">
          <cell r="I7092">
            <v>0</v>
          </cell>
        </row>
        <row r="7093">
          <cell r="I7093">
            <v>0</v>
          </cell>
        </row>
        <row r="7094">
          <cell r="I7094">
            <v>0</v>
          </cell>
        </row>
        <row r="7095">
          <cell r="I7095">
            <v>0</v>
          </cell>
        </row>
        <row r="7096">
          <cell r="I7096">
            <v>0</v>
          </cell>
        </row>
        <row r="7097">
          <cell r="I7097">
            <v>0</v>
          </cell>
        </row>
        <row r="7098">
          <cell r="I7098">
            <v>0</v>
          </cell>
        </row>
        <row r="7099">
          <cell r="I7099">
            <v>0</v>
          </cell>
        </row>
        <row r="7100">
          <cell r="I7100">
            <v>0</v>
          </cell>
        </row>
        <row r="7101">
          <cell r="I7101">
            <v>0</v>
          </cell>
        </row>
        <row r="7102">
          <cell r="I7102">
            <v>0</v>
          </cell>
        </row>
        <row r="7103">
          <cell r="I7103">
            <v>0</v>
          </cell>
        </row>
        <row r="7104">
          <cell r="I7104">
            <v>0</v>
          </cell>
        </row>
        <row r="7105">
          <cell r="I7105">
            <v>0</v>
          </cell>
        </row>
        <row r="7106">
          <cell r="I7106">
            <v>0</v>
          </cell>
        </row>
        <row r="7107">
          <cell r="I7107">
            <v>0</v>
          </cell>
        </row>
        <row r="7108">
          <cell r="I7108">
            <v>0</v>
          </cell>
        </row>
        <row r="7109">
          <cell r="I7109">
            <v>0</v>
          </cell>
        </row>
        <row r="7110">
          <cell r="I7110">
            <v>0</v>
          </cell>
        </row>
        <row r="7111">
          <cell r="I7111">
            <v>0</v>
          </cell>
        </row>
        <row r="7112">
          <cell r="I7112">
            <v>0</v>
          </cell>
        </row>
        <row r="7113">
          <cell r="I7113">
            <v>0</v>
          </cell>
        </row>
        <row r="7114">
          <cell r="I7114">
            <v>0</v>
          </cell>
        </row>
        <row r="7115">
          <cell r="I7115">
            <v>0</v>
          </cell>
        </row>
        <row r="7116">
          <cell r="I7116">
            <v>0</v>
          </cell>
        </row>
        <row r="7117">
          <cell r="I7117">
            <v>0</v>
          </cell>
        </row>
        <row r="7118">
          <cell r="I7118">
            <v>0</v>
          </cell>
        </row>
        <row r="7119">
          <cell r="I7119">
            <v>0</v>
          </cell>
        </row>
        <row r="7120">
          <cell r="I7120">
            <v>0</v>
          </cell>
        </row>
        <row r="7121">
          <cell r="I7121">
            <v>0</v>
          </cell>
        </row>
        <row r="7122">
          <cell r="I7122">
            <v>0</v>
          </cell>
        </row>
        <row r="7123">
          <cell r="I7123">
            <v>0</v>
          </cell>
        </row>
        <row r="7124">
          <cell r="I7124">
            <v>0</v>
          </cell>
        </row>
        <row r="7125">
          <cell r="I7125">
            <v>0</v>
          </cell>
        </row>
        <row r="7126">
          <cell r="I7126">
            <v>0</v>
          </cell>
        </row>
        <row r="7127">
          <cell r="I7127">
            <v>0</v>
          </cell>
        </row>
        <row r="7128">
          <cell r="I7128">
            <v>0</v>
          </cell>
        </row>
        <row r="7129">
          <cell r="I7129">
            <v>0</v>
          </cell>
        </row>
        <row r="7130">
          <cell r="I7130">
            <v>0</v>
          </cell>
        </row>
        <row r="7131">
          <cell r="I7131">
            <v>0</v>
          </cell>
        </row>
        <row r="7132">
          <cell r="I7132">
            <v>0</v>
          </cell>
        </row>
        <row r="7133">
          <cell r="I7133">
            <v>0</v>
          </cell>
        </row>
        <row r="7134">
          <cell r="I7134">
            <v>0</v>
          </cell>
        </row>
        <row r="7135">
          <cell r="I7135">
            <v>0</v>
          </cell>
        </row>
        <row r="7136">
          <cell r="I7136">
            <v>0</v>
          </cell>
        </row>
        <row r="7137">
          <cell r="I7137">
            <v>0</v>
          </cell>
        </row>
        <row r="7138">
          <cell r="I7138">
            <v>0</v>
          </cell>
        </row>
        <row r="7139">
          <cell r="I7139">
            <v>0</v>
          </cell>
        </row>
        <row r="7140">
          <cell r="I7140">
            <v>0</v>
          </cell>
        </row>
        <row r="7141">
          <cell r="I7141">
            <v>0</v>
          </cell>
        </row>
        <row r="7142">
          <cell r="I7142">
            <v>0</v>
          </cell>
        </row>
        <row r="7143">
          <cell r="I7143">
            <v>0</v>
          </cell>
        </row>
        <row r="7144">
          <cell r="I7144">
            <v>0</v>
          </cell>
        </row>
        <row r="7145">
          <cell r="I7145">
            <v>0</v>
          </cell>
        </row>
        <row r="7146">
          <cell r="I7146">
            <v>0</v>
          </cell>
        </row>
        <row r="7147">
          <cell r="I7147">
            <v>0</v>
          </cell>
        </row>
        <row r="7148">
          <cell r="I7148">
            <v>0</v>
          </cell>
        </row>
        <row r="7149">
          <cell r="I7149">
            <v>0</v>
          </cell>
        </row>
        <row r="7150">
          <cell r="I7150">
            <v>0</v>
          </cell>
        </row>
        <row r="7151">
          <cell r="I7151">
            <v>0</v>
          </cell>
        </row>
        <row r="7152">
          <cell r="I7152">
            <v>0</v>
          </cell>
        </row>
        <row r="7153">
          <cell r="I7153">
            <v>0</v>
          </cell>
        </row>
        <row r="7154">
          <cell r="I7154">
            <v>0</v>
          </cell>
        </row>
        <row r="7155">
          <cell r="I7155">
            <v>0</v>
          </cell>
        </row>
        <row r="7156">
          <cell r="I7156">
            <v>0</v>
          </cell>
        </row>
        <row r="7157">
          <cell r="I7157">
            <v>0</v>
          </cell>
        </row>
        <row r="7158">
          <cell r="I7158">
            <v>0</v>
          </cell>
        </row>
        <row r="7159">
          <cell r="I7159">
            <v>0</v>
          </cell>
        </row>
        <row r="7160">
          <cell r="I7160">
            <v>0</v>
          </cell>
        </row>
        <row r="7161">
          <cell r="I7161">
            <v>0</v>
          </cell>
        </row>
        <row r="7162">
          <cell r="I7162">
            <v>0</v>
          </cell>
        </row>
        <row r="7163">
          <cell r="I7163">
            <v>0</v>
          </cell>
        </row>
        <row r="7164">
          <cell r="I7164">
            <v>0</v>
          </cell>
        </row>
        <row r="7165">
          <cell r="I7165">
            <v>0</v>
          </cell>
        </row>
        <row r="7166">
          <cell r="I7166">
            <v>0</v>
          </cell>
        </row>
        <row r="7167">
          <cell r="I7167">
            <v>0</v>
          </cell>
        </row>
        <row r="7168">
          <cell r="I7168">
            <v>0</v>
          </cell>
        </row>
        <row r="7169">
          <cell r="I7169">
            <v>0</v>
          </cell>
        </row>
        <row r="7170">
          <cell r="I7170">
            <v>0</v>
          </cell>
        </row>
        <row r="7171">
          <cell r="I7171">
            <v>0</v>
          </cell>
        </row>
        <row r="7172">
          <cell r="I7172">
            <v>0</v>
          </cell>
        </row>
        <row r="7173">
          <cell r="I7173">
            <v>0</v>
          </cell>
        </row>
        <row r="7174">
          <cell r="I7174">
            <v>0</v>
          </cell>
        </row>
        <row r="7175">
          <cell r="I7175">
            <v>0</v>
          </cell>
        </row>
        <row r="7176">
          <cell r="I7176">
            <v>0</v>
          </cell>
        </row>
        <row r="7177">
          <cell r="I7177">
            <v>0</v>
          </cell>
        </row>
        <row r="7178">
          <cell r="I7178">
            <v>0</v>
          </cell>
        </row>
        <row r="7179">
          <cell r="I7179">
            <v>0</v>
          </cell>
        </row>
        <row r="7180">
          <cell r="I7180">
            <v>0</v>
          </cell>
        </row>
        <row r="7181">
          <cell r="I7181">
            <v>0</v>
          </cell>
        </row>
        <row r="7182">
          <cell r="I7182">
            <v>0</v>
          </cell>
        </row>
        <row r="7183">
          <cell r="I7183">
            <v>0</v>
          </cell>
        </row>
        <row r="7184">
          <cell r="I7184">
            <v>0</v>
          </cell>
        </row>
        <row r="7185">
          <cell r="I7185">
            <v>0</v>
          </cell>
        </row>
        <row r="7186">
          <cell r="I7186">
            <v>0</v>
          </cell>
        </row>
        <row r="7187">
          <cell r="I7187">
            <v>0</v>
          </cell>
        </row>
        <row r="7188">
          <cell r="I7188">
            <v>0</v>
          </cell>
        </row>
        <row r="7189">
          <cell r="I7189">
            <v>0</v>
          </cell>
        </row>
        <row r="7190">
          <cell r="I7190">
            <v>0</v>
          </cell>
        </row>
        <row r="7191">
          <cell r="I7191">
            <v>0</v>
          </cell>
        </row>
        <row r="7192">
          <cell r="I7192">
            <v>0</v>
          </cell>
        </row>
        <row r="7193">
          <cell r="I7193">
            <v>0</v>
          </cell>
        </row>
        <row r="7194">
          <cell r="I7194">
            <v>0</v>
          </cell>
        </row>
        <row r="7195">
          <cell r="I7195">
            <v>0</v>
          </cell>
        </row>
        <row r="7196">
          <cell r="I7196">
            <v>0</v>
          </cell>
        </row>
        <row r="7197">
          <cell r="I7197">
            <v>0</v>
          </cell>
        </row>
        <row r="7198">
          <cell r="I7198">
            <v>0</v>
          </cell>
        </row>
        <row r="7199">
          <cell r="I7199">
            <v>0</v>
          </cell>
        </row>
        <row r="7200">
          <cell r="I7200">
            <v>0</v>
          </cell>
        </row>
        <row r="7201">
          <cell r="I7201">
            <v>0</v>
          </cell>
        </row>
        <row r="7202">
          <cell r="I7202">
            <v>0</v>
          </cell>
        </row>
        <row r="7203">
          <cell r="I7203">
            <v>0</v>
          </cell>
        </row>
        <row r="7204">
          <cell r="I7204">
            <v>0</v>
          </cell>
        </row>
        <row r="7205">
          <cell r="I7205">
            <v>0</v>
          </cell>
        </row>
        <row r="7206">
          <cell r="I7206">
            <v>0</v>
          </cell>
        </row>
        <row r="7207">
          <cell r="I7207">
            <v>0</v>
          </cell>
        </row>
        <row r="7208">
          <cell r="I7208">
            <v>0</v>
          </cell>
        </row>
        <row r="7209">
          <cell r="I7209">
            <v>0</v>
          </cell>
        </row>
        <row r="7210">
          <cell r="I7210">
            <v>0</v>
          </cell>
        </row>
        <row r="7211">
          <cell r="I7211">
            <v>0</v>
          </cell>
        </row>
        <row r="7212">
          <cell r="I7212">
            <v>0</v>
          </cell>
        </row>
        <row r="7213">
          <cell r="I7213">
            <v>0</v>
          </cell>
        </row>
        <row r="7214">
          <cell r="I7214">
            <v>0</v>
          </cell>
        </row>
        <row r="7215">
          <cell r="I7215">
            <v>0</v>
          </cell>
        </row>
        <row r="7216">
          <cell r="I7216">
            <v>0</v>
          </cell>
        </row>
        <row r="7217">
          <cell r="I7217">
            <v>0</v>
          </cell>
        </row>
        <row r="7218">
          <cell r="I7218">
            <v>0</v>
          </cell>
        </row>
        <row r="7219">
          <cell r="I7219">
            <v>0</v>
          </cell>
        </row>
        <row r="7220">
          <cell r="I7220">
            <v>0</v>
          </cell>
        </row>
        <row r="7221">
          <cell r="I7221">
            <v>0</v>
          </cell>
        </row>
        <row r="7222">
          <cell r="I7222">
            <v>0</v>
          </cell>
        </row>
        <row r="7223">
          <cell r="I7223">
            <v>0</v>
          </cell>
        </row>
        <row r="7224">
          <cell r="I7224">
            <v>0</v>
          </cell>
        </row>
        <row r="7225">
          <cell r="I7225">
            <v>0</v>
          </cell>
        </row>
        <row r="7226">
          <cell r="I7226">
            <v>0</v>
          </cell>
        </row>
        <row r="7227">
          <cell r="I7227">
            <v>0</v>
          </cell>
        </row>
        <row r="7228">
          <cell r="I7228">
            <v>0</v>
          </cell>
        </row>
        <row r="7229">
          <cell r="I7229">
            <v>0</v>
          </cell>
        </row>
        <row r="7230">
          <cell r="I7230">
            <v>0</v>
          </cell>
        </row>
        <row r="7231">
          <cell r="I7231">
            <v>0</v>
          </cell>
        </row>
        <row r="7232">
          <cell r="I7232">
            <v>0</v>
          </cell>
        </row>
        <row r="7233">
          <cell r="I7233">
            <v>0</v>
          </cell>
        </row>
        <row r="7234">
          <cell r="I7234">
            <v>0</v>
          </cell>
        </row>
        <row r="7235">
          <cell r="I7235">
            <v>0</v>
          </cell>
        </row>
        <row r="7236">
          <cell r="I7236">
            <v>0</v>
          </cell>
        </row>
        <row r="7237">
          <cell r="I7237">
            <v>0</v>
          </cell>
        </row>
        <row r="7238">
          <cell r="I7238">
            <v>0</v>
          </cell>
        </row>
        <row r="7239">
          <cell r="I7239">
            <v>0</v>
          </cell>
        </row>
        <row r="7240">
          <cell r="I7240">
            <v>0</v>
          </cell>
        </row>
        <row r="7241">
          <cell r="I7241">
            <v>0</v>
          </cell>
        </row>
        <row r="7242">
          <cell r="I7242">
            <v>0</v>
          </cell>
        </row>
        <row r="7243">
          <cell r="I7243">
            <v>0</v>
          </cell>
        </row>
        <row r="7244">
          <cell r="I7244">
            <v>0</v>
          </cell>
        </row>
        <row r="7245">
          <cell r="I7245">
            <v>0</v>
          </cell>
        </row>
        <row r="7246">
          <cell r="I7246">
            <v>0</v>
          </cell>
        </row>
        <row r="7247">
          <cell r="I7247">
            <v>0</v>
          </cell>
        </row>
        <row r="7248">
          <cell r="I7248">
            <v>0</v>
          </cell>
        </row>
        <row r="7249">
          <cell r="I7249">
            <v>0</v>
          </cell>
        </row>
        <row r="7250">
          <cell r="I7250">
            <v>0</v>
          </cell>
        </row>
        <row r="7251">
          <cell r="I7251">
            <v>0</v>
          </cell>
        </row>
        <row r="7252">
          <cell r="I7252">
            <v>0</v>
          </cell>
        </row>
        <row r="7253">
          <cell r="I7253">
            <v>0</v>
          </cell>
        </row>
        <row r="7254">
          <cell r="I7254">
            <v>0</v>
          </cell>
        </row>
        <row r="7255">
          <cell r="I7255">
            <v>0</v>
          </cell>
        </row>
        <row r="7256">
          <cell r="I7256">
            <v>0</v>
          </cell>
        </row>
        <row r="7257">
          <cell r="I7257">
            <v>0</v>
          </cell>
        </row>
        <row r="7258">
          <cell r="I7258">
            <v>0</v>
          </cell>
        </row>
        <row r="7259">
          <cell r="I7259">
            <v>0</v>
          </cell>
        </row>
        <row r="7260">
          <cell r="I7260">
            <v>0</v>
          </cell>
        </row>
        <row r="7261">
          <cell r="I7261">
            <v>0</v>
          </cell>
        </row>
        <row r="7262">
          <cell r="I7262">
            <v>0</v>
          </cell>
        </row>
        <row r="7263">
          <cell r="I7263">
            <v>0</v>
          </cell>
        </row>
        <row r="7264">
          <cell r="I7264">
            <v>0</v>
          </cell>
        </row>
        <row r="7265">
          <cell r="I7265">
            <v>0</v>
          </cell>
        </row>
        <row r="7266">
          <cell r="I7266">
            <v>0</v>
          </cell>
        </row>
        <row r="7267">
          <cell r="I7267">
            <v>0</v>
          </cell>
        </row>
        <row r="7268">
          <cell r="I7268">
            <v>0</v>
          </cell>
        </row>
        <row r="7269">
          <cell r="I7269">
            <v>0</v>
          </cell>
        </row>
        <row r="7270">
          <cell r="I7270">
            <v>0</v>
          </cell>
        </row>
        <row r="7271">
          <cell r="I7271">
            <v>0</v>
          </cell>
        </row>
        <row r="7272">
          <cell r="I7272">
            <v>0</v>
          </cell>
        </row>
        <row r="7273">
          <cell r="I7273">
            <v>0</v>
          </cell>
        </row>
        <row r="7274">
          <cell r="I7274">
            <v>0</v>
          </cell>
        </row>
        <row r="7275">
          <cell r="I7275">
            <v>0</v>
          </cell>
        </row>
        <row r="7276">
          <cell r="I7276">
            <v>0</v>
          </cell>
        </row>
        <row r="7277">
          <cell r="I7277">
            <v>0</v>
          </cell>
        </row>
        <row r="7278">
          <cell r="I7278">
            <v>0</v>
          </cell>
        </row>
        <row r="7279">
          <cell r="I7279">
            <v>0</v>
          </cell>
        </row>
        <row r="7280">
          <cell r="I7280">
            <v>0</v>
          </cell>
        </row>
        <row r="7281">
          <cell r="I7281">
            <v>0</v>
          </cell>
        </row>
        <row r="7282">
          <cell r="I7282">
            <v>0</v>
          </cell>
        </row>
        <row r="7283">
          <cell r="I7283">
            <v>0</v>
          </cell>
        </row>
        <row r="7284">
          <cell r="I7284">
            <v>0</v>
          </cell>
        </row>
        <row r="7285">
          <cell r="I7285">
            <v>0</v>
          </cell>
        </row>
        <row r="7286">
          <cell r="I7286">
            <v>0</v>
          </cell>
        </row>
        <row r="7287">
          <cell r="I7287">
            <v>0</v>
          </cell>
        </row>
        <row r="7288">
          <cell r="I7288">
            <v>0</v>
          </cell>
        </row>
        <row r="7289">
          <cell r="I7289">
            <v>0</v>
          </cell>
        </row>
        <row r="7290">
          <cell r="I7290">
            <v>0</v>
          </cell>
        </row>
        <row r="7291">
          <cell r="I7291">
            <v>0</v>
          </cell>
        </row>
        <row r="7292">
          <cell r="I7292">
            <v>0</v>
          </cell>
        </row>
        <row r="7293">
          <cell r="I7293">
            <v>0</v>
          </cell>
        </row>
        <row r="7294">
          <cell r="I7294">
            <v>0</v>
          </cell>
        </row>
        <row r="7295">
          <cell r="I7295">
            <v>0</v>
          </cell>
        </row>
        <row r="7296">
          <cell r="I7296">
            <v>0</v>
          </cell>
        </row>
        <row r="7297">
          <cell r="I7297">
            <v>0</v>
          </cell>
        </row>
        <row r="7298">
          <cell r="I7298">
            <v>0</v>
          </cell>
        </row>
        <row r="7299">
          <cell r="I7299">
            <v>0</v>
          </cell>
        </row>
        <row r="7300">
          <cell r="I7300">
            <v>0</v>
          </cell>
        </row>
        <row r="7301">
          <cell r="I7301">
            <v>0</v>
          </cell>
        </row>
        <row r="7302">
          <cell r="I7302">
            <v>0</v>
          </cell>
        </row>
        <row r="7303">
          <cell r="I7303">
            <v>0</v>
          </cell>
        </row>
        <row r="7304">
          <cell r="I7304">
            <v>0</v>
          </cell>
        </row>
        <row r="7305">
          <cell r="I7305">
            <v>0</v>
          </cell>
        </row>
        <row r="7306">
          <cell r="I7306">
            <v>0</v>
          </cell>
        </row>
        <row r="7307">
          <cell r="I7307">
            <v>0</v>
          </cell>
        </row>
        <row r="7308">
          <cell r="I7308">
            <v>0</v>
          </cell>
        </row>
        <row r="7309">
          <cell r="I7309">
            <v>0</v>
          </cell>
        </row>
        <row r="7310">
          <cell r="I7310">
            <v>0</v>
          </cell>
        </row>
        <row r="7311">
          <cell r="I7311">
            <v>0</v>
          </cell>
        </row>
        <row r="7312">
          <cell r="I7312">
            <v>0</v>
          </cell>
        </row>
        <row r="7313">
          <cell r="I7313">
            <v>0</v>
          </cell>
        </row>
        <row r="7314">
          <cell r="I7314">
            <v>0</v>
          </cell>
        </row>
        <row r="7315">
          <cell r="I7315">
            <v>0</v>
          </cell>
        </row>
        <row r="7316">
          <cell r="I7316">
            <v>0</v>
          </cell>
        </row>
        <row r="7317">
          <cell r="I7317">
            <v>0</v>
          </cell>
        </row>
        <row r="7318">
          <cell r="I7318">
            <v>0</v>
          </cell>
        </row>
        <row r="7319">
          <cell r="I7319">
            <v>0</v>
          </cell>
        </row>
        <row r="7320">
          <cell r="I7320">
            <v>0</v>
          </cell>
        </row>
        <row r="7321">
          <cell r="I7321">
            <v>0</v>
          </cell>
        </row>
        <row r="7322">
          <cell r="I7322">
            <v>0</v>
          </cell>
        </row>
        <row r="7323">
          <cell r="I7323">
            <v>0</v>
          </cell>
        </row>
        <row r="7324">
          <cell r="I7324">
            <v>0</v>
          </cell>
        </row>
        <row r="7325">
          <cell r="I7325">
            <v>0</v>
          </cell>
        </row>
        <row r="7326">
          <cell r="I7326">
            <v>0</v>
          </cell>
        </row>
        <row r="7327">
          <cell r="I7327">
            <v>0</v>
          </cell>
        </row>
        <row r="7328">
          <cell r="I7328">
            <v>0</v>
          </cell>
        </row>
        <row r="7329">
          <cell r="I7329">
            <v>0</v>
          </cell>
        </row>
        <row r="7330">
          <cell r="I7330">
            <v>0</v>
          </cell>
        </row>
        <row r="7331">
          <cell r="I7331">
            <v>0</v>
          </cell>
        </row>
        <row r="7332">
          <cell r="I7332">
            <v>0</v>
          </cell>
        </row>
        <row r="7333">
          <cell r="I7333">
            <v>0</v>
          </cell>
        </row>
        <row r="7334">
          <cell r="I7334">
            <v>0</v>
          </cell>
        </row>
        <row r="7335">
          <cell r="I7335">
            <v>0</v>
          </cell>
        </row>
        <row r="7336">
          <cell r="I7336">
            <v>0</v>
          </cell>
        </row>
        <row r="7337">
          <cell r="I7337">
            <v>0</v>
          </cell>
        </row>
        <row r="7338">
          <cell r="I7338">
            <v>0</v>
          </cell>
        </row>
        <row r="7339">
          <cell r="I7339">
            <v>0</v>
          </cell>
        </row>
        <row r="7340">
          <cell r="I7340">
            <v>0</v>
          </cell>
        </row>
        <row r="7341">
          <cell r="I7341">
            <v>0</v>
          </cell>
        </row>
        <row r="7342">
          <cell r="I7342">
            <v>0</v>
          </cell>
        </row>
        <row r="7343">
          <cell r="I7343">
            <v>0</v>
          </cell>
        </row>
        <row r="7344">
          <cell r="I7344">
            <v>0</v>
          </cell>
        </row>
        <row r="7345">
          <cell r="I7345">
            <v>0</v>
          </cell>
        </row>
        <row r="7346">
          <cell r="I7346">
            <v>0</v>
          </cell>
        </row>
        <row r="7347">
          <cell r="I7347">
            <v>0</v>
          </cell>
        </row>
        <row r="7348">
          <cell r="I7348">
            <v>0</v>
          </cell>
        </row>
        <row r="7349">
          <cell r="I7349">
            <v>0</v>
          </cell>
        </row>
        <row r="7350">
          <cell r="I7350">
            <v>0</v>
          </cell>
        </row>
        <row r="7351">
          <cell r="I7351">
            <v>0</v>
          </cell>
        </row>
        <row r="7352">
          <cell r="I7352">
            <v>0</v>
          </cell>
        </row>
        <row r="7353">
          <cell r="I7353">
            <v>0</v>
          </cell>
        </row>
        <row r="7354">
          <cell r="I7354">
            <v>0</v>
          </cell>
        </row>
        <row r="7355">
          <cell r="I7355">
            <v>0</v>
          </cell>
        </row>
        <row r="7356">
          <cell r="I7356">
            <v>0</v>
          </cell>
        </row>
        <row r="7357">
          <cell r="I7357">
            <v>0</v>
          </cell>
        </row>
        <row r="7358">
          <cell r="I7358">
            <v>0</v>
          </cell>
        </row>
        <row r="7359">
          <cell r="I7359">
            <v>0</v>
          </cell>
        </row>
        <row r="7360">
          <cell r="I7360">
            <v>0</v>
          </cell>
        </row>
        <row r="7361">
          <cell r="I7361">
            <v>0</v>
          </cell>
        </row>
        <row r="7362">
          <cell r="I7362">
            <v>0</v>
          </cell>
        </row>
        <row r="7363">
          <cell r="I7363">
            <v>0</v>
          </cell>
        </row>
        <row r="7364">
          <cell r="I7364">
            <v>0</v>
          </cell>
        </row>
        <row r="7365">
          <cell r="I7365">
            <v>0</v>
          </cell>
        </row>
        <row r="7366">
          <cell r="I7366">
            <v>0</v>
          </cell>
        </row>
        <row r="7367">
          <cell r="I7367">
            <v>0</v>
          </cell>
        </row>
        <row r="7368">
          <cell r="I7368">
            <v>0</v>
          </cell>
        </row>
        <row r="7369">
          <cell r="I7369">
            <v>0</v>
          </cell>
        </row>
        <row r="7370">
          <cell r="I7370">
            <v>0</v>
          </cell>
        </row>
        <row r="7371">
          <cell r="I7371">
            <v>0</v>
          </cell>
        </row>
        <row r="7372">
          <cell r="I7372">
            <v>0</v>
          </cell>
        </row>
        <row r="7373">
          <cell r="I7373">
            <v>0</v>
          </cell>
        </row>
        <row r="7374">
          <cell r="I7374">
            <v>0</v>
          </cell>
        </row>
        <row r="7375">
          <cell r="I7375">
            <v>0</v>
          </cell>
        </row>
        <row r="7376">
          <cell r="I7376">
            <v>0</v>
          </cell>
        </row>
        <row r="7377">
          <cell r="I7377">
            <v>0</v>
          </cell>
        </row>
        <row r="7378">
          <cell r="I7378">
            <v>0</v>
          </cell>
        </row>
        <row r="7379">
          <cell r="I7379">
            <v>0</v>
          </cell>
        </row>
        <row r="7380">
          <cell r="I7380">
            <v>0</v>
          </cell>
        </row>
        <row r="7381">
          <cell r="I7381">
            <v>0</v>
          </cell>
        </row>
        <row r="7382">
          <cell r="I7382">
            <v>0</v>
          </cell>
        </row>
        <row r="7383">
          <cell r="I7383">
            <v>0</v>
          </cell>
        </row>
        <row r="7384">
          <cell r="I7384">
            <v>0</v>
          </cell>
        </row>
        <row r="7385">
          <cell r="I7385">
            <v>0</v>
          </cell>
        </row>
        <row r="7386">
          <cell r="I7386">
            <v>0</v>
          </cell>
        </row>
        <row r="7387">
          <cell r="I7387">
            <v>0</v>
          </cell>
        </row>
        <row r="7388">
          <cell r="I7388">
            <v>0</v>
          </cell>
        </row>
        <row r="7389">
          <cell r="I7389">
            <v>0</v>
          </cell>
        </row>
        <row r="7390">
          <cell r="I7390">
            <v>0</v>
          </cell>
        </row>
        <row r="7391">
          <cell r="I7391">
            <v>0</v>
          </cell>
        </row>
        <row r="7392">
          <cell r="I7392">
            <v>0</v>
          </cell>
        </row>
        <row r="7393">
          <cell r="I7393">
            <v>0</v>
          </cell>
        </row>
        <row r="7394">
          <cell r="I7394">
            <v>0</v>
          </cell>
        </row>
        <row r="7395">
          <cell r="I7395">
            <v>0</v>
          </cell>
        </row>
        <row r="7396">
          <cell r="I7396">
            <v>0</v>
          </cell>
        </row>
        <row r="7397">
          <cell r="I7397">
            <v>0</v>
          </cell>
        </row>
        <row r="7398">
          <cell r="I7398">
            <v>0</v>
          </cell>
        </row>
        <row r="7399">
          <cell r="I7399">
            <v>0</v>
          </cell>
        </row>
        <row r="7400">
          <cell r="I7400">
            <v>0</v>
          </cell>
        </row>
        <row r="7401">
          <cell r="I7401">
            <v>0</v>
          </cell>
        </row>
        <row r="7402">
          <cell r="I7402">
            <v>0</v>
          </cell>
        </row>
        <row r="7403">
          <cell r="I7403">
            <v>0</v>
          </cell>
        </row>
        <row r="7404">
          <cell r="I7404">
            <v>0</v>
          </cell>
        </row>
        <row r="7405">
          <cell r="I7405">
            <v>0</v>
          </cell>
        </row>
        <row r="7406">
          <cell r="I7406">
            <v>0</v>
          </cell>
        </row>
        <row r="7407">
          <cell r="I7407">
            <v>0</v>
          </cell>
        </row>
        <row r="7408">
          <cell r="I7408">
            <v>0</v>
          </cell>
        </row>
        <row r="7409">
          <cell r="I7409">
            <v>0</v>
          </cell>
        </row>
        <row r="7410">
          <cell r="I7410">
            <v>0</v>
          </cell>
        </row>
        <row r="7411">
          <cell r="I7411">
            <v>0</v>
          </cell>
        </row>
        <row r="7412">
          <cell r="I7412">
            <v>0</v>
          </cell>
        </row>
        <row r="7413">
          <cell r="I7413">
            <v>0</v>
          </cell>
        </row>
        <row r="7414">
          <cell r="I7414">
            <v>0</v>
          </cell>
        </row>
        <row r="7415">
          <cell r="I7415">
            <v>0</v>
          </cell>
        </row>
        <row r="7416">
          <cell r="I7416">
            <v>0</v>
          </cell>
        </row>
        <row r="7417">
          <cell r="I7417">
            <v>0</v>
          </cell>
        </row>
        <row r="7418">
          <cell r="I7418">
            <v>0</v>
          </cell>
        </row>
        <row r="7419">
          <cell r="I7419">
            <v>0</v>
          </cell>
        </row>
        <row r="7420">
          <cell r="I7420">
            <v>0</v>
          </cell>
        </row>
        <row r="7421">
          <cell r="I7421">
            <v>0</v>
          </cell>
        </row>
        <row r="7422">
          <cell r="I7422">
            <v>0</v>
          </cell>
        </row>
        <row r="7423">
          <cell r="I7423">
            <v>0</v>
          </cell>
        </row>
        <row r="7424">
          <cell r="I7424">
            <v>0</v>
          </cell>
        </row>
        <row r="7425">
          <cell r="I7425">
            <v>0</v>
          </cell>
        </row>
        <row r="7426">
          <cell r="I7426">
            <v>0</v>
          </cell>
        </row>
        <row r="7427">
          <cell r="I7427">
            <v>0</v>
          </cell>
        </row>
        <row r="7428">
          <cell r="I7428">
            <v>0</v>
          </cell>
        </row>
        <row r="7429">
          <cell r="I7429">
            <v>0</v>
          </cell>
        </row>
        <row r="7430">
          <cell r="I7430">
            <v>0</v>
          </cell>
        </row>
        <row r="7431">
          <cell r="I7431">
            <v>0</v>
          </cell>
        </row>
        <row r="7432">
          <cell r="I7432">
            <v>0</v>
          </cell>
        </row>
        <row r="7433">
          <cell r="I7433">
            <v>0</v>
          </cell>
        </row>
        <row r="7434">
          <cell r="I7434">
            <v>0</v>
          </cell>
        </row>
        <row r="7435">
          <cell r="I7435">
            <v>0</v>
          </cell>
        </row>
        <row r="7436">
          <cell r="I7436">
            <v>0</v>
          </cell>
        </row>
        <row r="7437">
          <cell r="I7437">
            <v>0</v>
          </cell>
        </row>
        <row r="7438">
          <cell r="I7438">
            <v>0</v>
          </cell>
        </row>
        <row r="7439">
          <cell r="I7439">
            <v>0</v>
          </cell>
        </row>
        <row r="7440">
          <cell r="I7440">
            <v>0</v>
          </cell>
        </row>
        <row r="7441">
          <cell r="I7441">
            <v>0</v>
          </cell>
        </row>
        <row r="7442">
          <cell r="I7442">
            <v>0</v>
          </cell>
        </row>
        <row r="7443">
          <cell r="I7443">
            <v>0</v>
          </cell>
        </row>
        <row r="7444">
          <cell r="I7444">
            <v>0</v>
          </cell>
        </row>
        <row r="7445">
          <cell r="I7445">
            <v>0</v>
          </cell>
        </row>
        <row r="7446">
          <cell r="I7446">
            <v>0</v>
          </cell>
        </row>
        <row r="7447">
          <cell r="I7447">
            <v>0</v>
          </cell>
        </row>
        <row r="7448">
          <cell r="I7448">
            <v>0</v>
          </cell>
        </row>
        <row r="7449">
          <cell r="I7449">
            <v>0</v>
          </cell>
        </row>
        <row r="7450">
          <cell r="I7450">
            <v>0</v>
          </cell>
        </row>
        <row r="7451">
          <cell r="I7451">
            <v>0</v>
          </cell>
        </row>
        <row r="7452">
          <cell r="I7452">
            <v>0</v>
          </cell>
        </row>
        <row r="7453">
          <cell r="I7453">
            <v>0</v>
          </cell>
        </row>
        <row r="7454">
          <cell r="I7454">
            <v>0</v>
          </cell>
        </row>
        <row r="7455">
          <cell r="I7455">
            <v>0</v>
          </cell>
        </row>
        <row r="7456">
          <cell r="I7456">
            <v>0</v>
          </cell>
        </row>
        <row r="7457">
          <cell r="I7457">
            <v>0</v>
          </cell>
        </row>
        <row r="7458">
          <cell r="I7458">
            <v>0</v>
          </cell>
        </row>
        <row r="7459">
          <cell r="I7459">
            <v>0</v>
          </cell>
        </row>
        <row r="7460">
          <cell r="I7460">
            <v>0</v>
          </cell>
        </row>
        <row r="7461">
          <cell r="I7461">
            <v>0</v>
          </cell>
        </row>
        <row r="7462">
          <cell r="I7462">
            <v>0</v>
          </cell>
        </row>
        <row r="7463">
          <cell r="I7463">
            <v>0</v>
          </cell>
        </row>
        <row r="7464">
          <cell r="I7464">
            <v>0</v>
          </cell>
        </row>
        <row r="7465">
          <cell r="I7465">
            <v>0</v>
          </cell>
        </row>
        <row r="7466">
          <cell r="I7466">
            <v>0</v>
          </cell>
        </row>
        <row r="7467">
          <cell r="I7467">
            <v>0</v>
          </cell>
        </row>
        <row r="7468">
          <cell r="I7468">
            <v>0</v>
          </cell>
        </row>
        <row r="7469">
          <cell r="I7469">
            <v>0</v>
          </cell>
        </row>
        <row r="7470">
          <cell r="I7470">
            <v>0</v>
          </cell>
        </row>
        <row r="7471">
          <cell r="I7471">
            <v>0</v>
          </cell>
        </row>
        <row r="7472">
          <cell r="I7472">
            <v>0</v>
          </cell>
        </row>
        <row r="7473">
          <cell r="I7473">
            <v>0</v>
          </cell>
        </row>
        <row r="7474">
          <cell r="I7474">
            <v>0</v>
          </cell>
        </row>
        <row r="7475">
          <cell r="I7475">
            <v>0</v>
          </cell>
        </row>
        <row r="7476">
          <cell r="I7476">
            <v>0</v>
          </cell>
        </row>
        <row r="7477">
          <cell r="I7477">
            <v>0</v>
          </cell>
        </row>
        <row r="7478">
          <cell r="I7478">
            <v>0</v>
          </cell>
        </row>
        <row r="7479">
          <cell r="I7479">
            <v>0</v>
          </cell>
        </row>
        <row r="7480">
          <cell r="I7480">
            <v>0</v>
          </cell>
        </row>
        <row r="7481">
          <cell r="I7481">
            <v>0</v>
          </cell>
        </row>
        <row r="7482">
          <cell r="I7482">
            <v>0</v>
          </cell>
        </row>
        <row r="7483">
          <cell r="I7483">
            <v>0</v>
          </cell>
        </row>
        <row r="7484">
          <cell r="I7484">
            <v>0</v>
          </cell>
        </row>
        <row r="7485">
          <cell r="I7485">
            <v>0</v>
          </cell>
        </row>
        <row r="7486">
          <cell r="I7486">
            <v>0</v>
          </cell>
        </row>
        <row r="7487">
          <cell r="I7487">
            <v>0</v>
          </cell>
        </row>
        <row r="7488">
          <cell r="I7488">
            <v>0</v>
          </cell>
        </row>
        <row r="7489">
          <cell r="I7489">
            <v>0</v>
          </cell>
        </row>
        <row r="7490">
          <cell r="I7490">
            <v>0</v>
          </cell>
        </row>
        <row r="7491">
          <cell r="I7491">
            <v>0</v>
          </cell>
        </row>
        <row r="7492">
          <cell r="I7492">
            <v>0</v>
          </cell>
        </row>
        <row r="7493">
          <cell r="I7493">
            <v>0</v>
          </cell>
        </row>
        <row r="7494">
          <cell r="I7494">
            <v>0</v>
          </cell>
        </row>
        <row r="7495">
          <cell r="I7495">
            <v>0</v>
          </cell>
        </row>
        <row r="7496">
          <cell r="I7496">
            <v>0</v>
          </cell>
        </row>
        <row r="7497">
          <cell r="I7497">
            <v>0</v>
          </cell>
        </row>
        <row r="7498">
          <cell r="I7498">
            <v>0</v>
          </cell>
        </row>
        <row r="7499">
          <cell r="I7499">
            <v>0</v>
          </cell>
        </row>
        <row r="7500">
          <cell r="I7500">
            <v>0</v>
          </cell>
        </row>
        <row r="7501">
          <cell r="I7501">
            <v>0</v>
          </cell>
        </row>
        <row r="7502">
          <cell r="I7502">
            <v>0</v>
          </cell>
        </row>
        <row r="7503">
          <cell r="I7503">
            <v>0</v>
          </cell>
        </row>
        <row r="7504">
          <cell r="I7504">
            <v>0</v>
          </cell>
        </row>
        <row r="7505">
          <cell r="I7505">
            <v>0</v>
          </cell>
        </row>
        <row r="7506">
          <cell r="I7506">
            <v>0</v>
          </cell>
        </row>
        <row r="7507">
          <cell r="I7507">
            <v>0</v>
          </cell>
        </row>
        <row r="7508">
          <cell r="I7508">
            <v>0</v>
          </cell>
        </row>
        <row r="7509">
          <cell r="I7509">
            <v>0</v>
          </cell>
        </row>
        <row r="7510">
          <cell r="I7510">
            <v>0</v>
          </cell>
        </row>
        <row r="7511">
          <cell r="I7511">
            <v>0</v>
          </cell>
        </row>
        <row r="7512">
          <cell r="I7512">
            <v>0</v>
          </cell>
        </row>
        <row r="7513">
          <cell r="I7513">
            <v>0</v>
          </cell>
        </row>
        <row r="7514">
          <cell r="I7514">
            <v>0</v>
          </cell>
        </row>
        <row r="7515">
          <cell r="I7515">
            <v>0</v>
          </cell>
        </row>
        <row r="7516">
          <cell r="I7516">
            <v>0</v>
          </cell>
        </row>
        <row r="7517">
          <cell r="I7517">
            <v>0</v>
          </cell>
        </row>
        <row r="7518">
          <cell r="I7518">
            <v>0</v>
          </cell>
        </row>
        <row r="7519">
          <cell r="I7519">
            <v>0</v>
          </cell>
        </row>
        <row r="7520">
          <cell r="I7520">
            <v>0</v>
          </cell>
        </row>
        <row r="7521">
          <cell r="I7521">
            <v>0</v>
          </cell>
        </row>
        <row r="7522">
          <cell r="I7522">
            <v>0</v>
          </cell>
        </row>
        <row r="7523">
          <cell r="I7523">
            <v>0</v>
          </cell>
        </row>
        <row r="7524">
          <cell r="I7524">
            <v>0</v>
          </cell>
        </row>
        <row r="7525">
          <cell r="I7525">
            <v>0</v>
          </cell>
        </row>
        <row r="7526">
          <cell r="I7526">
            <v>0</v>
          </cell>
        </row>
        <row r="7527">
          <cell r="I7527">
            <v>0</v>
          </cell>
        </row>
        <row r="7528">
          <cell r="I7528">
            <v>0</v>
          </cell>
        </row>
        <row r="7529">
          <cell r="I7529">
            <v>0</v>
          </cell>
        </row>
        <row r="7530">
          <cell r="I7530">
            <v>0</v>
          </cell>
        </row>
        <row r="7531">
          <cell r="I7531">
            <v>0</v>
          </cell>
        </row>
        <row r="7532">
          <cell r="I7532">
            <v>0</v>
          </cell>
        </row>
        <row r="7533">
          <cell r="I7533">
            <v>0</v>
          </cell>
        </row>
        <row r="7534">
          <cell r="I7534">
            <v>0</v>
          </cell>
        </row>
        <row r="7535">
          <cell r="I7535">
            <v>0</v>
          </cell>
        </row>
        <row r="7536">
          <cell r="I7536">
            <v>0</v>
          </cell>
        </row>
        <row r="7537">
          <cell r="I7537">
            <v>0</v>
          </cell>
        </row>
        <row r="7538">
          <cell r="I7538">
            <v>0</v>
          </cell>
        </row>
        <row r="7539">
          <cell r="I7539">
            <v>0</v>
          </cell>
        </row>
        <row r="7540">
          <cell r="I7540">
            <v>0</v>
          </cell>
        </row>
        <row r="7541">
          <cell r="I7541">
            <v>0</v>
          </cell>
        </row>
        <row r="7542">
          <cell r="I7542">
            <v>0</v>
          </cell>
        </row>
        <row r="7543">
          <cell r="I7543">
            <v>0</v>
          </cell>
        </row>
        <row r="7544">
          <cell r="I7544">
            <v>0</v>
          </cell>
        </row>
        <row r="7545">
          <cell r="I7545">
            <v>0</v>
          </cell>
        </row>
        <row r="7546">
          <cell r="I7546">
            <v>0</v>
          </cell>
        </row>
        <row r="7547">
          <cell r="I7547">
            <v>0</v>
          </cell>
        </row>
        <row r="7548">
          <cell r="I7548">
            <v>0</v>
          </cell>
        </row>
        <row r="7549">
          <cell r="I7549">
            <v>0</v>
          </cell>
        </row>
        <row r="7550">
          <cell r="I7550">
            <v>0</v>
          </cell>
        </row>
        <row r="7551">
          <cell r="I7551">
            <v>0</v>
          </cell>
        </row>
        <row r="7552">
          <cell r="I7552">
            <v>0</v>
          </cell>
        </row>
        <row r="7553">
          <cell r="I7553">
            <v>0</v>
          </cell>
        </row>
        <row r="7554">
          <cell r="I7554">
            <v>0</v>
          </cell>
        </row>
        <row r="7555">
          <cell r="I7555">
            <v>0</v>
          </cell>
        </row>
        <row r="7556">
          <cell r="I7556">
            <v>0</v>
          </cell>
        </row>
        <row r="7557">
          <cell r="I7557">
            <v>0</v>
          </cell>
        </row>
        <row r="7558">
          <cell r="I7558">
            <v>0</v>
          </cell>
        </row>
        <row r="7559">
          <cell r="I7559">
            <v>0</v>
          </cell>
        </row>
        <row r="7560">
          <cell r="I7560">
            <v>0</v>
          </cell>
        </row>
        <row r="7561">
          <cell r="I7561">
            <v>0</v>
          </cell>
        </row>
        <row r="7562">
          <cell r="I7562">
            <v>0</v>
          </cell>
        </row>
        <row r="7563">
          <cell r="I7563">
            <v>0</v>
          </cell>
        </row>
        <row r="7564">
          <cell r="I7564">
            <v>0</v>
          </cell>
        </row>
        <row r="7565">
          <cell r="I7565">
            <v>0</v>
          </cell>
        </row>
        <row r="7566">
          <cell r="I7566">
            <v>0</v>
          </cell>
        </row>
        <row r="7567">
          <cell r="I7567">
            <v>0</v>
          </cell>
        </row>
        <row r="7568">
          <cell r="I7568">
            <v>0</v>
          </cell>
        </row>
        <row r="7569">
          <cell r="I7569">
            <v>0</v>
          </cell>
        </row>
        <row r="7570">
          <cell r="I7570">
            <v>0</v>
          </cell>
        </row>
        <row r="7571">
          <cell r="I7571">
            <v>0</v>
          </cell>
        </row>
        <row r="7572">
          <cell r="I7572">
            <v>0</v>
          </cell>
        </row>
        <row r="7573">
          <cell r="I7573">
            <v>0</v>
          </cell>
        </row>
        <row r="7574">
          <cell r="I7574">
            <v>0</v>
          </cell>
        </row>
        <row r="7575">
          <cell r="I7575">
            <v>0</v>
          </cell>
        </row>
        <row r="7576">
          <cell r="I7576">
            <v>0</v>
          </cell>
        </row>
        <row r="7577">
          <cell r="I7577">
            <v>0</v>
          </cell>
        </row>
        <row r="7578">
          <cell r="I7578">
            <v>0</v>
          </cell>
        </row>
        <row r="7579">
          <cell r="I7579">
            <v>0</v>
          </cell>
        </row>
        <row r="7580">
          <cell r="I7580">
            <v>0</v>
          </cell>
        </row>
        <row r="7581">
          <cell r="I7581">
            <v>0</v>
          </cell>
        </row>
        <row r="7582">
          <cell r="I7582">
            <v>0</v>
          </cell>
        </row>
        <row r="7583">
          <cell r="I7583">
            <v>0</v>
          </cell>
        </row>
        <row r="7584">
          <cell r="I7584">
            <v>0</v>
          </cell>
        </row>
        <row r="7585">
          <cell r="I7585">
            <v>0</v>
          </cell>
        </row>
        <row r="7586">
          <cell r="I7586">
            <v>0</v>
          </cell>
        </row>
        <row r="7587">
          <cell r="I7587">
            <v>0</v>
          </cell>
        </row>
        <row r="7588">
          <cell r="I7588">
            <v>0</v>
          </cell>
        </row>
        <row r="7589">
          <cell r="I7589">
            <v>0</v>
          </cell>
        </row>
        <row r="7590">
          <cell r="I7590">
            <v>0</v>
          </cell>
        </row>
        <row r="7591">
          <cell r="I7591">
            <v>0</v>
          </cell>
        </row>
        <row r="7592">
          <cell r="I7592">
            <v>0</v>
          </cell>
        </row>
        <row r="7593">
          <cell r="I7593">
            <v>0</v>
          </cell>
        </row>
        <row r="7594">
          <cell r="I7594">
            <v>0</v>
          </cell>
        </row>
        <row r="7595">
          <cell r="I7595">
            <v>0</v>
          </cell>
        </row>
        <row r="7596">
          <cell r="I7596">
            <v>0</v>
          </cell>
        </row>
        <row r="7597">
          <cell r="I7597">
            <v>0</v>
          </cell>
        </row>
        <row r="7598">
          <cell r="I7598">
            <v>0</v>
          </cell>
        </row>
        <row r="7599">
          <cell r="I7599">
            <v>0</v>
          </cell>
        </row>
        <row r="7600">
          <cell r="I7600">
            <v>0</v>
          </cell>
        </row>
        <row r="7601">
          <cell r="I7601">
            <v>0</v>
          </cell>
        </row>
        <row r="7602">
          <cell r="I7602">
            <v>0</v>
          </cell>
        </row>
        <row r="7603">
          <cell r="I7603">
            <v>0</v>
          </cell>
        </row>
        <row r="7604">
          <cell r="I7604">
            <v>0</v>
          </cell>
        </row>
        <row r="7605">
          <cell r="I7605">
            <v>0</v>
          </cell>
        </row>
        <row r="7606">
          <cell r="I7606">
            <v>0</v>
          </cell>
        </row>
        <row r="7607">
          <cell r="I7607">
            <v>0</v>
          </cell>
        </row>
        <row r="7608">
          <cell r="I7608">
            <v>0</v>
          </cell>
        </row>
        <row r="7609">
          <cell r="I7609">
            <v>0</v>
          </cell>
        </row>
        <row r="7610">
          <cell r="I7610">
            <v>0</v>
          </cell>
        </row>
        <row r="7611">
          <cell r="I7611">
            <v>0</v>
          </cell>
        </row>
        <row r="7612">
          <cell r="I7612">
            <v>0</v>
          </cell>
        </row>
        <row r="7613">
          <cell r="I7613">
            <v>0</v>
          </cell>
        </row>
        <row r="7614">
          <cell r="I7614">
            <v>0</v>
          </cell>
        </row>
        <row r="7615">
          <cell r="I7615">
            <v>0</v>
          </cell>
        </row>
        <row r="7616">
          <cell r="I7616">
            <v>0</v>
          </cell>
        </row>
        <row r="7617">
          <cell r="I7617">
            <v>0</v>
          </cell>
        </row>
        <row r="7618">
          <cell r="I7618">
            <v>0</v>
          </cell>
        </row>
        <row r="7619">
          <cell r="I7619">
            <v>0</v>
          </cell>
        </row>
        <row r="7620">
          <cell r="I7620">
            <v>0</v>
          </cell>
        </row>
        <row r="7621">
          <cell r="I7621">
            <v>0</v>
          </cell>
        </row>
        <row r="7622">
          <cell r="I7622">
            <v>0</v>
          </cell>
        </row>
        <row r="7623">
          <cell r="I7623">
            <v>0</v>
          </cell>
        </row>
        <row r="7624">
          <cell r="I7624">
            <v>0</v>
          </cell>
        </row>
        <row r="7625">
          <cell r="I7625">
            <v>0</v>
          </cell>
        </row>
        <row r="7626">
          <cell r="I7626">
            <v>0</v>
          </cell>
        </row>
        <row r="7627">
          <cell r="I7627">
            <v>0</v>
          </cell>
        </row>
        <row r="7628">
          <cell r="I7628">
            <v>0</v>
          </cell>
        </row>
        <row r="7629">
          <cell r="I7629">
            <v>0</v>
          </cell>
        </row>
        <row r="7630">
          <cell r="I7630">
            <v>0</v>
          </cell>
        </row>
        <row r="7631">
          <cell r="I7631">
            <v>0</v>
          </cell>
        </row>
        <row r="7632">
          <cell r="I7632">
            <v>0</v>
          </cell>
        </row>
        <row r="7633">
          <cell r="I7633">
            <v>0</v>
          </cell>
        </row>
        <row r="7634">
          <cell r="I7634">
            <v>0</v>
          </cell>
        </row>
        <row r="7635">
          <cell r="I7635">
            <v>0</v>
          </cell>
        </row>
        <row r="7636">
          <cell r="I7636">
            <v>0</v>
          </cell>
        </row>
        <row r="7637">
          <cell r="I7637">
            <v>0</v>
          </cell>
        </row>
        <row r="7638">
          <cell r="I7638">
            <v>0</v>
          </cell>
        </row>
        <row r="7639">
          <cell r="I7639">
            <v>0</v>
          </cell>
        </row>
        <row r="7640">
          <cell r="I7640">
            <v>0</v>
          </cell>
        </row>
        <row r="7641">
          <cell r="I7641">
            <v>0</v>
          </cell>
        </row>
        <row r="7642">
          <cell r="I7642">
            <v>0</v>
          </cell>
        </row>
        <row r="7643">
          <cell r="I7643">
            <v>0</v>
          </cell>
        </row>
        <row r="7644">
          <cell r="I7644">
            <v>0</v>
          </cell>
        </row>
        <row r="7645">
          <cell r="I7645">
            <v>0</v>
          </cell>
        </row>
        <row r="7646">
          <cell r="I7646">
            <v>0</v>
          </cell>
        </row>
        <row r="7647">
          <cell r="I7647">
            <v>0</v>
          </cell>
        </row>
        <row r="7648">
          <cell r="I7648">
            <v>0</v>
          </cell>
        </row>
        <row r="7649">
          <cell r="I7649">
            <v>0</v>
          </cell>
        </row>
        <row r="7650">
          <cell r="I7650">
            <v>0</v>
          </cell>
        </row>
        <row r="7651">
          <cell r="I7651">
            <v>0</v>
          </cell>
        </row>
        <row r="7652">
          <cell r="I7652">
            <v>0</v>
          </cell>
        </row>
        <row r="7653">
          <cell r="I7653">
            <v>0</v>
          </cell>
        </row>
        <row r="7654">
          <cell r="I7654">
            <v>0</v>
          </cell>
        </row>
        <row r="7655">
          <cell r="I7655">
            <v>0</v>
          </cell>
        </row>
        <row r="7656">
          <cell r="I7656">
            <v>0</v>
          </cell>
        </row>
        <row r="7657">
          <cell r="I7657">
            <v>0</v>
          </cell>
        </row>
        <row r="7658">
          <cell r="I7658">
            <v>0</v>
          </cell>
        </row>
        <row r="7659">
          <cell r="I7659">
            <v>0</v>
          </cell>
        </row>
        <row r="7660">
          <cell r="I7660">
            <v>0</v>
          </cell>
        </row>
        <row r="7661">
          <cell r="I7661">
            <v>0</v>
          </cell>
        </row>
        <row r="7662">
          <cell r="I7662">
            <v>0</v>
          </cell>
        </row>
        <row r="7663">
          <cell r="I7663">
            <v>0</v>
          </cell>
        </row>
        <row r="7664">
          <cell r="I7664">
            <v>0</v>
          </cell>
        </row>
        <row r="7665">
          <cell r="I7665">
            <v>0</v>
          </cell>
        </row>
        <row r="7666">
          <cell r="I7666">
            <v>0</v>
          </cell>
        </row>
        <row r="7667">
          <cell r="I7667">
            <v>0</v>
          </cell>
        </row>
        <row r="7668">
          <cell r="I7668">
            <v>0</v>
          </cell>
        </row>
        <row r="7669">
          <cell r="I7669">
            <v>0</v>
          </cell>
        </row>
        <row r="7670">
          <cell r="I7670">
            <v>0</v>
          </cell>
        </row>
        <row r="7671">
          <cell r="I7671">
            <v>0</v>
          </cell>
        </row>
        <row r="7672">
          <cell r="I7672">
            <v>0</v>
          </cell>
        </row>
        <row r="7673">
          <cell r="I7673">
            <v>0</v>
          </cell>
        </row>
        <row r="7674">
          <cell r="I7674">
            <v>0</v>
          </cell>
        </row>
        <row r="7675">
          <cell r="I7675">
            <v>0</v>
          </cell>
        </row>
        <row r="7676">
          <cell r="I7676">
            <v>0</v>
          </cell>
        </row>
        <row r="7677">
          <cell r="I7677">
            <v>0</v>
          </cell>
        </row>
        <row r="7678">
          <cell r="I7678">
            <v>0</v>
          </cell>
        </row>
        <row r="7679">
          <cell r="I7679">
            <v>0</v>
          </cell>
        </row>
        <row r="7680">
          <cell r="I7680">
            <v>0</v>
          </cell>
        </row>
        <row r="7681">
          <cell r="I7681">
            <v>0</v>
          </cell>
        </row>
        <row r="7682">
          <cell r="I7682">
            <v>0</v>
          </cell>
        </row>
        <row r="7683">
          <cell r="I7683">
            <v>0</v>
          </cell>
        </row>
        <row r="7684">
          <cell r="I7684">
            <v>0</v>
          </cell>
        </row>
        <row r="7685">
          <cell r="I7685">
            <v>0</v>
          </cell>
        </row>
        <row r="7686">
          <cell r="I7686">
            <v>0</v>
          </cell>
        </row>
        <row r="7687">
          <cell r="I7687">
            <v>0</v>
          </cell>
        </row>
        <row r="7688">
          <cell r="I7688">
            <v>0</v>
          </cell>
        </row>
        <row r="7689">
          <cell r="I7689">
            <v>0</v>
          </cell>
        </row>
        <row r="7690">
          <cell r="I7690">
            <v>0</v>
          </cell>
        </row>
        <row r="7691">
          <cell r="I7691">
            <v>0</v>
          </cell>
        </row>
        <row r="7692">
          <cell r="I7692">
            <v>0</v>
          </cell>
        </row>
        <row r="7693">
          <cell r="I7693">
            <v>0</v>
          </cell>
        </row>
        <row r="7694">
          <cell r="I7694">
            <v>0</v>
          </cell>
        </row>
        <row r="7695">
          <cell r="I7695">
            <v>0</v>
          </cell>
        </row>
        <row r="7696">
          <cell r="I7696">
            <v>0</v>
          </cell>
        </row>
        <row r="7697">
          <cell r="I7697">
            <v>0</v>
          </cell>
        </row>
        <row r="7698">
          <cell r="I7698">
            <v>0</v>
          </cell>
        </row>
        <row r="7699">
          <cell r="I7699">
            <v>0</v>
          </cell>
        </row>
        <row r="7700">
          <cell r="I7700">
            <v>0</v>
          </cell>
        </row>
        <row r="7701">
          <cell r="I7701">
            <v>0</v>
          </cell>
        </row>
        <row r="7702">
          <cell r="I7702">
            <v>0</v>
          </cell>
        </row>
        <row r="7703">
          <cell r="I7703">
            <v>0</v>
          </cell>
        </row>
        <row r="7704">
          <cell r="I7704">
            <v>0</v>
          </cell>
        </row>
        <row r="7705">
          <cell r="I7705">
            <v>0</v>
          </cell>
        </row>
        <row r="7706">
          <cell r="I7706">
            <v>0</v>
          </cell>
        </row>
        <row r="7707">
          <cell r="I7707">
            <v>0</v>
          </cell>
        </row>
        <row r="7708">
          <cell r="I7708">
            <v>0</v>
          </cell>
        </row>
        <row r="7709">
          <cell r="I7709">
            <v>0</v>
          </cell>
        </row>
        <row r="7710">
          <cell r="I7710">
            <v>0</v>
          </cell>
        </row>
        <row r="7711">
          <cell r="I7711">
            <v>0</v>
          </cell>
        </row>
        <row r="7712">
          <cell r="I7712">
            <v>0</v>
          </cell>
        </row>
        <row r="7713">
          <cell r="I7713">
            <v>0</v>
          </cell>
        </row>
        <row r="7714">
          <cell r="I7714">
            <v>0</v>
          </cell>
        </row>
        <row r="7715">
          <cell r="I7715">
            <v>0</v>
          </cell>
        </row>
        <row r="7716">
          <cell r="I7716">
            <v>0</v>
          </cell>
        </row>
        <row r="7717">
          <cell r="I7717">
            <v>0</v>
          </cell>
        </row>
        <row r="7718">
          <cell r="I7718">
            <v>0</v>
          </cell>
        </row>
        <row r="7719">
          <cell r="I7719">
            <v>0</v>
          </cell>
        </row>
        <row r="7720">
          <cell r="I7720">
            <v>0</v>
          </cell>
        </row>
        <row r="7721">
          <cell r="I7721">
            <v>0</v>
          </cell>
        </row>
        <row r="7722">
          <cell r="I7722">
            <v>0</v>
          </cell>
        </row>
        <row r="7723">
          <cell r="I7723">
            <v>0</v>
          </cell>
        </row>
        <row r="7724">
          <cell r="I7724">
            <v>0</v>
          </cell>
        </row>
        <row r="7725">
          <cell r="I7725">
            <v>0</v>
          </cell>
        </row>
        <row r="7726">
          <cell r="I7726">
            <v>0</v>
          </cell>
        </row>
        <row r="7727">
          <cell r="I7727">
            <v>0</v>
          </cell>
        </row>
        <row r="7728">
          <cell r="I7728">
            <v>0</v>
          </cell>
        </row>
        <row r="7729">
          <cell r="I7729">
            <v>0</v>
          </cell>
        </row>
        <row r="7730">
          <cell r="I7730">
            <v>0</v>
          </cell>
        </row>
        <row r="7731">
          <cell r="I7731">
            <v>0</v>
          </cell>
        </row>
        <row r="7732">
          <cell r="I7732">
            <v>0</v>
          </cell>
        </row>
        <row r="7733">
          <cell r="I7733">
            <v>0</v>
          </cell>
        </row>
        <row r="7734">
          <cell r="I7734">
            <v>0</v>
          </cell>
        </row>
        <row r="7735">
          <cell r="I7735">
            <v>0</v>
          </cell>
        </row>
        <row r="7736">
          <cell r="I7736">
            <v>0</v>
          </cell>
        </row>
        <row r="7737">
          <cell r="I7737">
            <v>0</v>
          </cell>
        </row>
        <row r="7738">
          <cell r="I7738">
            <v>0</v>
          </cell>
        </row>
        <row r="7739">
          <cell r="I7739">
            <v>0</v>
          </cell>
        </row>
        <row r="7740">
          <cell r="I7740">
            <v>0</v>
          </cell>
        </row>
        <row r="7741">
          <cell r="I7741">
            <v>0</v>
          </cell>
        </row>
        <row r="7742">
          <cell r="I7742">
            <v>0</v>
          </cell>
        </row>
        <row r="7743">
          <cell r="I7743">
            <v>0</v>
          </cell>
        </row>
        <row r="7744">
          <cell r="I7744">
            <v>0</v>
          </cell>
        </row>
        <row r="7745">
          <cell r="I7745">
            <v>0</v>
          </cell>
        </row>
        <row r="7746">
          <cell r="I7746">
            <v>0</v>
          </cell>
        </row>
        <row r="7747">
          <cell r="I7747">
            <v>0</v>
          </cell>
        </row>
        <row r="7748">
          <cell r="I7748">
            <v>0</v>
          </cell>
        </row>
        <row r="7749">
          <cell r="I7749">
            <v>0</v>
          </cell>
        </row>
        <row r="7750">
          <cell r="I7750">
            <v>0</v>
          </cell>
        </row>
        <row r="7751">
          <cell r="I7751">
            <v>0</v>
          </cell>
        </row>
        <row r="7752">
          <cell r="I7752">
            <v>0</v>
          </cell>
        </row>
        <row r="7753">
          <cell r="I7753">
            <v>0</v>
          </cell>
        </row>
        <row r="7754">
          <cell r="I7754">
            <v>0</v>
          </cell>
        </row>
        <row r="7755">
          <cell r="I7755">
            <v>0</v>
          </cell>
        </row>
        <row r="7756">
          <cell r="I7756">
            <v>0</v>
          </cell>
        </row>
        <row r="7757">
          <cell r="I7757">
            <v>0</v>
          </cell>
        </row>
        <row r="7758">
          <cell r="I7758">
            <v>0</v>
          </cell>
        </row>
        <row r="7759">
          <cell r="I7759">
            <v>0</v>
          </cell>
        </row>
        <row r="7760">
          <cell r="I7760">
            <v>0</v>
          </cell>
        </row>
        <row r="7761">
          <cell r="I7761">
            <v>0</v>
          </cell>
        </row>
        <row r="7762">
          <cell r="I7762">
            <v>0</v>
          </cell>
        </row>
        <row r="7763">
          <cell r="I7763">
            <v>0</v>
          </cell>
        </row>
        <row r="7764">
          <cell r="I7764">
            <v>0</v>
          </cell>
        </row>
        <row r="7765">
          <cell r="I7765">
            <v>0</v>
          </cell>
        </row>
        <row r="7766">
          <cell r="I7766">
            <v>0</v>
          </cell>
        </row>
        <row r="7767">
          <cell r="I7767">
            <v>0</v>
          </cell>
        </row>
        <row r="7768">
          <cell r="I7768">
            <v>0</v>
          </cell>
        </row>
        <row r="7769">
          <cell r="I7769">
            <v>0</v>
          </cell>
        </row>
        <row r="7770">
          <cell r="I7770">
            <v>0</v>
          </cell>
        </row>
        <row r="7771">
          <cell r="I7771">
            <v>0</v>
          </cell>
        </row>
        <row r="7772">
          <cell r="I7772">
            <v>0</v>
          </cell>
        </row>
        <row r="7773">
          <cell r="I7773">
            <v>0</v>
          </cell>
        </row>
        <row r="7774">
          <cell r="I7774">
            <v>0</v>
          </cell>
        </row>
        <row r="7775">
          <cell r="I7775">
            <v>0</v>
          </cell>
        </row>
        <row r="7776">
          <cell r="I7776">
            <v>0</v>
          </cell>
        </row>
        <row r="7777">
          <cell r="I7777">
            <v>0</v>
          </cell>
        </row>
        <row r="7778">
          <cell r="I7778">
            <v>0</v>
          </cell>
        </row>
        <row r="7779">
          <cell r="I7779">
            <v>0</v>
          </cell>
        </row>
        <row r="7780">
          <cell r="I7780">
            <v>0</v>
          </cell>
        </row>
        <row r="7781">
          <cell r="I7781">
            <v>0</v>
          </cell>
        </row>
        <row r="7782">
          <cell r="I7782">
            <v>0</v>
          </cell>
        </row>
        <row r="7783">
          <cell r="I7783">
            <v>0</v>
          </cell>
        </row>
        <row r="7784">
          <cell r="I7784">
            <v>0</v>
          </cell>
        </row>
        <row r="7785">
          <cell r="I7785">
            <v>0</v>
          </cell>
        </row>
        <row r="7786">
          <cell r="I7786">
            <v>0</v>
          </cell>
        </row>
        <row r="7787">
          <cell r="I7787">
            <v>0</v>
          </cell>
        </row>
        <row r="7788">
          <cell r="I7788">
            <v>0</v>
          </cell>
        </row>
        <row r="7789">
          <cell r="I7789">
            <v>0</v>
          </cell>
        </row>
        <row r="7790">
          <cell r="I7790">
            <v>0</v>
          </cell>
        </row>
        <row r="7791">
          <cell r="I7791">
            <v>0</v>
          </cell>
        </row>
        <row r="7792">
          <cell r="I7792">
            <v>0</v>
          </cell>
        </row>
        <row r="7793">
          <cell r="I7793">
            <v>0</v>
          </cell>
        </row>
        <row r="7794">
          <cell r="I7794">
            <v>0</v>
          </cell>
        </row>
        <row r="7795">
          <cell r="I7795">
            <v>0</v>
          </cell>
        </row>
        <row r="7796">
          <cell r="I7796">
            <v>0</v>
          </cell>
        </row>
        <row r="7797">
          <cell r="I7797">
            <v>0</v>
          </cell>
        </row>
        <row r="7798">
          <cell r="I7798">
            <v>0</v>
          </cell>
        </row>
        <row r="7799">
          <cell r="I7799">
            <v>0</v>
          </cell>
        </row>
        <row r="7800">
          <cell r="I7800">
            <v>0</v>
          </cell>
        </row>
        <row r="7801">
          <cell r="I7801">
            <v>0</v>
          </cell>
        </row>
        <row r="7802">
          <cell r="I7802">
            <v>0</v>
          </cell>
        </row>
        <row r="7803">
          <cell r="I7803">
            <v>0</v>
          </cell>
        </row>
        <row r="7804">
          <cell r="I7804">
            <v>0</v>
          </cell>
        </row>
        <row r="7805">
          <cell r="I7805">
            <v>0</v>
          </cell>
        </row>
        <row r="7806">
          <cell r="I7806">
            <v>0</v>
          </cell>
        </row>
        <row r="7807">
          <cell r="I7807">
            <v>0</v>
          </cell>
        </row>
        <row r="7808">
          <cell r="I7808">
            <v>0</v>
          </cell>
        </row>
        <row r="7809">
          <cell r="I7809">
            <v>0</v>
          </cell>
        </row>
        <row r="7810">
          <cell r="I7810">
            <v>0</v>
          </cell>
        </row>
        <row r="7811">
          <cell r="I7811">
            <v>0</v>
          </cell>
        </row>
        <row r="7812">
          <cell r="I7812">
            <v>0</v>
          </cell>
        </row>
        <row r="7813">
          <cell r="I7813">
            <v>0</v>
          </cell>
        </row>
        <row r="7814">
          <cell r="I7814">
            <v>0</v>
          </cell>
        </row>
        <row r="7815">
          <cell r="I7815">
            <v>0</v>
          </cell>
        </row>
        <row r="7816">
          <cell r="I7816">
            <v>0</v>
          </cell>
        </row>
        <row r="7817">
          <cell r="I7817">
            <v>0</v>
          </cell>
        </row>
        <row r="7818">
          <cell r="I7818">
            <v>0</v>
          </cell>
        </row>
        <row r="7819">
          <cell r="I7819">
            <v>0</v>
          </cell>
        </row>
        <row r="7820">
          <cell r="I7820">
            <v>0</v>
          </cell>
        </row>
        <row r="7821">
          <cell r="I7821">
            <v>0</v>
          </cell>
        </row>
        <row r="7822">
          <cell r="I7822">
            <v>0</v>
          </cell>
        </row>
        <row r="7823">
          <cell r="I7823">
            <v>0</v>
          </cell>
        </row>
        <row r="7824">
          <cell r="I7824">
            <v>0</v>
          </cell>
        </row>
        <row r="7825">
          <cell r="I7825">
            <v>0</v>
          </cell>
        </row>
        <row r="7826">
          <cell r="I7826">
            <v>0</v>
          </cell>
        </row>
        <row r="7827">
          <cell r="I7827">
            <v>0</v>
          </cell>
        </row>
        <row r="7828">
          <cell r="I7828">
            <v>0</v>
          </cell>
        </row>
        <row r="7829">
          <cell r="I7829">
            <v>0</v>
          </cell>
        </row>
        <row r="7830">
          <cell r="I7830">
            <v>0</v>
          </cell>
        </row>
        <row r="7831">
          <cell r="I7831">
            <v>0</v>
          </cell>
        </row>
        <row r="7832">
          <cell r="I7832">
            <v>0</v>
          </cell>
        </row>
        <row r="7833">
          <cell r="I7833">
            <v>0</v>
          </cell>
        </row>
        <row r="7834">
          <cell r="I7834">
            <v>0</v>
          </cell>
        </row>
        <row r="7835">
          <cell r="I7835">
            <v>0</v>
          </cell>
        </row>
        <row r="7836">
          <cell r="I7836">
            <v>0</v>
          </cell>
        </row>
        <row r="7837">
          <cell r="I7837">
            <v>0</v>
          </cell>
        </row>
        <row r="7838">
          <cell r="I7838">
            <v>0</v>
          </cell>
        </row>
        <row r="7839">
          <cell r="I7839">
            <v>0</v>
          </cell>
        </row>
        <row r="7840">
          <cell r="I7840">
            <v>0</v>
          </cell>
        </row>
        <row r="7841">
          <cell r="I7841">
            <v>0</v>
          </cell>
        </row>
        <row r="7842">
          <cell r="I7842">
            <v>0</v>
          </cell>
        </row>
        <row r="7843">
          <cell r="I7843">
            <v>0</v>
          </cell>
        </row>
        <row r="7844">
          <cell r="I7844">
            <v>0</v>
          </cell>
        </row>
        <row r="7845">
          <cell r="I7845">
            <v>0</v>
          </cell>
        </row>
        <row r="7846">
          <cell r="I7846">
            <v>0</v>
          </cell>
        </row>
        <row r="7847">
          <cell r="I7847">
            <v>0</v>
          </cell>
        </row>
        <row r="7848">
          <cell r="I7848">
            <v>0</v>
          </cell>
        </row>
        <row r="7849">
          <cell r="I7849">
            <v>0</v>
          </cell>
        </row>
        <row r="7850">
          <cell r="I7850">
            <v>0</v>
          </cell>
        </row>
        <row r="7851">
          <cell r="I7851">
            <v>0</v>
          </cell>
        </row>
        <row r="7852">
          <cell r="I7852">
            <v>0</v>
          </cell>
        </row>
        <row r="7853">
          <cell r="I7853">
            <v>0</v>
          </cell>
        </row>
        <row r="7854">
          <cell r="I7854">
            <v>0</v>
          </cell>
        </row>
        <row r="7855">
          <cell r="I7855">
            <v>0</v>
          </cell>
        </row>
        <row r="7856">
          <cell r="I7856">
            <v>0</v>
          </cell>
        </row>
        <row r="7857">
          <cell r="I7857">
            <v>0</v>
          </cell>
        </row>
        <row r="7858">
          <cell r="I7858">
            <v>0</v>
          </cell>
        </row>
        <row r="7859">
          <cell r="I7859">
            <v>0</v>
          </cell>
        </row>
        <row r="7860">
          <cell r="I7860">
            <v>0</v>
          </cell>
        </row>
        <row r="7861">
          <cell r="I7861">
            <v>0</v>
          </cell>
        </row>
        <row r="7862">
          <cell r="I7862">
            <v>0</v>
          </cell>
        </row>
        <row r="7863">
          <cell r="I7863">
            <v>0</v>
          </cell>
        </row>
        <row r="7864">
          <cell r="I7864">
            <v>0</v>
          </cell>
        </row>
        <row r="7865">
          <cell r="I7865">
            <v>0</v>
          </cell>
        </row>
        <row r="7866">
          <cell r="I7866">
            <v>0</v>
          </cell>
        </row>
        <row r="7867">
          <cell r="I7867">
            <v>0</v>
          </cell>
        </row>
        <row r="7868">
          <cell r="I7868">
            <v>0</v>
          </cell>
        </row>
        <row r="7869">
          <cell r="I7869">
            <v>0</v>
          </cell>
        </row>
        <row r="7870">
          <cell r="I7870">
            <v>0</v>
          </cell>
        </row>
        <row r="7871">
          <cell r="I7871">
            <v>0</v>
          </cell>
        </row>
        <row r="7872">
          <cell r="I7872">
            <v>0</v>
          </cell>
        </row>
        <row r="7873">
          <cell r="I7873">
            <v>0</v>
          </cell>
        </row>
        <row r="7874">
          <cell r="I7874">
            <v>0</v>
          </cell>
        </row>
        <row r="7875">
          <cell r="I7875">
            <v>0</v>
          </cell>
        </row>
        <row r="7876">
          <cell r="I7876">
            <v>0</v>
          </cell>
        </row>
        <row r="7877">
          <cell r="I7877">
            <v>0</v>
          </cell>
        </row>
        <row r="7878">
          <cell r="I7878">
            <v>0</v>
          </cell>
        </row>
        <row r="7879">
          <cell r="I7879">
            <v>0</v>
          </cell>
        </row>
        <row r="7880">
          <cell r="I7880">
            <v>0</v>
          </cell>
        </row>
        <row r="7881">
          <cell r="I7881">
            <v>0</v>
          </cell>
        </row>
        <row r="7882">
          <cell r="I7882">
            <v>0</v>
          </cell>
        </row>
        <row r="7883">
          <cell r="I7883">
            <v>0</v>
          </cell>
        </row>
        <row r="7884">
          <cell r="I7884">
            <v>0</v>
          </cell>
        </row>
        <row r="7885">
          <cell r="I7885">
            <v>0</v>
          </cell>
        </row>
        <row r="7886">
          <cell r="I7886">
            <v>0</v>
          </cell>
        </row>
        <row r="7887">
          <cell r="I7887">
            <v>0</v>
          </cell>
        </row>
        <row r="7888">
          <cell r="I7888">
            <v>0</v>
          </cell>
        </row>
        <row r="7889">
          <cell r="I7889">
            <v>0</v>
          </cell>
        </row>
        <row r="7890">
          <cell r="I7890">
            <v>0</v>
          </cell>
        </row>
        <row r="7891">
          <cell r="I7891">
            <v>0</v>
          </cell>
        </row>
        <row r="7892">
          <cell r="I7892">
            <v>0</v>
          </cell>
        </row>
        <row r="7893">
          <cell r="I7893">
            <v>0</v>
          </cell>
        </row>
        <row r="7894">
          <cell r="I7894">
            <v>0</v>
          </cell>
        </row>
        <row r="7895">
          <cell r="I7895">
            <v>0</v>
          </cell>
        </row>
        <row r="7896">
          <cell r="I7896">
            <v>0</v>
          </cell>
        </row>
        <row r="7897">
          <cell r="I7897">
            <v>0</v>
          </cell>
        </row>
        <row r="7898">
          <cell r="I7898">
            <v>0</v>
          </cell>
        </row>
        <row r="7899">
          <cell r="I7899">
            <v>0</v>
          </cell>
        </row>
        <row r="7900">
          <cell r="I7900">
            <v>0</v>
          </cell>
        </row>
        <row r="7901">
          <cell r="I7901">
            <v>0</v>
          </cell>
        </row>
        <row r="7902">
          <cell r="I7902">
            <v>0</v>
          </cell>
        </row>
        <row r="7903">
          <cell r="I7903">
            <v>0</v>
          </cell>
        </row>
        <row r="7904">
          <cell r="I7904">
            <v>0</v>
          </cell>
        </row>
        <row r="7905">
          <cell r="I7905">
            <v>0</v>
          </cell>
        </row>
        <row r="7906">
          <cell r="I7906">
            <v>0</v>
          </cell>
        </row>
        <row r="7907">
          <cell r="I7907">
            <v>0</v>
          </cell>
        </row>
        <row r="7908">
          <cell r="I7908">
            <v>0</v>
          </cell>
        </row>
        <row r="7909">
          <cell r="I7909">
            <v>0</v>
          </cell>
        </row>
        <row r="7910">
          <cell r="I7910">
            <v>0</v>
          </cell>
        </row>
        <row r="7911">
          <cell r="I7911">
            <v>0</v>
          </cell>
        </row>
        <row r="7912">
          <cell r="I7912">
            <v>0</v>
          </cell>
        </row>
        <row r="7913">
          <cell r="I7913">
            <v>0</v>
          </cell>
        </row>
        <row r="7914">
          <cell r="I7914">
            <v>0</v>
          </cell>
        </row>
        <row r="7915">
          <cell r="I7915">
            <v>0</v>
          </cell>
        </row>
        <row r="7916">
          <cell r="I7916">
            <v>0</v>
          </cell>
        </row>
        <row r="7917">
          <cell r="I7917">
            <v>0</v>
          </cell>
        </row>
        <row r="7918">
          <cell r="I7918">
            <v>0</v>
          </cell>
        </row>
        <row r="7919">
          <cell r="I7919">
            <v>0</v>
          </cell>
        </row>
        <row r="7920">
          <cell r="I7920">
            <v>0</v>
          </cell>
        </row>
        <row r="7921">
          <cell r="I7921">
            <v>0</v>
          </cell>
        </row>
        <row r="7922">
          <cell r="I7922">
            <v>0</v>
          </cell>
        </row>
        <row r="7923">
          <cell r="I7923">
            <v>0</v>
          </cell>
        </row>
        <row r="7924">
          <cell r="I7924">
            <v>0</v>
          </cell>
        </row>
        <row r="7925">
          <cell r="I7925">
            <v>0</v>
          </cell>
        </row>
        <row r="7926">
          <cell r="I7926">
            <v>0</v>
          </cell>
        </row>
        <row r="7927">
          <cell r="I7927">
            <v>0</v>
          </cell>
        </row>
        <row r="7928">
          <cell r="I7928">
            <v>0</v>
          </cell>
        </row>
        <row r="7929">
          <cell r="I7929">
            <v>0</v>
          </cell>
        </row>
        <row r="7930">
          <cell r="I7930">
            <v>0</v>
          </cell>
        </row>
        <row r="7931">
          <cell r="I7931">
            <v>0</v>
          </cell>
        </row>
        <row r="7932">
          <cell r="I7932">
            <v>0</v>
          </cell>
        </row>
        <row r="7933">
          <cell r="I7933">
            <v>0</v>
          </cell>
        </row>
        <row r="7934">
          <cell r="I7934">
            <v>0</v>
          </cell>
        </row>
        <row r="7935">
          <cell r="I7935">
            <v>0</v>
          </cell>
        </row>
        <row r="7936">
          <cell r="I7936">
            <v>0</v>
          </cell>
        </row>
        <row r="7937">
          <cell r="I7937">
            <v>0</v>
          </cell>
        </row>
        <row r="7938">
          <cell r="I7938">
            <v>0</v>
          </cell>
        </row>
        <row r="7939">
          <cell r="I7939">
            <v>0</v>
          </cell>
        </row>
        <row r="7940">
          <cell r="I7940">
            <v>0</v>
          </cell>
        </row>
        <row r="7941">
          <cell r="I7941">
            <v>0</v>
          </cell>
        </row>
        <row r="7942">
          <cell r="I7942">
            <v>0</v>
          </cell>
        </row>
        <row r="7943">
          <cell r="I7943">
            <v>0</v>
          </cell>
        </row>
        <row r="7944">
          <cell r="I7944">
            <v>0</v>
          </cell>
        </row>
        <row r="7945">
          <cell r="I7945">
            <v>0</v>
          </cell>
        </row>
        <row r="7946">
          <cell r="I7946">
            <v>0</v>
          </cell>
        </row>
        <row r="7947">
          <cell r="I7947">
            <v>0</v>
          </cell>
        </row>
        <row r="7948">
          <cell r="I7948">
            <v>0</v>
          </cell>
        </row>
        <row r="7949">
          <cell r="I7949">
            <v>0</v>
          </cell>
        </row>
        <row r="7950">
          <cell r="I7950">
            <v>0</v>
          </cell>
        </row>
        <row r="7951">
          <cell r="I7951">
            <v>0</v>
          </cell>
        </row>
        <row r="7952">
          <cell r="I7952">
            <v>0</v>
          </cell>
        </row>
        <row r="7953">
          <cell r="I7953">
            <v>0</v>
          </cell>
        </row>
        <row r="7954">
          <cell r="I7954">
            <v>0</v>
          </cell>
        </row>
        <row r="7955">
          <cell r="I7955">
            <v>0</v>
          </cell>
        </row>
        <row r="7956">
          <cell r="I7956">
            <v>0</v>
          </cell>
        </row>
        <row r="7957">
          <cell r="I7957">
            <v>0</v>
          </cell>
        </row>
        <row r="7958">
          <cell r="I7958">
            <v>0</v>
          </cell>
        </row>
        <row r="7959">
          <cell r="I7959">
            <v>0</v>
          </cell>
        </row>
        <row r="7960">
          <cell r="I7960">
            <v>0</v>
          </cell>
        </row>
        <row r="7961">
          <cell r="I7961">
            <v>0</v>
          </cell>
        </row>
        <row r="7962">
          <cell r="I7962">
            <v>0</v>
          </cell>
        </row>
        <row r="7963">
          <cell r="I7963">
            <v>0</v>
          </cell>
        </row>
        <row r="7964">
          <cell r="I7964">
            <v>0</v>
          </cell>
        </row>
        <row r="7965">
          <cell r="I7965">
            <v>0</v>
          </cell>
        </row>
        <row r="7966">
          <cell r="I7966">
            <v>0</v>
          </cell>
        </row>
        <row r="7967">
          <cell r="I7967">
            <v>0</v>
          </cell>
        </row>
        <row r="7968">
          <cell r="I7968">
            <v>0</v>
          </cell>
        </row>
        <row r="7969">
          <cell r="I7969">
            <v>0</v>
          </cell>
        </row>
        <row r="7970">
          <cell r="I7970">
            <v>0</v>
          </cell>
        </row>
        <row r="7971">
          <cell r="I7971">
            <v>0</v>
          </cell>
        </row>
        <row r="7972">
          <cell r="I7972">
            <v>0</v>
          </cell>
        </row>
        <row r="7973">
          <cell r="I7973">
            <v>0</v>
          </cell>
        </row>
        <row r="7974">
          <cell r="I7974">
            <v>0</v>
          </cell>
        </row>
        <row r="7975">
          <cell r="I7975">
            <v>0</v>
          </cell>
        </row>
        <row r="7976">
          <cell r="I7976">
            <v>0</v>
          </cell>
        </row>
        <row r="7977">
          <cell r="I7977">
            <v>0</v>
          </cell>
        </row>
        <row r="7978">
          <cell r="I7978">
            <v>0</v>
          </cell>
        </row>
        <row r="7979">
          <cell r="I7979">
            <v>0</v>
          </cell>
        </row>
        <row r="7980">
          <cell r="I7980">
            <v>0</v>
          </cell>
        </row>
        <row r="7981">
          <cell r="I7981">
            <v>0</v>
          </cell>
        </row>
        <row r="7982">
          <cell r="I7982">
            <v>0</v>
          </cell>
        </row>
        <row r="7983">
          <cell r="I7983">
            <v>0</v>
          </cell>
        </row>
        <row r="7984">
          <cell r="I7984">
            <v>0</v>
          </cell>
        </row>
        <row r="7985">
          <cell r="I7985">
            <v>0</v>
          </cell>
        </row>
        <row r="7986">
          <cell r="I7986">
            <v>0</v>
          </cell>
        </row>
        <row r="7987">
          <cell r="I7987">
            <v>0</v>
          </cell>
        </row>
        <row r="7988">
          <cell r="I7988">
            <v>0</v>
          </cell>
        </row>
        <row r="7989">
          <cell r="I7989">
            <v>0</v>
          </cell>
        </row>
        <row r="7990">
          <cell r="I7990">
            <v>0</v>
          </cell>
        </row>
        <row r="7991">
          <cell r="I7991">
            <v>0</v>
          </cell>
        </row>
        <row r="7992">
          <cell r="I7992">
            <v>0</v>
          </cell>
        </row>
        <row r="7993">
          <cell r="I7993">
            <v>0</v>
          </cell>
        </row>
        <row r="7994">
          <cell r="I7994">
            <v>0</v>
          </cell>
        </row>
        <row r="7995">
          <cell r="I7995">
            <v>0</v>
          </cell>
        </row>
        <row r="7996">
          <cell r="I7996">
            <v>0</v>
          </cell>
        </row>
        <row r="7997">
          <cell r="I7997">
            <v>0</v>
          </cell>
        </row>
        <row r="7998">
          <cell r="I7998">
            <v>0</v>
          </cell>
        </row>
        <row r="7999">
          <cell r="I7999">
            <v>0</v>
          </cell>
        </row>
        <row r="8000">
          <cell r="I8000">
            <v>0</v>
          </cell>
        </row>
        <row r="8001">
          <cell r="I8001">
            <v>0</v>
          </cell>
        </row>
        <row r="8002">
          <cell r="I8002">
            <v>0</v>
          </cell>
        </row>
        <row r="8003">
          <cell r="I8003">
            <v>0</v>
          </cell>
        </row>
        <row r="8004">
          <cell r="I8004">
            <v>0</v>
          </cell>
        </row>
        <row r="8005">
          <cell r="I8005">
            <v>0</v>
          </cell>
        </row>
        <row r="8006">
          <cell r="I8006">
            <v>0</v>
          </cell>
        </row>
        <row r="8007">
          <cell r="I8007">
            <v>0</v>
          </cell>
        </row>
        <row r="8008">
          <cell r="I8008">
            <v>0</v>
          </cell>
        </row>
        <row r="8009">
          <cell r="I8009">
            <v>0</v>
          </cell>
        </row>
        <row r="8010">
          <cell r="I8010">
            <v>0</v>
          </cell>
        </row>
        <row r="8011">
          <cell r="I8011">
            <v>0</v>
          </cell>
        </row>
        <row r="8012">
          <cell r="I8012">
            <v>0</v>
          </cell>
        </row>
        <row r="8013">
          <cell r="I8013">
            <v>0</v>
          </cell>
        </row>
        <row r="8014">
          <cell r="I8014">
            <v>0</v>
          </cell>
        </row>
        <row r="8015">
          <cell r="I8015">
            <v>0</v>
          </cell>
        </row>
        <row r="8016">
          <cell r="I8016">
            <v>0</v>
          </cell>
        </row>
        <row r="8017">
          <cell r="I8017">
            <v>0</v>
          </cell>
        </row>
        <row r="8018">
          <cell r="I8018">
            <v>0</v>
          </cell>
        </row>
        <row r="8019">
          <cell r="I8019">
            <v>0</v>
          </cell>
        </row>
        <row r="8020">
          <cell r="I8020">
            <v>0</v>
          </cell>
        </row>
        <row r="8021">
          <cell r="I8021">
            <v>0</v>
          </cell>
        </row>
        <row r="8022">
          <cell r="I8022">
            <v>0</v>
          </cell>
        </row>
        <row r="8023">
          <cell r="I8023">
            <v>0</v>
          </cell>
        </row>
        <row r="8024">
          <cell r="I8024">
            <v>0</v>
          </cell>
        </row>
        <row r="8025">
          <cell r="I8025">
            <v>0</v>
          </cell>
        </row>
        <row r="8026">
          <cell r="I8026">
            <v>0</v>
          </cell>
        </row>
        <row r="8027">
          <cell r="I8027">
            <v>0</v>
          </cell>
        </row>
        <row r="8028">
          <cell r="I8028">
            <v>0</v>
          </cell>
        </row>
        <row r="8029">
          <cell r="I8029">
            <v>0</v>
          </cell>
        </row>
        <row r="8030">
          <cell r="I8030">
            <v>0</v>
          </cell>
        </row>
        <row r="8031">
          <cell r="I8031">
            <v>0</v>
          </cell>
        </row>
        <row r="8032">
          <cell r="I8032">
            <v>0</v>
          </cell>
        </row>
        <row r="8033">
          <cell r="I8033">
            <v>0</v>
          </cell>
        </row>
        <row r="8034">
          <cell r="I8034">
            <v>0</v>
          </cell>
        </row>
        <row r="8035">
          <cell r="I8035">
            <v>0</v>
          </cell>
        </row>
        <row r="8036">
          <cell r="I8036">
            <v>0</v>
          </cell>
        </row>
        <row r="8037">
          <cell r="I8037">
            <v>0</v>
          </cell>
        </row>
        <row r="8038">
          <cell r="I8038">
            <v>0</v>
          </cell>
        </row>
        <row r="8039">
          <cell r="I8039">
            <v>0</v>
          </cell>
        </row>
        <row r="8040">
          <cell r="I8040">
            <v>0</v>
          </cell>
        </row>
        <row r="8041">
          <cell r="I8041">
            <v>0</v>
          </cell>
        </row>
        <row r="8042">
          <cell r="I8042">
            <v>0</v>
          </cell>
        </row>
        <row r="8043">
          <cell r="I8043">
            <v>0</v>
          </cell>
        </row>
        <row r="8044">
          <cell r="I8044">
            <v>0</v>
          </cell>
        </row>
        <row r="8045">
          <cell r="I8045">
            <v>0</v>
          </cell>
        </row>
        <row r="8046">
          <cell r="I8046">
            <v>0</v>
          </cell>
        </row>
        <row r="8047">
          <cell r="I8047">
            <v>0</v>
          </cell>
        </row>
        <row r="8048">
          <cell r="I8048">
            <v>0</v>
          </cell>
        </row>
        <row r="8049">
          <cell r="I8049">
            <v>0</v>
          </cell>
        </row>
        <row r="8050">
          <cell r="I8050">
            <v>0</v>
          </cell>
        </row>
        <row r="8051">
          <cell r="I8051">
            <v>0</v>
          </cell>
        </row>
        <row r="8052">
          <cell r="I8052">
            <v>0</v>
          </cell>
        </row>
        <row r="8053">
          <cell r="I8053">
            <v>0</v>
          </cell>
        </row>
        <row r="8054">
          <cell r="I8054">
            <v>0</v>
          </cell>
        </row>
        <row r="8055">
          <cell r="I8055">
            <v>0</v>
          </cell>
        </row>
        <row r="8056">
          <cell r="I8056">
            <v>0</v>
          </cell>
        </row>
        <row r="8057">
          <cell r="I8057">
            <v>0</v>
          </cell>
        </row>
        <row r="8058">
          <cell r="I8058">
            <v>0</v>
          </cell>
        </row>
        <row r="8059">
          <cell r="I8059">
            <v>0</v>
          </cell>
        </row>
        <row r="8060">
          <cell r="I8060">
            <v>0</v>
          </cell>
        </row>
        <row r="8061">
          <cell r="I8061">
            <v>0</v>
          </cell>
        </row>
        <row r="8062">
          <cell r="I8062">
            <v>0</v>
          </cell>
        </row>
        <row r="8063">
          <cell r="I8063">
            <v>0</v>
          </cell>
        </row>
        <row r="8064">
          <cell r="I8064">
            <v>0</v>
          </cell>
        </row>
        <row r="8065">
          <cell r="I8065">
            <v>0</v>
          </cell>
        </row>
        <row r="8066">
          <cell r="I8066">
            <v>0</v>
          </cell>
        </row>
        <row r="8067">
          <cell r="I8067">
            <v>0</v>
          </cell>
        </row>
        <row r="8068">
          <cell r="I8068">
            <v>0</v>
          </cell>
        </row>
        <row r="8069">
          <cell r="I8069">
            <v>0</v>
          </cell>
        </row>
        <row r="8070">
          <cell r="I8070">
            <v>0</v>
          </cell>
        </row>
        <row r="8071">
          <cell r="I8071">
            <v>0</v>
          </cell>
        </row>
        <row r="8072">
          <cell r="I8072">
            <v>0</v>
          </cell>
        </row>
        <row r="8073">
          <cell r="I8073">
            <v>0</v>
          </cell>
        </row>
        <row r="8074">
          <cell r="I8074">
            <v>0</v>
          </cell>
        </row>
        <row r="8075">
          <cell r="I8075">
            <v>0</v>
          </cell>
        </row>
        <row r="8076">
          <cell r="I8076">
            <v>0</v>
          </cell>
        </row>
        <row r="8077">
          <cell r="I8077">
            <v>0</v>
          </cell>
        </row>
        <row r="8078">
          <cell r="I8078">
            <v>0</v>
          </cell>
        </row>
        <row r="8079">
          <cell r="I8079">
            <v>0</v>
          </cell>
        </row>
        <row r="8080">
          <cell r="I8080">
            <v>0</v>
          </cell>
        </row>
        <row r="8081">
          <cell r="I8081">
            <v>0</v>
          </cell>
        </row>
        <row r="8082">
          <cell r="I8082">
            <v>0</v>
          </cell>
        </row>
        <row r="8083">
          <cell r="I8083">
            <v>0</v>
          </cell>
        </row>
        <row r="8084">
          <cell r="I8084">
            <v>0</v>
          </cell>
        </row>
        <row r="8085">
          <cell r="I8085">
            <v>0</v>
          </cell>
        </row>
        <row r="8086">
          <cell r="I8086">
            <v>0</v>
          </cell>
        </row>
        <row r="8087">
          <cell r="I8087">
            <v>0</v>
          </cell>
        </row>
        <row r="8088">
          <cell r="I8088">
            <v>0</v>
          </cell>
        </row>
        <row r="8089">
          <cell r="I8089">
            <v>0</v>
          </cell>
        </row>
        <row r="8090">
          <cell r="I8090">
            <v>0</v>
          </cell>
        </row>
        <row r="8091">
          <cell r="I8091">
            <v>0</v>
          </cell>
        </row>
        <row r="8092">
          <cell r="I8092">
            <v>0</v>
          </cell>
        </row>
        <row r="8093">
          <cell r="I8093">
            <v>0</v>
          </cell>
        </row>
        <row r="8094">
          <cell r="I8094">
            <v>0</v>
          </cell>
        </row>
        <row r="8095">
          <cell r="I8095">
            <v>0</v>
          </cell>
        </row>
        <row r="8096">
          <cell r="I8096">
            <v>0</v>
          </cell>
        </row>
        <row r="8097">
          <cell r="I8097">
            <v>0</v>
          </cell>
        </row>
        <row r="8098">
          <cell r="I8098">
            <v>0</v>
          </cell>
        </row>
        <row r="8099">
          <cell r="I8099">
            <v>0</v>
          </cell>
        </row>
        <row r="8100">
          <cell r="I8100">
            <v>0</v>
          </cell>
        </row>
        <row r="8101">
          <cell r="I8101">
            <v>0</v>
          </cell>
        </row>
        <row r="8102">
          <cell r="I8102">
            <v>0</v>
          </cell>
        </row>
        <row r="8103">
          <cell r="I8103">
            <v>0</v>
          </cell>
        </row>
        <row r="8104">
          <cell r="I8104">
            <v>0</v>
          </cell>
        </row>
        <row r="8105">
          <cell r="I8105">
            <v>0</v>
          </cell>
        </row>
        <row r="8106">
          <cell r="I8106">
            <v>0</v>
          </cell>
        </row>
        <row r="8107">
          <cell r="I8107">
            <v>0</v>
          </cell>
        </row>
        <row r="8108">
          <cell r="I8108">
            <v>0</v>
          </cell>
        </row>
        <row r="8109">
          <cell r="I8109">
            <v>0</v>
          </cell>
        </row>
        <row r="8110">
          <cell r="I8110">
            <v>0</v>
          </cell>
        </row>
        <row r="8111">
          <cell r="I8111">
            <v>0</v>
          </cell>
        </row>
        <row r="8112">
          <cell r="I8112">
            <v>0</v>
          </cell>
        </row>
        <row r="8113">
          <cell r="I8113">
            <v>0</v>
          </cell>
        </row>
        <row r="8114">
          <cell r="I8114">
            <v>0</v>
          </cell>
        </row>
        <row r="8115">
          <cell r="I8115">
            <v>0</v>
          </cell>
        </row>
        <row r="8116">
          <cell r="I8116">
            <v>0</v>
          </cell>
        </row>
        <row r="8117">
          <cell r="I8117">
            <v>0</v>
          </cell>
        </row>
        <row r="8118">
          <cell r="I8118">
            <v>0</v>
          </cell>
        </row>
        <row r="8119">
          <cell r="I8119">
            <v>0</v>
          </cell>
        </row>
        <row r="8120">
          <cell r="I8120">
            <v>0</v>
          </cell>
        </row>
        <row r="8121">
          <cell r="I8121">
            <v>0</v>
          </cell>
        </row>
        <row r="8122">
          <cell r="I8122">
            <v>0</v>
          </cell>
        </row>
        <row r="8123">
          <cell r="I8123">
            <v>0</v>
          </cell>
        </row>
        <row r="8124">
          <cell r="I8124">
            <v>0</v>
          </cell>
        </row>
        <row r="8125">
          <cell r="I8125">
            <v>0</v>
          </cell>
        </row>
        <row r="8126">
          <cell r="I8126">
            <v>0</v>
          </cell>
        </row>
        <row r="8127">
          <cell r="I8127">
            <v>0</v>
          </cell>
        </row>
        <row r="8128">
          <cell r="I8128">
            <v>0</v>
          </cell>
        </row>
        <row r="8129">
          <cell r="I8129">
            <v>0</v>
          </cell>
        </row>
        <row r="8130">
          <cell r="I8130">
            <v>0</v>
          </cell>
        </row>
        <row r="8131">
          <cell r="I8131">
            <v>0</v>
          </cell>
        </row>
        <row r="8132">
          <cell r="I8132">
            <v>0</v>
          </cell>
        </row>
        <row r="8133">
          <cell r="I8133">
            <v>0</v>
          </cell>
        </row>
        <row r="8134">
          <cell r="I8134">
            <v>0</v>
          </cell>
        </row>
        <row r="8135">
          <cell r="I8135">
            <v>0</v>
          </cell>
        </row>
        <row r="8136">
          <cell r="I8136">
            <v>0</v>
          </cell>
        </row>
        <row r="8137">
          <cell r="I8137">
            <v>0</v>
          </cell>
        </row>
        <row r="8138">
          <cell r="I8138">
            <v>0</v>
          </cell>
        </row>
        <row r="8139">
          <cell r="I8139">
            <v>0</v>
          </cell>
        </row>
        <row r="8140">
          <cell r="I8140">
            <v>0</v>
          </cell>
        </row>
        <row r="8141">
          <cell r="I8141">
            <v>0</v>
          </cell>
        </row>
        <row r="8142">
          <cell r="I8142">
            <v>0</v>
          </cell>
        </row>
        <row r="8143">
          <cell r="I8143">
            <v>0</v>
          </cell>
        </row>
        <row r="8144">
          <cell r="I8144">
            <v>0</v>
          </cell>
        </row>
        <row r="8145">
          <cell r="I8145">
            <v>0</v>
          </cell>
        </row>
        <row r="8146">
          <cell r="I8146">
            <v>0</v>
          </cell>
        </row>
        <row r="8147">
          <cell r="I8147">
            <v>0</v>
          </cell>
        </row>
        <row r="8148">
          <cell r="I8148">
            <v>0</v>
          </cell>
        </row>
        <row r="8149">
          <cell r="I8149">
            <v>0</v>
          </cell>
        </row>
        <row r="8150">
          <cell r="I8150">
            <v>0</v>
          </cell>
        </row>
        <row r="8151">
          <cell r="I8151">
            <v>0</v>
          </cell>
        </row>
        <row r="8152">
          <cell r="I8152">
            <v>0</v>
          </cell>
        </row>
        <row r="8153">
          <cell r="I8153">
            <v>0</v>
          </cell>
        </row>
        <row r="8154">
          <cell r="I8154">
            <v>0</v>
          </cell>
        </row>
        <row r="8155">
          <cell r="I8155">
            <v>0</v>
          </cell>
        </row>
        <row r="8156">
          <cell r="I8156">
            <v>0</v>
          </cell>
        </row>
        <row r="8157">
          <cell r="I8157">
            <v>0</v>
          </cell>
        </row>
        <row r="8158">
          <cell r="I8158">
            <v>0</v>
          </cell>
        </row>
        <row r="8159">
          <cell r="I8159">
            <v>0</v>
          </cell>
        </row>
        <row r="8160">
          <cell r="I8160">
            <v>0</v>
          </cell>
        </row>
        <row r="8161">
          <cell r="I8161">
            <v>0</v>
          </cell>
        </row>
        <row r="8162">
          <cell r="I8162">
            <v>0</v>
          </cell>
        </row>
        <row r="8163">
          <cell r="I8163">
            <v>0</v>
          </cell>
        </row>
        <row r="8164">
          <cell r="I8164">
            <v>0</v>
          </cell>
        </row>
        <row r="8165">
          <cell r="I8165">
            <v>0</v>
          </cell>
        </row>
        <row r="8166">
          <cell r="I8166">
            <v>0</v>
          </cell>
        </row>
        <row r="8167">
          <cell r="I8167">
            <v>0</v>
          </cell>
        </row>
        <row r="8168">
          <cell r="I8168">
            <v>0</v>
          </cell>
        </row>
        <row r="8169">
          <cell r="I8169">
            <v>0</v>
          </cell>
        </row>
        <row r="8170">
          <cell r="I8170">
            <v>0</v>
          </cell>
        </row>
        <row r="8171">
          <cell r="I8171">
            <v>0</v>
          </cell>
        </row>
        <row r="8172">
          <cell r="I8172">
            <v>0</v>
          </cell>
        </row>
        <row r="8173">
          <cell r="I8173">
            <v>0</v>
          </cell>
        </row>
        <row r="8174">
          <cell r="I8174">
            <v>0</v>
          </cell>
        </row>
        <row r="8175">
          <cell r="I8175">
            <v>0</v>
          </cell>
        </row>
        <row r="8176">
          <cell r="I8176">
            <v>0</v>
          </cell>
        </row>
        <row r="8177">
          <cell r="I8177">
            <v>0</v>
          </cell>
        </row>
        <row r="8178">
          <cell r="I8178">
            <v>0</v>
          </cell>
        </row>
        <row r="8179">
          <cell r="I8179">
            <v>0</v>
          </cell>
        </row>
        <row r="8180">
          <cell r="I8180">
            <v>0</v>
          </cell>
        </row>
        <row r="8181">
          <cell r="I8181">
            <v>0</v>
          </cell>
        </row>
        <row r="8182">
          <cell r="I8182">
            <v>0</v>
          </cell>
        </row>
        <row r="8183">
          <cell r="I8183">
            <v>0</v>
          </cell>
        </row>
        <row r="8184">
          <cell r="I8184">
            <v>0</v>
          </cell>
        </row>
        <row r="8185">
          <cell r="I8185">
            <v>0</v>
          </cell>
        </row>
        <row r="8186">
          <cell r="I8186">
            <v>0</v>
          </cell>
        </row>
        <row r="8187">
          <cell r="I8187">
            <v>0</v>
          </cell>
        </row>
        <row r="8188">
          <cell r="I8188">
            <v>0</v>
          </cell>
        </row>
        <row r="8189">
          <cell r="I8189">
            <v>0</v>
          </cell>
        </row>
        <row r="8190">
          <cell r="I8190">
            <v>0</v>
          </cell>
        </row>
        <row r="8191">
          <cell r="I8191">
            <v>0</v>
          </cell>
        </row>
        <row r="8192">
          <cell r="I8192">
            <v>0</v>
          </cell>
        </row>
        <row r="8193">
          <cell r="I8193">
            <v>0</v>
          </cell>
        </row>
        <row r="8194">
          <cell r="I8194">
            <v>0</v>
          </cell>
        </row>
        <row r="8195">
          <cell r="I8195">
            <v>0</v>
          </cell>
        </row>
        <row r="8196">
          <cell r="I8196">
            <v>0</v>
          </cell>
        </row>
        <row r="8197">
          <cell r="I8197">
            <v>0</v>
          </cell>
        </row>
        <row r="8198">
          <cell r="I8198">
            <v>0</v>
          </cell>
        </row>
        <row r="8199">
          <cell r="I8199">
            <v>0</v>
          </cell>
        </row>
        <row r="8200">
          <cell r="I8200">
            <v>0</v>
          </cell>
        </row>
        <row r="8201">
          <cell r="I8201">
            <v>0</v>
          </cell>
        </row>
        <row r="8202">
          <cell r="I8202">
            <v>0</v>
          </cell>
        </row>
        <row r="8203">
          <cell r="I8203">
            <v>0</v>
          </cell>
        </row>
        <row r="8204">
          <cell r="I8204">
            <v>0</v>
          </cell>
        </row>
        <row r="8205">
          <cell r="I8205">
            <v>0</v>
          </cell>
        </row>
        <row r="8206">
          <cell r="I8206">
            <v>0</v>
          </cell>
        </row>
        <row r="8207">
          <cell r="I8207">
            <v>0</v>
          </cell>
        </row>
        <row r="8208">
          <cell r="I8208">
            <v>0</v>
          </cell>
        </row>
        <row r="8209">
          <cell r="I8209">
            <v>0</v>
          </cell>
        </row>
        <row r="8210">
          <cell r="I8210">
            <v>0</v>
          </cell>
        </row>
        <row r="8211">
          <cell r="I8211">
            <v>0</v>
          </cell>
        </row>
        <row r="8212">
          <cell r="I8212">
            <v>0</v>
          </cell>
        </row>
        <row r="8213">
          <cell r="I8213">
            <v>0</v>
          </cell>
        </row>
        <row r="8214">
          <cell r="I8214">
            <v>0</v>
          </cell>
        </row>
        <row r="8215">
          <cell r="I8215">
            <v>0</v>
          </cell>
        </row>
        <row r="8216">
          <cell r="I8216">
            <v>0</v>
          </cell>
        </row>
        <row r="8217">
          <cell r="I8217">
            <v>0</v>
          </cell>
        </row>
        <row r="8218">
          <cell r="I8218">
            <v>0</v>
          </cell>
        </row>
        <row r="8219">
          <cell r="I8219">
            <v>0</v>
          </cell>
        </row>
        <row r="8220">
          <cell r="I8220">
            <v>0</v>
          </cell>
        </row>
        <row r="8221">
          <cell r="I8221">
            <v>0</v>
          </cell>
        </row>
        <row r="8222">
          <cell r="I8222">
            <v>0</v>
          </cell>
        </row>
        <row r="8223">
          <cell r="I8223">
            <v>0</v>
          </cell>
        </row>
        <row r="8224">
          <cell r="I8224">
            <v>0</v>
          </cell>
        </row>
        <row r="8225">
          <cell r="I8225">
            <v>0</v>
          </cell>
        </row>
        <row r="8226">
          <cell r="I8226">
            <v>0</v>
          </cell>
        </row>
        <row r="8227">
          <cell r="I8227">
            <v>0</v>
          </cell>
        </row>
        <row r="8228">
          <cell r="I8228">
            <v>0</v>
          </cell>
        </row>
        <row r="8229">
          <cell r="I8229">
            <v>0</v>
          </cell>
        </row>
        <row r="8230">
          <cell r="I8230">
            <v>0</v>
          </cell>
        </row>
        <row r="8231">
          <cell r="I8231">
            <v>0</v>
          </cell>
        </row>
        <row r="8232">
          <cell r="I8232">
            <v>0</v>
          </cell>
        </row>
        <row r="8233">
          <cell r="I8233">
            <v>0</v>
          </cell>
        </row>
        <row r="8234">
          <cell r="I8234">
            <v>0</v>
          </cell>
        </row>
        <row r="8235">
          <cell r="I8235">
            <v>0</v>
          </cell>
        </row>
        <row r="8236">
          <cell r="I8236">
            <v>0</v>
          </cell>
        </row>
        <row r="8237">
          <cell r="I8237">
            <v>0</v>
          </cell>
        </row>
      </sheetData>
      <sheetData sheetId="1"/>
      <sheetData sheetId="2"/>
      <sheetData sheetId="3">
        <row r="10">
          <cell r="I10" t="e">
            <v>#REF!</v>
          </cell>
        </row>
        <row r="11">
          <cell r="I11" t="e">
            <v>#REF!</v>
          </cell>
        </row>
        <row r="12">
          <cell r="I12" t="e">
            <v>#REF!</v>
          </cell>
        </row>
        <row r="15">
          <cell r="I15" t="e">
            <v>#REF!</v>
          </cell>
        </row>
        <row r="16">
          <cell r="I16" t="e">
            <v>#REF!</v>
          </cell>
        </row>
        <row r="17">
          <cell r="I17" t="e">
            <v>#REF!</v>
          </cell>
        </row>
        <row r="18">
          <cell r="I18" t="e">
            <v>#REF!</v>
          </cell>
        </row>
        <row r="19">
          <cell r="I19" t="e">
            <v>#REF!</v>
          </cell>
        </row>
        <row r="21">
          <cell r="I21" t="e">
            <v>#REF!</v>
          </cell>
        </row>
        <row r="22">
          <cell r="I22" t="e">
            <v>#REF!</v>
          </cell>
        </row>
        <row r="23">
          <cell r="I23" t="e">
            <v>#REF!</v>
          </cell>
        </row>
        <row r="24">
          <cell r="I24" t="e">
            <v>#REF!</v>
          </cell>
        </row>
        <row r="25">
          <cell r="I25" t="e">
            <v>#REF!</v>
          </cell>
        </row>
        <row r="26">
          <cell r="I26" t="e">
            <v>#REF!</v>
          </cell>
        </row>
        <row r="27">
          <cell r="I27" t="e">
            <v>#REF!</v>
          </cell>
        </row>
        <row r="28">
          <cell r="I28" t="e">
            <v>#REF!</v>
          </cell>
        </row>
        <row r="29">
          <cell r="I29" t="e">
            <v>#REF!</v>
          </cell>
        </row>
        <row r="31">
          <cell r="I31" t="e">
            <v>#REF!</v>
          </cell>
        </row>
        <row r="32">
          <cell r="I32" t="e">
            <v>#REF!</v>
          </cell>
        </row>
        <row r="33">
          <cell r="I33" t="e">
            <v>#REF!</v>
          </cell>
        </row>
        <row r="34">
          <cell r="I34" t="e">
            <v>#REF!</v>
          </cell>
        </row>
        <row r="35">
          <cell r="I35" t="e">
            <v>#REF!</v>
          </cell>
        </row>
        <row r="36">
          <cell r="I36" t="e">
            <v>#REF!</v>
          </cell>
        </row>
        <row r="37">
          <cell r="I37" t="e">
            <v>#REF!</v>
          </cell>
        </row>
        <row r="38">
          <cell r="I38" t="e">
            <v>#REF!</v>
          </cell>
        </row>
        <row r="39">
          <cell r="I39" t="e">
            <v>#REF!</v>
          </cell>
        </row>
        <row r="40">
          <cell r="I40" t="e">
            <v>#REF!</v>
          </cell>
        </row>
        <row r="41">
          <cell r="I41" t="e">
            <v>#REF!</v>
          </cell>
        </row>
        <row r="42">
          <cell r="I42" t="e">
            <v>#REF!</v>
          </cell>
        </row>
        <row r="43">
          <cell r="I43" t="e">
            <v>#REF!</v>
          </cell>
        </row>
        <row r="44">
          <cell r="I44" t="e">
            <v>#REF!</v>
          </cell>
        </row>
        <row r="45">
          <cell r="I45" t="e">
            <v>#REF!</v>
          </cell>
        </row>
        <row r="46">
          <cell r="I46" t="e">
            <v>#REF!</v>
          </cell>
        </row>
        <row r="47">
          <cell r="I47" t="e">
            <v>#REF!</v>
          </cell>
        </row>
        <row r="48">
          <cell r="I48" t="e">
            <v>#REF!</v>
          </cell>
        </row>
        <row r="50">
          <cell r="I50" t="e">
            <v>#REF!</v>
          </cell>
        </row>
        <row r="51">
          <cell r="I51" t="e">
            <v>#REF!</v>
          </cell>
        </row>
        <row r="53">
          <cell r="I53" t="e">
            <v>#REF!</v>
          </cell>
        </row>
        <row r="54">
          <cell r="I54" t="e">
            <v>#REF!</v>
          </cell>
        </row>
        <row r="56">
          <cell r="I56" t="e">
            <v>#REF!</v>
          </cell>
        </row>
        <row r="62">
          <cell r="I62" t="e">
            <v>#REF!</v>
          </cell>
        </row>
        <row r="75">
          <cell r="I75" t="e">
            <v>#REF!</v>
          </cell>
        </row>
        <row r="78">
          <cell r="I78" t="e">
            <v>#REF!</v>
          </cell>
        </row>
        <row r="79">
          <cell r="I79" t="e">
            <v>#REF!</v>
          </cell>
        </row>
        <row r="80">
          <cell r="I80" t="e">
            <v>#REF!</v>
          </cell>
        </row>
        <row r="81">
          <cell r="I81" t="e">
            <v>#REF!</v>
          </cell>
        </row>
        <row r="82">
          <cell r="I82" t="e">
            <v>#REF!</v>
          </cell>
        </row>
        <row r="83">
          <cell r="I83" t="e">
            <v>#REF!</v>
          </cell>
        </row>
        <row r="84">
          <cell r="I84" t="e">
            <v>#REF!</v>
          </cell>
        </row>
        <row r="85">
          <cell r="I85" t="e">
            <v>#REF!</v>
          </cell>
        </row>
        <row r="86">
          <cell r="I86" t="e">
            <v>#REF!</v>
          </cell>
        </row>
        <row r="87">
          <cell r="I87" t="e">
            <v>#REF!</v>
          </cell>
        </row>
        <row r="88">
          <cell r="I88" t="e">
            <v>#REF!</v>
          </cell>
        </row>
        <row r="89">
          <cell r="I89" t="e">
            <v>#REF!</v>
          </cell>
        </row>
        <row r="90">
          <cell r="I90" t="e">
            <v>#REF!</v>
          </cell>
        </row>
        <row r="91">
          <cell r="I91" t="e">
            <v>#REF!</v>
          </cell>
        </row>
        <row r="92">
          <cell r="I92" t="e">
            <v>#REF!</v>
          </cell>
        </row>
        <row r="93">
          <cell r="I93" t="e">
            <v>#REF!</v>
          </cell>
        </row>
        <row r="94">
          <cell r="I94" t="e">
            <v>#REF!</v>
          </cell>
        </row>
        <row r="95">
          <cell r="I95" t="e">
            <v>#REF!</v>
          </cell>
        </row>
        <row r="96">
          <cell r="I96" t="e">
            <v>#REF!</v>
          </cell>
        </row>
        <row r="97">
          <cell r="I97" t="e">
            <v>#REF!</v>
          </cell>
        </row>
        <row r="98">
          <cell r="I98" t="e">
            <v>#REF!</v>
          </cell>
        </row>
        <row r="99">
          <cell r="I99" t="e">
            <v>#REF!</v>
          </cell>
        </row>
        <row r="100">
          <cell r="I100" t="e">
            <v>#REF!</v>
          </cell>
        </row>
        <row r="101">
          <cell r="I101" t="e">
            <v>#REF!</v>
          </cell>
        </row>
        <row r="102">
          <cell r="I102" t="e">
            <v>#REF!</v>
          </cell>
        </row>
        <row r="103">
          <cell r="I103" t="e">
            <v>#REF!</v>
          </cell>
        </row>
        <row r="105">
          <cell r="I105" t="e">
            <v>#REF!</v>
          </cell>
        </row>
        <row r="106">
          <cell r="I106" t="e">
            <v>#REF!</v>
          </cell>
        </row>
        <row r="107">
          <cell r="I107" t="e">
            <v>#REF!</v>
          </cell>
        </row>
        <row r="109">
          <cell r="I109" t="e">
            <v>#REF!</v>
          </cell>
        </row>
        <row r="110">
          <cell r="I110" t="e">
            <v>#REF!</v>
          </cell>
        </row>
        <row r="111">
          <cell r="I111" t="e">
            <v>#REF!</v>
          </cell>
        </row>
        <row r="112">
          <cell r="I112" t="e">
            <v>#REF!</v>
          </cell>
        </row>
        <row r="113">
          <cell r="I113" t="e">
            <v>#REF!</v>
          </cell>
        </row>
        <row r="114">
          <cell r="I114" t="e">
            <v>#REF!</v>
          </cell>
        </row>
        <row r="115">
          <cell r="I115" t="e">
            <v>#REF!</v>
          </cell>
        </row>
        <row r="116">
          <cell r="I116" t="e">
            <v>#REF!</v>
          </cell>
        </row>
        <row r="117">
          <cell r="I117" t="e">
            <v>#REF!</v>
          </cell>
        </row>
        <row r="118">
          <cell r="I118" t="e">
            <v>#REF!</v>
          </cell>
        </row>
        <row r="119">
          <cell r="I119" t="e">
            <v>#REF!</v>
          </cell>
        </row>
        <row r="120">
          <cell r="I120" t="e">
            <v>#REF!</v>
          </cell>
        </row>
        <row r="121">
          <cell r="I121" t="e">
            <v>#REF!</v>
          </cell>
        </row>
        <row r="122">
          <cell r="I122" t="e">
            <v>#REF!</v>
          </cell>
        </row>
        <row r="123">
          <cell r="I123" t="e">
            <v>#REF!</v>
          </cell>
        </row>
        <row r="124">
          <cell r="I124" t="e">
            <v>#REF!</v>
          </cell>
        </row>
        <row r="125">
          <cell r="I125" t="e">
            <v>#REF!</v>
          </cell>
        </row>
        <row r="126">
          <cell r="I126" t="e">
            <v>#REF!</v>
          </cell>
        </row>
        <row r="127">
          <cell r="I127" t="e">
            <v>#REF!</v>
          </cell>
        </row>
        <row r="128">
          <cell r="I128" t="e">
            <v>#REF!</v>
          </cell>
        </row>
        <row r="129">
          <cell r="I129" t="e">
            <v>#REF!</v>
          </cell>
        </row>
        <row r="130">
          <cell r="I130" t="e">
            <v>#REF!</v>
          </cell>
        </row>
        <row r="131">
          <cell r="I131" t="e">
            <v>#REF!</v>
          </cell>
        </row>
        <row r="132">
          <cell r="I132" t="e">
            <v>#REF!</v>
          </cell>
        </row>
        <row r="133">
          <cell r="I133" t="e">
            <v>#REF!</v>
          </cell>
        </row>
        <row r="134">
          <cell r="I134" t="e">
            <v>#REF!</v>
          </cell>
        </row>
        <row r="135">
          <cell r="I135" t="e">
            <v>#REF!</v>
          </cell>
        </row>
        <row r="136">
          <cell r="I136" t="e">
            <v>#REF!</v>
          </cell>
        </row>
        <row r="143">
          <cell r="I143" t="e">
            <v>#REF!</v>
          </cell>
        </row>
        <row r="144">
          <cell r="I144" t="e">
            <v>#REF!</v>
          </cell>
        </row>
        <row r="145">
          <cell r="I145" t="e">
            <v>#REF!</v>
          </cell>
        </row>
        <row r="146">
          <cell r="I146" t="e">
            <v>#REF!</v>
          </cell>
        </row>
        <row r="147">
          <cell r="I147" t="e">
            <v>#REF!</v>
          </cell>
        </row>
        <row r="148">
          <cell r="I148" t="e">
            <v>#REF!</v>
          </cell>
        </row>
        <row r="150">
          <cell r="I150" t="e">
            <v>#REF!</v>
          </cell>
        </row>
        <row r="151">
          <cell r="I151" t="e">
            <v>#REF!</v>
          </cell>
        </row>
        <row r="152">
          <cell r="I152" t="e">
            <v>#REF!</v>
          </cell>
        </row>
        <row r="153">
          <cell r="I153" t="e">
            <v>#REF!</v>
          </cell>
        </row>
        <row r="154">
          <cell r="I154" t="e">
            <v>#REF!</v>
          </cell>
        </row>
        <row r="155">
          <cell r="I155" t="e">
            <v>#REF!</v>
          </cell>
        </row>
        <row r="156">
          <cell r="I156" t="e">
            <v>#REF!</v>
          </cell>
        </row>
        <row r="157">
          <cell r="I157" t="e">
            <v>#REF!</v>
          </cell>
        </row>
        <row r="158">
          <cell r="I158" t="e">
            <v>#REF!</v>
          </cell>
        </row>
        <row r="159">
          <cell r="I159" t="e">
            <v>#REF!</v>
          </cell>
        </row>
        <row r="160">
          <cell r="I160" t="e">
            <v>#REF!</v>
          </cell>
        </row>
        <row r="161">
          <cell r="I161" t="e">
            <v>#REF!</v>
          </cell>
        </row>
        <row r="162">
          <cell r="I162" t="e">
            <v>#REF!</v>
          </cell>
        </row>
        <row r="163">
          <cell r="I163" t="e">
            <v>#REF!</v>
          </cell>
        </row>
        <row r="164">
          <cell r="I164" t="e">
            <v>#REF!</v>
          </cell>
        </row>
        <row r="165">
          <cell r="I165" t="e">
            <v>#REF!</v>
          </cell>
        </row>
        <row r="166">
          <cell r="I166" t="e">
            <v>#REF!</v>
          </cell>
        </row>
        <row r="171">
          <cell r="I171" t="e">
            <v>#REF!</v>
          </cell>
        </row>
        <row r="173">
          <cell r="I173" t="e">
            <v>#REF!</v>
          </cell>
        </row>
        <row r="174">
          <cell r="I174" t="e">
            <v>#REF!</v>
          </cell>
        </row>
        <row r="175">
          <cell r="I175" t="e">
            <v>#REF!</v>
          </cell>
        </row>
        <row r="177">
          <cell r="I177" t="e">
            <v>#REF!</v>
          </cell>
        </row>
        <row r="178">
          <cell r="I178" t="e">
            <v>#REF!</v>
          </cell>
        </row>
        <row r="179">
          <cell r="I179" t="e">
            <v>#REF!</v>
          </cell>
        </row>
        <row r="180">
          <cell r="I180" t="e">
            <v>#REF!</v>
          </cell>
        </row>
        <row r="181">
          <cell r="I181" t="e">
            <v>#REF!</v>
          </cell>
        </row>
        <row r="182">
          <cell r="I182" t="e">
            <v>#REF!</v>
          </cell>
        </row>
        <row r="183">
          <cell r="I183" t="e">
            <v>#REF!</v>
          </cell>
        </row>
        <row r="184">
          <cell r="I184" t="e">
            <v>#REF!</v>
          </cell>
        </row>
        <row r="185">
          <cell r="I185" t="e">
            <v>#REF!</v>
          </cell>
        </row>
        <row r="186">
          <cell r="I186" t="e">
            <v>#REF!</v>
          </cell>
        </row>
        <row r="187">
          <cell r="I187" t="e">
            <v>#REF!</v>
          </cell>
        </row>
        <row r="188">
          <cell r="I188" t="e">
            <v>#REF!</v>
          </cell>
        </row>
        <row r="189">
          <cell r="I189" t="e">
            <v>#REF!</v>
          </cell>
        </row>
        <row r="190">
          <cell r="I190" t="e">
            <v>#REF!</v>
          </cell>
        </row>
        <row r="191">
          <cell r="I191" t="e">
            <v>#REF!</v>
          </cell>
        </row>
        <row r="192">
          <cell r="I192" t="e">
            <v>#REF!</v>
          </cell>
        </row>
        <row r="193">
          <cell r="I193" t="e">
            <v>#REF!</v>
          </cell>
        </row>
        <row r="194">
          <cell r="I194" t="e">
            <v>#REF!</v>
          </cell>
        </row>
        <row r="195">
          <cell r="I195" t="e">
            <v>#REF!</v>
          </cell>
        </row>
        <row r="196">
          <cell r="I196" t="e">
            <v>#REF!</v>
          </cell>
        </row>
        <row r="197">
          <cell r="I197" t="e">
            <v>#REF!</v>
          </cell>
        </row>
        <row r="198">
          <cell r="I198" t="e">
            <v>#REF!</v>
          </cell>
        </row>
        <row r="199">
          <cell r="I199" t="e">
            <v>#REF!</v>
          </cell>
        </row>
        <row r="200">
          <cell r="I200" t="e">
            <v>#REF!</v>
          </cell>
        </row>
        <row r="201">
          <cell r="I201" t="e">
            <v>#REF!</v>
          </cell>
        </row>
        <row r="202">
          <cell r="I202" t="e">
            <v>#REF!</v>
          </cell>
        </row>
        <row r="203">
          <cell r="I203" t="e">
            <v>#REF!</v>
          </cell>
        </row>
        <row r="204">
          <cell r="I204" t="e">
            <v>#REF!</v>
          </cell>
        </row>
        <row r="205">
          <cell r="I205" t="e">
            <v>#REF!</v>
          </cell>
        </row>
        <row r="206">
          <cell r="I206" t="e">
            <v>#REF!</v>
          </cell>
        </row>
        <row r="207">
          <cell r="I207" t="e">
            <v>#REF!</v>
          </cell>
        </row>
        <row r="208">
          <cell r="I208" t="e">
            <v>#REF!</v>
          </cell>
        </row>
        <row r="209">
          <cell r="I209" t="e">
            <v>#REF!</v>
          </cell>
        </row>
        <row r="210">
          <cell r="I210" t="e">
            <v>#REF!</v>
          </cell>
        </row>
        <row r="211">
          <cell r="I211" t="e">
            <v>#REF!</v>
          </cell>
        </row>
        <row r="212">
          <cell r="I212" t="e">
            <v>#REF!</v>
          </cell>
        </row>
        <row r="213">
          <cell r="I213" t="e">
            <v>#REF!</v>
          </cell>
        </row>
        <row r="214">
          <cell r="I214" t="e">
            <v>#REF!</v>
          </cell>
        </row>
        <row r="215">
          <cell r="I215" t="e">
            <v>#REF!</v>
          </cell>
        </row>
        <row r="216">
          <cell r="I216" t="e">
            <v>#REF!</v>
          </cell>
        </row>
        <row r="217">
          <cell r="I217" t="e">
            <v>#REF!</v>
          </cell>
        </row>
        <row r="218">
          <cell r="I218" t="e">
            <v>#REF!</v>
          </cell>
        </row>
        <row r="219">
          <cell r="I219" t="e">
            <v>#REF!</v>
          </cell>
        </row>
        <row r="220">
          <cell r="I220" t="e">
            <v>#REF!</v>
          </cell>
        </row>
        <row r="221">
          <cell r="I221" t="e">
            <v>#REF!</v>
          </cell>
        </row>
        <row r="222">
          <cell r="I222" t="e">
            <v>#REF!</v>
          </cell>
        </row>
        <row r="223">
          <cell r="I223" t="e">
            <v>#REF!</v>
          </cell>
        </row>
        <row r="224">
          <cell r="I224" t="e">
            <v>#REF!</v>
          </cell>
        </row>
        <row r="225">
          <cell r="I225" t="e">
            <v>#REF!</v>
          </cell>
        </row>
        <row r="226">
          <cell r="I226" t="e">
            <v>#REF!</v>
          </cell>
        </row>
        <row r="227">
          <cell r="I227" t="e">
            <v>#REF!</v>
          </cell>
        </row>
        <row r="228">
          <cell r="I228" t="e">
            <v>#REF!</v>
          </cell>
        </row>
        <row r="229">
          <cell r="I229" t="e">
            <v>#REF!</v>
          </cell>
        </row>
        <row r="230">
          <cell r="I230" t="e">
            <v>#REF!</v>
          </cell>
        </row>
        <row r="231">
          <cell r="I231" t="e">
            <v>#REF!</v>
          </cell>
        </row>
        <row r="232">
          <cell r="I232" t="e">
            <v>#REF!</v>
          </cell>
        </row>
        <row r="233">
          <cell r="I233" t="e">
            <v>#REF!</v>
          </cell>
        </row>
        <row r="234">
          <cell r="I234" t="e">
            <v>#REF!</v>
          </cell>
        </row>
        <row r="235">
          <cell r="I235" t="e">
            <v>#REF!</v>
          </cell>
        </row>
        <row r="236">
          <cell r="I236" t="e">
            <v>#REF!</v>
          </cell>
        </row>
        <row r="237">
          <cell r="I237" t="e">
            <v>#REF!</v>
          </cell>
        </row>
        <row r="238">
          <cell r="I238" t="e">
            <v>#REF!</v>
          </cell>
        </row>
        <row r="239">
          <cell r="I239" t="e">
            <v>#REF!</v>
          </cell>
        </row>
        <row r="240">
          <cell r="I240" t="e">
            <v>#REF!</v>
          </cell>
        </row>
        <row r="241">
          <cell r="I241" t="e">
            <v>#REF!</v>
          </cell>
        </row>
        <row r="242">
          <cell r="I242" t="e">
            <v>#REF!</v>
          </cell>
        </row>
        <row r="243">
          <cell r="I243" t="e">
            <v>#REF!</v>
          </cell>
        </row>
        <row r="244">
          <cell r="I244" t="e">
            <v>#REF!</v>
          </cell>
        </row>
        <row r="245">
          <cell r="I245" t="e">
            <v>#REF!</v>
          </cell>
        </row>
        <row r="246">
          <cell r="I246" t="e">
            <v>#REF!</v>
          </cell>
        </row>
        <row r="247">
          <cell r="I247" t="e">
            <v>#REF!</v>
          </cell>
        </row>
        <row r="248">
          <cell r="I248" t="e">
            <v>#REF!</v>
          </cell>
        </row>
        <row r="249">
          <cell r="I249" t="e">
            <v>#REF!</v>
          </cell>
        </row>
        <row r="252">
          <cell r="I252" t="e">
            <v>#REF!</v>
          </cell>
        </row>
        <row r="253">
          <cell r="I253" t="e">
            <v>#REF!</v>
          </cell>
        </row>
        <row r="255">
          <cell r="I255" t="e">
            <v>#REF!</v>
          </cell>
        </row>
        <row r="257">
          <cell r="I257" t="e">
            <v>#REF!</v>
          </cell>
        </row>
        <row r="259">
          <cell r="I259" t="e">
            <v>#REF!</v>
          </cell>
        </row>
        <row r="260">
          <cell r="I260" t="e">
            <v>#REF!</v>
          </cell>
        </row>
        <row r="261">
          <cell r="I261" t="e">
            <v>#REF!</v>
          </cell>
        </row>
        <row r="263">
          <cell r="I263" t="e">
            <v>#REF!</v>
          </cell>
        </row>
        <row r="264">
          <cell r="I264" t="e">
            <v>#REF!</v>
          </cell>
        </row>
        <row r="265">
          <cell r="I265" t="e">
            <v>#REF!</v>
          </cell>
        </row>
        <row r="267">
          <cell r="I267" t="e">
            <v>#REF!</v>
          </cell>
        </row>
        <row r="268">
          <cell r="I268" t="e">
            <v>#REF!</v>
          </cell>
        </row>
        <row r="269">
          <cell r="I269" t="e">
            <v>#REF!</v>
          </cell>
        </row>
        <row r="270">
          <cell r="I270" t="e">
            <v>#REF!</v>
          </cell>
        </row>
        <row r="271">
          <cell r="I271" t="e">
            <v>#REF!</v>
          </cell>
        </row>
        <row r="272">
          <cell r="I272" t="e">
            <v>#REF!</v>
          </cell>
        </row>
        <row r="273">
          <cell r="I273" t="e">
            <v>#REF!</v>
          </cell>
        </row>
        <row r="274">
          <cell r="I274" t="e">
            <v>#REF!</v>
          </cell>
        </row>
        <row r="275">
          <cell r="I275" t="e">
            <v>#REF!</v>
          </cell>
        </row>
        <row r="276">
          <cell r="I276" t="e">
            <v>#REF!</v>
          </cell>
        </row>
        <row r="277">
          <cell r="I277" t="e">
            <v>#REF!</v>
          </cell>
        </row>
        <row r="278">
          <cell r="I278" t="e">
            <v>#REF!</v>
          </cell>
        </row>
        <row r="279">
          <cell r="I279" t="e">
            <v>#REF!</v>
          </cell>
        </row>
        <row r="280">
          <cell r="I280" t="e">
            <v>#REF!</v>
          </cell>
        </row>
        <row r="281">
          <cell r="I281" t="e">
            <v>#REF!</v>
          </cell>
        </row>
        <row r="282">
          <cell r="I282" t="e">
            <v>#REF!</v>
          </cell>
        </row>
        <row r="283">
          <cell r="I283" t="e">
            <v>#REF!</v>
          </cell>
        </row>
        <row r="287">
          <cell r="I287" t="e">
            <v>#REF!</v>
          </cell>
        </row>
        <row r="298">
          <cell r="I298" t="e">
            <v>#REF!</v>
          </cell>
        </row>
        <row r="299">
          <cell r="I299" t="e">
            <v>#REF!</v>
          </cell>
        </row>
        <row r="300">
          <cell r="I300" t="e">
            <v>#REF!</v>
          </cell>
        </row>
        <row r="301">
          <cell r="I301" t="e">
            <v>#REF!</v>
          </cell>
        </row>
        <row r="302">
          <cell r="I302" t="e">
            <v>#REF!</v>
          </cell>
        </row>
        <row r="303">
          <cell r="I303" t="e">
            <v>#REF!</v>
          </cell>
        </row>
        <row r="304">
          <cell r="I304" t="e">
            <v>#REF!</v>
          </cell>
        </row>
        <row r="305">
          <cell r="I305" t="e">
            <v>#REF!</v>
          </cell>
        </row>
        <row r="306">
          <cell r="I306" t="e">
            <v>#REF!</v>
          </cell>
        </row>
        <row r="307">
          <cell r="I307" t="e">
            <v>#REF!</v>
          </cell>
        </row>
        <row r="308">
          <cell r="I308" t="e">
            <v>#REF!</v>
          </cell>
        </row>
        <row r="309">
          <cell r="I309" t="e">
            <v>#REF!</v>
          </cell>
        </row>
        <row r="310">
          <cell r="I310" t="e">
            <v>#REF!</v>
          </cell>
        </row>
        <row r="311">
          <cell r="I311" t="e">
            <v>#REF!</v>
          </cell>
        </row>
        <row r="312">
          <cell r="I312" t="e">
            <v>#REF!</v>
          </cell>
        </row>
        <row r="313">
          <cell r="I313" t="e">
            <v>#REF!</v>
          </cell>
        </row>
        <row r="314">
          <cell r="I314" t="e">
            <v>#REF!</v>
          </cell>
        </row>
        <row r="315">
          <cell r="I315" t="e">
            <v>#REF!</v>
          </cell>
        </row>
        <row r="316">
          <cell r="I316" t="e">
            <v>#REF!</v>
          </cell>
        </row>
        <row r="317">
          <cell r="I317" t="e">
            <v>#REF!</v>
          </cell>
        </row>
        <row r="318">
          <cell r="I318" t="e">
            <v>#REF!</v>
          </cell>
        </row>
        <row r="319">
          <cell r="I319" t="e">
            <v>#REF!</v>
          </cell>
        </row>
        <row r="321">
          <cell r="I321" t="e">
            <v>#REF!</v>
          </cell>
        </row>
        <row r="324">
          <cell r="I324" t="e">
            <v>#REF!</v>
          </cell>
        </row>
        <row r="325">
          <cell r="I325" t="e">
            <v>#REF!</v>
          </cell>
        </row>
        <row r="326">
          <cell r="I326" t="e">
            <v>#REF!</v>
          </cell>
        </row>
        <row r="327">
          <cell r="I327" t="e">
            <v>#REF!</v>
          </cell>
        </row>
        <row r="328">
          <cell r="I328" t="e">
            <v>#REF!</v>
          </cell>
        </row>
        <row r="329">
          <cell r="I329" t="e">
            <v>#REF!</v>
          </cell>
        </row>
        <row r="330">
          <cell r="I330" t="e">
            <v>#REF!</v>
          </cell>
        </row>
        <row r="331">
          <cell r="I331" t="e">
            <v>#REF!</v>
          </cell>
        </row>
        <row r="332">
          <cell r="I332" t="e">
            <v>#REF!</v>
          </cell>
        </row>
        <row r="333">
          <cell r="I333" t="e">
            <v>#REF!</v>
          </cell>
        </row>
        <row r="336">
          <cell r="I336" t="e">
            <v>#REF!</v>
          </cell>
        </row>
        <row r="340">
          <cell r="I340" t="e">
            <v>#REF!</v>
          </cell>
        </row>
        <row r="341">
          <cell r="I341" t="e">
            <v>#REF!</v>
          </cell>
        </row>
        <row r="342">
          <cell r="I342" t="e">
            <v>#REF!</v>
          </cell>
        </row>
        <row r="343">
          <cell r="I343" t="e">
            <v>#REF!</v>
          </cell>
        </row>
        <row r="344">
          <cell r="I344" t="e">
            <v>#REF!</v>
          </cell>
        </row>
        <row r="345">
          <cell r="I345" t="e">
            <v>#REF!</v>
          </cell>
        </row>
        <row r="346">
          <cell r="I346" t="e">
            <v>#REF!</v>
          </cell>
        </row>
        <row r="347">
          <cell r="I347" t="e">
            <v>#REF!</v>
          </cell>
        </row>
        <row r="348">
          <cell r="I348" t="e">
            <v>#REF!</v>
          </cell>
        </row>
        <row r="351">
          <cell r="I351" t="e">
            <v>#REF!</v>
          </cell>
        </row>
        <row r="355">
          <cell r="I355" t="e">
            <v>#REF!</v>
          </cell>
        </row>
        <row r="359">
          <cell r="I359" t="e">
            <v>#REF!</v>
          </cell>
        </row>
        <row r="360">
          <cell r="I360" t="e">
            <v>#REF!</v>
          </cell>
        </row>
        <row r="361">
          <cell r="I361" t="e">
            <v>#REF!</v>
          </cell>
        </row>
        <row r="362">
          <cell r="I362" t="e">
            <v>#REF!</v>
          </cell>
        </row>
        <row r="363">
          <cell r="I363" t="e">
            <v>#REF!</v>
          </cell>
        </row>
        <row r="364">
          <cell r="I364" t="e">
            <v>#REF!</v>
          </cell>
        </row>
        <row r="365">
          <cell r="I365" t="e">
            <v>#REF!</v>
          </cell>
        </row>
        <row r="366">
          <cell r="I366" t="e">
            <v>#REF!</v>
          </cell>
        </row>
        <row r="367">
          <cell r="I367" t="e">
            <v>#REF!</v>
          </cell>
        </row>
        <row r="368">
          <cell r="I368" t="e">
            <v>#REF!</v>
          </cell>
        </row>
        <row r="369">
          <cell r="I369" t="e">
            <v>#REF!</v>
          </cell>
        </row>
        <row r="370">
          <cell r="I370" t="e">
            <v>#REF!</v>
          </cell>
        </row>
        <row r="371">
          <cell r="I371" t="e">
            <v>#REF!</v>
          </cell>
        </row>
        <row r="372">
          <cell r="I372" t="e">
            <v>#REF!</v>
          </cell>
        </row>
        <row r="373">
          <cell r="I373" t="e">
            <v>#REF!</v>
          </cell>
        </row>
        <row r="374">
          <cell r="I374" t="e">
            <v>#REF!</v>
          </cell>
        </row>
        <row r="375">
          <cell r="I375" t="e">
            <v>#REF!</v>
          </cell>
        </row>
        <row r="376">
          <cell r="I376" t="e">
            <v>#REF!</v>
          </cell>
        </row>
        <row r="377">
          <cell r="I377" t="e">
            <v>#REF!</v>
          </cell>
        </row>
        <row r="378">
          <cell r="I378" t="e">
            <v>#REF!</v>
          </cell>
        </row>
        <row r="379">
          <cell r="I379" t="e">
            <v>#REF!</v>
          </cell>
        </row>
        <row r="380">
          <cell r="I380" t="e">
            <v>#REF!</v>
          </cell>
        </row>
        <row r="381">
          <cell r="I381" t="e">
            <v>#REF!</v>
          </cell>
        </row>
        <row r="382">
          <cell r="I382" t="e">
            <v>#REF!</v>
          </cell>
        </row>
        <row r="383">
          <cell r="I383" t="e">
            <v>#REF!</v>
          </cell>
        </row>
        <row r="384">
          <cell r="I384" t="e">
            <v>#REF!</v>
          </cell>
        </row>
        <row r="385">
          <cell r="I385" t="e">
            <v>#REF!</v>
          </cell>
        </row>
        <row r="410">
          <cell r="I410" t="e">
            <v>#REF!</v>
          </cell>
        </row>
        <row r="412">
          <cell r="I412" t="e">
            <v>#REF!</v>
          </cell>
        </row>
        <row r="413">
          <cell r="I413" t="e">
            <v>#REF!</v>
          </cell>
        </row>
        <row r="414">
          <cell r="I414" t="e">
            <v>#REF!</v>
          </cell>
        </row>
        <row r="416">
          <cell r="I416" t="e">
            <v>#REF!</v>
          </cell>
        </row>
        <row r="419">
          <cell r="I419" t="e">
            <v>#REF!</v>
          </cell>
        </row>
        <row r="420">
          <cell r="I420" t="e">
            <v>#REF!</v>
          </cell>
        </row>
        <row r="421">
          <cell r="I421" t="e">
            <v>#REF!</v>
          </cell>
        </row>
        <row r="448">
          <cell r="I448" t="e">
            <v>#REF!</v>
          </cell>
        </row>
        <row r="472">
          <cell r="I472" t="e">
            <v>#REF!</v>
          </cell>
        </row>
        <row r="473">
          <cell r="I473" t="e">
            <v>#REF!</v>
          </cell>
        </row>
        <row r="475">
          <cell r="I475" t="e">
            <v>#REF!</v>
          </cell>
        </row>
        <row r="476">
          <cell r="I476" t="e">
            <v>#REF!</v>
          </cell>
        </row>
        <row r="477">
          <cell r="I477" t="e">
            <v>#REF!</v>
          </cell>
        </row>
        <row r="494">
          <cell r="I494" t="e">
            <v>#REF!</v>
          </cell>
        </row>
        <row r="495">
          <cell r="I495" t="e">
            <v>#REF!</v>
          </cell>
        </row>
        <row r="496">
          <cell r="I496" t="e">
            <v>#REF!</v>
          </cell>
        </row>
        <row r="499">
          <cell r="I499" t="e">
            <v>#REF!</v>
          </cell>
        </row>
        <row r="501">
          <cell r="I501" t="e">
            <v>#REF!</v>
          </cell>
        </row>
        <row r="503">
          <cell r="I503" t="e">
            <v>#REF!</v>
          </cell>
        </row>
        <row r="505">
          <cell r="I505" t="e">
            <v>#REF!</v>
          </cell>
        </row>
        <row r="506">
          <cell r="I506" t="e">
            <v>#REF!</v>
          </cell>
        </row>
        <row r="507">
          <cell r="I507" t="e">
            <v>#REF!</v>
          </cell>
        </row>
        <row r="508">
          <cell r="I508" t="e">
            <v>#REF!</v>
          </cell>
        </row>
        <row r="509">
          <cell r="I509" t="e">
            <v>#REF!</v>
          </cell>
        </row>
        <row r="510">
          <cell r="I510" t="e">
            <v>#REF!</v>
          </cell>
        </row>
        <row r="511">
          <cell r="I511" t="e">
            <v>#REF!</v>
          </cell>
        </row>
        <row r="512">
          <cell r="I512" t="e">
            <v>#REF!</v>
          </cell>
        </row>
        <row r="513">
          <cell r="I513" t="e">
            <v>#REF!</v>
          </cell>
        </row>
        <row r="514">
          <cell r="I514" t="e">
            <v>#REF!</v>
          </cell>
        </row>
        <row r="515">
          <cell r="I515" t="e">
            <v>#REF!</v>
          </cell>
        </row>
        <row r="516">
          <cell r="I516" t="e">
            <v>#REF!</v>
          </cell>
        </row>
        <row r="517">
          <cell r="I517" t="e">
            <v>#REF!</v>
          </cell>
        </row>
        <row r="518">
          <cell r="I518" t="e">
            <v>#REF!</v>
          </cell>
        </row>
        <row r="519">
          <cell r="I519" t="e">
            <v>#REF!</v>
          </cell>
        </row>
        <row r="562">
          <cell r="I562" t="e">
            <v>#REF!</v>
          </cell>
        </row>
        <row r="564">
          <cell r="I564" t="e">
            <v>#REF!</v>
          </cell>
        </row>
        <row r="566">
          <cell r="I566" t="e">
            <v>#REF!</v>
          </cell>
        </row>
        <row r="567">
          <cell r="I567" t="e">
            <v>#REF!</v>
          </cell>
        </row>
        <row r="568">
          <cell r="I568" t="e">
            <v>#REF!</v>
          </cell>
        </row>
        <row r="569">
          <cell r="I569" t="e">
            <v>#REF!</v>
          </cell>
        </row>
        <row r="570">
          <cell r="I570" t="e">
            <v>#REF!</v>
          </cell>
        </row>
        <row r="571">
          <cell r="I571" t="e">
            <v>#REF!</v>
          </cell>
        </row>
        <row r="572">
          <cell r="I572" t="e">
            <v>#REF!</v>
          </cell>
        </row>
        <row r="573">
          <cell r="I573" t="e">
            <v>#REF!</v>
          </cell>
        </row>
        <row r="574">
          <cell r="I574" t="e">
            <v>#REF!</v>
          </cell>
        </row>
        <row r="575">
          <cell r="I575" t="e">
            <v>#REF!</v>
          </cell>
        </row>
        <row r="576">
          <cell r="I576" t="e">
            <v>#REF!</v>
          </cell>
        </row>
        <row r="577">
          <cell r="I577" t="e">
            <v>#REF!</v>
          </cell>
        </row>
        <row r="578">
          <cell r="I578" t="e">
            <v>#REF!</v>
          </cell>
        </row>
        <row r="579">
          <cell r="I579" t="e">
            <v>#REF!</v>
          </cell>
        </row>
        <row r="580">
          <cell r="I580" t="e">
            <v>#REF!</v>
          </cell>
        </row>
        <row r="581">
          <cell r="I581" t="e">
            <v>#REF!</v>
          </cell>
        </row>
        <row r="582">
          <cell r="I582" t="e">
            <v>#REF!</v>
          </cell>
        </row>
        <row r="583">
          <cell r="I583" t="e">
            <v>#REF!</v>
          </cell>
        </row>
        <row r="584">
          <cell r="I584" t="e">
            <v>#REF!</v>
          </cell>
        </row>
        <row r="585">
          <cell r="I585" t="e">
            <v>#REF!</v>
          </cell>
        </row>
        <row r="586">
          <cell r="I586" t="e">
            <v>#REF!</v>
          </cell>
        </row>
        <row r="587">
          <cell r="I587" t="e">
            <v>#REF!</v>
          </cell>
        </row>
        <row r="588">
          <cell r="I588" t="e">
            <v>#REF!</v>
          </cell>
        </row>
        <row r="593">
          <cell r="I593" t="e">
            <v>#REF!</v>
          </cell>
        </row>
        <row r="597">
          <cell r="I597" t="e">
            <v>#REF!</v>
          </cell>
        </row>
        <row r="713">
          <cell r="I713" t="e">
            <v>#REF!</v>
          </cell>
        </row>
        <row r="714">
          <cell r="I714" t="e">
            <v>#REF!</v>
          </cell>
        </row>
        <row r="715">
          <cell r="I715" t="e">
            <v>#REF!</v>
          </cell>
        </row>
        <row r="716">
          <cell r="I716" t="e">
            <v>#REF!</v>
          </cell>
        </row>
        <row r="717">
          <cell r="I717" t="e">
            <v>#REF!</v>
          </cell>
        </row>
        <row r="718">
          <cell r="I718" t="e">
            <v>#REF!</v>
          </cell>
        </row>
        <row r="719">
          <cell r="I719" t="e">
            <v>#REF!</v>
          </cell>
        </row>
        <row r="720">
          <cell r="I720" t="e">
            <v>#REF!</v>
          </cell>
        </row>
        <row r="721">
          <cell r="I721" t="e">
            <v>#REF!</v>
          </cell>
        </row>
        <row r="722">
          <cell r="I722" t="e">
            <v>#REF!</v>
          </cell>
        </row>
        <row r="723">
          <cell r="I723" t="e">
            <v>#REF!</v>
          </cell>
        </row>
        <row r="733">
          <cell r="I733" t="e">
            <v>#REF!</v>
          </cell>
        </row>
        <row r="742">
          <cell r="I742" t="e">
            <v>#REF!</v>
          </cell>
        </row>
        <row r="750">
          <cell r="I750" t="e">
            <v>#REF!</v>
          </cell>
        </row>
        <row r="751">
          <cell r="I751" t="e">
            <v>#REF!</v>
          </cell>
        </row>
        <row r="774">
          <cell r="I774" t="e">
            <v>#REF!</v>
          </cell>
        </row>
        <row r="775">
          <cell r="I775" t="e">
            <v>#REF!</v>
          </cell>
        </row>
        <row r="777">
          <cell r="I777" t="e">
            <v>#REF!</v>
          </cell>
        </row>
        <row r="819">
          <cell r="I819" t="e">
            <v>#REF!</v>
          </cell>
        </row>
        <row r="820">
          <cell r="I820" t="e">
            <v>#REF!</v>
          </cell>
        </row>
        <row r="833">
          <cell r="I833" t="e">
            <v>#REF!</v>
          </cell>
        </row>
        <row r="834">
          <cell r="I834" t="e">
            <v>#REF!</v>
          </cell>
        </row>
        <row r="845">
          <cell r="I845" t="e">
            <v>#REF!</v>
          </cell>
        </row>
        <row r="846">
          <cell r="I846" t="e">
            <v>#REF!</v>
          </cell>
        </row>
        <row r="849">
          <cell r="I849" t="e">
            <v>#REF!</v>
          </cell>
        </row>
        <row r="850">
          <cell r="I850" t="e">
            <v>#REF!</v>
          </cell>
        </row>
        <row r="851">
          <cell r="I851" t="e">
            <v>#REF!</v>
          </cell>
        </row>
        <row r="852">
          <cell r="I852" t="e">
            <v>#REF!</v>
          </cell>
        </row>
        <row r="853">
          <cell r="I853" t="e">
            <v>#REF!</v>
          </cell>
        </row>
        <row r="854">
          <cell r="I854" t="e">
            <v>#REF!</v>
          </cell>
        </row>
        <row r="855">
          <cell r="I855" t="e">
            <v>#REF!</v>
          </cell>
        </row>
        <row r="856">
          <cell r="I856" t="e">
            <v>#REF!</v>
          </cell>
        </row>
        <row r="857">
          <cell r="I857" t="e">
            <v>#REF!</v>
          </cell>
        </row>
        <row r="858">
          <cell r="I858" t="e">
            <v>#REF!</v>
          </cell>
        </row>
        <row r="859">
          <cell r="I859" t="e">
            <v>#REF!</v>
          </cell>
        </row>
        <row r="860">
          <cell r="I860" t="e">
            <v>#REF!</v>
          </cell>
        </row>
        <row r="861">
          <cell r="I861" t="e">
            <v>#REF!</v>
          </cell>
        </row>
        <row r="862">
          <cell r="I862" t="e">
            <v>#REF!</v>
          </cell>
        </row>
        <row r="863">
          <cell r="I863" t="e">
            <v>#REF!</v>
          </cell>
        </row>
        <row r="864">
          <cell r="I864" t="e">
            <v>#REF!</v>
          </cell>
        </row>
        <row r="865">
          <cell r="I865" t="e">
            <v>#REF!</v>
          </cell>
        </row>
        <row r="866">
          <cell r="I866" t="e">
            <v>#REF!</v>
          </cell>
        </row>
        <row r="867">
          <cell r="I867" t="e">
            <v>#REF!</v>
          </cell>
        </row>
        <row r="868">
          <cell r="I868" t="e">
            <v>#REF!</v>
          </cell>
        </row>
        <row r="869">
          <cell r="I869" t="e">
            <v>#REF!</v>
          </cell>
        </row>
        <row r="870">
          <cell r="I870" t="e">
            <v>#REF!</v>
          </cell>
        </row>
        <row r="871">
          <cell r="I871" t="e">
            <v>#REF!</v>
          </cell>
        </row>
        <row r="872">
          <cell r="I872" t="e">
            <v>#REF!</v>
          </cell>
        </row>
        <row r="873">
          <cell r="I873" t="e">
            <v>#REF!</v>
          </cell>
        </row>
        <row r="874">
          <cell r="I874" t="e">
            <v>#REF!</v>
          </cell>
        </row>
        <row r="875">
          <cell r="I875" t="e">
            <v>#REF!</v>
          </cell>
        </row>
        <row r="876">
          <cell r="I876" t="e">
            <v>#REF!</v>
          </cell>
        </row>
        <row r="877">
          <cell r="I877" t="e">
            <v>#REF!</v>
          </cell>
        </row>
        <row r="878">
          <cell r="I878" t="e">
            <v>#REF!</v>
          </cell>
        </row>
        <row r="879">
          <cell r="I879" t="e">
            <v>#REF!</v>
          </cell>
        </row>
        <row r="880">
          <cell r="I880" t="e">
            <v>#REF!</v>
          </cell>
        </row>
        <row r="881">
          <cell r="I881" t="e">
            <v>#REF!</v>
          </cell>
        </row>
        <row r="882">
          <cell r="I882" t="e">
            <v>#REF!</v>
          </cell>
        </row>
        <row r="883">
          <cell r="I883" t="e">
            <v>#REF!</v>
          </cell>
        </row>
        <row r="884">
          <cell r="I884" t="e">
            <v>#REF!</v>
          </cell>
        </row>
        <row r="885">
          <cell r="I885" t="e">
            <v>#REF!</v>
          </cell>
        </row>
        <row r="886">
          <cell r="I886" t="e">
            <v>#REF!</v>
          </cell>
        </row>
        <row r="888">
          <cell r="I888" t="e">
            <v>#REF!</v>
          </cell>
        </row>
        <row r="889">
          <cell r="I889" t="e">
            <v>#REF!</v>
          </cell>
        </row>
        <row r="890">
          <cell r="I890" t="e">
            <v>#REF!</v>
          </cell>
        </row>
        <row r="891">
          <cell r="I891" t="e">
            <v>#REF!</v>
          </cell>
        </row>
        <row r="892">
          <cell r="I892" t="e">
            <v>#REF!</v>
          </cell>
        </row>
        <row r="893">
          <cell r="I893" t="e">
            <v>#REF!</v>
          </cell>
        </row>
        <row r="894">
          <cell r="I894" t="e">
            <v>#REF!</v>
          </cell>
        </row>
        <row r="895">
          <cell r="I895" t="e">
            <v>#REF!</v>
          </cell>
        </row>
        <row r="896">
          <cell r="I896" t="e">
            <v>#REF!</v>
          </cell>
        </row>
        <row r="897">
          <cell r="I897" t="e">
            <v>#REF!</v>
          </cell>
        </row>
        <row r="898">
          <cell r="I898" t="e">
            <v>#REF!</v>
          </cell>
        </row>
        <row r="899">
          <cell r="I899" t="e">
            <v>#REF!</v>
          </cell>
        </row>
        <row r="900">
          <cell r="I900" t="e">
            <v>#REF!</v>
          </cell>
        </row>
        <row r="901">
          <cell r="I901" t="e">
            <v>#REF!</v>
          </cell>
        </row>
        <row r="902">
          <cell r="I902" t="e">
            <v>#REF!</v>
          </cell>
        </row>
        <row r="903">
          <cell r="I903" t="e">
            <v>#REF!</v>
          </cell>
        </row>
        <row r="904">
          <cell r="I904" t="e">
            <v>#REF!</v>
          </cell>
        </row>
        <row r="905">
          <cell r="I905" t="e">
            <v>#REF!</v>
          </cell>
        </row>
        <row r="906">
          <cell r="I906" t="e">
            <v>#REF!</v>
          </cell>
        </row>
        <row r="907">
          <cell r="I907" t="e">
            <v>#REF!</v>
          </cell>
        </row>
        <row r="908">
          <cell r="I908" t="e">
            <v>#REF!</v>
          </cell>
        </row>
        <row r="909">
          <cell r="I909" t="e">
            <v>#REF!</v>
          </cell>
        </row>
        <row r="910">
          <cell r="I910" t="e">
            <v>#REF!</v>
          </cell>
        </row>
        <row r="911">
          <cell r="I911" t="e">
            <v>#REF!</v>
          </cell>
        </row>
        <row r="912">
          <cell r="I912" t="e">
            <v>#REF!</v>
          </cell>
        </row>
        <row r="913">
          <cell r="I913" t="e">
            <v>#REF!</v>
          </cell>
        </row>
        <row r="914">
          <cell r="I914" t="e">
            <v>#REF!</v>
          </cell>
        </row>
        <row r="915">
          <cell r="I915" t="e">
            <v>#REF!</v>
          </cell>
        </row>
        <row r="916">
          <cell r="I916" t="e">
            <v>#REF!</v>
          </cell>
        </row>
        <row r="917">
          <cell r="I917" t="e">
            <v>#REF!</v>
          </cell>
        </row>
        <row r="918">
          <cell r="I918" t="e">
            <v>#REF!</v>
          </cell>
        </row>
        <row r="919">
          <cell r="I919" t="e">
            <v>#REF!</v>
          </cell>
        </row>
        <row r="920">
          <cell r="I920" t="e">
            <v>#REF!</v>
          </cell>
        </row>
        <row r="921">
          <cell r="I921" t="e">
            <v>#REF!</v>
          </cell>
        </row>
        <row r="922">
          <cell r="I922" t="e">
            <v>#REF!</v>
          </cell>
        </row>
        <row r="923">
          <cell r="I923" t="e">
            <v>#REF!</v>
          </cell>
        </row>
        <row r="926">
          <cell r="I926" t="e">
            <v>#REF!</v>
          </cell>
        </row>
        <row r="927">
          <cell r="I927" t="e">
            <v>#REF!</v>
          </cell>
        </row>
        <row r="928">
          <cell r="I928" t="e">
            <v>#REF!</v>
          </cell>
        </row>
        <row r="929">
          <cell r="I929" t="e">
            <v>#REF!</v>
          </cell>
        </row>
        <row r="930">
          <cell r="I930" t="e">
            <v>#REF!</v>
          </cell>
        </row>
        <row r="931">
          <cell r="I931" t="e">
            <v>#REF!</v>
          </cell>
        </row>
        <row r="932">
          <cell r="I932" t="e">
            <v>#REF!</v>
          </cell>
        </row>
        <row r="933">
          <cell r="I933" t="e">
            <v>#REF!</v>
          </cell>
        </row>
        <row r="935">
          <cell r="I935" t="e">
            <v>#REF!</v>
          </cell>
        </row>
        <row r="937">
          <cell r="I937" t="e">
            <v>#REF!</v>
          </cell>
        </row>
        <row r="938">
          <cell r="I938" t="e">
            <v>#REF!</v>
          </cell>
        </row>
        <row r="939">
          <cell r="I939" t="e">
            <v>#REF!</v>
          </cell>
        </row>
        <row r="940">
          <cell r="I940" t="e">
            <v>#REF!</v>
          </cell>
        </row>
        <row r="941">
          <cell r="I941" t="e">
            <v>#REF!</v>
          </cell>
        </row>
        <row r="942">
          <cell r="I942" t="e">
            <v>#REF!</v>
          </cell>
        </row>
        <row r="943">
          <cell r="I943" t="e">
            <v>#REF!</v>
          </cell>
        </row>
        <row r="945">
          <cell r="I945" t="e">
            <v>#REF!</v>
          </cell>
        </row>
        <row r="947">
          <cell r="I947" t="e">
            <v>#REF!</v>
          </cell>
        </row>
        <row r="948">
          <cell r="I948" t="e">
            <v>#REF!</v>
          </cell>
        </row>
        <row r="949">
          <cell r="I949" t="e">
            <v>#REF!</v>
          </cell>
        </row>
        <row r="951">
          <cell r="I951" t="e">
            <v>#REF!</v>
          </cell>
        </row>
        <row r="952">
          <cell r="I952" t="e">
            <v>#REF!</v>
          </cell>
        </row>
        <row r="953">
          <cell r="I953" t="e">
            <v>#REF!</v>
          </cell>
        </row>
        <row r="955">
          <cell r="I955" t="e">
            <v>#REF!</v>
          </cell>
        </row>
        <row r="956">
          <cell r="I956" t="e">
            <v>#REF!</v>
          </cell>
        </row>
        <row r="957">
          <cell r="I957" t="e">
            <v>#REF!</v>
          </cell>
        </row>
        <row r="958">
          <cell r="I958" t="e">
            <v>#REF!</v>
          </cell>
        </row>
        <row r="959">
          <cell r="I959" t="e">
            <v>#REF!</v>
          </cell>
        </row>
        <row r="960">
          <cell r="I960" t="e">
            <v>#REF!</v>
          </cell>
        </row>
        <row r="961">
          <cell r="I961" t="e">
            <v>#REF!</v>
          </cell>
        </row>
        <row r="962">
          <cell r="I962" t="e">
            <v>#REF!</v>
          </cell>
        </row>
        <row r="963">
          <cell r="I963" t="e">
            <v>#REF!</v>
          </cell>
        </row>
        <row r="964">
          <cell r="I964" t="e">
            <v>#REF!</v>
          </cell>
        </row>
        <row r="965">
          <cell r="I965" t="e">
            <v>#REF!</v>
          </cell>
        </row>
        <row r="966">
          <cell r="I966" t="e">
            <v>#REF!</v>
          </cell>
        </row>
        <row r="967">
          <cell r="I967" t="e">
            <v>#REF!</v>
          </cell>
        </row>
        <row r="968">
          <cell r="I968" t="e">
            <v>#REF!</v>
          </cell>
        </row>
        <row r="969">
          <cell r="I969" t="e">
            <v>#REF!</v>
          </cell>
        </row>
        <row r="970">
          <cell r="I970" t="e">
            <v>#REF!</v>
          </cell>
        </row>
        <row r="971">
          <cell r="I971" t="e">
            <v>#REF!</v>
          </cell>
        </row>
        <row r="972">
          <cell r="I972" t="e">
            <v>#REF!</v>
          </cell>
        </row>
        <row r="973">
          <cell r="I973" t="e">
            <v>#REF!</v>
          </cell>
        </row>
        <row r="974">
          <cell r="I974" t="e">
            <v>#REF!</v>
          </cell>
        </row>
        <row r="975">
          <cell r="I975" t="e">
            <v>#REF!</v>
          </cell>
        </row>
        <row r="976">
          <cell r="I976" t="e">
            <v>#REF!</v>
          </cell>
        </row>
        <row r="977">
          <cell r="I977" t="e">
            <v>#REF!</v>
          </cell>
        </row>
        <row r="978">
          <cell r="I978" t="e">
            <v>#REF!</v>
          </cell>
        </row>
        <row r="979">
          <cell r="I979" t="e">
            <v>#REF!</v>
          </cell>
        </row>
        <row r="980">
          <cell r="I980" t="e">
            <v>#REF!</v>
          </cell>
        </row>
        <row r="981">
          <cell r="I981" t="e">
            <v>#REF!</v>
          </cell>
        </row>
        <row r="982">
          <cell r="I982" t="e">
            <v>#REF!</v>
          </cell>
        </row>
        <row r="983">
          <cell r="I983" t="e">
            <v>#REF!</v>
          </cell>
        </row>
        <row r="985">
          <cell r="I985" t="e">
            <v>#REF!</v>
          </cell>
        </row>
        <row r="986">
          <cell r="I986" t="e">
            <v>#REF!</v>
          </cell>
        </row>
        <row r="987">
          <cell r="I987" t="e">
            <v>#REF!</v>
          </cell>
        </row>
        <row r="988">
          <cell r="I988" t="e">
            <v>#REF!</v>
          </cell>
        </row>
        <row r="989">
          <cell r="I989" t="e">
            <v>#REF!</v>
          </cell>
        </row>
        <row r="991">
          <cell r="I991" t="e">
            <v>#REF!</v>
          </cell>
        </row>
        <row r="992">
          <cell r="I992" t="e">
            <v>#REF!</v>
          </cell>
        </row>
        <row r="993">
          <cell r="I993" t="e">
            <v>#REF!</v>
          </cell>
        </row>
        <row r="994">
          <cell r="I994" t="e">
            <v>#REF!</v>
          </cell>
        </row>
        <row r="995">
          <cell r="I995" t="e">
            <v>#REF!</v>
          </cell>
        </row>
        <row r="996">
          <cell r="I996" t="e">
            <v>#REF!</v>
          </cell>
        </row>
        <row r="997">
          <cell r="I997" t="e">
            <v>#REF!</v>
          </cell>
        </row>
        <row r="999">
          <cell r="I999" t="e">
            <v>#REF!</v>
          </cell>
        </row>
        <row r="1006">
          <cell r="I1006" t="e">
            <v>#REF!</v>
          </cell>
        </row>
        <row r="1016">
          <cell r="I1016" t="e">
            <v>#REF!</v>
          </cell>
        </row>
        <row r="1017">
          <cell r="I1017" t="e">
            <v>#REF!</v>
          </cell>
        </row>
        <row r="1018">
          <cell r="I1018" t="e">
            <v>#REF!</v>
          </cell>
        </row>
        <row r="1019">
          <cell r="I1019" t="e">
            <v>#REF!</v>
          </cell>
        </row>
        <row r="1034">
          <cell r="I1034" t="e">
            <v>#REF!</v>
          </cell>
        </row>
        <row r="1035">
          <cell r="I1035" t="e">
            <v>#REF!</v>
          </cell>
        </row>
        <row r="1036">
          <cell r="I1036" t="e">
            <v>#REF!</v>
          </cell>
        </row>
        <row r="1037">
          <cell r="I1037" t="e">
            <v>#REF!</v>
          </cell>
        </row>
        <row r="1038">
          <cell r="I1038" t="e">
            <v>#REF!</v>
          </cell>
        </row>
        <row r="1039">
          <cell r="I1039" t="e">
            <v>#REF!</v>
          </cell>
        </row>
        <row r="1040">
          <cell r="I1040" t="e">
            <v>#REF!</v>
          </cell>
        </row>
        <row r="1041">
          <cell r="I1041" t="e">
            <v>#REF!</v>
          </cell>
        </row>
        <row r="1042">
          <cell r="I1042" t="e">
            <v>#REF!</v>
          </cell>
        </row>
        <row r="1043">
          <cell r="I1043" t="e">
            <v>#REF!</v>
          </cell>
        </row>
        <row r="1044">
          <cell r="I1044" t="e">
            <v>#REF!</v>
          </cell>
        </row>
        <row r="1045">
          <cell r="I1045" t="e">
            <v>#REF!</v>
          </cell>
        </row>
        <row r="1046">
          <cell r="I1046" t="e">
            <v>#REF!</v>
          </cell>
        </row>
        <row r="1058">
          <cell r="I1058" t="e">
            <v>#REF!</v>
          </cell>
        </row>
        <row r="1059">
          <cell r="I1059" t="e">
            <v>#REF!</v>
          </cell>
        </row>
        <row r="1064">
          <cell r="I1064" t="e">
            <v>#REF!</v>
          </cell>
        </row>
        <row r="1065">
          <cell r="I1065" t="e">
            <v>#REF!</v>
          </cell>
        </row>
        <row r="1066">
          <cell r="I1066" t="e">
            <v>#REF!</v>
          </cell>
        </row>
        <row r="1067">
          <cell r="I1067" t="e">
            <v>#REF!</v>
          </cell>
        </row>
        <row r="1068">
          <cell r="I1068" t="e">
            <v>#REF!</v>
          </cell>
        </row>
        <row r="1069">
          <cell r="I1069" t="e">
            <v>#REF!</v>
          </cell>
        </row>
        <row r="1071">
          <cell r="I1071" t="e">
            <v>#REF!</v>
          </cell>
        </row>
        <row r="1073">
          <cell r="I1073" t="e">
            <v>#REF!</v>
          </cell>
        </row>
        <row r="1074">
          <cell r="I1074" t="e">
            <v>#REF!</v>
          </cell>
        </row>
        <row r="1075">
          <cell r="I1075" t="e">
            <v>#REF!</v>
          </cell>
        </row>
        <row r="1076">
          <cell r="I1076" t="e">
            <v>#REF!</v>
          </cell>
        </row>
        <row r="1077">
          <cell r="I1077" t="e">
            <v>#REF!</v>
          </cell>
        </row>
        <row r="1078">
          <cell r="I1078" t="e">
            <v>#REF!</v>
          </cell>
        </row>
        <row r="1079">
          <cell r="I1079" t="e">
            <v>#REF!</v>
          </cell>
        </row>
        <row r="1081">
          <cell r="I1081" t="e">
            <v>#REF!</v>
          </cell>
        </row>
        <row r="1083">
          <cell r="I1083" t="e">
            <v>#REF!</v>
          </cell>
        </row>
        <row r="1085">
          <cell r="I1085" t="e">
            <v>#REF!</v>
          </cell>
        </row>
        <row r="1087">
          <cell r="I1087" t="e">
            <v>#REF!</v>
          </cell>
        </row>
        <row r="1088">
          <cell r="I1088" t="e">
            <v>#REF!</v>
          </cell>
        </row>
        <row r="1093">
          <cell r="I1093" t="e">
            <v>#REF!</v>
          </cell>
        </row>
        <row r="1094">
          <cell r="I1094" t="e">
            <v>#REF!</v>
          </cell>
        </row>
        <row r="1095">
          <cell r="I1095" t="e">
            <v>#REF!</v>
          </cell>
        </row>
        <row r="1097">
          <cell r="I1097" t="e">
            <v>#REF!</v>
          </cell>
        </row>
        <row r="1098">
          <cell r="I1098" t="e">
            <v>#REF!</v>
          </cell>
        </row>
        <row r="1099">
          <cell r="I1099" t="e">
            <v>#REF!</v>
          </cell>
        </row>
        <row r="1102">
          <cell r="I1102" t="e">
            <v>#REF!</v>
          </cell>
        </row>
        <row r="1103">
          <cell r="I1103" t="e">
            <v>#REF!</v>
          </cell>
        </row>
        <row r="1107">
          <cell r="I1107" t="e">
            <v>#REF!</v>
          </cell>
        </row>
        <row r="1109">
          <cell r="I1109" t="e">
            <v>#REF!</v>
          </cell>
        </row>
        <row r="1110">
          <cell r="I1110" t="e">
            <v>#REF!</v>
          </cell>
        </row>
        <row r="1111">
          <cell r="I1111" t="e">
            <v>#REF!</v>
          </cell>
        </row>
        <row r="1112">
          <cell r="I1112" t="e">
            <v>#REF!</v>
          </cell>
        </row>
        <row r="1113">
          <cell r="I1113" t="e">
            <v>#REF!</v>
          </cell>
        </row>
        <row r="1114">
          <cell r="I1114" t="e">
            <v>#REF!</v>
          </cell>
        </row>
        <row r="1115">
          <cell r="I1115" t="e">
            <v>#REF!</v>
          </cell>
        </row>
        <row r="1116">
          <cell r="I1116" t="e">
            <v>#REF!</v>
          </cell>
        </row>
        <row r="1117">
          <cell r="I1117" t="e">
            <v>#REF!</v>
          </cell>
        </row>
        <row r="1118">
          <cell r="I1118" t="e">
            <v>#REF!</v>
          </cell>
        </row>
        <row r="1119">
          <cell r="I1119" t="e">
            <v>#REF!</v>
          </cell>
        </row>
        <row r="1120">
          <cell r="I1120" t="e">
            <v>#REF!</v>
          </cell>
        </row>
        <row r="1121">
          <cell r="I1121" t="e">
            <v>#REF!</v>
          </cell>
        </row>
        <row r="1122">
          <cell r="I1122" t="e">
            <v>#REF!</v>
          </cell>
        </row>
        <row r="1123">
          <cell r="I1123" t="e">
            <v>#REF!</v>
          </cell>
        </row>
        <row r="1124">
          <cell r="I1124" t="e">
            <v>#REF!</v>
          </cell>
        </row>
        <row r="1125">
          <cell r="I1125" t="e">
            <v>#REF!</v>
          </cell>
        </row>
        <row r="1126">
          <cell r="I1126" t="e">
            <v>#REF!</v>
          </cell>
        </row>
        <row r="1128">
          <cell r="I1128" t="e">
            <v>#REF!</v>
          </cell>
        </row>
        <row r="1129">
          <cell r="I1129" t="e">
            <v>#REF!</v>
          </cell>
        </row>
        <row r="1130">
          <cell r="I1130" t="e">
            <v>#REF!</v>
          </cell>
        </row>
        <row r="1131">
          <cell r="I1131" t="e">
            <v>#REF!</v>
          </cell>
        </row>
        <row r="1132">
          <cell r="I1132" t="e">
            <v>#REF!</v>
          </cell>
        </row>
        <row r="1133">
          <cell r="I1133" t="e">
            <v>#REF!</v>
          </cell>
        </row>
        <row r="1134">
          <cell r="I1134" t="e">
            <v>#REF!</v>
          </cell>
        </row>
        <row r="1135">
          <cell r="I1135" t="e">
            <v>#REF!</v>
          </cell>
        </row>
        <row r="1136">
          <cell r="I1136" t="e">
            <v>#REF!</v>
          </cell>
        </row>
        <row r="1137">
          <cell r="I1137" t="e">
            <v>#REF!</v>
          </cell>
        </row>
        <row r="1138">
          <cell r="I1138" t="e">
            <v>#REF!</v>
          </cell>
        </row>
        <row r="1139">
          <cell r="I1139" t="e">
            <v>#REF!</v>
          </cell>
        </row>
        <row r="1140">
          <cell r="I1140" t="e">
            <v>#REF!</v>
          </cell>
        </row>
        <row r="1141">
          <cell r="I1141" t="e">
            <v>#REF!</v>
          </cell>
        </row>
        <row r="1142">
          <cell r="I1142" t="e">
            <v>#REF!</v>
          </cell>
        </row>
        <row r="1143">
          <cell r="I1143" t="e">
            <v>#REF!</v>
          </cell>
        </row>
        <row r="1144">
          <cell r="I1144" t="e">
            <v>#REF!</v>
          </cell>
        </row>
        <row r="1145">
          <cell r="I1145" t="e">
            <v>#REF!</v>
          </cell>
        </row>
        <row r="1146">
          <cell r="I1146" t="e">
            <v>#REF!</v>
          </cell>
        </row>
        <row r="1147">
          <cell r="I1147" t="e">
            <v>#REF!</v>
          </cell>
        </row>
        <row r="1148">
          <cell r="I1148" t="e">
            <v>#REF!</v>
          </cell>
        </row>
        <row r="1152">
          <cell r="I1152" t="e">
            <v>#REF!</v>
          </cell>
        </row>
        <row r="1153">
          <cell r="I1153" t="e">
            <v>#REF!</v>
          </cell>
        </row>
        <row r="1154">
          <cell r="I1154" t="e">
            <v>#REF!</v>
          </cell>
        </row>
        <row r="1155">
          <cell r="I1155" t="e">
            <v>#REF!</v>
          </cell>
        </row>
        <row r="1156">
          <cell r="I1156" t="e">
            <v>#REF!</v>
          </cell>
        </row>
        <row r="1157">
          <cell r="I1157" t="e">
            <v>#REF!</v>
          </cell>
        </row>
        <row r="1158">
          <cell r="I1158" t="e">
            <v>#REF!</v>
          </cell>
        </row>
        <row r="1159">
          <cell r="I1159" t="e">
            <v>#REF!</v>
          </cell>
        </row>
        <row r="1160">
          <cell r="I1160" t="e">
            <v>#REF!</v>
          </cell>
        </row>
        <row r="1161">
          <cell r="I1161" t="e">
            <v>#REF!</v>
          </cell>
        </row>
        <row r="1162">
          <cell r="I1162" t="e">
            <v>#REF!</v>
          </cell>
        </row>
        <row r="1163">
          <cell r="I1163" t="e">
            <v>#REF!</v>
          </cell>
        </row>
        <row r="1164">
          <cell r="I1164" t="e">
            <v>#REF!</v>
          </cell>
        </row>
        <row r="1165">
          <cell r="I1165" t="e">
            <v>#REF!</v>
          </cell>
        </row>
        <row r="1166">
          <cell r="I1166" t="e">
            <v>#REF!</v>
          </cell>
        </row>
        <row r="1168">
          <cell r="I1168" t="e">
            <v>#REF!</v>
          </cell>
        </row>
        <row r="1169">
          <cell r="I1169" t="e">
            <v>#REF!</v>
          </cell>
        </row>
        <row r="1170">
          <cell r="I1170" t="e">
            <v>#REF!</v>
          </cell>
        </row>
        <row r="1171">
          <cell r="I1171" t="e">
            <v>#REF!</v>
          </cell>
        </row>
        <row r="1172">
          <cell r="I1172" t="e">
            <v>#REF!</v>
          </cell>
        </row>
        <row r="1173">
          <cell r="I1173" t="e">
            <v>#REF!</v>
          </cell>
        </row>
        <row r="1174">
          <cell r="I1174" t="e">
            <v>#REF!</v>
          </cell>
        </row>
        <row r="1175">
          <cell r="I1175" t="e">
            <v>#REF!</v>
          </cell>
        </row>
        <row r="1176">
          <cell r="I1176" t="e">
            <v>#REF!</v>
          </cell>
        </row>
        <row r="1177">
          <cell r="I1177" t="e">
            <v>#REF!</v>
          </cell>
        </row>
        <row r="1178">
          <cell r="I1178" t="e">
            <v>#REF!</v>
          </cell>
        </row>
        <row r="1179">
          <cell r="I1179" t="e">
            <v>#REF!</v>
          </cell>
        </row>
        <row r="1180">
          <cell r="I1180" t="e">
            <v>#REF!</v>
          </cell>
        </row>
        <row r="1181">
          <cell r="I1181" t="e">
            <v>#REF!</v>
          </cell>
        </row>
        <row r="1182">
          <cell r="I1182" t="e">
            <v>#REF!</v>
          </cell>
        </row>
        <row r="1183">
          <cell r="I1183" t="e">
            <v>#REF!</v>
          </cell>
        </row>
        <row r="1184">
          <cell r="I1184" t="e">
            <v>#REF!</v>
          </cell>
        </row>
        <row r="1185">
          <cell r="I1185" t="e">
            <v>#REF!</v>
          </cell>
        </row>
        <row r="1189">
          <cell r="I1189" t="e">
            <v>#REF!</v>
          </cell>
        </row>
        <row r="1190">
          <cell r="I1190" t="e">
            <v>#REF!</v>
          </cell>
        </row>
        <row r="1206">
          <cell r="I1206" t="e">
            <v>#REF!</v>
          </cell>
        </row>
        <row r="1210">
          <cell r="I1210" t="e">
            <v>#REF!</v>
          </cell>
        </row>
        <row r="1211">
          <cell r="I1211" t="e">
            <v>#REF!</v>
          </cell>
        </row>
        <row r="1219">
          <cell r="I1219" t="e">
            <v>#REF!</v>
          </cell>
        </row>
        <row r="1224">
          <cell r="I1224" t="e">
            <v>#REF!</v>
          </cell>
        </row>
        <row r="1230">
          <cell r="I1230" t="e">
            <v>#REF!</v>
          </cell>
        </row>
        <row r="1231">
          <cell r="I1231" t="e">
            <v>#REF!</v>
          </cell>
        </row>
        <row r="1237">
          <cell r="I1237" t="e">
            <v>#REF!</v>
          </cell>
        </row>
        <row r="1238">
          <cell r="I1238" t="e">
            <v>#REF!</v>
          </cell>
        </row>
        <row r="1240">
          <cell r="I1240" t="e">
            <v>#REF!</v>
          </cell>
        </row>
        <row r="1241">
          <cell r="I1241" t="e">
            <v>#REF!</v>
          </cell>
        </row>
        <row r="1245">
          <cell r="I1245" t="e">
            <v>#REF!</v>
          </cell>
        </row>
        <row r="1246">
          <cell r="I1246" t="e">
            <v>#REF!</v>
          </cell>
        </row>
        <row r="1247">
          <cell r="I1247" t="e">
            <v>#REF!</v>
          </cell>
        </row>
        <row r="1248">
          <cell r="I1248" t="e">
            <v>#REF!</v>
          </cell>
        </row>
        <row r="1249">
          <cell r="I1249" t="e">
            <v>#REF!</v>
          </cell>
        </row>
        <row r="1250">
          <cell r="I1250" t="e">
            <v>#REF!</v>
          </cell>
        </row>
        <row r="1251">
          <cell r="I1251" t="e">
            <v>#REF!</v>
          </cell>
        </row>
        <row r="1252">
          <cell r="I1252" t="e">
            <v>#REF!</v>
          </cell>
        </row>
        <row r="1253">
          <cell r="I1253" t="e">
            <v>#REF!</v>
          </cell>
        </row>
        <row r="1254">
          <cell r="I1254" t="e">
            <v>#REF!</v>
          </cell>
        </row>
        <row r="1255">
          <cell r="I1255" t="e">
            <v>#REF!</v>
          </cell>
        </row>
        <row r="1256">
          <cell r="I1256" t="e">
            <v>#REF!</v>
          </cell>
        </row>
        <row r="1257">
          <cell r="I1257" t="e">
            <v>#REF!</v>
          </cell>
        </row>
        <row r="1260">
          <cell r="I1260" t="e">
            <v>#REF!</v>
          </cell>
        </row>
        <row r="1261">
          <cell r="I1261" t="e">
            <v>#REF!</v>
          </cell>
        </row>
        <row r="1262">
          <cell r="I1262" t="e">
            <v>#REF!</v>
          </cell>
        </row>
        <row r="1263">
          <cell r="I1263" t="e">
            <v>#REF!</v>
          </cell>
        </row>
        <row r="1264">
          <cell r="I1264" t="e">
            <v>#REF!</v>
          </cell>
        </row>
        <row r="1265">
          <cell r="I1265" t="e">
            <v>#REF!</v>
          </cell>
        </row>
        <row r="1266">
          <cell r="I1266" t="e">
            <v>#REF!</v>
          </cell>
        </row>
        <row r="1267">
          <cell r="I1267" t="e">
            <v>#REF!</v>
          </cell>
        </row>
        <row r="1268">
          <cell r="I1268" t="e">
            <v>#REF!</v>
          </cell>
        </row>
        <row r="1269">
          <cell r="I1269" t="e">
            <v>#REF!</v>
          </cell>
        </row>
        <row r="1270">
          <cell r="I1270" t="e">
            <v>#REF!</v>
          </cell>
        </row>
        <row r="1271">
          <cell r="I1271" t="e">
            <v>#REF!</v>
          </cell>
        </row>
        <row r="1272">
          <cell r="I1272" t="e">
            <v>#REF!</v>
          </cell>
        </row>
        <row r="1273">
          <cell r="I1273" t="e">
            <v>#REF!</v>
          </cell>
        </row>
        <row r="1274">
          <cell r="I1274" t="e">
            <v>#REF!</v>
          </cell>
        </row>
        <row r="1275">
          <cell r="I1275" t="e">
            <v>#REF!</v>
          </cell>
        </row>
        <row r="1276">
          <cell r="I1276" t="e">
            <v>#REF!</v>
          </cell>
        </row>
        <row r="1277">
          <cell r="I1277" t="e">
            <v>#REF!</v>
          </cell>
        </row>
        <row r="1278">
          <cell r="I1278" t="e">
            <v>#REF!</v>
          </cell>
        </row>
        <row r="1283">
          <cell r="I1283" t="e">
            <v>#REF!</v>
          </cell>
        </row>
        <row r="1284">
          <cell r="I1284" t="e">
            <v>#REF!</v>
          </cell>
        </row>
        <row r="1285">
          <cell r="I1285" t="e">
            <v>#REF!</v>
          </cell>
        </row>
        <row r="1286">
          <cell r="I1286" t="e">
            <v>#REF!</v>
          </cell>
        </row>
        <row r="1287">
          <cell r="I1287" t="e">
            <v>#REF!</v>
          </cell>
        </row>
        <row r="1288">
          <cell r="I1288" t="e">
            <v>#REF!</v>
          </cell>
        </row>
        <row r="1289">
          <cell r="I1289" t="e">
            <v>#REF!</v>
          </cell>
        </row>
        <row r="1290">
          <cell r="I1290" t="e">
            <v>#REF!</v>
          </cell>
        </row>
        <row r="1291">
          <cell r="I1291" t="e">
            <v>#REF!</v>
          </cell>
        </row>
        <row r="1292">
          <cell r="I1292" t="e">
            <v>#REF!</v>
          </cell>
        </row>
        <row r="1293">
          <cell r="I1293" t="e">
            <v>#REF!</v>
          </cell>
        </row>
        <row r="1294">
          <cell r="I1294" t="e">
            <v>#REF!</v>
          </cell>
        </row>
        <row r="1300">
          <cell r="I1300" t="e">
            <v>#REF!</v>
          </cell>
        </row>
        <row r="1301">
          <cell r="I1301" t="e">
            <v>#REF!</v>
          </cell>
        </row>
        <row r="1315">
          <cell r="I1315" t="e">
            <v>#REF!</v>
          </cell>
        </row>
        <row r="1316">
          <cell r="I1316" t="e">
            <v>#REF!</v>
          </cell>
        </row>
        <row r="1317">
          <cell r="I1317" t="e">
            <v>#REF!</v>
          </cell>
        </row>
        <row r="1318">
          <cell r="I1318" t="e">
            <v>#REF!</v>
          </cell>
        </row>
        <row r="1319">
          <cell r="I1319" t="e">
            <v>#REF!</v>
          </cell>
        </row>
        <row r="1320">
          <cell r="I1320" t="e">
            <v>#REF!</v>
          </cell>
        </row>
        <row r="1321">
          <cell r="I1321" t="e">
            <v>#REF!</v>
          </cell>
        </row>
        <row r="1322">
          <cell r="I1322" t="e">
            <v>#REF!</v>
          </cell>
        </row>
        <row r="1323">
          <cell r="I1323" t="e">
            <v>#REF!</v>
          </cell>
        </row>
        <row r="1324">
          <cell r="I1324" t="e">
            <v>#REF!</v>
          </cell>
        </row>
        <row r="1330">
          <cell r="I1330" t="e">
            <v>#REF!</v>
          </cell>
        </row>
        <row r="1331">
          <cell r="I1331" t="e">
            <v>#REF!</v>
          </cell>
        </row>
        <row r="1332">
          <cell r="I1332" t="e">
            <v>#REF!</v>
          </cell>
        </row>
        <row r="1333">
          <cell r="I1333" t="e">
            <v>#REF!</v>
          </cell>
        </row>
        <row r="1334">
          <cell r="I1334" t="e">
            <v>#REF!</v>
          </cell>
        </row>
        <row r="1336">
          <cell r="I1336" t="e">
            <v>#REF!</v>
          </cell>
        </row>
        <row r="1337">
          <cell r="I1337" t="e">
            <v>#REF!</v>
          </cell>
        </row>
        <row r="1338">
          <cell r="I1338" t="e">
            <v>#REF!</v>
          </cell>
        </row>
        <row r="1339">
          <cell r="I1339" t="e">
            <v>#REF!</v>
          </cell>
        </row>
        <row r="1340">
          <cell r="I1340" t="e">
            <v>#REF!</v>
          </cell>
        </row>
        <row r="1341">
          <cell r="I1341" t="e">
            <v>#REF!</v>
          </cell>
        </row>
        <row r="1344">
          <cell r="I1344" t="e">
            <v>#REF!</v>
          </cell>
        </row>
        <row r="1347">
          <cell r="I1347" t="e">
            <v>#REF!</v>
          </cell>
        </row>
        <row r="1348">
          <cell r="I1348" t="e">
            <v>#REF!</v>
          </cell>
        </row>
        <row r="1352">
          <cell r="I1352" t="e">
            <v>#REF!</v>
          </cell>
        </row>
        <row r="1353">
          <cell r="I1353" t="e">
            <v>#REF!</v>
          </cell>
        </row>
        <row r="1354">
          <cell r="I1354" t="e">
            <v>#REF!</v>
          </cell>
        </row>
        <row r="1355">
          <cell r="I1355" t="e">
            <v>#REF!</v>
          </cell>
        </row>
        <row r="1356">
          <cell r="I1356" t="e">
            <v>#REF!</v>
          </cell>
        </row>
        <row r="1357">
          <cell r="I1357" t="e">
            <v>#REF!</v>
          </cell>
        </row>
        <row r="1358">
          <cell r="I1358" t="e">
            <v>#REF!</v>
          </cell>
        </row>
        <row r="1359">
          <cell r="I1359" t="e">
            <v>#REF!</v>
          </cell>
        </row>
        <row r="1360">
          <cell r="I1360" t="e">
            <v>#REF!</v>
          </cell>
        </row>
        <row r="1361">
          <cell r="I1361" t="e">
            <v>#REF!</v>
          </cell>
        </row>
        <row r="1363">
          <cell r="I1363" t="e">
            <v>#REF!</v>
          </cell>
        </row>
        <row r="1364">
          <cell r="I1364" t="e">
            <v>#REF!</v>
          </cell>
        </row>
        <row r="1365">
          <cell r="I1365" t="e">
            <v>#REF!</v>
          </cell>
        </row>
        <row r="1366">
          <cell r="I1366" t="e">
            <v>#REF!</v>
          </cell>
        </row>
        <row r="1367">
          <cell r="I1367" t="e">
            <v>#REF!</v>
          </cell>
        </row>
        <row r="1368">
          <cell r="I1368" t="e">
            <v>#REF!</v>
          </cell>
        </row>
        <row r="1374">
          <cell r="I1374" t="e">
            <v>#REF!</v>
          </cell>
        </row>
        <row r="1375">
          <cell r="I1375" t="e">
            <v>#REF!</v>
          </cell>
        </row>
        <row r="1380">
          <cell r="I1380" t="e">
            <v>#REF!</v>
          </cell>
        </row>
        <row r="1381">
          <cell r="I1381" t="e">
            <v>#REF!</v>
          </cell>
        </row>
        <row r="1382">
          <cell r="I1382" t="e">
            <v>#REF!</v>
          </cell>
        </row>
        <row r="1389">
          <cell r="I1389" t="e">
            <v>#REF!</v>
          </cell>
        </row>
        <row r="1391">
          <cell r="I1391" t="e">
            <v>#REF!</v>
          </cell>
        </row>
        <row r="1392">
          <cell r="I1392" t="e">
            <v>#REF!</v>
          </cell>
        </row>
        <row r="1393">
          <cell r="I1393" t="e">
            <v>#REF!</v>
          </cell>
        </row>
        <row r="1395">
          <cell r="I1395" t="e">
            <v>#REF!</v>
          </cell>
        </row>
        <row r="1396">
          <cell r="I1396" t="e">
            <v>#REF!</v>
          </cell>
        </row>
        <row r="1408">
          <cell r="I1408" t="e">
            <v>#REF!</v>
          </cell>
        </row>
        <row r="1409">
          <cell r="I1409" t="e">
            <v>#REF!</v>
          </cell>
        </row>
        <row r="1410">
          <cell r="I1410" t="e">
            <v>#REF!</v>
          </cell>
        </row>
        <row r="1411">
          <cell r="I1411" t="e">
            <v>#REF!</v>
          </cell>
        </row>
        <row r="1412">
          <cell r="I1412" t="e">
            <v>#REF!</v>
          </cell>
        </row>
        <row r="1413">
          <cell r="I1413" t="e">
            <v>#REF!</v>
          </cell>
        </row>
        <row r="1414">
          <cell r="I1414" t="e">
            <v>#REF!</v>
          </cell>
        </row>
        <row r="1415">
          <cell r="I1415" t="e">
            <v>#REF!</v>
          </cell>
        </row>
        <row r="1416">
          <cell r="I1416" t="e">
            <v>#REF!</v>
          </cell>
        </row>
        <row r="1417">
          <cell r="I1417" t="e">
            <v>#REF!</v>
          </cell>
        </row>
        <row r="1418">
          <cell r="I1418" t="e">
            <v>#REF!</v>
          </cell>
        </row>
        <row r="1419">
          <cell r="I1419" t="e">
            <v>#REF!</v>
          </cell>
        </row>
        <row r="1420">
          <cell r="I1420" t="e">
            <v>#REF!</v>
          </cell>
        </row>
        <row r="1421">
          <cell r="I1421" t="e">
            <v>#REF!</v>
          </cell>
        </row>
        <row r="1422">
          <cell r="I1422" t="e">
            <v>#REF!</v>
          </cell>
        </row>
        <row r="1423">
          <cell r="I1423" t="e">
            <v>#REF!</v>
          </cell>
        </row>
        <row r="1424">
          <cell r="I1424" t="e">
            <v>#REF!</v>
          </cell>
        </row>
        <row r="1425">
          <cell r="I1425" t="e">
            <v>#REF!</v>
          </cell>
        </row>
        <row r="1426">
          <cell r="I1426" t="e">
            <v>#REF!</v>
          </cell>
        </row>
        <row r="1427">
          <cell r="I1427" t="e">
            <v>#REF!</v>
          </cell>
        </row>
        <row r="1493">
          <cell r="I1493" t="e">
            <v>#REF!</v>
          </cell>
        </row>
        <row r="1499">
          <cell r="I1499" t="e">
            <v>#REF!</v>
          </cell>
        </row>
        <row r="1545">
          <cell r="I1545" t="e">
            <v>#REF!</v>
          </cell>
        </row>
        <row r="1546">
          <cell r="I1546" t="e">
            <v>#REF!</v>
          </cell>
        </row>
        <row r="1547">
          <cell r="I1547" t="e">
            <v>#REF!</v>
          </cell>
        </row>
        <row r="1548">
          <cell r="I1548" t="e">
            <v>#REF!</v>
          </cell>
        </row>
        <row r="1549">
          <cell r="I1549" t="e">
            <v>#REF!</v>
          </cell>
        </row>
        <row r="1551">
          <cell r="I1551" t="e">
            <v>#REF!</v>
          </cell>
        </row>
        <row r="1552">
          <cell r="I1552" t="e">
            <v>#REF!</v>
          </cell>
        </row>
        <row r="1566">
          <cell r="I1566" t="e">
            <v>#REF!</v>
          </cell>
        </row>
        <row r="1568">
          <cell r="I1568" t="e">
            <v>#REF!</v>
          </cell>
        </row>
        <row r="1569">
          <cell r="I1569" t="e">
            <v>#REF!</v>
          </cell>
        </row>
        <row r="1570">
          <cell r="I1570" t="e">
            <v>#REF!</v>
          </cell>
        </row>
        <row r="1571">
          <cell r="I1571" t="e">
            <v>#REF!</v>
          </cell>
        </row>
        <row r="1572">
          <cell r="I1572" t="e">
            <v>#REF!</v>
          </cell>
        </row>
        <row r="1573">
          <cell r="I1573" t="e">
            <v>#REF!</v>
          </cell>
        </row>
        <row r="1574">
          <cell r="I1574" t="e">
            <v>#REF!</v>
          </cell>
        </row>
        <row r="1575">
          <cell r="I1575" t="e">
            <v>#REF!</v>
          </cell>
        </row>
        <row r="1576">
          <cell r="I1576" t="e">
            <v>#REF!</v>
          </cell>
        </row>
        <row r="1577">
          <cell r="I1577" t="e">
            <v>#REF!</v>
          </cell>
        </row>
        <row r="1604">
          <cell r="I1604" t="e">
            <v>#REF!</v>
          </cell>
        </row>
        <row r="1605">
          <cell r="I1605" t="e">
            <v>#REF!</v>
          </cell>
        </row>
        <row r="1606">
          <cell r="I1606" t="e">
            <v>#REF!</v>
          </cell>
        </row>
        <row r="1607">
          <cell r="I1607" t="e">
            <v>#REF!</v>
          </cell>
        </row>
        <row r="1608">
          <cell r="I1608" t="e">
            <v>#REF!</v>
          </cell>
        </row>
        <row r="1812">
          <cell r="I1812" t="e">
            <v>#REF!</v>
          </cell>
        </row>
        <row r="1813">
          <cell r="I1813" t="e">
            <v>#REF!</v>
          </cell>
        </row>
        <row r="1814">
          <cell r="I1814" t="e">
            <v>#REF!</v>
          </cell>
        </row>
        <row r="1815">
          <cell r="I1815" t="e">
            <v>#REF!</v>
          </cell>
        </row>
        <row r="1816">
          <cell r="I1816" t="e">
            <v>#REF!</v>
          </cell>
        </row>
        <row r="1817">
          <cell r="I1817" t="e">
            <v>#REF!</v>
          </cell>
        </row>
        <row r="1818">
          <cell r="I1818" t="e">
            <v>#REF!</v>
          </cell>
        </row>
        <row r="1819">
          <cell r="I1819" t="e">
            <v>#REF!</v>
          </cell>
        </row>
        <row r="1829">
          <cell r="I1829" t="e">
            <v>#REF!</v>
          </cell>
        </row>
        <row r="1831">
          <cell r="I1831" t="e">
            <v>#REF!</v>
          </cell>
        </row>
        <row r="1832">
          <cell r="I1832" t="e">
            <v>#REF!</v>
          </cell>
        </row>
        <row r="1833">
          <cell r="I1833" t="e">
            <v>#REF!</v>
          </cell>
        </row>
        <row r="1834">
          <cell r="I1834" t="e">
            <v>#REF!</v>
          </cell>
        </row>
        <row r="1836">
          <cell r="I1836" t="e">
            <v>#REF!</v>
          </cell>
        </row>
        <row r="1837">
          <cell r="I1837" t="e">
            <v>#REF!</v>
          </cell>
        </row>
        <row r="1838">
          <cell r="I1838" t="e">
            <v>#REF!</v>
          </cell>
        </row>
        <row r="1839">
          <cell r="I1839" t="e">
            <v>#REF!</v>
          </cell>
        </row>
        <row r="1841">
          <cell r="I1841" t="e">
            <v>#REF!</v>
          </cell>
        </row>
        <row r="1842">
          <cell r="I1842" t="e">
            <v>#REF!</v>
          </cell>
        </row>
        <row r="1843">
          <cell r="I1843" t="e">
            <v>#REF!</v>
          </cell>
        </row>
        <row r="1844">
          <cell r="I1844" t="e">
            <v>#REF!</v>
          </cell>
        </row>
        <row r="1846">
          <cell r="I1846" t="e">
            <v>#REF!</v>
          </cell>
        </row>
        <row r="1847">
          <cell r="I1847" t="e">
            <v>#REF!</v>
          </cell>
        </row>
        <row r="1848">
          <cell r="I1848" t="e">
            <v>#REF!</v>
          </cell>
        </row>
        <row r="1849">
          <cell r="I1849" t="e">
            <v>#REF!</v>
          </cell>
        </row>
        <row r="1851">
          <cell r="I1851" t="e">
            <v>#REF!</v>
          </cell>
        </row>
        <row r="1852">
          <cell r="I1852" t="e">
            <v>#REF!</v>
          </cell>
        </row>
        <row r="1853">
          <cell r="I1853" t="e">
            <v>#REF!</v>
          </cell>
        </row>
        <row r="1854">
          <cell r="I1854" t="e">
            <v>#REF!</v>
          </cell>
        </row>
        <row r="1856">
          <cell r="I1856" t="e">
            <v>#REF!</v>
          </cell>
        </row>
        <row r="1858">
          <cell r="I1858" t="e">
            <v>#REF!</v>
          </cell>
        </row>
        <row r="1859">
          <cell r="I1859" t="e">
            <v>#REF!</v>
          </cell>
        </row>
        <row r="1861">
          <cell r="I1861" t="e">
            <v>#REF!</v>
          </cell>
        </row>
        <row r="1862">
          <cell r="I1862" t="e">
            <v>#REF!</v>
          </cell>
        </row>
        <row r="1863">
          <cell r="I1863" t="e">
            <v>#REF!</v>
          </cell>
        </row>
        <row r="1864">
          <cell r="I1864" t="e">
            <v>#REF!</v>
          </cell>
        </row>
        <row r="1866">
          <cell r="I1866" t="e">
            <v>#REF!</v>
          </cell>
        </row>
        <row r="1867">
          <cell r="I1867" t="e">
            <v>#REF!</v>
          </cell>
        </row>
        <row r="1868">
          <cell r="I1868" t="e">
            <v>#REF!</v>
          </cell>
        </row>
        <row r="1869">
          <cell r="I1869" t="e">
            <v>#REF!</v>
          </cell>
        </row>
        <row r="1871">
          <cell r="I1871" t="e">
            <v>#REF!</v>
          </cell>
        </row>
        <row r="1872">
          <cell r="I1872" t="e">
            <v>#REF!</v>
          </cell>
        </row>
        <row r="1873">
          <cell r="I1873" t="e">
            <v>#REF!</v>
          </cell>
        </row>
        <row r="1874">
          <cell r="I1874" t="e">
            <v>#REF!</v>
          </cell>
        </row>
        <row r="1876">
          <cell r="I1876" t="e">
            <v>#REF!</v>
          </cell>
        </row>
        <row r="1878">
          <cell r="I1878" t="e">
            <v>#REF!</v>
          </cell>
        </row>
        <row r="1880">
          <cell r="I1880" t="e">
            <v>#REF!</v>
          </cell>
        </row>
        <row r="1882">
          <cell r="I1882" t="e">
            <v>#REF!</v>
          </cell>
        </row>
        <row r="1884">
          <cell r="I1884" t="e">
            <v>#REF!</v>
          </cell>
        </row>
        <row r="1885">
          <cell r="I1885" t="e">
            <v>#REF!</v>
          </cell>
        </row>
        <row r="1886">
          <cell r="I1886" t="e">
            <v>#REF!</v>
          </cell>
        </row>
        <row r="1887">
          <cell r="I1887" t="e">
            <v>#REF!</v>
          </cell>
        </row>
        <row r="1888">
          <cell r="I1888" t="e">
            <v>#REF!</v>
          </cell>
        </row>
        <row r="1889">
          <cell r="I1889" t="e">
            <v>#REF!</v>
          </cell>
        </row>
        <row r="1890">
          <cell r="I1890" t="e">
            <v>#REF!</v>
          </cell>
        </row>
        <row r="1891">
          <cell r="I1891" t="e">
            <v>#REF!</v>
          </cell>
        </row>
        <row r="1892">
          <cell r="I1892" t="e">
            <v>#REF!</v>
          </cell>
        </row>
        <row r="1893">
          <cell r="I1893" t="e">
            <v>#REF!</v>
          </cell>
        </row>
        <row r="1894">
          <cell r="I1894" t="e">
            <v>#REF!</v>
          </cell>
        </row>
        <row r="1895">
          <cell r="I1895" t="e">
            <v>#REF!</v>
          </cell>
        </row>
        <row r="1896">
          <cell r="I1896" t="e">
            <v>#REF!</v>
          </cell>
        </row>
        <row r="1897">
          <cell r="I1897" t="e">
            <v>#REF!</v>
          </cell>
        </row>
        <row r="1898">
          <cell r="I1898" t="e">
            <v>#REF!</v>
          </cell>
        </row>
        <row r="1899">
          <cell r="I1899" t="e">
            <v>#REF!</v>
          </cell>
        </row>
        <row r="1900">
          <cell r="I1900" t="e">
            <v>#REF!</v>
          </cell>
        </row>
        <row r="1901">
          <cell r="I1901" t="e">
            <v>#REF!</v>
          </cell>
        </row>
        <row r="1902">
          <cell r="I1902" t="e">
            <v>#REF!</v>
          </cell>
        </row>
        <row r="1903">
          <cell r="I1903" t="e">
            <v>#REF!</v>
          </cell>
        </row>
        <row r="1904">
          <cell r="I1904" t="e">
            <v>#REF!</v>
          </cell>
        </row>
        <row r="1905">
          <cell r="I1905" t="e">
            <v>#REF!</v>
          </cell>
        </row>
        <row r="1906">
          <cell r="I1906" t="e">
            <v>#REF!</v>
          </cell>
        </row>
        <row r="1907">
          <cell r="I1907" t="e">
            <v>#REF!</v>
          </cell>
        </row>
        <row r="1920">
          <cell r="I1920" t="e">
            <v>#REF!</v>
          </cell>
        </row>
        <row r="1921">
          <cell r="I1921" t="e">
            <v>#REF!</v>
          </cell>
        </row>
        <row r="1922">
          <cell r="I1922" t="e">
            <v>#REF!</v>
          </cell>
        </row>
        <row r="1923">
          <cell r="I1923" t="e">
            <v>#REF!</v>
          </cell>
        </row>
        <row r="1924">
          <cell r="I1924" t="e">
            <v>#REF!</v>
          </cell>
        </row>
        <row r="1926">
          <cell r="I1926" t="e">
            <v>#REF!</v>
          </cell>
        </row>
        <row r="1928">
          <cell r="I1928" t="e">
            <v>#REF!</v>
          </cell>
        </row>
        <row r="1930">
          <cell r="I1930" t="e">
            <v>#REF!</v>
          </cell>
        </row>
        <row r="1933">
          <cell r="I1933" t="e">
            <v>#REF!</v>
          </cell>
        </row>
        <row r="1949">
          <cell r="I1949" t="e">
            <v>#REF!</v>
          </cell>
        </row>
        <row r="1951">
          <cell r="I1951" t="e">
            <v>#REF!</v>
          </cell>
        </row>
        <row r="1953">
          <cell r="I1953" t="e">
            <v>#REF!</v>
          </cell>
        </row>
        <row r="1954">
          <cell r="I1954" t="e">
            <v>#REF!</v>
          </cell>
        </row>
        <row r="2081">
          <cell r="I2081" t="e">
            <v>#REF!</v>
          </cell>
        </row>
        <row r="2087">
          <cell r="I2087" t="e">
            <v>#REF!</v>
          </cell>
        </row>
        <row r="2088">
          <cell r="I2088" t="e">
            <v>#REF!</v>
          </cell>
        </row>
        <row r="2096">
          <cell r="I2096" t="e">
            <v>#REF!</v>
          </cell>
        </row>
        <row r="2099">
          <cell r="I2099" t="e">
            <v>#REF!</v>
          </cell>
        </row>
        <row r="2100">
          <cell r="I2100" t="e">
            <v>#REF!</v>
          </cell>
        </row>
        <row r="2104">
          <cell r="I2104" t="e">
            <v>#REF!</v>
          </cell>
        </row>
        <row r="2217">
          <cell r="I2217" t="e">
            <v>#REF!</v>
          </cell>
        </row>
        <row r="2218">
          <cell r="I2218" t="e">
            <v>#REF!</v>
          </cell>
        </row>
        <row r="2219">
          <cell r="I2219" t="e">
            <v>#REF!</v>
          </cell>
        </row>
        <row r="2255">
          <cell r="I2255" t="e">
            <v>#REF!</v>
          </cell>
        </row>
        <row r="2290">
          <cell r="I2290" t="e">
            <v>#REF!</v>
          </cell>
        </row>
        <row r="2295">
          <cell r="I2295" t="e">
            <v>#REF!</v>
          </cell>
        </row>
        <row r="2299">
          <cell r="I2299" t="e">
            <v>#REF!</v>
          </cell>
        </row>
        <row r="2315">
          <cell r="I2315" t="e">
            <v>#REF!</v>
          </cell>
        </row>
        <row r="2333">
          <cell r="I2333" t="e">
            <v>#REF!</v>
          </cell>
        </row>
        <row r="2334">
          <cell r="I2334" t="e">
            <v>#REF!</v>
          </cell>
        </row>
        <row r="2335">
          <cell r="I2335" t="e">
            <v>#REF!</v>
          </cell>
        </row>
        <row r="2368">
          <cell r="I2368" t="e">
            <v>#REF!</v>
          </cell>
        </row>
        <row r="2384">
          <cell r="I2384" t="e">
            <v>#REF!</v>
          </cell>
        </row>
        <row r="2394">
          <cell r="I2394" t="e">
            <v>#REF!</v>
          </cell>
        </row>
        <row r="2504">
          <cell r="I2504" t="e">
            <v>#REF!</v>
          </cell>
        </row>
        <row r="2593">
          <cell r="I2593" t="e">
            <v>#REF!</v>
          </cell>
        </row>
        <row r="2595">
          <cell r="I2595" t="e">
            <v>#REF!</v>
          </cell>
        </row>
        <row r="2596">
          <cell r="I2596" t="e">
            <v>#REF!</v>
          </cell>
        </row>
        <row r="2597">
          <cell r="I2597" t="e">
            <v>#REF!</v>
          </cell>
        </row>
        <row r="2598">
          <cell r="I2598" t="e">
            <v>#REF!</v>
          </cell>
        </row>
        <row r="2599">
          <cell r="I2599" t="e">
            <v>#REF!</v>
          </cell>
        </row>
        <row r="2600">
          <cell r="I2600" t="e">
            <v>#REF!</v>
          </cell>
        </row>
        <row r="2601">
          <cell r="I2601" t="e">
            <v>#REF!</v>
          </cell>
        </row>
        <row r="2602">
          <cell r="I2602" t="e">
            <v>#REF!</v>
          </cell>
        </row>
        <row r="2603">
          <cell r="I2603" t="e">
            <v>#REF!</v>
          </cell>
        </row>
        <row r="2604">
          <cell r="I2604" t="e">
            <v>#REF!</v>
          </cell>
        </row>
        <row r="2605">
          <cell r="I2605" t="e">
            <v>#REF!</v>
          </cell>
        </row>
        <row r="2606">
          <cell r="I2606" t="e">
            <v>#REF!</v>
          </cell>
        </row>
        <row r="2607">
          <cell r="I2607" t="e">
            <v>#REF!</v>
          </cell>
        </row>
        <row r="2608">
          <cell r="I2608" t="e">
            <v>#REF!</v>
          </cell>
        </row>
        <row r="2609">
          <cell r="I2609" t="e">
            <v>#REF!</v>
          </cell>
        </row>
        <row r="2611">
          <cell r="I2611" t="e">
            <v>#REF!</v>
          </cell>
        </row>
        <row r="2612">
          <cell r="I2612" t="e">
            <v>#REF!</v>
          </cell>
        </row>
        <row r="2613">
          <cell r="I2613" t="e">
            <v>#REF!</v>
          </cell>
        </row>
        <row r="2614">
          <cell r="I2614" t="e">
            <v>#REF!</v>
          </cell>
        </row>
        <row r="2615">
          <cell r="I2615" t="e">
            <v>#REF!</v>
          </cell>
        </row>
        <row r="2616">
          <cell r="I2616" t="e">
            <v>#REF!</v>
          </cell>
        </row>
        <row r="2617">
          <cell r="I2617" t="e">
            <v>#REF!</v>
          </cell>
        </row>
        <row r="2618">
          <cell r="I2618" t="e">
            <v>#REF!</v>
          </cell>
        </row>
        <row r="2619">
          <cell r="I2619" t="e">
            <v>#REF!</v>
          </cell>
        </row>
        <row r="2620">
          <cell r="I2620" t="e">
            <v>#REF!</v>
          </cell>
        </row>
        <row r="2622">
          <cell r="I2622" t="e">
            <v>#REF!</v>
          </cell>
        </row>
        <row r="2623">
          <cell r="I2623" t="e">
            <v>#REF!</v>
          </cell>
        </row>
        <row r="2683">
          <cell r="I2683" t="e">
            <v>#REF!</v>
          </cell>
        </row>
        <row r="2684">
          <cell r="I2684" t="e">
            <v>#REF!</v>
          </cell>
        </row>
        <row r="2685">
          <cell r="I2685" t="e">
            <v>#REF!</v>
          </cell>
        </row>
        <row r="2686">
          <cell r="I2686" t="e">
            <v>#REF!</v>
          </cell>
        </row>
        <row r="2687">
          <cell r="I2687" t="e">
            <v>#REF!</v>
          </cell>
        </row>
        <row r="2694">
          <cell r="I2694" t="e">
            <v>#REF!</v>
          </cell>
        </row>
        <row r="2695">
          <cell r="I2695" t="e">
            <v>#REF!</v>
          </cell>
        </row>
        <row r="2696">
          <cell r="I2696" t="e">
            <v>#REF!</v>
          </cell>
        </row>
        <row r="2697">
          <cell r="I2697" t="e">
            <v>#REF!</v>
          </cell>
        </row>
        <row r="2708">
          <cell r="I2708" t="e">
            <v>#REF!</v>
          </cell>
        </row>
        <row r="2709">
          <cell r="I2709" t="e">
            <v>#REF!</v>
          </cell>
        </row>
        <row r="2710">
          <cell r="I2710" t="e">
            <v>#REF!</v>
          </cell>
        </row>
        <row r="2714">
          <cell r="I2714" t="e">
            <v>#REF!</v>
          </cell>
        </row>
        <row r="2715">
          <cell r="I2715" t="e">
            <v>#REF!</v>
          </cell>
        </row>
        <row r="2722">
          <cell r="I2722" t="e">
            <v>#REF!</v>
          </cell>
        </row>
        <row r="2724">
          <cell r="I2724" t="e">
            <v>#REF!</v>
          </cell>
        </row>
        <row r="2725">
          <cell r="I2725" t="e">
            <v>#REF!</v>
          </cell>
        </row>
        <row r="2729">
          <cell r="I2729" t="e">
            <v>#REF!</v>
          </cell>
        </row>
        <row r="2735">
          <cell r="I2735" t="e">
            <v>#REF!</v>
          </cell>
        </row>
        <row r="2736">
          <cell r="I2736" t="e">
            <v>#REF!</v>
          </cell>
        </row>
        <row r="2740">
          <cell r="I2740" t="e">
            <v>#REF!</v>
          </cell>
        </row>
        <row r="2742">
          <cell r="I2742" t="e">
            <v>#REF!</v>
          </cell>
        </row>
        <row r="2744">
          <cell r="I2744" t="e">
            <v>#REF!</v>
          </cell>
        </row>
        <row r="2747">
          <cell r="I2747" t="e">
            <v>#REF!</v>
          </cell>
        </row>
        <row r="2748">
          <cell r="I2748" t="e">
            <v>#REF!</v>
          </cell>
        </row>
        <row r="2750">
          <cell r="I2750" t="e">
            <v>#REF!</v>
          </cell>
        </row>
        <row r="2752">
          <cell r="I2752" t="e">
            <v>#REF!</v>
          </cell>
        </row>
        <row r="2753">
          <cell r="I2753" t="e">
            <v>#REF!</v>
          </cell>
        </row>
        <row r="2757">
          <cell r="I2757" t="e">
            <v>#REF!</v>
          </cell>
        </row>
        <row r="2765">
          <cell r="I2765" t="e">
            <v>#REF!</v>
          </cell>
        </row>
        <row r="2783">
          <cell r="I2783" t="e">
            <v>#REF!</v>
          </cell>
        </row>
        <row r="2789">
          <cell r="I2789" t="e">
            <v>#REF!</v>
          </cell>
        </row>
        <row r="2806">
          <cell r="I2806" t="e">
            <v>#REF!</v>
          </cell>
        </row>
        <row r="2812">
          <cell r="I2812" t="e">
            <v>#REF!</v>
          </cell>
        </row>
        <row r="2813">
          <cell r="I2813" t="e">
            <v>#REF!</v>
          </cell>
        </row>
        <row r="2814">
          <cell r="I2814" t="e">
            <v>#REF!</v>
          </cell>
        </row>
        <row r="2815">
          <cell r="I2815" t="e">
            <v>#REF!</v>
          </cell>
        </row>
        <row r="2816">
          <cell r="I2816" t="e">
            <v>#REF!</v>
          </cell>
        </row>
        <row r="2817">
          <cell r="I2817" t="e">
            <v>#REF!</v>
          </cell>
        </row>
        <row r="2818">
          <cell r="I2818" t="e">
            <v>#REF!</v>
          </cell>
        </row>
        <row r="2819">
          <cell r="I2819" t="e">
            <v>#REF!</v>
          </cell>
        </row>
        <row r="2820">
          <cell r="I2820" t="e">
            <v>#REF!</v>
          </cell>
        </row>
        <row r="2821">
          <cell r="I2821" t="e">
            <v>#REF!</v>
          </cell>
        </row>
        <row r="2822">
          <cell r="I2822" t="e">
            <v>#REF!</v>
          </cell>
        </row>
        <row r="2823">
          <cell r="I2823" t="e">
            <v>#REF!</v>
          </cell>
        </row>
        <row r="2824">
          <cell r="I2824" t="e">
            <v>#REF!</v>
          </cell>
        </row>
        <row r="2825">
          <cell r="I2825" t="e">
            <v>#REF!</v>
          </cell>
        </row>
        <row r="2828">
          <cell r="I2828" t="e">
            <v>#REF!</v>
          </cell>
        </row>
        <row r="2829">
          <cell r="I2829" t="e">
            <v>#REF!</v>
          </cell>
        </row>
        <row r="2830">
          <cell r="I2830" t="e">
            <v>#REF!</v>
          </cell>
        </row>
        <row r="2831">
          <cell r="I2831" t="e">
            <v>#REF!</v>
          </cell>
        </row>
        <row r="2832">
          <cell r="I2832" t="e">
            <v>#REF!</v>
          </cell>
        </row>
        <row r="2833">
          <cell r="I2833" t="e">
            <v>#REF!</v>
          </cell>
        </row>
        <row r="2853">
          <cell r="I2853" t="e">
            <v>#REF!</v>
          </cell>
        </row>
        <row r="2854">
          <cell r="I2854" t="e">
            <v>#REF!</v>
          </cell>
        </row>
        <row r="2855">
          <cell r="I2855" t="e">
            <v>#REF!</v>
          </cell>
        </row>
        <row r="2857">
          <cell r="I2857" t="e">
            <v>#REF!</v>
          </cell>
        </row>
        <row r="2858">
          <cell r="I2858" t="e">
            <v>#REF!</v>
          </cell>
        </row>
        <row r="2859">
          <cell r="I2859" t="e">
            <v>#REF!</v>
          </cell>
        </row>
        <row r="2860">
          <cell r="I2860" t="e">
            <v>#REF!</v>
          </cell>
        </row>
        <row r="2861">
          <cell r="I2861" t="e">
            <v>#REF!</v>
          </cell>
        </row>
        <row r="2868">
          <cell r="I2868" t="e">
            <v>#REF!</v>
          </cell>
        </row>
        <row r="2869">
          <cell r="I2869" t="e">
            <v>#REF!</v>
          </cell>
        </row>
        <row r="2870">
          <cell r="I2870" t="e">
            <v>#REF!</v>
          </cell>
        </row>
        <row r="2871">
          <cell r="I2871" t="e">
            <v>#REF!</v>
          </cell>
        </row>
        <row r="2872">
          <cell r="I2872" t="e">
            <v>#REF!</v>
          </cell>
        </row>
        <row r="2873">
          <cell r="I2873" t="e">
            <v>#REF!</v>
          </cell>
        </row>
        <row r="2874">
          <cell r="I2874" t="e">
            <v>#REF!</v>
          </cell>
        </row>
        <row r="2875">
          <cell r="I2875" t="e">
            <v>#REF!</v>
          </cell>
        </row>
        <row r="2876">
          <cell r="I2876" t="e">
            <v>#REF!</v>
          </cell>
        </row>
        <row r="2877">
          <cell r="I2877" t="e">
            <v>#REF!</v>
          </cell>
        </row>
        <row r="2878">
          <cell r="I2878" t="e">
            <v>#REF!</v>
          </cell>
        </row>
        <row r="2879">
          <cell r="I2879" t="e">
            <v>#REF!</v>
          </cell>
        </row>
        <row r="2880">
          <cell r="I2880" t="e">
            <v>#REF!</v>
          </cell>
        </row>
        <row r="2881">
          <cell r="I2881" t="e">
            <v>#REF!</v>
          </cell>
        </row>
        <row r="2882">
          <cell r="I2882" t="e">
            <v>#REF!</v>
          </cell>
        </row>
        <row r="2883">
          <cell r="I2883" t="e">
            <v>#REF!</v>
          </cell>
        </row>
        <row r="2884">
          <cell r="I2884" t="e">
            <v>#REF!</v>
          </cell>
        </row>
        <row r="2885">
          <cell r="I2885" t="e">
            <v>#REF!</v>
          </cell>
        </row>
        <row r="2886">
          <cell r="I2886" t="e">
            <v>#REF!</v>
          </cell>
        </row>
        <row r="2887">
          <cell r="I2887" t="e">
            <v>#REF!</v>
          </cell>
        </row>
        <row r="2890">
          <cell r="I2890" t="e">
            <v>#REF!</v>
          </cell>
        </row>
        <row r="2891">
          <cell r="I2891" t="e">
            <v>#REF!</v>
          </cell>
        </row>
        <row r="2892">
          <cell r="I2892" t="e">
            <v>#REF!</v>
          </cell>
        </row>
        <row r="2893">
          <cell r="I2893" t="e">
            <v>#REF!</v>
          </cell>
        </row>
        <row r="2894">
          <cell r="I2894" t="e">
            <v>#REF!</v>
          </cell>
        </row>
        <row r="2895">
          <cell r="I2895" t="e">
            <v>#REF!</v>
          </cell>
        </row>
        <row r="2896">
          <cell r="I2896" t="e">
            <v>#REF!</v>
          </cell>
        </row>
        <row r="2897">
          <cell r="I2897" t="e">
            <v>#REF!</v>
          </cell>
        </row>
        <row r="2898">
          <cell r="I2898" t="e">
            <v>#REF!</v>
          </cell>
        </row>
        <row r="2899">
          <cell r="I2899" t="e">
            <v>#REF!</v>
          </cell>
        </row>
        <row r="2900">
          <cell r="I2900" t="e">
            <v>#REF!</v>
          </cell>
        </row>
        <row r="2901">
          <cell r="I2901" t="e">
            <v>#REF!</v>
          </cell>
        </row>
        <row r="2902">
          <cell r="I2902" t="e">
            <v>#REF!</v>
          </cell>
        </row>
        <row r="2904">
          <cell r="I2904" t="e">
            <v>#REF!</v>
          </cell>
        </row>
        <row r="2905">
          <cell r="I2905" t="e">
            <v>#REF!</v>
          </cell>
        </row>
        <row r="2906">
          <cell r="I2906" t="e">
            <v>#REF!</v>
          </cell>
        </row>
        <row r="2907">
          <cell r="I2907" t="e">
            <v>#REF!</v>
          </cell>
        </row>
        <row r="2908">
          <cell r="I2908" t="e">
            <v>#REF!</v>
          </cell>
        </row>
        <row r="2909">
          <cell r="I2909" t="e">
            <v>#REF!</v>
          </cell>
        </row>
        <row r="2910">
          <cell r="I2910" t="e">
            <v>#REF!</v>
          </cell>
        </row>
        <row r="2911">
          <cell r="I2911" t="e">
            <v>#REF!</v>
          </cell>
        </row>
        <row r="2912">
          <cell r="I2912" t="e">
            <v>#REF!</v>
          </cell>
        </row>
        <row r="2923">
          <cell r="I2923" t="e">
            <v>#REF!</v>
          </cell>
        </row>
        <row r="2924">
          <cell r="I2924" t="e">
            <v>#REF!</v>
          </cell>
        </row>
        <row r="2926">
          <cell r="I2926" t="e">
            <v>#REF!</v>
          </cell>
        </row>
        <row r="2927">
          <cell r="I2927" t="e">
            <v>#REF!</v>
          </cell>
        </row>
        <row r="2929">
          <cell r="I2929" t="e">
            <v>#REF!</v>
          </cell>
        </row>
        <row r="2930">
          <cell r="I2930" t="e">
            <v>#REF!</v>
          </cell>
        </row>
        <row r="2931">
          <cell r="I2931" t="e">
            <v>#REF!</v>
          </cell>
        </row>
        <row r="2932">
          <cell r="I2932" t="e">
            <v>#REF!</v>
          </cell>
        </row>
        <row r="2933">
          <cell r="I2933" t="e">
            <v>#REF!</v>
          </cell>
        </row>
        <row r="2934">
          <cell r="I2934" t="e">
            <v>#REF!</v>
          </cell>
        </row>
        <row r="2936">
          <cell r="I2936" t="e">
            <v>#REF!</v>
          </cell>
        </row>
        <row r="2937">
          <cell r="I2937" t="e">
            <v>#REF!</v>
          </cell>
        </row>
        <row r="2938">
          <cell r="I2938" t="e">
            <v>#REF!</v>
          </cell>
        </row>
        <row r="2940">
          <cell r="I2940" t="e">
            <v>#REF!</v>
          </cell>
        </row>
        <row r="2945">
          <cell r="I2945" t="e">
            <v>#REF!</v>
          </cell>
        </row>
        <row r="2946">
          <cell r="I2946" t="e">
            <v>#REF!</v>
          </cell>
        </row>
        <row r="2948">
          <cell r="I2948" t="e">
            <v>#REF!</v>
          </cell>
        </row>
        <row r="2975">
          <cell r="I2975" t="e">
            <v>#REF!</v>
          </cell>
        </row>
        <row r="2978">
          <cell r="I2978" t="e">
            <v>#REF!</v>
          </cell>
        </row>
        <row r="2979">
          <cell r="I2979" t="e">
            <v>#REF!</v>
          </cell>
        </row>
        <row r="2980">
          <cell r="I2980" t="e">
            <v>#REF!</v>
          </cell>
        </row>
        <row r="2981">
          <cell r="I2981" t="e">
            <v>#REF!</v>
          </cell>
        </row>
        <row r="2982">
          <cell r="I2982" t="e">
            <v>#REF!</v>
          </cell>
        </row>
        <row r="2984">
          <cell r="I2984" t="e">
            <v>#REF!</v>
          </cell>
        </row>
        <row r="2985">
          <cell r="I2985" t="e">
            <v>#REF!</v>
          </cell>
        </row>
        <row r="2990">
          <cell r="I2990" t="e">
            <v>#REF!</v>
          </cell>
        </row>
        <row r="2991">
          <cell r="I2991" t="e">
            <v>#REF!</v>
          </cell>
        </row>
        <row r="2992">
          <cell r="I2992" t="e">
            <v>#REF!</v>
          </cell>
        </row>
        <row r="2993">
          <cell r="I2993" t="e">
            <v>#REF!</v>
          </cell>
        </row>
        <row r="2994">
          <cell r="I2994" t="e">
            <v>#REF!</v>
          </cell>
        </row>
        <row r="2995">
          <cell r="I2995" t="e">
            <v>#REF!</v>
          </cell>
        </row>
        <row r="2996">
          <cell r="I2996" t="e">
            <v>#REF!</v>
          </cell>
        </row>
        <row r="3001">
          <cell r="I3001" t="e">
            <v>#REF!</v>
          </cell>
        </row>
        <row r="3002">
          <cell r="I3002" t="e">
            <v>#REF!</v>
          </cell>
        </row>
        <row r="3003">
          <cell r="I3003" t="e">
            <v>#REF!</v>
          </cell>
        </row>
        <row r="3004">
          <cell r="I3004" t="e">
            <v>#REF!</v>
          </cell>
        </row>
        <row r="3011">
          <cell r="I3011" t="e">
            <v>#REF!</v>
          </cell>
        </row>
        <row r="3012">
          <cell r="I3012" t="e">
            <v>#REF!</v>
          </cell>
        </row>
        <row r="3013">
          <cell r="I3013" t="e">
            <v>#REF!</v>
          </cell>
        </row>
        <row r="3014">
          <cell r="I3014" t="e">
            <v>#REF!</v>
          </cell>
        </row>
        <row r="3018">
          <cell r="I3018" t="e">
            <v>#REF!</v>
          </cell>
        </row>
        <row r="3019">
          <cell r="I3019" t="e">
            <v>#REF!</v>
          </cell>
        </row>
        <row r="3020">
          <cell r="I3020" t="e">
            <v>#REF!</v>
          </cell>
        </row>
        <row r="3022">
          <cell r="I3022" t="e">
            <v>#REF!</v>
          </cell>
        </row>
        <row r="3024">
          <cell r="I3024" t="e">
            <v>#REF!</v>
          </cell>
        </row>
        <row r="3025">
          <cell r="I3025" t="e">
            <v>#REF!</v>
          </cell>
        </row>
        <row r="3026">
          <cell r="I3026" t="e">
            <v>#REF!</v>
          </cell>
        </row>
        <row r="3027">
          <cell r="I3027" t="e">
            <v>#REF!</v>
          </cell>
        </row>
        <row r="3028">
          <cell r="I3028" t="e">
            <v>#REF!</v>
          </cell>
        </row>
        <row r="3029">
          <cell r="I3029" t="e">
            <v>#REF!</v>
          </cell>
        </row>
        <row r="3030">
          <cell r="I3030" t="e">
            <v>#REF!</v>
          </cell>
        </row>
        <row r="3031">
          <cell r="I3031" t="e">
            <v>#REF!</v>
          </cell>
        </row>
        <row r="3032">
          <cell r="I3032" t="e">
            <v>#REF!</v>
          </cell>
        </row>
        <row r="3033">
          <cell r="I3033" t="e">
            <v>#REF!</v>
          </cell>
        </row>
        <row r="3034">
          <cell r="I3034" t="e">
            <v>#REF!</v>
          </cell>
        </row>
        <row r="3035">
          <cell r="I3035" t="e">
            <v>#REF!</v>
          </cell>
        </row>
        <row r="3036">
          <cell r="I3036" t="e">
            <v>#REF!</v>
          </cell>
        </row>
        <row r="3037">
          <cell r="I3037" t="e">
            <v>#REF!</v>
          </cell>
        </row>
        <row r="3038">
          <cell r="I3038" t="e">
            <v>#REF!</v>
          </cell>
        </row>
        <row r="3039">
          <cell r="I3039" t="e">
            <v>#REF!</v>
          </cell>
        </row>
        <row r="3040">
          <cell r="I3040" t="e">
            <v>#REF!</v>
          </cell>
        </row>
        <row r="3041">
          <cell r="I3041" t="e">
            <v>#REF!</v>
          </cell>
        </row>
        <row r="3042">
          <cell r="I3042" t="e">
            <v>#REF!</v>
          </cell>
        </row>
        <row r="3043">
          <cell r="I3043" t="e">
            <v>#REF!</v>
          </cell>
        </row>
        <row r="3044">
          <cell r="I3044" t="e">
            <v>#REF!</v>
          </cell>
        </row>
        <row r="3045">
          <cell r="I3045" t="e">
            <v>#REF!</v>
          </cell>
        </row>
        <row r="3046">
          <cell r="I3046" t="e">
            <v>#REF!</v>
          </cell>
        </row>
        <row r="3047">
          <cell r="I3047" t="e">
            <v>#REF!</v>
          </cell>
        </row>
        <row r="3048">
          <cell r="I3048" t="e">
            <v>#REF!</v>
          </cell>
        </row>
        <row r="3049">
          <cell r="I3049" t="e">
            <v>#REF!</v>
          </cell>
        </row>
        <row r="3050">
          <cell r="I3050" t="e">
            <v>#REF!</v>
          </cell>
        </row>
        <row r="3051">
          <cell r="I3051" t="e">
            <v>#REF!</v>
          </cell>
        </row>
        <row r="3052">
          <cell r="I3052" t="e">
            <v>#REF!</v>
          </cell>
        </row>
        <row r="3053">
          <cell r="I3053" t="e">
            <v>#REF!</v>
          </cell>
        </row>
        <row r="3089">
          <cell r="I3089" t="e">
            <v>#REF!</v>
          </cell>
        </row>
        <row r="3090">
          <cell r="I3090" t="e">
            <v>#REF!</v>
          </cell>
        </row>
        <row r="3091">
          <cell r="I3091" t="e">
            <v>#REF!</v>
          </cell>
        </row>
        <row r="3092">
          <cell r="I3092" t="e">
            <v>#REF!</v>
          </cell>
        </row>
        <row r="3093">
          <cell r="I3093" t="e">
            <v>#REF!</v>
          </cell>
        </row>
        <row r="3094">
          <cell r="I3094" t="e">
            <v>#REF!</v>
          </cell>
        </row>
        <row r="3095">
          <cell r="I3095" t="e">
            <v>#REF!</v>
          </cell>
        </row>
        <row r="3096">
          <cell r="I3096" t="e">
            <v>#REF!</v>
          </cell>
        </row>
        <row r="3097">
          <cell r="I3097" t="e">
            <v>#REF!</v>
          </cell>
        </row>
        <row r="3098">
          <cell r="I3098" t="e">
            <v>#REF!</v>
          </cell>
        </row>
        <row r="3100">
          <cell r="I3100" t="e">
            <v>#REF!</v>
          </cell>
        </row>
        <row r="3101">
          <cell r="I3101" t="e">
            <v>#REF!</v>
          </cell>
        </row>
        <row r="3116">
          <cell r="I3116" t="e">
            <v>#REF!</v>
          </cell>
        </row>
        <row r="3117">
          <cell r="I3117" t="e">
            <v>#REF!</v>
          </cell>
        </row>
        <row r="3136">
          <cell r="I3136" t="e">
            <v>#REF!</v>
          </cell>
        </row>
        <row r="3137">
          <cell r="I3137" t="e">
            <v>#REF!</v>
          </cell>
        </row>
        <row r="3164">
          <cell r="I3164" t="e">
            <v>#REF!</v>
          </cell>
        </row>
        <row r="3172">
          <cell r="I3172" t="e">
            <v>#REF!</v>
          </cell>
        </row>
        <row r="3185">
          <cell r="I3185" t="e">
            <v>#REF!</v>
          </cell>
        </row>
        <row r="3208">
          <cell r="I3208" t="e">
            <v>#REF!</v>
          </cell>
        </row>
        <row r="3211">
          <cell r="I3211" t="e">
            <v>#REF!</v>
          </cell>
        </row>
        <row r="3212">
          <cell r="I3212" t="e">
            <v>#REF!</v>
          </cell>
        </row>
        <row r="3219">
          <cell r="I3219" t="e">
            <v>#REF!</v>
          </cell>
        </row>
        <row r="3220">
          <cell r="I3220" t="e">
            <v>#REF!</v>
          </cell>
        </row>
        <row r="3222">
          <cell r="I3222" t="e">
            <v>#REF!</v>
          </cell>
        </row>
        <row r="3225">
          <cell r="I3225" t="e">
            <v>#REF!</v>
          </cell>
        </row>
        <row r="3226">
          <cell r="I3226" t="e">
            <v>#REF!</v>
          </cell>
        </row>
        <row r="3227">
          <cell r="I3227" t="e">
            <v>#REF!</v>
          </cell>
        </row>
        <row r="3228">
          <cell r="I3228" t="e">
            <v>#REF!</v>
          </cell>
        </row>
        <row r="3230">
          <cell r="I3230" t="e">
            <v>#REF!</v>
          </cell>
        </row>
        <row r="3234">
          <cell r="I3234" t="e">
            <v>#REF!</v>
          </cell>
        </row>
        <row r="3235">
          <cell r="I3235" t="e">
            <v>#REF!</v>
          </cell>
        </row>
        <row r="3236">
          <cell r="I3236" t="e">
            <v>#REF!</v>
          </cell>
        </row>
        <row r="3237">
          <cell r="I3237" t="e">
            <v>#REF!</v>
          </cell>
        </row>
        <row r="3240">
          <cell r="I3240" t="e">
            <v>#REF!</v>
          </cell>
        </row>
        <row r="3247">
          <cell r="I3247" t="e">
            <v>#REF!</v>
          </cell>
        </row>
        <row r="3248">
          <cell r="I3248" t="e">
            <v>#REF!</v>
          </cell>
        </row>
        <row r="3249">
          <cell r="I3249" t="e">
            <v>#REF!</v>
          </cell>
        </row>
        <row r="3250">
          <cell r="I3250" t="e">
            <v>#REF!</v>
          </cell>
        </row>
        <row r="3251">
          <cell r="I3251" t="e">
            <v>#REF!</v>
          </cell>
        </row>
        <row r="3252">
          <cell r="I3252" t="e">
            <v>#REF!</v>
          </cell>
        </row>
        <row r="3253">
          <cell r="I3253" t="e">
            <v>#REF!</v>
          </cell>
        </row>
        <row r="3254">
          <cell r="I3254" t="e">
            <v>#REF!</v>
          </cell>
        </row>
        <row r="3255">
          <cell r="I3255" t="e">
            <v>#REF!</v>
          </cell>
        </row>
        <row r="3257">
          <cell r="I3257" t="e">
            <v>#REF!</v>
          </cell>
        </row>
        <row r="3258">
          <cell r="I3258" t="e">
            <v>#REF!</v>
          </cell>
        </row>
        <row r="3259">
          <cell r="I3259" t="e">
            <v>#REF!</v>
          </cell>
        </row>
        <row r="3260">
          <cell r="I3260" t="e">
            <v>#REF!</v>
          </cell>
        </row>
        <row r="3261">
          <cell r="I3261" t="e">
            <v>#REF!</v>
          </cell>
        </row>
        <row r="3262">
          <cell r="I3262" t="e">
            <v>#REF!</v>
          </cell>
        </row>
        <row r="3263">
          <cell r="I3263" t="e">
            <v>#REF!</v>
          </cell>
        </row>
        <row r="3264">
          <cell r="I3264" t="e">
            <v>#REF!</v>
          </cell>
        </row>
        <row r="3265">
          <cell r="I3265" t="e">
            <v>#REF!</v>
          </cell>
        </row>
        <row r="3266">
          <cell r="I3266" t="e">
            <v>#REF!</v>
          </cell>
        </row>
        <row r="3267">
          <cell r="I3267" t="e">
            <v>#REF!</v>
          </cell>
        </row>
        <row r="3269">
          <cell r="I3269" t="e">
            <v>#REF!</v>
          </cell>
        </row>
        <row r="3270">
          <cell r="I3270" t="e">
            <v>#REF!</v>
          </cell>
        </row>
        <row r="3271">
          <cell r="I3271" t="e">
            <v>#REF!</v>
          </cell>
        </row>
        <row r="3281">
          <cell r="I3281" t="e">
            <v>#REF!</v>
          </cell>
        </row>
        <row r="3282">
          <cell r="I3282" t="e">
            <v>#REF!</v>
          </cell>
        </row>
        <row r="3283">
          <cell r="I3283" t="e">
            <v>#REF!</v>
          </cell>
        </row>
        <row r="3284">
          <cell r="I3284" t="e">
            <v>#REF!</v>
          </cell>
        </row>
        <row r="3285">
          <cell r="I3285" t="e">
            <v>#REF!</v>
          </cell>
        </row>
        <row r="3286">
          <cell r="I3286" t="e">
            <v>#REF!</v>
          </cell>
        </row>
        <row r="3294">
          <cell r="I3294" t="e">
            <v>#REF!</v>
          </cell>
        </row>
        <row r="3295">
          <cell r="I3295" t="e">
            <v>#REF!</v>
          </cell>
        </row>
        <row r="3296">
          <cell r="I3296" t="e">
            <v>#REF!</v>
          </cell>
        </row>
        <row r="3297">
          <cell r="I3297" t="e">
            <v>#REF!</v>
          </cell>
        </row>
        <row r="3298">
          <cell r="I3298" t="e">
            <v>#REF!</v>
          </cell>
        </row>
        <row r="3299">
          <cell r="I3299" t="e">
            <v>#REF!</v>
          </cell>
        </row>
        <row r="3300">
          <cell r="I3300" t="e">
            <v>#REF!</v>
          </cell>
        </row>
        <row r="3301">
          <cell r="I3301" t="e">
            <v>#REF!</v>
          </cell>
        </row>
        <row r="3302">
          <cell r="I3302" t="e">
            <v>#REF!</v>
          </cell>
        </row>
        <row r="3303">
          <cell r="I3303" t="e">
            <v>#REF!</v>
          </cell>
        </row>
        <row r="3304">
          <cell r="I3304" t="e">
            <v>#REF!</v>
          </cell>
        </row>
        <row r="3305">
          <cell r="I3305" t="e">
            <v>#REF!</v>
          </cell>
        </row>
        <row r="3306">
          <cell r="I3306" t="e">
            <v>#REF!</v>
          </cell>
        </row>
        <row r="3307">
          <cell r="I3307" t="e">
            <v>#REF!</v>
          </cell>
        </row>
        <row r="3308">
          <cell r="I3308" t="e">
            <v>#REF!</v>
          </cell>
        </row>
        <row r="3309">
          <cell r="I3309" t="e">
            <v>#REF!</v>
          </cell>
        </row>
        <row r="3310">
          <cell r="I3310" t="e">
            <v>#REF!</v>
          </cell>
        </row>
        <row r="3311">
          <cell r="I3311" t="e">
            <v>#REF!</v>
          </cell>
        </row>
        <row r="3312">
          <cell r="I3312" t="e">
            <v>#REF!</v>
          </cell>
        </row>
        <row r="3313">
          <cell r="I3313" t="e">
            <v>#REF!</v>
          </cell>
        </row>
        <row r="3314">
          <cell r="I3314" t="e">
            <v>#REF!</v>
          </cell>
        </row>
        <row r="3315">
          <cell r="I3315" t="e">
            <v>#REF!</v>
          </cell>
        </row>
        <row r="3316">
          <cell r="I3316" t="e">
            <v>#REF!</v>
          </cell>
        </row>
        <row r="3317">
          <cell r="I3317" t="e">
            <v>#REF!</v>
          </cell>
        </row>
        <row r="3318">
          <cell r="I3318" t="e">
            <v>#REF!</v>
          </cell>
        </row>
        <row r="3319">
          <cell r="I3319" t="e">
            <v>#REF!</v>
          </cell>
        </row>
        <row r="3320">
          <cell r="I3320" t="e">
            <v>#REF!</v>
          </cell>
        </row>
        <row r="3321">
          <cell r="I3321" t="e">
            <v>#REF!</v>
          </cell>
        </row>
        <row r="3322">
          <cell r="I3322" t="e">
            <v>#REF!</v>
          </cell>
        </row>
        <row r="3323">
          <cell r="I3323" t="e">
            <v>#REF!</v>
          </cell>
        </row>
        <row r="3324">
          <cell r="I3324" t="e">
            <v>#REF!</v>
          </cell>
        </row>
        <row r="3325">
          <cell r="I3325" t="e">
            <v>#REF!</v>
          </cell>
        </row>
        <row r="3326">
          <cell r="I3326" t="e">
            <v>#REF!</v>
          </cell>
        </row>
        <row r="3327">
          <cell r="I3327" t="e">
            <v>#REF!</v>
          </cell>
        </row>
        <row r="3328">
          <cell r="I3328" t="e">
            <v>#REF!</v>
          </cell>
        </row>
        <row r="3329">
          <cell r="I3329" t="e">
            <v>#REF!</v>
          </cell>
        </row>
        <row r="3330">
          <cell r="I3330" t="e">
            <v>#REF!</v>
          </cell>
        </row>
        <row r="3331">
          <cell r="I3331" t="e">
            <v>#REF!</v>
          </cell>
        </row>
        <row r="3332">
          <cell r="I3332" t="e">
            <v>#REF!</v>
          </cell>
        </row>
        <row r="3333">
          <cell r="I3333" t="e">
            <v>#REF!</v>
          </cell>
        </row>
        <row r="3334">
          <cell r="I3334" t="e">
            <v>#REF!</v>
          </cell>
        </row>
        <row r="3335">
          <cell r="I3335" t="e">
            <v>#REF!</v>
          </cell>
        </row>
        <row r="3336">
          <cell r="I3336" t="e">
            <v>#REF!</v>
          </cell>
        </row>
        <row r="3337">
          <cell r="I3337" t="e">
            <v>#REF!</v>
          </cell>
        </row>
        <row r="3338">
          <cell r="I3338" t="e">
            <v>#REF!</v>
          </cell>
        </row>
        <row r="3339">
          <cell r="I3339" t="e">
            <v>#REF!</v>
          </cell>
        </row>
        <row r="3340">
          <cell r="I3340" t="e">
            <v>#REF!</v>
          </cell>
        </row>
        <row r="3341">
          <cell r="I3341" t="e">
            <v>#REF!</v>
          </cell>
        </row>
        <row r="3342">
          <cell r="I3342" t="e">
            <v>#REF!</v>
          </cell>
        </row>
        <row r="3343">
          <cell r="I3343" t="e">
            <v>#REF!</v>
          </cell>
        </row>
        <row r="3344">
          <cell r="I3344" t="e">
            <v>#REF!</v>
          </cell>
        </row>
        <row r="3345">
          <cell r="I3345" t="e">
            <v>#REF!</v>
          </cell>
        </row>
        <row r="3346">
          <cell r="I3346" t="e">
            <v>#REF!</v>
          </cell>
        </row>
        <row r="3347">
          <cell r="I3347" t="e">
            <v>#REF!</v>
          </cell>
        </row>
        <row r="3348">
          <cell r="I3348" t="e">
            <v>#REF!</v>
          </cell>
        </row>
        <row r="3349">
          <cell r="I3349" t="e">
            <v>#REF!</v>
          </cell>
        </row>
        <row r="3350">
          <cell r="I3350" t="e">
            <v>#REF!</v>
          </cell>
        </row>
        <row r="3351">
          <cell r="I3351" t="e">
            <v>#REF!</v>
          </cell>
        </row>
        <row r="3352">
          <cell r="I3352" t="e">
            <v>#REF!</v>
          </cell>
        </row>
        <row r="3353">
          <cell r="I3353" t="e">
            <v>#REF!</v>
          </cell>
        </row>
        <row r="3354">
          <cell r="I3354" t="e">
            <v>#REF!</v>
          </cell>
        </row>
        <row r="3355">
          <cell r="I3355" t="e">
            <v>#REF!</v>
          </cell>
        </row>
        <row r="3356">
          <cell r="I3356" t="e">
            <v>#REF!</v>
          </cell>
        </row>
        <row r="3357">
          <cell r="I3357" t="e">
            <v>#REF!</v>
          </cell>
        </row>
        <row r="3358">
          <cell r="I3358" t="e">
            <v>#REF!</v>
          </cell>
        </row>
        <row r="3359">
          <cell r="I3359" t="e">
            <v>#REF!</v>
          </cell>
        </row>
        <row r="3360">
          <cell r="I3360" t="e">
            <v>#REF!</v>
          </cell>
        </row>
        <row r="3361">
          <cell r="I3361" t="e">
            <v>#REF!</v>
          </cell>
        </row>
        <row r="3362">
          <cell r="I3362" t="e">
            <v>#REF!</v>
          </cell>
        </row>
        <row r="3363">
          <cell r="I3363" t="e">
            <v>#REF!</v>
          </cell>
        </row>
        <row r="3364">
          <cell r="I3364" t="e">
            <v>#REF!</v>
          </cell>
        </row>
        <row r="3365">
          <cell r="I3365" t="e">
            <v>#REF!</v>
          </cell>
        </row>
        <row r="3366">
          <cell r="I3366" t="e">
            <v>#REF!</v>
          </cell>
        </row>
        <row r="3367">
          <cell r="I3367" t="e">
            <v>#REF!</v>
          </cell>
        </row>
        <row r="3368">
          <cell r="I3368" t="e">
            <v>#REF!</v>
          </cell>
        </row>
        <row r="3369">
          <cell r="I3369" t="e">
            <v>#REF!</v>
          </cell>
        </row>
        <row r="3370">
          <cell r="I3370" t="e">
            <v>#REF!</v>
          </cell>
        </row>
        <row r="3371">
          <cell r="I3371" t="e">
            <v>#REF!</v>
          </cell>
        </row>
        <row r="3372">
          <cell r="I3372" t="e">
            <v>#REF!</v>
          </cell>
        </row>
        <row r="3373">
          <cell r="I3373" t="e">
            <v>#REF!</v>
          </cell>
        </row>
        <row r="3374">
          <cell r="I3374" t="e">
            <v>#REF!</v>
          </cell>
        </row>
        <row r="3375">
          <cell r="I3375" t="str">
            <v/>
          </cell>
        </row>
        <row r="3376">
          <cell r="I3376" t="str">
            <v/>
          </cell>
        </row>
        <row r="3377">
          <cell r="I3377" t="e">
            <v>#REF!</v>
          </cell>
        </row>
        <row r="3378">
          <cell r="I3378" t="e">
            <v>#REF!</v>
          </cell>
        </row>
        <row r="3379">
          <cell r="I3379" t="e">
            <v>#REF!</v>
          </cell>
        </row>
        <row r="3380">
          <cell r="I3380" t="e">
            <v>#REF!</v>
          </cell>
        </row>
        <row r="3381">
          <cell r="I3381" t="e">
            <v>#REF!</v>
          </cell>
        </row>
        <row r="3382">
          <cell r="I3382" t="e">
            <v>#REF!</v>
          </cell>
        </row>
        <row r="3383">
          <cell r="I3383" t="e">
            <v>#REF!</v>
          </cell>
        </row>
        <row r="3384">
          <cell r="I3384" t="e">
            <v>#REF!</v>
          </cell>
        </row>
        <row r="3385">
          <cell r="I3385" t="e">
            <v>#REF!</v>
          </cell>
        </row>
        <row r="3386">
          <cell r="I3386" t="e">
            <v>#REF!</v>
          </cell>
        </row>
        <row r="3387">
          <cell r="I3387" t="e">
            <v>#REF!</v>
          </cell>
        </row>
        <row r="3388">
          <cell r="I3388" t="e">
            <v>#REF!</v>
          </cell>
        </row>
        <row r="3389">
          <cell r="I3389" t="e">
            <v>#REF!</v>
          </cell>
        </row>
        <row r="3390">
          <cell r="I3390" t="e">
            <v>#REF!</v>
          </cell>
        </row>
        <row r="3391">
          <cell r="I3391" t="e">
            <v>#REF!</v>
          </cell>
        </row>
        <row r="3392">
          <cell r="I3392" t="e">
            <v>#REF!</v>
          </cell>
        </row>
        <row r="3393">
          <cell r="I3393" t="e">
            <v>#REF!</v>
          </cell>
        </row>
        <row r="3394">
          <cell r="I3394" t="e">
            <v>#REF!</v>
          </cell>
        </row>
        <row r="3395">
          <cell r="I3395" t="e">
            <v>#REF!</v>
          </cell>
        </row>
        <row r="3396">
          <cell r="I3396" t="e">
            <v>#REF!</v>
          </cell>
        </row>
        <row r="3397">
          <cell r="I3397" t="e">
            <v>#REF!</v>
          </cell>
        </row>
        <row r="3398">
          <cell r="I3398" t="e">
            <v>#REF!</v>
          </cell>
        </row>
        <row r="3399">
          <cell r="I3399" t="e">
            <v>#REF!</v>
          </cell>
        </row>
        <row r="3400">
          <cell r="I3400" t="e">
            <v>#REF!</v>
          </cell>
        </row>
        <row r="3401">
          <cell r="I3401" t="e">
            <v>#REF!</v>
          </cell>
        </row>
        <row r="3402">
          <cell r="I3402" t="e">
            <v>#REF!</v>
          </cell>
        </row>
        <row r="3403">
          <cell r="I3403" t="e">
            <v>#REF!</v>
          </cell>
        </row>
        <row r="3404">
          <cell r="I3404" t="e">
            <v>#REF!</v>
          </cell>
        </row>
        <row r="3405">
          <cell r="I3405" t="e">
            <v>#REF!</v>
          </cell>
        </row>
        <row r="3406">
          <cell r="I3406" t="e">
            <v>#REF!</v>
          </cell>
        </row>
        <row r="3407">
          <cell r="I3407" t="e">
            <v>#REF!</v>
          </cell>
        </row>
        <row r="3408">
          <cell r="I3408" t="e">
            <v>#REF!</v>
          </cell>
        </row>
        <row r="3409">
          <cell r="I3409" t="e">
            <v>#REF!</v>
          </cell>
        </row>
        <row r="3410">
          <cell r="I3410" t="e">
            <v>#REF!</v>
          </cell>
        </row>
        <row r="3411">
          <cell r="I3411" t="e">
            <v>#REF!</v>
          </cell>
        </row>
        <row r="3412">
          <cell r="I3412" t="e">
            <v>#REF!</v>
          </cell>
        </row>
        <row r="3413">
          <cell r="I3413" t="e">
            <v>#REF!</v>
          </cell>
        </row>
        <row r="3414">
          <cell r="I3414" t="e">
            <v>#REF!</v>
          </cell>
        </row>
        <row r="3415">
          <cell r="I3415" t="e">
            <v>#REF!</v>
          </cell>
        </row>
        <row r="3416">
          <cell r="I3416" t="e">
            <v>#REF!</v>
          </cell>
        </row>
        <row r="3417">
          <cell r="I3417" t="e">
            <v>#REF!</v>
          </cell>
        </row>
        <row r="3418">
          <cell r="I3418" t="e">
            <v>#REF!</v>
          </cell>
        </row>
        <row r="3419">
          <cell r="I3419" t="e">
            <v>#REF!</v>
          </cell>
        </row>
        <row r="3420">
          <cell r="I3420" t="e">
            <v>#REF!</v>
          </cell>
        </row>
        <row r="3421">
          <cell r="I3421" t="e">
            <v>#REF!</v>
          </cell>
        </row>
        <row r="3422">
          <cell r="I3422" t="e">
            <v>#REF!</v>
          </cell>
        </row>
        <row r="3423">
          <cell r="I3423" t="e">
            <v>#REF!</v>
          </cell>
        </row>
        <row r="3424">
          <cell r="I3424" t="e">
            <v>#REF!</v>
          </cell>
        </row>
        <row r="3426">
          <cell r="I3426" t="e">
            <v>#REF!</v>
          </cell>
        </row>
        <row r="3427">
          <cell r="I3427" t="e">
            <v>#REF!</v>
          </cell>
        </row>
        <row r="3428">
          <cell r="I3428" t="e">
            <v>#REF!</v>
          </cell>
        </row>
        <row r="3433">
          <cell r="I3433" t="e">
            <v>#REF!</v>
          </cell>
        </row>
        <row r="3434">
          <cell r="I3434" t="e">
            <v>#REF!</v>
          </cell>
        </row>
        <row r="3435">
          <cell r="I3435" t="e">
            <v>#REF!</v>
          </cell>
        </row>
        <row r="3437">
          <cell r="I3437" t="e">
            <v>#REF!</v>
          </cell>
        </row>
        <row r="3439">
          <cell r="I3439" t="e">
            <v>#REF!</v>
          </cell>
        </row>
        <row r="3441">
          <cell r="I3441" t="e">
            <v>#REF!</v>
          </cell>
        </row>
        <row r="3442">
          <cell r="I3442" t="e">
            <v>#REF!</v>
          </cell>
        </row>
        <row r="3444">
          <cell r="I3444" t="e">
            <v>#REF!</v>
          </cell>
        </row>
        <row r="3446">
          <cell r="I3446" t="e">
            <v>#REF!</v>
          </cell>
        </row>
        <row r="3448">
          <cell r="I3448" t="e">
            <v>#REF!</v>
          </cell>
        </row>
        <row r="3449">
          <cell r="I3449" t="e">
            <v>#REF!</v>
          </cell>
        </row>
        <row r="3451">
          <cell r="I3451" t="e">
            <v>#REF!</v>
          </cell>
        </row>
        <row r="3453">
          <cell r="I3453" t="e">
            <v>#REF!</v>
          </cell>
        </row>
        <row r="3455">
          <cell r="I3455" t="e">
            <v>#REF!</v>
          </cell>
        </row>
        <row r="3456">
          <cell r="I3456" t="e">
            <v>#REF!</v>
          </cell>
        </row>
        <row r="3460">
          <cell r="I3460" t="e">
            <v>#REF!</v>
          </cell>
        </row>
        <row r="3461">
          <cell r="I3461" t="e">
            <v>#REF!</v>
          </cell>
        </row>
        <row r="3462">
          <cell r="I3462" t="e">
            <v>#REF!</v>
          </cell>
        </row>
        <row r="3463">
          <cell r="I3463" t="e">
            <v>#REF!</v>
          </cell>
        </row>
        <row r="3464">
          <cell r="I3464" t="e">
            <v>#REF!</v>
          </cell>
        </row>
        <row r="3465">
          <cell r="I3465" t="e">
            <v>#REF!</v>
          </cell>
        </row>
        <row r="3466">
          <cell r="I3466" t="e">
            <v>#REF!</v>
          </cell>
        </row>
        <row r="3468">
          <cell r="I3468" t="e">
            <v>#REF!</v>
          </cell>
        </row>
        <row r="3469">
          <cell r="I3469" t="e">
            <v>#REF!</v>
          </cell>
        </row>
        <row r="3479">
          <cell r="I3479" t="e">
            <v>#REF!</v>
          </cell>
        </row>
        <row r="3480">
          <cell r="I3480" t="e">
            <v>#REF!</v>
          </cell>
        </row>
        <row r="3483">
          <cell r="I3483" t="e">
            <v>#REF!</v>
          </cell>
        </row>
        <row r="3485">
          <cell r="I3485" t="e">
            <v>#REF!</v>
          </cell>
        </row>
        <row r="3487">
          <cell r="I3487" t="e">
            <v>#REF!</v>
          </cell>
        </row>
      </sheetData>
      <sheetData sheetId="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filterMode="1">
    <pageSetUpPr fitToPage="1"/>
  </sheetPr>
  <dimension ref="A1:S8237"/>
  <sheetViews>
    <sheetView topLeftCell="C1" zoomScale="80" zoomScaleNormal="80" workbookViewId="0">
      <pane ySplit="5" topLeftCell="A7326" activePane="bottomLeft" state="frozen"/>
      <selection pane="bottomLeft" activeCell="L8240" sqref="L8240:R8240"/>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 min="12" max="12" width="20.7109375" customWidth="1"/>
    <col min="13" max="19" width="15.7109375" customWidth="1"/>
  </cols>
  <sheetData>
    <row r="1" spans="1:19" ht="24.95" customHeight="1" x14ac:dyDescent="0.25">
      <c r="A1" s="5" t="str">
        <f>Orçamentária!A1</f>
        <v>Instalação de splits no Bloco 17</v>
      </c>
      <c r="B1" s="5"/>
      <c r="C1" s="5"/>
      <c r="D1" s="5"/>
      <c r="E1" s="6"/>
      <c r="F1" s="5"/>
      <c r="G1" s="5"/>
      <c r="H1" s="5"/>
      <c r="I1" s="7"/>
      <c r="J1" s="8"/>
      <c r="L1" s="254" t="s">
        <v>8588</v>
      </c>
      <c r="M1" s="254"/>
      <c r="N1" s="254"/>
      <c r="O1" s="254"/>
      <c r="P1" s="254"/>
      <c r="Q1" s="254"/>
      <c r="R1" s="254"/>
      <c r="S1" s="254"/>
    </row>
    <row r="2" spans="1:19" ht="24.95" customHeight="1" x14ac:dyDescent="0.25">
      <c r="A2" s="9" t="s">
        <v>0</v>
      </c>
      <c r="B2" s="10"/>
      <c r="C2" s="134"/>
      <c r="D2" s="10"/>
      <c r="E2" s="11"/>
      <c r="F2" s="10"/>
      <c r="G2" s="10"/>
      <c r="H2" s="10"/>
      <c r="I2" s="12"/>
      <c r="J2" s="8"/>
      <c r="L2" s="255"/>
      <c r="M2" s="255"/>
      <c r="N2" s="255"/>
      <c r="O2" s="255"/>
      <c r="P2" s="255"/>
      <c r="Q2" s="255"/>
      <c r="R2" s="255"/>
      <c r="S2" s="255"/>
    </row>
    <row r="3" spans="1:19" ht="20.100000000000001" customHeight="1" x14ac:dyDescent="0.25">
      <c r="A3" s="13" t="str">
        <f>Orçamentária!A3</f>
        <v>Data: março de 2023</v>
      </c>
      <c r="B3" s="13"/>
      <c r="C3" s="135"/>
      <c r="D3" s="13"/>
      <c r="E3" s="14"/>
      <c r="F3" s="13"/>
      <c r="G3" s="13"/>
      <c r="H3" s="13"/>
      <c r="J3" s="8"/>
      <c r="L3" s="14"/>
      <c r="M3" s="13"/>
    </row>
    <row r="4" spans="1:19" ht="15.75" thickBot="1" x14ac:dyDescent="0.3">
      <c r="A4" s="15"/>
      <c r="B4" s="15"/>
      <c r="C4" s="157"/>
      <c r="D4" s="15"/>
      <c r="E4" s="16"/>
      <c r="F4" s="15"/>
      <c r="G4" s="17"/>
      <c r="H4" s="15"/>
      <c r="I4" s="15"/>
      <c r="J4" s="18"/>
      <c r="L4" s="16"/>
      <c r="M4" s="15"/>
    </row>
    <row r="5" spans="1:19" ht="75.75" thickBot="1" x14ac:dyDescent="0.3">
      <c r="A5" s="19" t="s">
        <v>1</v>
      </c>
      <c r="B5" s="20" t="s">
        <v>2</v>
      </c>
      <c r="C5" s="158" t="s">
        <v>3</v>
      </c>
      <c r="D5" s="20" t="s">
        <v>4</v>
      </c>
      <c r="E5" s="21" t="s">
        <v>5</v>
      </c>
      <c r="F5" s="20" t="s">
        <v>6</v>
      </c>
      <c r="G5" s="20" t="s">
        <v>7</v>
      </c>
      <c r="H5" s="22" t="s">
        <v>8</v>
      </c>
      <c r="I5" s="23"/>
      <c r="J5" s="24" t="s">
        <v>9</v>
      </c>
      <c r="L5" s="209" t="s">
        <v>5</v>
      </c>
      <c r="M5" s="210" t="s">
        <v>6</v>
      </c>
      <c r="N5" s="210" t="s">
        <v>7</v>
      </c>
      <c r="O5" s="210" t="s">
        <v>8</v>
      </c>
      <c r="P5" s="210" t="s">
        <v>8576</v>
      </c>
      <c r="Q5" s="210" t="s">
        <v>8577</v>
      </c>
      <c r="R5" s="210" t="s">
        <v>8578</v>
      </c>
      <c r="S5" s="211" t="s">
        <v>8579</v>
      </c>
    </row>
    <row r="6" spans="1:19" ht="15.75" thickBot="1" x14ac:dyDescent="0.3">
      <c r="A6" s="256" t="s">
        <v>10</v>
      </c>
      <c r="B6" s="259" t="str">
        <f>INDEX(Orçamentária!A:B,MATCH(Composições!A6,Orçamentária!A:A,0),2)</f>
        <v>Engenheiro(a) /Arquiteto(a) júnior</v>
      </c>
      <c r="C6" s="40"/>
      <c r="D6" s="25" t="s">
        <v>1286</v>
      </c>
      <c r="E6" s="26"/>
      <c r="F6" s="27" t="s">
        <v>416</v>
      </c>
      <c r="G6" s="27" t="str">
        <f t="shared" ref="G6:G69" si="0">IF(ISNUMBER(F6),E6*F6,"")</f>
        <v/>
      </c>
      <c r="H6" s="28"/>
      <c r="I6" s="29"/>
      <c r="J6" s="152">
        <v>120</v>
      </c>
      <c r="L6" s="218"/>
      <c r="M6" s="27" t="s">
        <v>416</v>
      </c>
      <c r="N6" s="27" t="str">
        <f t="shared" ref="N6:N69" si="1">IF(ISNUMBER(M6),L6*M6,"")</f>
        <v/>
      </c>
      <c r="O6" s="28"/>
      <c r="P6" s="212" t="str">
        <f>IF(ISBLANK(L6),"",IF($E6&lt;&gt;L6,"SIM",""))</f>
        <v/>
      </c>
      <c r="Q6" s="213" t="str">
        <f>IF(M6="","",1-M6/$F6)</f>
        <v/>
      </c>
      <c r="R6" s="213" t="str">
        <f>IF(N6="","",1-N6/$G6)</f>
        <v/>
      </c>
      <c r="S6" s="214" t="str">
        <f>IF(O6="","",1-O6/$H6)</f>
        <v/>
      </c>
    </row>
    <row r="7" spans="1:19" x14ac:dyDescent="0.25">
      <c r="A7" s="262"/>
      <c r="B7" s="260"/>
      <c r="C7" s="31"/>
      <c r="D7" s="31"/>
      <c r="E7" s="32"/>
      <c r="F7" s="30" t="s">
        <v>416</v>
      </c>
      <c r="G7" s="33" t="str">
        <f t="shared" si="0"/>
        <v/>
      </c>
      <c r="H7" s="34"/>
      <c r="I7" s="30"/>
      <c r="J7" s="152">
        <v>120</v>
      </c>
      <c r="L7" s="219"/>
      <c r="M7" s="30" t="s">
        <v>416</v>
      </c>
      <c r="N7" s="33" t="str">
        <f t="shared" si="1"/>
        <v/>
      </c>
      <c r="O7" s="34"/>
      <c r="P7" s="36" t="str">
        <f>IF(ISBLANK(L7),"",IF($E7&lt;&gt;L7,"SIM",""))</f>
        <v/>
      </c>
      <c r="Q7" s="216" t="str">
        <f>IF(M7="","",1-M7/$F7)</f>
        <v/>
      </c>
      <c r="R7" s="216" t="str">
        <f>IF(N7="","",1-N7/$G7)</f>
        <v/>
      </c>
      <c r="S7" s="217" t="str">
        <f>IF(O7="","",1-O7/$H7)</f>
        <v/>
      </c>
    </row>
    <row r="8" spans="1:19" ht="25.5" x14ac:dyDescent="0.25">
      <c r="A8" s="262"/>
      <c r="B8" s="260"/>
      <c r="C8" s="35" t="s">
        <v>2914</v>
      </c>
      <c r="D8" s="35" t="s">
        <v>583</v>
      </c>
      <c r="E8" s="36">
        <v>1</v>
      </c>
      <c r="F8" s="30">
        <v>104.08199999999999</v>
      </c>
      <c r="G8" s="33">
        <f t="shared" si="0"/>
        <v>104.08199999999999</v>
      </c>
      <c r="H8" s="38">
        <f>SUM(G8:G8)</f>
        <v>104.08199999999999</v>
      </c>
      <c r="I8" s="39"/>
      <c r="J8" s="152">
        <v>120</v>
      </c>
      <c r="L8" s="215">
        <v>1</v>
      </c>
      <c r="M8" s="30">
        <v>89.094191999999993</v>
      </c>
      <c r="N8" s="33">
        <f t="shared" si="1"/>
        <v>89.094191999999993</v>
      </c>
      <c r="O8" s="38">
        <f>SUM(N8:N8)</f>
        <v>89.094191999999993</v>
      </c>
      <c r="P8" s="36" t="str">
        <f t="shared" ref="P8:P71" si="2">IF(ISBLANK(L8),"",IF($E8&lt;&gt;L8,"SIM",""))</f>
        <v/>
      </c>
      <c r="Q8" s="216">
        <f t="shared" ref="Q8:Q71" si="3">IF(M8="","",1-M8/$F8)</f>
        <v>0.14400000000000002</v>
      </c>
      <c r="R8" s="216">
        <f t="shared" ref="R8:R71" si="4">IF(N8="","",1-N8/$G8)</f>
        <v>0.14400000000000002</v>
      </c>
      <c r="S8" s="217">
        <f t="shared" ref="S8:S71" si="5">IF(O8="","",1-O8/$H8)</f>
        <v>0.14400000000000002</v>
      </c>
    </row>
    <row r="9" spans="1:19" ht="15.75" thickBot="1" x14ac:dyDescent="0.3">
      <c r="A9" s="263"/>
      <c r="B9" s="261"/>
      <c r="C9" s="35"/>
      <c r="D9" s="35"/>
      <c r="E9" s="36"/>
      <c r="F9" s="30" t="s">
        <v>416</v>
      </c>
      <c r="G9" s="33" t="str">
        <f t="shared" si="0"/>
        <v/>
      </c>
      <c r="H9" s="34"/>
      <c r="I9" s="30"/>
      <c r="J9" s="152">
        <v>120</v>
      </c>
      <c r="L9" s="215"/>
      <c r="M9" s="30"/>
      <c r="N9" s="33" t="str">
        <f t="shared" si="1"/>
        <v/>
      </c>
      <c r="O9" s="34"/>
      <c r="P9" s="36" t="str">
        <f t="shared" si="2"/>
        <v/>
      </c>
      <c r="Q9" s="216" t="str">
        <f t="shared" si="3"/>
        <v/>
      </c>
      <c r="R9" s="216" t="str">
        <f t="shared" si="4"/>
        <v/>
      </c>
      <c r="S9" s="217" t="str">
        <f t="shared" si="5"/>
        <v/>
      </c>
    </row>
    <row r="10" spans="1:19" ht="15.75" thickBot="1" x14ac:dyDescent="0.3">
      <c r="A10" s="267" t="s">
        <v>12</v>
      </c>
      <c r="B10" s="259" t="str">
        <f>INDEX(Orçamentária!A:B,MATCH(Composições!A10,Orçamentária!A:A,0),2)</f>
        <v>Mestre de obras</v>
      </c>
      <c r="C10" s="40"/>
      <c r="D10" s="25" t="s">
        <v>1286</v>
      </c>
      <c r="E10" s="26"/>
      <c r="F10" s="41" t="s">
        <v>416</v>
      </c>
      <c r="G10" s="27" t="str">
        <f t="shared" si="0"/>
        <v/>
      </c>
      <c r="H10" s="28"/>
      <c r="I10" s="29"/>
      <c r="J10" s="152">
        <v>480</v>
      </c>
      <c r="L10" s="218"/>
      <c r="M10" s="41"/>
      <c r="N10" s="27" t="str">
        <f t="shared" si="1"/>
        <v/>
      </c>
      <c r="O10" s="28"/>
      <c r="P10" s="36" t="str">
        <f t="shared" si="2"/>
        <v/>
      </c>
      <c r="Q10" s="216" t="str">
        <f t="shared" si="3"/>
        <v/>
      </c>
      <c r="R10" s="216" t="str">
        <f t="shared" si="4"/>
        <v/>
      </c>
      <c r="S10" s="217" t="str">
        <f t="shared" si="5"/>
        <v/>
      </c>
    </row>
    <row r="11" spans="1:19" x14ac:dyDescent="0.25">
      <c r="A11" s="268"/>
      <c r="B11" s="260"/>
      <c r="C11" s="31"/>
      <c r="D11" s="31"/>
      <c r="E11" s="32"/>
      <c r="F11" s="42" t="s">
        <v>416</v>
      </c>
      <c r="G11" s="30" t="str">
        <f t="shared" si="0"/>
        <v/>
      </c>
      <c r="H11" s="34"/>
      <c r="I11" s="30"/>
      <c r="J11" s="152">
        <v>480</v>
      </c>
      <c r="L11" s="219"/>
      <c r="M11" s="42"/>
      <c r="N11" s="30" t="str">
        <f t="shared" si="1"/>
        <v/>
      </c>
      <c r="O11" s="34"/>
      <c r="P11" s="36" t="str">
        <f t="shared" si="2"/>
        <v/>
      </c>
      <c r="Q11" s="216" t="str">
        <f t="shared" si="3"/>
        <v/>
      </c>
      <c r="R11" s="216" t="str">
        <f t="shared" si="4"/>
        <v/>
      </c>
      <c r="S11" s="217" t="str">
        <f t="shared" si="5"/>
        <v/>
      </c>
    </row>
    <row r="12" spans="1:19" x14ac:dyDescent="0.25">
      <c r="A12" s="268"/>
      <c r="B12" s="260"/>
      <c r="C12" s="35" t="s">
        <v>2915</v>
      </c>
      <c r="D12" s="35" t="s">
        <v>583</v>
      </c>
      <c r="E12" s="36">
        <v>1</v>
      </c>
      <c r="F12" s="30">
        <v>44.564499999999995</v>
      </c>
      <c r="G12" s="33">
        <f t="shared" si="0"/>
        <v>44.564499999999995</v>
      </c>
      <c r="H12" s="38">
        <f>SUM(G12:G12)</f>
        <v>44.564499999999995</v>
      </c>
      <c r="I12" s="39"/>
      <c r="J12" s="152">
        <v>480</v>
      </c>
      <c r="L12" s="215">
        <v>1</v>
      </c>
      <c r="M12" s="30">
        <v>38.147211999999996</v>
      </c>
      <c r="N12" s="33">
        <f t="shared" si="1"/>
        <v>38.147211999999996</v>
      </c>
      <c r="O12" s="38">
        <f>SUM(N12:N12)</f>
        <v>38.147211999999996</v>
      </c>
      <c r="P12" s="36" t="str">
        <f t="shared" si="2"/>
        <v/>
      </c>
      <c r="Q12" s="216">
        <f t="shared" si="3"/>
        <v>0.14400000000000002</v>
      </c>
      <c r="R12" s="216">
        <f t="shared" si="4"/>
        <v>0.14400000000000002</v>
      </c>
      <c r="S12" s="217">
        <f t="shared" si="5"/>
        <v>0.14400000000000002</v>
      </c>
    </row>
    <row r="13" spans="1:19" ht="15.75" thickBot="1" x14ac:dyDescent="0.3">
      <c r="A13" s="268"/>
      <c r="B13" s="260"/>
      <c r="C13" s="35"/>
      <c r="D13" s="35"/>
      <c r="E13" s="36"/>
      <c r="F13" s="30" t="s">
        <v>416</v>
      </c>
      <c r="G13" s="30" t="str">
        <f t="shared" si="0"/>
        <v/>
      </c>
      <c r="H13" s="34"/>
      <c r="I13" s="30"/>
      <c r="J13" s="152">
        <v>480</v>
      </c>
      <c r="L13" s="215"/>
      <c r="M13" s="30"/>
      <c r="N13" s="30" t="str">
        <f t="shared" si="1"/>
        <v/>
      </c>
      <c r="O13" s="34"/>
      <c r="P13" s="36" t="str">
        <f t="shared" si="2"/>
        <v/>
      </c>
      <c r="Q13" s="216" t="str">
        <f t="shared" si="3"/>
        <v/>
      </c>
      <c r="R13" s="216" t="str">
        <f t="shared" si="4"/>
        <v/>
      </c>
      <c r="S13" s="217" t="str">
        <f t="shared" si="5"/>
        <v/>
      </c>
    </row>
    <row r="14" spans="1:19" ht="15.75" thickBot="1" x14ac:dyDescent="0.3">
      <c r="A14" s="256" t="s">
        <v>13</v>
      </c>
      <c r="B14" s="259" t="str">
        <f>INDEX(Orçamentária!A:B,MATCH(Composições!A14,Orçamentária!A:A,0),2)</f>
        <v>Planejamento físico-financeiro</v>
      </c>
      <c r="C14" s="40"/>
      <c r="D14" s="25" t="s">
        <v>16</v>
      </c>
      <c r="E14" s="26"/>
      <c r="F14" s="41" t="s">
        <v>416</v>
      </c>
      <c r="G14" s="27" t="str">
        <f t="shared" si="0"/>
        <v/>
      </c>
      <c r="H14" s="28"/>
      <c r="I14" s="29"/>
      <c r="J14" s="152">
        <v>1</v>
      </c>
      <c r="L14" s="218"/>
      <c r="M14" s="41"/>
      <c r="N14" s="27" t="str">
        <f t="shared" si="1"/>
        <v/>
      </c>
      <c r="O14" s="28"/>
      <c r="P14" s="36" t="str">
        <f t="shared" si="2"/>
        <v/>
      </c>
      <c r="Q14" s="216" t="str">
        <f t="shared" si="3"/>
        <v/>
      </c>
      <c r="R14" s="216" t="str">
        <f t="shared" si="4"/>
        <v/>
      </c>
      <c r="S14" s="217" t="str">
        <f t="shared" si="5"/>
        <v/>
      </c>
    </row>
    <row r="15" spans="1:19" x14ac:dyDescent="0.25">
      <c r="A15" s="262"/>
      <c r="B15" s="260"/>
      <c r="C15" s="31"/>
      <c r="D15" s="31"/>
      <c r="E15" s="32"/>
      <c r="F15" s="42" t="s">
        <v>416</v>
      </c>
      <c r="G15" s="30" t="str">
        <f t="shared" si="0"/>
        <v/>
      </c>
      <c r="H15" s="34"/>
      <c r="I15" s="30"/>
      <c r="J15" s="152">
        <v>1</v>
      </c>
      <c r="L15" s="219"/>
      <c r="M15" s="42"/>
      <c r="N15" s="30" t="str">
        <f t="shared" si="1"/>
        <v/>
      </c>
      <c r="O15" s="34"/>
      <c r="P15" s="36" t="str">
        <f t="shared" si="2"/>
        <v/>
      </c>
      <c r="Q15" s="216" t="str">
        <f t="shared" si="3"/>
        <v/>
      </c>
      <c r="R15" s="216" t="str">
        <f t="shared" si="4"/>
        <v/>
      </c>
      <c r="S15" s="217" t="str">
        <f t="shared" si="5"/>
        <v/>
      </c>
    </row>
    <row r="16" spans="1:19" ht="25.5" x14ac:dyDescent="0.25">
      <c r="A16" s="262"/>
      <c r="B16" s="260"/>
      <c r="C16" s="35" t="s">
        <v>654</v>
      </c>
      <c r="D16" s="35" t="s">
        <v>583</v>
      </c>
      <c r="E16" s="36">
        <v>16</v>
      </c>
      <c r="F16" s="30">
        <v>118.2085</v>
      </c>
      <c r="G16" s="30">
        <f t="shared" si="0"/>
        <v>1891.336</v>
      </c>
      <c r="H16" s="38">
        <f>SUM(G16:G16)</f>
        <v>1891.336</v>
      </c>
      <c r="I16" s="39"/>
      <c r="J16" s="152">
        <v>1</v>
      </c>
      <c r="L16" s="215">
        <v>16</v>
      </c>
      <c r="M16" s="30">
        <v>101.186476</v>
      </c>
      <c r="N16" s="30">
        <f t="shared" si="1"/>
        <v>1618.983616</v>
      </c>
      <c r="O16" s="38">
        <f>SUM(N16:N16)</f>
        <v>1618.983616</v>
      </c>
      <c r="P16" s="36" t="str">
        <f t="shared" si="2"/>
        <v/>
      </c>
      <c r="Q16" s="216">
        <f t="shared" si="3"/>
        <v>0.14400000000000002</v>
      </c>
      <c r="R16" s="216">
        <f t="shared" si="4"/>
        <v>0.14400000000000002</v>
      </c>
      <c r="S16" s="217">
        <f t="shared" si="5"/>
        <v>0.14400000000000002</v>
      </c>
    </row>
    <row r="17" spans="1:19" ht="15.75" thickBot="1" x14ac:dyDescent="0.3">
      <c r="A17" s="263"/>
      <c r="B17" s="261"/>
      <c r="C17" s="35"/>
      <c r="D17" s="35"/>
      <c r="E17" s="36"/>
      <c r="F17" s="30" t="s">
        <v>416</v>
      </c>
      <c r="G17" s="30" t="str">
        <f t="shared" si="0"/>
        <v/>
      </c>
      <c r="H17" s="34"/>
      <c r="I17" s="30"/>
      <c r="J17" s="152">
        <v>1</v>
      </c>
      <c r="L17" s="215"/>
      <c r="M17" s="30"/>
      <c r="N17" s="30" t="str">
        <f t="shared" si="1"/>
        <v/>
      </c>
      <c r="O17" s="34"/>
      <c r="P17" s="36" t="str">
        <f t="shared" si="2"/>
        <v/>
      </c>
      <c r="Q17" s="216" t="str">
        <f t="shared" si="3"/>
        <v/>
      </c>
      <c r="R17" s="216" t="str">
        <f t="shared" si="4"/>
        <v/>
      </c>
      <c r="S17" s="217" t="str">
        <f t="shared" si="5"/>
        <v/>
      </c>
    </row>
    <row r="18" spans="1:19" ht="15.75" thickBot="1" x14ac:dyDescent="0.3">
      <c r="A18" s="256" t="s">
        <v>14</v>
      </c>
      <c r="B18" s="259" t="str">
        <f>INDEX(Orçamentária!A:B,MATCH(Composições!A18,Orçamentária!A:A,0),2)</f>
        <v>Projetos de segurança do trabalho</v>
      </c>
      <c r="C18" s="40"/>
      <c r="D18" s="25" t="s">
        <v>16</v>
      </c>
      <c r="E18" s="26"/>
      <c r="F18" s="41" t="s">
        <v>416</v>
      </c>
      <c r="G18" s="27" t="str">
        <f t="shared" si="0"/>
        <v/>
      </c>
      <c r="H18" s="28"/>
      <c r="I18" s="29"/>
      <c r="J18" s="152">
        <v>1</v>
      </c>
      <c r="L18" s="218"/>
      <c r="M18" s="41"/>
      <c r="N18" s="27" t="str">
        <f t="shared" si="1"/>
        <v/>
      </c>
      <c r="O18" s="28"/>
      <c r="P18" s="36" t="str">
        <f t="shared" si="2"/>
        <v/>
      </c>
      <c r="Q18" s="216" t="str">
        <f t="shared" si="3"/>
        <v/>
      </c>
      <c r="R18" s="216" t="str">
        <f t="shared" si="4"/>
        <v/>
      </c>
      <c r="S18" s="217" t="str">
        <f t="shared" si="5"/>
        <v/>
      </c>
    </row>
    <row r="19" spans="1:19" x14ac:dyDescent="0.25">
      <c r="A19" s="262"/>
      <c r="B19" s="260"/>
      <c r="C19" s="31"/>
      <c r="D19" s="31"/>
      <c r="E19" s="32"/>
      <c r="F19" s="42" t="s">
        <v>416</v>
      </c>
      <c r="G19" s="30" t="str">
        <f t="shared" si="0"/>
        <v/>
      </c>
      <c r="H19" s="34"/>
      <c r="I19" s="30"/>
      <c r="J19" s="152">
        <v>1</v>
      </c>
      <c r="L19" s="219"/>
      <c r="M19" s="42"/>
      <c r="N19" s="30" t="str">
        <f t="shared" si="1"/>
        <v/>
      </c>
      <c r="O19" s="34"/>
      <c r="P19" s="36" t="str">
        <f t="shared" si="2"/>
        <v/>
      </c>
      <c r="Q19" s="216" t="str">
        <f t="shared" si="3"/>
        <v/>
      </c>
      <c r="R19" s="216" t="str">
        <f t="shared" si="4"/>
        <v/>
      </c>
      <c r="S19" s="217" t="str">
        <f t="shared" si="5"/>
        <v/>
      </c>
    </row>
    <row r="20" spans="1:19" x14ac:dyDescent="0.25">
      <c r="A20" s="262"/>
      <c r="B20" s="260"/>
      <c r="C20" s="35" t="s">
        <v>1069</v>
      </c>
      <c r="D20" s="35" t="s">
        <v>583</v>
      </c>
      <c r="E20" s="36">
        <v>20</v>
      </c>
      <c r="F20" s="30">
        <v>118.465</v>
      </c>
      <c r="G20" s="30">
        <f t="shared" si="0"/>
        <v>2369.3000000000002</v>
      </c>
      <c r="H20" s="38">
        <f>SUM(G20:G21)</f>
        <v>2623.8900000000003</v>
      </c>
      <c r="I20" s="39"/>
      <c r="J20" s="152">
        <v>1</v>
      </c>
      <c r="L20" s="215">
        <v>20</v>
      </c>
      <c r="M20" s="30">
        <v>101.40604</v>
      </c>
      <c r="N20" s="30">
        <f t="shared" si="1"/>
        <v>2028.1208000000001</v>
      </c>
      <c r="O20" s="38">
        <f>SUM(N20:N21)</f>
        <v>2246.0498400000001</v>
      </c>
      <c r="P20" s="36" t="str">
        <f t="shared" si="2"/>
        <v/>
      </c>
      <c r="Q20" s="216">
        <f t="shared" si="3"/>
        <v>0.14400000000000002</v>
      </c>
      <c r="R20" s="216">
        <f t="shared" si="4"/>
        <v>0.14400000000000002</v>
      </c>
      <c r="S20" s="217">
        <f t="shared" si="5"/>
        <v>0.14400000000000002</v>
      </c>
    </row>
    <row r="21" spans="1:19" x14ac:dyDescent="0.25">
      <c r="A21" s="262"/>
      <c r="B21" s="260"/>
      <c r="C21" s="35" t="s">
        <v>15</v>
      </c>
      <c r="D21" s="35" t="s">
        <v>16</v>
      </c>
      <c r="E21" s="36">
        <v>1</v>
      </c>
      <c r="F21" s="33">
        <v>254.59</v>
      </c>
      <c r="G21" s="30">
        <f t="shared" si="0"/>
        <v>254.59</v>
      </c>
      <c r="H21" s="34"/>
      <c r="I21" s="30"/>
      <c r="J21" s="152">
        <v>1</v>
      </c>
      <c r="L21" s="215">
        <v>1</v>
      </c>
      <c r="M21" s="33">
        <v>217.92904000000001</v>
      </c>
      <c r="N21" s="30">
        <f t="shared" si="1"/>
        <v>217.92904000000001</v>
      </c>
      <c r="O21" s="34"/>
      <c r="P21" s="36" t="str">
        <f t="shared" si="2"/>
        <v/>
      </c>
      <c r="Q21" s="216">
        <f t="shared" si="3"/>
        <v>0.14399999999999991</v>
      </c>
      <c r="R21" s="216">
        <f t="shared" si="4"/>
        <v>0.14399999999999991</v>
      </c>
      <c r="S21" s="217" t="str">
        <f t="shared" si="5"/>
        <v/>
      </c>
    </row>
    <row r="22" spans="1:19" ht="15.75" thickBot="1" x14ac:dyDescent="0.3">
      <c r="A22" s="263"/>
      <c r="B22" s="261"/>
      <c r="C22" s="35"/>
      <c r="D22" s="35"/>
      <c r="E22" s="36"/>
      <c r="F22" s="30" t="s">
        <v>416</v>
      </c>
      <c r="G22" s="30" t="str">
        <f t="shared" si="0"/>
        <v/>
      </c>
      <c r="H22" s="34"/>
      <c r="I22" s="30"/>
      <c r="J22" s="152">
        <v>1</v>
      </c>
      <c r="L22" s="215"/>
      <c r="M22" s="30"/>
      <c r="N22" s="30" t="str">
        <f t="shared" si="1"/>
        <v/>
      </c>
      <c r="O22" s="34"/>
      <c r="P22" s="36" t="str">
        <f t="shared" si="2"/>
        <v/>
      </c>
      <c r="Q22" s="216" t="str">
        <f t="shared" si="3"/>
        <v/>
      </c>
      <c r="R22" s="216" t="str">
        <f t="shared" si="4"/>
        <v/>
      </c>
      <c r="S22" s="217" t="str">
        <f t="shared" si="5"/>
        <v/>
      </c>
    </row>
    <row r="23" spans="1:19" ht="15.75" hidden="1" thickBot="1" x14ac:dyDescent="0.3">
      <c r="A23" s="256" t="s">
        <v>17</v>
      </c>
      <c r="B23" s="259" t="str">
        <f>INDEX(Orçamentária!A:B,MATCH(Composições!A23,Orçamentária!A:A,0),2)</f>
        <v>Demolição de alvenarias</v>
      </c>
      <c r="C23" s="40"/>
      <c r="D23" s="25" t="s">
        <v>80</v>
      </c>
      <c r="E23" s="26"/>
      <c r="F23" s="41" t="s">
        <v>416</v>
      </c>
      <c r="G23" s="27" t="str">
        <f t="shared" si="0"/>
        <v/>
      </c>
      <c r="H23" s="28"/>
      <c r="I23" s="29"/>
      <c r="J23" s="152">
        <v>0</v>
      </c>
      <c r="L23" s="218"/>
      <c r="M23" s="41"/>
      <c r="N23" s="27" t="str">
        <f t="shared" si="1"/>
        <v/>
      </c>
      <c r="O23" s="28"/>
      <c r="P23" s="36" t="str">
        <f t="shared" si="2"/>
        <v/>
      </c>
      <c r="Q23" s="216" t="str">
        <f t="shared" si="3"/>
        <v/>
      </c>
      <c r="R23" s="216" t="str">
        <f t="shared" si="4"/>
        <v/>
      </c>
      <c r="S23" s="217" t="str">
        <f t="shared" si="5"/>
        <v/>
      </c>
    </row>
    <row r="24" spans="1:19" ht="15.75" hidden="1" thickBot="1" x14ac:dyDescent="0.3">
      <c r="A24" s="262"/>
      <c r="B24" s="260"/>
      <c r="C24" s="31"/>
      <c r="D24" s="31"/>
      <c r="E24" s="32"/>
      <c r="F24" s="42" t="s">
        <v>416</v>
      </c>
      <c r="G24" s="30" t="str">
        <f t="shared" si="0"/>
        <v/>
      </c>
      <c r="H24" s="34"/>
      <c r="I24" s="30"/>
      <c r="J24" s="152">
        <v>0</v>
      </c>
      <c r="L24" s="219"/>
      <c r="M24" s="42"/>
      <c r="N24" s="30" t="str">
        <f t="shared" si="1"/>
        <v/>
      </c>
      <c r="O24" s="34"/>
      <c r="P24" s="36" t="str">
        <f t="shared" si="2"/>
        <v/>
      </c>
      <c r="Q24" s="216" t="str">
        <f t="shared" si="3"/>
        <v/>
      </c>
      <c r="R24" s="216" t="str">
        <f t="shared" si="4"/>
        <v/>
      </c>
      <c r="S24" s="217" t="str">
        <f t="shared" si="5"/>
        <v/>
      </c>
    </row>
    <row r="25" spans="1:19" ht="15.75" hidden="1" thickBot="1" x14ac:dyDescent="0.3">
      <c r="A25" s="262"/>
      <c r="B25" s="260"/>
      <c r="C25" s="35" t="s">
        <v>591</v>
      </c>
      <c r="D25" s="35" t="s">
        <v>583</v>
      </c>
      <c r="E25" s="36">
        <v>0.22500000000000001</v>
      </c>
      <c r="F25" s="30">
        <v>27.160499999999999</v>
      </c>
      <c r="G25" s="33">
        <f t="shared" si="0"/>
        <v>6.1111124999999999</v>
      </c>
      <c r="H25" s="38">
        <f>SUM(G25:G26)</f>
        <v>53.131354899999991</v>
      </c>
      <c r="I25" s="39"/>
      <c r="J25" s="152">
        <v>0</v>
      </c>
      <c r="L25" s="215">
        <v>0.22500000000000001</v>
      </c>
      <c r="M25" s="30">
        <v>23.249388</v>
      </c>
      <c r="N25" s="33">
        <f t="shared" si="1"/>
        <v>5.2311123000000004</v>
      </c>
      <c r="O25" s="38">
        <f>SUM(N25:N26)</f>
        <v>45.480439794399992</v>
      </c>
      <c r="P25" s="36" t="str">
        <f t="shared" si="2"/>
        <v/>
      </c>
      <c r="Q25" s="216">
        <f t="shared" si="3"/>
        <v>0.14400000000000002</v>
      </c>
      <c r="R25" s="216">
        <f t="shared" si="4"/>
        <v>0.14399999999999991</v>
      </c>
      <c r="S25" s="217">
        <f t="shared" si="5"/>
        <v>0.14400000000000002</v>
      </c>
    </row>
    <row r="26" spans="1:19" ht="15.75" hidden="1" thickBot="1" x14ac:dyDescent="0.3">
      <c r="A26" s="262"/>
      <c r="B26" s="260"/>
      <c r="C26" s="35" t="s">
        <v>584</v>
      </c>
      <c r="D26" s="35" t="s">
        <v>583</v>
      </c>
      <c r="E26" s="36">
        <v>2.3248000000000002</v>
      </c>
      <c r="F26" s="30">
        <v>20.225499999999997</v>
      </c>
      <c r="G26" s="33">
        <f t="shared" si="0"/>
        <v>47.020242399999994</v>
      </c>
      <c r="H26" s="43"/>
      <c r="I26" s="39"/>
      <c r="J26" s="152">
        <v>0</v>
      </c>
      <c r="L26" s="215">
        <v>2.3248000000000002</v>
      </c>
      <c r="M26" s="30">
        <v>17.313027999999996</v>
      </c>
      <c r="N26" s="33">
        <f t="shared" si="1"/>
        <v>40.249327494399992</v>
      </c>
      <c r="O26" s="43"/>
      <c r="P26" s="36" t="str">
        <f t="shared" si="2"/>
        <v/>
      </c>
      <c r="Q26" s="216">
        <f t="shared" si="3"/>
        <v>0.14400000000000013</v>
      </c>
      <c r="R26" s="216">
        <f t="shared" si="4"/>
        <v>0.14400000000000002</v>
      </c>
      <c r="S26" s="217" t="str">
        <f t="shared" si="5"/>
        <v/>
      </c>
    </row>
    <row r="27" spans="1:19" ht="15.75" hidden="1" thickBot="1" x14ac:dyDescent="0.3">
      <c r="A27" s="263"/>
      <c r="B27" s="261"/>
      <c r="C27" s="35"/>
      <c r="D27" s="35"/>
      <c r="E27" s="36"/>
      <c r="F27" s="30" t="s">
        <v>416</v>
      </c>
      <c r="G27" s="30" t="str">
        <f t="shared" si="0"/>
        <v/>
      </c>
      <c r="H27" s="34"/>
      <c r="I27" s="30"/>
      <c r="J27" s="152">
        <v>0</v>
      </c>
      <c r="L27" s="215"/>
      <c r="M27" s="30"/>
      <c r="N27" s="30" t="str">
        <f t="shared" si="1"/>
        <v/>
      </c>
      <c r="O27" s="34"/>
      <c r="P27" s="36" t="str">
        <f t="shared" si="2"/>
        <v/>
      </c>
      <c r="Q27" s="216" t="str">
        <f t="shared" si="3"/>
        <v/>
      </c>
      <c r="R27" s="216" t="str">
        <f t="shared" si="4"/>
        <v/>
      </c>
      <c r="S27" s="217" t="str">
        <f t="shared" si="5"/>
        <v/>
      </c>
    </row>
    <row r="28" spans="1:19" ht="15.75" hidden="1" thickBot="1" x14ac:dyDescent="0.3">
      <c r="A28" s="256" t="s">
        <v>18</v>
      </c>
      <c r="B28" s="259" t="str">
        <f>INDEX(Orçamentária!A:B,MATCH(Composições!A28,Orçamentária!A:A,0),2)</f>
        <v>Demolição de concreto simples</v>
      </c>
      <c r="C28" s="40"/>
      <c r="D28" s="25" t="s">
        <v>80</v>
      </c>
      <c r="E28" s="26"/>
      <c r="F28" s="41" t="s">
        <v>416</v>
      </c>
      <c r="G28" s="27" t="str">
        <f t="shared" si="0"/>
        <v/>
      </c>
      <c r="H28" s="28"/>
      <c r="I28" s="29"/>
      <c r="J28" s="152">
        <v>0</v>
      </c>
      <c r="L28" s="218"/>
      <c r="M28" s="41"/>
      <c r="N28" s="27" t="str">
        <f t="shared" si="1"/>
        <v/>
      </c>
      <c r="O28" s="28"/>
      <c r="P28" s="36" t="str">
        <f t="shared" si="2"/>
        <v/>
      </c>
      <c r="Q28" s="216" t="str">
        <f t="shared" si="3"/>
        <v/>
      </c>
      <c r="R28" s="216" t="str">
        <f t="shared" si="4"/>
        <v/>
      </c>
      <c r="S28" s="217" t="str">
        <f t="shared" si="5"/>
        <v/>
      </c>
    </row>
    <row r="29" spans="1:19" ht="15.75" hidden="1" thickBot="1" x14ac:dyDescent="0.3">
      <c r="A29" s="262"/>
      <c r="B29" s="260"/>
      <c r="C29" s="31"/>
      <c r="D29" s="31"/>
      <c r="E29" s="32"/>
      <c r="F29" s="42" t="s">
        <v>416</v>
      </c>
      <c r="G29" s="30" t="str">
        <f t="shared" si="0"/>
        <v/>
      </c>
      <c r="H29" s="34"/>
      <c r="I29" s="30"/>
      <c r="J29" s="152">
        <v>0</v>
      </c>
      <c r="L29" s="219"/>
      <c r="M29" s="42"/>
      <c r="N29" s="30" t="str">
        <f t="shared" si="1"/>
        <v/>
      </c>
      <c r="O29" s="34"/>
      <c r="P29" s="36" t="str">
        <f t="shared" si="2"/>
        <v/>
      </c>
      <c r="Q29" s="216" t="str">
        <f t="shared" si="3"/>
        <v/>
      </c>
      <c r="R29" s="216" t="str">
        <f t="shared" si="4"/>
        <v/>
      </c>
      <c r="S29" s="217" t="str">
        <f t="shared" si="5"/>
        <v/>
      </c>
    </row>
    <row r="30" spans="1:19" ht="15.75" hidden="1" thickBot="1" x14ac:dyDescent="0.3">
      <c r="A30" s="262"/>
      <c r="B30" s="260"/>
      <c r="C30" s="35" t="s">
        <v>591</v>
      </c>
      <c r="D30" s="35" t="s">
        <v>583</v>
      </c>
      <c r="E30" s="36">
        <v>1.3</v>
      </c>
      <c r="F30" s="30">
        <v>27.160499999999999</v>
      </c>
      <c r="G30" s="33">
        <f t="shared" si="0"/>
        <v>35.30865</v>
      </c>
      <c r="H30" s="38">
        <f>SUM(G30:G31)</f>
        <v>298.24014999999997</v>
      </c>
      <c r="I30" s="39"/>
      <c r="J30" s="152">
        <v>0</v>
      </c>
      <c r="L30" s="215">
        <v>1.3</v>
      </c>
      <c r="M30" s="30">
        <v>23.249388</v>
      </c>
      <c r="N30" s="33">
        <f t="shared" si="1"/>
        <v>30.224204400000001</v>
      </c>
      <c r="O30" s="38">
        <f>SUM(N30:N31)</f>
        <v>255.29356839999994</v>
      </c>
      <c r="P30" s="36" t="str">
        <f t="shared" si="2"/>
        <v/>
      </c>
      <c r="Q30" s="216">
        <f t="shared" si="3"/>
        <v>0.14400000000000002</v>
      </c>
      <c r="R30" s="216">
        <f t="shared" si="4"/>
        <v>0.14400000000000002</v>
      </c>
      <c r="S30" s="217">
        <f t="shared" si="5"/>
        <v>0.14400000000000013</v>
      </c>
    </row>
    <row r="31" spans="1:19" ht="15.75" hidden="1" thickBot="1" x14ac:dyDescent="0.3">
      <c r="A31" s="262"/>
      <c r="B31" s="260"/>
      <c r="C31" s="35" t="s">
        <v>584</v>
      </c>
      <c r="D31" s="35" t="s">
        <v>583</v>
      </c>
      <c r="E31" s="36">
        <v>13</v>
      </c>
      <c r="F31" s="30">
        <v>20.225499999999997</v>
      </c>
      <c r="G31" s="33">
        <f t="shared" si="0"/>
        <v>262.93149999999997</v>
      </c>
      <c r="H31" s="34"/>
      <c r="I31" s="30"/>
      <c r="J31" s="152">
        <v>0</v>
      </c>
      <c r="L31" s="215">
        <v>13</v>
      </c>
      <c r="M31" s="30">
        <v>17.313027999999996</v>
      </c>
      <c r="N31" s="33">
        <f t="shared" si="1"/>
        <v>225.06936399999995</v>
      </c>
      <c r="O31" s="34"/>
      <c r="P31" s="36" t="str">
        <f t="shared" si="2"/>
        <v/>
      </c>
      <c r="Q31" s="216">
        <f t="shared" si="3"/>
        <v>0.14400000000000013</v>
      </c>
      <c r="R31" s="216">
        <f t="shared" si="4"/>
        <v>0.14400000000000013</v>
      </c>
      <c r="S31" s="217" t="str">
        <f t="shared" si="5"/>
        <v/>
      </c>
    </row>
    <row r="32" spans="1:19" ht="15.75" hidden="1" thickBot="1" x14ac:dyDescent="0.3">
      <c r="A32" s="263"/>
      <c r="B32" s="261"/>
      <c r="C32" s="35"/>
      <c r="D32" s="35"/>
      <c r="E32" s="36"/>
      <c r="F32" s="30" t="s">
        <v>416</v>
      </c>
      <c r="G32" s="30" t="str">
        <f t="shared" si="0"/>
        <v/>
      </c>
      <c r="H32" s="34"/>
      <c r="I32" s="30"/>
      <c r="J32" s="152">
        <v>0</v>
      </c>
      <c r="L32" s="215"/>
      <c r="M32" s="30"/>
      <c r="N32" s="30" t="str">
        <f t="shared" si="1"/>
        <v/>
      </c>
      <c r="O32" s="34"/>
      <c r="P32" s="36" t="str">
        <f t="shared" si="2"/>
        <v/>
      </c>
      <c r="Q32" s="216" t="str">
        <f t="shared" si="3"/>
        <v/>
      </c>
      <c r="R32" s="216" t="str">
        <f t="shared" si="4"/>
        <v/>
      </c>
      <c r="S32" s="217" t="str">
        <f t="shared" si="5"/>
        <v/>
      </c>
    </row>
    <row r="33" spans="1:19" ht="15.75" hidden="1" thickBot="1" x14ac:dyDescent="0.3">
      <c r="A33" s="256" t="s">
        <v>19</v>
      </c>
      <c r="B33" s="259" t="str">
        <f>INDEX(Orçamentária!A:B,MATCH(Composições!A33,Orçamentária!A:A,0),2)</f>
        <v>Demolição de contrapiso</v>
      </c>
      <c r="C33" s="40"/>
      <c r="D33" s="25" t="s">
        <v>70</v>
      </c>
      <c r="E33" s="26"/>
      <c r="F33" s="41" t="s">
        <v>416</v>
      </c>
      <c r="G33" s="27" t="str">
        <f t="shared" si="0"/>
        <v/>
      </c>
      <c r="H33" s="28"/>
      <c r="I33" s="29"/>
      <c r="J33" s="152">
        <v>0</v>
      </c>
      <c r="L33" s="218"/>
      <c r="M33" s="41"/>
      <c r="N33" s="27" t="str">
        <f t="shared" si="1"/>
        <v/>
      </c>
      <c r="O33" s="28"/>
      <c r="P33" s="36" t="str">
        <f t="shared" si="2"/>
        <v/>
      </c>
      <c r="Q33" s="216" t="str">
        <f t="shared" si="3"/>
        <v/>
      </c>
      <c r="R33" s="216" t="str">
        <f t="shared" si="4"/>
        <v/>
      </c>
      <c r="S33" s="217" t="str">
        <f t="shared" si="5"/>
        <v/>
      </c>
    </row>
    <row r="34" spans="1:19" ht="15.75" hidden="1" thickBot="1" x14ac:dyDescent="0.3">
      <c r="A34" s="262"/>
      <c r="B34" s="260"/>
      <c r="C34" s="31"/>
      <c r="D34" s="31"/>
      <c r="E34" s="32"/>
      <c r="F34" s="42" t="s">
        <v>416</v>
      </c>
      <c r="G34" s="30" t="str">
        <f t="shared" si="0"/>
        <v/>
      </c>
      <c r="H34" s="34"/>
      <c r="I34" s="30"/>
      <c r="J34" s="152">
        <v>0</v>
      </c>
      <c r="L34" s="219"/>
      <c r="M34" s="42"/>
      <c r="N34" s="30" t="str">
        <f t="shared" si="1"/>
        <v/>
      </c>
      <c r="O34" s="34"/>
      <c r="P34" s="36" t="str">
        <f t="shared" si="2"/>
        <v/>
      </c>
      <c r="Q34" s="216" t="str">
        <f t="shared" si="3"/>
        <v/>
      </c>
      <c r="R34" s="216" t="str">
        <f t="shared" si="4"/>
        <v/>
      </c>
      <c r="S34" s="217" t="str">
        <f t="shared" si="5"/>
        <v/>
      </c>
    </row>
    <row r="35" spans="1:19" ht="15.75" hidden="1" thickBot="1" x14ac:dyDescent="0.3">
      <c r="A35" s="262"/>
      <c r="B35" s="260"/>
      <c r="C35" s="35" t="s">
        <v>591</v>
      </c>
      <c r="D35" s="35" t="s">
        <v>583</v>
      </c>
      <c r="E35" s="36">
        <v>0.08</v>
      </c>
      <c r="F35" s="30">
        <v>27.160499999999999</v>
      </c>
      <c r="G35" s="33">
        <f t="shared" si="0"/>
        <v>2.1728399999999999</v>
      </c>
      <c r="H35" s="38">
        <f>SUM(G35:G36)</f>
        <v>18.35324</v>
      </c>
      <c r="I35" s="39"/>
      <c r="J35" s="152">
        <v>0</v>
      </c>
      <c r="L35" s="215">
        <v>0.08</v>
      </c>
      <c r="M35" s="30">
        <v>23.249388</v>
      </c>
      <c r="N35" s="33">
        <f t="shared" si="1"/>
        <v>1.8599510400000001</v>
      </c>
      <c r="O35" s="38">
        <f>SUM(N35:N36)</f>
        <v>15.710373439999998</v>
      </c>
      <c r="P35" s="36" t="str">
        <f t="shared" si="2"/>
        <v/>
      </c>
      <c r="Q35" s="216">
        <f t="shared" si="3"/>
        <v>0.14400000000000002</v>
      </c>
      <c r="R35" s="216">
        <f t="shared" si="4"/>
        <v>0.14399999999999991</v>
      </c>
      <c r="S35" s="217">
        <f t="shared" si="5"/>
        <v>0.14400000000000013</v>
      </c>
    </row>
    <row r="36" spans="1:19" ht="15.75" hidden="1" thickBot="1" x14ac:dyDescent="0.3">
      <c r="A36" s="262"/>
      <c r="B36" s="260"/>
      <c r="C36" s="35" t="s">
        <v>584</v>
      </c>
      <c r="D36" s="35" t="s">
        <v>583</v>
      </c>
      <c r="E36" s="36">
        <v>0.8</v>
      </c>
      <c r="F36" s="30">
        <v>20.225499999999997</v>
      </c>
      <c r="G36" s="33">
        <f t="shared" si="0"/>
        <v>16.180399999999999</v>
      </c>
      <c r="H36" s="43"/>
      <c r="I36" s="39"/>
      <c r="J36" s="152">
        <v>0</v>
      </c>
      <c r="L36" s="215">
        <v>0.8</v>
      </c>
      <c r="M36" s="30">
        <v>17.313027999999996</v>
      </c>
      <c r="N36" s="33">
        <f t="shared" si="1"/>
        <v>13.850422399999998</v>
      </c>
      <c r="O36" s="43"/>
      <c r="P36" s="36" t="str">
        <f t="shared" si="2"/>
        <v/>
      </c>
      <c r="Q36" s="216">
        <f t="shared" si="3"/>
        <v>0.14400000000000013</v>
      </c>
      <c r="R36" s="216">
        <f t="shared" si="4"/>
        <v>0.14400000000000013</v>
      </c>
      <c r="S36" s="217" t="str">
        <f t="shared" si="5"/>
        <v/>
      </c>
    </row>
    <row r="37" spans="1:19" ht="15.75" hidden="1" thickBot="1" x14ac:dyDescent="0.3">
      <c r="A37" s="263"/>
      <c r="B37" s="261"/>
      <c r="C37" s="35"/>
      <c r="D37" s="35"/>
      <c r="E37" s="36"/>
      <c r="F37" s="30" t="s">
        <v>416</v>
      </c>
      <c r="G37" s="30" t="str">
        <f t="shared" si="0"/>
        <v/>
      </c>
      <c r="H37" s="34"/>
      <c r="I37" s="30"/>
      <c r="J37" s="152">
        <v>0</v>
      </c>
      <c r="L37" s="215"/>
      <c r="M37" s="30"/>
      <c r="N37" s="30" t="str">
        <f t="shared" si="1"/>
        <v/>
      </c>
      <c r="O37" s="34"/>
      <c r="P37" s="36" t="str">
        <f t="shared" si="2"/>
        <v/>
      </c>
      <c r="Q37" s="216" t="str">
        <f t="shared" si="3"/>
        <v/>
      </c>
      <c r="R37" s="216" t="str">
        <f t="shared" si="4"/>
        <v/>
      </c>
      <c r="S37" s="217" t="str">
        <f t="shared" si="5"/>
        <v/>
      </c>
    </row>
    <row r="38" spans="1:19" ht="15.75" thickBot="1" x14ac:dyDescent="0.3">
      <c r="A38" s="256" t="s">
        <v>20</v>
      </c>
      <c r="B38" s="259" t="str">
        <f>INDEX(Orçamentária!A:B,MATCH(Composições!A38,Orçamentária!A:A,0),2)</f>
        <v>Demolição de fechamento ou parede em gesso acartonado</v>
      </c>
      <c r="C38" s="40"/>
      <c r="D38" s="25" t="s">
        <v>70</v>
      </c>
      <c r="E38" s="26"/>
      <c r="F38" s="41" t="s">
        <v>416</v>
      </c>
      <c r="G38" s="27" t="str">
        <f t="shared" si="0"/>
        <v/>
      </c>
      <c r="H38" s="28"/>
      <c r="I38" s="29"/>
      <c r="J38" s="152">
        <v>17</v>
      </c>
      <c r="L38" s="218"/>
      <c r="M38" s="41"/>
      <c r="N38" s="27" t="str">
        <f t="shared" si="1"/>
        <v/>
      </c>
      <c r="O38" s="28"/>
      <c r="P38" s="36" t="str">
        <f t="shared" si="2"/>
        <v/>
      </c>
      <c r="Q38" s="216" t="str">
        <f t="shared" si="3"/>
        <v/>
      </c>
      <c r="R38" s="216" t="str">
        <f t="shared" si="4"/>
        <v/>
      </c>
      <c r="S38" s="217" t="str">
        <f t="shared" si="5"/>
        <v/>
      </c>
    </row>
    <row r="39" spans="1:19" x14ac:dyDescent="0.25">
      <c r="A39" s="262"/>
      <c r="B39" s="260"/>
      <c r="C39" s="31"/>
      <c r="D39" s="31"/>
      <c r="E39" s="32"/>
      <c r="F39" s="42" t="s">
        <v>416</v>
      </c>
      <c r="G39" s="30" t="str">
        <f t="shared" si="0"/>
        <v/>
      </c>
      <c r="H39" s="34"/>
      <c r="I39" s="30"/>
      <c r="J39" s="152">
        <v>17</v>
      </c>
      <c r="L39" s="219"/>
      <c r="M39" s="42"/>
      <c r="N39" s="30" t="str">
        <f t="shared" si="1"/>
        <v/>
      </c>
      <c r="O39" s="34"/>
      <c r="P39" s="36" t="str">
        <f t="shared" si="2"/>
        <v/>
      </c>
      <c r="Q39" s="216" t="str">
        <f t="shared" si="3"/>
        <v/>
      </c>
      <c r="R39" s="216" t="str">
        <f t="shared" si="4"/>
        <v/>
      </c>
      <c r="S39" s="217" t="str">
        <f t="shared" si="5"/>
        <v/>
      </c>
    </row>
    <row r="40" spans="1:19" ht="25.5" x14ac:dyDescent="0.25">
      <c r="A40" s="262"/>
      <c r="B40" s="260"/>
      <c r="C40" s="35" t="s">
        <v>854</v>
      </c>
      <c r="D40" s="35" t="s">
        <v>583</v>
      </c>
      <c r="E40" s="36">
        <v>0.1186</v>
      </c>
      <c r="F40" s="30">
        <v>20.719499999999996</v>
      </c>
      <c r="G40" s="33">
        <f t="shared" si="0"/>
        <v>2.4573326999999994</v>
      </c>
      <c r="H40" s="38">
        <f>SUM(G40:G41)</f>
        <v>7.1678516499999985</v>
      </c>
      <c r="I40" s="39"/>
      <c r="J40" s="152">
        <v>17</v>
      </c>
      <c r="L40" s="215">
        <v>0.1186</v>
      </c>
      <c r="M40" s="30">
        <v>17.735891999999996</v>
      </c>
      <c r="N40" s="33">
        <f t="shared" si="1"/>
        <v>2.1034767911999994</v>
      </c>
      <c r="O40" s="38">
        <f>SUM(N40:N41)</f>
        <v>6.1356810123999983</v>
      </c>
      <c r="P40" s="36" t="str">
        <f t="shared" si="2"/>
        <v/>
      </c>
      <c r="Q40" s="216">
        <f t="shared" si="3"/>
        <v>0.14400000000000002</v>
      </c>
      <c r="R40" s="216">
        <f t="shared" si="4"/>
        <v>0.14400000000000002</v>
      </c>
      <c r="S40" s="217">
        <f t="shared" si="5"/>
        <v>0.14400000000000002</v>
      </c>
    </row>
    <row r="41" spans="1:19" x14ac:dyDescent="0.25">
      <c r="A41" s="262"/>
      <c r="B41" s="260"/>
      <c r="C41" s="35" t="s">
        <v>584</v>
      </c>
      <c r="D41" s="35" t="s">
        <v>583</v>
      </c>
      <c r="E41" s="36">
        <v>0.2329</v>
      </c>
      <c r="F41" s="30">
        <v>20.225499999999997</v>
      </c>
      <c r="G41" s="33">
        <f t="shared" si="0"/>
        <v>4.7105189499999991</v>
      </c>
      <c r="H41" s="44"/>
      <c r="I41" s="45"/>
      <c r="J41" s="152">
        <v>17</v>
      </c>
      <c r="L41" s="215">
        <v>0.2329</v>
      </c>
      <c r="M41" s="30">
        <v>17.313027999999996</v>
      </c>
      <c r="N41" s="33">
        <f t="shared" si="1"/>
        <v>4.0322042211999989</v>
      </c>
      <c r="O41" s="44"/>
      <c r="P41" s="36" t="str">
        <f t="shared" si="2"/>
        <v/>
      </c>
      <c r="Q41" s="216">
        <f t="shared" si="3"/>
        <v>0.14400000000000013</v>
      </c>
      <c r="R41" s="216">
        <f t="shared" si="4"/>
        <v>0.14400000000000013</v>
      </c>
      <c r="S41" s="217" t="str">
        <f t="shared" si="5"/>
        <v/>
      </c>
    </row>
    <row r="42" spans="1:19" ht="15.75" thickBot="1" x14ac:dyDescent="0.3">
      <c r="A42" s="263"/>
      <c r="B42" s="261"/>
      <c r="C42" s="35"/>
      <c r="D42" s="35"/>
      <c r="E42" s="36"/>
      <c r="F42" s="30" t="s">
        <v>416</v>
      </c>
      <c r="G42" s="30" t="str">
        <f t="shared" si="0"/>
        <v/>
      </c>
      <c r="H42" s="34"/>
      <c r="I42" s="30"/>
      <c r="J42" s="152">
        <v>17</v>
      </c>
      <c r="L42" s="215"/>
      <c r="M42" s="30"/>
      <c r="N42" s="30" t="str">
        <f t="shared" si="1"/>
        <v/>
      </c>
      <c r="O42" s="34"/>
      <c r="P42" s="36" t="str">
        <f t="shared" si="2"/>
        <v/>
      </c>
      <c r="Q42" s="216" t="str">
        <f t="shared" si="3"/>
        <v/>
      </c>
      <c r="R42" s="216" t="str">
        <f t="shared" si="4"/>
        <v/>
      </c>
      <c r="S42" s="217" t="str">
        <f t="shared" si="5"/>
        <v/>
      </c>
    </row>
    <row r="43" spans="1:19" ht="15.75" thickBot="1" x14ac:dyDescent="0.3">
      <c r="A43" s="256" t="s">
        <v>21</v>
      </c>
      <c r="B43" s="259" t="str">
        <f>INDEX(Orçamentária!A:B,MATCH(Composições!A43,Orçamentária!A:A,0),2)</f>
        <v>Demolição de forro</v>
      </c>
      <c r="C43" s="40"/>
      <c r="D43" s="25" t="s">
        <v>70</v>
      </c>
      <c r="E43" s="26"/>
      <c r="F43" s="41" t="s">
        <v>416</v>
      </c>
      <c r="G43" s="27" t="str">
        <f t="shared" si="0"/>
        <v/>
      </c>
      <c r="H43" s="28"/>
      <c r="I43" s="29"/>
      <c r="J43" s="152">
        <v>388</v>
      </c>
      <c r="L43" s="218"/>
      <c r="M43" s="41"/>
      <c r="N43" s="27" t="str">
        <f t="shared" si="1"/>
        <v/>
      </c>
      <c r="O43" s="28"/>
      <c r="P43" s="36" t="str">
        <f t="shared" si="2"/>
        <v/>
      </c>
      <c r="Q43" s="216" t="str">
        <f t="shared" si="3"/>
        <v/>
      </c>
      <c r="R43" s="216" t="str">
        <f t="shared" si="4"/>
        <v/>
      </c>
      <c r="S43" s="217" t="str">
        <f t="shared" si="5"/>
        <v/>
      </c>
    </row>
    <row r="44" spans="1:19" x14ac:dyDescent="0.25">
      <c r="A44" s="262"/>
      <c r="B44" s="260"/>
      <c r="C44" s="31"/>
      <c r="D44" s="31"/>
      <c r="E44" s="32"/>
      <c r="F44" s="42" t="s">
        <v>416</v>
      </c>
      <c r="G44" s="30" t="str">
        <f t="shared" si="0"/>
        <v/>
      </c>
      <c r="H44" s="34"/>
      <c r="I44" s="30"/>
      <c r="J44" s="152">
        <v>388</v>
      </c>
      <c r="L44" s="219"/>
      <c r="M44" s="42"/>
      <c r="N44" s="30" t="str">
        <f t="shared" si="1"/>
        <v/>
      </c>
      <c r="O44" s="34"/>
      <c r="P44" s="36" t="str">
        <f t="shared" si="2"/>
        <v/>
      </c>
      <c r="Q44" s="216" t="str">
        <f t="shared" si="3"/>
        <v/>
      </c>
      <c r="R44" s="216" t="str">
        <f t="shared" si="4"/>
        <v/>
      </c>
      <c r="S44" s="217" t="str">
        <f t="shared" si="5"/>
        <v/>
      </c>
    </row>
    <row r="45" spans="1:19" ht="25.5" x14ac:dyDescent="0.25">
      <c r="A45" s="262"/>
      <c r="B45" s="260"/>
      <c r="C45" s="35" t="s">
        <v>854</v>
      </c>
      <c r="D45" s="35" t="s">
        <v>583</v>
      </c>
      <c r="E45" s="36">
        <v>2.58E-2</v>
      </c>
      <c r="F45" s="30">
        <v>20.719499999999996</v>
      </c>
      <c r="G45" s="33">
        <f t="shared" si="0"/>
        <v>0.53456309999999996</v>
      </c>
      <c r="H45" s="38">
        <f>SUM(G45:G46)</f>
        <v>1.5599959499999998</v>
      </c>
      <c r="I45" s="39"/>
      <c r="J45" s="152">
        <v>388</v>
      </c>
      <c r="L45" s="215">
        <v>2.58E-2</v>
      </c>
      <c r="M45" s="30">
        <v>17.735891999999996</v>
      </c>
      <c r="N45" s="33">
        <f t="shared" si="1"/>
        <v>0.4575860135999999</v>
      </c>
      <c r="O45" s="38">
        <f>SUM(N45:N46)</f>
        <v>1.3353565331999997</v>
      </c>
      <c r="P45" s="36" t="str">
        <f t="shared" si="2"/>
        <v/>
      </c>
      <c r="Q45" s="216">
        <f t="shared" si="3"/>
        <v>0.14400000000000002</v>
      </c>
      <c r="R45" s="216">
        <f t="shared" si="4"/>
        <v>0.14400000000000013</v>
      </c>
      <c r="S45" s="217">
        <f t="shared" si="5"/>
        <v>0.14400000000000013</v>
      </c>
    </row>
    <row r="46" spans="1:19" x14ac:dyDescent="0.25">
      <c r="A46" s="262"/>
      <c r="B46" s="260"/>
      <c r="C46" s="35" t="s">
        <v>584</v>
      </c>
      <c r="D46" s="35" t="s">
        <v>583</v>
      </c>
      <c r="E46" s="36">
        <v>5.0700000000000002E-2</v>
      </c>
      <c r="F46" s="30">
        <v>20.225499999999997</v>
      </c>
      <c r="G46" s="33">
        <f t="shared" si="0"/>
        <v>1.0254328499999998</v>
      </c>
      <c r="H46" s="34"/>
      <c r="I46" s="30"/>
      <c r="J46" s="152">
        <v>388</v>
      </c>
      <c r="L46" s="215">
        <v>5.0700000000000002E-2</v>
      </c>
      <c r="M46" s="30">
        <v>17.313027999999996</v>
      </c>
      <c r="N46" s="33">
        <f t="shared" si="1"/>
        <v>0.87777051959999985</v>
      </c>
      <c r="O46" s="34"/>
      <c r="P46" s="36" t="str">
        <f t="shared" si="2"/>
        <v/>
      </c>
      <c r="Q46" s="216">
        <f t="shared" si="3"/>
        <v>0.14400000000000013</v>
      </c>
      <c r="R46" s="216">
        <f t="shared" si="4"/>
        <v>0.14400000000000002</v>
      </c>
      <c r="S46" s="217" t="str">
        <f t="shared" si="5"/>
        <v/>
      </c>
    </row>
    <row r="47" spans="1:19" ht="15.75" thickBot="1" x14ac:dyDescent="0.3">
      <c r="A47" s="263"/>
      <c r="B47" s="261"/>
      <c r="C47" s="35"/>
      <c r="D47" s="35"/>
      <c r="E47" s="36"/>
      <c r="F47" s="30" t="s">
        <v>416</v>
      </c>
      <c r="G47" s="30" t="str">
        <f t="shared" si="0"/>
        <v/>
      </c>
      <c r="H47" s="34"/>
      <c r="I47" s="30"/>
      <c r="J47" s="152">
        <v>388</v>
      </c>
      <c r="L47" s="215"/>
      <c r="M47" s="30"/>
      <c r="N47" s="30" t="str">
        <f t="shared" si="1"/>
        <v/>
      </c>
      <c r="O47" s="34"/>
      <c r="P47" s="36" t="str">
        <f t="shared" si="2"/>
        <v/>
      </c>
      <c r="Q47" s="216" t="str">
        <f t="shared" si="3"/>
        <v/>
      </c>
      <c r="R47" s="216" t="str">
        <f t="shared" si="4"/>
        <v/>
      </c>
      <c r="S47" s="217" t="str">
        <f t="shared" si="5"/>
        <v/>
      </c>
    </row>
    <row r="48" spans="1:19" ht="15.75" hidden="1" thickBot="1" x14ac:dyDescent="0.3">
      <c r="A48" s="256" t="s">
        <v>22</v>
      </c>
      <c r="B48" s="259" t="str">
        <f>INDEX(Orçamentária!A:B,MATCH(Composições!A48,Orçamentária!A:A,0),2)</f>
        <v>Demolição de infraestrutura elétrica (eletrodutos, eletrocalhas, cabos)</v>
      </c>
      <c r="C48" s="40"/>
      <c r="D48" s="25" t="s">
        <v>69</v>
      </c>
      <c r="E48" s="26"/>
      <c r="F48" s="41" t="s">
        <v>416</v>
      </c>
      <c r="G48" s="27" t="str">
        <f t="shared" si="0"/>
        <v/>
      </c>
      <c r="H48" s="28"/>
      <c r="I48" s="29"/>
      <c r="J48" s="152">
        <v>0</v>
      </c>
      <c r="L48" s="218"/>
      <c r="M48" s="41"/>
      <c r="N48" s="27" t="str">
        <f t="shared" si="1"/>
        <v/>
      </c>
      <c r="O48" s="28"/>
      <c r="P48" s="36" t="str">
        <f t="shared" si="2"/>
        <v/>
      </c>
      <c r="Q48" s="216" t="str">
        <f t="shared" si="3"/>
        <v/>
      </c>
      <c r="R48" s="216" t="str">
        <f t="shared" si="4"/>
        <v/>
      </c>
      <c r="S48" s="217" t="str">
        <f t="shared" si="5"/>
        <v/>
      </c>
    </row>
    <row r="49" spans="1:19" ht="15.75" hidden="1" thickBot="1" x14ac:dyDescent="0.3">
      <c r="A49" s="262"/>
      <c r="B49" s="260"/>
      <c r="C49" s="31"/>
      <c r="D49" s="31"/>
      <c r="E49" s="32"/>
      <c r="F49" s="42" t="s">
        <v>416</v>
      </c>
      <c r="G49" s="30" t="str">
        <f t="shared" si="0"/>
        <v/>
      </c>
      <c r="H49" s="34"/>
      <c r="I49" s="30"/>
      <c r="J49" s="152">
        <v>0</v>
      </c>
      <c r="L49" s="219"/>
      <c r="M49" s="42"/>
      <c r="N49" s="30" t="str">
        <f t="shared" si="1"/>
        <v/>
      </c>
      <c r="O49" s="34"/>
      <c r="P49" s="36" t="str">
        <f t="shared" si="2"/>
        <v/>
      </c>
      <c r="Q49" s="216" t="str">
        <f t="shared" si="3"/>
        <v/>
      </c>
      <c r="R49" s="216" t="str">
        <f t="shared" si="4"/>
        <v/>
      </c>
      <c r="S49" s="217" t="str">
        <f t="shared" si="5"/>
        <v/>
      </c>
    </row>
    <row r="50" spans="1:19" ht="15.75" hidden="1" thickBot="1" x14ac:dyDescent="0.3">
      <c r="A50" s="262"/>
      <c r="B50" s="260"/>
      <c r="C50" s="35" t="s">
        <v>1018</v>
      </c>
      <c r="D50" s="35" t="s">
        <v>583</v>
      </c>
      <c r="E50" s="36">
        <f>ROUND(0.0096*5,4)</f>
        <v>4.8000000000000001E-2</v>
      </c>
      <c r="F50" s="30">
        <v>27.835000000000001</v>
      </c>
      <c r="G50" s="33">
        <f t="shared" si="0"/>
        <v>1.3360800000000002</v>
      </c>
      <c r="H50" s="38">
        <f>SUM(G50:G51)</f>
        <v>3.2372769999999997</v>
      </c>
      <c r="I50" s="39"/>
      <c r="J50" s="152">
        <v>0</v>
      </c>
      <c r="L50" s="215">
        <v>4.8000000000000001E-2</v>
      </c>
      <c r="M50" s="30">
        <v>23.82676</v>
      </c>
      <c r="N50" s="33">
        <f t="shared" si="1"/>
        <v>1.1436844800000001</v>
      </c>
      <c r="O50" s="38">
        <f>SUM(N50:N51)</f>
        <v>2.7711091119999995</v>
      </c>
      <c r="P50" s="36" t="str">
        <f t="shared" si="2"/>
        <v/>
      </c>
      <c r="Q50" s="216">
        <f t="shared" si="3"/>
        <v>0.14400000000000002</v>
      </c>
      <c r="R50" s="216">
        <f t="shared" si="4"/>
        <v>0.14400000000000002</v>
      </c>
      <c r="S50" s="217">
        <f t="shared" si="5"/>
        <v>0.14400000000000013</v>
      </c>
    </row>
    <row r="51" spans="1:19" ht="15.75" hidden="1" thickBot="1" x14ac:dyDescent="0.3">
      <c r="A51" s="262"/>
      <c r="B51" s="260"/>
      <c r="C51" s="35" t="s">
        <v>584</v>
      </c>
      <c r="D51" s="35" t="s">
        <v>583</v>
      </c>
      <c r="E51" s="36">
        <f>ROUND(0.0188*5,4)</f>
        <v>9.4E-2</v>
      </c>
      <c r="F51" s="30">
        <v>20.225499999999997</v>
      </c>
      <c r="G51" s="33">
        <f t="shared" si="0"/>
        <v>1.9011969999999998</v>
      </c>
      <c r="H51" s="34"/>
      <c r="I51" s="30"/>
      <c r="J51" s="152">
        <v>0</v>
      </c>
      <c r="L51" s="215">
        <v>9.4E-2</v>
      </c>
      <c r="M51" s="30">
        <v>17.313027999999996</v>
      </c>
      <c r="N51" s="33">
        <f t="shared" si="1"/>
        <v>1.6274246319999996</v>
      </c>
      <c r="O51" s="34"/>
      <c r="P51" s="36" t="str">
        <f t="shared" si="2"/>
        <v/>
      </c>
      <c r="Q51" s="216">
        <f t="shared" si="3"/>
        <v>0.14400000000000013</v>
      </c>
      <c r="R51" s="216">
        <f t="shared" si="4"/>
        <v>0.14400000000000013</v>
      </c>
      <c r="S51" s="217" t="str">
        <f t="shared" si="5"/>
        <v/>
      </c>
    </row>
    <row r="52" spans="1:19" ht="15.75" hidden="1" thickBot="1" x14ac:dyDescent="0.3">
      <c r="A52" s="263"/>
      <c r="B52" s="261"/>
      <c r="C52" s="35"/>
      <c r="D52" s="35"/>
      <c r="E52" s="36"/>
      <c r="F52" s="30" t="s">
        <v>416</v>
      </c>
      <c r="G52" s="30" t="str">
        <f t="shared" si="0"/>
        <v/>
      </c>
      <c r="H52" s="34"/>
      <c r="I52" s="30"/>
      <c r="J52" s="152">
        <v>0</v>
      </c>
      <c r="L52" s="215"/>
      <c r="M52" s="30"/>
      <c r="N52" s="30" t="str">
        <f t="shared" si="1"/>
        <v/>
      </c>
      <c r="O52" s="34"/>
      <c r="P52" s="36" t="str">
        <f t="shared" si="2"/>
        <v/>
      </c>
      <c r="Q52" s="216" t="str">
        <f t="shared" si="3"/>
        <v/>
      </c>
      <c r="R52" s="216" t="str">
        <f t="shared" si="4"/>
        <v/>
      </c>
      <c r="S52" s="217" t="str">
        <f t="shared" si="5"/>
        <v/>
      </c>
    </row>
    <row r="53" spans="1:19" ht="15.75" hidden="1" thickBot="1" x14ac:dyDescent="0.3">
      <c r="A53" s="256" t="s">
        <v>23</v>
      </c>
      <c r="B53" s="259" t="str">
        <f>INDEX(Orçamentária!A:B,MATCH(Composições!A53,Orçamentária!A:A,0),2)</f>
        <v>Demolição de revestimento cerâmico, granito, mármore ou granitina</v>
      </c>
      <c r="C53" s="40"/>
      <c r="D53" s="25" t="s">
        <v>70</v>
      </c>
      <c r="E53" s="26"/>
      <c r="F53" s="41" t="s">
        <v>416</v>
      </c>
      <c r="G53" s="27" t="str">
        <f t="shared" si="0"/>
        <v/>
      </c>
      <c r="H53" s="28"/>
      <c r="I53" s="29"/>
      <c r="J53" s="152">
        <v>0</v>
      </c>
      <c r="L53" s="218"/>
      <c r="M53" s="41"/>
      <c r="N53" s="27" t="str">
        <f t="shared" si="1"/>
        <v/>
      </c>
      <c r="O53" s="28"/>
      <c r="P53" s="36" t="str">
        <f t="shared" si="2"/>
        <v/>
      </c>
      <c r="Q53" s="216" t="str">
        <f t="shared" si="3"/>
        <v/>
      </c>
      <c r="R53" s="216" t="str">
        <f t="shared" si="4"/>
        <v/>
      </c>
      <c r="S53" s="217" t="str">
        <f t="shared" si="5"/>
        <v/>
      </c>
    </row>
    <row r="54" spans="1:19" ht="15.75" hidden="1" thickBot="1" x14ac:dyDescent="0.3">
      <c r="A54" s="262"/>
      <c r="B54" s="260"/>
      <c r="C54" s="31"/>
      <c r="D54" s="31"/>
      <c r="E54" s="32"/>
      <c r="F54" s="42" t="s">
        <v>416</v>
      </c>
      <c r="G54" s="30" t="str">
        <f t="shared" si="0"/>
        <v/>
      </c>
      <c r="H54" s="34"/>
      <c r="I54" s="30"/>
      <c r="J54" s="152">
        <v>0</v>
      </c>
      <c r="L54" s="219"/>
      <c r="M54" s="42"/>
      <c r="N54" s="30" t="str">
        <f t="shared" si="1"/>
        <v/>
      </c>
      <c r="O54" s="34"/>
      <c r="P54" s="36" t="str">
        <f t="shared" si="2"/>
        <v/>
      </c>
      <c r="Q54" s="216" t="str">
        <f t="shared" si="3"/>
        <v/>
      </c>
      <c r="R54" s="216" t="str">
        <f t="shared" si="4"/>
        <v/>
      </c>
      <c r="S54" s="217" t="str">
        <f t="shared" si="5"/>
        <v/>
      </c>
    </row>
    <row r="55" spans="1:19" ht="26.25" hidden="1" thickBot="1" x14ac:dyDescent="0.3">
      <c r="A55" s="262"/>
      <c r="B55" s="260"/>
      <c r="C55" s="35" t="s">
        <v>969</v>
      </c>
      <c r="D55" s="35" t="s">
        <v>813</v>
      </c>
      <c r="E55" s="36">
        <v>6.9900000000000004E-2</v>
      </c>
      <c r="F55" s="33">
        <v>24.6525</v>
      </c>
      <c r="G55" s="33">
        <f t="shared" si="0"/>
        <v>1.7232097500000001</v>
      </c>
      <c r="H55" s="38">
        <f>SUM(G55:G58)</f>
        <v>11.695665649999999</v>
      </c>
      <c r="I55" s="39"/>
      <c r="J55" s="152">
        <v>0</v>
      </c>
      <c r="L55" s="215">
        <v>6.9900000000000004E-2</v>
      </c>
      <c r="M55" s="33">
        <v>21.102540000000001</v>
      </c>
      <c r="N55" s="33">
        <f t="shared" si="1"/>
        <v>1.4750675460000002</v>
      </c>
      <c r="O55" s="38">
        <f>SUM(N55:N58)</f>
        <v>10.011489796399999</v>
      </c>
      <c r="P55" s="36" t="str">
        <f t="shared" si="2"/>
        <v/>
      </c>
      <c r="Q55" s="216">
        <f t="shared" si="3"/>
        <v>0.14399999999999991</v>
      </c>
      <c r="R55" s="216">
        <f t="shared" si="4"/>
        <v>0.14399999999999991</v>
      </c>
      <c r="S55" s="217">
        <f t="shared" si="5"/>
        <v>0.14399999999999991</v>
      </c>
    </row>
    <row r="56" spans="1:19" ht="26.25" hidden="1" thickBot="1" x14ac:dyDescent="0.3">
      <c r="A56" s="262"/>
      <c r="B56" s="260"/>
      <c r="C56" s="35" t="s">
        <v>970</v>
      </c>
      <c r="D56" s="35" t="s">
        <v>815</v>
      </c>
      <c r="E56" s="36">
        <v>4.82E-2</v>
      </c>
      <c r="F56" s="33">
        <v>23.008999999999997</v>
      </c>
      <c r="G56" s="33">
        <f t="shared" si="0"/>
        <v>1.1090337999999997</v>
      </c>
      <c r="H56" s="34"/>
      <c r="I56" s="30"/>
      <c r="J56" s="152">
        <v>0</v>
      </c>
      <c r="L56" s="215">
        <v>4.82E-2</v>
      </c>
      <c r="M56" s="33">
        <v>19.695703999999999</v>
      </c>
      <c r="N56" s="33">
        <f t="shared" si="1"/>
        <v>0.94933293279999997</v>
      </c>
      <c r="O56" s="34"/>
      <c r="P56" s="36" t="str">
        <f t="shared" si="2"/>
        <v/>
      </c>
      <c r="Q56" s="216">
        <f t="shared" si="3"/>
        <v>0.14399999999999991</v>
      </c>
      <c r="R56" s="216">
        <f t="shared" si="4"/>
        <v>0.14399999999999979</v>
      </c>
      <c r="S56" s="217" t="str">
        <f t="shared" si="5"/>
        <v/>
      </c>
    </row>
    <row r="57" spans="1:19" ht="15.75" hidden="1" thickBot="1" x14ac:dyDescent="0.3">
      <c r="A57" s="262"/>
      <c r="B57" s="260"/>
      <c r="C57" s="35" t="s">
        <v>1079</v>
      </c>
      <c r="D57" s="35" t="s">
        <v>583</v>
      </c>
      <c r="E57" s="36">
        <v>0.1055</v>
      </c>
      <c r="F57" s="30">
        <v>27.036999999999999</v>
      </c>
      <c r="G57" s="33">
        <f t="shared" si="0"/>
        <v>2.8524034999999999</v>
      </c>
      <c r="H57" s="34"/>
      <c r="I57" s="30"/>
      <c r="J57" s="152">
        <v>0</v>
      </c>
      <c r="L57" s="215">
        <v>0.1055</v>
      </c>
      <c r="M57" s="30">
        <v>23.143671999999999</v>
      </c>
      <c r="N57" s="33">
        <f t="shared" si="1"/>
        <v>2.4416573959999996</v>
      </c>
      <c r="O57" s="34"/>
      <c r="P57" s="36" t="str">
        <f t="shared" si="2"/>
        <v/>
      </c>
      <c r="Q57" s="216">
        <f t="shared" si="3"/>
        <v>0.14400000000000002</v>
      </c>
      <c r="R57" s="216">
        <f t="shared" si="4"/>
        <v>0.14400000000000013</v>
      </c>
      <c r="S57" s="217" t="str">
        <f t="shared" si="5"/>
        <v/>
      </c>
    </row>
    <row r="58" spans="1:19" ht="15.75" hidden="1" thickBot="1" x14ac:dyDescent="0.3">
      <c r="A58" s="262"/>
      <c r="B58" s="260"/>
      <c r="C58" s="35" t="s">
        <v>584</v>
      </c>
      <c r="D58" s="35" t="s">
        <v>583</v>
      </c>
      <c r="E58" s="36">
        <v>0.29720000000000002</v>
      </c>
      <c r="F58" s="30">
        <v>20.225499999999997</v>
      </c>
      <c r="G58" s="33">
        <f t="shared" si="0"/>
        <v>6.011018599999999</v>
      </c>
      <c r="H58" s="34"/>
      <c r="I58" s="30"/>
      <c r="J58" s="152">
        <v>0</v>
      </c>
      <c r="L58" s="215">
        <v>0.29720000000000002</v>
      </c>
      <c r="M58" s="30">
        <v>17.313027999999996</v>
      </c>
      <c r="N58" s="33">
        <f t="shared" si="1"/>
        <v>5.1454319215999993</v>
      </c>
      <c r="O58" s="34"/>
      <c r="P58" s="36" t="str">
        <f t="shared" si="2"/>
        <v/>
      </c>
      <c r="Q58" s="216">
        <f t="shared" si="3"/>
        <v>0.14400000000000013</v>
      </c>
      <c r="R58" s="216">
        <f t="shared" si="4"/>
        <v>0.14400000000000002</v>
      </c>
      <c r="S58" s="217" t="str">
        <f t="shared" si="5"/>
        <v/>
      </c>
    </row>
    <row r="59" spans="1:19" ht="15.75" hidden="1" thickBot="1" x14ac:dyDescent="0.3">
      <c r="A59" s="263"/>
      <c r="B59" s="261"/>
      <c r="C59" s="35"/>
      <c r="D59" s="35"/>
      <c r="E59" s="36"/>
      <c r="F59" s="30" t="s">
        <v>416</v>
      </c>
      <c r="G59" s="30" t="str">
        <f t="shared" si="0"/>
        <v/>
      </c>
      <c r="H59" s="34"/>
      <c r="I59" s="30"/>
      <c r="J59" s="152">
        <v>0</v>
      </c>
      <c r="L59" s="215"/>
      <c r="M59" s="30"/>
      <c r="N59" s="30" t="str">
        <f t="shared" si="1"/>
        <v/>
      </c>
      <c r="O59" s="34"/>
      <c r="P59" s="36" t="str">
        <f t="shared" si="2"/>
        <v/>
      </c>
      <c r="Q59" s="216" t="str">
        <f t="shared" si="3"/>
        <v/>
      </c>
      <c r="R59" s="216" t="str">
        <f t="shared" si="4"/>
        <v/>
      </c>
      <c r="S59" s="217" t="str">
        <f t="shared" si="5"/>
        <v/>
      </c>
    </row>
    <row r="60" spans="1:19" ht="15.75" hidden="1" thickBot="1" x14ac:dyDescent="0.3">
      <c r="A60" s="256" t="s">
        <v>24</v>
      </c>
      <c r="B60" s="259" t="str">
        <f>INDEX(Orçamentária!A:B,MATCH(Composições!A60,Orçamentária!A:A,0),2)</f>
        <v>Demolição de revestimento em argamassa</v>
      </c>
      <c r="C60" s="40"/>
      <c r="D60" s="25" t="s">
        <v>70</v>
      </c>
      <c r="E60" s="26"/>
      <c r="F60" s="41" t="s">
        <v>416</v>
      </c>
      <c r="G60" s="27" t="str">
        <f t="shared" si="0"/>
        <v/>
      </c>
      <c r="H60" s="28"/>
      <c r="I60" s="29"/>
      <c r="J60" s="152">
        <v>0</v>
      </c>
      <c r="L60" s="218"/>
      <c r="M60" s="41"/>
      <c r="N60" s="27" t="str">
        <f t="shared" si="1"/>
        <v/>
      </c>
      <c r="O60" s="28"/>
      <c r="P60" s="36" t="str">
        <f t="shared" si="2"/>
        <v/>
      </c>
      <c r="Q60" s="216" t="str">
        <f t="shared" si="3"/>
        <v/>
      </c>
      <c r="R60" s="216" t="str">
        <f t="shared" si="4"/>
        <v/>
      </c>
      <c r="S60" s="217" t="str">
        <f t="shared" si="5"/>
        <v/>
      </c>
    </row>
    <row r="61" spans="1:19" ht="15.75" hidden="1" thickBot="1" x14ac:dyDescent="0.3">
      <c r="A61" s="262"/>
      <c r="B61" s="260"/>
      <c r="C61" s="31"/>
      <c r="D61" s="31"/>
      <c r="E61" s="32"/>
      <c r="F61" s="42" t="s">
        <v>416</v>
      </c>
      <c r="G61" s="30" t="str">
        <f t="shared" si="0"/>
        <v/>
      </c>
      <c r="H61" s="34"/>
      <c r="I61" s="30"/>
      <c r="J61" s="152">
        <v>0</v>
      </c>
      <c r="L61" s="219"/>
      <c r="M61" s="42"/>
      <c r="N61" s="30" t="str">
        <f t="shared" si="1"/>
        <v/>
      </c>
      <c r="O61" s="34"/>
      <c r="P61" s="36" t="str">
        <f t="shared" si="2"/>
        <v/>
      </c>
      <c r="Q61" s="216" t="str">
        <f t="shared" si="3"/>
        <v/>
      </c>
      <c r="R61" s="216" t="str">
        <f t="shared" si="4"/>
        <v/>
      </c>
      <c r="S61" s="217" t="str">
        <f t="shared" si="5"/>
        <v/>
      </c>
    </row>
    <row r="62" spans="1:19" ht="15.75" hidden="1" thickBot="1" x14ac:dyDescent="0.3">
      <c r="A62" s="262"/>
      <c r="B62" s="260"/>
      <c r="C62" s="35" t="s">
        <v>591</v>
      </c>
      <c r="D62" s="35" t="s">
        <v>583</v>
      </c>
      <c r="E62" s="36">
        <v>3.7400000000000003E-2</v>
      </c>
      <c r="F62" s="30">
        <v>27.160499999999999</v>
      </c>
      <c r="G62" s="33">
        <f t="shared" si="0"/>
        <v>1.0158027000000001</v>
      </c>
      <c r="H62" s="38">
        <f>SUM(G62:G63)</f>
        <v>3.1455478499999998</v>
      </c>
      <c r="I62" s="39"/>
      <c r="J62" s="152">
        <v>0</v>
      </c>
      <c r="L62" s="215">
        <v>3.7400000000000003E-2</v>
      </c>
      <c r="M62" s="30">
        <v>23.249388</v>
      </c>
      <c r="N62" s="33">
        <f t="shared" si="1"/>
        <v>0.86952711120000004</v>
      </c>
      <c r="O62" s="38">
        <f>SUM(N62:N63)</f>
        <v>2.6925889595999997</v>
      </c>
      <c r="P62" s="36" t="str">
        <f t="shared" si="2"/>
        <v/>
      </c>
      <c r="Q62" s="216">
        <f t="shared" si="3"/>
        <v>0.14400000000000002</v>
      </c>
      <c r="R62" s="216">
        <f t="shared" si="4"/>
        <v>0.14400000000000002</v>
      </c>
      <c r="S62" s="217">
        <f t="shared" si="5"/>
        <v>0.14400000000000002</v>
      </c>
    </row>
    <row r="63" spans="1:19" ht="15.75" hidden="1" thickBot="1" x14ac:dyDescent="0.3">
      <c r="A63" s="262"/>
      <c r="B63" s="260"/>
      <c r="C63" s="35" t="s">
        <v>584</v>
      </c>
      <c r="D63" s="35" t="s">
        <v>583</v>
      </c>
      <c r="E63" s="36">
        <v>0.1053</v>
      </c>
      <c r="F63" s="30">
        <v>20.225499999999997</v>
      </c>
      <c r="G63" s="33">
        <f t="shared" si="0"/>
        <v>2.1297451499999998</v>
      </c>
      <c r="H63" s="34"/>
      <c r="I63" s="30"/>
      <c r="J63" s="152">
        <v>0</v>
      </c>
      <c r="L63" s="215">
        <v>0.1053</v>
      </c>
      <c r="M63" s="30">
        <v>17.313027999999996</v>
      </c>
      <c r="N63" s="33">
        <f t="shared" si="1"/>
        <v>1.8230618483999996</v>
      </c>
      <c r="O63" s="34"/>
      <c r="P63" s="36" t="str">
        <f t="shared" si="2"/>
        <v/>
      </c>
      <c r="Q63" s="216">
        <f t="shared" si="3"/>
        <v>0.14400000000000013</v>
      </c>
      <c r="R63" s="216">
        <f t="shared" si="4"/>
        <v>0.14400000000000013</v>
      </c>
      <c r="S63" s="217" t="str">
        <f t="shared" si="5"/>
        <v/>
      </c>
    </row>
    <row r="64" spans="1:19" ht="15.75" hidden="1" thickBot="1" x14ac:dyDescent="0.3">
      <c r="A64" s="263"/>
      <c r="B64" s="261"/>
      <c r="C64" s="35"/>
      <c r="D64" s="35"/>
      <c r="E64" s="36"/>
      <c r="F64" s="30" t="s">
        <v>416</v>
      </c>
      <c r="G64" s="30" t="str">
        <f t="shared" si="0"/>
        <v/>
      </c>
      <c r="H64" s="34"/>
      <c r="I64" s="30"/>
      <c r="J64" s="152">
        <v>0</v>
      </c>
      <c r="L64" s="215"/>
      <c r="M64" s="30"/>
      <c r="N64" s="30" t="str">
        <f t="shared" si="1"/>
        <v/>
      </c>
      <c r="O64" s="34"/>
      <c r="P64" s="36" t="str">
        <f t="shared" si="2"/>
        <v/>
      </c>
      <c r="Q64" s="216" t="str">
        <f t="shared" si="3"/>
        <v/>
      </c>
      <c r="R64" s="216" t="str">
        <f t="shared" si="4"/>
        <v/>
      </c>
      <c r="S64" s="217" t="str">
        <f t="shared" si="5"/>
        <v/>
      </c>
    </row>
    <row r="65" spans="1:19" ht="15.75" hidden="1" thickBot="1" x14ac:dyDescent="0.3">
      <c r="A65" s="256" t="s">
        <v>25</v>
      </c>
      <c r="B65" s="259" t="str">
        <f>INDEX(Orçamentária!A:B,MATCH(Composições!A65,Orçamentária!A:A,0),2)</f>
        <v>Demolição de tubulação hidrossanitária embutida com conexões e acessórios</v>
      </c>
      <c r="C65" s="40"/>
      <c r="D65" s="25" t="s">
        <v>69</v>
      </c>
      <c r="E65" s="26"/>
      <c r="F65" s="41" t="s">
        <v>416</v>
      </c>
      <c r="G65" s="27" t="str">
        <f t="shared" si="0"/>
        <v/>
      </c>
      <c r="H65" s="28"/>
      <c r="I65" s="29"/>
      <c r="J65" s="152">
        <v>0</v>
      </c>
      <c r="L65" s="218"/>
      <c r="M65" s="41"/>
      <c r="N65" s="27" t="str">
        <f t="shared" si="1"/>
        <v/>
      </c>
      <c r="O65" s="28"/>
      <c r="P65" s="36" t="str">
        <f t="shared" si="2"/>
        <v/>
      </c>
      <c r="Q65" s="216" t="str">
        <f t="shared" si="3"/>
        <v/>
      </c>
      <c r="R65" s="216" t="str">
        <f t="shared" si="4"/>
        <v/>
      </c>
      <c r="S65" s="217" t="str">
        <f t="shared" si="5"/>
        <v/>
      </c>
    </row>
    <row r="66" spans="1:19" ht="15.75" hidden="1" thickBot="1" x14ac:dyDescent="0.3">
      <c r="A66" s="262"/>
      <c r="B66" s="260"/>
      <c r="C66" s="31"/>
      <c r="D66" s="31"/>
      <c r="E66" s="32"/>
      <c r="F66" s="42" t="s">
        <v>416</v>
      </c>
      <c r="G66" s="30" t="str">
        <f t="shared" si="0"/>
        <v/>
      </c>
      <c r="H66" s="34"/>
      <c r="I66" s="30"/>
      <c r="J66" s="152">
        <v>0</v>
      </c>
      <c r="L66" s="219"/>
      <c r="M66" s="42"/>
      <c r="N66" s="30" t="str">
        <f t="shared" si="1"/>
        <v/>
      </c>
      <c r="O66" s="34"/>
      <c r="P66" s="36" t="str">
        <f t="shared" si="2"/>
        <v/>
      </c>
      <c r="Q66" s="216" t="str">
        <f t="shared" si="3"/>
        <v/>
      </c>
      <c r="R66" s="216" t="str">
        <f t="shared" si="4"/>
        <v/>
      </c>
      <c r="S66" s="217" t="str">
        <f t="shared" si="5"/>
        <v/>
      </c>
    </row>
    <row r="67" spans="1:19" ht="26.25" hidden="1" thickBot="1" x14ac:dyDescent="0.3">
      <c r="A67" s="262"/>
      <c r="B67" s="260"/>
      <c r="C67" s="35" t="s">
        <v>825</v>
      </c>
      <c r="D67" s="35" t="s">
        <v>583</v>
      </c>
      <c r="E67" s="36">
        <v>7.1000000000000004E-3</v>
      </c>
      <c r="F67" s="30">
        <v>26.799499999999998</v>
      </c>
      <c r="G67" s="33">
        <f t="shared" si="0"/>
        <v>0.19027644999999999</v>
      </c>
      <c r="H67" s="38">
        <f>SUM(G67:G68)</f>
        <v>0.47343344999999992</v>
      </c>
      <c r="I67" s="39"/>
      <c r="J67" s="152">
        <v>0</v>
      </c>
      <c r="L67" s="215">
        <v>7.1000000000000004E-3</v>
      </c>
      <c r="M67" s="30">
        <v>22.940372</v>
      </c>
      <c r="N67" s="33">
        <f t="shared" si="1"/>
        <v>0.16287664120000001</v>
      </c>
      <c r="O67" s="38">
        <f>SUM(N67:N68)</f>
        <v>0.40525903319999995</v>
      </c>
      <c r="P67" s="36" t="str">
        <f t="shared" si="2"/>
        <v/>
      </c>
      <c r="Q67" s="216">
        <f t="shared" si="3"/>
        <v>0.14399999999999991</v>
      </c>
      <c r="R67" s="216">
        <f t="shared" si="4"/>
        <v>0.14399999999999991</v>
      </c>
      <c r="S67" s="217">
        <f t="shared" si="5"/>
        <v>0.14400000000000002</v>
      </c>
    </row>
    <row r="68" spans="1:19" ht="15.75" hidden="1" thickBot="1" x14ac:dyDescent="0.3">
      <c r="A68" s="262"/>
      <c r="B68" s="260"/>
      <c r="C68" s="35" t="s">
        <v>584</v>
      </c>
      <c r="D68" s="35" t="s">
        <v>583</v>
      </c>
      <c r="E68" s="36">
        <v>1.4E-2</v>
      </c>
      <c r="F68" s="30">
        <v>20.225499999999997</v>
      </c>
      <c r="G68" s="33">
        <f t="shared" si="0"/>
        <v>0.28315699999999994</v>
      </c>
      <c r="H68" s="34"/>
      <c r="I68" s="30"/>
      <c r="J68" s="152">
        <v>0</v>
      </c>
      <c r="L68" s="215">
        <v>1.4E-2</v>
      </c>
      <c r="M68" s="30">
        <v>17.313027999999996</v>
      </c>
      <c r="N68" s="33">
        <f t="shared" si="1"/>
        <v>0.24238239199999995</v>
      </c>
      <c r="O68" s="34"/>
      <c r="P68" s="36" t="str">
        <f t="shared" si="2"/>
        <v/>
      </c>
      <c r="Q68" s="216">
        <f t="shared" si="3"/>
        <v>0.14400000000000013</v>
      </c>
      <c r="R68" s="216">
        <f t="shared" si="4"/>
        <v>0.14400000000000002</v>
      </c>
      <c r="S68" s="217" t="str">
        <f t="shared" si="5"/>
        <v/>
      </c>
    </row>
    <row r="69" spans="1:19" ht="15.75" hidden="1" thickBot="1" x14ac:dyDescent="0.3">
      <c r="A69" s="263"/>
      <c r="B69" s="261"/>
      <c r="C69" s="35"/>
      <c r="D69" s="35"/>
      <c r="E69" s="36"/>
      <c r="F69" s="30" t="s">
        <v>416</v>
      </c>
      <c r="G69" s="30" t="str">
        <f t="shared" si="0"/>
        <v/>
      </c>
      <c r="H69" s="34"/>
      <c r="I69" s="30"/>
      <c r="J69" s="152">
        <v>0</v>
      </c>
      <c r="L69" s="215"/>
      <c r="M69" s="30"/>
      <c r="N69" s="30" t="str">
        <f t="shared" si="1"/>
        <v/>
      </c>
      <c r="O69" s="34"/>
      <c r="P69" s="36" t="str">
        <f t="shared" si="2"/>
        <v/>
      </c>
      <c r="Q69" s="216" t="str">
        <f t="shared" si="3"/>
        <v/>
      </c>
      <c r="R69" s="216" t="str">
        <f t="shared" si="4"/>
        <v/>
      </c>
      <c r="S69" s="217" t="str">
        <f t="shared" si="5"/>
        <v/>
      </c>
    </row>
    <row r="70" spans="1:19" ht="15.75" hidden="1" thickBot="1" x14ac:dyDescent="0.3">
      <c r="A70" s="256" t="s">
        <v>26</v>
      </c>
      <c r="B70" s="259" t="str">
        <f>INDEX(Orçamentária!A:B,MATCH(Composições!A70,Orçamentária!A:A,0),2)</f>
        <v>Demolição em concreto armado</v>
      </c>
      <c r="C70" s="40"/>
      <c r="D70" s="25" t="s">
        <v>80</v>
      </c>
      <c r="E70" s="26"/>
      <c r="F70" s="41" t="s">
        <v>416</v>
      </c>
      <c r="G70" s="27" t="str">
        <f t="shared" ref="G70:G133" si="6">IF(ISNUMBER(F70),E70*F70,"")</f>
        <v/>
      </c>
      <c r="H70" s="28"/>
      <c r="I70" s="29"/>
      <c r="J70" s="152">
        <v>0</v>
      </c>
      <c r="L70" s="218"/>
      <c r="M70" s="41"/>
      <c r="N70" s="27" t="str">
        <f t="shared" ref="N70:N133" si="7">IF(ISNUMBER(M70),L70*M70,"")</f>
        <v/>
      </c>
      <c r="O70" s="28"/>
      <c r="P70" s="36" t="str">
        <f t="shared" si="2"/>
        <v/>
      </c>
      <c r="Q70" s="216" t="str">
        <f t="shared" si="3"/>
        <v/>
      </c>
      <c r="R70" s="216" t="str">
        <f t="shared" si="4"/>
        <v/>
      </c>
      <c r="S70" s="217" t="str">
        <f t="shared" si="5"/>
        <v/>
      </c>
    </row>
    <row r="71" spans="1:19" ht="15.75" hidden="1" thickBot="1" x14ac:dyDescent="0.3">
      <c r="A71" s="262"/>
      <c r="B71" s="260"/>
      <c r="C71" s="31"/>
      <c r="D71" s="31"/>
      <c r="E71" s="32"/>
      <c r="F71" s="42" t="s">
        <v>416</v>
      </c>
      <c r="G71" s="30" t="str">
        <f t="shared" si="6"/>
        <v/>
      </c>
      <c r="H71" s="34"/>
      <c r="I71" s="30"/>
      <c r="J71" s="152">
        <v>0</v>
      </c>
      <c r="L71" s="219"/>
      <c r="M71" s="42"/>
      <c r="N71" s="30" t="str">
        <f t="shared" si="7"/>
        <v/>
      </c>
      <c r="O71" s="34"/>
      <c r="P71" s="36" t="str">
        <f t="shared" si="2"/>
        <v/>
      </c>
      <c r="Q71" s="216" t="str">
        <f t="shared" si="3"/>
        <v/>
      </c>
      <c r="R71" s="216" t="str">
        <f t="shared" si="4"/>
        <v/>
      </c>
      <c r="S71" s="217" t="str">
        <f t="shared" si="5"/>
        <v/>
      </c>
    </row>
    <row r="72" spans="1:19" ht="26.25" hidden="1" thickBot="1" x14ac:dyDescent="0.3">
      <c r="A72" s="262"/>
      <c r="B72" s="260"/>
      <c r="C72" s="35" t="s">
        <v>969</v>
      </c>
      <c r="D72" s="35" t="s">
        <v>813</v>
      </c>
      <c r="E72" s="36">
        <v>3.2467999999999999</v>
      </c>
      <c r="F72" s="33">
        <v>24.6525</v>
      </c>
      <c r="G72" s="33">
        <f t="shared" si="6"/>
        <v>80.041736999999998</v>
      </c>
      <c r="H72" s="38">
        <f>SUM(G72:G76)</f>
        <v>270.43004759999997</v>
      </c>
      <c r="I72" s="39"/>
      <c r="J72" s="152">
        <v>0</v>
      </c>
      <c r="L72" s="215">
        <v>3.2467999999999999</v>
      </c>
      <c r="M72" s="33">
        <v>21.102540000000001</v>
      </c>
      <c r="N72" s="33">
        <f t="shared" si="7"/>
        <v>68.515726872000002</v>
      </c>
      <c r="O72" s="38">
        <f>SUM(N72:N76)</f>
        <v>231.48812074559996</v>
      </c>
      <c r="P72" s="36" t="str">
        <f t="shared" ref="P72:P135" si="8">IF(ISBLANK(L72),"",IF($E72&lt;&gt;L72,"SIM",""))</f>
        <v/>
      </c>
      <c r="Q72" s="216">
        <f t="shared" ref="Q72:Q135" si="9">IF(M72="","",1-M72/$F72)</f>
        <v>0.14399999999999991</v>
      </c>
      <c r="R72" s="216">
        <f t="shared" ref="R72:R135" si="10">IF(N72="","",1-N72/$G72)</f>
        <v>0.14399999999999991</v>
      </c>
      <c r="S72" s="217">
        <f t="shared" ref="S72:S135" si="11">IF(O72="","",1-O72/$H72)</f>
        <v>0.14400000000000002</v>
      </c>
    </row>
    <row r="73" spans="1:19" ht="26.25" hidden="1" thickBot="1" x14ac:dyDescent="0.3">
      <c r="A73" s="262"/>
      <c r="B73" s="260"/>
      <c r="C73" s="35" t="s">
        <v>970</v>
      </c>
      <c r="D73" s="35" t="s">
        <v>815</v>
      </c>
      <c r="E73" s="36">
        <v>0.92020000000000002</v>
      </c>
      <c r="F73" s="33">
        <v>23.008999999999997</v>
      </c>
      <c r="G73" s="33">
        <f t="shared" si="6"/>
        <v>21.172881799999999</v>
      </c>
      <c r="H73" s="34"/>
      <c r="I73" s="30"/>
      <c r="J73" s="152">
        <v>0</v>
      </c>
      <c r="L73" s="215">
        <v>0.92020000000000002</v>
      </c>
      <c r="M73" s="33">
        <v>19.695703999999999</v>
      </c>
      <c r="N73" s="33">
        <f t="shared" si="7"/>
        <v>18.123986820799999</v>
      </c>
      <c r="O73" s="34"/>
      <c r="P73" s="36" t="str">
        <f t="shared" si="8"/>
        <v/>
      </c>
      <c r="Q73" s="216">
        <f t="shared" si="9"/>
        <v>0.14399999999999991</v>
      </c>
      <c r="R73" s="216">
        <f t="shared" si="10"/>
        <v>0.14400000000000002</v>
      </c>
      <c r="S73" s="217" t="str">
        <f t="shared" si="11"/>
        <v/>
      </c>
    </row>
    <row r="74" spans="1:19" ht="26.25" hidden="1" thickBot="1" x14ac:dyDescent="0.3">
      <c r="A74" s="262"/>
      <c r="B74" s="260"/>
      <c r="C74" s="35" t="s">
        <v>27</v>
      </c>
      <c r="D74" s="35" t="s">
        <v>773</v>
      </c>
      <c r="E74" s="36">
        <v>0.28349999999999997</v>
      </c>
      <c r="F74" s="33">
        <v>66.566499999999991</v>
      </c>
      <c r="G74" s="30">
        <f t="shared" si="6"/>
        <v>18.871602749999994</v>
      </c>
      <c r="H74" s="34"/>
      <c r="I74" s="30"/>
      <c r="J74" s="152">
        <v>0</v>
      </c>
      <c r="L74" s="215">
        <v>0.28349999999999997</v>
      </c>
      <c r="M74" s="33">
        <v>56.980923999999995</v>
      </c>
      <c r="N74" s="30">
        <f t="shared" si="7"/>
        <v>16.154091953999998</v>
      </c>
      <c r="O74" s="34"/>
      <c r="P74" s="36" t="str">
        <f t="shared" si="8"/>
        <v/>
      </c>
      <c r="Q74" s="216">
        <f t="shared" si="9"/>
        <v>0.14400000000000002</v>
      </c>
      <c r="R74" s="216">
        <f t="shared" si="10"/>
        <v>0.14399999999999979</v>
      </c>
      <c r="S74" s="217" t="str">
        <f t="shared" si="11"/>
        <v/>
      </c>
    </row>
    <row r="75" spans="1:19" ht="15.75" hidden="1" thickBot="1" x14ac:dyDescent="0.3">
      <c r="A75" s="262"/>
      <c r="B75" s="260"/>
      <c r="C75" s="35" t="s">
        <v>591</v>
      </c>
      <c r="D75" s="35" t="s">
        <v>583</v>
      </c>
      <c r="E75" s="36">
        <v>0.63660000000000005</v>
      </c>
      <c r="F75" s="30">
        <v>27.160499999999999</v>
      </c>
      <c r="G75" s="33">
        <f t="shared" si="6"/>
        <v>17.2903743</v>
      </c>
      <c r="H75" s="34"/>
      <c r="I75" s="30"/>
      <c r="J75" s="152">
        <v>0</v>
      </c>
      <c r="L75" s="215">
        <v>0.63660000000000005</v>
      </c>
      <c r="M75" s="30">
        <v>23.249388</v>
      </c>
      <c r="N75" s="33">
        <f t="shared" si="7"/>
        <v>14.8005604008</v>
      </c>
      <c r="O75" s="34"/>
      <c r="P75" s="36" t="str">
        <f t="shared" si="8"/>
        <v/>
      </c>
      <c r="Q75" s="216">
        <f t="shared" si="9"/>
        <v>0.14400000000000002</v>
      </c>
      <c r="R75" s="216">
        <f t="shared" si="10"/>
        <v>0.14400000000000002</v>
      </c>
      <c r="S75" s="217" t="str">
        <f t="shared" si="11"/>
        <v/>
      </c>
    </row>
    <row r="76" spans="1:19" ht="15.75" hidden="1" thickBot="1" x14ac:dyDescent="0.3">
      <c r="A76" s="262"/>
      <c r="B76" s="260"/>
      <c r="C76" s="35" t="s">
        <v>584</v>
      </c>
      <c r="D76" s="35" t="s">
        <v>583</v>
      </c>
      <c r="E76" s="36">
        <v>6.5785</v>
      </c>
      <c r="F76" s="30">
        <v>20.225499999999997</v>
      </c>
      <c r="G76" s="33">
        <f t="shared" si="6"/>
        <v>133.05345174999997</v>
      </c>
      <c r="H76" s="34"/>
      <c r="I76" s="30"/>
      <c r="J76" s="152">
        <v>0</v>
      </c>
      <c r="L76" s="215">
        <v>6.5785</v>
      </c>
      <c r="M76" s="30">
        <v>17.313027999999996</v>
      </c>
      <c r="N76" s="33">
        <f t="shared" si="7"/>
        <v>113.89375469799997</v>
      </c>
      <c r="O76" s="34"/>
      <c r="P76" s="36" t="str">
        <f t="shared" si="8"/>
        <v/>
      </c>
      <c r="Q76" s="216">
        <f t="shared" si="9"/>
        <v>0.14400000000000013</v>
      </c>
      <c r="R76" s="216">
        <f t="shared" si="10"/>
        <v>0.14400000000000002</v>
      </c>
      <c r="S76" s="217" t="str">
        <f t="shared" si="11"/>
        <v/>
      </c>
    </row>
    <row r="77" spans="1:19" ht="15.75" hidden="1" thickBot="1" x14ac:dyDescent="0.3">
      <c r="A77" s="263"/>
      <c r="B77" s="261"/>
      <c r="C77" s="35"/>
      <c r="D77" s="35"/>
      <c r="E77" s="36"/>
      <c r="F77" s="30" t="s">
        <v>416</v>
      </c>
      <c r="G77" s="30" t="str">
        <f t="shared" si="6"/>
        <v/>
      </c>
      <c r="H77" s="34"/>
      <c r="I77" s="30"/>
      <c r="J77" s="152">
        <v>0</v>
      </c>
      <c r="L77" s="215"/>
      <c r="M77" s="30"/>
      <c r="N77" s="30" t="str">
        <f t="shared" si="7"/>
        <v/>
      </c>
      <c r="O77" s="34"/>
      <c r="P77" s="36" t="str">
        <f t="shared" si="8"/>
        <v/>
      </c>
      <c r="Q77" s="216" t="str">
        <f t="shared" si="9"/>
        <v/>
      </c>
      <c r="R77" s="216" t="str">
        <f t="shared" si="10"/>
        <v/>
      </c>
      <c r="S77" s="217" t="str">
        <f t="shared" si="11"/>
        <v/>
      </c>
    </row>
    <row r="78" spans="1:19" ht="15.75" hidden="1" thickBot="1" x14ac:dyDescent="0.3">
      <c r="A78" s="267" t="s">
        <v>29</v>
      </c>
      <c r="B78" s="259" t="str">
        <f>INDEX(Orçamentária!A:B,MATCH(Composições!A78,Orçamentária!A:A,0),2)</f>
        <v>Remoção de armários</v>
      </c>
      <c r="C78" s="40"/>
      <c r="D78" s="25" t="s">
        <v>70</v>
      </c>
      <c r="E78" s="26"/>
      <c r="F78" s="41" t="s">
        <v>416</v>
      </c>
      <c r="G78" s="27" t="str">
        <f t="shared" si="6"/>
        <v/>
      </c>
      <c r="H78" s="28"/>
      <c r="I78" s="29"/>
      <c r="J78" s="152">
        <v>0</v>
      </c>
      <c r="L78" s="218"/>
      <c r="M78" s="41"/>
      <c r="N78" s="27" t="str">
        <f t="shared" si="7"/>
        <v/>
      </c>
      <c r="O78" s="28"/>
      <c r="P78" s="36" t="str">
        <f t="shared" si="8"/>
        <v/>
      </c>
      <c r="Q78" s="216" t="str">
        <f t="shared" si="9"/>
        <v/>
      </c>
      <c r="R78" s="216" t="str">
        <f t="shared" si="10"/>
        <v/>
      </c>
      <c r="S78" s="217" t="str">
        <f t="shared" si="11"/>
        <v/>
      </c>
    </row>
    <row r="79" spans="1:19" ht="15.75" hidden="1" thickBot="1" x14ac:dyDescent="0.3">
      <c r="A79" s="268"/>
      <c r="B79" s="260"/>
      <c r="C79" s="31"/>
      <c r="D79" s="31"/>
      <c r="E79" s="32"/>
      <c r="F79" s="42" t="s">
        <v>416</v>
      </c>
      <c r="G79" s="30" t="str">
        <f t="shared" si="6"/>
        <v/>
      </c>
      <c r="H79" s="34"/>
      <c r="I79" s="30"/>
      <c r="J79" s="152">
        <v>0</v>
      </c>
      <c r="L79" s="219"/>
      <c r="M79" s="42"/>
      <c r="N79" s="30" t="str">
        <f t="shared" si="7"/>
        <v/>
      </c>
      <c r="O79" s="34"/>
      <c r="P79" s="36" t="str">
        <f t="shared" si="8"/>
        <v/>
      </c>
      <c r="Q79" s="216" t="str">
        <f t="shared" si="9"/>
        <v/>
      </c>
      <c r="R79" s="216" t="str">
        <f t="shared" si="10"/>
        <v/>
      </c>
      <c r="S79" s="217" t="str">
        <f t="shared" si="11"/>
        <v/>
      </c>
    </row>
    <row r="80" spans="1:19" ht="15.75" hidden="1" thickBot="1" x14ac:dyDescent="0.3">
      <c r="A80" s="268"/>
      <c r="B80" s="260"/>
      <c r="C80" s="35" t="s">
        <v>582</v>
      </c>
      <c r="D80" s="35" t="s">
        <v>583</v>
      </c>
      <c r="E80" s="36">
        <v>0.35</v>
      </c>
      <c r="F80" s="30">
        <v>25.725999999999996</v>
      </c>
      <c r="G80" s="33">
        <f t="shared" si="6"/>
        <v>9.0040999999999976</v>
      </c>
      <c r="H80" s="38">
        <f>SUM(G80:G81)</f>
        <v>16.083024999999996</v>
      </c>
      <c r="I80" s="39"/>
      <c r="J80" s="152">
        <v>0</v>
      </c>
      <c r="L80" s="215">
        <v>0.35</v>
      </c>
      <c r="M80" s="30">
        <v>22.021455999999997</v>
      </c>
      <c r="N80" s="33">
        <f t="shared" si="7"/>
        <v>7.7075095999999981</v>
      </c>
      <c r="O80" s="38">
        <f>SUM(N80:N81)</f>
        <v>13.767069399999997</v>
      </c>
      <c r="P80" s="36" t="str">
        <f t="shared" si="8"/>
        <v/>
      </c>
      <c r="Q80" s="216">
        <f t="shared" si="9"/>
        <v>0.14400000000000002</v>
      </c>
      <c r="R80" s="216">
        <f t="shared" si="10"/>
        <v>0.14400000000000002</v>
      </c>
      <c r="S80" s="217">
        <f t="shared" si="11"/>
        <v>0.14400000000000002</v>
      </c>
    </row>
    <row r="81" spans="1:19" ht="15.75" hidden="1" thickBot="1" x14ac:dyDescent="0.3">
      <c r="A81" s="268"/>
      <c r="B81" s="260"/>
      <c r="C81" s="35" t="s">
        <v>584</v>
      </c>
      <c r="D81" s="35" t="s">
        <v>583</v>
      </c>
      <c r="E81" s="36">
        <v>0.35</v>
      </c>
      <c r="F81" s="30">
        <v>20.225499999999997</v>
      </c>
      <c r="G81" s="33">
        <f t="shared" si="6"/>
        <v>7.0789249999999981</v>
      </c>
      <c r="H81" s="44"/>
      <c r="I81" s="45"/>
      <c r="J81" s="152">
        <v>0</v>
      </c>
      <c r="L81" s="215">
        <v>0.35</v>
      </c>
      <c r="M81" s="30">
        <v>17.313027999999996</v>
      </c>
      <c r="N81" s="33">
        <f t="shared" si="7"/>
        <v>6.0595597999999979</v>
      </c>
      <c r="O81" s="44"/>
      <c r="P81" s="36" t="str">
        <f t="shared" si="8"/>
        <v/>
      </c>
      <c r="Q81" s="216">
        <f t="shared" si="9"/>
        <v>0.14400000000000013</v>
      </c>
      <c r="R81" s="216">
        <f t="shared" si="10"/>
        <v>0.14400000000000002</v>
      </c>
      <c r="S81" s="217" t="str">
        <f t="shared" si="11"/>
        <v/>
      </c>
    </row>
    <row r="82" spans="1:19" ht="15.75" hidden="1" thickBot="1" x14ac:dyDescent="0.3">
      <c r="A82" s="268"/>
      <c r="B82" s="260"/>
      <c r="C82" s="35"/>
      <c r="D82" s="35"/>
      <c r="E82" s="36"/>
      <c r="F82" s="30" t="s">
        <v>416</v>
      </c>
      <c r="G82" s="30" t="str">
        <f t="shared" si="6"/>
        <v/>
      </c>
      <c r="H82" s="34"/>
      <c r="I82" s="30"/>
      <c r="J82" s="152">
        <v>0</v>
      </c>
      <c r="L82" s="215"/>
      <c r="M82" s="30"/>
      <c r="N82" s="30" t="str">
        <f t="shared" si="7"/>
        <v/>
      </c>
      <c r="O82" s="34"/>
      <c r="P82" s="36" t="str">
        <f t="shared" si="8"/>
        <v/>
      </c>
      <c r="Q82" s="216" t="str">
        <f t="shared" si="9"/>
        <v/>
      </c>
      <c r="R82" s="216" t="str">
        <f t="shared" si="10"/>
        <v/>
      </c>
      <c r="S82" s="217" t="str">
        <f t="shared" si="11"/>
        <v/>
      </c>
    </row>
    <row r="83" spans="1:19" ht="15.75" hidden="1" thickBot="1" x14ac:dyDescent="0.3">
      <c r="A83" s="256" t="s">
        <v>30</v>
      </c>
      <c r="B83" s="259" t="str">
        <f>INDEX(Orçamentária!A:B,MATCH(Composições!A83,Orçamentária!A:A,0),2)</f>
        <v>Remoção de bancadas</v>
      </c>
      <c r="C83" s="40"/>
      <c r="D83" s="25" t="s">
        <v>70</v>
      </c>
      <c r="E83" s="26"/>
      <c r="F83" s="41" t="s">
        <v>416</v>
      </c>
      <c r="G83" s="27" t="str">
        <f t="shared" si="6"/>
        <v/>
      </c>
      <c r="H83" s="28"/>
      <c r="I83" s="29"/>
      <c r="J83" s="152">
        <v>0</v>
      </c>
      <c r="L83" s="218"/>
      <c r="M83" s="41"/>
      <c r="N83" s="27" t="str">
        <f t="shared" si="7"/>
        <v/>
      </c>
      <c r="O83" s="28"/>
      <c r="P83" s="36" t="str">
        <f t="shared" si="8"/>
        <v/>
      </c>
      <c r="Q83" s="216" t="str">
        <f t="shared" si="9"/>
        <v/>
      </c>
      <c r="R83" s="216" t="str">
        <f t="shared" si="10"/>
        <v/>
      </c>
      <c r="S83" s="217" t="str">
        <f t="shared" si="11"/>
        <v/>
      </c>
    </row>
    <row r="84" spans="1:19" ht="15.75" hidden="1" thickBot="1" x14ac:dyDescent="0.3">
      <c r="A84" s="262"/>
      <c r="B84" s="260"/>
      <c r="C84" s="31"/>
      <c r="D84" s="31"/>
      <c r="E84" s="32"/>
      <c r="F84" s="42" t="s">
        <v>416</v>
      </c>
      <c r="G84" s="30" t="str">
        <f t="shared" si="6"/>
        <v/>
      </c>
      <c r="H84" s="34"/>
      <c r="I84" s="30"/>
      <c r="J84" s="152">
        <v>0</v>
      </c>
      <c r="L84" s="219"/>
      <c r="M84" s="42"/>
      <c r="N84" s="30" t="str">
        <f t="shared" si="7"/>
        <v/>
      </c>
      <c r="O84" s="34"/>
      <c r="P84" s="36" t="str">
        <f t="shared" si="8"/>
        <v/>
      </c>
      <c r="Q84" s="216" t="str">
        <f t="shared" si="9"/>
        <v/>
      </c>
      <c r="R84" s="216" t="str">
        <f t="shared" si="10"/>
        <v/>
      </c>
      <c r="S84" s="217" t="str">
        <f t="shared" si="11"/>
        <v/>
      </c>
    </row>
    <row r="85" spans="1:19" ht="15.75" hidden="1" thickBot="1" x14ac:dyDescent="0.3">
      <c r="A85" s="262"/>
      <c r="B85" s="260"/>
      <c r="C85" s="35" t="s">
        <v>591</v>
      </c>
      <c r="D85" s="35" t="s">
        <v>583</v>
      </c>
      <c r="E85" s="36">
        <v>0.15</v>
      </c>
      <c r="F85" s="30">
        <v>27.160499999999999</v>
      </c>
      <c r="G85" s="33">
        <f t="shared" si="6"/>
        <v>4.0740749999999997</v>
      </c>
      <c r="H85" s="38">
        <f>SUM(G85:G86)</f>
        <v>24.299574999999997</v>
      </c>
      <c r="I85" s="39"/>
      <c r="J85" s="152">
        <v>0</v>
      </c>
      <c r="L85" s="215">
        <v>0.15</v>
      </c>
      <c r="M85" s="30">
        <v>23.249388</v>
      </c>
      <c r="N85" s="33">
        <f t="shared" si="7"/>
        <v>3.4874082</v>
      </c>
      <c r="O85" s="38">
        <f>SUM(N85:N86)</f>
        <v>20.800436199999996</v>
      </c>
      <c r="P85" s="36" t="str">
        <f t="shared" si="8"/>
        <v/>
      </c>
      <c r="Q85" s="216">
        <f t="shared" si="9"/>
        <v>0.14400000000000002</v>
      </c>
      <c r="R85" s="216">
        <f t="shared" si="10"/>
        <v>0.14399999999999991</v>
      </c>
      <c r="S85" s="217">
        <f t="shared" si="11"/>
        <v>0.14400000000000002</v>
      </c>
    </row>
    <row r="86" spans="1:19" ht="15.75" hidden="1" thickBot="1" x14ac:dyDescent="0.3">
      <c r="A86" s="262"/>
      <c r="B86" s="260"/>
      <c r="C86" s="35" t="s">
        <v>584</v>
      </c>
      <c r="D86" s="35" t="s">
        <v>583</v>
      </c>
      <c r="E86" s="36">
        <v>1</v>
      </c>
      <c r="F86" s="30">
        <v>20.225499999999997</v>
      </c>
      <c r="G86" s="33">
        <f t="shared" si="6"/>
        <v>20.225499999999997</v>
      </c>
      <c r="H86" s="34"/>
      <c r="I86" s="30"/>
      <c r="J86" s="152">
        <v>0</v>
      </c>
      <c r="L86" s="215">
        <v>1</v>
      </c>
      <c r="M86" s="30">
        <v>17.313027999999996</v>
      </c>
      <c r="N86" s="33">
        <f t="shared" si="7"/>
        <v>17.313027999999996</v>
      </c>
      <c r="O86" s="34"/>
      <c r="P86" s="36" t="str">
        <f t="shared" si="8"/>
        <v/>
      </c>
      <c r="Q86" s="216">
        <f t="shared" si="9"/>
        <v>0.14400000000000013</v>
      </c>
      <c r="R86" s="216">
        <f t="shared" si="10"/>
        <v>0.14400000000000013</v>
      </c>
      <c r="S86" s="217" t="str">
        <f t="shared" si="11"/>
        <v/>
      </c>
    </row>
    <row r="87" spans="1:19" ht="15.75" hidden="1" thickBot="1" x14ac:dyDescent="0.3">
      <c r="A87" s="263"/>
      <c r="B87" s="261"/>
      <c r="C87" s="35"/>
      <c r="D87" s="35"/>
      <c r="E87" s="36"/>
      <c r="F87" s="30" t="s">
        <v>416</v>
      </c>
      <c r="G87" s="30" t="str">
        <f t="shared" si="6"/>
        <v/>
      </c>
      <c r="H87" s="34"/>
      <c r="I87" s="30"/>
      <c r="J87" s="152">
        <v>0</v>
      </c>
      <c r="L87" s="215"/>
      <c r="M87" s="30"/>
      <c r="N87" s="30" t="str">
        <f t="shared" si="7"/>
        <v/>
      </c>
      <c r="O87" s="34"/>
      <c r="P87" s="36" t="str">
        <f t="shared" si="8"/>
        <v/>
      </c>
      <c r="Q87" s="216" t="str">
        <f t="shared" si="9"/>
        <v/>
      </c>
      <c r="R87" s="216" t="str">
        <f t="shared" si="10"/>
        <v/>
      </c>
      <c r="S87" s="217" t="str">
        <f t="shared" si="11"/>
        <v/>
      </c>
    </row>
    <row r="88" spans="1:19" ht="15.75" hidden="1" thickBot="1" x14ac:dyDescent="0.3">
      <c r="A88" s="256" t="s">
        <v>31</v>
      </c>
      <c r="B88" s="259" t="str">
        <f>INDEX(Orçamentária!A:B,MATCH(Composições!A88,Orçamentária!A:A,0),2)</f>
        <v>Remoção de batentes de madeira</v>
      </c>
      <c r="C88" s="40"/>
      <c r="D88" s="25" t="s">
        <v>16</v>
      </c>
      <c r="E88" s="26"/>
      <c r="F88" s="41" t="s">
        <v>416</v>
      </c>
      <c r="G88" s="27" t="str">
        <f t="shared" si="6"/>
        <v/>
      </c>
      <c r="H88" s="28"/>
      <c r="I88" s="29"/>
      <c r="J88" s="152">
        <v>0</v>
      </c>
      <c r="L88" s="218"/>
      <c r="M88" s="41"/>
      <c r="N88" s="27" t="str">
        <f t="shared" si="7"/>
        <v/>
      </c>
      <c r="O88" s="28"/>
      <c r="P88" s="36" t="str">
        <f t="shared" si="8"/>
        <v/>
      </c>
      <c r="Q88" s="216" t="str">
        <f t="shared" si="9"/>
        <v/>
      </c>
      <c r="R88" s="216" t="str">
        <f t="shared" si="10"/>
        <v/>
      </c>
      <c r="S88" s="217" t="str">
        <f t="shared" si="11"/>
        <v/>
      </c>
    </row>
    <row r="89" spans="1:19" ht="15.75" hidden="1" thickBot="1" x14ac:dyDescent="0.3">
      <c r="A89" s="262"/>
      <c r="B89" s="260"/>
      <c r="C89" s="31"/>
      <c r="D89" s="31"/>
      <c r="E89" s="32"/>
      <c r="F89" s="42" t="s">
        <v>416</v>
      </c>
      <c r="G89" s="30" t="str">
        <f t="shared" si="6"/>
        <v/>
      </c>
      <c r="H89" s="34"/>
      <c r="I89" s="30"/>
      <c r="J89" s="152">
        <v>0</v>
      </c>
      <c r="L89" s="219"/>
      <c r="M89" s="42"/>
      <c r="N89" s="30" t="str">
        <f t="shared" si="7"/>
        <v/>
      </c>
      <c r="O89" s="34"/>
      <c r="P89" s="36" t="str">
        <f t="shared" si="8"/>
        <v/>
      </c>
      <c r="Q89" s="216" t="str">
        <f t="shared" si="9"/>
        <v/>
      </c>
      <c r="R89" s="216" t="str">
        <f t="shared" si="10"/>
        <v/>
      </c>
      <c r="S89" s="217" t="str">
        <f t="shared" si="11"/>
        <v/>
      </c>
    </row>
    <row r="90" spans="1:19" ht="15.75" hidden="1" thickBot="1" x14ac:dyDescent="0.3">
      <c r="A90" s="262"/>
      <c r="B90" s="260"/>
      <c r="C90" s="35" t="s">
        <v>591</v>
      </c>
      <c r="D90" s="35" t="s">
        <v>583</v>
      </c>
      <c r="E90" s="36">
        <f>0.08/2</f>
        <v>0.04</v>
      </c>
      <c r="F90" s="30">
        <v>27.160499999999999</v>
      </c>
      <c r="G90" s="33">
        <f t="shared" si="6"/>
        <v>1.0864199999999999</v>
      </c>
      <c r="H90" s="38">
        <f>SUM(G90:G91)</f>
        <v>9.1766199999999998</v>
      </c>
      <c r="I90" s="39"/>
      <c r="J90" s="152">
        <v>0</v>
      </c>
      <c r="L90" s="215">
        <v>0.04</v>
      </c>
      <c r="M90" s="30">
        <v>23.249388</v>
      </c>
      <c r="N90" s="33">
        <f t="shared" si="7"/>
        <v>0.92997552000000006</v>
      </c>
      <c r="O90" s="38">
        <f>SUM(N90:N91)</f>
        <v>7.855186719999999</v>
      </c>
      <c r="P90" s="36" t="str">
        <f t="shared" si="8"/>
        <v/>
      </c>
      <c r="Q90" s="216">
        <f t="shared" si="9"/>
        <v>0.14400000000000002</v>
      </c>
      <c r="R90" s="216">
        <f t="shared" si="10"/>
        <v>0.14399999999999991</v>
      </c>
      <c r="S90" s="217">
        <f t="shared" si="11"/>
        <v>0.14400000000000013</v>
      </c>
    </row>
    <row r="91" spans="1:19" ht="15.75" hidden="1" thickBot="1" x14ac:dyDescent="0.3">
      <c r="A91" s="262"/>
      <c r="B91" s="260"/>
      <c r="C91" s="35" t="s">
        <v>584</v>
      </c>
      <c r="D91" s="35" t="s">
        <v>583</v>
      </c>
      <c r="E91" s="36">
        <f>0.8/2</f>
        <v>0.4</v>
      </c>
      <c r="F91" s="30">
        <v>20.225499999999997</v>
      </c>
      <c r="G91" s="33">
        <f t="shared" si="6"/>
        <v>8.0901999999999994</v>
      </c>
      <c r="H91" s="34"/>
      <c r="I91" s="30"/>
      <c r="J91" s="152">
        <v>0</v>
      </c>
      <c r="L91" s="215">
        <v>0.4</v>
      </c>
      <c r="M91" s="30">
        <v>17.313027999999996</v>
      </c>
      <c r="N91" s="33">
        <f t="shared" si="7"/>
        <v>6.9252111999999988</v>
      </c>
      <c r="O91" s="34"/>
      <c r="P91" s="36" t="str">
        <f t="shared" si="8"/>
        <v/>
      </c>
      <c r="Q91" s="216">
        <f t="shared" si="9"/>
        <v>0.14400000000000013</v>
      </c>
      <c r="R91" s="216">
        <f t="shared" si="10"/>
        <v>0.14400000000000013</v>
      </c>
      <c r="S91" s="217" t="str">
        <f t="shared" si="11"/>
        <v/>
      </c>
    </row>
    <row r="92" spans="1:19" ht="15.75" hidden="1" thickBot="1" x14ac:dyDescent="0.3">
      <c r="A92" s="262"/>
      <c r="B92" s="260"/>
      <c r="C92" s="35"/>
      <c r="D92" s="35"/>
      <c r="E92" s="36"/>
      <c r="F92" s="33" t="s">
        <v>416</v>
      </c>
      <c r="G92" s="33" t="str">
        <f t="shared" si="6"/>
        <v/>
      </c>
      <c r="H92" s="34"/>
      <c r="I92" s="30"/>
      <c r="J92" s="152">
        <v>0</v>
      </c>
      <c r="L92" s="215"/>
      <c r="M92" s="33"/>
      <c r="N92" s="33" t="str">
        <f t="shared" si="7"/>
        <v/>
      </c>
      <c r="O92" s="34"/>
      <c r="P92" s="36" t="str">
        <f t="shared" si="8"/>
        <v/>
      </c>
      <c r="Q92" s="216" t="str">
        <f t="shared" si="9"/>
        <v/>
      </c>
      <c r="R92" s="216" t="str">
        <f t="shared" si="10"/>
        <v/>
      </c>
      <c r="S92" s="217" t="str">
        <f t="shared" si="11"/>
        <v/>
      </c>
    </row>
    <row r="93" spans="1:19" ht="15.75" hidden="1" thickBot="1" x14ac:dyDescent="0.3">
      <c r="A93" s="256" t="s">
        <v>32</v>
      </c>
      <c r="B93" s="259" t="str">
        <f>INDEX(Orçamentária!A:B,MATCH(Composições!A93,Orçamentária!A:A,0),2)</f>
        <v>Remoção de canaleta em alumínio</v>
      </c>
      <c r="C93" s="40"/>
      <c r="D93" s="25" t="s">
        <v>69</v>
      </c>
      <c r="E93" s="26"/>
      <c r="F93" s="41" t="s">
        <v>416</v>
      </c>
      <c r="G93" s="27" t="str">
        <f t="shared" si="6"/>
        <v/>
      </c>
      <c r="H93" s="28"/>
      <c r="I93" s="29"/>
      <c r="J93" s="152">
        <v>0</v>
      </c>
      <c r="L93" s="218"/>
      <c r="M93" s="41"/>
      <c r="N93" s="27" t="str">
        <f t="shared" si="7"/>
        <v/>
      </c>
      <c r="O93" s="28"/>
      <c r="P93" s="36" t="str">
        <f t="shared" si="8"/>
        <v/>
      </c>
      <c r="Q93" s="216" t="str">
        <f t="shared" si="9"/>
        <v/>
      </c>
      <c r="R93" s="216" t="str">
        <f t="shared" si="10"/>
        <v/>
      </c>
      <c r="S93" s="217" t="str">
        <f t="shared" si="11"/>
        <v/>
      </c>
    </row>
    <row r="94" spans="1:19" ht="15.75" hidden="1" thickBot="1" x14ac:dyDescent="0.3">
      <c r="A94" s="262"/>
      <c r="B94" s="260"/>
      <c r="C94" s="31"/>
      <c r="D94" s="31"/>
      <c r="E94" s="32"/>
      <c r="F94" s="42" t="s">
        <v>416</v>
      </c>
      <c r="G94" s="30" t="str">
        <f t="shared" si="6"/>
        <v/>
      </c>
      <c r="H94" s="34"/>
      <c r="I94" s="30"/>
      <c r="J94" s="152">
        <v>0</v>
      </c>
      <c r="L94" s="219"/>
      <c r="M94" s="42"/>
      <c r="N94" s="30" t="str">
        <f t="shared" si="7"/>
        <v/>
      </c>
      <c r="O94" s="34"/>
      <c r="P94" s="36" t="str">
        <f t="shared" si="8"/>
        <v/>
      </c>
      <c r="Q94" s="216" t="str">
        <f t="shared" si="9"/>
        <v/>
      </c>
      <c r="R94" s="216" t="str">
        <f t="shared" si="10"/>
        <v/>
      </c>
      <c r="S94" s="217" t="str">
        <f t="shared" si="11"/>
        <v/>
      </c>
    </row>
    <row r="95" spans="1:19" ht="15.75" hidden="1" thickBot="1" x14ac:dyDescent="0.3">
      <c r="A95" s="262"/>
      <c r="B95" s="260"/>
      <c r="C95" s="35" t="s">
        <v>1018</v>
      </c>
      <c r="D95" s="35" t="s">
        <v>583</v>
      </c>
      <c r="E95" s="36">
        <f>0.75*0.1</f>
        <v>7.5000000000000011E-2</v>
      </c>
      <c r="F95" s="30">
        <v>27.835000000000001</v>
      </c>
      <c r="G95" s="33">
        <f t="shared" si="6"/>
        <v>2.0876250000000005</v>
      </c>
      <c r="H95" s="38">
        <f>SUM(G95:G96)</f>
        <v>5.1214500000000003</v>
      </c>
      <c r="I95" s="39"/>
      <c r="J95" s="152">
        <v>0</v>
      </c>
      <c r="L95" s="215">
        <v>7.5000000000000011E-2</v>
      </c>
      <c r="M95" s="30">
        <v>23.82676</v>
      </c>
      <c r="N95" s="33">
        <f t="shared" si="7"/>
        <v>1.7870070000000002</v>
      </c>
      <c r="O95" s="38">
        <f>SUM(N95:N96)</f>
        <v>4.3839611999999999</v>
      </c>
      <c r="P95" s="36" t="str">
        <f t="shared" si="8"/>
        <v/>
      </c>
      <c r="Q95" s="216">
        <f t="shared" si="9"/>
        <v>0.14400000000000002</v>
      </c>
      <c r="R95" s="216">
        <f t="shared" si="10"/>
        <v>0.14400000000000013</v>
      </c>
      <c r="S95" s="217">
        <f t="shared" si="11"/>
        <v>0.14400000000000002</v>
      </c>
    </row>
    <row r="96" spans="1:19" ht="15.75" hidden="1" thickBot="1" x14ac:dyDescent="0.3">
      <c r="A96" s="262"/>
      <c r="B96" s="260"/>
      <c r="C96" s="35" t="s">
        <v>584</v>
      </c>
      <c r="D96" s="35" t="s">
        <v>583</v>
      </c>
      <c r="E96" s="36">
        <f>0.75*0.2</f>
        <v>0.15000000000000002</v>
      </c>
      <c r="F96" s="30">
        <v>20.225499999999997</v>
      </c>
      <c r="G96" s="33">
        <f t="shared" si="6"/>
        <v>3.0338249999999998</v>
      </c>
      <c r="H96" s="34"/>
      <c r="I96" s="30"/>
      <c r="J96" s="152">
        <v>0</v>
      </c>
      <c r="L96" s="215">
        <v>0.15000000000000002</v>
      </c>
      <c r="M96" s="30">
        <v>17.313027999999996</v>
      </c>
      <c r="N96" s="33">
        <f t="shared" si="7"/>
        <v>2.5969541999999999</v>
      </c>
      <c r="O96" s="34"/>
      <c r="P96" s="36" t="str">
        <f t="shared" si="8"/>
        <v/>
      </c>
      <c r="Q96" s="216">
        <f t="shared" si="9"/>
        <v>0.14400000000000013</v>
      </c>
      <c r="R96" s="216">
        <f t="shared" si="10"/>
        <v>0.14400000000000002</v>
      </c>
      <c r="S96" s="217" t="str">
        <f t="shared" si="11"/>
        <v/>
      </c>
    </row>
    <row r="97" spans="1:19" ht="15.75" hidden="1" thickBot="1" x14ac:dyDescent="0.3">
      <c r="A97" s="263"/>
      <c r="B97" s="261"/>
      <c r="C97" s="35"/>
      <c r="D97" s="35"/>
      <c r="E97" s="36"/>
      <c r="F97" s="30" t="s">
        <v>416</v>
      </c>
      <c r="G97" s="30" t="str">
        <f t="shared" si="6"/>
        <v/>
      </c>
      <c r="H97" s="34"/>
      <c r="I97" s="30"/>
      <c r="J97" s="152">
        <v>0</v>
      </c>
      <c r="L97" s="215"/>
      <c r="M97" s="30"/>
      <c r="N97" s="30" t="str">
        <f t="shared" si="7"/>
        <v/>
      </c>
      <c r="O97" s="34"/>
      <c r="P97" s="36" t="str">
        <f t="shared" si="8"/>
        <v/>
      </c>
      <c r="Q97" s="216" t="str">
        <f t="shared" si="9"/>
        <v/>
      </c>
      <c r="R97" s="216" t="str">
        <f t="shared" si="10"/>
        <v/>
      </c>
      <c r="S97" s="217" t="str">
        <f t="shared" si="11"/>
        <v/>
      </c>
    </row>
    <row r="98" spans="1:19" ht="15.75" hidden="1" thickBot="1" x14ac:dyDescent="0.3">
      <c r="A98" s="256" t="s">
        <v>33</v>
      </c>
      <c r="B98" s="259" t="str">
        <f>INDEX(Orçamentária!A:B,MATCH(Composições!A98,Orçamentária!A:A,0),2)</f>
        <v>Remoção de carpete</v>
      </c>
      <c r="C98" s="40"/>
      <c r="D98" s="25" t="s">
        <v>70</v>
      </c>
      <c r="E98" s="26"/>
      <c r="F98" s="41" t="s">
        <v>416</v>
      </c>
      <c r="G98" s="27" t="str">
        <f t="shared" si="6"/>
        <v/>
      </c>
      <c r="H98" s="28"/>
      <c r="I98" s="29"/>
      <c r="J98" s="152">
        <v>0</v>
      </c>
      <c r="L98" s="218"/>
      <c r="M98" s="41"/>
      <c r="N98" s="27" t="str">
        <f t="shared" si="7"/>
        <v/>
      </c>
      <c r="O98" s="28"/>
      <c r="P98" s="36" t="str">
        <f t="shared" si="8"/>
        <v/>
      </c>
      <c r="Q98" s="216" t="str">
        <f t="shared" si="9"/>
        <v/>
      </c>
      <c r="R98" s="216" t="str">
        <f t="shared" si="10"/>
        <v/>
      </c>
      <c r="S98" s="217" t="str">
        <f t="shared" si="11"/>
        <v/>
      </c>
    </row>
    <row r="99" spans="1:19" ht="15.75" hidden="1" thickBot="1" x14ac:dyDescent="0.3">
      <c r="A99" s="262"/>
      <c r="B99" s="260"/>
      <c r="C99" s="31"/>
      <c r="D99" s="31"/>
      <c r="E99" s="32"/>
      <c r="F99" s="42" t="s">
        <v>416</v>
      </c>
      <c r="G99" s="30" t="str">
        <f t="shared" si="6"/>
        <v/>
      </c>
      <c r="H99" s="34"/>
      <c r="I99" s="30"/>
      <c r="J99" s="152">
        <v>0</v>
      </c>
      <c r="L99" s="219"/>
      <c r="M99" s="42"/>
      <c r="N99" s="30" t="str">
        <f t="shared" si="7"/>
        <v/>
      </c>
      <c r="O99" s="34"/>
      <c r="P99" s="36" t="str">
        <f t="shared" si="8"/>
        <v/>
      </c>
      <c r="Q99" s="216" t="str">
        <f t="shared" si="9"/>
        <v/>
      </c>
      <c r="R99" s="216" t="str">
        <f t="shared" si="10"/>
        <v/>
      </c>
      <c r="S99" s="217" t="str">
        <f t="shared" si="11"/>
        <v/>
      </c>
    </row>
    <row r="100" spans="1:19" ht="15.75" hidden="1" thickBot="1" x14ac:dyDescent="0.3">
      <c r="A100" s="262"/>
      <c r="B100" s="260"/>
      <c r="C100" s="35" t="s">
        <v>591</v>
      </c>
      <c r="D100" s="35" t="s">
        <v>583</v>
      </c>
      <c r="E100" s="36">
        <v>0.01</v>
      </c>
      <c r="F100" s="30">
        <v>27.160499999999999</v>
      </c>
      <c r="G100" s="33">
        <f t="shared" si="6"/>
        <v>0.27160499999999999</v>
      </c>
      <c r="H100" s="38">
        <f>SUM(G100:G101)</f>
        <v>2.2941549999999999</v>
      </c>
      <c r="I100" s="39"/>
      <c r="J100" s="152">
        <v>0</v>
      </c>
      <c r="L100" s="215">
        <v>0.01</v>
      </c>
      <c r="M100" s="30">
        <v>23.249388</v>
      </c>
      <c r="N100" s="33">
        <f t="shared" si="7"/>
        <v>0.23249388000000001</v>
      </c>
      <c r="O100" s="38">
        <f>SUM(N100:N101)</f>
        <v>1.9637966799999997</v>
      </c>
      <c r="P100" s="36" t="str">
        <f t="shared" si="8"/>
        <v/>
      </c>
      <c r="Q100" s="216">
        <f t="shared" si="9"/>
        <v>0.14400000000000002</v>
      </c>
      <c r="R100" s="216">
        <f t="shared" si="10"/>
        <v>0.14399999999999991</v>
      </c>
      <c r="S100" s="217">
        <f t="shared" si="11"/>
        <v>0.14400000000000013</v>
      </c>
    </row>
    <row r="101" spans="1:19" ht="15.75" hidden="1" thickBot="1" x14ac:dyDescent="0.3">
      <c r="A101" s="262"/>
      <c r="B101" s="260"/>
      <c r="C101" s="35" t="s">
        <v>584</v>
      </c>
      <c r="D101" s="35" t="s">
        <v>583</v>
      </c>
      <c r="E101" s="36">
        <v>0.1</v>
      </c>
      <c r="F101" s="30">
        <v>20.225499999999997</v>
      </c>
      <c r="G101" s="33">
        <f t="shared" si="6"/>
        <v>2.0225499999999998</v>
      </c>
      <c r="H101" s="34"/>
      <c r="I101" s="30"/>
      <c r="J101" s="152">
        <v>0</v>
      </c>
      <c r="L101" s="215">
        <v>0.1</v>
      </c>
      <c r="M101" s="30">
        <v>17.313027999999996</v>
      </c>
      <c r="N101" s="33">
        <f t="shared" si="7"/>
        <v>1.7313027999999997</v>
      </c>
      <c r="O101" s="34"/>
      <c r="P101" s="36" t="str">
        <f t="shared" si="8"/>
        <v/>
      </c>
      <c r="Q101" s="216">
        <f t="shared" si="9"/>
        <v>0.14400000000000013</v>
      </c>
      <c r="R101" s="216">
        <f t="shared" si="10"/>
        <v>0.14400000000000013</v>
      </c>
      <c r="S101" s="217" t="str">
        <f t="shared" si="11"/>
        <v/>
      </c>
    </row>
    <row r="102" spans="1:19" ht="15.75" hidden="1" thickBot="1" x14ac:dyDescent="0.3">
      <c r="A102" s="263"/>
      <c r="B102" s="261"/>
      <c r="C102" s="35"/>
      <c r="D102" s="35"/>
      <c r="E102" s="36"/>
      <c r="F102" s="30" t="s">
        <v>416</v>
      </c>
      <c r="G102" s="30" t="str">
        <f t="shared" si="6"/>
        <v/>
      </c>
      <c r="H102" s="34"/>
      <c r="I102" s="30"/>
      <c r="J102" s="152">
        <v>0</v>
      </c>
      <c r="L102" s="215"/>
      <c r="M102" s="30"/>
      <c r="N102" s="30" t="str">
        <f t="shared" si="7"/>
        <v/>
      </c>
      <c r="O102" s="34"/>
      <c r="P102" s="36" t="str">
        <f t="shared" si="8"/>
        <v/>
      </c>
      <c r="Q102" s="216" t="str">
        <f t="shared" si="9"/>
        <v/>
      </c>
      <c r="R102" s="216" t="str">
        <f t="shared" si="10"/>
        <v/>
      </c>
      <c r="S102" s="217" t="str">
        <f t="shared" si="11"/>
        <v/>
      </c>
    </row>
    <row r="103" spans="1:19" ht="15.75" hidden="1" thickBot="1" x14ac:dyDescent="0.3">
      <c r="A103" s="256" t="s">
        <v>34</v>
      </c>
      <c r="B103" s="259" t="str">
        <f>INDEX(Orçamentária!A:B,MATCH(Composições!A103,Orçamentária!A:A,0),2)</f>
        <v>Remoção de cortinas</v>
      </c>
      <c r="C103" s="40"/>
      <c r="D103" s="25" t="s">
        <v>69</v>
      </c>
      <c r="E103" s="26"/>
      <c r="F103" s="41" t="s">
        <v>416</v>
      </c>
      <c r="G103" s="27" t="str">
        <f t="shared" si="6"/>
        <v/>
      </c>
      <c r="H103" s="28"/>
      <c r="I103" s="29"/>
      <c r="J103" s="152">
        <v>0</v>
      </c>
      <c r="L103" s="218"/>
      <c r="M103" s="41"/>
      <c r="N103" s="27" t="str">
        <f t="shared" si="7"/>
        <v/>
      </c>
      <c r="O103" s="28"/>
      <c r="P103" s="36" t="str">
        <f t="shared" si="8"/>
        <v/>
      </c>
      <c r="Q103" s="216" t="str">
        <f t="shared" si="9"/>
        <v/>
      </c>
      <c r="R103" s="216" t="str">
        <f t="shared" si="10"/>
        <v/>
      </c>
      <c r="S103" s="217" t="str">
        <f t="shared" si="11"/>
        <v/>
      </c>
    </row>
    <row r="104" spans="1:19" ht="15.75" hidden="1" thickBot="1" x14ac:dyDescent="0.3">
      <c r="A104" s="262"/>
      <c r="B104" s="260"/>
      <c r="C104" s="31"/>
      <c r="D104" s="31"/>
      <c r="E104" s="32"/>
      <c r="F104" s="42" t="s">
        <v>416</v>
      </c>
      <c r="G104" s="30" t="str">
        <f t="shared" si="6"/>
        <v/>
      </c>
      <c r="H104" s="34"/>
      <c r="I104" s="30"/>
      <c r="J104" s="152">
        <v>0</v>
      </c>
      <c r="L104" s="219"/>
      <c r="M104" s="42"/>
      <c r="N104" s="30" t="str">
        <f t="shared" si="7"/>
        <v/>
      </c>
      <c r="O104" s="34"/>
      <c r="P104" s="36" t="str">
        <f t="shared" si="8"/>
        <v/>
      </c>
      <c r="Q104" s="216" t="str">
        <f t="shared" si="9"/>
        <v/>
      </c>
      <c r="R104" s="216" t="str">
        <f t="shared" si="10"/>
        <v/>
      </c>
      <c r="S104" s="217" t="str">
        <f t="shared" si="11"/>
        <v/>
      </c>
    </row>
    <row r="105" spans="1:19" ht="15.75" hidden="1" thickBot="1" x14ac:dyDescent="0.3">
      <c r="A105" s="262"/>
      <c r="B105" s="260"/>
      <c r="C105" s="35" t="s">
        <v>1233</v>
      </c>
      <c r="D105" s="35" t="s">
        <v>583</v>
      </c>
      <c r="E105" s="36">
        <f>ROUND(1/6,4)</f>
        <v>0.16669999999999999</v>
      </c>
      <c r="F105" s="30">
        <v>21.318000000000001</v>
      </c>
      <c r="G105" s="33">
        <f t="shared" si="6"/>
        <v>3.5537106000000001</v>
      </c>
      <c r="H105" s="38">
        <f>SUM(G105:G105)</f>
        <v>3.5537106000000001</v>
      </c>
      <c r="I105" s="39"/>
      <c r="J105" s="152">
        <v>0</v>
      </c>
      <c r="L105" s="215">
        <v>0.16669999999999999</v>
      </c>
      <c r="M105" s="30">
        <v>18.248208000000002</v>
      </c>
      <c r="N105" s="33">
        <f t="shared" si="7"/>
        <v>3.0419762736</v>
      </c>
      <c r="O105" s="38">
        <f>SUM(N105:N105)</f>
        <v>3.0419762736</v>
      </c>
      <c r="P105" s="36" t="str">
        <f t="shared" si="8"/>
        <v/>
      </c>
      <c r="Q105" s="216">
        <f t="shared" si="9"/>
        <v>0.14400000000000002</v>
      </c>
      <c r="R105" s="216">
        <f t="shared" si="10"/>
        <v>0.14400000000000002</v>
      </c>
      <c r="S105" s="217">
        <f t="shared" si="11"/>
        <v>0.14400000000000002</v>
      </c>
    </row>
    <row r="106" spans="1:19" ht="15.75" hidden="1" thickBot="1" x14ac:dyDescent="0.3">
      <c r="A106" s="263"/>
      <c r="B106" s="261"/>
      <c r="C106" s="35"/>
      <c r="D106" s="35"/>
      <c r="E106" s="36"/>
      <c r="F106" s="30" t="s">
        <v>416</v>
      </c>
      <c r="G106" s="30" t="str">
        <f t="shared" si="6"/>
        <v/>
      </c>
      <c r="H106" s="34"/>
      <c r="I106" s="30"/>
      <c r="J106" s="152">
        <v>0</v>
      </c>
      <c r="L106" s="215"/>
      <c r="M106" s="30"/>
      <c r="N106" s="30" t="str">
        <f t="shared" si="7"/>
        <v/>
      </c>
      <c r="O106" s="34"/>
      <c r="P106" s="36" t="str">
        <f t="shared" si="8"/>
        <v/>
      </c>
      <c r="Q106" s="216" t="str">
        <f t="shared" si="9"/>
        <v/>
      </c>
      <c r="R106" s="216" t="str">
        <f t="shared" si="10"/>
        <v/>
      </c>
      <c r="S106" s="217" t="str">
        <f t="shared" si="11"/>
        <v/>
      </c>
    </row>
    <row r="107" spans="1:19" ht="15.75" hidden="1" thickBot="1" x14ac:dyDescent="0.3">
      <c r="A107" s="256" t="s">
        <v>35</v>
      </c>
      <c r="B107" s="259" t="str">
        <f>INDEX(Orçamentária!A:B,MATCH(Composições!A107,Orçamentária!A:A,0),2)</f>
        <v>Remoção de difusores, grelhas e acessórios de climatização</v>
      </c>
      <c r="C107" s="40"/>
      <c r="D107" s="25" t="s">
        <v>16</v>
      </c>
      <c r="E107" s="26"/>
      <c r="F107" s="41" t="s">
        <v>416</v>
      </c>
      <c r="G107" s="27" t="str">
        <f t="shared" si="6"/>
        <v/>
      </c>
      <c r="H107" s="28"/>
      <c r="I107" s="29"/>
      <c r="J107" s="152">
        <v>0</v>
      </c>
      <c r="L107" s="218"/>
      <c r="M107" s="41"/>
      <c r="N107" s="27" t="str">
        <f t="shared" si="7"/>
        <v/>
      </c>
      <c r="O107" s="28"/>
      <c r="P107" s="36" t="str">
        <f t="shared" si="8"/>
        <v/>
      </c>
      <c r="Q107" s="216" t="str">
        <f t="shared" si="9"/>
        <v/>
      </c>
      <c r="R107" s="216" t="str">
        <f t="shared" si="10"/>
        <v/>
      </c>
      <c r="S107" s="217" t="str">
        <f t="shared" si="11"/>
        <v/>
      </c>
    </row>
    <row r="108" spans="1:19" ht="15.75" hidden="1" thickBot="1" x14ac:dyDescent="0.3">
      <c r="A108" s="262"/>
      <c r="B108" s="260"/>
      <c r="C108" s="31"/>
      <c r="D108" s="31"/>
      <c r="E108" s="32"/>
      <c r="F108" s="42" t="s">
        <v>416</v>
      </c>
      <c r="G108" s="30" t="str">
        <f t="shared" si="6"/>
        <v/>
      </c>
      <c r="H108" s="34"/>
      <c r="I108" s="30"/>
      <c r="J108" s="152">
        <v>0</v>
      </c>
      <c r="L108" s="219"/>
      <c r="M108" s="42"/>
      <c r="N108" s="30" t="str">
        <f t="shared" si="7"/>
        <v/>
      </c>
      <c r="O108" s="34"/>
      <c r="P108" s="36" t="str">
        <f t="shared" si="8"/>
        <v/>
      </c>
      <c r="Q108" s="216" t="str">
        <f t="shared" si="9"/>
        <v/>
      </c>
      <c r="R108" s="216" t="str">
        <f t="shared" si="10"/>
        <v/>
      </c>
      <c r="S108" s="217" t="str">
        <f t="shared" si="11"/>
        <v/>
      </c>
    </row>
    <row r="109" spans="1:19" ht="26.25" hidden="1" thickBot="1" x14ac:dyDescent="0.3">
      <c r="A109" s="262"/>
      <c r="B109" s="260"/>
      <c r="C109" s="35" t="s">
        <v>2901</v>
      </c>
      <c r="D109" s="35" t="s">
        <v>583</v>
      </c>
      <c r="E109" s="36">
        <v>0.6</v>
      </c>
      <c r="F109" s="30">
        <v>23.160999999999998</v>
      </c>
      <c r="G109" s="30">
        <f t="shared" si="6"/>
        <v>13.896599999999998</v>
      </c>
      <c r="H109" s="38">
        <f>SUM(G109:G110)</f>
        <v>26.031899999999993</v>
      </c>
      <c r="I109" s="39"/>
      <c r="J109" s="152">
        <v>0</v>
      </c>
      <c r="L109" s="215">
        <v>0.6</v>
      </c>
      <c r="M109" s="30">
        <v>19.825816</v>
      </c>
      <c r="N109" s="30">
        <f t="shared" si="7"/>
        <v>11.895489599999999</v>
      </c>
      <c r="O109" s="38">
        <f>SUM(N109:N110)</f>
        <v>22.283306399999997</v>
      </c>
      <c r="P109" s="36" t="str">
        <f t="shared" si="8"/>
        <v/>
      </c>
      <c r="Q109" s="216">
        <f t="shared" si="9"/>
        <v>0.14399999999999991</v>
      </c>
      <c r="R109" s="216">
        <f t="shared" si="10"/>
        <v>0.14399999999999991</v>
      </c>
      <c r="S109" s="217">
        <f t="shared" si="11"/>
        <v>0.14399999999999991</v>
      </c>
    </row>
    <row r="110" spans="1:19" ht="15.75" hidden="1" thickBot="1" x14ac:dyDescent="0.3">
      <c r="A110" s="262"/>
      <c r="B110" s="260"/>
      <c r="C110" s="35" t="s">
        <v>584</v>
      </c>
      <c r="D110" s="35" t="s">
        <v>583</v>
      </c>
      <c r="E110" s="36">
        <v>0.6</v>
      </c>
      <c r="F110" s="30">
        <v>20.225499999999997</v>
      </c>
      <c r="G110" s="30">
        <f t="shared" si="6"/>
        <v>12.135299999999997</v>
      </c>
      <c r="H110" s="34"/>
      <c r="I110" s="30"/>
      <c r="J110" s="152">
        <v>0</v>
      </c>
      <c r="L110" s="215">
        <v>0.6</v>
      </c>
      <c r="M110" s="30">
        <v>17.313027999999996</v>
      </c>
      <c r="N110" s="30">
        <f t="shared" si="7"/>
        <v>10.387816799999998</v>
      </c>
      <c r="O110" s="34"/>
      <c r="P110" s="36" t="str">
        <f t="shared" si="8"/>
        <v/>
      </c>
      <c r="Q110" s="216">
        <f t="shared" si="9"/>
        <v>0.14400000000000013</v>
      </c>
      <c r="R110" s="216">
        <f t="shared" si="10"/>
        <v>0.14400000000000002</v>
      </c>
      <c r="S110" s="217" t="str">
        <f t="shared" si="11"/>
        <v/>
      </c>
    </row>
    <row r="111" spans="1:19" ht="15.75" hidden="1" thickBot="1" x14ac:dyDescent="0.3">
      <c r="A111" s="263"/>
      <c r="B111" s="261"/>
      <c r="C111" s="35"/>
      <c r="D111" s="35"/>
      <c r="E111" s="36"/>
      <c r="F111" s="30" t="s">
        <v>416</v>
      </c>
      <c r="G111" s="30" t="str">
        <f t="shared" si="6"/>
        <v/>
      </c>
      <c r="H111" s="34"/>
      <c r="I111" s="30"/>
      <c r="J111" s="152">
        <v>0</v>
      </c>
      <c r="L111" s="215"/>
      <c r="M111" s="30"/>
      <c r="N111" s="30" t="str">
        <f t="shared" si="7"/>
        <v/>
      </c>
      <c r="O111" s="34"/>
      <c r="P111" s="36" t="str">
        <f t="shared" si="8"/>
        <v/>
      </c>
      <c r="Q111" s="216" t="str">
        <f t="shared" si="9"/>
        <v/>
      </c>
      <c r="R111" s="216" t="str">
        <f t="shared" si="10"/>
        <v/>
      </c>
      <c r="S111" s="217" t="str">
        <f t="shared" si="11"/>
        <v/>
      </c>
    </row>
    <row r="112" spans="1:19" ht="15.75" hidden="1" thickBot="1" x14ac:dyDescent="0.3">
      <c r="A112" s="256" t="s">
        <v>36</v>
      </c>
      <c r="B112" s="259" t="str">
        <f>INDEX(Orçamentária!A:B,MATCH(Composições!A112,Orçamentária!A:A,0),2)</f>
        <v>Remoção de divisória de mármore ou granito</v>
      </c>
      <c r="C112" s="40"/>
      <c r="D112" s="25" t="s">
        <v>70</v>
      </c>
      <c r="E112" s="26"/>
      <c r="F112" s="41" t="s">
        <v>416</v>
      </c>
      <c r="G112" s="27" t="str">
        <f t="shared" si="6"/>
        <v/>
      </c>
      <c r="H112" s="28"/>
      <c r="I112" s="29"/>
      <c r="J112" s="152">
        <v>0</v>
      </c>
      <c r="L112" s="218"/>
      <c r="M112" s="41"/>
      <c r="N112" s="27" t="str">
        <f t="shared" si="7"/>
        <v/>
      </c>
      <c r="O112" s="28"/>
      <c r="P112" s="36" t="str">
        <f t="shared" si="8"/>
        <v/>
      </c>
      <c r="Q112" s="216" t="str">
        <f t="shared" si="9"/>
        <v/>
      </c>
      <c r="R112" s="216" t="str">
        <f t="shared" si="10"/>
        <v/>
      </c>
      <c r="S112" s="217" t="str">
        <f t="shared" si="11"/>
        <v/>
      </c>
    </row>
    <row r="113" spans="1:19" ht="15.75" hidden="1" thickBot="1" x14ac:dyDescent="0.3">
      <c r="A113" s="262"/>
      <c r="B113" s="260"/>
      <c r="C113" s="31"/>
      <c r="D113" s="31"/>
      <c r="E113" s="32"/>
      <c r="F113" s="42" t="s">
        <v>416</v>
      </c>
      <c r="G113" s="30" t="str">
        <f t="shared" si="6"/>
        <v/>
      </c>
      <c r="H113" s="34"/>
      <c r="I113" s="30"/>
      <c r="J113" s="152">
        <v>0</v>
      </c>
      <c r="L113" s="219"/>
      <c r="M113" s="42"/>
      <c r="N113" s="30" t="str">
        <f t="shared" si="7"/>
        <v/>
      </c>
      <c r="O113" s="34"/>
      <c r="P113" s="36" t="str">
        <f t="shared" si="8"/>
        <v/>
      </c>
      <c r="Q113" s="216" t="str">
        <f t="shared" si="9"/>
        <v/>
      </c>
      <c r="R113" s="216" t="str">
        <f t="shared" si="10"/>
        <v/>
      </c>
      <c r="S113" s="217" t="str">
        <f t="shared" si="11"/>
        <v/>
      </c>
    </row>
    <row r="114" spans="1:19" ht="15.75" hidden="1" thickBot="1" x14ac:dyDescent="0.3">
      <c r="A114" s="262"/>
      <c r="B114" s="260"/>
      <c r="C114" s="35" t="s">
        <v>2906</v>
      </c>
      <c r="D114" s="35" t="s">
        <v>583</v>
      </c>
      <c r="E114" s="36">
        <v>0.6</v>
      </c>
      <c r="F114" s="30">
        <v>27.036999999999999</v>
      </c>
      <c r="G114" s="33">
        <f t="shared" si="6"/>
        <v>16.222199999999997</v>
      </c>
      <c r="H114" s="38">
        <f>SUM(G114:G115)</f>
        <v>40.492799999999988</v>
      </c>
      <c r="I114" s="39"/>
      <c r="J114" s="152">
        <v>0</v>
      </c>
      <c r="L114" s="215">
        <v>0.6</v>
      </c>
      <c r="M114" s="30">
        <v>23.143671999999999</v>
      </c>
      <c r="N114" s="33">
        <f t="shared" si="7"/>
        <v>13.886203199999999</v>
      </c>
      <c r="O114" s="38">
        <f>SUM(N114:N115)</f>
        <v>34.661836799999996</v>
      </c>
      <c r="P114" s="36" t="str">
        <f t="shared" si="8"/>
        <v/>
      </c>
      <c r="Q114" s="216">
        <f t="shared" si="9"/>
        <v>0.14400000000000002</v>
      </c>
      <c r="R114" s="216">
        <f t="shared" si="10"/>
        <v>0.14399999999999991</v>
      </c>
      <c r="S114" s="217">
        <f t="shared" si="11"/>
        <v>0.14399999999999979</v>
      </c>
    </row>
    <row r="115" spans="1:19" ht="15.75" hidden="1" thickBot="1" x14ac:dyDescent="0.3">
      <c r="A115" s="262"/>
      <c r="B115" s="260"/>
      <c r="C115" s="35" t="s">
        <v>584</v>
      </c>
      <c r="D115" s="35" t="s">
        <v>583</v>
      </c>
      <c r="E115" s="36">
        <v>1.2</v>
      </c>
      <c r="F115" s="30">
        <v>20.225499999999997</v>
      </c>
      <c r="G115" s="33">
        <f t="shared" si="6"/>
        <v>24.270599999999995</v>
      </c>
      <c r="H115" s="34"/>
      <c r="I115" s="30"/>
      <c r="J115" s="152">
        <v>0</v>
      </c>
      <c r="L115" s="215">
        <v>1.2</v>
      </c>
      <c r="M115" s="30">
        <v>17.313027999999996</v>
      </c>
      <c r="N115" s="33">
        <f t="shared" si="7"/>
        <v>20.775633599999995</v>
      </c>
      <c r="O115" s="34"/>
      <c r="P115" s="36" t="str">
        <f t="shared" si="8"/>
        <v/>
      </c>
      <c r="Q115" s="216">
        <f t="shared" si="9"/>
        <v>0.14400000000000013</v>
      </c>
      <c r="R115" s="216">
        <f t="shared" si="10"/>
        <v>0.14400000000000002</v>
      </c>
      <c r="S115" s="217" t="str">
        <f t="shared" si="11"/>
        <v/>
      </c>
    </row>
    <row r="116" spans="1:19" ht="15.75" hidden="1" thickBot="1" x14ac:dyDescent="0.3">
      <c r="A116" s="263"/>
      <c r="B116" s="261"/>
      <c r="C116" s="35"/>
      <c r="D116" s="35"/>
      <c r="E116" s="36"/>
      <c r="F116" s="30" t="s">
        <v>416</v>
      </c>
      <c r="G116" s="30" t="str">
        <f t="shared" si="6"/>
        <v/>
      </c>
      <c r="H116" s="34"/>
      <c r="I116" s="30"/>
      <c r="J116" s="152">
        <v>0</v>
      </c>
      <c r="L116" s="215"/>
      <c r="M116" s="30"/>
      <c r="N116" s="30" t="str">
        <f t="shared" si="7"/>
        <v/>
      </c>
      <c r="O116" s="34"/>
      <c r="P116" s="36" t="str">
        <f t="shared" si="8"/>
        <v/>
      </c>
      <c r="Q116" s="216" t="str">
        <f t="shared" si="9"/>
        <v/>
      </c>
      <c r="R116" s="216" t="str">
        <f t="shared" si="10"/>
        <v/>
      </c>
      <c r="S116" s="217" t="str">
        <f t="shared" si="11"/>
        <v/>
      </c>
    </row>
    <row r="117" spans="1:19" ht="15.75" hidden="1" thickBot="1" x14ac:dyDescent="0.3">
      <c r="A117" s="256" t="s">
        <v>37</v>
      </c>
      <c r="B117" s="259" t="str">
        <f>INDEX(Orçamentária!A:B,MATCH(Composições!A117,Orçamentária!A:A,0),2)</f>
        <v>Remoção de divisórias de MDF e gesso acartonado</v>
      </c>
      <c r="C117" s="40"/>
      <c r="D117" s="25" t="s">
        <v>70</v>
      </c>
      <c r="E117" s="26"/>
      <c r="F117" s="41" t="s">
        <v>416</v>
      </c>
      <c r="G117" s="27" t="str">
        <f t="shared" si="6"/>
        <v/>
      </c>
      <c r="H117" s="28"/>
      <c r="I117" s="29"/>
      <c r="J117" s="152">
        <v>0</v>
      </c>
      <c r="L117" s="218"/>
      <c r="M117" s="41"/>
      <c r="N117" s="27" t="str">
        <f t="shared" si="7"/>
        <v/>
      </c>
      <c r="O117" s="28"/>
      <c r="P117" s="36" t="str">
        <f t="shared" si="8"/>
        <v/>
      </c>
      <c r="Q117" s="216" t="str">
        <f t="shared" si="9"/>
        <v/>
      </c>
      <c r="R117" s="216" t="str">
        <f t="shared" si="10"/>
        <v/>
      </c>
      <c r="S117" s="217" t="str">
        <f t="shared" si="11"/>
        <v/>
      </c>
    </row>
    <row r="118" spans="1:19" ht="15.75" hidden="1" thickBot="1" x14ac:dyDescent="0.3">
      <c r="A118" s="262"/>
      <c r="B118" s="260"/>
      <c r="C118" s="31"/>
      <c r="D118" s="31"/>
      <c r="E118" s="32"/>
      <c r="F118" s="42" t="s">
        <v>416</v>
      </c>
      <c r="G118" s="30" t="str">
        <f t="shared" si="6"/>
        <v/>
      </c>
      <c r="H118" s="34"/>
      <c r="I118" s="30"/>
      <c r="J118" s="152">
        <v>0</v>
      </c>
      <c r="L118" s="219"/>
      <c r="M118" s="42"/>
      <c r="N118" s="30" t="str">
        <f t="shared" si="7"/>
        <v/>
      </c>
      <c r="O118" s="34"/>
      <c r="P118" s="36" t="str">
        <f t="shared" si="8"/>
        <v/>
      </c>
      <c r="Q118" s="216" t="str">
        <f t="shared" si="9"/>
        <v/>
      </c>
      <c r="R118" s="216" t="str">
        <f t="shared" si="10"/>
        <v/>
      </c>
      <c r="S118" s="217" t="str">
        <f t="shared" si="11"/>
        <v/>
      </c>
    </row>
    <row r="119" spans="1:19" ht="26.25" hidden="1" thickBot="1" x14ac:dyDescent="0.3">
      <c r="A119" s="262"/>
      <c r="B119" s="260"/>
      <c r="C119" s="35" t="s">
        <v>854</v>
      </c>
      <c r="D119" s="35" t="s">
        <v>583</v>
      </c>
      <c r="E119" s="36">
        <v>0.1186</v>
      </c>
      <c r="F119" s="30">
        <v>20.719499999999996</v>
      </c>
      <c r="G119" s="30">
        <f t="shared" si="6"/>
        <v>2.4573326999999994</v>
      </c>
      <c r="H119" s="38">
        <f>SUM(G119:G120)</f>
        <v>7.1678516499999985</v>
      </c>
      <c r="I119" s="39"/>
      <c r="J119" s="152">
        <v>0</v>
      </c>
      <c r="L119" s="215">
        <v>0.1186</v>
      </c>
      <c r="M119" s="30">
        <v>17.735891999999996</v>
      </c>
      <c r="N119" s="30">
        <f t="shared" si="7"/>
        <v>2.1034767911999994</v>
      </c>
      <c r="O119" s="38">
        <f>SUM(N119:N120)</f>
        <v>6.1356810123999983</v>
      </c>
      <c r="P119" s="36" t="str">
        <f t="shared" si="8"/>
        <v/>
      </c>
      <c r="Q119" s="216">
        <f t="shared" si="9"/>
        <v>0.14400000000000002</v>
      </c>
      <c r="R119" s="216">
        <f t="shared" si="10"/>
        <v>0.14400000000000002</v>
      </c>
      <c r="S119" s="217">
        <f t="shared" si="11"/>
        <v>0.14400000000000002</v>
      </c>
    </row>
    <row r="120" spans="1:19" ht="15.75" hidden="1" thickBot="1" x14ac:dyDescent="0.3">
      <c r="A120" s="262"/>
      <c r="B120" s="260"/>
      <c r="C120" s="35" t="s">
        <v>584</v>
      </c>
      <c r="D120" s="35" t="s">
        <v>583</v>
      </c>
      <c r="E120" s="36">
        <v>0.2329</v>
      </c>
      <c r="F120" s="30">
        <v>20.225499999999997</v>
      </c>
      <c r="G120" s="30">
        <f t="shared" si="6"/>
        <v>4.7105189499999991</v>
      </c>
      <c r="H120" s="34"/>
      <c r="I120" s="30"/>
      <c r="J120" s="152">
        <v>0</v>
      </c>
      <c r="L120" s="215">
        <v>0.2329</v>
      </c>
      <c r="M120" s="30">
        <v>17.313027999999996</v>
      </c>
      <c r="N120" s="30">
        <f t="shared" si="7"/>
        <v>4.0322042211999989</v>
      </c>
      <c r="O120" s="34"/>
      <c r="P120" s="36" t="str">
        <f t="shared" si="8"/>
        <v/>
      </c>
      <c r="Q120" s="216">
        <f t="shared" si="9"/>
        <v>0.14400000000000013</v>
      </c>
      <c r="R120" s="216">
        <f t="shared" si="10"/>
        <v>0.14400000000000013</v>
      </c>
      <c r="S120" s="217" t="str">
        <f t="shared" si="11"/>
        <v/>
      </c>
    </row>
    <row r="121" spans="1:19" ht="15.75" hidden="1" thickBot="1" x14ac:dyDescent="0.3">
      <c r="A121" s="263"/>
      <c r="B121" s="261"/>
      <c r="C121" s="35"/>
      <c r="D121" s="35"/>
      <c r="E121" s="36"/>
      <c r="F121" s="30" t="s">
        <v>416</v>
      </c>
      <c r="G121" s="30" t="str">
        <f t="shared" si="6"/>
        <v/>
      </c>
      <c r="H121" s="34"/>
      <c r="I121" s="30"/>
      <c r="J121" s="152">
        <v>0</v>
      </c>
      <c r="L121" s="215"/>
      <c r="M121" s="30"/>
      <c r="N121" s="30" t="str">
        <f t="shared" si="7"/>
        <v/>
      </c>
      <c r="O121" s="34"/>
      <c r="P121" s="36" t="str">
        <f t="shared" si="8"/>
        <v/>
      </c>
      <c r="Q121" s="216" t="str">
        <f t="shared" si="9"/>
        <v/>
      </c>
      <c r="R121" s="216" t="str">
        <f t="shared" si="10"/>
        <v/>
      </c>
      <c r="S121" s="217" t="str">
        <f t="shared" si="11"/>
        <v/>
      </c>
    </row>
    <row r="122" spans="1:19" ht="15.75" thickBot="1" x14ac:dyDescent="0.3">
      <c r="A122" s="256" t="s">
        <v>38</v>
      </c>
      <c r="B122" s="259" t="str">
        <f>INDEX(Orçamentária!A:B,MATCH(Composições!A122,Orçamentária!A:A,0),2)</f>
        <v>Remoção de dutos/tubulações</v>
      </c>
      <c r="C122" s="40"/>
      <c r="D122" s="25" t="s">
        <v>69</v>
      </c>
      <c r="E122" s="26"/>
      <c r="F122" s="41" t="s">
        <v>416</v>
      </c>
      <c r="G122" s="27" t="str">
        <f t="shared" si="6"/>
        <v/>
      </c>
      <c r="H122" s="28"/>
      <c r="I122" s="29"/>
      <c r="J122" s="152">
        <v>271</v>
      </c>
      <c r="L122" s="218"/>
      <c r="M122" s="41"/>
      <c r="N122" s="27" t="str">
        <f t="shared" si="7"/>
        <v/>
      </c>
      <c r="O122" s="28"/>
      <c r="P122" s="36" t="str">
        <f t="shared" si="8"/>
        <v/>
      </c>
      <c r="Q122" s="216" t="str">
        <f t="shared" si="9"/>
        <v/>
      </c>
      <c r="R122" s="216" t="str">
        <f t="shared" si="10"/>
        <v/>
      </c>
      <c r="S122" s="217" t="str">
        <f t="shared" si="11"/>
        <v/>
      </c>
    </row>
    <row r="123" spans="1:19" x14ac:dyDescent="0.25">
      <c r="A123" s="262"/>
      <c r="B123" s="260"/>
      <c r="C123" s="31"/>
      <c r="D123" s="31"/>
      <c r="E123" s="32"/>
      <c r="F123" s="42" t="s">
        <v>416</v>
      </c>
      <c r="G123" s="30" t="str">
        <f t="shared" si="6"/>
        <v/>
      </c>
      <c r="H123" s="34"/>
      <c r="I123" s="30"/>
      <c r="J123" s="152">
        <v>271</v>
      </c>
      <c r="L123" s="219"/>
      <c r="M123" s="42"/>
      <c r="N123" s="30" t="str">
        <f t="shared" si="7"/>
        <v/>
      </c>
      <c r="O123" s="34"/>
      <c r="P123" s="36" t="str">
        <f t="shared" si="8"/>
        <v/>
      </c>
      <c r="Q123" s="216" t="str">
        <f t="shared" si="9"/>
        <v/>
      </c>
      <c r="R123" s="216" t="str">
        <f t="shared" si="10"/>
        <v/>
      </c>
      <c r="S123" s="217" t="str">
        <f t="shared" si="11"/>
        <v/>
      </c>
    </row>
    <row r="124" spans="1:19" ht="25.5" x14ac:dyDescent="0.25">
      <c r="A124" s="262"/>
      <c r="B124" s="260"/>
      <c r="C124" s="35" t="s">
        <v>825</v>
      </c>
      <c r="D124" s="35" t="s">
        <v>583</v>
      </c>
      <c r="E124" s="36">
        <v>0.17499999999999999</v>
      </c>
      <c r="F124" s="30">
        <v>26.799499999999998</v>
      </c>
      <c r="G124" s="33">
        <f t="shared" si="6"/>
        <v>4.6899124999999993</v>
      </c>
      <c r="H124" s="38">
        <f>SUM(G124:G125)</f>
        <v>10.757562499999999</v>
      </c>
      <c r="I124" s="39"/>
      <c r="J124" s="152">
        <v>271</v>
      </c>
      <c r="L124" s="215">
        <v>0.17499999999999999</v>
      </c>
      <c r="M124" s="30">
        <v>22.940372</v>
      </c>
      <c r="N124" s="33">
        <f t="shared" si="7"/>
        <v>4.0145650999999996</v>
      </c>
      <c r="O124" s="38">
        <f>SUM(N124:N125)</f>
        <v>9.2084734999999984</v>
      </c>
      <c r="P124" s="36" t="str">
        <f t="shared" si="8"/>
        <v/>
      </c>
      <c r="Q124" s="216">
        <f t="shared" si="9"/>
        <v>0.14399999999999991</v>
      </c>
      <c r="R124" s="216">
        <f t="shared" si="10"/>
        <v>0.14399999999999991</v>
      </c>
      <c r="S124" s="217">
        <f t="shared" si="11"/>
        <v>0.14400000000000002</v>
      </c>
    </row>
    <row r="125" spans="1:19" x14ac:dyDescent="0.25">
      <c r="A125" s="262"/>
      <c r="B125" s="260"/>
      <c r="C125" s="35" t="s">
        <v>584</v>
      </c>
      <c r="D125" s="35" t="s">
        <v>583</v>
      </c>
      <c r="E125" s="36">
        <v>0.3</v>
      </c>
      <c r="F125" s="30">
        <v>20.225499999999997</v>
      </c>
      <c r="G125" s="33">
        <f t="shared" si="6"/>
        <v>6.0676499999999987</v>
      </c>
      <c r="H125" s="34"/>
      <c r="I125" s="30"/>
      <c r="J125" s="152">
        <v>271</v>
      </c>
      <c r="L125" s="215">
        <v>0.3</v>
      </c>
      <c r="M125" s="30">
        <v>17.313027999999996</v>
      </c>
      <c r="N125" s="33">
        <f t="shared" si="7"/>
        <v>5.1939083999999989</v>
      </c>
      <c r="O125" s="34"/>
      <c r="P125" s="36" t="str">
        <f t="shared" si="8"/>
        <v/>
      </c>
      <c r="Q125" s="216">
        <f t="shared" si="9"/>
        <v>0.14400000000000013</v>
      </c>
      <c r="R125" s="216">
        <f t="shared" si="10"/>
        <v>0.14400000000000002</v>
      </c>
      <c r="S125" s="217" t="str">
        <f t="shared" si="11"/>
        <v/>
      </c>
    </row>
    <row r="126" spans="1:19" ht="15.75" thickBot="1" x14ac:dyDescent="0.3">
      <c r="A126" s="263"/>
      <c r="B126" s="261"/>
      <c r="C126" s="35"/>
      <c r="D126" s="35"/>
      <c r="E126" s="36"/>
      <c r="F126" s="30" t="s">
        <v>416</v>
      </c>
      <c r="G126" s="30" t="str">
        <f t="shared" si="6"/>
        <v/>
      </c>
      <c r="H126" s="34"/>
      <c r="I126" s="30"/>
      <c r="J126" s="152">
        <v>271</v>
      </c>
      <c r="L126" s="215"/>
      <c r="M126" s="30"/>
      <c r="N126" s="30" t="str">
        <f t="shared" si="7"/>
        <v/>
      </c>
      <c r="O126" s="34"/>
      <c r="P126" s="36" t="str">
        <f t="shared" si="8"/>
        <v/>
      </c>
      <c r="Q126" s="216" t="str">
        <f t="shared" si="9"/>
        <v/>
      </c>
      <c r="R126" s="216" t="str">
        <f t="shared" si="10"/>
        <v/>
      </c>
      <c r="S126" s="217" t="str">
        <f t="shared" si="11"/>
        <v/>
      </c>
    </row>
    <row r="127" spans="1:19" ht="15.75" hidden="1" thickBot="1" x14ac:dyDescent="0.3">
      <c r="A127" s="256" t="s">
        <v>39</v>
      </c>
      <c r="B127" s="259" t="str">
        <f>INDEX(Orçamentária!A:B,MATCH(Composições!A127,Orçamentária!A:A,0),2)</f>
        <v>Remoção de esquadrias metálicas</v>
      </c>
      <c r="C127" s="40"/>
      <c r="D127" s="25" t="s">
        <v>70</v>
      </c>
      <c r="E127" s="26"/>
      <c r="F127" s="41" t="s">
        <v>416</v>
      </c>
      <c r="G127" s="27" t="str">
        <f t="shared" si="6"/>
        <v/>
      </c>
      <c r="H127" s="28"/>
      <c r="I127" s="29"/>
      <c r="J127" s="152">
        <v>0</v>
      </c>
      <c r="L127" s="218"/>
      <c r="M127" s="41"/>
      <c r="N127" s="27" t="str">
        <f t="shared" si="7"/>
        <v/>
      </c>
      <c r="O127" s="28"/>
      <c r="P127" s="36" t="str">
        <f t="shared" si="8"/>
        <v/>
      </c>
      <c r="Q127" s="216" t="str">
        <f t="shared" si="9"/>
        <v/>
      </c>
      <c r="R127" s="216" t="str">
        <f t="shared" si="10"/>
        <v/>
      </c>
      <c r="S127" s="217" t="str">
        <f t="shared" si="11"/>
        <v/>
      </c>
    </row>
    <row r="128" spans="1:19" ht="15.75" hidden="1" thickBot="1" x14ac:dyDescent="0.3">
      <c r="A128" s="262"/>
      <c r="B128" s="260"/>
      <c r="C128" s="31"/>
      <c r="D128" s="31"/>
      <c r="E128" s="32"/>
      <c r="F128" s="42" t="s">
        <v>416</v>
      </c>
      <c r="G128" s="30" t="str">
        <f t="shared" si="6"/>
        <v/>
      </c>
      <c r="H128" s="34"/>
      <c r="I128" s="30"/>
      <c r="J128" s="152">
        <v>0</v>
      </c>
      <c r="L128" s="219"/>
      <c r="M128" s="42"/>
      <c r="N128" s="30" t="str">
        <f t="shared" si="7"/>
        <v/>
      </c>
      <c r="O128" s="34"/>
      <c r="P128" s="36" t="str">
        <f t="shared" si="8"/>
        <v/>
      </c>
      <c r="Q128" s="216" t="str">
        <f t="shared" si="9"/>
        <v/>
      </c>
      <c r="R128" s="216" t="str">
        <f t="shared" si="10"/>
        <v/>
      </c>
      <c r="S128" s="217" t="str">
        <f t="shared" si="11"/>
        <v/>
      </c>
    </row>
    <row r="129" spans="1:19" ht="15.75" hidden="1" thickBot="1" x14ac:dyDescent="0.3">
      <c r="A129" s="262"/>
      <c r="B129" s="260"/>
      <c r="C129" s="35" t="s">
        <v>591</v>
      </c>
      <c r="D129" s="35" t="s">
        <v>583</v>
      </c>
      <c r="E129" s="36">
        <v>0.05</v>
      </c>
      <c r="F129" s="30">
        <v>27.160499999999999</v>
      </c>
      <c r="G129" s="33">
        <f t="shared" si="6"/>
        <v>1.358025</v>
      </c>
      <c r="H129" s="38">
        <f>SUM(G129:G130)</f>
        <v>11.470774999999998</v>
      </c>
      <c r="I129" s="39"/>
      <c r="J129" s="152">
        <v>0</v>
      </c>
      <c r="L129" s="215">
        <v>0.05</v>
      </c>
      <c r="M129" s="30">
        <v>23.249388</v>
      </c>
      <c r="N129" s="33">
        <f t="shared" si="7"/>
        <v>1.1624694</v>
      </c>
      <c r="O129" s="38">
        <f>SUM(N129:N130)</f>
        <v>9.8189833999999969</v>
      </c>
      <c r="P129" s="36" t="str">
        <f t="shared" si="8"/>
        <v/>
      </c>
      <c r="Q129" s="216">
        <f t="shared" si="9"/>
        <v>0.14400000000000002</v>
      </c>
      <c r="R129" s="216">
        <f t="shared" si="10"/>
        <v>0.14400000000000002</v>
      </c>
      <c r="S129" s="217">
        <f t="shared" si="11"/>
        <v>0.14400000000000013</v>
      </c>
    </row>
    <row r="130" spans="1:19" ht="15.75" hidden="1" thickBot="1" x14ac:dyDescent="0.3">
      <c r="A130" s="262"/>
      <c r="B130" s="260"/>
      <c r="C130" s="35" t="s">
        <v>584</v>
      </c>
      <c r="D130" s="35" t="s">
        <v>583</v>
      </c>
      <c r="E130" s="36">
        <v>0.5</v>
      </c>
      <c r="F130" s="30">
        <v>20.225499999999997</v>
      </c>
      <c r="G130" s="33">
        <f t="shared" si="6"/>
        <v>10.112749999999998</v>
      </c>
      <c r="H130" s="44"/>
      <c r="I130" s="45"/>
      <c r="J130" s="152">
        <v>0</v>
      </c>
      <c r="L130" s="215">
        <v>0.5</v>
      </c>
      <c r="M130" s="30">
        <v>17.313027999999996</v>
      </c>
      <c r="N130" s="33">
        <f t="shared" si="7"/>
        <v>8.6565139999999978</v>
      </c>
      <c r="O130" s="44"/>
      <c r="P130" s="36" t="str">
        <f t="shared" si="8"/>
        <v/>
      </c>
      <c r="Q130" s="216">
        <f t="shared" si="9"/>
        <v>0.14400000000000013</v>
      </c>
      <c r="R130" s="216">
        <f t="shared" si="10"/>
        <v>0.14400000000000013</v>
      </c>
      <c r="S130" s="217" t="str">
        <f t="shared" si="11"/>
        <v/>
      </c>
    </row>
    <row r="131" spans="1:19" ht="15.75" hidden="1" thickBot="1" x14ac:dyDescent="0.3">
      <c r="A131" s="263"/>
      <c r="B131" s="261"/>
      <c r="C131" s="35"/>
      <c r="D131" s="35"/>
      <c r="E131" s="36"/>
      <c r="F131" s="30" t="s">
        <v>416</v>
      </c>
      <c r="G131" s="30" t="str">
        <f t="shared" si="6"/>
        <v/>
      </c>
      <c r="H131" s="34"/>
      <c r="I131" s="30"/>
      <c r="J131" s="152">
        <v>0</v>
      </c>
      <c r="L131" s="215"/>
      <c r="M131" s="30"/>
      <c r="N131" s="30" t="str">
        <f t="shared" si="7"/>
        <v/>
      </c>
      <c r="O131" s="34"/>
      <c r="P131" s="36" t="str">
        <f t="shared" si="8"/>
        <v/>
      </c>
      <c r="Q131" s="216" t="str">
        <f t="shared" si="9"/>
        <v/>
      </c>
      <c r="R131" s="216" t="str">
        <f t="shared" si="10"/>
        <v/>
      </c>
      <c r="S131" s="217" t="str">
        <f t="shared" si="11"/>
        <v/>
      </c>
    </row>
    <row r="132" spans="1:19" ht="15.75" hidden="1" thickBot="1" x14ac:dyDescent="0.3">
      <c r="A132" s="256" t="s">
        <v>40</v>
      </c>
      <c r="B132" s="259" t="str">
        <f>INDEX(Orçamentária!A:B,MATCH(Composições!A132,Orçamentária!A:A,0),2)</f>
        <v>Remoção de exaustor</v>
      </c>
      <c r="C132" s="40"/>
      <c r="D132" s="25" t="s">
        <v>16</v>
      </c>
      <c r="E132" s="26"/>
      <c r="F132" s="41" t="s">
        <v>416</v>
      </c>
      <c r="G132" s="27" t="str">
        <f t="shared" si="6"/>
        <v/>
      </c>
      <c r="H132" s="28"/>
      <c r="I132" s="29"/>
      <c r="J132" s="152">
        <v>0</v>
      </c>
      <c r="L132" s="218"/>
      <c r="M132" s="41"/>
      <c r="N132" s="27" t="str">
        <f t="shared" si="7"/>
        <v/>
      </c>
      <c r="O132" s="28"/>
      <c r="P132" s="36" t="str">
        <f t="shared" si="8"/>
        <v/>
      </c>
      <c r="Q132" s="216" t="str">
        <f t="shared" si="9"/>
        <v/>
      </c>
      <c r="R132" s="216" t="str">
        <f t="shared" si="10"/>
        <v/>
      </c>
      <c r="S132" s="217" t="str">
        <f t="shared" si="11"/>
        <v/>
      </c>
    </row>
    <row r="133" spans="1:19" ht="15.75" hidden="1" thickBot="1" x14ac:dyDescent="0.3">
      <c r="A133" s="262"/>
      <c r="B133" s="260"/>
      <c r="C133" s="31"/>
      <c r="D133" s="31"/>
      <c r="E133" s="32"/>
      <c r="F133" s="42" t="s">
        <v>416</v>
      </c>
      <c r="G133" s="30" t="str">
        <f t="shared" si="6"/>
        <v/>
      </c>
      <c r="H133" s="34"/>
      <c r="I133" s="30"/>
      <c r="J133" s="152">
        <v>0</v>
      </c>
      <c r="L133" s="219"/>
      <c r="M133" s="42"/>
      <c r="N133" s="30" t="str">
        <f t="shared" si="7"/>
        <v/>
      </c>
      <c r="O133" s="34"/>
      <c r="P133" s="36" t="str">
        <f t="shared" si="8"/>
        <v/>
      </c>
      <c r="Q133" s="216" t="str">
        <f t="shared" si="9"/>
        <v/>
      </c>
      <c r="R133" s="216" t="str">
        <f t="shared" si="10"/>
        <v/>
      </c>
      <c r="S133" s="217" t="str">
        <f t="shared" si="11"/>
        <v/>
      </c>
    </row>
    <row r="134" spans="1:19" ht="15.75" hidden="1" thickBot="1" x14ac:dyDescent="0.3">
      <c r="A134" s="262"/>
      <c r="B134" s="260"/>
      <c r="C134" s="35" t="s">
        <v>1018</v>
      </c>
      <c r="D134" s="35" t="s">
        <v>583</v>
      </c>
      <c r="E134" s="36">
        <v>0.3</v>
      </c>
      <c r="F134" s="30">
        <v>27.835000000000001</v>
      </c>
      <c r="G134" s="30">
        <f t="shared" ref="G134:G197" si="12">IF(ISNUMBER(F134),E134*F134,"")</f>
        <v>8.3505000000000003</v>
      </c>
      <c r="H134" s="38">
        <f>SUM(G134:G134)</f>
        <v>8.3505000000000003</v>
      </c>
      <c r="I134" s="39"/>
      <c r="J134" s="152">
        <v>0</v>
      </c>
      <c r="L134" s="215">
        <v>0.3</v>
      </c>
      <c r="M134" s="30">
        <v>23.82676</v>
      </c>
      <c r="N134" s="30">
        <f t="shared" ref="N134:N197" si="13">IF(ISNUMBER(M134),L134*M134,"")</f>
        <v>7.148028</v>
      </c>
      <c r="O134" s="38">
        <f>SUM(N134:N134)</f>
        <v>7.148028</v>
      </c>
      <c r="P134" s="36" t="str">
        <f t="shared" si="8"/>
        <v/>
      </c>
      <c r="Q134" s="216">
        <f t="shared" si="9"/>
        <v>0.14400000000000002</v>
      </c>
      <c r="R134" s="216">
        <f t="shared" si="10"/>
        <v>0.14400000000000002</v>
      </c>
      <c r="S134" s="217">
        <f t="shared" si="11"/>
        <v>0.14400000000000002</v>
      </c>
    </row>
    <row r="135" spans="1:19" ht="15.75" hidden="1" thickBot="1" x14ac:dyDescent="0.3">
      <c r="A135" s="263"/>
      <c r="B135" s="261"/>
      <c r="C135" s="35"/>
      <c r="D135" s="35"/>
      <c r="E135" s="36"/>
      <c r="F135" s="30" t="s">
        <v>416</v>
      </c>
      <c r="G135" s="30" t="str">
        <f t="shared" si="12"/>
        <v/>
      </c>
      <c r="H135" s="34"/>
      <c r="I135" s="30"/>
      <c r="J135" s="152">
        <v>0</v>
      </c>
      <c r="L135" s="215"/>
      <c r="M135" s="30"/>
      <c r="N135" s="30" t="str">
        <f t="shared" si="13"/>
        <v/>
      </c>
      <c r="O135" s="34"/>
      <c r="P135" s="36" t="str">
        <f t="shared" si="8"/>
        <v/>
      </c>
      <c r="Q135" s="216" t="str">
        <f t="shared" si="9"/>
        <v/>
      </c>
      <c r="R135" s="216" t="str">
        <f t="shared" si="10"/>
        <v/>
      </c>
      <c r="S135" s="217" t="str">
        <f t="shared" si="11"/>
        <v/>
      </c>
    </row>
    <row r="136" spans="1:19" ht="15.75" hidden="1" thickBot="1" x14ac:dyDescent="0.3">
      <c r="A136" s="256" t="s">
        <v>41</v>
      </c>
      <c r="B136" s="259" t="str">
        <f>INDEX(Orçamentária!A:B,MATCH(Composições!A136,Orçamentária!A:A,0),2)</f>
        <v>Remoção de fechadura/puxador de porta</v>
      </c>
      <c r="C136" s="40"/>
      <c r="D136" s="25" t="s">
        <v>16</v>
      </c>
      <c r="E136" s="26"/>
      <c r="F136" s="41" t="s">
        <v>416</v>
      </c>
      <c r="G136" s="27" t="str">
        <f t="shared" si="12"/>
        <v/>
      </c>
      <c r="H136" s="28"/>
      <c r="I136" s="29"/>
      <c r="J136" s="152">
        <v>0</v>
      </c>
      <c r="L136" s="218"/>
      <c r="M136" s="41"/>
      <c r="N136" s="27" t="str">
        <f t="shared" si="13"/>
        <v/>
      </c>
      <c r="O136" s="28"/>
      <c r="P136" s="36" t="str">
        <f t="shared" ref="P136:P199" si="14">IF(ISBLANK(L136),"",IF($E136&lt;&gt;L136,"SIM",""))</f>
        <v/>
      </c>
      <c r="Q136" s="216" t="str">
        <f t="shared" ref="Q136:Q199" si="15">IF(M136="","",1-M136/$F136)</f>
        <v/>
      </c>
      <c r="R136" s="216" t="str">
        <f t="shared" ref="R136:R199" si="16">IF(N136="","",1-N136/$G136)</f>
        <v/>
      </c>
      <c r="S136" s="217" t="str">
        <f t="shared" ref="S136:S199" si="17">IF(O136="","",1-O136/$H136)</f>
        <v/>
      </c>
    </row>
    <row r="137" spans="1:19" ht="15.75" hidden="1" thickBot="1" x14ac:dyDescent="0.3">
      <c r="A137" s="262"/>
      <c r="B137" s="260"/>
      <c r="C137" s="31"/>
      <c r="D137" s="31"/>
      <c r="E137" s="32"/>
      <c r="F137" s="42" t="s">
        <v>416</v>
      </c>
      <c r="G137" s="30" t="str">
        <f t="shared" si="12"/>
        <v/>
      </c>
      <c r="H137" s="34"/>
      <c r="I137" s="30"/>
      <c r="J137" s="152">
        <v>0</v>
      </c>
      <c r="L137" s="219"/>
      <c r="M137" s="42"/>
      <c r="N137" s="30" t="str">
        <f t="shared" si="13"/>
        <v/>
      </c>
      <c r="O137" s="34"/>
      <c r="P137" s="36" t="str">
        <f t="shared" si="14"/>
        <v/>
      </c>
      <c r="Q137" s="216" t="str">
        <f t="shared" si="15"/>
        <v/>
      </c>
      <c r="R137" s="216" t="str">
        <f t="shared" si="16"/>
        <v/>
      </c>
      <c r="S137" s="217" t="str">
        <f t="shared" si="17"/>
        <v/>
      </c>
    </row>
    <row r="138" spans="1:19" ht="15.75" hidden="1" thickBot="1" x14ac:dyDescent="0.3">
      <c r="A138" s="262"/>
      <c r="B138" s="260"/>
      <c r="C138" s="35" t="s">
        <v>582</v>
      </c>
      <c r="D138" s="35" t="s">
        <v>583</v>
      </c>
      <c r="E138" s="36">
        <f>0.25</f>
        <v>0.25</v>
      </c>
      <c r="F138" s="30">
        <v>25.725999999999996</v>
      </c>
      <c r="G138" s="33">
        <f t="shared" si="12"/>
        <v>6.4314999999999989</v>
      </c>
      <c r="H138" s="38">
        <f>SUM(G138:G138)</f>
        <v>6.4314999999999989</v>
      </c>
      <c r="I138" s="39"/>
      <c r="J138" s="152">
        <v>0</v>
      </c>
      <c r="L138" s="215">
        <v>0.25</v>
      </c>
      <c r="M138" s="30">
        <v>22.021455999999997</v>
      </c>
      <c r="N138" s="33">
        <f t="shared" si="13"/>
        <v>5.5053639999999993</v>
      </c>
      <c r="O138" s="38">
        <f>SUM(N138:N138)</f>
        <v>5.5053639999999993</v>
      </c>
      <c r="P138" s="36" t="str">
        <f t="shared" si="14"/>
        <v/>
      </c>
      <c r="Q138" s="216">
        <f t="shared" si="15"/>
        <v>0.14400000000000002</v>
      </c>
      <c r="R138" s="216">
        <f t="shared" si="16"/>
        <v>0.14400000000000002</v>
      </c>
      <c r="S138" s="217">
        <f t="shared" si="17"/>
        <v>0.14400000000000002</v>
      </c>
    </row>
    <row r="139" spans="1:19" ht="15.75" hidden="1" thickBot="1" x14ac:dyDescent="0.3">
      <c r="A139" s="262"/>
      <c r="B139" s="260"/>
      <c r="C139" s="35"/>
      <c r="D139" s="35"/>
      <c r="E139" s="36"/>
      <c r="F139" s="30" t="s">
        <v>416</v>
      </c>
      <c r="G139" s="30" t="str">
        <f t="shared" si="12"/>
        <v/>
      </c>
      <c r="H139" s="34"/>
      <c r="I139" s="30"/>
      <c r="J139" s="152">
        <v>0</v>
      </c>
      <c r="L139" s="215"/>
      <c r="M139" s="30"/>
      <c r="N139" s="30" t="str">
        <f t="shared" si="13"/>
        <v/>
      </c>
      <c r="O139" s="34"/>
      <c r="P139" s="36" t="str">
        <f t="shared" si="14"/>
        <v/>
      </c>
      <c r="Q139" s="216" t="str">
        <f t="shared" si="15"/>
        <v/>
      </c>
      <c r="R139" s="216" t="str">
        <f t="shared" si="16"/>
        <v/>
      </c>
      <c r="S139" s="217" t="str">
        <f t="shared" si="17"/>
        <v/>
      </c>
    </row>
    <row r="140" spans="1:19" ht="15.75" hidden="1" thickBot="1" x14ac:dyDescent="0.3">
      <c r="A140" s="256" t="s">
        <v>42</v>
      </c>
      <c r="B140" s="259" t="str">
        <f>INDEX(Orçamentária!A:B,MATCH(Composições!A140,Orçamentária!A:A,0),2)</f>
        <v>Remoção de folha de porta e dobradiças / pivôs</v>
      </c>
      <c r="C140" s="40"/>
      <c r="D140" s="25" t="s">
        <v>16</v>
      </c>
      <c r="E140" s="26"/>
      <c r="F140" s="41" t="s">
        <v>416</v>
      </c>
      <c r="G140" s="27" t="str">
        <f t="shared" si="12"/>
        <v/>
      </c>
      <c r="H140" s="28"/>
      <c r="I140" s="29"/>
      <c r="J140" s="152">
        <v>0</v>
      </c>
      <c r="L140" s="218"/>
      <c r="M140" s="41"/>
      <c r="N140" s="27" t="str">
        <f t="shared" si="13"/>
        <v/>
      </c>
      <c r="O140" s="28"/>
      <c r="P140" s="36" t="str">
        <f t="shared" si="14"/>
        <v/>
      </c>
      <c r="Q140" s="216" t="str">
        <f t="shared" si="15"/>
        <v/>
      </c>
      <c r="R140" s="216" t="str">
        <f t="shared" si="16"/>
        <v/>
      </c>
      <c r="S140" s="217" t="str">
        <f t="shared" si="17"/>
        <v/>
      </c>
    </row>
    <row r="141" spans="1:19" ht="15.75" hidden="1" thickBot="1" x14ac:dyDescent="0.3">
      <c r="A141" s="262"/>
      <c r="B141" s="260"/>
      <c r="C141" s="31"/>
      <c r="D141" s="31"/>
      <c r="E141" s="32"/>
      <c r="F141" s="42" t="s">
        <v>416</v>
      </c>
      <c r="G141" s="30" t="str">
        <f t="shared" si="12"/>
        <v/>
      </c>
      <c r="H141" s="34"/>
      <c r="I141" s="30"/>
      <c r="J141" s="152">
        <v>0</v>
      </c>
      <c r="L141" s="219"/>
      <c r="M141" s="42"/>
      <c r="N141" s="30" t="str">
        <f t="shared" si="13"/>
        <v/>
      </c>
      <c r="O141" s="34"/>
      <c r="P141" s="36" t="str">
        <f t="shared" si="14"/>
        <v/>
      </c>
      <c r="Q141" s="216" t="str">
        <f t="shared" si="15"/>
        <v/>
      </c>
      <c r="R141" s="216" t="str">
        <f t="shared" si="16"/>
        <v/>
      </c>
      <c r="S141" s="217" t="str">
        <f t="shared" si="17"/>
        <v/>
      </c>
    </row>
    <row r="142" spans="1:19" ht="15.75" hidden="1" thickBot="1" x14ac:dyDescent="0.3">
      <c r="A142" s="262"/>
      <c r="B142" s="260"/>
      <c r="C142" s="35" t="s">
        <v>591</v>
      </c>
      <c r="D142" s="35" t="s">
        <v>583</v>
      </c>
      <c r="E142" s="36">
        <v>0.13150000000000001</v>
      </c>
      <c r="F142" s="30">
        <v>27.160499999999999</v>
      </c>
      <c r="G142" s="33">
        <f t="shared" si="12"/>
        <v>3.5716057499999998</v>
      </c>
      <c r="H142" s="38">
        <f>SUM(G142:G143)</f>
        <v>8.7938298499999981</v>
      </c>
      <c r="I142" s="39"/>
      <c r="J142" s="152">
        <v>0</v>
      </c>
      <c r="L142" s="215">
        <v>0.13150000000000001</v>
      </c>
      <c r="M142" s="30">
        <v>23.249388</v>
      </c>
      <c r="N142" s="33">
        <f t="shared" si="13"/>
        <v>3.0572945220000003</v>
      </c>
      <c r="O142" s="38">
        <f>SUM(N142:N143)</f>
        <v>7.5275183515999986</v>
      </c>
      <c r="P142" s="36" t="str">
        <f t="shared" si="14"/>
        <v/>
      </c>
      <c r="Q142" s="216">
        <f t="shared" si="15"/>
        <v>0.14400000000000002</v>
      </c>
      <c r="R142" s="216">
        <f t="shared" si="16"/>
        <v>0.14399999999999991</v>
      </c>
      <c r="S142" s="217">
        <f t="shared" si="17"/>
        <v>0.14400000000000002</v>
      </c>
    </row>
    <row r="143" spans="1:19" ht="15.75" hidden="1" thickBot="1" x14ac:dyDescent="0.3">
      <c r="A143" s="262"/>
      <c r="B143" s="260"/>
      <c r="C143" s="35" t="s">
        <v>584</v>
      </c>
      <c r="D143" s="35" t="s">
        <v>583</v>
      </c>
      <c r="E143" s="36">
        <v>0.25819999999999999</v>
      </c>
      <c r="F143" s="30">
        <v>20.225499999999997</v>
      </c>
      <c r="G143" s="33">
        <f t="shared" si="12"/>
        <v>5.2222240999999991</v>
      </c>
      <c r="H143" s="44"/>
      <c r="I143" s="45"/>
      <c r="J143" s="152">
        <v>0</v>
      </c>
      <c r="L143" s="215">
        <v>0.25819999999999999</v>
      </c>
      <c r="M143" s="30">
        <v>17.313027999999996</v>
      </c>
      <c r="N143" s="33">
        <f t="shared" si="13"/>
        <v>4.4702238295999983</v>
      </c>
      <c r="O143" s="44"/>
      <c r="P143" s="36" t="str">
        <f t="shared" si="14"/>
        <v/>
      </c>
      <c r="Q143" s="216">
        <f t="shared" si="15"/>
        <v>0.14400000000000013</v>
      </c>
      <c r="R143" s="216">
        <f t="shared" si="16"/>
        <v>0.14400000000000024</v>
      </c>
      <c r="S143" s="217" t="str">
        <f t="shared" si="17"/>
        <v/>
      </c>
    </row>
    <row r="144" spans="1:19" ht="15.75" hidden="1" thickBot="1" x14ac:dyDescent="0.3">
      <c r="A144" s="263"/>
      <c r="B144" s="261"/>
      <c r="C144" s="35"/>
      <c r="D144" s="35"/>
      <c r="E144" s="36"/>
      <c r="F144" s="30" t="s">
        <v>416</v>
      </c>
      <c r="G144" s="30" t="str">
        <f t="shared" si="12"/>
        <v/>
      </c>
      <c r="H144" s="34"/>
      <c r="I144" s="30"/>
      <c r="J144" s="152">
        <v>0</v>
      </c>
      <c r="L144" s="215"/>
      <c r="M144" s="30"/>
      <c r="N144" s="30" t="str">
        <f t="shared" si="13"/>
        <v/>
      </c>
      <c r="O144" s="34"/>
      <c r="P144" s="36" t="str">
        <f t="shared" si="14"/>
        <v/>
      </c>
      <c r="Q144" s="216" t="str">
        <f t="shared" si="15"/>
        <v/>
      </c>
      <c r="R144" s="216" t="str">
        <f t="shared" si="16"/>
        <v/>
      </c>
      <c r="S144" s="217" t="str">
        <f t="shared" si="17"/>
        <v/>
      </c>
    </row>
    <row r="145" spans="1:19" ht="15.75" hidden="1" thickBot="1" x14ac:dyDescent="0.3">
      <c r="A145" s="256" t="s">
        <v>43</v>
      </c>
      <c r="B145" s="259" t="str">
        <f>INDEX(Orçamentária!A:B,MATCH(Composições!A145,Orçamentária!A:A,0),2)</f>
        <v>Remoção de laminado melamínico (LDAP), em PVC ou vinílico</v>
      </c>
      <c r="C145" s="40"/>
      <c r="D145" s="25" t="s">
        <v>70</v>
      </c>
      <c r="E145" s="26"/>
      <c r="F145" s="41" t="s">
        <v>416</v>
      </c>
      <c r="G145" s="27" t="str">
        <f t="shared" si="12"/>
        <v/>
      </c>
      <c r="H145" s="28"/>
      <c r="I145" s="29"/>
      <c r="J145" s="152">
        <v>0</v>
      </c>
      <c r="L145" s="218"/>
      <c r="M145" s="41"/>
      <c r="N145" s="27" t="str">
        <f t="shared" si="13"/>
        <v/>
      </c>
      <c r="O145" s="28"/>
      <c r="P145" s="36" t="str">
        <f t="shared" si="14"/>
        <v/>
      </c>
      <c r="Q145" s="216" t="str">
        <f t="shared" si="15"/>
        <v/>
      </c>
      <c r="R145" s="216" t="str">
        <f t="shared" si="16"/>
        <v/>
      </c>
      <c r="S145" s="217" t="str">
        <f t="shared" si="17"/>
        <v/>
      </c>
    </row>
    <row r="146" spans="1:19" ht="15.75" hidden="1" thickBot="1" x14ac:dyDescent="0.3">
      <c r="A146" s="262"/>
      <c r="B146" s="260"/>
      <c r="C146" s="31"/>
      <c r="D146" s="31"/>
      <c r="E146" s="32"/>
      <c r="F146" s="42" t="s">
        <v>416</v>
      </c>
      <c r="G146" s="30" t="str">
        <f t="shared" si="12"/>
        <v/>
      </c>
      <c r="H146" s="34"/>
      <c r="I146" s="30"/>
      <c r="J146" s="152">
        <v>0</v>
      </c>
      <c r="L146" s="219"/>
      <c r="M146" s="42"/>
      <c r="N146" s="30" t="str">
        <f t="shared" si="13"/>
        <v/>
      </c>
      <c r="O146" s="34"/>
      <c r="P146" s="36" t="str">
        <f t="shared" si="14"/>
        <v/>
      </c>
      <c r="Q146" s="216" t="str">
        <f t="shared" si="15"/>
        <v/>
      </c>
      <c r="R146" s="216" t="str">
        <f t="shared" si="16"/>
        <v/>
      </c>
      <c r="S146" s="217" t="str">
        <f t="shared" si="17"/>
        <v/>
      </c>
    </row>
    <row r="147" spans="1:19" ht="15.75" hidden="1" thickBot="1" x14ac:dyDescent="0.3">
      <c r="A147" s="262"/>
      <c r="B147" s="260"/>
      <c r="C147" s="35" t="s">
        <v>591</v>
      </c>
      <c r="D147" s="35" t="s">
        <v>583</v>
      </c>
      <c r="E147" s="36">
        <v>0.09</v>
      </c>
      <c r="F147" s="30">
        <v>27.160499999999999</v>
      </c>
      <c r="G147" s="33">
        <f t="shared" si="12"/>
        <v>2.444445</v>
      </c>
      <c r="H147" s="38">
        <f>SUM(G147:G148)</f>
        <v>20.647394999999996</v>
      </c>
      <c r="I147" s="39"/>
      <c r="J147" s="152">
        <v>0</v>
      </c>
      <c r="L147" s="215">
        <v>0.09</v>
      </c>
      <c r="M147" s="30">
        <v>23.249388</v>
      </c>
      <c r="N147" s="33">
        <f t="shared" si="13"/>
        <v>2.0924449199999997</v>
      </c>
      <c r="O147" s="38">
        <f>SUM(N147:N148)</f>
        <v>17.674170119999996</v>
      </c>
      <c r="P147" s="36" t="str">
        <f t="shared" si="14"/>
        <v/>
      </c>
      <c r="Q147" s="216">
        <f t="shared" si="15"/>
        <v>0.14400000000000002</v>
      </c>
      <c r="R147" s="216">
        <f t="shared" si="16"/>
        <v>0.14400000000000013</v>
      </c>
      <c r="S147" s="217">
        <f t="shared" si="17"/>
        <v>0.14400000000000002</v>
      </c>
    </row>
    <row r="148" spans="1:19" ht="15.75" hidden="1" thickBot="1" x14ac:dyDescent="0.3">
      <c r="A148" s="262"/>
      <c r="B148" s="260"/>
      <c r="C148" s="35" t="s">
        <v>584</v>
      </c>
      <c r="D148" s="35" t="s">
        <v>583</v>
      </c>
      <c r="E148" s="36">
        <v>0.9</v>
      </c>
      <c r="F148" s="30">
        <v>20.225499999999997</v>
      </c>
      <c r="G148" s="33">
        <f t="shared" si="12"/>
        <v>18.202949999999998</v>
      </c>
      <c r="H148" s="34"/>
      <c r="I148" s="30"/>
      <c r="J148" s="152">
        <v>0</v>
      </c>
      <c r="L148" s="215">
        <v>0.9</v>
      </c>
      <c r="M148" s="30">
        <v>17.313027999999996</v>
      </c>
      <c r="N148" s="33">
        <f t="shared" si="13"/>
        <v>15.581725199999996</v>
      </c>
      <c r="O148" s="34"/>
      <c r="P148" s="36" t="str">
        <f t="shared" si="14"/>
        <v/>
      </c>
      <c r="Q148" s="216">
        <f t="shared" si="15"/>
        <v>0.14400000000000013</v>
      </c>
      <c r="R148" s="216">
        <f t="shared" si="16"/>
        <v>0.14400000000000013</v>
      </c>
      <c r="S148" s="217" t="str">
        <f t="shared" si="17"/>
        <v/>
      </c>
    </row>
    <row r="149" spans="1:19" ht="15.75" hidden="1" thickBot="1" x14ac:dyDescent="0.3">
      <c r="A149" s="263"/>
      <c r="B149" s="261"/>
      <c r="C149" s="35"/>
      <c r="D149" s="35"/>
      <c r="E149" s="36"/>
      <c r="F149" s="30" t="s">
        <v>416</v>
      </c>
      <c r="G149" s="30" t="str">
        <f t="shared" si="12"/>
        <v/>
      </c>
      <c r="H149" s="34"/>
      <c r="I149" s="30"/>
      <c r="J149" s="152">
        <v>0</v>
      </c>
      <c r="L149" s="215"/>
      <c r="M149" s="30"/>
      <c r="N149" s="30" t="str">
        <f t="shared" si="13"/>
        <v/>
      </c>
      <c r="O149" s="34"/>
      <c r="P149" s="36" t="str">
        <f t="shared" si="14"/>
        <v/>
      </c>
      <c r="Q149" s="216" t="str">
        <f t="shared" si="15"/>
        <v/>
      </c>
      <c r="R149" s="216" t="str">
        <f t="shared" si="16"/>
        <v/>
      </c>
      <c r="S149" s="217" t="str">
        <f t="shared" si="17"/>
        <v/>
      </c>
    </row>
    <row r="150" spans="1:19" ht="15.75" hidden="1" thickBot="1" x14ac:dyDescent="0.3">
      <c r="A150" s="256" t="s">
        <v>44</v>
      </c>
      <c r="B150" s="259" t="str">
        <f>INDEX(Orçamentária!A:B,MATCH(Composições!A150,Orçamentária!A:A,0),2)</f>
        <v>Remoção de louças</v>
      </c>
      <c r="C150" s="40"/>
      <c r="D150" s="25" t="s">
        <v>16</v>
      </c>
      <c r="E150" s="26"/>
      <c r="F150" s="41" t="s">
        <v>416</v>
      </c>
      <c r="G150" s="27" t="str">
        <f t="shared" si="12"/>
        <v/>
      </c>
      <c r="H150" s="28"/>
      <c r="I150" s="29"/>
      <c r="J150" s="152">
        <v>0</v>
      </c>
      <c r="L150" s="218"/>
      <c r="M150" s="41"/>
      <c r="N150" s="27" t="str">
        <f t="shared" si="13"/>
        <v/>
      </c>
      <c r="O150" s="28"/>
      <c r="P150" s="36" t="str">
        <f t="shared" si="14"/>
        <v/>
      </c>
      <c r="Q150" s="216" t="str">
        <f t="shared" si="15"/>
        <v/>
      </c>
      <c r="R150" s="216" t="str">
        <f t="shared" si="16"/>
        <v/>
      </c>
      <c r="S150" s="217" t="str">
        <f t="shared" si="17"/>
        <v/>
      </c>
    </row>
    <row r="151" spans="1:19" ht="15.75" hidden="1" thickBot="1" x14ac:dyDescent="0.3">
      <c r="A151" s="262"/>
      <c r="B151" s="260"/>
      <c r="C151" s="31"/>
      <c r="D151" s="31"/>
      <c r="E151" s="32"/>
      <c r="F151" s="42" t="s">
        <v>416</v>
      </c>
      <c r="G151" s="30" t="str">
        <f t="shared" si="12"/>
        <v/>
      </c>
      <c r="H151" s="34"/>
      <c r="I151" s="30"/>
      <c r="J151" s="152">
        <v>0</v>
      </c>
      <c r="L151" s="219"/>
      <c r="M151" s="42"/>
      <c r="N151" s="30" t="str">
        <f t="shared" si="13"/>
        <v/>
      </c>
      <c r="O151" s="34"/>
      <c r="P151" s="36" t="str">
        <f t="shared" si="14"/>
        <v/>
      </c>
      <c r="Q151" s="216" t="str">
        <f t="shared" si="15"/>
        <v/>
      </c>
      <c r="R151" s="216" t="str">
        <f t="shared" si="16"/>
        <v/>
      </c>
      <c r="S151" s="217" t="str">
        <f t="shared" si="17"/>
        <v/>
      </c>
    </row>
    <row r="152" spans="1:19" ht="26.25" hidden="1" thickBot="1" x14ac:dyDescent="0.3">
      <c r="A152" s="262"/>
      <c r="B152" s="260"/>
      <c r="C152" s="35" t="s">
        <v>825</v>
      </c>
      <c r="D152" s="35" t="s">
        <v>583</v>
      </c>
      <c r="E152" s="36">
        <v>0.17549999999999999</v>
      </c>
      <c r="F152" s="30">
        <v>26.799499999999998</v>
      </c>
      <c r="G152" s="33">
        <f t="shared" si="12"/>
        <v>4.7033122499999998</v>
      </c>
      <c r="H152" s="38">
        <f>SUM(G152:G153)</f>
        <v>11.677064649999998</v>
      </c>
      <c r="I152" s="39"/>
      <c r="J152" s="152">
        <v>0</v>
      </c>
      <c r="L152" s="215">
        <v>0.17549999999999999</v>
      </c>
      <c r="M152" s="30">
        <v>22.940372</v>
      </c>
      <c r="N152" s="33">
        <f t="shared" si="13"/>
        <v>4.0260352859999999</v>
      </c>
      <c r="O152" s="38">
        <f>SUM(N152:N153)</f>
        <v>9.9955673403999974</v>
      </c>
      <c r="P152" s="36" t="str">
        <f t="shared" si="14"/>
        <v/>
      </c>
      <c r="Q152" s="216">
        <f t="shared" si="15"/>
        <v>0.14399999999999991</v>
      </c>
      <c r="R152" s="216">
        <f t="shared" si="16"/>
        <v>0.14400000000000002</v>
      </c>
      <c r="S152" s="217">
        <f t="shared" si="17"/>
        <v>0.14400000000000013</v>
      </c>
    </row>
    <row r="153" spans="1:19" ht="15.75" hidden="1" thickBot="1" x14ac:dyDescent="0.3">
      <c r="A153" s="262"/>
      <c r="B153" s="260"/>
      <c r="C153" s="35" t="s">
        <v>584</v>
      </c>
      <c r="D153" s="35" t="s">
        <v>583</v>
      </c>
      <c r="E153" s="36">
        <v>0.3448</v>
      </c>
      <c r="F153" s="30">
        <v>20.225499999999997</v>
      </c>
      <c r="G153" s="33">
        <f t="shared" si="12"/>
        <v>6.9737523999999986</v>
      </c>
      <c r="H153" s="43"/>
      <c r="I153" s="39"/>
      <c r="J153" s="152">
        <v>0</v>
      </c>
      <c r="L153" s="215">
        <v>0.3448</v>
      </c>
      <c r="M153" s="30">
        <v>17.313027999999996</v>
      </c>
      <c r="N153" s="33">
        <f t="shared" si="13"/>
        <v>5.9695320543999983</v>
      </c>
      <c r="O153" s="43"/>
      <c r="P153" s="36" t="str">
        <f t="shared" si="14"/>
        <v/>
      </c>
      <c r="Q153" s="216">
        <f t="shared" si="15"/>
        <v>0.14400000000000013</v>
      </c>
      <c r="R153" s="216">
        <f t="shared" si="16"/>
        <v>0.14400000000000002</v>
      </c>
      <c r="S153" s="217" t="str">
        <f t="shared" si="17"/>
        <v/>
      </c>
    </row>
    <row r="154" spans="1:19" ht="15.75" hidden="1" thickBot="1" x14ac:dyDescent="0.3">
      <c r="A154" s="263"/>
      <c r="B154" s="261"/>
      <c r="C154" s="35"/>
      <c r="D154" s="35"/>
      <c r="E154" s="36"/>
      <c r="F154" s="30" t="s">
        <v>416</v>
      </c>
      <c r="G154" s="30" t="str">
        <f t="shared" si="12"/>
        <v/>
      </c>
      <c r="H154" s="34"/>
      <c r="I154" s="30"/>
      <c r="J154" s="152">
        <v>0</v>
      </c>
      <c r="L154" s="215"/>
      <c r="M154" s="30"/>
      <c r="N154" s="30" t="str">
        <f t="shared" si="13"/>
        <v/>
      </c>
      <c r="O154" s="34"/>
      <c r="P154" s="36" t="str">
        <f t="shared" si="14"/>
        <v/>
      </c>
      <c r="Q154" s="216" t="str">
        <f t="shared" si="15"/>
        <v/>
      </c>
      <c r="R154" s="216" t="str">
        <f t="shared" si="16"/>
        <v/>
      </c>
      <c r="S154" s="217" t="str">
        <f t="shared" si="17"/>
        <v/>
      </c>
    </row>
    <row r="155" spans="1:19" ht="15.75" hidden="1" thickBot="1" x14ac:dyDescent="0.3">
      <c r="A155" s="256" t="s">
        <v>45</v>
      </c>
      <c r="B155" s="259" t="str">
        <f>INDEX(Orçamentária!A:B,MATCH(Composições!A155,Orçamentária!A:A,0),2)</f>
        <v>Remoção de luminária</v>
      </c>
      <c r="C155" s="40"/>
      <c r="D155" s="25" t="s">
        <v>16</v>
      </c>
      <c r="E155" s="26"/>
      <c r="F155" s="41" t="s">
        <v>416</v>
      </c>
      <c r="G155" s="27" t="str">
        <f t="shared" si="12"/>
        <v/>
      </c>
      <c r="H155" s="28"/>
      <c r="I155" s="29"/>
      <c r="J155" s="152">
        <v>0</v>
      </c>
      <c r="L155" s="218"/>
      <c r="M155" s="41"/>
      <c r="N155" s="27" t="str">
        <f t="shared" si="13"/>
        <v/>
      </c>
      <c r="O155" s="28"/>
      <c r="P155" s="36" t="str">
        <f t="shared" si="14"/>
        <v/>
      </c>
      <c r="Q155" s="216" t="str">
        <f t="shared" si="15"/>
        <v/>
      </c>
      <c r="R155" s="216" t="str">
        <f t="shared" si="16"/>
        <v/>
      </c>
      <c r="S155" s="217" t="str">
        <f t="shared" si="17"/>
        <v/>
      </c>
    </row>
    <row r="156" spans="1:19" ht="15.75" hidden="1" thickBot="1" x14ac:dyDescent="0.3">
      <c r="A156" s="257"/>
      <c r="B156" s="260"/>
      <c r="C156" s="31"/>
      <c r="D156" s="31"/>
      <c r="E156" s="32"/>
      <c r="F156" s="42" t="s">
        <v>416</v>
      </c>
      <c r="G156" s="30" t="str">
        <f t="shared" si="12"/>
        <v/>
      </c>
      <c r="H156" s="34"/>
      <c r="I156" s="30"/>
      <c r="J156" s="152">
        <v>0</v>
      </c>
      <c r="L156" s="219"/>
      <c r="M156" s="42"/>
      <c r="N156" s="30" t="str">
        <f t="shared" si="13"/>
        <v/>
      </c>
      <c r="O156" s="34"/>
      <c r="P156" s="36" t="str">
        <f t="shared" si="14"/>
        <v/>
      </c>
      <c r="Q156" s="216" t="str">
        <f t="shared" si="15"/>
        <v/>
      </c>
      <c r="R156" s="216" t="str">
        <f t="shared" si="16"/>
        <v/>
      </c>
      <c r="S156" s="217" t="str">
        <f t="shared" si="17"/>
        <v/>
      </c>
    </row>
    <row r="157" spans="1:19" ht="15.75" hidden="1" thickBot="1" x14ac:dyDescent="0.3">
      <c r="A157" s="257"/>
      <c r="B157" s="260"/>
      <c r="C157" s="35" t="s">
        <v>1018</v>
      </c>
      <c r="D157" s="35" t="s">
        <v>583</v>
      </c>
      <c r="E157" s="36">
        <f>0.0183*5</f>
        <v>9.1499999999999998E-2</v>
      </c>
      <c r="F157" s="30">
        <v>27.835000000000001</v>
      </c>
      <c r="G157" s="33">
        <f t="shared" si="12"/>
        <v>2.5469024999999998</v>
      </c>
      <c r="H157" s="38">
        <f>SUM(G157:G158)</f>
        <v>6.1773797499999992</v>
      </c>
      <c r="I157" s="39"/>
      <c r="J157" s="152">
        <v>0</v>
      </c>
      <c r="L157" s="215">
        <v>9.1499999999999998E-2</v>
      </c>
      <c r="M157" s="30">
        <v>23.82676</v>
      </c>
      <c r="N157" s="33">
        <f t="shared" si="13"/>
        <v>2.1801485399999998</v>
      </c>
      <c r="O157" s="38">
        <f>SUM(N157:N158)</f>
        <v>5.2878370659999989</v>
      </c>
      <c r="P157" s="36" t="str">
        <f t="shared" si="14"/>
        <v/>
      </c>
      <c r="Q157" s="216">
        <f t="shared" si="15"/>
        <v>0.14400000000000002</v>
      </c>
      <c r="R157" s="216">
        <f t="shared" si="16"/>
        <v>0.14400000000000002</v>
      </c>
      <c r="S157" s="217">
        <f t="shared" si="17"/>
        <v>0.14400000000000002</v>
      </c>
    </row>
    <row r="158" spans="1:19" ht="15.75" hidden="1" thickBot="1" x14ac:dyDescent="0.3">
      <c r="A158" s="257"/>
      <c r="B158" s="260"/>
      <c r="C158" s="35" t="s">
        <v>584</v>
      </c>
      <c r="D158" s="35" t="s">
        <v>583</v>
      </c>
      <c r="E158" s="36">
        <f>0.0359*5</f>
        <v>0.17949999999999999</v>
      </c>
      <c r="F158" s="30">
        <v>20.225499999999997</v>
      </c>
      <c r="G158" s="33">
        <f t="shared" si="12"/>
        <v>3.6304772499999993</v>
      </c>
      <c r="H158" s="44"/>
      <c r="I158" s="45"/>
      <c r="J158" s="152">
        <v>0</v>
      </c>
      <c r="L158" s="215">
        <v>0.17949999999999999</v>
      </c>
      <c r="M158" s="30">
        <v>17.313027999999996</v>
      </c>
      <c r="N158" s="33">
        <f t="shared" si="13"/>
        <v>3.1076885259999991</v>
      </c>
      <c r="O158" s="44"/>
      <c r="P158" s="36" t="str">
        <f t="shared" si="14"/>
        <v/>
      </c>
      <c r="Q158" s="216">
        <f t="shared" si="15"/>
        <v>0.14400000000000013</v>
      </c>
      <c r="R158" s="216">
        <f t="shared" si="16"/>
        <v>0.14400000000000013</v>
      </c>
      <c r="S158" s="217" t="str">
        <f t="shared" si="17"/>
        <v/>
      </c>
    </row>
    <row r="159" spans="1:19" ht="15.75" hidden="1" thickBot="1" x14ac:dyDescent="0.3">
      <c r="A159" s="257"/>
      <c r="B159" s="260"/>
      <c r="C159" s="35"/>
      <c r="D159" s="35"/>
      <c r="E159" s="36"/>
      <c r="F159" s="30" t="s">
        <v>416</v>
      </c>
      <c r="G159" s="30" t="str">
        <f t="shared" si="12"/>
        <v/>
      </c>
      <c r="H159" s="34"/>
      <c r="I159" s="30"/>
      <c r="J159" s="152">
        <v>0</v>
      </c>
      <c r="L159" s="215"/>
      <c r="M159" s="30"/>
      <c r="N159" s="30" t="str">
        <f t="shared" si="13"/>
        <v/>
      </c>
      <c r="O159" s="34"/>
      <c r="P159" s="36" t="str">
        <f t="shared" si="14"/>
        <v/>
      </c>
      <c r="Q159" s="216" t="str">
        <f t="shared" si="15"/>
        <v/>
      </c>
      <c r="R159" s="216" t="str">
        <f t="shared" si="16"/>
        <v/>
      </c>
      <c r="S159" s="217" t="str">
        <f t="shared" si="17"/>
        <v/>
      </c>
    </row>
    <row r="160" spans="1:19" ht="15.75" hidden="1" thickBot="1" x14ac:dyDescent="0.3">
      <c r="A160" s="257"/>
      <c r="B160" s="260"/>
      <c r="C160" s="47" t="s">
        <v>46</v>
      </c>
      <c r="D160" s="35"/>
      <c r="E160" s="36"/>
      <c r="F160" s="30" t="s">
        <v>416</v>
      </c>
      <c r="G160" s="30" t="str">
        <f t="shared" si="12"/>
        <v/>
      </c>
      <c r="H160" s="34"/>
      <c r="I160" s="30"/>
      <c r="J160" s="152">
        <v>0</v>
      </c>
      <c r="L160" s="215"/>
      <c r="M160" s="30"/>
      <c r="N160" s="30" t="str">
        <f t="shared" si="13"/>
        <v/>
      </c>
      <c r="O160" s="34"/>
      <c r="P160" s="36" t="str">
        <f t="shared" si="14"/>
        <v/>
      </c>
      <c r="Q160" s="216" t="str">
        <f t="shared" si="15"/>
        <v/>
      </c>
      <c r="R160" s="216" t="str">
        <f t="shared" si="16"/>
        <v/>
      </c>
      <c r="S160" s="217" t="str">
        <f t="shared" si="17"/>
        <v/>
      </c>
    </row>
    <row r="161" spans="1:19" ht="15.75" hidden="1" thickBot="1" x14ac:dyDescent="0.3">
      <c r="A161" s="258"/>
      <c r="B161" s="261"/>
      <c r="C161" s="35"/>
      <c r="D161" s="35"/>
      <c r="E161" s="36"/>
      <c r="F161" s="30" t="s">
        <v>416</v>
      </c>
      <c r="G161" s="30" t="str">
        <f t="shared" si="12"/>
        <v/>
      </c>
      <c r="H161" s="34"/>
      <c r="I161" s="30"/>
      <c r="J161" s="152">
        <v>0</v>
      </c>
      <c r="L161" s="215"/>
      <c r="M161" s="30"/>
      <c r="N161" s="30" t="str">
        <f t="shared" si="13"/>
        <v/>
      </c>
      <c r="O161" s="34"/>
      <c r="P161" s="36" t="str">
        <f t="shared" si="14"/>
        <v/>
      </c>
      <c r="Q161" s="216" t="str">
        <f t="shared" si="15"/>
        <v/>
      </c>
      <c r="R161" s="216" t="str">
        <f t="shared" si="16"/>
        <v/>
      </c>
      <c r="S161" s="217" t="str">
        <f t="shared" si="17"/>
        <v/>
      </c>
    </row>
    <row r="162" spans="1:19" ht="15.75" hidden="1" thickBot="1" x14ac:dyDescent="0.3">
      <c r="A162" s="256" t="s">
        <v>47</v>
      </c>
      <c r="B162" s="259" t="str">
        <f>INDEX(Orçamentária!A:B,MATCH(Composições!A162,Orçamentária!A:A,0),2)</f>
        <v>Remoção de metais e acessórios</v>
      </c>
      <c r="C162" s="40"/>
      <c r="D162" s="25" t="s">
        <v>16</v>
      </c>
      <c r="E162" s="26"/>
      <c r="F162" s="41" t="s">
        <v>416</v>
      </c>
      <c r="G162" s="27" t="str">
        <f t="shared" si="12"/>
        <v/>
      </c>
      <c r="H162" s="28"/>
      <c r="I162" s="29"/>
      <c r="J162" s="152">
        <v>0</v>
      </c>
      <c r="L162" s="218"/>
      <c r="M162" s="41"/>
      <c r="N162" s="27" t="str">
        <f t="shared" si="13"/>
        <v/>
      </c>
      <c r="O162" s="28"/>
      <c r="P162" s="36" t="str">
        <f t="shared" si="14"/>
        <v/>
      </c>
      <c r="Q162" s="216" t="str">
        <f t="shared" si="15"/>
        <v/>
      </c>
      <c r="R162" s="216" t="str">
        <f t="shared" si="16"/>
        <v/>
      </c>
      <c r="S162" s="217" t="str">
        <f t="shared" si="17"/>
        <v/>
      </c>
    </row>
    <row r="163" spans="1:19" ht="15.75" hidden="1" thickBot="1" x14ac:dyDescent="0.3">
      <c r="A163" s="262"/>
      <c r="B163" s="260"/>
      <c r="C163" s="31"/>
      <c r="D163" s="31"/>
      <c r="E163" s="32"/>
      <c r="F163" s="42" t="s">
        <v>416</v>
      </c>
      <c r="G163" s="30" t="str">
        <f t="shared" si="12"/>
        <v/>
      </c>
      <c r="H163" s="34"/>
      <c r="I163" s="30"/>
      <c r="J163" s="152">
        <v>0</v>
      </c>
      <c r="L163" s="219"/>
      <c r="M163" s="42"/>
      <c r="N163" s="30" t="str">
        <f t="shared" si="13"/>
        <v/>
      </c>
      <c r="O163" s="34"/>
      <c r="P163" s="36" t="str">
        <f t="shared" si="14"/>
        <v/>
      </c>
      <c r="Q163" s="216" t="str">
        <f t="shared" si="15"/>
        <v/>
      </c>
      <c r="R163" s="216" t="str">
        <f t="shared" si="16"/>
        <v/>
      </c>
      <c r="S163" s="217" t="str">
        <f t="shared" si="17"/>
        <v/>
      </c>
    </row>
    <row r="164" spans="1:19" ht="26.25" hidden="1" thickBot="1" x14ac:dyDescent="0.3">
      <c r="A164" s="262"/>
      <c r="B164" s="260"/>
      <c r="C164" s="35" t="s">
        <v>825</v>
      </c>
      <c r="D164" s="35" t="s">
        <v>583</v>
      </c>
      <c r="E164" s="36">
        <v>0.128</v>
      </c>
      <c r="F164" s="30">
        <v>26.799499999999998</v>
      </c>
      <c r="G164" s="33">
        <f t="shared" si="12"/>
        <v>3.4303360000000001</v>
      </c>
      <c r="H164" s="38">
        <f>SUM(G164:G165)</f>
        <v>8.5150266999999999</v>
      </c>
      <c r="I164" s="39"/>
      <c r="J164" s="152">
        <v>0</v>
      </c>
      <c r="L164" s="215">
        <v>0.128</v>
      </c>
      <c r="M164" s="30">
        <v>22.940372</v>
      </c>
      <c r="N164" s="33">
        <f t="shared" si="13"/>
        <v>2.9363676160000001</v>
      </c>
      <c r="O164" s="38">
        <f>SUM(N164:N165)</f>
        <v>7.2888628551999988</v>
      </c>
      <c r="P164" s="36" t="str">
        <f t="shared" si="14"/>
        <v/>
      </c>
      <c r="Q164" s="216">
        <f t="shared" si="15"/>
        <v>0.14399999999999991</v>
      </c>
      <c r="R164" s="216">
        <f t="shared" si="16"/>
        <v>0.14400000000000002</v>
      </c>
      <c r="S164" s="217">
        <f t="shared" si="17"/>
        <v>0.14400000000000013</v>
      </c>
    </row>
    <row r="165" spans="1:19" ht="15.75" hidden="1" thickBot="1" x14ac:dyDescent="0.3">
      <c r="A165" s="262"/>
      <c r="B165" s="260"/>
      <c r="C165" s="35" t="s">
        <v>584</v>
      </c>
      <c r="D165" s="35" t="s">
        <v>583</v>
      </c>
      <c r="E165" s="36">
        <v>0.25140000000000001</v>
      </c>
      <c r="F165" s="30">
        <v>20.225499999999997</v>
      </c>
      <c r="G165" s="33">
        <f t="shared" si="12"/>
        <v>5.0846906999999995</v>
      </c>
      <c r="H165" s="43"/>
      <c r="I165" s="39"/>
      <c r="J165" s="152">
        <v>0</v>
      </c>
      <c r="L165" s="215">
        <v>0.25140000000000001</v>
      </c>
      <c r="M165" s="30">
        <v>17.313027999999996</v>
      </c>
      <c r="N165" s="33">
        <f t="shared" si="13"/>
        <v>4.3524952391999987</v>
      </c>
      <c r="O165" s="43"/>
      <c r="P165" s="36" t="str">
        <f t="shared" si="14"/>
        <v/>
      </c>
      <c r="Q165" s="216">
        <f t="shared" si="15"/>
        <v>0.14400000000000013</v>
      </c>
      <c r="R165" s="216">
        <f t="shared" si="16"/>
        <v>0.14400000000000013</v>
      </c>
      <c r="S165" s="217" t="str">
        <f t="shared" si="17"/>
        <v/>
      </c>
    </row>
    <row r="166" spans="1:19" ht="15.75" hidden="1" thickBot="1" x14ac:dyDescent="0.3">
      <c r="A166" s="263"/>
      <c r="B166" s="261"/>
      <c r="C166" s="35"/>
      <c r="D166" s="35"/>
      <c r="E166" s="36"/>
      <c r="F166" s="30" t="s">
        <v>416</v>
      </c>
      <c r="G166" s="30" t="str">
        <f t="shared" si="12"/>
        <v/>
      </c>
      <c r="H166" s="34"/>
      <c r="I166" s="30"/>
      <c r="J166" s="152">
        <v>0</v>
      </c>
      <c r="L166" s="215"/>
      <c r="M166" s="30"/>
      <c r="N166" s="30" t="str">
        <f t="shared" si="13"/>
        <v/>
      </c>
      <c r="O166" s="34"/>
      <c r="P166" s="36" t="str">
        <f t="shared" si="14"/>
        <v/>
      </c>
      <c r="Q166" s="216" t="str">
        <f t="shared" si="15"/>
        <v/>
      </c>
      <c r="R166" s="216" t="str">
        <f t="shared" si="16"/>
        <v/>
      </c>
      <c r="S166" s="217" t="str">
        <f t="shared" si="17"/>
        <v/>
      </c>
    </row>
    <row r="167" spans="1:19" ht="15.75" hidden="1" thickBot="1" x14ac:dyDescent="0.3">
      <c r="A167" s="256" t="s">
        <v>48</v>
      </c>
      <c r="B167" s="259" t="str">
        <f>INDEX(Orçamentária!A:B,MATCH(Composições!A167,Orçamentária!A:A,0),2)</f>
        <v>Remoção de painéis de vidro temperado</v>
      </c>
      <c r="C167" s="40"/>
      <c r="D167" s="25" t="s">
        <v>70</v>
      </c>
      <c r="E167" s="26"/>
      <c r="F167" s="41" t="s">
        <v>416</v>
      </c>
      <c r="G167" s="27" t="str">
        <f t="shared" si="12"/>
        <v/>
      </c>
      <c r="H167" s="28"/>
      <c r="I167" s="29"/>
      <c r="J167" s="152">
        <v>0</v>
      </c>
      <c r="L167" s="218"/>
      <c r="M167" s="41"/>
      <c r="N167" s="27" t="str">
        <f t="shared" si="13"/>
        <v/>
      </c>
      <c r="O167" s="28"/>
      <c r="P167" s="36" t="str">
        <f t="shared" si="14"/>
        <v/>
      </c>
      <c r="Q167" s="216" t="str">
        <f t="shared" si="15"/>
        <v/>
      </c>
      <c r="R167" s="216" t="str">
        <f t="shared" si="16"/>
        <v/>
      </c>
      <c r="S167" s="217" t="str">
        <f t="shared" si="17"/>
        <v/>
      </c>
    </row>
    <row r="168" spans="1:19" ht="15.75" hidden="1" thickBot="1" x14ac:dyDescent="0.3">
      <c r="A168" s="262"/>
      <c r="B168" s="260"/>
      <c r="C168" s="31"/>
      <c r="D168" s="31"/>
      <c r="E168" s="32"/>
      <c r="F168" s="42" t="s">
        <v>416</v>
      </c>
      <c r="G168" s="30" t="str">
        <f t="shared" si="12"/>
        <v/>
      </c>
      <c r="H168" s="34"/>
      <c r="I168" s="30"/>
      <c r="J168" s="152">
        <v>0</v>
      </c>
      <c r="L168" s="219"/>
      <c r="M168" s="42"/>
      <c r="N168" s="30" t="str">
        <f t="shared" si="13"/>
        <v/>
      </c>
      <c r="O168" s="34"/>
      <c r="P168" s="36" t="str">
        <f t="shared" si="14"/>
        <v/>
      </c>
      <c r="Q168" s="216" t="str">
        <f t="shared" si="15"/>
        <v/>
      </c>
      <c r="R168" s="216" t="str">
        <f t="shared" si="16"/>
        <v/>
      </c>
      <c r="S168" s="217" t="str">
        <f t="shared" si="17"/>
        <v/>
      </c>
    </row>
    <row r="169" spans="1:19" ht="15.75" hidden="1" thickBot="1" x14ac:dyDescent="0.3">
      <c r="A169" s="262"/>
      <c r="B169" s="260"/>
      <c r="C169" s="35" t="s">
        <v>584</v>
      </c>
      <c r="D169" s="35" t="s">
        <v>583</v>
      </c>
      <c r="E169" s="36">
        <v>0.33800000000000002</v>
      </c>
      <c r="F169" s="30">
        <v>20.225499999999997</v>
      </c>
      <c r="G169" s="33">
        <f t="shared" si="12"/>
        <v>6.8362189999999989</v>
      </c>
      <c r="H169" s="38">
        <f>SUM(G169:G170)</f>
        <v>15.557446999999996</v>
      </c>
      <c r="I169" s="39"/>
      <c r="J169" s="152">
        <v>0</v>
      </c>
      <c r="L169" s="215">
        <v>0.33800000000000002</v>
      </c>
      <c r="M169" s="30">
        <v>17.313027999999996</v>
      </c>
      <c r="N169" s="33">
        <f t="shared" si="13"/>
        <v>5.8518034639999987</v>
      </c>
      <c r="O169" s="38">
        <f>SUM(N169:N170)</f>
        <v>13.317174631999997</v>
      </c>
      <c r="P169" s="36" t="str">
        <f t="shared" si="14"/>
        <v/>
      </c>
      <c r="Q169" s="216">
        <f t="shared" si="15"/>
        <v>0.14400000000000013</v>
      </c>
      <c r="R169" s="216">
        <f t="shared" si="16"/>
        <v>0.14400000000000002</v>
      </c>
      <c r="S169" s="217">
        <f t="shared" si="17"/>
        <v>0.14400000000000002</v>
      </c>
    </row>
    <row r="170" spans="1:19" ht="15.75" hidden="1" thickBot="1" x14ac:dyDescent="0.3">
      <c r="A170" s="262"/>
      <c r="B170" s="260"/>
      <c r="C170" s="35" t="s">
        <v>2909</v>
      </c>
      <c r="D170" s="35" t="s">
        <v>583</v>
      </c>
      <c r="E170" s="36">
        <v>0.34799999999999998</v>
      </c>
      <c r="F170" s="30">
        <v>25.060999999999996</v>
      </c>
      <c r="G170" s="33">
        <f t="shared" si="12"/>
        <v>8.7212279999999982</v>
      </c>
      <c r="H170" s="34"/>
      <c r="I170" s="30"/>
      <c r="J170" s="152">
        <v>0</v>
      </c>
      <c r="L170" s="215">
        <v>0.34799999999999998</v>
      </c>
      <c r="M170" s="30">
        <v>21.452215999999996</v>
      </c>
      <c r="N170" s="33">
        <f t="shared" si="13"/>
        <v>7.4653711679999981</v>
      </c>
      <c r="O170" s="34"/>
      <c r="P170" s="36" t="str">
        <f t="shared" si="14"/>
        <v/>
      </c>
      <c r="Q170" s="216">
        <f t="shared" si="15"/>
        <v>0.14400000000000002</v>
      </c>
      <c r="R170" s="216">
        <f t="shared" si="16"/>
        <v>0.14400000000000002</v>
      </c>
      <c r="S170" s="217" t="str">
        <f t="shared" si="17"/>
        <v/>
      </c>
    </row>
    <row r="171" spans="1:19" ht="15.75" hidden="1" thickBot="1" x14ac:dyDescent="0.3">
      <c r="A171" s="263"/>
      <c r="B171" s="261"/>
      <c r="C171" s="35"/>
      <c r="D171" s="35"/>
      <c r="E171" s="36"/>
      <c r="F171" s="30" t="s">
        <v>416</v>
      </c>
      <c r="G171" s="30" t="str">
        <f t="shared" si="12"/>
        <v/>
      </c>
      <c r="H171" s="34"/>
      <c r="I171" s="30"/>
      <c r="J171" s="152">
        <v>0</v>
      </c>
      <c r="L171" s="215"/>
      <c r="M171" s="30"/>
      <c r="N171" s="30" t="str">
        <f t="shared" si="13"/>
        <v/>
      </c>
      <c r="O171" s="34"/>
      <c r="P171" s="36" t="str">
        <f t="shared" si="14"/>
        <v/>
      </c>
      <c r="Q171" s="216" t="str">
        <f t="shared" si="15"/>
        <v/>
      </c>
      <c r="R171" s="216" t="str">
        <f t="shared" si="16"/>
        <v/>
      </c>
      <c r="S171" s="217" t="str">
        <f t="shared" si="17"/>
        <v/>
      </c>
    </row>
    <row r="172" spans="1:19" ht="15.75" hidden="1" thickBot="1" x14ac:dyDescent="0.3">
      <c r="A172" s="256" t="s">
        <v>49</v>
      </c>
      <c r="B172" s="259" t="str">
        <f>INDEX(Orçamentária!A:B,MATCH(Composições!A172,Orçamentária!A:A,0),2)</f>
        <v>Remoção de película</v>
      </c>
      <c r="C172" s="40"/>
      <c r="D172" s="25" t="s">
        <v>70</v>
      </c>
      <c r="E172" s="26"/>
      <c r="F172" s="41" t="s">
        <v>416</v>
      </c>
      <c r="G172" s="27" t="str">
        <f t="shared" si="12"/>
        <v/>
      </c>
      <c r="H172" s="28"/>
      <c r="I172" s="29"/>
      <c r="J172" s="152">
        <v>0</v>
      </c>
      <c r="L172" s="218"/>
      <c r="M172" s="41"/>
      <c r="N172" s="27" t="str">
        <f t="shared" si="13"/>
        <v/>
      </c>
      <c r="O172" s="28"/>
      <c r="P172" s="36" t="str">
        <f t="shared" si="14"/>
        <v/>
      </c>
      <c r="Q172" s="216" t="str">
        <f t="shared" si="15"/>
        <v/>
      </c>
      <c r="R172" s="216" t="str">
        <f t="shared" si="16"/>
        <v/>
      </c>
      <c r="S172" s="217" t="str">
        <f t="shared" si="17"/>
        <v/>
      </c>
    </row>
    <row r="173" spans="1:19" ht="15.75" hidden="1" thickBot="1" x14ac:dyDescent="0.3">
      <c r="A173" s="262"/>
      <c r="B173" s="260"/>
      <c r="C173" s="31"/>
      <c r="D173" s="31"/>
      <c r="E173" s="32"/>
      <c r="F173" s="42" t="s">
        <v>416</v>
      </c>
      <c r="G173" s="30" t="str">
        <f t="shared" si="12"/>
        <v/>
      </c>
      <c r="H173" s="34"/>
      <c r="I173" s="30"/>
      <c r="J173" s="152">
        <v>0</v>
      </c>
      <c r="L173" s="219"/>
      <c r="M173" s="42"/>
      <c r="N173" s="30" t="str">
        <f t="shared" si="13"/>
        <v/>
      </c>
      <c r="O173" s="34"/>
      <c r="P173" s="36" t="str">
        <f t="shared" si="14"/>
        <v/>
      </c>
      <c r="Q173" s="216" t="str">
        <f t="shared" si="15"/>
        <v/>
      </c>
      <c r="R173" s="216" t="str">
        <f t="shared" si="16"/>
        <v/>
      </c>
      <c r="S173" s="217" t="str">
        <f t="shared" si="17"/>
        <v/>
      </c>
    </row>
    <row r="174" spans="1:19" ht="15.75" hidden="1" thickBot="1" x14ac:dyDescent="0.3">
      <c r="A174" s="262"/>
      <c r="B174" s="260"/>
      <c r="C174" s="35" t="s">
        <v>2909</v>
      </c>
      <c r="D174" s="35" t="s">
        <v>583</v>
      </c>
      <c r="E174" s="36">
        <v>0.4</v>
      </c>
      <c r="F174" s="30">
        <v>25.060999999999996</v>
      </c>
      <c r="G174" s="33">
        <f t="shared" si="12"/>
        <v>10.0244</v>
      </c>
      <c r="H174" s="38">
        <f>SUM(G174:G174)</f>
        <v>10.0244</v>
      </c>
      <c r="I174" s="39"/>
      <c r="J174" s="152">
        <v>0</v>
      </c>
      <c r="L174" s="215">
        <v>0.4</v>
      </c>
      <c r="M174" s="30">
        <v>21.452215999999996</v>
      </c>
      <c r="N174" s="33">
        <f t="shared" si="13"/>
        <v>8.5808863999999989</v>
      </c>
      <c r="O174" s="38">
        <f>SUM(N174:N174)</f>
        <v>8.5808863999999989</v>
      </c>
      <c r="P174" s="36" t="str">
        <f t="shared" si="14"/>
        <v/>
      </c>
      <c r="Q174" s="216">
        <f t="shared" si="15"/>
        <v>0.14400000000000002</v>
      </c>
      <c r="R174" s="216">
        <f t="shared" si="16"/>
        <v>0.14400000000000013</v>
      </c>
      <c r="S174" s="217">
        <f t="shared" si="17"/>
        <v>0.14400000000000013</v>
      </c>
    </row>
    <row r="175" spans="1:19" ht="15.75" hidden="1" thickBot="1" x14ac:dyDescent="0.3">
      <c r="A175" s="263"/>
      <c r="B175" s="261"/>
      <c r="C175" s="35"/>
      <c r="D175" s="35"/>
      <c r="E175" s="36"/>
      <c r="F175" s="30" t="s">
        <v>416</v>
      </c>
      <c r="G175" s="30" t="str">
        <f t="shared" si="12"/>
        <v/>
      </c>
      <c r="H175" s="34"/>
      <c r="I175" s="30"/>
      <c r="J175" s="152">
        <v>0</v>
      </c>
      <c r="L175" s="215"/>
      <c r="M175" s="30"/>
      <c r="N175" s="30" t="str">
        <f t="shared" si="13"/>
        <v/>
      </c>
      <c r="O175" s="34"/>
      <c r="P175" s="36" t="str">
        <f t="shared" si="14"/>
        <v/>
      </c>
      <c r="Q175" s="216" t="str">
        <f t="shared" si="15"/>
        <v/>
      </c>
      <c r="R175" s="216" t="str">
        <f t="shared" si="16"/>
        <v/>
      </c>
      <c r="S175" s="217" t="str">
        <f t="shared" si="17"/>
        <v/>
      </c>
    </row>
    <row r="176" spans="1:19" ht="15.75" hidden="1" thickBot="1" x14ac:dyDescent="0.3">
      <c r="A176" s="256" t="s">
        <v>50</v>
      </c>
      <c r="B176" s="259" t="str">
        <f>INDEX(Orçamentária!A:B,MATCH(Composições!A176,Orçamentária!A:A,0),2)</f>
        <v>Remoção de persianas</v>
      </c>
      <c r="C176" s="40"/>
      <c r="D176" s="25" t="s">
        <v>69</v>
      </c>
      <c r="E176" s="26"/>
      <c r="F176" s="41" t="s">
        <v>416</v>
      </c>
      <c r="G176" s="27" t="str">
        <f t="shared" si="12"/>
        <v/>
      </c>
      <c r="H176" s="28"/>
      <c r="I176" s="29"/>
      <c r="J176" s="152">
        <v>0</v>
      </c>
      <c r="L176" s="218"/>
      <c r="M176" s="41"/>
      <c r="N176" s="27" t="str">
        <f t="shared" si="13"/>
        <v/>
      </c>
      <c r="O176" s="28"/>
      <c r="P176" s="36" t="str">
        <f t="shared" si="14"/>
        <v/>
      </c>
      <c r="Q176" s="216" t="str">
        <f t="shared" si="15"/>
        <v/>
      </c>
      <c r="R176" s="216" t="str">
        <f t="shared" si="16"/>
        <v/>
      </c>
      <c r="S176" s="217" t="str">
        <f t="shared" si="17"/>
        <v/>
      </c>
    </row>
    <row r="177" spans="1:19" ht="15.75" hidden="1" thickBot="1" x14ac:dyDescent="0.3">
      <c r="A177" s="262"/>
      <c r="B177" s="260"/>
      <c r="C177" s="31"/>
      <c r="D177" s="31"/>
      <c r="E177" s="32"/>
      <c r="F177" s="42" t="s">
        <v>416</v>
      </c>
      <c r="G177" s="30" t="str">
        <f t="shared" si="12"/>
        <v/>
      </c>
      <c r="H177" s="34"/>
      <c r="I177" s="30"/>
      <c r="J177" s="152">
        <v>0</v>
      </c>
      <c r="L177" s="219"/>
      <c r="M177" s="42"/>
      <c r="N177" s="30" t="str">
        <f t="shared" si="13"/>
        <v/>
      </c>
      <c r="O177" s="34"/>
      <c r="P177" s="36" t="str">
        <f t="shared" si="14"/>
        <v/>
      </c>
      <c r="Q177" s="216" t="str">
        <f t="shared" si="15"/>
        <v/>
      </c>
      <c r="R177" s="216" t="str">
        <f t="shared" si="16"/>
        <v/>
      </c>
      <c r="S177" s="217" t="str">
        <f t="shared" si="17"/>
        <v/>
      </c>
    </row>
    <row r="178" spans="1:19" ht="15.75" hidden="1" thickBot="1" x14ac:dyDescent="0.3">
      <c r="A178" s="262"/>
      <c r="B178" s="260"/>
      <c r="C178" s="35" t="s">
        <v>1233</v>
      </c>
      <c r="D178" s="35" t="s">
        <v>583</v>
      </c>
      <c r="E178" s="36">
        <f>ROUND(1/6,4)</f>
        <v>0.16669999999999999</v>
      </c>
      <c r="F178" s="30">
        <v>21.318000000000001</v>
      </c>
      <c r="G178" s="33">
        <f t="shared" si="12"/>
        <v>3.5537106000000001</v>
      </c>
      <c r="H178" s="38">
        <f>SUM(G178:G178)</f>
        <v>3.5537106000000001</v>
      </c>
      <c r="I178" s="39"/>
      <c r="J178" s="152">
        <v>0</v>
      </c>
      <c r="L178" s="215">
        <v>0.16669999999999999</v>
      </c>
      <c r="M178" s="30">
        <v>18.248208000000002</v>
      </c>
      <c r="N178" s="33">
        <f t="shared" si="13"/>
        <v>3.0419762736</v>
      </c>
      <c r="O178" s="38">
        <f>SUM(N178:N178)</f>
        <v>3.0419762736</v>
      </c>
      <c r="P178" s="36" t="str">
        <f t="shared" si="14"/>
        <v/>
      </c>
      <c r="Q178" s="216">
        <f t="shared" si="15"/>
        <v>0.14400000000000002</v>
      </c>
      <c r="R178" s="216">
        <f t="shared" si="16"/>
        <v>0.14400000000000002</v>
      </c>
      <c r="S178" s="217">
        <f t="shared" si="17"/>
        <v>0.14400000000000002</v>
      </c>
    </row>
    <row r="179" spans="1:19" ht="15.75" hidden="1" thickBot="1" x14ac:dyDescent="0.3">
      <c r="A179" s="263"/>
      <c r="B179" s="261"/>
      <c r="C179" s="35"/>
      <c r="D179" s="35"/>
      <c r="E179" s="36"/>
      <c r="F179" s="30" t="s">
        <v>416</v>
      </c>
      <c r="G179" s="30" t="str">
        <f t="shared" si="12"/>
        <v/>
      </c>
      <c r="H179" s="34"/>
      <c r="I179" s="30"/>
      <c r="J179" s="152">
        <v>0</v>
      </c>
      <c r="L179" s="215"/>
      <c r="M179" s="30"/>
      <c r="N179" s="30" t="str">
        <f t="shared" si="13"/>
        <v/>
      </c>
      <c r="O179" s="34"/>
      <c r="P179" s="36" t="str">
        <f t="shared" si="14"/>
        <v/>
      </c>
      <c r="Q179" s="216" t="str">
        <f t="shared" si="15"/>
        <v/>
      </c>
      <c r="R179" s="216" t="str">
        <f t="shared" si="16"/>
        <v/>
      </c>
      <c r="S179" s="217" t="str">
        <f t="shared" si="17"/>
        <v/>
      </c>
    </row>
    <row r="180" spans="1:19" ht="15.75" hidden="1" thickBot="1" x14ac:dyDescent="0.3">
      <c r="A180" s="256" t="s">
        <v>51</v>
      </c>
      <c r="B180" s="259" t="str">
        <f>INDEX(Orçamentária!A:B,MATCH(Composições!A180,Orçamentária!A:A,0),2)</f>
        <v>Remoção de pintura ou textura</v>
      </c>
      <c r="C180" s="40"/>
      <c r="D180" s="25" t="s">
        <v>70</v>
      </c>
      <c r="E180" s="26"/>
      <c r="F180" s="41" t="s">
        <v>416</v>
      </c>
      <c r="G180" s="27" t="str">
        <f t="shared" si="12"/>
        <v/>
      </c>
      <c r="H180" s="28"/>
      <c r="I180" s="29"/>
      <c r="J180" s="152">
        <v>0</v>
      </c>
      <c r="L180" s="218"/>
      <c r="M180" s="41"/>
      <c r="N180" s="27" t="str">
        <f t="shared" si="13"/>
        <v/>
      </c>
      <c r="O180" s="28"/>
      <c r="P180" s="36" t="str">
        <f t="shared" si="14"/>
        <v/>
      </c>
      <c r="Q180" s="216" t="str">
        <f t="shared" si="15"/>
        <v/>
      </c>
      <c r="R180" s="216" t="str">
        <f t="shared" si="16"/>
        <v/>
      </c>
      <c r="S180" s="217" t="str">
        <f t="shared" si="17"/>
        <v/>
      </c>
    </row>
    <row r="181" spans="1:19" ht="15.75" hidden="1" thickBot="1" x14ac:dyDescent="0.3">
      <c r="A181" s="262"/>
      <c r="B181" s="260"/>
      <c r="C181" s="31"/>
      <c r="D181" s="31"/>
      <c r="E181" s="32"/>
      <c r="F181" s="42" t="s">
        <v>416</v>
      </c>
      <c r="G181" s="30" t="str">
        <f t="shared" si="12"/>
        <v/>
      </c>
      <c r="H181" s="34"/>
      <c r="I181" s="30"/>
      <c r="J181" s="152">
        <v>0</v>
      </c>
      <c r="L181" s="219"/>
      <c r="M181" s="42"/>
      <c r="N181" s="30" t="str">
        <f t="shared" si="13"/>
        <v/>
      </c>
      <c r="O181" s="34"/>
      <c r="P181" s="36" t="str">
        <f t="shared" si="14"/>
        <v/>
      </c>
      <c r="Q181" s="216" t="str">
        <f t="shared" si="15"/>
        <v/>
      </c>
      <c r="R181" s="216" t="str">
        <f t="shared" si="16"/>
        <v/>
      </c>
      <c r="S181" s="217" t="str">
        <f t="shared" si="17"/>
        <v/>
      </c>
    </row>
    <row r="182" spans="1:19" ht="15.75" hidden="1" thickBot="1" x14ac:dyDescent="0.3">
      <c r="A182" s="262"/>
      <c r="B182" s="260"/>
      <c r="C182" s="35" t="s">
        <v>584</v>
      </c>
      <c r="D182" s="35" t="s">
        <v>583</v>
      </c>
      <c r="E182" s="36">
        <v>0.4</v>
      </c>
      <c r="F182" s="30">
        <v>20.225499999999997</v>
      </c>
      <c r="G182" s="33">
        <f t="shared" si="12"/>
        <v>8.0901999999999994</v>
      </c>
      <c r="H182" s="38">
        <f>SUM(G182:G182)</f>
        <v>8.0901999999999994</v>
      </c>
      <c r="I182" s="39"/>
      <c r="J182" s="152">
        <v>0</v>
      </c>
      <c r="L182" s="215">
        <v>0.4</v>
      </c>
      <c r="M182" s="30">
        <v>17.313027999999996</v>
      </c>
      <c r="N182" s="33">
        <f t="shared" si="13"/>
        <v>6.9252111999999988</v>
      </c>
      <c r="O182" s="38">
        <f>SUM(N182:N182)</f>
        <v>6.9252111999999988</v>
      </c>
      <c r="P182" s="36" t="str">
        <f t="shared" si="14"/>
        <v/>
      </c>
      <c r="Q182" s="216">
        <f t="shared" si="15"/>
        <v>0.14400000000000013</v>
      </c>
      <c r="R182" s="216">
        <f t="shared" si="16"/>
        <v>0.14400000000000013</v>
      </c>
      <c r="S182" s="217">
        <f t="shared" si="17"/>
        <v>0.14400000000000013</v>
      </c>
    </row>
    <row r="183" spans="1:19" ht="15.75" hidden="1" thickBot="1" x14ac:dyDescent="0.3">
      <c r="A183" s="263"/>
      <c r="B183" s="261"/>
      <c r="C183" s="35"/>
      <c r="D183" s="35"/>
      <c r="E183" s="36"/>
      <c r="F183" s="30" t="s">
        <v>416</v>
      </c>
      <c r="G183" s="30" t="str">
        <f t="shared" si="12"/>
        <v/>
      </c>
      <c r="H183" s="34"/>
      <c r="I183" s="30"/>
      <c r="J183" s="152">
        <v>0</v>
      </c>
      <c r="L183" s="215"/>
      <c r="M183" s="30"/>
      <c r="N183" s="30" t="str">
        <f t="shared" si="13"/>
        <v/>
      </c>
      <c r="O183" s="34"/>
      <c r="P183" s="36" t="str">
        <f t="shared" si="14"/>
        <v/>
      </c>
      <c r="Q183" s="216" t="str">
        <f t="shared" si="15"/>
        <v/>
      </c>
      <c r="R183" s="216" t="str">
        <f t="shared" si="16"/>
        <v/>
      </c>
      <c r="S183" s="217" t="str">
        <f t="shared" si="17"/>
        <v/>
      </c>
    </row>
    <row r="184" spans="1:19" ht="15.75" hidden="1" thickBot="1" x14ac:dyDescent="0.3">
      <c r="A184" s="256" t="s">
        <v>52</v>
      </c>
      <c r="B184" s="259" t="str">
        <f>INDEX(Orçamentária!A:B,MATCH(Composições!A184,Orçamentária!A:A,0),2)</f>
        <v>Remoção de placas de forro</v>
      </c>
      <c r="C184" s="40"/>
      <c r="D184" s="25" t="s">
        <v>70</v>
      </c>
      <c r="E184" s="26"/>
      <c r="F184" s="41" t="s">
        <v>416</v>
      </c>
      <c r="G184" s="27" t="str">
        <f t="shared" si="12"/>
        <v/>
      </c>
      <c r="H184" s="28"/>
      <c r="I184" s="29"/>
      <c r="J184" s="152">
        <v>0</v>
      </c>
      <c r="L184" s="218"/>
      <c r="M184" s="41"/>
      <c r="N184" s="27" t="str">
        <f t="shared" si="13"/>
        <v/>
      </c>
      <c r="O184" s="28"/>
      <c r="P184" s="36" t="str">
        <f t="shared" si="14"/>
        <v/>
      </c>
      <c r="Q184" s="216" t="str">
        <f t="shared" si="15"/>
        <v/>
      </c>
      <c r="R184" s="216" t="str">
        <f t="shared" si="16"/>
        <v/>
      </c>
      <c r="S184" s="217" t="str">
        <f t="shared" si="17"/>
        <v/>
      </c>
    </row>
    <row r="185" spans="1:19" ht="15.75" hidden="1" thickBot="1" x14ac:dyDescent="0.3">
      <c r="A185" s="262"/>
      <c r="B185" s="260"/>
      <c r="C185" s="31"/>
      <c r="D185" s="31"/>
      <c r="E185" s="32"/>
      <c r="F185" s="42" t="s">
        <v>416</v>
      </c>
      <c r="G185" s="30" t="str">
        <f t="shared" si="12"/>
        <v/>
      </c>
      <c r="H185" s="34"/>
      <c r="I185" s="30"/>
      <c r="J185" s="152">
        <v>0</v>
      </c>
      <c r="L185" s="219"/>
      <c r="M185" s="42"/>
      <c r="N185" s="30" t="str">
        <f t="shared" si="13"/>
        <v/>
      </c>
      <c r="O185" s="34"/>
      <c r="P185" s="36" t="str">
        <f t="shared" si="14"/>
        <v/>
      </c>
      <c r="Q185" s="216" t="str">
        <f t="shared" si="15"/>
        <v/>
      </c>
      <c r="R185" s="216" t="str">
        <f t="shared" si="16"/>
        <v/>
      </c>
      <c r="S185" s="217" t="str">
        <f t="shared" si="17"/>
        <v/>
      </c>
    </row>
    <row r="186" spans="1:19" ht="26.25" hidden="1" thickBot="1" x14ac:dyDescent="0.3">
      <c r="A186" s="262"/>
      <c r="B186" s="260"/>
      <c r="C186" s="35" t="s">
        <v>854</v>
      </c>
      <c r="D186" s="35" t="s">
        <v>583</v>
      </c>
      <c r="E186" s="36">
        <f>0.0258*3</f>
        <v>7.7399999999999997E-2</v>
      </c>
      <c r="F186" s="30">
        <v>20.719499999999996</v>
      </c>
      <c r="G186" s="33">
        <f t="shared" si="12"/>
        <v>1.6036892999999997</v>
      </c>
      <c r="H186" s="38">
        <f>SUM(G186:G187)</f>
        <v>4.6799878499999998</v>
      </c>
      <c r="I186" s="39"/>
      <c r="J186" s="152">
        <v>0</v>
      </c>
      <c r="L186" s="215">
        <v>7.7399999999999997E-2</v>
      </c>
      <c r="M186" s="30">
        <v>17.735891999999996</v>
      </c>
      <c r="N186" s="33">
        <f t="shared" si="13"/>
        <v>1.3727580407999997</v>
      </c>
      <c r="O186" s="38">
        <f>SUM(N186:N187)</f>
        <v>4.0060695995999991</v>
      </c>
      <c r="P186" s="36" t="str">
        <f t="shared" si="14"/>
        <v/>
      </c>
      <c r="Q186" s="216">
        <f t="shared" si="15"/>
        <v>0.14400000000000002</v>
      </c>
      <c r="R186" s="216">
        <f t="shared" si="16"/>
        <v>0.14400000000000002</v>
      </c>
      <c r="S186" s="217">
        <f t="shared" si="17"/>
        <v>0.14400000000000013</v>
      </c>
    </row>
    <row r="187" spans="1:19" ht="15.75" hidden="1" thickBot="1" x14ac:dyDescent="0.3">
      <c r="A187" s="262"/>
      <c r="B187" s="260"/>
      <c r="C187" s="35" t="s">
        <v>584</v>
      </c>
      <c r="D187" s="35" t="s">
        <v>583</v>
      </c>
      <c r="E187" s="36">
        <f>0.0507*3</f>
        <v>0.15210000000000001</v>
      </c>
      <c r="F187" s="30">
        <v>20.225499999999997</v>
      </c>
      <c r="G187" s="33">
        <f t="shared" si="12"/>
        <v>3.0762985499999997</v>
      </c>
      <c r="H187" s="34"/>
      <c r="I187" s="30"/>
      <c r="J187" s="152">
        <v>0</v>
      </c>
      <c r="L187" s="215">
        <v>0.15210000000000001</v>
      </c>
      <c r="M187" s="30">
        <v>17.313027999999996</v>
      </c>
      <c r="N187" s="33">
        <f t="shared" si="13"/>
        <v>2.6333115587999996</v>
      </c>
      <c r="O187" s="34"/>
      <c r="P187" s="36" t="str">
        <f t="shared" si="14"/>
        <v/>
      </c>
      <c r="Q187" s="216">
        <f t="shared" si="15"/>
        <v>0.14400000000000013</v>
      </c>
      <c r="R187" s="216">
        <f t="shared" si="16"/>
        <v>0.14400000000000002</v>
      </c>
      <c r="S187" s="217" t="str">
        <f t="shared" si="17"/>
        <v/>
      </c>
    </row>
    <row r="188" spans="1:19" ht="15.75" hidden="1" thickBot="1" x14ac:dyDescent="0.3">
      <c r="A188" s="262"/>
      <c r="B188" s="260"/>
      <c r="C188" s="35"/>
      <c r="D188" s="35"/>
      <c r="E188" s="36"/>
      <c r="F188" s="30" t="s">
        <v>416</v>
      </c>
      <c r="G188" s="33" t="str">
        <f t="shared" si="12"/>
        <v/>
      </c>
      <c r="H188" s="34"/>
      <c r="I188" s="30"/>
      <c r="J188" s="152">
        <v>0</v>
      </c>
      <c r="L188" s="215"/>
      <c r="M188" s="30"/>
      <c r="N188" s="33" t="str">
        <f t="shared" si="13"/>
        <v/>
      </c>
      <c r="O188" s="34"/>
      <c r="P188" s="36" t="str">
        <f t="shared" si="14"/>
        <v/>
      </c>
      <c r="Q188" s="216" t="str">
        <f t="shared" si="15"/>
        <v/>
      </c>
      <c r="R188" s="216" t="str">
        <f t="shared" si="16"/>
        <v/>
      </c>
      <c r="S188" s="217" t="str">
        <f t="shared" si="17"/>
        <v/>
      </c>
    </row>
    <row r="189" spans="1:19" ht="15.75" hidden="1" thickBot="1" x14ac:dyDescent="0.3">
      <c r="A189" s="262"/>
      <c r="B189" s="260"/>
      <c r="C189" s="47" t="s">
        <v>53</v>
      </c>
      <c r="D189" s="35"/>
      <c r="E189" s="36"/>
      <c r="F189" s="30" t="s">
        <v>416</v>
      </c>
      <c r="G189" s="33" t="str">
        <f t="shared" si="12"/>
        <v/>
      </c>
      <c r="H189" s="34"/>
      <c r="I189" s="30"/>
      <c r="J189" s="152">
        <v>0</v>
      </c>
      <c r="L189" s="215"/>
      <c r="M189" s="30"/>
      <c r="N189" s="33" t="str">
        <f t="shared" si="13"/>
        <v/>
      </c>
      <c r="O189" s="34"/>
      <c r="P189" s="36" t="str">
        <f t="shared" si="14"/>
        <v/>
      </c>
      <c r="Q189" s="216" t="str">
        <f t="shared" si="15"/>
        <v/>
      </c>
      <c r="R189" s="216" t="str">
        <f t="shared" si="16"/>
        <v/>
      </c>
      <c r="S189" s="217" t="str">
        <f t="shared" si="17"/>
        <v/>
      </c>
    </row>
    <row r="190" spans="1:19" ht="15.75" hidden="1" thickBot="1" x14ac:dyDescent="0.3">
      <c r="A190" s="263"/>
      <c r="B190" s="261"/>
      <c r="C190" s="35"/>
      <c r="D190" s="35"/>
      <c r="E190" s="36"/>
      <c r="F190" s="30" t="s">
        <v>416</v>
      </c>
      <c r="G190" s="30" t="str">
        <f t="shared" si="12"/>
        <v/>
      </c>
      <c r="H190" s="34"/>
      <c r="I190" s="30"/>
      <c r="J190" s="152">
        <v>0</v>
      </c>
      <c r="L190" s="215"/>
      <c r="M190" s="30"/>
      <c r="N190" s="30" t="str">
        <f t="shared" si="13"/>
        <v/>
      </c>
      <c r="O190" s="34"/>
      <c r="P190" s="36" t="str">
        <f t="shared" si="14"/>
        <v/>
      </c>
      <c r="Q190" s="216" t="str">
        <f t="shared" si="15"/>
        <v/>
      </c>
      <c r="R190" s="216" t="str">
        <f t="shared" si="16"/>
        <v/>
      </c>
      <c r="S190" s="217" t="str">
        <f t="shared" si="17"/>
        <v/>
      </c>
    </row>
    <row r="191" spans="1:19" ht="15.75" hidden="1" thickBot="1" x14ac:dyDescent="0.3">
      <c r="A191" s="256" t="s">
        <v>54</v>
      </c>
      <c r="B191" s="259" t="str">
        <f>INDEX(Orçamentária!A:B,MATCH(Composições!A191,Orçamentária!A:A,0),2)</f>
        <v>Remoção de quadros de elétricos ou de telecomunicações</v>
      </c>
      <c r="C191" s="40"/>
      <c r="D191" s="25" t="s">
        <v>16</v>
      </c>
      <c r="E191" s="26"/>
      <c r="F191" s="41" t="s">
        <v>416</v>
      </c>
      <c r="G191" s="27" t="str">
        <f t="shared" si="12"/>
        <v/>
      </c>
      <c r="H191" s="28"/>
      <c r="I191" s="29"/>
      <c r="J191" s="152">
        <v>0</v>
      </c>
      <c r="L191" s="218"/>
      <c r="M191" s="41"/>
      <c r="N191" s="27" t="str">
        <f t="shared" si="13"/>
        <v/>
      </c>
      <c r="O191" s="28"/>
      <c r="P191" s="36" t="str">
        <f t="shared" si="14"/>
        <v/>
      </c>
      <c r="Q191" s="216" t="str">
        <f t="shared" si="15"/>
        <v/>
      </c>
      <c r="R191" s="216" t="str">
        <f t="shared" si="16"/>
        <v/>
      </c>
      <c r="S191" s="217" t="str">
        <f t="shared" si="17"/>
        <v/>
      </c>
    </row>
    <row r="192" spans="1:19" ht="15.75" hidden="1" thickBot="1" x14ac:dyDescent="0.3">
      <c r="A192" s="262"/>
      <c r="B192" s="260"/>
      <c r="C192" s="31"/>
      <c r="D192" s="31"/>
      <c r="E192" s="32"/>
      <c r="F192" s="42" t="s">
        <v>416</v>
      </c>
      <c r="G192" s="30" t="str">
        <f t="shared" si="12"/>
        <v/>
      </c>
      <c r="H192" s="34"/>
      <c r="I192" s="30"/>
      <c r="J192" s="152">
        <v>0</v>
      </c>
      <c r="L192" s="219"/>
      <c r="M192" s="42"/>
      <c r="N192" s="30" t="str">
        <f t="shared" si="13"/>
        <v/>
      </c>
      <c r="O192" s="34"/>
      <c r="P192" s="36" t="str">
        <f t="shared" si="14"/>
        <v/>
      </c>
      <c r="Q192" s="216" t="str">
        <f t="shared" si="15"/>
        <v/>
      </c>
      <c r="R192" s="216" t="str">
        <f t="shared" si="16"/>
        <v/>
      </c>
      <c r="S192" s="217" t="str">
        <f t="shared" si="17"/>
        <v/>
      </c>
    </row>
    <row r="193" spans="1:19" ht="15.75" hidden="1" thickBot="1" x14ac:dyDescent="0.3">
      <c r="A193" s="262"/>
      <c r="B193" s="260"/>
      <c r="C193" s="35" t="s">
        <v>1017</v>
      </c>
      <c r="D193" s="35" t="s">
        <v>583</v>
      </c>
      <c r="E193" s="36">
        <v>0.5</v>
      </c>
      <c r="F193" s="30">
        <v>21.584</v>
      </c>
      <c r="G193" s="33">
        <f t="shared" si="12"/>
        <v>10.792</v>
      </c>
      <c r="H193" s="38">
        <f>SUM(G193:G196)</f>
        <v>72.095499999999987</v>
      </c>
      <c r="I193" s="39"/>
      <c r="J193" s="152">
        <v>0</v>
      </c>
      <c r="L193" s="215">
        <v>0.5</v>
      </c>
      <c r="M193" s="30">
        <v>18.475904</v>
      </c>
      <c r="N193" s="33">
        <f t="shared" si="13"/>
        <v>9.2379519999999999</v>
      </c>
      <c r="O193" s="38">
        <f>SUM(N193:N196)</f>
        <v>61.713747999999995</v>
      </c>
      <c r="P193" s="36" t="str">
        <f t="shared" si="14"/>
        <v/>
      </c>
      <c r="Q193" s="216">
        <f t="shared" si="15"/>
        <v>0.14400000000000002</v>
      </c>
      <c r="R193" s="216">
        <f t="shared" si="16"/>
        <v>0.14400000000000002</v>
      </c>
      <c r="S193" s="217">
        <f t="shared" si="17"/>
        <v>0.14399999999999991</v>
      </c>
    </row>
    <row r="194" spans="1:19" ht="15.75" hidden="1" thickBot="1" x14ac:dyDescent="0.3">
      <c r="A194" s="262"/>
      <c r="B194" s="260"/>
      <c r="C194" s="35" t="s">
        <v>1018</v>
      </c>
      <c r="D194" s="35" t="s">
        <v>583</v>
      </c>
      <c r="E194" s="36">
        <v>0.5</v>
      </c>
      <c r="F194" s="30">
        <v>27.835000000000001</v>
      </c>
      <c r="G194" s="33">
        <f t="shared" si="12"/>
        <v>13.9175</v>
      </c>
      <c r="H194" s="34"/>
      <c r="I194" s="30"/>
      <c r="J194" s="152">
        <v>0</v>
      </c>
      <c r="L194" s="215">
        <v>0.5</v>
      </c>
      <c r="M194" s="30">
        <v>23.82676</v>
      </c>
      <c r="N194" s="33">
        <f t="shared" si="13"/>
        <v>11.91338</v>
      </c>
      <c r="O194" s="34"/>
      <c r="P194" s="36" t="str">
        <f t="shared" si="14"/>
        <v/>
      </c>
      <c r="Q194" s="216">
        <f t="shared" si="15"/>
        <v>0.14400000000000002</v>
      </c>
      <c r="R194" s="216">
        <f t="shared" si="16"/>
        <v>0.14400000000000002</v>
      </c>
      <c r="S194" s="217" t="str">
        <f t="shared" si="17"/>
        <v/>
      </c>
    </row>
    <row r="195" spans="1:19" ht="15.75" hidden="1" thickBot="1" x14ac:dyDescent="0.3">
      <c r="A195" s="262"/>
      <c r="B195" s="260"/>
      <c r="C195" s="35" t="s">
        <v>591</v>
      </c>
      <c r="D195" s="35" t="s">
        <v>583</v>
      </c>
      <c r="E195" s="36">
        <v>1</v>
      </c>
      <c r="F195" s="30">
        <v>27.160499999999999</v>
      </c>
      <c r="G195" s="33">
        <f t="shared" si="12"/>
        <v>27.160499999999999</v>
      </c>
      <c r="H195" s="34"/>
      <c r="I195" s="30"/>
      <c r="J195" s="152">
        <v>0</v>
      </c>
      <c r="L195" s="215">
        <v>1</v>
      </c>
      <c r="M195" s="30">
        <v>23.249388</v>
      </c>
      <c r="N195" s="33">
        <f t="shared" si="13"/>
        <v>23.249388</v>
      </c>
      <c r="O195" s="34"/>
      <c r="P195" s="36" t="str">
        <f t="shared" si="14"/>
        <v/>
      </c>
      <c r="Q195" s="216">
        <f t="shared" si="15"/>
        <v>0.14400000000000002</v>
      </c>
      <c r="R195" s="216">
        <f t="shared" si="16"/>
        <v>0.14400000000000002</v>
      </c>
      <c r="S195" s="217" t="str">
        <f t="shared" si="17"/>
        <v/>
      </c>
    </row>
    <row r="196" spans="1:19" ht="15.75" hidden="1" thickBot="1" x14ac:dyDescent="0.3">
      <c r="A196" s="262"/>
      <c r="B196" s="260"/>
      <c r="C196" s="35" t="s">
        <v>584</v>
      </c>
      <c r="D196" s="35" t="s">
        <v>583</v>
      </c>
      <c r="E196" s="36">
        <v>1</v>
      </c>
      <c r="F196" s="30">
        <v>20.225499999999997</v>
      </c>
      <c r="G196" s="33">
        <f t="shared" si="12"/>
        <v>20.225499999999997</v>
      </c>
      <c r="H196" s="34"/>
      <c r="I196" s="30"/>
      <c r="J196" s="152">
        <v>0</v>
      </c>
      <c r="L196" s="215">
        <v>1</v>
      </c>
      <c r="M196" s="30">
        <v>17.313027999999996</v>
      </c>
      <c r="N196" s="33">
        <f t="shared" si="13"/>
        <v>17.313027999999996</v>
      </c>
      <c r="O196" s="34"/>
      <c r="P196" s="36" t="str">
        <f t="shared" si="14"/>
        <v/>
      </c>
      <c r="Q196" s="216">
        <f t="shared" si="15"/>
        <v>0.14400000000000013</v>
      </c>
      <c r="R196" s="216">
        <f t="shared" si="16"/>
        <v>0.14400000000000013</v>
      </c>
      <c r="S196" s="217" t="str">
        <f t="shared" si="17"/>
        <v/>
      </c>
    </row>
    <row r="197" spans="1:19" ht="15.75" hidden="1" thickBot="1" x14ac:dyDescent="0.3">
      <c r="A197" s="263"/>
      <c r="B197" s="261"/>
      <c r="C197" s="35"/>
      <c r="D197" s="35"/>
      <c r="E197" s="36"/>
      <c r="F197" s="30" t="s">
        <v>416</v>
      </c>
      <c r="G197" s="30" t="str">
        <f t="shared" si="12"/>
        <v/>
      </c>
      <c r="H197" s="34"/>
      <c r="I197" s="30"/>
      <c r="J197" s="152">
        <v>0</v>
      </c>
      <c r="L197" s="215"/>
      <c r="M197" s="30"/>
      <c r="N197" s="30" t="str">
        <f t="shared" si="13"/>
        <v/>
      </c>
      <c r="O197" s="34"/>
      <c r="P197" s="36" t="str">
        <f t="shared" si="14"/>
        <v/>
      </c>
      <c r="Q197" s="216" t="str">
        <f t="shared" si="15"/>
        <v/>
      </c>
      <c r="R197" s="216" t="str">
        <f t="shared" si="16"/>
        <v/>
      </c>
      <c r="S197" s="217" t="str">
        <f t="shared" si="17"/>
        <v/>
      </c>
    </row>
    <row r="198" spans="1:19" ht="15.75" hidden="1" thickBot="1" x14ac:dyDescent="0.3">
      <c r="A198" s="256" t="s">
        <v>55</v>
      </c>
      <c r="B198" s="259" t="str">
        <f>INDEX(Orçamentária!A:B,MATCH(Composições!A198,Orçamentária!A:A,0),2)</f>
        <v>Remoção de revestimento acústico</v>
      </c>
      <c r="C198" s="40"/>
      <c r="D198" s="25" t="s">
        <v>70</v>
      </c>
      <c r="E198" s="26"/>
      <c r="F198" s="41" t="s">
        <v>416</v>
      </c>
      <c r="G198" s="27" t="str">
        <f t="shared" ref="G198:G261" si="18">IF(ISNUMBER(F198),E198*F198,"")</f>
        <v/>
      </c>
      <c r="H198" s="28"/>
      <c r="I198" s="29"/>
      <c r="J198" s="152">
        <v>0</v>
      </c>
      <c r="L198" s="218"/>
      <c r="M198" s="41"/>
      <c r="N198" s="27" t="str">
        <f t="shared" ref="N198:N261" si="19">IF(ISNUMBER(M198),L198*M198,"")</f>
        <v/>
      </c>
      <c r="O198" s="28"/>
      <c r="P198" s="36" t="str">
        <f t="shared" si="14"/>
        <v/>
      </c>
      <c r="Q198" s="216" t="str">
        <f t="shared" si="15"/>
        <v/>
      </c>
      <c r="R198" s="216" t="str">
        <f t="shared" si="16"/>
        <v/>
      </c>
      <c r="S198" s="217" t="str">
        <f t="shared" si="17"/>
        <v/>
      </c>
    </row>
    <row r="199" spans="1:19" ht="15.75" hidden="1" thickBot="1" x14ac:dyDescent="0.3">
      <c r="A199" s="262"/>
      <c r="B199" s="260"/>
      <c r="C199" s="31"/>
      <c r="D199" s="31"/>
      <c r="E199" s="32"/>
      <c r="F199" s="42" t="s">
        <v>416</v>
      </c>
      <c r="G199" s="30" t="str">
        <f t="shared" si="18"/>
        <v/>
      </c>
      <c r="H199" s="34"/>
      <c r="I199" s="30"/>
      <c r="J199" s="152">
        <v>0</v>
      </c>
      <c r="L199" s="219"/>
      <c r="M199" s="42"/>
      <c r="N199" s="30" t="str">
        <f t="shared" si="19"/>
        <v/>
      </c>
      <c r="O199" s="34"/>
      <c r="P199" s="36" t="str">
        <f t="shared" si="14"/>
        <v/>
      </c>
      <c r="Q199" s="216" t="str">
        <f t="shared" si="15"/>
        <v/>
      </c>
      <c r="R199" s="216" t="str">
        <f t="shared" si="16"/>
        <v/>
      </c>
      <c r="S199" s="217" t="str">
        <f t="shared" si="17"/>
        <v/>
      </c>
    </row>
    <row r="200" spans="1:19" ht="15.75" hidden="1" thickBot="1" x14ac:dyDescent="0.3">
      <c r="A200" s="262"/>
      <c r="B200" s="260"/>
      <c r="C200" s="35" t="s">
        <v>584</v>
      </c>
      <c r="D200" s="35" t="s">
        <v>583</v>
      </c>
      <c r="E200" s="36">
        <v>0.2</v>
      </c>
      <c r="F200" s="30">
        <v>20.225499999999997</v>
      </c>
      <c r="G200" s="33">
        <f t="shared" si="18"/>
        <v>4.0450999999999997</v>
      </c>
      <c r="H200" s="38">
        <f>SUM(G200:G200)</f>
        <v>4.0450999999999997</v>
      </c>
      <c r="I200" s="39"/>
      <c r="J200" s="152">
        <v>0</v>
      </c>
      <c r="L200" s="215">
        <v>0.2</v>
      </c>
      <c r="M200" s="30">
        <v>17.313027999999996</v>
      </c>
      <c r="N200" s="33">
        <f t="shared" si="19"/>
        <v>3.4626055999999994</v>
      </c>
      <c r="O200" s="38">
        <f>SUM(N200:N200)</f>
        <v>3.4626055999999994</v>
      </c>
      <c r="P200" s="36" t="str">
        <f t="shared" ref="P200:P263" si="20">IF(ISBLANK(L200),"",IF($E200&lt;&gt;L200,"SIM",""))</f>
        <v/>
      </c>
      <c r="Q200" s="216">
        <f t="shared" ref="Q200:Q263" si="21">IF(M200="","",1-M200/$F200)</f>
        <v>0.14400000000000013</v>
      </c>
      <c r="R200" s="216">
        <f t="shared" ref="R200:R263" si="22">IF(N200="","",1-N200/$G200)</f>
        <v>0.14400000000000013</v>
      </c>
      <c r="S200" s="217">
        <f t="shared" ref="S200:S263" si="23">IF(O200="","",1-O200/$H200)</f>
        <v>0.14400000000000013</v>
      </c>
    </row>
    <row r="201" spans="1:19" ht="15.75" hidden="1" thickBot="1" x14ac:dyDescent="0.3">
      <c r="A201" s="263"/>
      <c r="B201" s="261"/>
      <c r="C201" s="35"/>
      <c r="D201" s="35"/>
      <c r="E201" s="36"/>
      <c r="F201" s="30" t="s">
        <v>416</v>
      </c>
      <c r="G201" s="30" t="str">
        <f t="shared" si="18"/>
        <v/>
      </c>
      <c r="H201" s="34"/>
      <c r="I201" s="30"/>
      <c r="J201" s="152">
        <v>0</v>
      </c>
      <c r="L201" s="215"/>
      <c r="M201" s="30"/>
      <c r="N201" s="30" t="str">
        <f t="shared" si="19"/>
        <v/>
      </c>
      <c r="O201" s="34"/>
      <c r="P201" s="36" t="str">
        <f t="shared" si="20"/>
        <v/>
      </c>
      <c r="Q201" s="216" t="str">
        <f t="shared" si="21"/>
        <v/>
      </c>
      <c r="R201" s="216" t="str">
        <f t="shared" si="22"/>
        <v/>
      </c>
      <c r="S201" s="217" t="str">
        <f t="shared" si="23"/>
        <v/>
      </c>
    </row>
    <row r="202" spans="1:19" ht="15.75" hidden="1" thickBot="1" x14ac:dyDescent="0.3">
      <c r="A202" s="256" t="s">
        <v>56</v>
      </c>
      <c r="B202" s="259" t="str">
        <f>INDEX(Orçamentária!A:B,MATCH(Composições!A202,Orçamentária!A:A,0),2)</f>
        <v>Remoção de rodapé/rodabanca de mármore ou granito</v>
      </c>
      <c r="C202" s="40"/>
      <c r="D202" s="25" t="s">
        <v>69</v>
      </c>
      <c r="E202" s="26"/>
      <c r="F202" s="41" t="s">
        <v>416</v>
      </c>
      <c r="G202" s="27" t="str">
        <f t="shared" si="18"/>
        <v/>
      </c>
      <c r="H202" s="28"/>
      <c r="I202" s="29"/>
      <c r="J202" s="152">
        <v>0</v>
      </c>
      <c r="L202" s="218"/>
      <c r="M202" s="41"/>
      <c r="N202" s="27" t="str">
        <f t="shared" si="19"/>
        <v/>
      </c>
      <c r="O202" s="28"/>
      <c r="P202" s="36" t="str">
        <f t="shared" si="20"/>
        <v/>
      </c>
      <c r="Q202" s="216" t="str">
        <f t="shared" si="21"/>
        <v/>
      </c>
      <c r="R202" s="216" t="str">
        <f t="shared" si="22"/>
        <v/>
      </c>
      <c r="S202" s="217" t="str">
        <f t="shared" si="23"/>
        <v/>
      </c>
    </row>
    <row r="203" spans="1:19" ht="15.75" hidden="1" thickBot="1" x14ac:dyDescent="0.3">
      <c r="A203" s="262"/>
      <c r="B203" s="260"/>
      <c r="C203" s="31"/>
      <c r="D203" s="31"/>
      <c r="E203" s="32"/>
      <c r="F203" s="42" t="s">
        <v>416</v>
      </c>
      <c r="G203" s="30" t="str">
        <f t="shared" si="18"/>
        <v/>
      </c>
      <c r="H203" s="34"/>
      <c r="I203" s="30"/>
      <c r="J203" s="152">
        <v>0</v>
      </c>
      <c r="L203" s="219"/>
      <c r="M203" s="42"/>
      <c r="N203" s="30" t="str">
        <f t="shared" si="19"/>
        <v/>
      </c>
      <c r="O203" s="34"/>
      <c r="P203" s="36" t="str">
        <f t="shared" si="20"/>
        <v/>
      </c>
      <c r="Q203" s="216" t="str">
        <f t="shared" si="21"/>
        <v/>
      </c>
      <c r="R203" s="216" t="str">
        <f t="shared" si="22"/>
        <v/>
      </c>
      <c r="S203" s="217" t="str">
        <f t="shared" si="23"/>
        <v/>
      </c>
    </row>
    <row r="204" spans="1:19" ht="15.75" hidden="1" thickBot="1" x14ac:dyDescent="0.3">
      <c r="A204" s="262"/>
      <c r="B204" s="260"/>
      <c r="C204" s="35" t="s">
        <v>584</v>
      </c>
      <c r="D204" s="35" t="s">
        <v>583</v>
      </c>
      <c r="E204" s="36">
        <f>0.437*0.2</f>
        <v>8.7400000000000005E-2</v>
      </c>
      <c r="F204" s="30">
        <v>20.225499999999997</v>
      </c>
      <c r="G204" s="33">
        <f t="shared" si="18"/>
        <v>1.7677086999999998</v>
      </c>
      <c r="H204" s="38">
        <f>SUM(G204:G204)</f>
        <v>1.7677086999999998</v>
      </c>
      <c r="I204" s="39"/>
      <c r="J204" s="152">
        <v>0</v>
      </c>
      <c r="L204" s="215">
        <v>8.7400000000000005E-2</v>
      </c>
      <c r="M204" s="30">
        <v>17.313027999999996</v>
      </c>
      <c r="N204" s="33">
        <f t="shared" si="19"/>
        <v>1.5131586471999998</v>
      </c>
      <c r="O204" s="38">
        <f>SUM(N204:N204)</f>
        <v>1.5131586471999998</v>
      </c>
      <c r="P204" s="36" t="str">
        <f t="shared" si="20"/>
        <v/>
      </c>
      <c r="Q204" s="216">
        <f t="shared" si="21"/>
        <v>0.14400000000000013</v>
      </c>
      <c r="R204" s="216">
        <f t="shared" si="22"/>
        <v>0.14400000000000002</v>
      </c>
      <c r="S204" s="217">
        <f t="shared" si="23"/>
        <v>0.14400000000000002</v>
      </c>
    </row>
    <row r="205" spans="1:19" ht="15.75" hidden="1" thickBot="1" x14ac:dyDescent="0.3">
      <c r="A205" s="262"/>
      <c r="B205" s="260"/>
      <c r="C205" s="35"/>
      <c r="D205" s="35"/>
      <c r="E205" s="36"/>
      <c r="F205" s="30" t="s">
        <v>416</v>
      </c>
      <c r="G205" s="33" t="str">
        <f t="shared" si="18"/>
        <v/>
      </c>
      <c r="H205" s="34"/>
      <c r="I205" s="30"/>
      <c r="J205" s="152">
        <v>0</v>
      </c>
      <c r="L205" s="215"/>
      <c r="M205" s="30"/>
      <c r="N205" s="33" t="str">
        <f t="shared" si="19"/>
        <v/>
      </c>
      <c r="O205" s="34"/>
      <c r="P205" s="36" t="str">
        <f t="shared" si="20"/>
        <v/>
      </c>
      <c r="Q205" s="216" t="str">
        <f t="shared" si="21"/>
        <v/>
      </c>
      <c r="R205" s="216" t="str">
        <f t="shared" si="22"/>
        <v/>
      </c>
      <c r="S205" s="217" t="str">
        <f t="shared" si="23"/>
        <v/>
      </c>
    </row>
    <row r="206" spans="1:19" ht="15.75" hidden="1" thickBot="1" x14ac:dyDescent="0.3">
      <c r="A206" s="256" t="s">
        <v>57</v>
      </c>
      <c r="B206" s="259" t="str">
        <f>INDEX(Orçamentária!A:B,MATCH(Composições!A206,Orçamentária!A:A,0),2)</f>
        <v>Remoção de rodapés de madeira</v>
      </c>
      <c r="C206" s="40"/>
      <c r="D206" s="25" t="s">
        <v>70</v>
      </c>
      <c r="E206" s="26"/>
      <c r="F206" s="41" t="s">
        <v>416</v>
      </c>
      <c r="G206" s="27" t="str">
        <f t="shared" si="18"/>
        <v/>
      </c>
      <c r="H206" s="28"/>
      <c r="I206" s="29"/>
      <c r="J206" s="152">
        <v>0</v>
      </c>
      <c r="L206" s="218"/>
      <c r="M206" s="41"/>
      <c r="N206" s="27" t="str">
        <f t="shared" si="19"/>
        <v/>
      </c>
      <c r="O206" s="28"/>
      <c r="P206" s="36" t="str">
        <f t="shared" si="20"/>
        <v/>
      </c>
      <c r="Q206" s="216" t="str">
        <f t="shared" si="21"/>
        <v/>
      </c>
      <c r="R206" s="216" t="str">
        <f t="shared" si="22"/>
        <v/>
      </c>
      <c r="S206" s="217" t="str">
        <f t="shared" si="23"/>
        <v/>
      </c>
    </row>
    <row r="207" spans="1:19" ht="15.75" hidden="1" thickBot="1" x14ac:dyDescent="0.3">
      <c r="A207" s="262"/>
      <c r="B207" s="260"/>
      <c r="C207" s="31"/>
      <c r="D207" s="31"/>
      <c r="E207" s="32"/>
      <c r="F207" s="42" t="s">
        <v>416</v>
      </c>
      <c r="G207" s="30" t="str">
        <f t="shared" si="18"/>
        <v/>
      </c>
      <c r="H207" s="34"/>
      <c r="I207" s="30"/>
      <c r="J207" s="152">
        <v>0</v>
      </c>
      <c r="L207" s="219"/>
      <c r="M207" s="42"/>
      <c r="N207" s="30" t="str">
        <f t="shared" si="19"/>
        <v/>
      </c>
      <c r="O207" s="34"/>
      <c r="P207" s="36" t="str">
        <f t="shared" si="20"/>
        <v/>
      </c>
      <c r="Q207" s="216" t="str">
        <f t="shared" si="21"/>
        <v/>
      </c>
      <c r="R207" s="216" t="str">
        <f t="shared" si="22"/>
        <v/>
      </c>
      <c r="S207" s="217" t="str">
        <f t="shared" si="23"/>
        <v/>
      </c>
    </row>
    <row r="208" spans="1:19" ht="15.75" hidden="1" thickBot="1" x14ac:dyDescent="0.3">
      <c r="A208" s="262"/>
      <c r="B208" s="260"/>
      <c r="C208" s="35" t="s">
        <v>862</v>
      </c>
      <c r="D208" s="35" t="s">
        <v>583</v>
      </c>
      <c r="E208" s="36">
        <v>0.25</v>
      </c>
      <c r="F208" s="30">
        <v>26.799499999999998</v>
      </c>
      <c r="G208" s="30">
        <f t="shared" si="18"/>
        <v>6.6998749999999996</v>
      </c>
      <c r="H208" s="38">
        <f>SUM(G208:G209)</f>
        <v>7.2055124999999993</v>
      </c>
      <c r="I208" s="39"/>
      <c r="J208" s="152">
        <v>0</v>
      </c>
      <c r="L208" s="215">
        <v>0.25</v>
      </c>
      <c r="M208" s="30">
        <v>22.940372</v>
      </c>
      <c r="N208" s="30">
        <f t="shared" si="19"/>
        <v>5.735093</v>
      </c>
      <c r="O208" s="38">
        <f>SUM(N208:N209)</f>
        <v>6.1679186999999995</v>
      </c>
      <c r="P208" s="36" t="str">
        <f t="shared" si="20"/>
        <v/>
      </c>
      <c r="Q208" s="216">
        <f t="shared" si="21"/>
        <v>0.14399999999999991</v>
      </c>
      <c r="R208" s="216">
        <f t="shared" si="22"/>
        <v>0.14399999999999991</v>
      </c>
      <c r="S208" s="217">
        <f t="shared" si="23"/>
        <v>0.14400000000000002</v>
      </c>
    </row>
    <row r="209" spans="1:19" ht="15.75" hidden="1" thickBot="1" x14ac:dyDescent="0.3">
      <c r="A209" s="262"/>
      <c r="B209" s="260"/>
      <c r="C209" s="35" t="s">
        <v>584</v>
      </c>
      <c r="D209" s="35" t="s">
        <v>583</v>
      </c>
      <c r="E209" s="36">
        <v>2.5000000000000001E-2</v>
      </c>
      <c r="F209" s="30">
        <v>20.225499999999997</v>
      </c>
      <c r="G209" s="33">
        <f t="shared" si="18"/>
        <v>0.50563749999999996</v>
      </c>
      <c r="H209" s="34"/>
      <c r="I209" s="30"/>
      <c r="J209" s="152">
        <v>0</v>
      </c>
      <c r="L209" s="215">
        <v>2.5000000000000001E-2</v>
      </c>
      <c r="M209" s="30">
        <v>17.313027999999996</v>
      </c>
      <c r="N209" s="33">
        <f t="shared" si="19"/>
        <v>0.43282569999999992</v>
      </c>
      <c r="O209" s="34"/>
      <c r="P209" s="36" t="str">
        <f t="shared" si="20"/>
        <v/>
      </c>
      <c r="Q209" s="216">
        <f t="shared" si="21"/>
        <v>0.14400000000000013</v>
      </c>
      <c r="R209" s="216">
        <f t="shared" si="22"/>
        <v>0.14400000000000013</v>
      </c>
      <c r="S209" s="217" t="str">
        <f t="shared" si="23"/>
        <v/>
      </c>
    </row>
    <row r="210" spans="1:19" ht="15.75" hidden="1" thickBot="1" x14ac:dyDescent="0.3">
      <c r="A210" s="263"/>
      <c r="B210" s="261"/>
      <c r="C210" s="35"/>
      <c r="D210" s="35"/>
      <c r="E210" s="36"/>
      <c r="F210" s="30" t="s">
        <v>416</v>
      </c>
      <c r="G210" s="30" t="str">
        <f t="shared" si="18"/>
        <v/>
      </c>
      <c r="H210" s="34"/>
      <c r="I210" s="30"/>
      <c r="J210" s="152">
        <v>0</v>
      </c>
      <c r="L210" s="215"/>
      <c r="M210" s="30"/>
      <c r="N210" s="30" t="str">
        <f t="shared" si="19"/>
        <v/>
      </c>
      <c r="O210" s="34"/>
      <c r="P210" s="36" t="str">
        <f t="shared" si="20"/>
        <v/>
      </c>
      <c r="Q210" s="216" t="str">
        <f t="shared" si="21"/>
        <v/>
      </c>
      <c r="R210" s="216" t="str">
        <f t="shared" si="22"/>
        <v/>
      </c>
      <c r="S210" s="217" t="str">
        <f t="shared" si="23"/>
        <v/>
      </c>
    </row>
    <row r="211" spans="1:19" ht="15.75" hidden="1" thickBot="1" x14ac:dyDescent="0.3">
      <c r="A211" s="256" t="s">
        <v>58</v>
      </c>
      <c r="B211" s="259" t="str">
        <f>INDEX(Orçamentária!A:B,MATCH(Composições!A211,Orçamentária!A:A,0),2)</f>
        <v>Remoção de soleira de mármore ou granito</v>
      </c>
      <c r="C211" s="40"/>
      <c r="D211" s="25" t="s">
        <v>69</v>
      </c>
      <c r="E211" s="26"/>
      <c r="F211" s="41" t="s">
        <v>416</v>
      </c>
      <c r="G211" s="27" t="str">
        <f t="shared" si="18"/>
        <v/>
      </c>
      <c r="H211" s="28"/>
      <c r="I211" s="29"/>
      <c r="J211" s="152">
        <v>0</v>
      </c>
      <c r="L211" s="218"/>
      <c r="M211" s="41"/>
      <c r="N211" s="27" t="str">
        <f t="shared" si="19"/>
        <v/>
      </c>
      <c r="O211" s="28"/>
      <c r="P211" s="36" t="str">
        <f t="shared" si="20"/>
        <v/>
      </c>
      <c r="Q211" s="216" t="str">
        <f t="shared" si="21"/>
        <v/>
      </c>
      <c r="R211" s="216" t="str">
        <f t="shared" si="22"/>
        <v/>
      </c>
      <c r="S211" s="217" t="str">
        <f t="shared" si="23"/>
        <v/>
      </c>
    </row>
    <row r="212" spans="1:19" ht="15.75" hidden="1" thickBot="1" x14ac:dyDescent="0.3">
      <c r="A212" s="262"/>
      <c r="B212" s="260"/>
      <c r="C212" s="31"/>
      <c r="D212" s="31"/>
      <c r="E212" s="32"/>
      <c r="F212" s="42" t="s">
        <v>416</v>
      </c>
      <c r="G212" s="30" t="str">
        <f t="shared" si="18"/>
        <v/>
      </c>
      <c r="H212" s="34"/>
      <c r="I212" s="30"/>
      <c r="J212" s="152">
        <v>0</v>
      </c>
      <c r="L212" s="219"/>
      <c r="M212" s="42"/>
      <c r="N212" s="30" t="str">
        <f t="shared" si="19"/>
        <v/>
      </c>
      <c r="O212" s="34"/>
      <c r="P212" s="36" t="str">
        <f t="shared" si="20"/>
        <v/>
      </c>
      <c r="Q212" s="216" t="str">
        <f t="shared" si="21"/>
        <v/>
      </c>
      <c r="R212" s="216" t="str">
        <f t="shared" si="22"/>
        <v/>
      </c>
      <c r="S212" s="217" t="str">
        <f t="shared" si="23"/>
        <v/>
      </c>
    </row>
    <row r="213" spans="1:19" ht="15.75" hidden="1" thickBot="1" x14ac:dyDescent="0.3">
      <c r="A213" s="262"/>
      <c r="B213" s="260"/>
      <c r="C213" s="35" t="s">
        <v>584</v>
      </c>
      <c r="D213" s="35" t="s">
        <v>583</v>
      </c>
      <c r="E213" s="36">
        <v>0.55000000000000004</v>
      </c>
      <c r="F213" s="30">
        <v>20.225499999999997</v>
      </c>
      <c r="G213" s="33">
        <f t="shared" si="18"/>
        <v>11.124025</v>
      </c>
      <c r="H213" s="38">
        <f>SUM(G213:G213)</f>
        <v>11.124025</v>
      </c>
      <c r="I213" s="39"/>
      <c r="J213" s="152">
        <v>0</v>
      </c>
      <c r="L213" s="215">
        <v>0.55000000000000004</v>
      </c>
      <c r="M213" s="30">
        <v>17.313027999999996</v>
      </c>
      <c r="N213" s="33">
        <f t="shared" si="19"/>
        <v>9.5221653999999987</v>
      </c>
      <c r="O213" s="38">
        <f>SUM(N213:N213)</f>
        <v>9.5221653999999987</v>
      </c>
      <c r="P213" s="36" t="str">
        <f t="shared" si="20"/>
        <v/>
      </c>
      <c r="Q213" s="216">
        <f t="shared" si="21"/>
        <v>0.14400000000000013</v>
      </c>
      <c r="R213" s="216">
        <f t="shared" si="22"/>
        <v>0.14400000000000013</v>
      </c>
      <c r="S213" s="217">
        <f t="shared" si="23"/>
        <v>0.14400000000000013</v>
      </c>
    </row>
    <row r="214" spans="1:19" ht="15.75" hidden="1" thickBot="1" x14ac:dyDescent="0.3">
      <c r="A214" s="263"/>
      <c r="B214" s="261"/>
      <c r="C214" s="35"/>
      <c r="D214" s="35"/>
      <c r="E214" s="36"/>
      <c r="F214" s="30" t="s">
        <v>416</v>
      </c>
      <c r="G214" s="30" t="str">
        <f t="shared" si="18"/>
        <v/>
      </c>
      <c r="H214" s="34"/>
      <c r="I214" s="30"/>
      <c r="J214" s="152">
        <v>0</v>
      </c>
      <c r="L214" s="215"/>
      <c r="M214" s="30"/>
      <c r="N214" s="30" t="str">
        <f t="shared" si="19"/>
        <v/>
      </c>
      <c r="O214" s="34"/>
      <c r="P214" s="36" t="str">
        <f t="shared" si="20"/>
        <v/>
      </c>
      <c r="Q214" s="216" t="str">
        <f t="shared" si="21"/>
        <v/>
      </c>
      <c r="R214" s="216" t="str">
        <f t="shared" si="22"/>
        <v/>
      </c>
      <c r="S214" s="217" t="str">
        <f t="shared" si="23"/>
        <v/>
      </c>
    </row>
    <row r="215" spans="1:19" ht="15.75" thickBot="1" x14ac:dyDescent="0.3">
      <c r="A215" s="256" t="s">
        <v>59</v>
      </c>
      <c r="B215" s="259" t="str">
        <f>INDEX(Orçamentária!A:B,MATCH(Composições!A215,Orçamentária!A:A,0),2)</f>
        <v>Remoção de split/fancolete/ACJ (equipamento unitário)</v>
      </c>
      <c r="C215" s="40"/>
      <c r="D215" s="25" t="s">
        <v>16</v>
      </c>
      <c r="E215" s="26"/>
      <c r="F215" s="41" t="s">
        <v>416</v>
      </c>
      <c r="G215" s="27" t="str">
        <f t="shared" si="18"/>
        <v/>
      </c>
      <c r="H215" s="28"/>
      <c r="I215" s="29"/>
      <c r="J215" s="152">
        <v>21</v>
      </c>
      <c r="L215" s="218"/>
      <c r="M215" s="41"/>
      <c r="N215" s="27" t="str">
        <f t="shared" si="19"/>
        <v/>
      </c>
      <c r="O215" s="28"/>
      <c r="P215" s="36" t="str">
        <f t="shared" si="20"/>
        <v/>
      </c>
      <c r="Q215" s="216" t="str">
        <f t="shared" si="21"/>
        <v/>
      </c>
      <c r="R215" s="216" t="str">
        <f t="shared" si="22"/>
        <v/>
      </c>
      <c r="S215" s="217" t="str">
        <f t="shared" si="23"/>
        <v/>
      </c>
    </row>
    <row r="216" spans="1:19" x14ac:dyDescent="0.25">
      <c r="A216" s="262"/>
      <c r="B216" s="260"/>
      <c r="C216" s="31"/>
      <c r="D216" s="31"/>
      <c r="E216" s="32"/>
      <c r="F216" s="42" t="s">
        <v>416</v>
      </c>
      <c r="G216" s="30" t="str">
        <f t="shared" si="18"/>
        <v/>
      </c>
      <c r="H216" s="34"/>
      <c r="I216" s="30"/>
      <c r="J216" s="152">
        <v>21</v>
      </c>
      <c r="L216" s="219"/>
      <c r="M216" s="42"/>
      <c r="N216" s="30" t="str">
        <f t="shared" si="19"/>
        <v/>
      </c>
      <c r="O216" s="34"/>
      <c r="P216" s="36" t="str">
        <f t="shared" si="20"/>
        <v/>
      </c>
      <c r="Q216" s="216" t="str">
        <f t="shared" si="21"/>
        <v/>
      </c>
      <c r="R216" s="216" t="str">
        <f t="shared" si="22"/>
        <v/>
      </c>
      <c r="S216" s="217" t="str">
        <f t="shared" si="23"/>
        <v/>
      </c>
    </row>
    <row r="217" spans="1:19" ht="25.5" x14ac:dyDescent="0.25">
      <c r="A217" s="262"/>
      <c r="B217" s="260"/>
      <c r="C217" s="35" t="s">
        <v>462</v>
      </c>
      <c r="D217" s="35" t="s">
        <v>583</v>
      </c>
      <c r="E217" s="36">
        <v>1</v>
      </c>
      <c r="F217" s="30">
        <v>29.183999999999997</v>
      </c>
      <c r="G217" s="30">
        <f t="shared" si="18"/>
        <v>29.183999999999997</v>
      </c>
      <c r="H217" s="38">
        <f>SUM(G217:G218)</f>
        <v>52.344999999999999</v>
      </c>
      <c r="I217" s="39"/>
      <c r="J217" s="152">
        <v>21</v>
      </c>
      <c r="L217" s="215">
        <v>1</v>
      </c>
      <c r="M217" s="30">
        <v>24.981503999999997</v>
      </c>
      <c r="N217" s="30">
        <f t="shared" si="19"/>
        <v>24.981503999999997</v>
      </c>
      <c r="O217" s="38">
        <f>SUM(N217:N218)</f>
        <v>44.807319999999997</v>
      </c>
      <c r="P217" s="36" t="str">
        <f t="shared" si="20"/>
        <v/>
      </c>
      <c r="Q217" s="216">
        <f t="shared" si="21"/>
        <v>0.14400000000000002</v>
      </c>
      <c r="R217" s="216">
        <f t="shared" si="22"/>
        <v>0.14400000000000002</v>
      </c>
      <c r="S217" s="217">
        <f t="shared" si="23"/>
        <v>0.14400000000000002</v>
      </c>
    </row>
    <row r="218" spans="1:19" ht="25.5" x14ac:dyDescent="0.25">
      <c r="A218" s="262"/>
      <c r="B218" s="260"/>
      <c r="C218" s="35" t="s">
        <v>2901</v>
      </c>
      <c r="D218" s="35" t="s">
        <v>583</v>
      </c>
      <c r="E218" s="36">
        <v>1</v>
      </c>
      <c r="F218" s="30">
        <v>23.160999999999998</v>
      </c>
      <c r="G218" s="33">
        <f t="shared" si="18"/>
        <v>23.160999999999998</v>
      </c>
      <c r="H218" s="34"/>
      <c r="I218" s="30"/>
      <c r="J218" s="152">
        <v>21</v>
      </c>
      <c r="L218" s="215">
        <v>1</v>
      </c>
      <c r="M218" s="30">
        <v>19.825816</v>
      </c>
      <c r="N218" s="33">
        <f t="shared" si="19"/>
        <v>19.825816</v>
      </c>
      <c r="O218" s="34"/>
      <c r="P218" s="36" t="str">
        <f t="shared" si="20"/>
        <v/>
      </c>
      <c r="Q218" s="216">
        <f t="shared" si="21"/>
        <v>0.14399999999999991</v>
      </c>
      <c r="R218" s="216">
        <f t="shared" si="22"/>
        <v>0.14399999999999991</v>
      </c>
      <c r="S218" s="217" t="str">
        <f t="shared" si="23"/>
        <v/>
      </c>
    </row>
    <row r="219" spans="1:19" ht="15.75" thickBot="1" x14ac:dyDescent="0.3">
      <c r="A219" s="263"/>
      <c r="B219" s="261"/>
      <c r="C219" s="35"/>
      <c r="D219" s="35"/>
      <c r="E219" s="36"/>
      <c r="F219" s="30" t="s">
        <v>416</v>
      </c>
      <c r="G219" s="30" t="str">
        <f t="shared" si="18"/>
        <v/>
      </c>
      <c r="H219" s="34"/>
      <c r="I219" s="30"/>
      <c r="J219" s="152">
        <v>21</v>
      </c>
      <c r="L219" s="215"/>
      <c r="M219" s="30"/>
      <c r="N219" s="30" t="str">
        <f t="shared" si="19"/>
        <v/>
      </c>
      <c r="O219" s="34"/>
      <c r="P219" s="36" t="str">
        <f t="shared" si="20"/>
        <v/>
      </c>
      <c r="Q219" s="216" t="str">
        <f t="shared" si="21"/>
        <v/>
      </c>
      <c r="R219" s="216" t="str">
        <f t="shared" si="22"/>
        <v/>
      </c>
      <c r="S219" s="217" t="str">
        <f t="shared" si="23"/>
        <v/>
      </c>
    </row>
    <row r="220" spans="1:19" ht="15.75" hidden="1" thickBot="1" x14ac:dyDescent="0.3">
      <c r="A220" s="256" t="s">
        <v>60</v>
      </c>
      <c r="B220" s="259" t="str">
        <f>INDEX(Orçamentária!A:B,MATCH(Composições!A220,Orçamentária!A:A,0),2)</f>
        <v>Remoção de vidro comum / espelho</v>
      </c>
      <c r="C220" s="40"/>
      <c r="D220" s="25" t="s">
        <v>70</v>
      </c>
      <c r="E220" s="26"/>
      <c r="F220" s="41" t="s">
        <v>416</v>
      </c>
      <c r="G220" s="27" t="str">
        <f t="shared" si="18"/>
        <v/>
      </c>
      <c r="H220" s="28"/>
      <c r="I220" s="29"/>
      <c r="J220" s="152">
        <v>0</v>
      </c>
      <c r="L220" s="218"/>
      <c r="M220" s="41"/>
      <c r="N220" s="27" t="str">
        <f t="shared" si="19"/>
        <v/>
      </c>
      <c r="O220" s="28"/>
      <c r="P220" s="36" t="str">
        <f t="shared" si="20"/>
        <v/>
      </c>
      <c r="Q220" s="216" t="str">
        <f t="shared" si="21"/>
        <v/>
      </c>
      <c r="R220" s="216" t="str">
        <f t="shared" si="22"/>
        <v/>
      </c>
      <c r="S220" s="217" t="str">
        <f t="shared" si="23"/>
        <v/>
      </c>
    </row>
    <row r="221" spans="1:19" ht="15.75" hidden="1" thickBot="1" x14ac:dyDescent="0.3">
      <c r="A221" s="262"/>
      <c r="B221" s="260"/>
      <c r="C221" s="31"/>
      <c r="D221" s="31"/>
      <c r="E221" s="32"/>
      <c r="F221" s="42" t="s">
        <v>416</v>
      </c>
      <c r="G221" s="30" t="str">
        <f t="shared" si="18"/>
        <v/>
      </c>
      <c r="H221" s="34"/>
      <c r="I221" s="30"/>
      <c r="J221" s="152">
        <v>0</v>
      </c>
      <c r="L221" s="219"/>
      <c r="M221" s="42"/>
      <c r="N221" s="30" t="str">
        <f t="shared" si="19"/>
        <v/>
      </c>
      <c r="O221" s="34"/>
      <c r="P221" s="36" t="str">
        <f t="shared" si="20"/>
        <v/>
      </c>
      <c r="Q221" s="216" t="str">
        <f t="shared" si="21"/>
        <v/>
      </c>
      <c r="R221" s="216" t="str">
        <f t="shared" si="22"/>
        <v/>
      </c>
      <c r="S221" s="217" t="str">
        <f t="shared" si="23"/>
        <v/>
      </c>
    </row>
    <row r="222" spans="1:19" ht="15.75" hidden="1" thickBot="1" x14ac:dyDescent="0.3">
      <c r="A222" s="262"/>
      <c r="B222" s="260"/>
      <c r="C222" s="35" t="s">
        <v>584</v>
      </c>
      <c r="D222" s="35" t="s">
        <v>583</v>
      </c>
      <c r="E222" s="36">
        <v>0.39</v>
      </c>
      <c r="F222" s="30">
        <v>20.225499999999997</v>
      </c>
      <c r="G222" s="33">
        <f t="shared" si="18"/>
        <v>7.8879449999999993</v>
      </c>
      <c r="H222" s="38">
        <f>SUM(G222:G223)</f>
        <v>17.937405999999999</v>
      </c>
      <c r="I222" s="39"/>
      <c r="J222" s="152">
        <v>0</v>
      </c>
      <c r="L222" s="215">
        <v>0.39</v>
      </c>
      <c r="M222" s="30">
        <v>17.313027999999996</v>
      </c>
      <c r="N222" s="33">
        <f t="shared" si="19"/>
        <v>6.7520809199999983</v>
      </c>
      <c r="O222" s="38">
        <f>SUM(N222:N223)</f>
        <v>15.354419535999998</v>
      </c>
      <c r="P222" s="36" t="str">
        <f t="shared" si="20"/>
        <v/>
      </c>
      <c r="Q222" s="216">
        <f t="shared" si="21"/>
        <v>0.14400000000000013</v>
      </c>
      <c r="R222" s="216">
        <f t="shared" si="22"/>
        <v>0.14400000000000013</v>
      </c>
      <c r="S222" s="217">
        <f t="shared" si="23"/>
        <v>0.14400000000000002</v>
      </c>
    </row>
    <row r="223" spans="1:19" ht="15.75" hidden="1" thickBot="1" x14ac:dyDescent="0.3">
      <c r="A223" s="262"/>
      <c r="B223" s="260"/>
      <c r="C223" s="35" t="s">
        <v>2909</v>
      </c>
      <c r="D223" s="35" t="s">
        <v>583</v>
      </c>
      <c r="E223" s="36">
        <v>0.40100000000000002</v>
      </c>
      <c r="F223" s="30">
        <v>25.060999999999996</v>
      </c>
      <c r="G223" s="33">
        <f t="shared" si="18"/>
        <v>10.049460999999999</v>
      </c>
      <c r="H223" s="34"/>
      <c r="I223" s="30"/>
      <c r="J223" s="152">
        <v>0</v>
      </c>
      <c r="L223" s="215">
        <v>0.40100000000000002</v>
      </c>
      <c r="M223" s="30">
        <v>21.452215999999996</v>
      </c>
      <c r="N223" s="33">
        <f t="shared" si="19"/>
        <v>8.602338615999999</v>
      </c>
      <c r="O223" s="34"/>
      <c r="P223" s="36" t="str">
        <f t="shared" si="20"/>
        <v/>
      </c>
      <c r="Q223" s="216">
        <f t="shared" si="21"/>
        <v>0.14400000000000002</v>
      </c>
      <c r="R223" s="216">
        <f t="shared" si="22"/>
        <v>0.14400000000000002</v>
      </c>
      <c r="S223" s="217" t="str">
        <f t="shared" si="23"/>
        <v/>
      </c>
    </row>
    <row r="224" spans="1:19" ht="15.75" hidden="1" thickBot="1" x14ac:dyDescent="0.3">
      <c r="A224" s="263"/>
      <c r="B224" s="261"/>
      <c r="C224" s="35"/>
      <c r="D224" s="35"/>
      <c r="E224" s="36"/>
      <c r="F224" s="30" t="s">
        <v>416</v>
      </c>
      <c r="G224" s="30" t="str">
        <f t="shared" si="18"/>
        <v/>
      </c>
      <c r="H224" s="34"/>
      <c r="I224" s="30"/>
      <c r="J224" s="152">
        <v>0</v>
      </c>
      <c r="L224" s="215"/>
      <c r="M224" s="30"/>
      <c r="N224" s="30" t="str">
        <f t="shared" si="19"/>
        <v/>
      </c>
      <c r="O224" s="34"/>
      <c r="P224" s="36" t="str">
        <f t="shared" si="20"/>
        <v/>
      </c>
      <c r="Q224" s="216" t="str">
        <f t="shared" si="21"/>
        <v/>
      </c>
      <c r="R224" s="216" t="str">
        <f t="shared" si="22"/>
        <v/>
      </c>
      <c r="S224" s="217" t="str">
        <f t="shared" si="23"/>
        <v/>
      </c>
    </row>
    <row r="225" spans="1:19" ht="15.75" hidden="1" thickBot="1" x14ac:dyDescent="0.3">
      <c r="A225" s="267" t="s">
        <v>61</v>
      </c>
      <c r="B225" s="259" t="str">
        <f>INDEX(Orçamentária!A:B,MATCH(Composições!A225,Orçamentária!A:A,0),2)</f>
        <v>Retirada de entulhos</v>
      </c>
      <c r="C225" s="40"/>
      <c r="D225" s="25" t="s">
        <v>80</v>
      </c>
      <c r="E225" s="26"/>
      <c r="F225" s="41" t="s">
        <v>416</v>
      </c>
      <c r="G225" s="27" t="str">
        <f t="shared" si="18"/>
        <v/>
      </c>
      <c r="H225" s="28"/>
      <c r="I225" s="29"/>
      <c r="J225" s="152">
        <v>0</v>
      </c>
      <c r="L225" s="218"/>
      <c r="M225" s="41"/>
      <c r="N225" s="27" t="str">
        <f t="shared" si="19"/>
        <v/>
      </c>
      <c r="O225" s="28"/>
      <c r="P225" s="36" t="str">
        <f t="shared" si="20"/>
        <v/>
      </c>
      <c r="Q225" s="216" t="str">
        <f t="shared" si="21"/>
        <v/>
      </c>
      <c r="R225" s="216" t="str">
        <f t="shared" si="22"/>
        <v/>
      </c>
      <c r="S225" s="217" t="str">
        <f t="shared" si="23"/>
        <v/>
      </c>
    </row>
    <row r="226" spans="1:19" ht="15.75" hidden="1" thickBot="1" x14ac:dyDescent="0.3">
      <c r="A226" s="268"/>
      <c r="B226" s="260"/>
      <c r="C226" s="31"/>
      <c r="D226" s="31"/>
      <c r="E226" s="32"/>
      <c r="F226" s="42" t="s">
        <v>416</v>
      </c>
      <c r="G226" s="30" t="str">
        <f t="shared" si="18"/>
        <v/>
      </c>
      <c r="H226" s="34"/>
      <c r="I226" s="30"/>
      <c r="J226" s="152">
        <v>0</v>
      </c>
      <c r="L226" s="219"/>
      <c r="M226" s="42"/>
      <c r="N226" s="30" t="str">
        <f t="shared" si="19"/>
        <v/>
      </c>
      <c r="O226" s="34"/>
      <c r="P226" s="36" t="str">
        <f t="shared" si="20"/>
        <v/>
      </c>
      <c r="Q226" s="216" t="str">
        <f t="shared" si="21"/>
        <v/>
      </c>
      <c r="R226" s="216" t="str">
        <f t="shared" si="22"/>
        <v/>
      </c>
      <c r="S226" s="217" t="str">
        <f t="shared" si="23"/>
        <v/>
      </c>
    </row>
    <row r="227" spans="1:19" ht="15.75" hidden="1" thickBot="1" x14ac:dyDescent="0.3">
      <c r="A227" s="268"/>
      <c r="B227" s="260"/>
      <c r="C227" s="35" t="s">
        <v>584</v>
      </c>
      <c r="D227" s="35" t="s">
        <v>583</v>
      </c>
      <c r="E227" s="36">
        <v>1</v>
      </c>
      <c r="F227" s="30">
        <v>20.225499999999997</v>
      </c>
      <c r="G227" s="33">
        <f t="shared" si="18"/>
        <v>20.225499999999997</v>
      </c>
      <c r="H227" s="38">
        <f>SUM(G227:G227)</f>
        <v>20.225499999999997</v>
      </c>
      <c r="I227" s="39"/>
      <c r="J227" s="152">
        <v>0</v>
      </c>
      <c r="L227" s="215">
        <v>1</v>
      </c>
      <c r="M227" s="30">
        <v>17.313027999999996</v>
      </c>
      <c r="N227" s="33">
        <f t="shared" si="19"/>
        <v>17.313027999999996</v>
      </c>
      <c r="O227" s="38">
        <f>SUM(N227:N227)</f>
        <v>17.313027999999996</v>
      </c>
      <c r="P227" s="36" t="str">
        <f t="shared" si="20"/>
        <v/>
      </c>
      <c r="Q227" s="216">
        <f t="shared" si="21"/>
        <v>0.14400000000000013</v>
      </c>
      <c r="R227" s="216">
        <f t="shared" si="22"/>
        <v>0.14400000000000013</v>
      </c>
      <c r="S227" s="217">
        <f t="shared" si="23"/>
        <v>0.14400000000000013</v>
      </c>
    </row>
    <row r="228" spans="1:19" ht="15.75" hidden="1" thickBot="1" x14ac:dyDescent="0.3">
      <c r="A228" s="268"/>
      <c r="B228" s="260"/>
      <c r="C228" s="35"/>
      <c r="D228" s="35"/>
      <c r="E228" s="36"/>
      <c r="F228" s="30" t="s">
        <v>416</v>
      </c>
      <c r="G228" s="30" t="str">
        <f t="shared" si="18"/>
        <v/>
      </c>
      <c r="H228" s="34"/>
      <c r="I228" s="30"/>
      <c r="J228" s="152">
        <v>0</v>
      </c>
      <c r="L228" s="215"/>
      <c r="M228" s="30"/>
      <c r="N228" s="30" t="str">
        <f t="shared" si="19"/>
        <v/>
      </c>
      <c r="O228" s="34"/>
      <c r="P228" s="36" t="str">
        <f t="shared" si="20"/>
        <v/>
      </c>
      <c r="Q228" s="216" t="str">
        <f t="shared" si="21"/>
        <v/>
      </c>
      <c r="R228" s="216" t="str">
        <f t="shared" si="22"/>
        <v/>
      </c>
      <c r="S228" s="217" t="str">
        <f t="shared" si="23"/>
        <v/>
      </c>
    </row>
    <row r="229" spans="1:19" ht="15.75" hidden="1" thickBot="1" x14ac:dyDescent="0.3">
      <c r="A229" s="267" t="s">
        <v>62</v>
      </c>
      <c r="B229" s="259" t="str">
        <f>INDEX(Orçamentária!A:B,MATCH(Composições!A229,Orçamentária!A:A,0),2)</f>
        <v>Andaime fachadeiro</v>
      </c>
      <c r="C229" s="40"/>
      <c r="D229" s="25" t="s">
        <v>1334</v>
      </c>
      <c r="E229" s="26"/>
      <c r="F229" s="41" t="s">
        <v>416</v>
      </c>
      <c r="G229" s="27" t="str">
        <f t="shared" si="18"/>
        <v/>
      </c>
      <c r="H229" s="28"/>
      <c r="I229" s="29"/>
      <c r="J229" s="152">
        <v>0</v>
      </c>
      <c r="L229" s="218"/>
      <c r="M229" s="41"/>
      <c r="N229" s="27" t="str">
        <f t="shared" si="19"/>
        <v/>
      </c>
      <c r="O229" s="28"/>
      <c r="P229" s="36" t="str">
        <f t="shared" si="20"/>
        <v/>
      </c>
      <c r="Q229" s="216" t="str">
        <f t="shared" si="21"/>
        <v/>
      </c>
      <c r="R229" s="216" t="str">
        <f t="shared" si="22"/>
        <v/>
      </c>
      <c r="S229" s="217" t="str">
        <f t="shared" si="23"/>
        <v/>
      </c>
    </row>
    <row r="230" spans="1:19" ht="15.75" hidden="1" thickBot="1" x14ac:dyDescent="0.3">
      <c r="A230" s="268"/>
      <c r="B230" s="260"/>
      <c r="C230" s="31"/>
      <c r="D230" s="31"/>
      <c r="E230" s="32"/>
      <c r="F230" s="42" t="s">
        <v>416</v>
      </c>
      <c r="G230" s="30" t="str">
        <f t="shared" si="18"/>
        <v/>
      </c>
      <c r="H230" s="34"/>
      <c r="I230" s="30"/>
      <c r="J230" s="152">
        <v>0</v>
      </c>
      <c r="L230" s="219"/>
      <c r="M230" s="42"/>
      <c r="N230" s="30" t="str">
        <f t="shared" si="19"/>
        <v/>
      </c>
      <c r="O230" s="34"/>
      <c r="P230" s="36" t="str">
        <f t="shared" si="20"/>
        <v/>
      </c>
      <c r="Q230" s="216" t="str">
        <f t="shared" si="21"/>
        <v/>
      </c>
      <c r="R230" s="216" t="str">
        <f t="shared" si="22"/>
        <v/>
      </c>
      <c r="S230" s="217" t="str">
        <f t="shared" si="23"/>
        <v/>
      </c>
    </row>
    <row r="231" spans="1:19" ht="51.75" hidden="1" thickBot="1" x14ac:dyDescent="0.3">
      <c r="A231" s="268"/>
      <c r="B231" s="260"/>
      <c r="C231" s="35" t="s">
        <v>8222</v>
      </c>
      <c r="D231" s="35" t="s">
        <v>63</v>
      </c>
      <c r="E231" s="36">
        <v>1</v>
      </c>
      <c r="F231" s="30">
        <v>6.327</v>
      </c>
      <c r="G231" s="33">
        <f t="shared" si="18"/>
        <v>6.327</v>
      </c>
      <c r="H231" s="38">
        <f>SUM(G231:G231)</f>
        <v>6.327</v>
      </c>
      <c r="I231" s="39"/>
      <c r="J231" s="152">
        <v>0</v>
      </c>
      <c r="L231" s="215">
        <v>1</v>
      </c>
      <c r="M231" s="30">
        <v>5.4159120000000005</v>
      </c>
      <c r="N231" s="33">
        <f t="shared" si="19"/>
        <v>5.4159120000000005</v>
      </c>
      <c r="O231" s="38">
        <f>SUM(N231:N231)</f>
        <v>5.4159120000000005</v>
      </c>
      <c r="P231" s="36" t="str">
        <f t="shared" si="20"/>
        <v/>
      </c>
      <c r="Q231" s="216">
        <f t="shared" si="21"/>
        <v>0.14399999999999991</v>
      </c>
      <c r="R231" s="216">
        <f t="shared" si="22"/>
        <v>0.14399999999999991</v>
      </c>
      <c r="S231" s="217">
        <f t="shared" si="23"/>
        <v>0.14399999999999991</v>
      </c>
    </row>
    <row r="232" spans="1:19" ht="15.75" hidden="1" thickBot="1" x14ac:dyDescent="0.3">
      <c r="A232" s="268"/>
      <c r="B232" s="260"/>
      <c r="C232" s="35"/>
      <c r="D232" s="35"/>
      <c r="E232" s="36"/>
      <c r="F232" s="30" t="s">
        <v>416</v>
      </c>
      <c r="G232" s="30" t="str">
        <f t="shared" si="18"/>
        <v/>
      </c>
      <c r="H232" s="34"/>
      <c r="I232" s="30"/>
      <c r="J232" s="152">
        <v>0</v>
      </c>
      <c r="L232" s="215"/>
      <c r="M232" s="30"/>
      <c r="N232" s="30" t="str">
        <f t="shared" si="19"/>
        <v/>
      </c>
      <c r="O232" s="34"/>
      <c r="P232" s="36" t="str">
        <f t="shared" si="20"/>
        <v/>
      </c>
      <c r="Q232" s="216" t="str">
        <f t="shared" si="21"/>
        <v/>
      </c>
      <c r="R232" s="216" t="str">
        <f t="shared" si="22"/>
        <v/>
      </c>
      <c r="S232" s="217" t="str">
        <f t="shared" si="23"/>
        <v/>
      </c>
    </row>
    <row r="233" spans="1:19" ht="15.75" hidden="1" thickBot="1" x14ac:dyDescent="0.3">
      <c r="A233" s="256" t="s">
        <v>64</v>
      </c>
      <c r="B233" s="259" t="str">
        <f>INDEX(Orçamentária!A:B,MATCH(Composições!A233,Orçamentária!A:A,0),2)</f>
        <v>Andaime tubular (aluguel/mês)</v>
      </c>
      <c r="C233" s="40"/>
      <c r="D233" s="25" t="s">
        <v>1336</v>
      </c>
      <c r="E233" s="26"/>
      <c r="F233" s="41" t="s">
        <v>416</v>
      </c>
      <c r="G233" s="27" t="str">
        <f t="shared" si="18"/>
        <v/>
      </c>
      <c r="H233" s="28"/>
      <c r="I233" s="29"/>
      <c r="J233" s="152">
        <v>0</v>
      </c>
      <c r="L233" s="218"/>
      <c r="M233" s="41"/>
      <c r="N233" s="27" t="str">
        <f t="shared" si="19"/>
        <v/>
      </c>
      <c r="O233" s="28"/>
      <c r="P233" s="36" t="str">
        <f t="shared" si="20"/>
        <v/>
      </c>
      <c r="Q233" s="216" t="str">
        <f t="shared" si="21"/>
        <v/>
      </c>
      <c r="R233" s="216" t="str">
        <f t="shared" si="22"/>
        <v/>
      </c>
      <c r="S233" s="217" t="str">
        <f t="shared" si="23"/>
        <v/>
      </c>
    </row>
    <row r="234" spans="1:19" ht="15.75" hidden="1" thickBot="1" x14ac:dyDescent="0.3">
      <c r="A234" s="262"/>
      <c r="B234" s="260"/>
      <c r="C234" s="31"/>
      <c r="D234" s="31"/>
      <c r="E234" s="32"/>
      <c r="F234" s="42" t="s">
        <v>416</v>
      </c>
      <c r="G234" s="30" t="str">
        <f t="shared" si="18"/>
        <v/>
      </c>
      <c r="H234" s="34"/>
      <c r="I234" s="30"/>
      <c r="J234" s="152">
        <v>0</v>
      </c>
      <c r="L234" s="219"/>
      <c r="M234" s="42"/>
      <c r="N234" s="30" t="str">
        <f t="shared" si="19"/>
        <v/>
      </c>
      <c r="O234" s="34"/>
      <c r="P234" s="36" t="str">
        <f t="shared" si="20"/>
        <v/>
      </c>
      <c r="Q234" s="216" t="str">
        <f t="shared" si="21"/>
        <v/>
      </c>
      <c r="R234" s="216" t="str">
        <f t="shared" si="22"/>
        <v/>
      </c>
      <c r="S234" s="217" t="str">
        <f t="shared" si="23"/>
        <v/>
      </c>
    </row>
    <row r="235" spans="1:19" ht="64.5" hidden="1" thickBot="1" x14ac:dyDescent="0.3">
      <c r="A235" s="262"/>
      <c r="B235" s="260"/>
      <c r="C235" s="35" t="s">
        <v>8223</v>
      </c>
      <c r="D235" s="35" t="s">
        <v>65</v>
      </c>
      <c r="E235" s="36">
        <v>1</v>
      </c>
      <c r="F235" s="30">
        <v>19</v>
      </c>
      <c r="G235" s="30">
        <f t="shared" si="18"/>
        <v>19</v>
      </c>
      <c r="H235" s="38">
        <f>SUM(G235:G235)</f>
        <v>19</v>
      </c>
      <c r="I235" s="39"/>
      <c r="J235" s="152">
        <v>0</v>
      </c>
      <c r="L235" s="215">
        <v>1</v>
      </c>
      <c r="M235" s="30">
        <v>16.263999999999999</v>
      </c>
      <c r="N235" s="30">
        <f t="shared" si="19"/>
        <v>16.263999999999999</v>
      </c>
      <c r="O235" s="38">
        <f>SUM(N235:N235)</f>
        <v>16.263999999999999</v>
      </c>
      <c r="P235" s="36" t="str">
        <f t="shared" si="20"/>
        <v/>
      </c>
      <c r="Q235" s="216">
        <f t="shared" si="21"/>
        <v>0.14400000000000002</v>
      </c>
      <c r="R235" s="216">
        <f t="shared" si="22"/>
        <v>0.14400000000000002</v>
      </c>
      <c r="S235" s="217">
        <f t="shared" si="23"/>
        <v>0.14400000000000002</v>
      </c>
    </row>
    <row r="236" spans="1:19" ht="15.75" hidden="1" thickBot="1" x14ac:dyDescent="0.3">
      <c r="A236" s="263"/>
      <c r="B236" s="261"/>
      <c r="C236" s="35"/>
      <c r="D236" s="35"/>
      <c r="E236" s="36"/>
      <c r="F236" s="30" t="s">
        <v>416</v>
      </c>
      <c r="G236" s="30" t="str">
        <f t="shared" si="18"/>
        <v/>
      </c>
      <c r="H236" s="34"/>
      <c r="I236" s="30"/>
      <c r="J236" s="152">
        <v>0</v>
      </c>
      <c r="L236" s="215"/>
      <c r="M236" s="30"/>
      <c r="N236" s="30" t="str">
        <f t="shared" si="19"/>
        <v/>
      </c>
      <c r="O236" s="34"/>
      <c r="P236" s="36" t="str">
        <f t="shared" si="20"/>
        <v/>
      </c>
      <c r="Q236" s="216" t="str">
        <f t="shared" si="21"/>
        <v/>
      </c>
      <c r="R236" s="216" t="str">
        <f t="shared" si="22"/>
        <v/>
      </c>
      <c r="S236" s="217" t="str">
        <f t="shared" si="23"/>
        <v/>
      </c>
    </row>
    <row r="237" spans="1:19" ht="15.75" hidden="1" thickBot="1" x14ac:dyDescent="0.3">
      <c r="A237" s="267" t="s">
        <v>66</v>
      </c>
      <c r="B237" s="259" t="str">
        <f>INDEX(Orçamentária!A:B,MATCH(Composições!A237,Orçamentária!A:A,0),2)</f>
        <v>Corda de poliamida 12 mm tipo bombeiro, para trabalho em altura</v>
      </c>
      <c r="C237" s="40"/>
      <c r="D237" s="25" t="s">
        <v>69</v>
      </c>
      <c r="E237" s="26"/>
      <c r="F237" s="41" t="s">
        <v>416</v>
      </c>
      <c r="G237" s="27" t="str">
        <f t="shared" si="18"/>
        <v/>
      </c>
      <c r="H237" s="28"/>
      <c r="I237" s="29"/>
      <c r="J237" s="152">
        <v>0</v>
      </c>
      <c r="L237" s="218"/>
      <c r="M237" s="41"/>
      <c r="N237" s="27" t="str">
        <f t="shared" si="19"/>
        <v/>
      </c>
      <c r="O237" s="28"/>
      <c r="P237" s="36" t="str">
        <f t="shared" si="20"/>
        <v/>
      </c>
      <c r="Q237" s="216" t="str">
        <f t="shared" si="21"/>
        <v/>
      </c>
      <c r="R237" s="216" t="str">
        <f t="shared" si="22"/>
        <v/>
      </c>
      <c r="S237" s="217" t="str">
        <f t="shared" si="23"/>
        <v/>
      </c>
    </row>
    <row r="238" spans="1:19" ht="15.75" hidden="1" thickBot="1" x14ac:dyDescent="0.3">
      <c r="A238" s="268"/>
      <c r="B238" s="260"/>
      <c r="C238" s="31"/>
      <c r="D238" s="31"/>
      <c r="E238" s="32"/>
      <c r="F238" s="42" t="s">
        <v>416</v>
      </c>
      <c r="G238" s="30" t="str">
        <f t="shared" si="18"/>
        <v/>
      </c>
      <c r="H238" s="34"/>
      <c r="I238" s="30"/>
      <c r="J238" s="152">
        <v>0</v>
      </c>
      <c r="L238" s="219"/>
      <c r="M238" s="42"/>
      <c r="N238" s="30" t="str">
        <f t="shared" si="19"/>
        <v/>
      </c>
      <c r="O238" s="34"/>
      <c r="P238" s="36" t="str">
        <f t="shared" si="20"/>
        <v/>
      </c>
      <c r="Q238" s="216" t="str">
        <f t="shared" si="21"/>
        <v/>
      </c>
      <c r="R238" s="216" t="str">
        <f t="shared" si="22"/>
        <v/>
      </c>
      <c r="S238" s="217" t="str">
        <f t="shared" si="23"/>
        <v/>
      </c>
    </row>
    <row r="239" spans="1:19" ht="26.25" hidden="1" thickBot="1" x14ac:dyDescent="0.3">
      <c r="A239" s="268"/>
      <c r="B239" s="260"/>
      <c r="C239" s="35" t="s">
        <v>67</v>
      </c>
      <c r="D239" s="35" t="s">
        <v>8516</v>
      </c>
      <c r="E239" s="36">
        <v>0.01</v>
      </c>
      <c r="F239" s="30">
        <v>577.41</v>
      </c>
      <c r="G239" s="33">
        <f t="shared" si="18"/>
        <v>5.7740999999999998</v>
      </c>
      <c r="H239" s="38">
        <f>SUM(G239:G239)</f>
        <v>5.7740999999999998</v>
      </c>
      <c r="I239" s="39"/>
      <c r="J239" s="152">
        <v>0</v>
      </c>
      <c r="L239" s="215">
        <v>0.01</v>
      </c>
      <c r="M239" s="30">
        <v>494.26295999999996</v>
      </c>
      <c r="N239" s="33">
        <f t="shared" si="19"/>
        <v>4.9426296000000001</v>
      </c>
      <c r="O239" s="38">
        <f>SUM(N239:N239)</f>
        <v>4.9426296000000001</v>
      </c>
      <c r="P239" s="36" t="str">
        <f t="shared" si="20"/>
        <v/>
      </c>
      <c r="Q239" s="216">
        <f t="shared" si="21"/>
        <v>0.14400000000000002</v>
      </c>
      <c r="R239" s="216">
        <f t="shared" si="22"/>
        <v>0.14399999999999991</v>
      </c>
      <c r="S239" s="217">
        <f t="shared" si="23"/>
        <v>0.14399999999999991</v>
      </c>
    </row>
    <row r="240" spans="1:19" ht="15.75" hidden="1" thickBot="1" x14ac:dyDescent="0.3">
      <c r="A240" s="268"/>
      <c r="B240" s="260"/>
      <c r="C240" s="35"/>
      <c r="D240" s="35"/>
      <c r="E240" s="36"/>
      <c r="F240" s="30" t="s">
        <v>416</v>
      </c>
      <c r="G240" s="30" t="str">
        <f t="shared" si="18"/>
        <v/>
      </c>
      <c r="H240" s="34"/>
      <c r="I240" s="30"/>
      <c r="J240" s="152">
        <v>0</v>
      </c>
      <c r="L240" s="215"/>
      <c r="M240" s="30"/>
      <c r="N240" s="30" t="str">
        <f t="shared" si="19"/>
        <v/>
      </c>
      <c r="O240" s="34"/>
      <c r="P240" s="36" t="str">
        <f t="shared" si="20"/>
        <v/>
      </c>
      <c r="Q240" s="216" t="str">
        <f t="shared" si="21"/>
        <v/>
      </c>
      <c r="R240" s="216" t="str">
        <f t="shared" si="22"/>
        <v/>
      </c>
      <c r="S240" s="217" t="str">
        <f t="shared" si="23"/>
        <v/>
      </c>
    </row>
    <row r="241" spans="1:19" ht="15.75" hidden="1" thickBot="1" x14ac:dyDescent="0.3">
      <c r="A241" s="256" t="s">
        <v>68</v>
      </c>
      <c r="B241" s="259" t="str">
        <f>INDEX(Orçamentária!A:B,MATCH(Composições!A241,Orçamentária!A:A,0),2)</f>
        <v>Isolamento de obra com tela plástica com malha de 5mm e estrutura de madeira pontaleteada</v>
      </c>
      <c r="C241" s="40"/>
      <c r="D241" s="25" t="s">
        <v>70</v>
      </c>
      <c r="E241" s="26"/>
      <c r="F241" s="48" t="s">
        <v>416</v>
      </c>
      <c r="G241" s="27" t="str">
        <f t="shared" si="18"/>
        <v/>
      </c>
      <c r="H241" s="28"/>
      <c r="I241" s="29"/>
      <c r="J241" s="152">
        <v>0</v>
      </c>
      <c r="L241" s="218"/>
      <c r="M241" s="48"/>
      <c r="N241" s="27" t="str">
        <f t="shared" si="19"/>
        <v/>
      </c>
      <c r="O241" s="28"/>
      <c r="P241" s="36" t="str">
        <f t="shared" si="20"/>
        <v/>
      </c>
      <c r="Q241" s="216" t="str">
        <f t="shared" si="21"/>
        <v/>
      </c>
      <c r="R241" s="216" t="str">
        <f t="shared" si="22"/>
        <v/>
      </c>
      <c r="S241" s="217" t="str">
        <f t="shared" si="23"/>
        <v/>
      </c>
    </row>
    <row r="242" spans="1:19" ht="15.75" hidden="1" thickBot="1" x14ac:dyDescent="0.3">
      <c r="A242" s="262"/>
      <c r="B242" s="260"/>
      <c r="C242" s="31"/>
      <c r="D242" s="31"/>
      <c r="E242" s="32"/>
      <c r="F242" s="30" t="s">
        <v>416</v>
      </c>
      <c r="G242" s="30" t="str">
        <f t="shared" si="18"/>
        <v/>
      </c>
      <c r="H242" s="34"/>
      <c r="I242" s="30"/>
      <c r="J242" s="152">
        <v>0</v>
      </c>
      <c r="L242" s="219"/>
      <c r="M242" s="30"/>
      <c r="N242" s="30" t="str">
        <f t="shared" si="19"/>
        <v/>
      </c>
      <c r="O242" s="34"/>
      <c r="P242" s="36" t="str">
        <f t="shared" si="20"/>
        <v/>
      </c>
      <c r="Q242" s="216" t="str">
        <f t="shared" si="21"/>
        <v/>
      </c>
      <c r="R242" s="216" t="str">
        <f t="shared" si="22"/>
        <v/>
      </c>
      <c r="S242" s="217" t="str">
        <f t="shared" si="23"/>
        <v/>
      </c>
    </row>
    <row r="243" spans="1:19" ht="15.75" hidden="1" thickBot="1" x14ac:dyDescent="0.3">
      <c r="A243" s="262"/>
      <c r="B243" s="260"/>
      <c r="C243" s="35" t="s">
        <v>584</v>
      </c>
      <c r="D243" s="35" t="s">
        <v>583</v>
      </c>
      <c r="E243" s="36">
        <v>0.15</v>
      </c>
      <c r="F243" s="30">
        <v>20.225499999999997</v>
      </c>
      <c r="G243" s="30">
        <f t="shared" si="18"/>
        <v>3.0338249999999993</v>
      </c>
      <c r="H243" s="38">
        <f>SUM(G243:G247)</f>
        <v>28.244449999999993</v>
      </c>
      <c r="I243" s="39"/>
      <c r="J243" s="152">
        <v>0</v>
      </c>
      <c r="L243" s="215">
        <v>0.15</v>
      </c>
      <c r="M243" s="30">
        <v>17.313027999999996</v>
      </c>
      <c r="N243" s="30">
        <f t="shared" si="19"/>
        <v>2.5969541999999994</v>
      </c>
      <c r="O243" s="38">
        <f>SUM(N243:N247)</f>
        <v>24.177249199999995</v>
      </c>
      <c r="P243" s="36" t="str">
        <f t="shared" si="20"/>
        <v/>
      </c>
      <c r="Q243" s="216">
        <f t="shared" si="21"/>
        <v>0.14400000000000013</v>
      </c>
      <c r="R243" s="216">
        <f t="shared" si="22"/>
        <v>0.14400000000000002</v>
      </c>
      <c r="S243" s="217">
        <f t="shared" si="23"/>
        <v>0.14400000000000002</v>
      </c>
    </row>
    <row r="244" spans="1:19" ht="15.75" hidden="1" thickBot="1" x14ac:dyDescent="0.3">
      <c r="A244" s="262"/>
      <c r="B244" s="260"/>
      <c r="C244" s="35" t="s">
        <v>862</v>
      </c>
      <c r="D244" s="35" t="s">
        <v>583</v>
      </c>
      <c r="E244" s="36">
        <v>0.3</v>
      </c>
      <c r="F244" s="30">
        <v>26.799499999999998</v>
      </c>
      <c r="G244" s="30">
        <f t="shared" si="18"/>
        <v>8.0398499999999995</v>
      </c>
      <c r="H244" s="34"/>
      <c r="I244" s="30"/>
      <c r="J244" s="152">
        <v>0</v>
      </c>
      <c r="L244" s="215">
        <v>0.3</v>
      </c>
      <c r="M244" s="30">
        <v>22.940372</v>
      </c>
      <c r="N244" s="30">
        <f t="shared" si="19"/>
        <v>6.8821116</v>
      </c>
      <c r="O244" s="34"/>
      <c r="P244" s="36" t="str">
        <f t="shared" si="20"/>
        <v/>
      </c>
      <c r="Q244" s="216">
        <f t="shared" si="21"/>
        <v>0.14399999999999991</v>
      </c>
      <c r="R244" s="216">
        <f t="shared" si="22"/>
        <v>0.14399999999999991</v>
      </c>
      <c r="S244" s="217" t="str">
        <f t="shared" si="23"/>
        <v/>
      </c>
    </row>
    <row r="245" spans="1:19" ht="26.25" hidden="1" thickBot="1" x14ac:dyDescent="0.3">
      <c r="A245" s="262"/>
      <c r="B245" s="260"/>
      <c r="C245" s="35" t="s">
        <v>3233</v>
      </c>
      <c r="D245" s="35" t="s">
        <v>385</v>
      </c>
      <c r="E245" s="36">
        <v>1.5</v>
      </c>
      <c r="F245" s="33">
        <v>8.1889999999999983</v>
      </c>
      <c r="G245" s="30">
        <f t="shared" si="18"/>
        <v>12.283499999999997</v>
      </c>
      <c r="H245" s="34"/>
      <c r="I245" s="30"/>
      <c r="J245" s="152">
        <v>0</v>
      </c>
      <c r="L245" s="215">
        <v>1.5</v>
      </c>
      <c r="M245" s="33">
        <v>7.0097839999999989</v>
      </c>
      <c r="N245" s="30">
        <f t="shared" si="19"/>
        <v>10.514675999999998</v>
      </c>
      <c r="O245" s="34"/>
      <c r="P245" s="36" t="str">
        <f t="shared" si="20"/>
        <v/>
      </c>
      <c r="Q245" s="216">
        <f t="shared" si="21"/>
        <v>0.14399999999999991</v>
      </c>
      <c r="R245" s="216">
        <f t="shared" si="22"/>
        <v>0.14399999999999991</v>
      </c>
      <c r="S245" s="217" t="str">
        <f t="shared" si="23"/>
        <v/>
      </c>
    </row>
    <row r="246" spans="1:19" ht="15.75" hidden="1" thickBot="1" x14ac:dyDescent="0.3">
      <c r="A246" s="262"/>
      <c r="B246" s="260"/>
      <c r="C246" s="35" t="s">
        <v>8339</v>
      </c>
      <c r="D246" s="35" t="s">
        <v>773</v>
      </c>
      <c r="E246" s="36">
        <v>0.1</v>
      </c>
      <c r="F246" s="33">
        <v>21.232500000000002</v>
      </c>
      <c r="G246" s="30">
        <f t="shared" si="18"/>
        <v>2.1232500000000001</v>
      </c>
      <c r="H246" s="34"/>
      <c r="I246" s="30"/>
      <c r="J246" s="152">
        <v>0</v>
      </c>
      <c r="L246" s="215">
        <v>0.1</v>
      </c>
      <c r="M246" s="33">
        <v>18.175020000000004</v>
      </c>
      <c r="N246" s="30">
        <f t="shared" si="19"/>
        <v>1.8175020000000004</v>
      </c>
      <c r="O246" s="34"/>
      <c r="P246" s="36" t="str">
        <f t="shared" si="20"/>
        <v/>
      </c>
      <c r="Q246" s="216">
        <f t="shared" si="21"/>
        <v>0.14399999999999991</v>
      </c>
      <c r="R246" s="216">
        <f t="shared" si="22"/>
        <v>0.14399999999999979</v>
      </c>
      <c r="S246" s="217" t="str">
        <f t="shared" si="23"/>
        <v/>
      </c>
    </row>
    <row r="247" spans="1:19" ht="26.25" hidden="1" thickBot="1" x14ac:dyDescent="0.3">
      <c r="A247" s="262"/>
      <c r="B247" s="260"/>
      <c r="C247" s="35" t="s">
        <v>2945</v>
      </c>
      <c r="D247" s="35" t="s">
        <v>385</v>
      </c>
      <c r="E247" s="36">
        <v>1.1499999999999999</v>
      </c>
      <c r="F247" s="33">
        <v>2.4034999999999997</v>
      </c>
      <c r="G247" s="30">
        <f t="shared" si="18"/>
        <v>2.7640249999999993</v>
      </c>
      <c r="H247" s="34"/>
      <c r="I247" s="30"/>
      <c r="J247" s="152">
        <v>0</v>
      </c>
      <c r="L247" s="215">
        <v>1.1499999999999999</v>
      </c>
      <c r="M247" s="33">
        <v>2.0573959999999998</v>
      </c>
      <c r="N247" s="30">
        <f t="shared" si="19"/>
        <v>2.3660053999999997</v>
      </c>
      <c r="O247" s="34"/>
      <c r="P247" s="36" t="str">
        <f t="shared" si="20"/>
        <v/>
      </c>
      <c r="Q247" s="216">
        <f t="shared" si="21"/>
        <v>0.14400000000000002</v>
      </c>
      <c r="R247" s="216">
        <f t="shared" si="22"/>
        <v>0.14399999999999991</v>
      </c>
      <c r="S247" s="217" t="str">
        <f t="shared" si="23"/>
        <v/>
      </c>
    </row>
    <row r="248" spans="1:19" ht="15.75" hidden="1" thickBot="1" x14ac:dyDescent="0.3">
      <c r="A248" s="263"/>
      <c r="B248" s="261"/>
      <c r="C248" s="35"/>
      <c r="D248" s="35"/>
      <c r="E248" s="36"/>
      <c r="F248" s="30" t="s">
        <v>416</v>
      </c>
      <c r="G248" s="30" t="str">
        <f t="shared" si="18"/>
        <v/>
      </c>
      <c r="H248" s="34"/>
      <c r="I248" s="30"/>
      <c r="J248" s="152">
        <v>0</v>
      </c>
      <c r="L248" s="215"/>
      <c r="M248" s="30"/>
      <c r="N248" s="30" t="str">
        <f t="shared" si="19"/>
        <v/>
      </c>
      <c r="O248" s="34"/>
      <c r="P248" s="36" t="str">
        <f t="shared" si="20"/>
        <v/>
      </c>
      <c r="Q248" s="216" t="str">
        <f t="shared" si="21"/>
        <v/>
      </c>
      <c r="R248" s="216" t="str">
        <f t="shared" si="22"/>
        <v/>
      </c>
      <c r="S248" s="217" t="str">
        <f t="shared" si="23"/>
        <v/>
      </c>
    </row>
    <row r="249" spans="1:19" ht="15.75" hidden="1" thickBot="1" x14ac:dyDescent="0.3">
      <c r="A249" s="256" t="s">
        <v>71</v>
      </c>
      <c r="B249" s="259" t="str">
        <f>INDEX(Orçamentária!A:B,MATCH(Composições!A249,Orçamentária!A:A,0),2)</f>
        <v>Tapume</v>
      </c>
      <c r="C249" s="40"/>
      <c r="D249" s="25" t="s">
        <v>70</v>
      </c>
      <c r="E249" s="26"/>
      <c r="F249" s="41" t="s">
        <v>416</v>
      </c>
      <c r="G249" s="27" t="str">
        <f t="shared" si="18"/>
        <v/>
      </c>
      <c r="H249" s="28"/>
      <c r="I249" s="29"/>
      <c r="J249" s="152">
        <v>0</v>
      </c>
      <c r="L249" s="218"/>
      <c r="M249" s="41"/>
      <c r="N249" s="27" t="str">
        <f t="shared" si="19"/>
        <v/>
      </c>
      <c r="O249" s="28"/>
      <c r="P249" s="36" t="str">
        <f t="shared" si="20"/>
        <v/>
      </c>
      <c r="Q249" s="216" t="str">
        <f t="shared" si="21"/>
        <v/>
      </c>
      <c r="R249" s="216" t="str">
        <f t="shared" si="22"/>
        <v/>
      </c>
      <c r="S249" s="217" t="str">
        <f t="shared" si="23"/>
        <v/>
      </c>
    </row>
    <row r="250" spans="1:19" ht="15.75" hidden="1" thickBot="1" x14ac:dyDescent="0.3">
      <c r="A250" s="262"/>
      <c r="B250" s="260"/>
      <c r="C250" s="31"/>
      <c r="D250" s="31"/>
      <c r="E250" s="32"/>
      <c r="F250" s="42" t="s">
        <v>416</v>
      </c>
      <c r="G250" s="30" t="str">
        <f t="shared" si="18"/>
        <v/>
      </c>
      <c r="H250" s="34"/>
      <c r="I250" s="30"/>
      <c r="J250" s="152">
        <v>0</v>
      </c>
      <c r="L250" s="219"/>
      <c r="M250" s="42"/>
      <c r="N250" s="30" t="str">
        <f t="shared" si="19"/>
        <v/>
      </c>
      <c r="O250" s="34"/>
      <c r="P250" s="36" t="str">
        <f t="shared" si="20"/>
        <v/>
      </c>
      <c r="Q250" s="216" t="str">
        <f t="shared" si="21"/>
        <v/>
      </c>
      <c r="R250" s="216" t="str">
        <f t="shared" si="22"/>
        <v/>
      </c>
      <c r="S250" s="217" t="str">
        <f t="shared" si="23"/>
        <v/>
      </c>
    </row>
    <row r="251" spans="1:19" ht="15.75" hidden="1" thickBot="1" x14ac:dyDescent="0.3">
      <c r="A251" s="262"/>
      <c r="B251" s="260"/>
      <c r="C251" s="35" t="s">
        <v>862</v>
      </c>
      <c r="D251" s="35" t="s">
        <v>583</v>
      </c>
      <c r="E251" s="36">
        <v>0.4</v>
      </c>
      <c r="F251" s="30">
        <v>26.799499999999998</v>
      </c>
      <c r="G251" s="30">
        <f t="shared" si="18"/>
        <v>10.719799999999999</v>
      </c>
      <c r="H251" s="38">
        <f>SUM(G251:G262)</f>
        <v>83.14817050000002</v>
      </c>
      <c r="I251" s="39"/>
      <c r="J251" s="152">
        <v>0</v>
      </c>
      <c r="L251" s="215">
        <v>0.4</v>
      </c>
      <c r="M251" s="30">
        <v>22.940372</v>
      </c>
      <c r="N251" s="30">
        <f t="shared" si="19"/>
        <v>9.1761488</v>
      </c>
      <c r="O251" s="38">
        <f>SUM(N251:N262)</f>
        <v>71.174833948</v>
      </c>
      <c r="P251" s="36" t="str">
        <f t="shared" si="20"/>
        <v/>
      </c>
      <c r="Q251" s="216">
        <f t="shared" si="21"/>
        <v>0.14399999999999991</v>
      </c>
      <c r="R251" s="216">
        <f t="shared" si="22"/>
        <v>0.14399999999999991</v>
      </c>
      <c r="S251" s="217">
        <f t="shared" si="23"/>
        <v>0.14400000000000024</v>
      </c>
    </row>
    <row r="252" spans="1:19" ht="15.75" hidden="1" thickBot="1" x14ac:dyDescent="0.3">
      <c r="A252" s="262"/>
      <c r="B252" s="260"/>
      <c r="C252" s="35" t="s">
        <v>584</v>
      </c>
      <c r="D252" s="35" t="s">
        <v>583</v>
      </c>
      <c r="E252" s="36">
        <v>0.4</v>
      </c>
      <c r="F252" s="30">
        <v>20.225499999999997</v>
      </c>
      <c r="G252" s="30">
        <f t="shared" si="18"/>
        <v>8.0901999999999994</v>
      </c>
      <c r="H252" s="34"/>
      <c r="I252" s="30"/>
      <c r="J252" s="152">
        <v>0</v>
      </c>
      <c r="L252" s="215">
        <v>0.4</v>
      </c>
      <c r="M252" s="30">
        <v>17.313027999999996</v>
      </c>
      <c r="N252" s="30">
        <f t="shared" si="19"/>
        <v>6.9252111999999988</v>
      </c>
      <c r="O252" s="34"/>
      <c r="P252" s="36" t="str">
        <f t="shared" si="20"/>
        <v/>
      </c>
      <c r="Q252" s="216">
        <f t="shared" si="21"/>
        <v>0.14400000000000013</v>
      </c>
      <c r="R252" s="216">
        <f t="shared" si="22"/>
        <v>0.14400000000000013</v>
      </c>
      <c r="S252" s="217" t="str">
        <f t="shared" si="23"/>
        <v/>
      </c>
    </row>
    <row r="253" spans="1:19" ht="15.75" hidden="1" thickBot="1" x14ac:dyDescent="0.3">
      <c r="A253" s="262"/>
      <c r="B253" s="260"/>
      <c r="C253" s="35" t="s">
        <v>72</v>
      </c>
      <c r="D253" s="35" t="s">
        <v>70</v>
      </c>
      <c r="E253" s="36">
        <v>1.1000000000000001</v>
      </c>
      <c r="F253" s="30">
        <v>0</v>
      </c>
      <c r="G253" s="30">
        <f t="shared" si="18"/>
        <v>0</v>
      </c>
      <c r="H253" s="34"/>
      <c r="I253" s="30"/>
      <c r="J253" s="152">
        <v>0</v>
      </c>
      <c r="L253" s="215">
        <v>1.1000000000000001</v>
      </c>
      <c r="M253" s="30">
        <v>0</v>
      </c>
      <c r="N253" s="30">
        <f t="shared" si="19"/>
        <v>0</v>
      </c>
      <c r="O253" s="34"/>
      <c r="P253" s="36" t="str">
        <f t="shared" si="20"/>
        <v/>
      </c>
      <c r="Q253" s="216" t="e">
        <f t="shared" si="21"/>
        <v>#DIV/0!</v>
      </c>
      <c r="R253" s="216" t="e">
        <f t="shared" si="22"/>
        <v>#DIV/0!</v>
      </c>
      <c r="S253" s="217" t="str">
        <f t="shared" si="23"/>
        <v/>
      </c>
    </row>
    <row r="254" spans="1:19" ht="26.25" hidden="1" thickBot="1" x14ac:dyDescent="0.3">
      <c r="A254" s="262"/>
      <c r="B254" s="260"/>
      <c r="C254" s="35" t="s">
        <v>3233</v>
      </c>
      <c r="D254" s="35" t="s">
        <v>385</v>
      </c>
      <c r="E254" s="36">
        <v>1.6</v>
      </c>
      <c r="F254" s="33">
        <v>8.1889999999999983</v>
      </c>
      <c r="G254" s="30">
        <f t="shared" si="18"/>
        <v>13.102399999999998</v>
      </c>
      <c r="H254" s="34"/>
      <c r="I254" s="30"/>
      <c r="J254" s="152">
        <v>0</v>
      </c>
      <c r="L254" s="215">
        <v>1.6</v>
      </c>
      <c r="M254" s="33">
        <v>7.0097839999999989</v>
      </c>
      <c r="N254" s="30">
        <f t="shared" si="19"/>
        <v>11.215654399999998</v>
      </c>
      <c r="O254" s="34"/>
      <c r="P254" s="36" t="str">
        <f t="shared" si="20"/>
        <v/>
      </c>
      <c r="Q254" s="216">
        <f t="shared" si="21"/>
        <v>0.14399999999999991</v>
      </c>
      <c r="R254" s="216">
        <f t="shared" si="22"/>
        <v>0.14400000000000002</v>
      </c>
      <c r="S254" s="217" t="str">
        <f t="shared" si="23"/>
        <v/>
      </c>
    </row>
    <row r="255" spans="1:19" ht="26.25" hidden="1" thickBot="1" x14ac:dyDescent="0.3">
      <c r="A255" s="262"/>
      <c r="B255" s="260"/>
      <c r="C255" s="35" t="s">
        <v>8517</v>
      </c>
      <c r="D255" s="35" t="s">
        <v>385</v>
      </c>
      <c r="E255" s="36">
        <v>1.65</v>
      </c>
      <c r="F255" s="33">
        <v>11.685</v>
      </c>
      <c r="G255" s="30">
        <f t="shared" si="18"/>
        <v>19.280249999999999</v>
      </c>
      <c r="H255" s="34"/>
      <c r="I255" s="30"/>
      <c r="J255" s="152">
        <v>0</v>
      </c>
      <c r="L255" s="215">
        <v>1.65</v>
      </c>
      <c r="M255" s="33">
        <v>10.002360000000001</v>
      </c>
      <c r="N255" s="30">
        <f t="shared" si="19"/>
        <v>16.503894000000003</v>
      </c>
      <c r="O255" s="34"/>
      <c r="P255" s="36" t="str">
        <f t="shared" si="20"/>
        <v/>
      </c>
      <c r="Q255" s="216">
        <f t="shared" si="21"/>
        <v>0.14399999999999991</v>
      </c>
      <c r="R255" s="216">
        <f t="shared" si="22"/>
        <v>0.14399999999999979</v>
      </c>
      <c r="S255" s="217" t="str">
        <f t="shared" si="23"/>
        <v/>
      </c>
    </row>
    <row r="256" spans="1:19" ht="26.25" hidden="1" thickBot="1" x14ac:dyDescent="0.3">
      <c r="A256" s="262"/>
      <c r="B256" s="260"/>
      <c r="C256" s="35" t="s">
        <v>8381</v>
      </c>
      <c r="D256" s="35" t="s">
        <v>385</v>
      </c>
      <c r="E256" s="36">
        <v>0.5</v>
      </c>
      <c r="F256" s="33">
        <v>34.152500000000003</v>
      </c>
      <c r="G256" s="30">
        <f t="shared" si="18"/>
        <v>17.076250000000002</v>
      </c>
      <c r="H256" s="34"/>
      <c r="I256" s="30"/>
      <c r="J256" s="152">
        <v>0</v>
      </c>
      <c r="L256" s="215">
        <v>0.5</v>
      </c>
      <c r="M256" s="33">
        <v>29.234540000000003</v>
      </c>
      <c r="N256" s="30">
        <f t="shared" si="19"/>
        <v>14.617270000000001</v>
      </c>
      <c r="O256" s="34"/>
      <c r="P256" s="36" t="str">
        <f t="shared" si="20"/>
        <v/>
      </c>
      <c r="Q256" s="216">
        <f t="shared" si="21"/>
        <v>0.14400000000000002</v>
      </c>
      <c r="R256" s="216">
        <f t="shared" si="22"/>
        <v>0.14400000000000002</v>
      </c>
      <c r="S256" s="217" t="str">
        <f t="shared" si="23"/>
        <v/>
      </c>
    </row>
    <row r="257" spans="1:19" ht="15.75" hidden="1" thickBot="1" x14ac:dyDescent="0.3">
      <c r="A257" s="262"/>
      <c r="B257" s="260"/>
      <c r="C257" s="35" t="s">
        <v>73</v>
      </c>
      <c r="D257" s="35" t="s">
        <v>773</v>
      </c>
      <c r="E257" s="36">
        <v>0.1</v>
      </c>
      <c r="F257" s="33">
        <v>21.602999999999998</v>
      </c>
      <c r="G257" s="30">
        <f t="shared" si="18"/>
        <v>2.1602999999999999</v>
      </c>
      <c r="H257" s="34"/>
      <c r="I257" s="30"/>
      <c r="J257" s="152">
        <v>0</v>
      </c>
      <c r="L257" s="215">
        <v>0.1</v>
      </c>
      <c r="M257" s="33">
        <v>18.492167999999999</v>
      </c>
      <c r="N257" s="30">
        <f t="shared" si="19"/>
        <v>1.8492168</v>
      </c>
      <c r="O257" s="34"/>
      <c r="P257" s="36" t="str">
        <f t="shared" si="20"/>
        <v/>
      </c>
      <c r="Q257" s="216">
        <f t="shared" si="21"/>
        <v>0.14399999999999991</v>
      </c>
      <c r="R257" s="216">
        <f t="shared" si="22"/>
        <v>0.14399999999999991</v>
      </c>
      <c r="S257" s="217" t="str">
        <f t="shared" si="23"/>
        <v/>
      </c>
    </row>
    <row r="258" spans="1:19" ht="15.75" hidden="1" thickBot="1" x14ac:dyDescent="0.3">
      <c r="A258" s="262"/>
      <c r="B258" s="260"/>
      <c r="C258" s="35" t="s">
        <v>2919</v>
      </c>
      <c r="D258" s="35" t="s">
        <v>583</v>
      </c>
      <c r="E258" s="36">
        <v>1.5E-3</v>
      </c>
      <c r="F258" s="33">
        <v>23.047000000000001</v>
      </c>
      <c r="G258" s="30">
        <f t="shared" si="18"/>
        <v>3.4570500000000004E-2</v>
      </c>
      <c r="H258" s="34"/>
      <c r="I258" s="30"/>
      <c r="J258" s="152">
        <v>0</v>
      </c>
      <c r="L258" s="215">
        <v>1.5E-3</v>
      </c>
      <c r="M258" s="33">
        <v>19.728232000000002</v>
      </c>
      <c r="N258" s="30">
        <f t="shared" si="19"/>
        <v>2.9592348000000004E-2</v>
      </c>
      <c r="O258" s="34"/>
      <c r="P258" s="36" t="str">
        <f t="shared" si="20"/>
        <v/>
      </c>
      <c r="Q258" s="216">
        <f t="shared" si="21"/>
        <v>0.14399999999999991</v>
      </c>
      <c r="R258" s="216">
        <f t="shared" si="22"/>
        <v>0.14400000000000002</v>
      </c>
      <c r="S258" s="217" t="str">
        <f t="shared" si="23"/>
        <v/>
      </c>
    </row>
    <row r="259" spans="1:19" ht="15.75" hidden="1" thickBot="1" x14ac:dyDescent="0.3">
      <c r="A259" s="262"/>
      <c r="B259" s="260"/>
      <c r="C259" s="35" t="s">
        <v>956</v>
      </c>
      <c r="D259" s="35" t="s">
        <v>583</v>
      </c>
      <c r="E259" s="36">
        <v>0.4</v>
      </c>
      <c r="F259" s="33">
        <v>28.6615</v>
      </c>
      <c r="G259" s="30">
        <f t="shared" si="18"/>
        <v>11.464600000000001</v>
      </c>
      <c r="H259" s="34"/>
      <c r="I259" s="30"/>
      <c r="J259" s="152">
        <v>0</v>
      </c>
      <c r="L259" s="215">
        <v>0.4</v>
      </c>
      <c r="M259" s="33">
        <v>24.534244000000001</v>
      </c>
      <c r="N259" s="30">
        <f t="shared" si="19"/>
        <v>9.8136976000000011</v>
      </c>
      <c r="O259" s="34"/>
      <c r="P259" s="36" t="str">
        <f t="shared" si="20"/>
        <v/>
      </c>
      <c r="Q259" s="216">
        <f t="shared" si="21"/>
        <v>0.14400000000000002</v>
      </c>
      <c r="R259" s="216">
        <f t="shared" si="22"/>
        <v>0.14399999999999991</v>
      </c>
      <c r="S259" s="217" t="str">
        <f t="shared" si="23"/>
        <v/>
      </c>
    </row>
    <row r="260" spans="1:19" ht="15.75" hidden="1" thickBot="1" x14ac:dyDescent="0.3">
      <c r="A260" s="262"/>
      <c r="B260" s="260"/>
      <c r="C260" s="35" t="s">
        <v>74</v>
      </c>
      <c r="D260" s="35" t="s">
        <v>75</v>
      </c>
      <c r="E260" s="36">
        <v>2.2499999999999999E-2</v>
      </c>
      <c r="F260" s="33">
        <v>0</v>
      </c>
      <c r="G260" s="30">
        <f t="shared" si="18"/>
        <v>0</v>
      </c>
      <c r="H260" s="34"/>
      <c r="I260" s="30"/>
      <c r="J260" s="152">
        <v>0</v>
      </c>
      <c r="L260" s="215">
        <v>2.2499999999999999E-2</v>
      </c>
      <c r="M260" s="33">
        <v>0</v>
      </c>
      <c r="N260" s="30">
        <f t="shared" si="19"/>
        <v>0</v>
      </c>
      <c r="O260" s="34"/>
      <c r="P260" s="36" t="str">
        <f t="shared" si="20"/>
        <v/>
      </c>
      <c r="Q260" s="216" t="e">
        <f t="shared" si="21"/>
        <v>#DIV/0!</v>
      </c>
      <c r="R260" s="216" t="e">
        <f t="shared" si="22"/>
        <v>#DIV/0!</v>
      </c>
      <c r="S260" s="217" t="str">
        <f t="shared" si="23"/>
        <v/>
      </c>
    </row>
    <row r="261" spans="1:19" ht="15.75" hidden="1" thickBot="1" x14ac:dyDescent="0.3">
      <c r="A261" s="262"/>
      <c r="B261" s="260"/>
      <c r="C261" s="35" t="s">
        <v>8041</v>
      </c>
      <c r="D261" s="35" t="s">
        <v>773</v>
      </c>
      <c r="E261" s="36">
        <v>0.6</v>
      </c>
      <c r="F261" s="33">
        <v>2.0329999999999999</v>
      </c>
      <c r="G261" s="30">
        <f t="shared" si="18"/>
        <v>1.2198</v>
      </c>
      <c r="H261" s="34"/>
      <c r="I261" s="30"/>
      <c r="J261" s="152">
        <v>0</v>
      </c>
      <c r="L261" s="215">
        <v>0.6</v>
      </c>
      <c r="M261" s="33">
        <v>1.740248</v>
      </c>
      <c r="N261" s="30">
        <f t="shared" si="19"/>
        <v>1.0441487999999999</v>
      </c>
      <c r="O261" s="34"/>
      <c r="P261" s="36" t="str">
        <f t="shared" si="20"/>
        <v/>
      </c>
      <c r="Q261" s="216">
        <f t="shared" si="21"/>
        <v>0.14399999999999991</v>
      </c>
      <c r="R261" s="216">
        <f t="shared" si="22"/>
        <v>0.14400000000000013</v>
      </c>
      <c r="S261" s="217" t="str">
        <f t="shared" si="23"/>
        <v/>
      </c>
    </row>
    <row r="262" spans="1:19" ht="15.75" hidden="1" thickBot="1" x14ac:dyDescent="0.3">
      <c r="A262" s="262"/>
      <c r="B262" s="260"/>
      <c r="C262" s="35" t="s">
        <v>76</v>
      </c>
      <c r="D262" s="35" t="s">
        <v>28</v>
      </c>
      <c r="E262" s="36">
        <v>1.4999999999999999E-2</v>
      </c>
      <c r="F262" s="33">
        <v>0</v>
      </c>
      <c r="G262" s="30">
        <f t="shared" ref="G262:G325" si="24">IF(ISNUMBER(F262),E262*F262,"")</f>
        <v>0</v>
      </c>
      <c r="H262" s="34"/>
      <c r="I262" s="30"/>
      <c r="J262" s="152">
        <v>0</v>
      </c>
      <c r="L262" s="215">
        <v>1.4999999999999999E-2</v>
      </c>
      <c r="M262" s="33">
        <v>0</v>
      </c>
      <c r="N262" s="30">
        <f t="shared" ref="N262:N325" si="25">IF(ISNUMBER(M262),L262*M262,"")</f>
        <v>0</v>
      </c>
      <c r="O262" s="34"/>
      <c r="P262" s="36" t="str">
        <f t="shared" si="20"/>
        <v/>
      </c>
      <c r="Q262" s="216" t="e">
        <f t="shared" si="21"/>
        <v>#DIV/0!</v>
      </c>
      <c r="R262" s="216" t="e">
        <f t="shared" si="22"/>
        <v>#DIV/0!</v>
      </c>
      <c r="S262" s="217" t="str">
        <f t="shared" si="23"/>
        <v/>
      </c>
    </row>
    <row r="263" spans="1:19" ht="15.75" hidden="1" thickBot="1" x14ac:dyDescent="0.3">
      <c r="A263" s="263"/>
      <c r="B263" s="261"/>
      <c r="C263" s="35"/>
      <c r="D263" s="35"/>
      <c r="E263" s="36"/>
      <c r="F263" s="30" t="s">
        <v>416</v>
      </c>
      <c r="G263" s="30" t="str">
        <f t="shared" si="24"/>
        <v/>
      </c>
      <c r="H263" s="34"/>
      <c r="I263" s="30"/>
      <c r="J263" s="152">
        <v>0</v>
      </c>
      <c r="L263" s="215"/>
      <c r="M263" s="30"/>
      <c r="N263" s="30" t="str">
        <f t="shared" si="25"/>
        <v/>
      </c>
      <c r="O263" s="34"/>
      <c r="P263" s="36" t="str">
        <f t="shared" si="20"/>
        <v/>
      </c>
      <c r="Q263" s="216" t="str">
        <f t="shared" si="21"/>
        <v/>
      </c>
      <c r="R263" s="216" t="str">
        <f t="shared" si="22"/>
        <v/>
      </c>
      <c r="S263" s="217" t="str">
        <f t="shared" si="23"/>
        <v/>
      </c>
    </row>
    <row r="264" spans="1:19" ht="15.75" hidden="1" thickBot="1" x14ac:dyDescent="0.3">
      <c r="A264" s="256" t="s">
        <v>77</v>
      </c>
      <c r="B264" s="259" t="str">
        <f>INDEX(Orçamentária!A:B,MATCH(Composições!A264,Orçamentária!A:A,0),2)</f>
        <v>Limpeza final</v>
      </c>
      <c r="C264" s="40"/>
      <c r="D264" s="25" t="s">
        <v>70</v>
      </c>
      <c r="E264" s="26"/>
      <c r="F264" s="41" t="s">
        <v>416</v>
      </c>
      <c r="G264" s="27" t="str">
        <f t="shared" si="24"/>
        <v/>
      </c>
      <c r="H264" s="28"/>
      <c r="I264" s="29"/>
      <c r="J264" s="152">
        <v>0</v>
      </c>
      <c r="L264" s="218"/>
      <c r="M264" s="41"/>
      <c r="N264" s="27" t="str">
        <f t="shared" si="25"/>
        <v/>
      </c>
      <c r="O264" s="28"/>
      <c r="P264" s="36" t="str">
        <f t="shared" ref="P264:P327" si="26">IF(ISBLANK(L264),"",IF($E264&lt;&gt;L264,"SIM",""))</f>
        <v/>
      </c>
      <c r="Q264" s="216" t="str">
        <f t="shared" ref="Q264:Q327" si="27">IF(M264="","",1-M264/$F264)</f>
        <v/>
      </c>
      <c r="R264" s="216" t="str">
        <f t="shared" ref="R264:R327" si="28">IF(N264="","",1-N264/$G264)</f>
        <v/>
      </c>
      <c r="S264" s="217" t="str">
        <f t="shared" ref="S264:S327" si="29">IF(O264="","",1-O264/$H264)</f>
        <v/>
      </c>
    </row>
    <row r="265" spans="1:19" ht="15.75" hidden="1" thickBot="1" x14ac:dyDescent="0.3">
      <c r="A265" s="262"/>
      <c r="B265" s="260"/>
      <c r="C265" s="31"/>
      <c r="D265" s="31"/>
      <c r="E265" s="32"/>
      <c r="F265" s="42" t="s">
        <v>416</v>
      </c>
      <c r="G265" s="30" t="str">
        <f t="shared" si="24"/>
        <v/>
      </c>
      <c r="H265" s="34"/>
      <c r="I265" s="30"/>
      <c r="J265" s="152">
        <v>0</v>
      </c>
      <c r="L265" s="219"/>
      <c r="M265" s="42"/>
      <c r="N265" s="30" t="str">
        <f t="shared" si="25"/>
        <v/>
      </c>
      <c r="O265" s="34"/>
      <c r="P265" s="36" t="str">
        <f t="shared" si="26"/>
        <v/>
      </c>
      <c r="Q265" s="216" t="str">
        <f t="shared" si="27"/>
        <v/>
      </c>
      <c r="R265" s="216" t="str">
        <f t="shared" si="28"/>
        <v/>
      </c>
      <c r="S265" s="217" t="str">
        <f t="shared" si="29"/>
        <v/>
      </c>
    </row>
    <row r="266" spans="1:19" ht="15.75" hidden="1" thickBot="1" x14ac:dyDescent="0.3">
      <c r="A266" s="262"/>
      <c r="B266" s="260"/>
      <c r="C266" s="35" t="s">
        <v>584</v>
      </c>
      <c r="D266" s="35" t="s">
        <v>583</v>
      </c>
      <c r="E266" s="36">
        <v>2.5000000000000001E-2</v>
      </c>
      <c r="F266" s="30">
        <v>20.225499999999997</v>
      </c>
      <c r="G266" s="30">
        <f t="shared" si="24"/>
        <v>0.50563749999999996</v>
      </c>
      <c r="H266" s="38">
        <f>SUM(G266:G267)</f>
        <v>2.467511</v>
      </c>
      <c r="I266" s="39"/>
      <c r="J266" s="152">
        <v>0</v>
      </c>
      <c r="L266" s="215">
        <v>2.5000000000000001E-2</v>
      </c>
      <c r="M266" s="30">
        <v>17.313027999999996</v>
      </c>
      <c r="N266" s="30">
        <f t="shared" si="25"/>
        <v>0.43282569999999992</v>
      </c>
      <c r="O266" s="38">
        <f>SUM(N266:N267)</f>
        <v>2.1121894159999997</v>
      </c>
      <c r="P266" s="36" t="str">
        <f t="shared" si="26"/>
        <v/>
      </c>
      <c r="Q266" s="216">
        <f t="shared" si="27"/>
        <v>0.14400000000000013</v>
      </c>
      <c r="R266" s="216">
        <f t="shared" si="28"/>
        <v>0.14400000000000013</v>
      </c>
      <c r="S266" s="217">
        <f t="shared" si="29"/>
        <v>0.14400000000000013</v>
      </c>
    </row>
    <row r="267" spans="1:19" ht="15.75" hidden="1" thickBot="1" x14ac:dyDescent="0.3">
      <c r="A267" s="262"/>
      <c r="B267" s="260"/>
      <c r="C267" s="35" t="s">
        <v>584</v>
      </c>
      <c r="D267" s="35" t="s">
        <v>583</v>
      </c>
      <c r="E267" s="36">
        <v>9.7000000000000003E-2</v>
      </c>
      <c r="F267" s="30">
        <v>20.225499999999997</v>
      </c>
      <c r="G267" s="30">
        <f t="shared" si="24"/>
        <v>1.9618734999999998</v>
      </c>
      <c r="H267" s="34"/>
      <c r="I267" s="39"/>
      <c r="J267" s="152">
        <v>0</v>
      </c>
      <c r="L267" s="215">
        <v>9.7000000000000003E-2</v>
      </c>
      <c r="M267" s="30">
        <v>17.313027999999996</v>
      </c>
      <c r="N267" s="30">
        <f t="shared" si="25"/>
        <v>1.6793637159999997</v>
      </c>
      <c r="O267" s="34"/>
      <c r="P267" s="36" t="str">
        <f t="shared" si="26"/>
        <v/>
      </c>
      <c r="Q267" s="216">
        <f t="shared" si="27"/>
        <v>0.14400000000000013</v>
      </c>
      <c r="R267" s="216">
        <f t="shared" si="28"/>
        <v>0.14400000000000013</v>
      </c>
      <c r="S267" s="217" t="str">
        <f t="shared" si="29"/>
        <v/>
      </c>
    </row>
    <row r="268" spans="1:19" ht="15.75" hidden="1" thickBot="1" x14ac:dyDescent="0.3">
      <c r="A268" s="263"/>
      <c r="B268" s="261"/>
      <c r="C268" s="35"/>
      <c r="D268" s="35"/>
      <c r="E268" s="36"/>
      <c r="F268" s="30" t="s">
        <v>416</v>
      </c>
      <c r="G268" s="30" t="str">
        <f t="shared" si="24"/>
        <v/>
      </c>
      <c r="H268" s="34"/>
      <c r="I268" s="30"/>
      <c r="J268" s="152">
        <v>0</v>
      </c>
      <c r="L268" s="215"/>
      <c r="M268" s="30"/>
      <c r="N268" s="30" t="str">
        <f t="shared" si="25"/>
        <v/>
      </c>
      <c r="O268" s="34"/>
      <c r="P268" s="36" t="str">
        <f t="shared" si="26"/>
        <v/>
      </c>
      <c r="Q268" s="216" t="str">
        <f t="shared" si="27"/>
        <v/>
      </c>
      <c r="R268" s="216" t="str">
        <f t="shared" si="28"/>
        <v/>
      </c>
      <c r="S268" s="217" t="str">
        <f t="shared" si="29"/>
        <v/>
      </c>
    </row>
    <row r="269" spans="1:19" ht="15.75" hidden="1" thickBot="1" x14ac:dyDescent="0.3">
      <c r="A269" s="256" t="s">
        <v>78</v>
      </c>
      <c r="B269" s="259" t="str">
        <f>INDEX(Orçamentária!A:B,MATCH(Composições!A269,Orçamentária!A:A,0),2)</f>
        <v>Abertura/fechamento rasgo em alvenaria</v>
      </c>
      <c r="C269" s="40"/>
      <c r="D269" s="25" t="s">
        <v>69</v>
      </c>
      <c r="E269" s="26"/>
      <c r="F269" s="41" t="s">
        <v>416</v>
      </c>
      <c r="G269" s="27" t="str">
        <f t="shared" si="24"/>
        <v/>
      </c>
      <c r="H269" s="28"/>
      <c r="I269" s="29"/>
      <c r="J269" s="152">
        <v>0</v>
      </c>
      <c r="L269" s="218"/>
      <c r="M269" s="41"/>
      <c r="N269" s="27" t="str">
        <f t="shared" si="25"/>
        <v/>
      </c>
      <c r="O269" s="28"/>
      <c r="P269" s="36" t="str">
        <f t="shared" si="26"/>
        <v/>
      </c>
      <c r="Q269" s="216" t="str">
        <f t="shared" si="27"/>
        <v/>
      </c>
      <c r="R269" s="216" t="str">
        <f t="shared" si="28"/>
        <v/>
      </c>
      <c r="S269" s="217" t="str">
        <f t="shared" si="29"/>
        <v/>
      </c>
    </row>
    <row r="270" spans="1:19" ht="15.75" hidden="1" thickBot="1" x14ac:dyDescent="0.3">
      <c r="A270" s="262"/>
      <c r="B270" s="260"/>
      <c r="C270" s="31"/>
      <c r="D270" s="31"/>
      <c r="E270" s="32"/>
      <c r="F270" s="42" t="s">
        <v>416</v>
      </c>
      <c r="G270" s="30" t="str">
        <f t="shared" si="24"/>
        <v/>
      </c>
      <c r="H270" s="34"/>
      <c r="I270" s="30"/>
      <c r="J270" s="152">
        <v>0</v>
      </c>
      <c r="L270" s="219"/>
      <c r="M270" s="42"/>
      <c r="N270" s="30" t="str">
        <f t="shared" si="25"/>
        <v/>
      </c>
      <c r="O270" s="34"/>
      <c r="P270" s="36" t="str">
        <f t="shared" si="26"/>
        <v/>
      </c>
      <c r="Q270" s="216" t="str">
        <f t="shared" si="27"/>
        <v/>
      </c>
      <c r="R270" s="216" t="str">
        <f t="shared" si="28"/>
        <v/>
      </c>
      <c r="S270" s="217" t="str">
        <f t="shared" si="29"/>
        <v/>
      </c>
    </row>
    <row r="271" spans="1:19" ht="15.75" hidden="1" thickBot="1" x14ac:dyDescent="0.3">
      <c r="A271" s="262"/>
      <c r="B271" s="260"/>
      <c r="C271" s="35" t="s">
        <v>1017</v>
      </c>
      <c r="D271" s="35" t="s">
        <v>583</v>
      </c>
      <c r="E271" s="36">
        <v>3.4000000000000002E-2</v>
      </c>
      <c r="F271" s="30">
        <v>21.584</v>
      </c>
      <c r="G271" s="30">
        <f t="shared" si="24"/>
        <v>0.73385600000000006</v>
      </c>
      <c r="H271" s="38">
        <f>SUM(G271:G275)</f>
        <v>20.663349636765499</v>
      </c>
      <c r="I271" s="39"/>
      <c r="J271" s="152">
        <v>0</v>
      </c>
      <c r="L271" s="215">
        <v>3.4000000000000002E-2</v>
      </c>
      <c r="M271" s="30">
        <v>18.475904</v>
      </c>
      <c r="N271" s="30">
        <f t="shared" si="25"/>
        <v>0.62818073600000002</v>
      </c>
      <c r="O271" s="38">
        <f>SUM(N271:N275)</f>
        <v>17.687827289071269</v>
      </c>
      <c r="P271" s="36" t="str">
        <f t="shared" si="26"/>
        <v/>
      </c>
      <c r="Q271" s="216">
        <f t="shared" si="27"/>
        <v>0.14400000000000002</v>
      </c>
      <c r="R271" s="216">
        <f t="shared" si="28"/>
        <v>0.14400000000000002</v>
      </c>
      <c r="S271" s="217">
        <f t="shared" si="29"/>
        <v>0.14399999999999991</v>
      </c>
    </row>
    <row r="272" spans="1:19" ht="15.75" hidden="1" thickBot="1" x14ac:dyDescent="0.3">
      <c r="A272" s="262"/>
      <c r="B272" s="260"/>
      <c r="C272" s="35" t="s">
        <v>1018</v>
      </c>
      <c r="D272" s="35" t="s">
        <v>583</v>
      </c>
      <c r="E272" s="36">
        <v>0.216</v>
      </c>
      <c r="F272" s="30">
        <v>27.835000000000001</v>
      </c>
      <c r="G272" s="30">
        <f t="shared" si="24"/>
        <v>6.0123600000000001</v>
      </c>
      <c r="H272" s="34"/>
      <c r="I272" s="30"/>
      <c r="J272" s="152">
        <v>0</v>
      </c>
      <c r="L272" s="215">
        <v>0.216</v>
      </c>
      <c r="M272" s="30">
        <v>23.82676</v>
      </c>
      <c r="N272" s="30">
        <f t="shared" si="25"/>
        <v>5.1465801600000001</v>
      </c>
      <c r="O272" s="34"/>
      <c r="P272" s="36" t="str">
        <f t="shared" si="26"/>
        <v/>
      </c>
      <c r="Q272" s="216">
        <f t="shared" si="27"/>
        <v>0.14400000000000002</v>
      </c>
      <c r="R272" s="216">
        <f t="shared" si="28"/>
        <v>0.14400000000000002</v>
      </c>
      <c r="S272" s="217" t="str">
        <f t="shared" si="29"/>
        <v/>
      </c>
    </row>
    <row r="273" spans="1:19" ht="26.25" hidden="1" thickBot="1" x14ac:dyDescent="0.3">
      <c r="A273" s="262"/>
      <c r="B273" s="260"/>
      <c r="C273" s="35" t="s">
        <v>824</v>
      </c>
      <c r="D273" s="35" t="s">
        <v>583</v>
      </c>
      <c r="E273" s="36">
        <v>5.5E-2</v>
      </c>
      <c r="F273" s="30">
        <v>21.166</v>
      </c>
      <c r="G273" s="30">
        <f t="shared" si="24"/>
        <v>1.1641300000000001</v>
      </c>
      <c r="H273" s="34"/>
      <c r="I273" s="30"/>
      <c r="J273" s="152">
        <v>0</v>
      </c>
      <c r="L273" s="215">
        <v>5.5E-2</v>
      </c>
      <c r="M273" s="30">
        <v>18.118096000000001</v>
      </c>
      <c r="N273" s="30">
        <f t="shared" si="25"/>
        <v>0.99649528000000009</v>
      </c>
      <c r="O273" s="34"/>
      <c r="P273" s="36" t="str">
        <f t="shared" si="26"/>
        <v/>
      </c>
      <c r="Q273" s="216">
        <f t="shared" si="27"/>
        <v>0.14399999999999991</v>
      </c>
      <c r="R273" s="216">
        <f t="shared" si="28"/>
        <v>0.14400000000000002</v>
      </c>
      <c r="S273" s="217" t="str">
        <f t="shared" si="29"/>
        <v/>
      </c>
    </row>
    <row r="274" spans="1:19" ht="26.25" hidden="1" thickBot="1" x14ac:dyDescent="0.3">
      <c r="A274" s="262"/>
      <c r="B274" s="260"/>
      <c r="C274" s="35" t="s">
        <v>825</v>
      </c>
      <c r="D274" s="35" t="s">
        <v>583</v>
      </c>
      <c r="E274" s="36">
        <v>0.39100000000000001</v>
      </c>
      <c r="F274" s="30">
        <v>26.799499999999998</v>
      </c>
      <c r="G274" s="30">
        <f t="shared" si="24"/>
        <v>10.478604499999999</v>
      </c>
      <c r="H274" s="34"/>
      <c r="I274" s="30"/>
      <c r="J274" s="152">
        <v>0</v>
      </c>
      <c r="L274" s="215">
        <v>0.39100000000000001</v>
      </c>
      <c r="M274" s="30">
        <v>22.940372</v>
      </c>
      <c r="N274" s="30">
        <f t="shared" si="25"/>
        <v>8.9696854520000002</v>
      </c>
      <c r="O274" s="34"/>
      <c r="P274" s="36" t="str">
        <f t="shared" si="26"/>
        <v/>
      </c>
      <c r="Q274" s="216">
        <f t="shared" si="27"/>
        <v>0.14399999999999991</v>
      </c>
      <c r="R274" s="216">
        <f t="shared" si="28"/>
        <v>0.14399999999999991</v>
      </c>
      <c r="S274" s="217" t="str">
        <f t="shared" si="29"/>
        <v/>
      </c>
    </row>
    <row r="275" spans="1:19" ht="26.25" hidden="1" thickBot="1" x14ac:dyDescent="0.3">
      <c r="A275" s="262"/>
      <c r="B275" s="260"/>
      <c r="C275" s="35" t="s">
        <v>79</v>
      </c>
      <c r="D275" s="35" t="s">
        <v>80</v>
      </c>
      <c r="E275" s="36">
        <v>3.0000000000000001E-3</v>
      </c>
      <c r="F275" s="33">
        <v>758.13304558849984</v>
      </c>
      <c r="G275" s="33">
        <f t="shared" si="24"/>
        <v>2.2743991367654997</v>
      </c>
      <c r="H275" s="34"/>
      <c r="I275" s="30"/>
      <c r="J275" s="152">
        <v>0</v>
      </c>
      <c r="L275" s="215">
        <v>3.0000000000000001E-3</v>
      </c>
      <c r="M275" s="33">
        <v>648.96188702375593</v>
      </c>
      <c r="N275" s="33">
        <f t="shared" si="25"/>
        <v>1.9468856610712679</v>
      </c>
      <c r="O275" s="34"/>
      <c r="P275" s="36" t="str">
        <f t="shared" si="26"/>
        <v/>
      </c>
      <c r="Q275" s="216">
        <f t="shared" si="27"/>
        <v>0.14399999999999991</v>
      </c>
      <c r="R275" s="216">
        <f t="shared" si="28"/>
        <v>0.14399999999999991</v>
      </c>
      <c r="S275" s="217" t="str">
        <f t="shared" si="29"/>
        <v/>
      </c>
    </row>
    <row r="276" spans="1:19" ht="15.75" hidden="1" thickBot="1" x14ac:dyDescent="0.3">
      <c r="A276" s="263"/>
      <c r="B276" s="261"/>
      <c r="C276" s="35"/>
      <c r="D276" s="35"/>
      <c r="E276" s="36"/>
      <c r="F276" s="30" t="s">
        <v>416</v>
      </c>
      <c r="G276" s="30" t="str">
        <f t="shared" si="24"/>
        <v/>
      </c>
      <c r="H276" s="34"/>
      <c r="I276" s="30"/>
      <c r="J276" s="152">
        <v>0</v>
      </c>
      <c r="L276" s="215"/>
      <c r="M276" s="30"/>
      <c r="N276" s="30" t="str">
        <f t="shared" si="25"/>
        <v/>
      </c>
      <c r="O276" s="34"/>
      <c r="P276" s="36" t="str">
        <f t="shared" si="26"/>
        <v/>
      </c>
      <c r="Q276" s="216" t="str">
        <f t="shared" si="27"/>
        <v/>
      </c>
      <c r="R276" s="216" t="str">
        <f t="shared" si="28"/>
        <v/>
      </c>
      <c r="S276" s="217" t="str">
        <f t="shared" si="29"/>
        <v/>
      </c>
    </row>
    <row r="277" spans="1:19" ht="15.75" hidden="1" thickBot="1" x14ac:dyDescent="0.3">
      <c r="A277" s="256" t="s">
        <v>81</v>
      </c>
      <c r="B277" s="259" t="str">
        <f>INDEX(Orçamentária!A:B,MATCH(Composições!A277,Orçamentária!A:A,0),2)</f>
        <v>Furo em concreto de 40 mm até 75 mm de diâmetro</v>
      </c>
      <c r="C277" s="40"/>
      <c r="D277" s="25" t="s">
        <v>16</v>
      </c>
      <c r="E277" s="26"/>
      <c r="F277" s="41" t="s">
        <v>416</v>
      </c>
      <c r="G277" s="27" t="str">
        <f t="shared" si="24"/>
        <v/>
      </c>
      <c r="H277" s="28"/>
      <c r="I277" s="29"/>
      <c r="J277" s="152">
        <v>0</v>
      </c>
      <c r="L277" s="218"/>
      <c r="M277" s="41"/>
      <c r="N277" s="27" t="str">
        <f t="shared" si="25"/>
        <v/>
      </c>
      <c r="O277" s="28"/>
      <c r="P277" s="36" t="str">
        <f t="shared" si="26"/>
        <v/>
      </c>
      <c r="Q277" s="216" t="str">
        <f t="shared" si="27"/>
        <v/>
      </c>
      <c r="R277" s="216" t="str">
        <f t="shared" si="28"/>
        <v/>
      </c>
      <c r="S277" s="217" t="str">
        <f t="shared" si="29"/>
        <v/>
      </c>
    </row>
    <row r="278" spans="1:19" ht="15.75" hidden="1" thickBot="1" x14ac:dyDescent="0.3">
      <c r="A278" s="262"/>
      <c r="B278" s="260"/>
      <c r="C278" s="31"/>
      <c r="D278" s="31"/>
      <c r="E278" s="32"/>
      <c r="F278" s="42" t="s">
        <v>416</v>
      </c>
      <c r="G278" s="30" t="str">
        <f t="shared" si="24"/>
        <v/>
      </c>
      <c r="H278" s="34"/>
      <c r="I278" s="30"/>
      <c r="J278" s="152">
        <v>0</v>
      </c>
      <c r="L278" s="219"/>
      <c r="M278" s="42"/>
      <c r="N278" s="30" t="str">
        <f t="shared" si="25"/>
        <v/>
      </c>
      <c r="O278" s="34"/>
      <c r="P278" s="36" t="str">
        <f t="shared" si="26"/>
        <v/>
      </c>
      <c r="Q278" s="216" t="str">
        <f t="shared" si="27"/>
        <v/>
      </c>
      <c r="R278" s="216" t="str">
        <f t="shared" si="28"/>
        <v/>
      </c>
      <c r="S278" s="217" t="str">
        <f t="shared" si="29"/>
        <v/>
      </c>
    </row>
    <row r="279" spans="1:19" ht="26.25" hidden="1" thickBot="1" x14ac:dyDescent="0.3">
      <c r="A279" s="262"/>
      <c r="B279" s="260"/>
      <c r="C279" s="35" t="s">
        <v>969</v>
      </c>
      <c r="D279" s="35" t="s">
        <v>813</v>
      </c>
      <c r="E279" s="36">
        <v>0.58699999999999997</v>
      </c>
      <c r="F279" s="33">
        <v>24.6525</v>
      </c>
      <c r="G279" s="33">
        <f t="shared" si="24"/>
        <v>14.471017499999999</v>
      </c>
      <c r="H279" s="38">
        <f>SUM(G279:G282)</f>
        <v>100.656927</v>
      </c>
      <c r="I279" s="39"/>
      <c r="J279" s="152">
        <v>0</v>
      </c>
      <c r="L279" s="215">
        <v>0.58699999999999997</v>
      </c>
      <c r="M279" s="33">
        <v>21.102540000000001</v>
      </c>
      <c r="N279" s="33">
        <f t="shared" si="25"/>
        <v>12.38719098</v>
      </c>
      <c r="O279" s="38">
        <f>SUM(N279:N282)</f>
        <v>86.162329512000014</v>
      </c>
      <c r="P279" s="36" t="str">
        <f t="shared" si="26"/>
        <v/>
      </c>
      <c r="Q279" s="216">
        <f t="shared" si="27"/>
        <v>0.14399999999999991</v>
      </c>
      <c r="R279" s="216">
        <f t="shared" si="28"/>
        <v>0.14399999999999991</v>
      </c>
      <c r="S279" s="217">
        <f t="shared" si="29"/>
        <v>0.14399999999999979</v>
      </c>
    </row>
    <row r="280" spans="1:19" ht="26.25" hidden="1" thickBot="1" x14ac:dyDescent="0.3">
      <c r="A280" s="262"/>
      <c r="B280" s="260"/>
      <c r="C280" s="35" t="s">
        <v>970</v>
      </c>
      <c r="D280" s="35" t="s">
        <v>815</v>
      </c>
      <c r="E280" s="36">
        <v>1.29</v>
      </c>
      <c r="F280" s="33">
        <v>23.008999999999997</v>
      </c>
      <c r="G280" s="33">
        <f t="shared" si="24"/>
        <v>29.681609999999996</v>
      </c>
      <c r="H280" s="34"/>
      <c r="I280" s="30"/>
      <c r="J280" s="152">
        <v>0</v>
      </c>
      <c r="L280" s="215">
        <v>1.29</v>
      </c>
      <c r="M280" s="33">
        <v>19.695703999999999</v>
      </c>
      <c r="N280" s="33">
        <f t="shared" si="25"/>
        <v>25.407458160000001</v>
      </c>
      <c r="O280" s="34"/>
      <c r="P280" s="36" t="str">
        <f t="shared" si="26"/>
        <v/>
      </c>
      <c r="Q280" s="216">
        <f t="shared" si="27"/>
        <v>0.14399999999999991</v>
      </c>
      <c r="R280" s="216">
        <f t="shared" si="28"/>
        <v>0.14399999999999979</v>
      </c>
      <c r="S280" s="217" t="str">
        <f t="shared" si="29"/>
        <v/>
      </c>
    </row>
    <row r="281" spans="1:19" ht="26.25" hidden="1" thickBot="1" x14ac:dyDescent="0.3">
      <c r="A281" s="262"/>
      <c r="B281" s="260"/>
      <c r="C281" s="35" t="s">
        <v>824</v>
      </c>
      <c r="D281" s="35" t="s">
        <v>583</v>
      </c>
      <c r="E281" s="36">
        <v>0.29299999999999998</v>
      </c>
      <c r="F281" s="30">
        <v>21.166</v>
      </c>
      <c r="G281" s="33">
        <f t="shared" si="24"/>
        <v>6.201638</v>
      </c>
      <c r="H281" s="34"/>
      <c r="I281" s="30"/>
      <c r="J281" s="152">
        <v>0</v>
      </c>
      <c r="L281" s="215">
        <v>0.29299999999999998</v>
      </c>
      <c r="M281" s="30">
        <v>18.118096000000001</v>
      </c>
      <c r="N281" s="33">
        <f t="shared" si="25"/>
        <v>5.3086021280000004</v>
      </c>
      <c r="O281" s="34"/>
      <c r="P281" s="36" t="str">
        <f t="shared" si="26"/>
        <v/>
      </c>
      <c r="Q281" s="216">
        <f t="shared" si="27"/>
        <v>0.14399999999999991</v>
      </c>
      <c r="R281" s="216">
        <f t="shared" si="28"/>
        <v>0.14399999999999991</v>
      </c>
      <c r="S281" s="217" t="str">
        <f t="shared" si="29"/>
        <v/>
      </c>
    </row>
    <row r="282" spans="1:19" ht="26.25" hidden="1" thickBot="1" x14ac:dyDescent="0.3">
      <c r="A282" s="262"/>
      <c r="B282" s="260"/>
      <c r="C282" s="35" t="s">
        <v>825</v>
      </c>
      <c r="D282" s="35" t="s">
        <v>583</v>
      </c>
      <c r="E282" s="36">
        <v>1.877</v>
      </c>
      <c r="F282" s="30">
        <v>26.799499999999998</v>
      </c>
      <c r="G282" s="33">
        <f t="shared" si="24"/>
        <v>50.302661499999999</v>
      </c>
      <c r="H282" s="34"/>
      <c r="I282" s="30"/>
      <c r="J282" s="152">
        <v>0</v>
      </c>
      <c r="L282" s="215">
        <v>1.877</v>
      </c>
      <c r="M282" s="30">
        <v>22.940372</v>
      </c>
      <c r="N282" s="33">
        <f t="shared" si="25"/>
        <v>43.059078243999998</v>
      </c>
      <c r="O282" s="34"/>
      <c r="P282" s="36" t="str">
        <f t="shared" si="26"/>
        <v/>
      </c>
      <c r="Q282" s="216">
        <f t="shared" si="27"/>
        <v>0.14399999999999991</v>
      </c>
      <c r="R282" s="216">
        <f t="shared" si="28"/>
        <v>0.14400000000000002</v>
      </c>
      <c r="S282" s="217" t="str">
        <f t="shared" si="29"/>
        <v/>
      </c>
    </row>
    <row r="283" spans="1:19" ht="15.75" hidden="1" thickBot="1" x14ac:dyDescent="0.3">
      <c r="A283" s="263"/>
      <c r="B283" s="261"/>
      <c r="C283" s="35"/>
      <c r="D283" s="35"/>
      <c r="E283" s="36"/>
      <c r="F283" s="30" t="s">
        <v>416</v>
      </c>
      <c r="G283" s="30" t="str">
        <f t="shared" si="24"/>
        <v/>
      </c>
      <c r="H283" s="34"/>
      <c r="I283" s="30"/>
      <c r="J283" s="152">
        <v>0</v>
      </c>
      <c r="L283" s="215"/>
      <c r="M283" s="30"/>
      <c r="N283" s="30" t="str">
        <f t="shared" si="25"/>
        <v/>
      </c>
      <c r="O283" s="34"/>
      <c r="P283" s="36" t="str">
        <f t="shared" si="26"/>
        <v/>
      </c>
      <c r="Q283" s="216" t="str">
        <f t="shared" si="27"/>
        <v/>
      </c>
      <c r="R283" s="216" t="str">
        <f t="shared" si="28"/>
        <v/>
      </c>
      <c r="S283" s="217" t="str">
        <f t="shared" si="29"/>
        <v/>
      </c>
    </row>
    <row r="284" spans="1:19" ht="15.75" hidden="1" thickBot="1" x14ac:dyDescent="0.3">
      <c r="A284" s="256" t="s">
        <v>82</v>
      </c>
      <c r="B284" s="259" t="str">
        <f>INDEX(Orçamentária!A:B,MATCH(Composições!A284,Orçamentária!A:A,0),2)</f>
        <v>Furo em concreto para diâmetros maiores que 75 mm</v>
      </c>
      <c r="C284" s="40"/>
      <c r="D284" s="25" t="s">
        <v>16</v>
      </c>
      <c r="E284" s="26"/>
      <c r="F284" s="41" t="s">
        <v>416</v>
      </c>
      <c r="G284" s="27" t="str">
        <f t="shared" si="24"/>
        <v/>
      </c>
      <c r="H284" s="28"/>
      <c r="I284" s="29"/>
      <c r="J284" s="152">
        <v>0</v>
      </c>
      <c r="L284" s="218"/>
      <c r="M284" s="41"/>
      <c r="N284" s="27" t="str">
        <f t="shared" si="25"/>
        <v/>
      </c>
      <c r="O284" s="28"/>
      <c r="P284" s="36" t="str">
        <f t="shared" si="26"/>
        <v/>
      </c>
      <c r="Q284" s="216" t="str">
        <f t="shared" si="27"/>
        <v/>
      </c>
      <c r="R284" s="216" t="str">
        <f t="shared" si="28"/>
        <v/>
      </c>
      <c r="S284" s="217" t="str">
        <f t="shared" si="29"/>
        <v/>
      </c>
    </row>
    <row r="285" spans="1:19" ht="15.75" hidden="1" thickBot="1" x14ac:dyDescent="0.3">
      <c r="A285" s="262"/>
      <c r="B285" s="260"/>
      <c r="C285" s="31"/>
      <c r="D285" s="31"/>
      <c r="E285" s="32"/>
      <c r="F285" s="42" t="s">
        <v>416</v>
      </c>
      <c r="G285" s="30" t="str">
        <f t="shared" si="24"/>
        <v/>
      </c>
      <c r="H285" s="34"/>
      <c r="I285" s="30"/>
      <c r="J285" s="152">
        <v>0</v>
      </c>
      <c r="L285" s="219"/>
      <c r="M285" s="42"/>
      <c r="N285" s="30" t="str">
        <f t="shared" si="25"/>
        <v/>
      </c>
      <c r="O285" s="34"/>
      <c r="P285" s="36" t="str">
        <f t="shared" si="26"/>
        <v/>
      </c>
      <c r="Q285" s="216" t="str">
        <f t="shared" si="27"/>
        <v/>
      </c>
      <c r="R285" s="216" t="str">
        <f t="shared" si="28"/>
        <v/>
      </c>
      <c r="S285" s="217" t="str">
        <f t="shared" si="29"/>
        <v/>
      </c>
    </row>
    <row r="286" spans="1:19" ht="26.25" hidden="1" thickBot="1" x14ac:dyDescent="0.3">
      <c r="A286" s="262"/>
      <c r="B286" s="260"/>
      <c r="C286" s="35" t="s">
        <v>969</v>
      </c>
      <c r="D286" s="35" t="s">
        <v>813</v>
      </c>
      <c r="E286" s="36">
        <v>0.75</v>
      </c>
      <c r="F286" s="33">
        <v>24.6525</v>
      </c>
      <c r="G286" s="33">
        <f t="shared" si="24"/>
        <v>18.489374999999999</v>
      </c>
      <c r="H286" s="38">
        <f>SUM(G286:G289)</f>
        <v>128.56084949999999</v>
      </c>
      <c r="I286" s="39"/>
      <c r="J286" s="152">
        <v>0</v>
      </c>
      <c r="L286" s="215">
        <v>0.75</v>
      </c>
      <c r="M286" s="33">
        <v>21.102540000000001</v>
      </c>
      <c r="N286" s="33">
        <f t="shared" si="25"/>
        <v>15.826905</v>
      </c>
      <c r="O286" s="38">
        <f>SUM(N286:N289)</f>
        <v>110.04808717200001</v>
      </c>
      <c r="P286" s="36" t="str">
        <f t="shared" si="26"/>
        <v/>
      </c>
      <c r="Q286" s="216">
        <f t="shared" si="27"/>
        <v>0.14399999999999991</v>
      </c>
      <c r="R286" s="216">
        <f t="shared" si="28"/>
        <v>0.14399999999999991</v>
      </c>
      <c r="S286" s="217">
        <f t="shared" si="29"/>
        <v>0.14399999999999991</v>
      </c>
    </row>
    <row r="287" spans="1:19" ht="26.25" hidden="1" thickBot="1" x14ac:dyDescent="0.3">
      <c r="A287" s="262"/>
      <c r="B287" s="260"/>
      <c r="C287" s="35" t="s">
        <v>970</v>
      </c>
      <c r="D287" s="35" t="s">
        <v>815</v>
      </c>
      <c r="E287" s="36">
        <v>1.647</v>
      </c>
      <c r="F287" s="33">
        <v>23.008999999999997</v>
      </c>
      <c r="G287" s="33">
        <f t="shared" si="24"/>
        <v>37.895822999999993</v>
      </c>
      <c r="H287" s="34"/>
      <c r="I287" s="30"/>
      <c r="J287" s="152">
        <v>0</v>
      </c>
      <c r="L287" s="215">
        <v>1.647</v>
      </c>
      <c r="M287" s="33">
        <v>19.695703999999999</v>
      </c>
      <c r="N287" s="33">
        <f t="shared" si="25"/>
        <v>32.438824488000002</v>
      </c>
      <c r="O287" s="34"/>
      <c r="P287" s="36" t="str">
        <f t="shared" si="26"/>
        <v/>
      </c>
      <c r="Q287" s="216">
        <f t="shared" si="27"/>
        <v>0.14399999999999991</v>
      </c>
      <c r="R287" s="216">
        <f t="shared" si="28"/>
        <v>0.14399999999999979</v>
      </c>
      <c r="S287" s="217" t="str">
        <f t="shared" si="29"/>
        <v/>
      </c>
    </row>
    <row r="288" spans="1:19" ht="26.25" hidden="1" thickBot="1" x14ac:dyDescent="0.3">
      <c r="A288" s="262"/>
      <c r="B288" s="260"/>
      <c r="C288" s="35" t="s">
        <v>824</v>
      </c>
      <c r="D288" s="35" t="s">
        <v>583</v>
      </c>
      <c r="E288" s="36">
        <v>0.375</v>
      </c>
      <c r="F288" s="30">
        <v>21.166</v>
      </c>
      <c r="G288" s="33">
        <f t="shared" si="24"/>
        <v>7.9372500000000006</v>
      </c>
      <c r="H288" s="34"/>
      <c r="I288" s="30"/>
      <c r="J288" s="152">
        <v>0</v>
      </c>
      <c r="L288" s="215">
        <v>0.375</v>
      </c>
      <c r="M288" s="30">
        <v>18.118096000000001</v>
      </c>
      <c r="N288" s="33">
        <f t="shared" si="25"/>
        <v>6.7942860000000005</v>
      </c>
      <c r="O288" s="34"/>
      <c r="P288" s="36" t="str">
        <f t="shared" si="26"/>
        <v/>
      </c>
      <c r="Q288" s="216">
        <f t="shared" si="27"/>
        <v>0.14399999999999991</v>
      </c>
      <c r="R288" s="216">
        <f t="shared" si="28"/>
        <v>0.14400000000000002</v>
      </c>
      <c r="S288" s="217" t="str">
        <f t="shared" si="29"/>
        <v/>
      </c>
    </row>
    <row r="289" spans="1:19" ht="26.25" hidden="1" thickBot="1" x14ac:dyDescent="0.3">
      <c r="A289" s="262"/>
      <c r="B289" s="260"/>
      <c r="C289" s="35" t="s">
        <v>825</v>
      </c>
      <c r="D289" s="35" t="s">
        <v>583</v>
      </c>
      <c r="E289" s="36">
        <v>2.3969999999999998</v>
      </c>
      <c r="F289" s="30">
        <v>26.799499999999998</v>
      </c>
      <c r="G289" s="33">
        <f t="shared" si="24"/>
        <v>64.238401499999995</v>
      </c>
      <c r="H289" s="34"/>
      <c r="I289" s="30"/>
      <c r="J289" s="152">
        <v>0</v>
      </c>
      <c r="L289" s="215">
        <v>2.3969999999999998</v>
      </c>
      <c r="M289" s="30">
        <v>22.940372</v>
      </c>
      <c r="N289" s="33">
        <f t="shared" si="25"/>
        <v>54.988071683999998</v>
      </c>
      <c r="O289" s="34"/>
      <c r="P289" s="36" t="str">
        <f t="shared" si="26"/>
        <v/>
      </c>
      <c r="Q289" s="216">
        <f t="shared" si="27"/>
        <v>0.14399999999999991</v>
      </c>
      <c r="R289" s="216">
        <f t="shared" si="28"/>
        <v>0.14400000000000002</v>
      </c>
      <c r="S289" s="217" t="str">
        <f t="shared" si="29"/>
        <v/>
      </c>
    </row>
    <row r="290" spans="1:19" ht="15.75" hidden="1" thickBot="1" x14ac:dyDescent="0.3">
      <c r="A290" s="263"/>
      <c r="B290" s="261"/>
      <c r="C290" s="35"/>
      <c r="D290" s="35"/>
      <c r="E290" s="36"/>
      <c r="F290" s="30" t="s">
        <v>416</v>
      </c>
      <c r="G290" s="30" t="str">
        <f t="shared" si="24"/>
        <v/>
      </c>
      <c r="H290" s="34"/>
      <c r="I290" s="30"/>
      <c r="J290" s="152">
        <v>0</v>
      </c>
      <c r="L290" s="215"/>
      <c r="M290" s="30"/>
      <c r="N290" s="30" t="str">
        <f t="shared" si="25"/>
        <v/>
      </c>
      <c r="O290" s="34"/>
      <c r="P290" s="36" t="str">
        <f t="shared" si="26"/>
        <v/>
      </c>
      <c r="Q290" s="216" t="str">
        <f t="shared" si="27"/>
        <v/>
      </c>
      <c r="R290" s="216" t="str">
        <f t="shared" si="28"/>
        <v/>
      </c>
      <c r="S290" s="217" t="str">
        <f t="shared" si="29"/>
        <v/>
      </c>
    </row>
    <row r="291" spans="1:19" ht="15.75" hidden="1" thickBot="1" x14ac:dyDescent="0.3">
      <c r="A291" s="256" t="s">
        <v>83</v>
      </c>
      <c r="B291" s="259" t="str">
        <f>INDEX(Orçamentária!A:B,MATCH(Composições!A291,Orçamentária!A:A,0),2)</f>
        <v>Concreto virado em betoneira, fck = 15 MPa</v>
      </c>
      <c r="C291" s="40"/>
      <c r="D291" s="25" t="s">
        <v>80</v>
      </c>
      <c r="E291" s="26"/>
      <c r="F291" s="41" t="s">
        <v>416</v>
      </c>
      <c r="G291" s="27" t="str">
        <f t="shared" si="24"/>
        <v/>
      </c>
      <c r="H291" s="28"/>
      <c r="I291" s="29"/>
      <c r="J291" s="152">
        <v>0</v>
      </c>
      <c r="L291" s="218"/>
      <c r="M291" s="41"/>
      <c r="N291" s="27" t="str">
        <f t="shared" si="25"/>
        <v/>
      </c>
      <c r="O291" s="28"/>
      <c r="P291" s="36" t="str">
        <f t="shared" si="26"/>
        <v/>
      </c>
      <c r="Q291" s="216" t="str">
        <f t="shared" si="27"/>
        <v/>
      </c>
      <c r="R291" s="216" t="str">
        <f t="shared" si="28"/>
        <v/>
      </c>
      <c r="S291" s="217" t="str">
        <f t="shared" si="29"/>
        <v/>
      </c>
    </row>
    <row r="292" spans="1:19" ht="15.75" hidden="1" thickBot="1" x14ac:dyDescent="0.3">
      <c r="A292" s="262"/>
      <c r="B292" s="260"/>
      <c r="C292" s="31"/>
      <c r="D292" s="31"/>
      <c r="E292" s="32"/>
      <c r="F292" s="42" t="s">
        <v>416</v>
      </c>
      <c r="G292" s="30" t="str">
        <f t="shared" si="24"/>
        <v/>
      </c>
      <c r="H292" s="34"/>
      <c r="I292" s="30"/>
      <c r="J292" s="152">
        <v>0</v>
      </c>
      <c r="L292" s="219"/>
      <c r="M292" s="42"/>
      <c r="N292" s="30" t="str">
        <f t="shared" si="25"/>
        <v/>
      </c>
      <c r="O292" s="34"/>
      <c r="P292" s="36" t="str">
        <f t="shared" si="26"/>
        <v/>
      </c>
      <c r="Q292" s="216" t="str">
        <f t="shared" si="27"/>
        <v/>
      </c>
      <c r="R292" s="216" t="str">
        <f t="shared" si="28"/>
        <v/>
      </c>
      <c r="S292" s="217" t="str">
        <f t="shared" si="29"/>
        <v/>
      </c>
    </row>
    <row r="293" spans="1:19" ht="26.25" hidden="1" thickBot="1" x14ac:dyDescent="0.3">
      <c r="A293" s="262"/>
      <c r="B293" s="260"/>
      <c r="C293" s="35" t="s">
        <v>6584</v>
      </c>
      <c r="D293" s="46" t="s">
        <v>80</v>
      </c>
      <c r="E293" s="36">
        <v>1</v>
      </c>
      <c r="F293" s="30">
        <v>283.7422095</v>
      </c>
      <c r="G293" s="33">
        <f t="shared" si="24"/>
        <v>283.7422095</v>
      </c>
      <c r="H293" s="38">
        <f>SUM(G293:G302)</f>
        <v>881.20200397747999</v>
      </c>
      <c r="I293" s="39"/>
      <c r="J293" s="152">
        <v>0</v>
      </c>
      <c r="L293" s="215">
        <v>1</v>
      </c>
      <c r="M293" s="30">
        <v>242.88333133200001</v>
      </c>
      <c r="N293" s="33">
        <f t="shared" si="25"/>
        <v>242.88333133200001</v>
      </c>
      <c r="O293" s="38">
        <f>SUM(N293:N302)</f>
        <v>754.30891540472294</v>
      </c>
      <c r="P293" s="36" t="str">
        <f t="shared" si="26"/>
        <v/>
      </c>
      <c r="Q293" s="216">
        <f t="shared" si="27"/>
        <v>0.14400000000000002</v>
      </c>
      <c r="R293" s="216">
        <f t="shared" si="28"/>
        <v>0.14400000000000002</v>
      </c>
      <c r="S293" s="217">
        <f t="shared" si="29"/>
        <v>0.14399999999999991</v>
      </c>
    </row>
    <row r="294" spans="1:19" ht="26.25" hidden="1" thickBot="1" x14ac:dyDescent="0.3">
      <c r="A294" s="262"/>
      <c r="B294" s="260"/>
      <c r="C294" s="35" t="s">
        <v>7985</v>
      </c>
      <c r="D294" s="35" t="s">
        <v>87</v>
      </c>
      <c r="E294" s="36">
        <v>0.80459999999999998</v>
      </c>
      <c r="F294" s="33">
        <v>202.33099999999999</v>
      </c>
      <c r="G294" s="33">
        <f t="shared" si="24"/>
        <v>162.7955226</v>
      </c>
      <c r="H294" s="34"/>
      <c r="I294" s="30"/>
      <c r="J294" s="152">
        <v>0</v>
      </c>
      <c r="L294" s="215">
        <v>0.80459999999999998</v>
      </c>
      <c r="M294" s="33">
        <v>173.195336</v>
      </c>
      <c r="N294" s="33">
        <f t="shared" si="25"/>
        <v>139.35296734560001</v>
      </c>
      <c r="O294" s="34"/>
      <c r="P294" s="36" t="str">
        <f t="shared" si="26"/>
        <v/>
      </c>
      <c r="Q294" s="216">
        <f t="shared" si="27"/>
        <v>0.14400000000000002</v>
      </c>
      <c r="R294" s="216">
        <f t="shared" si="28"/>
        <v>0.14399999999999991</v>
      </c>
      <c r="S294" s="217" t="str">
        <f t="shared" si="29"/>
        <v/>
      </c>
    </row>
    <row r="295" spans="1:19" ht="15.75" hidden="1" thickBot="1" x14ac:dyDescent="0.3">
      <c r="A295" s="262"/>
      <c r="B295" s="260"/>
      <c r="C295" s="35" t="s">
        <v>8065</v>
      </c>
      <c r="D295" s="35" t="s">
        <v>773</v>
      </c>
      <c r="E295" s="36">
        <v>273.06299999999999</v>
      </c>
      <c r="F295" s="33">
        <v>0.627</v>
      </c>
      <c r="G295" s="33">
        <f t="shared" si="24"/>
        <v>171.21050099999999</v>
      </c>
      <c r="H295" s="34"/>
      <c r="I295" s="30"/>
      <c r="J295" s="152">
        <v>0</v>
      </c>
      <c r="L295" s="215">
        <v>273.06299999999999</v>
      </c>
      <c r="M295" s="33">
        <v>0.53671199999999997</v>
      </c>
      <c r="N295" s="33">
        <f t="shared" si="25"/>
        <v>146.55618885599998</v>
      </c>
      <c r="O295" s="34"/>
      <c r="P295" s="36" t="str">
        <f t="shared" si="26"/>
        <v/>
      </c>
      <c r="Q295" s="216">
        <f t="shared" si="27"/>
        <v>0.14400000000000002</v>
      </c>
      <c r="R295" s="216">
        <f t="shared" si="28"/>
        <v>0.14400000000000013</v>
      </c>
      <c r="S295" s="217" t="str">
        <f t="shared" si="29"/>
        <v/>
      </c>
    </row>
    <row r="296" spans="1:19" ht="26.25" hidden="1" thickBot="1" x14ac:dyDescent="0.3">
      <c r="A296" s="262"/>
      <c r="B296" s="260"/>
      <c r="C296" s="35" t="s">
        <v>8311</v>
      </c>
      <c r="D296" s="35" t="s">
        <v>87</v>
      </c>
      <c r="E296" s="36">
        <v>0.57199999999999995</v>
      </c>
      <c r="F296" s="33">
        <v>176.453</v>
      </c>
      <c r="G296" s="33">
        <f t="shared" si="24"/>
        <v>100.93111599999999</v>
      </c>
      <c r="H296" s="34"/>
      <c r="I296" s="30"/>
      <c r="J296" s="152">
        <v>0</v>
      </c>
      <c r="L296" s="215">
        <v>0.57199999999999995</v>
      </c>
      <c r="M296" s="33">
        <v>151.043768</v>
      </c>
      <c r="N296" s="33">
        <f t="shared" si="25"/>
        <v>86.397035295999999</v>
      </c>
      <c r="O296" s="34"/>
      <c r="P296" s="36" t="str">
        <f t="shared" si="26"/>
        <v/>
      </c>
      <c r="Q296" s="216">
        <f t="shared" si="27"/>
        <v>0.14400000000000002</v>
      </c>
      <c r="R296" s="216">
        <f t="shared" si="28"/>
        <v>0.14399999999999991</v>
      </c>
      <c r="S296" s="217" t="str">
        <f t="shared" si="29"/>
        <v/>
      </c>
    </row>
    <row r="297" spans="1:19" ht="26.25" hidden="1" thickBot="1" x14ac:dyDescent="0.3">
      <c r="A297" s="262"/>
      <c r="B297" s="260"/>
      <c r="C297" s="35" t="s">
        <v>1271</v>
      </c>
      <c r="D297" s="35" t="s">
        <v>583</v>
      </c>
      <c r="E297" s="36">
        <v>1.4695</v>
      </c>
      <c r="F297" s="30">
        <v>20.291999999999998</v>
      </c>
      <c r="G297" s="33">
        <f t="shared" si="24"/>
        <v>29.819093999999996</v>
      </c>
      <c r="H297" s="34"/>
      <c r="I297" s="30"/>
      <c r="J297" s="152">
        <v>0</v>
      </c>
      <c r="L297" s="215">
        <v>1.4695</v>
      </c>
      <c r="M297" s="30">
        <v>17.369951999999998</v>
      </c>
      <c r="N297" s="33">
        <f t="shared" si="25"/>
        <v>25.525144463999997</v>
      </c>
      <c r="O297" s="34"/>
      <c r="P297" s="36" t="str">
        <f t="shared" si="26"/>
        <v/>
      </c>
      <c r="Q297" s="216">
        <f t="shared" si="27"/>
        <v>0.14400000000000002</v>
      </c>
      <c r="R297" s="216">
        <f t="shared" si="28"/>
        <v>0.14400000000000002</v>
      </c>
      <c r="S297" s="217" t="str">
        <f t="shared" si="29"/>
        <v/>
      </c>
    </row>
    <row r="298" spans="1:19" ht="15.75" hidden="1" thickBot="1" x14ac:dyDescent="0.3">
      <c r="A298" s="262"/>
      <c r="B298" s="260"/>
      <c r="C298" s="35" t="s">
        <v>584</v>
      </c>
      <c r="D298" s="35" t="s">
        <v>583</v>
      </c>
      <c r="E298" s="36">
        <v>2.3275000000000001</v>
      </c>
      <c r="F298" s="30">
        <v>20.225499999999997</v>
      </c>
      <c r="G298" s="33">
        <f t="shared" si="24"/>
        <v>47.074851249999995</v>
      </c>
      <c r="H298" s="34"/>
      <c r="I298" s="30"/>
      <c r="J298" s="152">
        <v>0</v>
      </c>
      <c r="L298" s="215">
        <v>2.3275000000000001</v>
      </c>
      <c r="M298" s="30">
        <v>17.313027999999996</v>
      </c>
      <c r="N298" s="33">
        <f t="shared" si="25"/>
        <v>40.296072669999994</v>
      </c>
      <c r="O298" s="34"/>
      <c r="P298" s="36" t="str">
        <f t="shared" si="26"/>
        <v/>
      </c>
      <c r="Q298" s="216">
        <f t="shared" si="27"/>
        <v>0.14400000000000013</v>
      </c>
      <c r="R298" s="216">
        <f t="shared" si="28"/>
        <v>0.14400000000000002</v>
      </c>
      <c r="S298" s="217" t="str">
        <f t="shared" si="29"/>
        <v/>
      </c>
    </row>
    <row r="299" spans="1:19" ht="39" hidden="1" thickBot="1" x14ac:dyDescent="0.3">
      <c r="A299" s="262"/>
      <c r="B299" s="260"/>
      <c r="C299" s="35" t="s">
        <v>84</v>
      </c>
      <c r="D299" s="35" t="s">
        <v>813</v>
      </c>
      <c r="E299" s="36">
        <v>0.75629999999999997</v>
      </c>
      <c r="F299" s="33">
        <v>1.6435</v>
      </c>
      <c r="G299" s="33">
        <f t="shared" si="24"/>
        <v>1.24297905</v>
      </c>
      <c r="H299" s="34"/>
      <c r="I299" s="30"/>
      <c r="J299" s="152">
        <v>0</v>
      </c>
      <c r="L299" s="215">
        <v>0.75629999999999997</v>
      </c>
      <c r="M299" s="33">
        <v>1.406836</v>
      </c>
      <c r="N299" s="33">
        <f t="shared" si="25"/>
        <v>1.0639900668</v>
      </c>
      <c r="O299" s="34"/>
      <c r="P299" s="36" t="str">
        <f t="shared" si="26"/>
        <v/>
      </c>
      <c r="Q299" s="216">
        <f t="shared" si="27"/>
        <v>0.14400000000000002</v>
      </c>
      <c r="R299" s="216">
        <f t="shared" si="28"/>
        <v>0.14400000000000002</v>
      </c>
      <c r="S299" s="217" t="str">
        <f t="shared" si="29"/>
        <v/>
      </c>
    </row>
    <row r="300" spans="1:19" ht="39" hidden="1" thickBot="1" x14ac:dyDescent="0.3">
      <c r="A300" s="262"/>
      <c r="B300" s="260"/>
      <c r="C300" s="35" t="s">
        <v>85</v>
      </c>
      <c r="D300" s="35" t="s">
        <v>815</v>
      </c>
      <c r="E300" s="36">
        <v>0.71309999999999996</v>
      </c>
      <c r="F300" s="33">
        <v>0.42749999999999999</v>
      </c>
      <c r="G300" s="33">
        <f t="shared" si="24"/>
        <v>0.30485024999999999</v>
      </c>
      <c r="H300" s="34"/>
      <c r="I300" s="30"/>
      <c r="J300" s="152">
        <v>0</v>
      </c>
      <c r="L300" s="215">
        <v>0.71309999999999996</v>
      </c>
      <c r="M300" s="33">
        <v>0.36593999999999999</v>
      </c>
      <c r="N300" s="33">
        <f t="shared" si="25"/>
        <v>0.26095181399999995</v>
      </c>
      <c r="O300" s="34"/>
      <c r="P300" s="36" t="str">
        <f t="shared" si="26"/>
        <v/>
      </c>
      <c r="Q300" s="216">
        <f t="shared" si="27"/>
        <v>0.14400000000000002</v>
      </c>
      <c r="R300" s="216">
        <f t="shared" si="28"/>
        <v>0.14400000000000013</v>
      </c>
      <c r="S300" s="217" t="str">
        <f t="shared" si="29"/>
        <v/>
      </c>
    </row>
    <row r="301" spans="1:19" ht="51.75" hidden="1" thickBot="1" x14ac:dyDescent="0.3">
      <c r="A301" s="262"/>
      <c r="B301" s="260"/>
      <c r="C301" s="35" t="s">
        <v>3071</v>
      </c>
      <c r="D301" s="35" t="s">
        <v>87</v>
      </c>
      <c r="E301" s="36">
        <f>1*(E294+E296)</f>
        <v>1.3765999999999998</v>
      </c>
      <c r="F301" s="33">
        <v>7.9257587999999988</v>
      </c>
      <c r="G301" s="33">
        <f t="shared" si="24"/>
        <v>10.910599564079996</v>
      </c>
      <c r="H301" s="34"/>
      <c r="I301" s="30"/>
      <c r="J301" s="152">
        <v>0</v>
      </c>
      <c r="L301" s="215">
        <v>1.3765999999999998</v>
      </c>
      <c r="M301" s="33">
        <v>6.7844495327999992</v>
      </c>
      <c r="N301" s="33">
        <f t="shared" si="25"/>
        <v>9.339473226852478</v>
      </c>
      <c r="O301" s="34"/>
      <c r="P301" s="36" t="str">
        <f t="shared" si="26"/>
        <v/>
      </c>
      <c r="Q301" s="216">
        <f t="shared" si="27"/>
        <v>0.14400000000000002</v>
      </c>
      <c r="R301" s="216">
        <f t="shared" si="28"/>
        <v>0.14399999999999991</v>
      </c>
      <c r="S301" s="217" t="str">
        <f t="shared" si="29"/>
        <v/>
      </c>
    </row>
    <row r="302" spans="1:19" ht="39" hidden="1" thickBot="1" x14ac:dyDescent="0.3">
      <c r="A302" s="262"/>
      <c r="B302" s="260"/>
      <c r="C302" s="35" t="s">
        <v>88</v>
      </c>
      <c r="D302" s="46" t="s">
        <v>89</v>
      </c>
      <c r="E302" s="36">
        <f>(E294+E296)*20</f>
        <v>27.531999999999996</v>
      </c>
      <c r="F302" s="33">
        <v>2.6576449499999995</v>
      </c>
      <c r="G302" s="33">
        <f t="shared" si="24"/>
        <v>73.170280763399973</v>
      </c>
      <c r="H302" s="34"/>
      <c r="I302" s="30"/>
      <c r="J302" s="152">
        <v>0</v>
      </c>
      <c r="L302" s="215">
        <v>27.531999999999996</v>
      </c>
      <c r="M302" s="33">
        <v>2.2749440771999998</v>
      </c>
      <c r="N302" s="33">
        <f t="shared" si="25"/>
        <v>62.633760333470384</v>
      </c>
      <c r="O302" s="34"/>
      <c r="P302" s="36" t="str">
        <f t="shared" si="26"/>
        <v/>
      </c>
      <c r="Q302" s="216">
        <f t="shared" si="27"/>
        <v>0.14399999999999991</v>
      </c>
      <c r="R302" s="216">
        <f t="shared" si="28"/>
        <v>0.14399999999999991</v>
      </c>
      <c r="S302" s="217" t="str">
        <f t="shared" si="29"/>
        <v/>
      </c>
    </row>
    <row r="303" spans="1:19" ht="15.75" hidden="1" thickBot="1" x14ac:dyDescent="0.3">
      <c r="A303" s="262"/>
      <c r="B303" s="260"/>
      <c r="C303" s="50"/>
      <c r="D303" s="46"/>
      <c r="E303" s="36"/>
      <c r="F303" s="33" t="s">
        <v>416</v>
      </c>
      <c r="G303" s="33" t="str">
        <f t="shared" si="24"/>
        <v/>
      </c>
      <c r="H303" s="34"/>
      <c r="I303" s="30"/>
      <c r="J303" s="152">
        <v>0</v>
      </c>
      <c r="L303" s="215"/>
      <c r="M303" s="33"/>
      <c r="N303" s="33" t="str">
        <f t="shared" si="25"/>
        <v/>
      </c>
      <c r="O303" s="34"/>
      <c r="P303" s="36" t="str">
        <f t="shared" si="26"/>
        <v/>
      </c>
      <c r="Q303" s="216" t="str">
        <f t="shared" si="27"/>
        <v/>
      </c>
      <c r="R303" s="216" t="str">
        <f t="shared" si="28"/>
        <v/>
      </c>
      <c r="S303" s="217" t="str">
        <f t="shared" si="29"/>
        <v/>
      </c>
    </row>
    <row r="304" spans="1:19" ht="26.25" hidden="1" thickBot="1" x14ac:dyDescent="0.3">
      <c r="A304" s="262"/>
      <c r="B304" s="260"/>
      <c r="C304" s="47" t="s">
        <v>90</v>
      </c>
      <c r="D304" s="46"/>
      <c r="E304" s="36"/>
      <c r="F304" s="33" t="s">
        <v>416</v>
      </c>
      <c r="G304" s="33" t="str">
        <f t="shared" si="24"/>
        <v/>
      </c>
      <c r="H304" s="34"/>
      <c r="I304" s="30"/>
      <c r="J304" s="152">
        <v>0</v>
      </c>
      <c r="L304" s="215"/>
      <c r="M304" s="33"/>
      <c r="N304" s="33" t="str">
        <f t="shared" si="25"/>
        <v/>
      </c>
      <c r="O304" s="34"/>
      <c r="P304" s="36" t="str">
        <f t="shared" si="26"/>
        <v/>
      </c>
      <c r="Q304" s="216" t="str">
        <f t="shared" si="27"/>
        <v/>
      </c>
      <c r="R304" s="216" t="str">
        <f t="shared" si="28"/>
        <v/>
      </c>
      <c r="S304" s="217" t="str">
        <f t="shared" si="29"/>
        <v/>
      </c>
    </row>
    <row r="305" spans="1:19" ht="15.75" hidden="1" thickBot="1" x14ac:dyDescent="0.3">
      <c r="A305" s="263"/>
      <c r="B305" s="261"/>
      <c r="C305" s="35"/>
      <c r="D305" s="35"/>
      <c r="E305" s="36"/>
      <c r="F305" s="30" t="s">
        <v>416</v>
      </c>
      <c r="G305" s="30" t="str">
        <f t="shared" si="24"/>
        <v/>
      </c>
      <c r="H305" s="34"/>
      <c r="I305" s="30"/>
      <c r="J305" s="152">
        <v>0</v>
      </c>
      <c r="L305" s="215"/>
      <c r="M305" s="30"/>
      <c r="N305" s="30" t="str">
        <f t="shared" si="25"/>
        <v/>
      </c>
      <c r="O305" s="34"/>
      <c r="P305" s="36" t="str">
        <f t="shared" si="26"/>
        <v/>
      </c>
      <c r="Q305" s="216" t="str">
        <f t="shared" si="27"/>
        <v/>
      </c>
      <c r="R305" s="216" t="str">
        <f t="shared" si="28"/>
        <v/>
      </c>
      <c r="S305" s="217" t="str">
        <f t="shared" si="29"/>
        <v/>
      </c>
    </row>
    <row r="306" spans="1:19" ht="15.75" hidden="1" thickBot="1" x14ac:dyDescent="0.3">
      <c r="A306" s="256" t="s">
        <v>91</v>
      </c>
      <c r="B306" s="259" t="str">
        <f>INDEX(Orçamentária!A:B,MATCH(Composições!A306,Orçamentária!A:A,0),2)</f>
        <v>Concreto virado em betoneira, fck = 25 MPa</v>
      </c>
      <c r="C306" s="40"/>
      <c r="D306" s="25" t="s">
        <v>80</v>
      </c>
      <c r="E306" s="26"/>
      <c r="F306" s="41" t="s">
        <v>416</v>
      </c>
      <c r="G306" s="27" t="str">
        <f t="shared" si="24"/>
        <v/>
      </c>
      <c r="H306" s="28"/>
      <c r="I306" s="29"/>
      <c r="J306" s="152">
        <v>0</v>
      </c>
      <c r="L306" s="218"/>
      <c r="M306" s="41"/>
      <c r="N306" s="27" t="str">
        <f t="shared" si="25"/>
        <v/>
      </c>
      <c r="O306" s="28"/>
      <c r="P306" s="36" t="str">
        <f t="shared" si="26"/>
        <v/>
      </c>
      <c r="Q306" s="216" t="str">
        <f t="shared" si="27"/>
        <v/>
      </c>
      <c r="R306" s="216" t="str">
        <f t="shared" si="28"/>
        <v/>
      </c>
      <c r="S306" s="217" t="str">
        <f t="shared" si="29"/>
        <v/>
      </c>
    </row>
    <row r="307" spans="1:19" ht="15.75" hidden="1" thickBot="1" x14ac:dyDescent="0.3">
      <c r="A307" s="262"/>
      <c r="B307" s="260"/>
      <c r="C307" s="31"/>
      <c r="D307" s="31"/>
      <c r="E307" s="32"/>
      <c r="F307" s="42" t="s">
        <v>416</v>
      </c>
      <c r="G307" s="30" t="str">
        <f t="shared" si="24"/>
        <v/>
      </c>
      <c r="H307" s="34"/>
      <c r="I307" s="30"/>
      <c r="J307" s="152">
        <v>0</v>
      </c>
      <c r="L307" s="219"/>
      <c r="M307" s="42"/>
      <c r="N307" s="30" t="str">
        <f t="shared" si="25"/>
        <v/>
      </c>
      <c r="O307" s="34"/>
      <c r="P307" s="36" t="str">
        <f t="shared" si="26"/>
        <v/>
      </c>
      <c r="Q307" s="216" t="str">
        <f t="shared" si="27"/>
        <v/>
      </c>
      <c r="R307" s="216" t="str">
        <f t="shared" si="28"/>
        <v/>
      </c>
      <c r="S307" s="217" t="str">
        <f t="shared" si="29"/>
        <v/>
      </c>
    </row>
    <row r="308" spans="1:19" ht="26.25" hidden="1" thickBot="1" x14ac:dyDescent="0.3">
      <c r="A308" s="262"/>
      <c r="B308" s="260"/>
      <c r="C308" s="35" t="s">
        <v>6584</v>
      </c>
      <c r="D308" s="46" t="s">
        <v>80</v>
      </c>
      <c r="E308" s="36">
        <v>1</v>
      </c>
      <c r="F308" s="30">
        <v>283.7422095</v>
      </c>
      <c r="G308" s="33">
        <f t="shared" si="24"/>
        <v>283.7422095</v>
      </c>
      <c r="H308" s="38">
        <f>SUM(G308:G317)</f>
        <v>920.49739506213996</v>
      </c>
      <c r="I308" s="39"/>
      <c r="J308" s="152">
        <v>0</v>
      </c>
      <c r="L308" s="215">
        <v>1</v>
      </c>
      <c r="M308" s="30">
        <v>242.88333133200001</v>
      </c>
      <c r="N308" s="33">
        <f t="shared" si="25"/>
        <v>242.88333133200001</v>
      </c>
      <c r="O308" s="38">
        <f>SUM(N308:N317)</f>
        <v>787.9457701731917</v>
      </c>
      <c r="P308" s="36" t="str">
        <f t="shared" si="26"/>
        <v/>
      </c>
      <c r="Q308" s="216">
        <f t="shared" si="27"/>
        <v>0.14400000000000002</v>
      </c>
      <c r="R308" s="216">
        <f t="shared" si="28"/>
        <v>0.14400000000000002</v>
      </c>
      <c r="S308" s="217">
        <f t="shared" si="29"/>
        <v>0.14400000000000013</v>
      </c>
    </row>
    <row r="309" spans="1:19" ht="26.25" hidden="1" thickBot="1" x14ac:dyDescent="0.3">
      <c r="A309" s="262"/>
      <c r="B309" s="260"/>
      <c r="C309" s="35" t="s">
        <v>7985</v>
      </c>
      <c r="D309" s="35" t="s">
        <v>87</v>
      </c>
      <c r="E309" s="36">
        <v>0.72289999999999999</v>
      </c>
      <c r="F309" s="33">
        <v>202.33099999999999</v>
      </c>
      <c r="G309" s="30">
        <f t="shared" si="24"/>
        <v>146.26507989999999</v>
      </c>
      <c r="H309" s="34"/>
      <c r="I309" s="30"/>
      <c r="J309" s="152">
        <v>0</v>
      </c>
      <c r="L309" s="215">
        <v>0.72289999999999999</v>
      </c>
      <c r="M309" s="33">
        <v>173.195336</v>
      </c>
      <c r="N309" s="30">
        <f t="shared" si="25"/>
        <v>125.2029083944</v>
      </c>
      <c r="O309" s="34"/>
      <c r="P309" s="36" t="str">
        <f t="shared" si="26"/>
        <v/>
      </c>
      <c r="Q309" s="216">
        <f t="shared" si="27"/>
        <v>0.14400000000000002</v>
      </c>
      <c r="R309" s="216">
        <f t="shared" si="28"/>
        <v>0.14399999999999991</v>
      </c>
      <c r="S309" s="217" t="str">
        <f t="shared" si="29"/>
        <v/>
      </c>
    </row>
    <row r="310" spans="1:19" ht="15.75" hidden="1" thickBot="1" x14ac:dyDescent="0.3">
      <c r="A310" s="262"/>
      <c r="B310" s="260"/>
      <c r="C310" s="35" t="s">
        <v>8065</v>
      </c>
      <c r="D310" s="35" t="s">
        <v>773</v>
      </c>
      <c r="E310" s="36">
        <v>362.65789999999998</v>
      </c>
      <c r="F310" s="33">
        <v>0.627</v>
      </c>
      <c r="G310" s="30">
        <f t="shared" si="24"/>
        <v>227.38650329999999</v>
      </c>
      <c r="H310" s="34"/>
      <c r="I310" s="30"/>
      <c r="J310" s="152">
        <v>0</v>
      </c>
      <c r="L310" s="215">
        <v>362.65789999999998</v>
      </c>
      <c r="M310" s="33">
        <v>0.53671199999999997</v>
      </c>
      <c r="N310" s="30">
        <f t="shared" si="25"/>
        <v>194.64284682479999</v>
      </c>
      <c r="O310" s="34"/>
      <c r="P310" s="36" t="str">
        <f t="shared" si="26"/>
        <v/>
      </c>
      <c r="Q310" s="216">
        <f t="shared" si="27"/>
        <v>0.14400000000000002</v>
      </c>
      <c r="R310" s="216">
        <f t="shared" si="28"/>
        <v>0.14400000000000002</v>
      </c>
      <c r="S310" s="217" t="str">
        <f t="shared" si="29"/>
        <v/>
      </c>
    </row>
    <row r="311" spans="1:19" ht="26.25" hidden="1" thickBot="1" x14ac:dyDescent="0.3">
      <c r="A311" s="262"/>
      <c r="B311" s="260"/>
      <c r="C311" s="35" t="s">
        <v>8311</v>
      </c>
      <c r="D311" s="35" t="s">
        <v>87</v>
      </c>
      <c r="E311" s="36">
        <v>0.59340000000000004</v>
      </c>
      <c r="F311" s="33">
        <v>176.453</v>
      </c>
      <c r="G311" s="30">
        <f t="shared" si="24"/>
        <v>104.70721020000001</v>
      </c>
      <c r="H311" s="34"/>
      <c r="I311" s="30"/>
      <c r="J311" s="152">
        <v>0</v>
      </c>
      <c r="L311" s="215">
        <v>0.59340000000000004</v>
      </c>
      <c r="M311" s="33">
        <v>151.043768</v>
      </c>
      <c r="N311" s="30">
        <f t="shared" si="25"/>
        <v>89.629371931200012</v>
      </c>
      <c r="O311" s="34"/>
      <c r="P311" s="36" t="str">
        <f t="shared" si="26"/>
        <v/>
      </c>
      <c r="Q311" s="216">
        <f t="shared" si="27"/>
        <v>0.14400000000000002</v>
      </c>
      <c r="R311" s="216">
        <f t="shared" si="28"/>
        <v>0.14399999999999991</v>
      </c>
      <c r="S311" s="217" t="str">
        <f t="shared" si="29"/>
        <v/>
      </c>
    </row>
    <row r="312" spans="1:19" ht="15.75" hidden="1" thickBot="1" x14ac:dyDescent="0.3">
      <c r="A312" s="262"/>
      <c r="B312" s="260"/>
      <c r="C312" s="35" t="s">
        <v>584</v>
      </c>
      <c r="D312" s="35" t="s">
        <v>583</v>
      </c>
      <c r="E312" s="36">
        <v>2.3117000000000001</v>
      </c>
      <c r="F312" s="30">
        <v>20.225499999999997</v>
      </c>
      <c r="G312" s="30">
        <f t="shared" si="24"/>
        <v>46.755288349999994</v>
      </c>
      <c r="H312" s="34"/>
      <c r="I312" s="30"/>
      <c r="J312" s="152">
        <v>0</v>
      </c>
      <c r="L312" s="215">
        <v>2.3117000000000001</v>
      </c>
      <c r="M312" s="30">
        <v>17.313027999999996</v>
      </c>
      <c r="N312" s="30">
        <f t="shared" si="25"/>
        <v>40.022526827599989</v>
      </c>
      <c r="O312" s="34"/>
      <c r="P312" s="36" t="str">
        <f t="shared" si="26"/>
        <v/>
      </c>
      <c r="Q312" s="216">
        <f t="shared" si="27"/>
        <v>0.14400000000000013</v>
      </c>
      <c r="R312" s="216">
        <f t="shared" si="28"/>
        <v>0.14400000000000013</v>
      </c>
      <c r="S312" s="217" t="str">
        <f t="shared" si="29"/>
        <v/>
      </c>
    </row>
    <row r="313" spans="1:19" ht="26.25" hidden="1" thickBot="1" x14ac:dyDescent="0.3">
      <c r="A313" s="262"/>
      <c r="B313" s="260"/>
      <c r="C313" s="35" t="s">
        <v>1271</v>
      </c>
      <c r="D313" s="35" t="s">
        <v>583</v>
      </c>
      <c r="E313" s="36">
        <v>1.4637</v>
      </c>
      <c r="F313" s="30">
        <v>20.291999999999998</v>
      </c>
      <c r="G313" s="30">
        <f t="shared" si="24"/>
        <v>29.701400399999997</v>
      </c>
      <c r="H313" s="34"/>
      <c r="I313" s="30"/>
      <c r="J313" s="152">
        <v>0</v>
      </c>
      <c r="L313" s="215">
        <v>1.4637</v>
      </c>
      <c r="M313" s="30">
        <v>17.369951999999998</v>
      </c>
      <c r="N313" s="30">
        <f t="shared" si="25"/>
        <v>25.424398742399998</v>
      </c>
      <c r="O313" s="34"/>
      <c r="P313" s="36" t="str">
        <f t="shared" si="26"/>
        <v/>
      </c>
      <c r="Q313" s="216">
        <f t="shared" si="27"/>
        <v>0.14400000000000002</v>
      </c>
      <c r="R313" s="216">
        <f t="shared" si="28"/>
        <v>0.14400000000000002</v>
      </c>
      <c r="S313" s="217" t="str">
        <f t="shared" si="29"/>
        <v/>
      </c>
    </row>
    <row r="314" spans="1:19" ht="39" hidden="1" thickBot="1" x14ac:dyDescent="0.3">
      <c r="A314" s="262"/>
      <c r="B314" s="260"/>
      <c r="C314" s="35" t="s">
        <v>84</v>
      </c>
      <c r="D314" s="35" t="s">
        <v>813</v>
      </c>
      <c r="E314" s="36">
        <v>0.75339999999999996</v>
      </c>
      <c r="F314" s="33">
        <v>1.6435</v>
      </c>
      <c r="G314" s="30">
        <f t="shared" si="24"/>
        <v>1.2382128999999999</v>
      </c>
      <c r="H314" s="34"/>
      <c r="I314" s="30"/>
      <c r="J314" s="152">
        <v>0</v>
      </c>
      <c r="L314" s="215">
        <v>0.75339999999999996</v>
      </c>
      <c r="M314" s="33">
        <v>1.406836</v>
      </c>
      <c r="N314" s="30">
        <f t="shared" si="25"/>
        <v>1.0599102424</v>
      </c>
      <c r="O314" s="34"/>
      <c r="P314" s="36" t="str">
        <f t="shared" si="26"/>
        <v/>
      </c>
      <c r="Q314" s="216">
        <f t="shared" si="27"/>
        <v>0.14400000000000002</v>
      </c>
      <c r="R314" s="216">
        <f t="shared" si="28"/>
        <v>0.14400000000000002</v>
      </c>
      <c r="S314" s="217" t="str">
        <f t="shared" si="29"/>
        <v/>
      </c>
    </row>
    <row r="315" spans="1:19" ht="39" hidden="1" thickBot="1" x14ac:dyDescent="0.3">
      <c r="A315" s="262"/>
      <c r="B315" s="260"/>
      <c r="C315" s="35" t="s">
        <v>85</v>
      </c>
      <c r="D315" s="35" t="s">
        <v>815</v>
      </c>
      <c r="E315" s="36">
        <v>0.71030000000000004</v>
      </c>
      <c r="F315" s="33">
        <v>0.42749999999999999</v>
      </c>
      <c r="G315" s="30">
        <f t="shared" si="24"/>
        <v>0.30365324999999999</v>
      </c>
      <c r="H315" s="34"/>
      <c r="I315" s="30"/>
      <c r="J315" s="152">
        <v>0</v>
      </c>
      <c r="L315" s="215">
        <v>0.71030000000000004</v>
      </c>
      <c r="M315" s="33">
        <v>0.36593999999999999</v>
      </c>
      <c r="N315" s="30">
        <f t="shared" si="25"/>
        <v>0.25992718200000003</v>
      </c>
      <c r="O315" s="34"/>
      <c r="P315" s="36" t="str">
        <f t="shared" si="26"/>
        <v/>
      </c>
      <c r="Q315" s="216">
        <f t="shared" si="27"/>
        <v>0.14400000000000002</v>
      </c>
      <c r="R315" s="216">
        <f t="shared" si="28"/>
        <v>0.14399999999999979</v>
      </c>
      <c r="S315" s="217" t="str">
        <f t="shared" si="29"/>
        <v/>
      </c>
    </row>
    <row r="316" spans="1:19" ht="51.75" hidden="1" thickBot="1" x14ac:dyDescent="0.3">
      <c r="A316" s="262"/>
      <c r="B316" s="260"/>
      <c r="C316" s="35" t="s">
        <v>3071</v>
      </c>
      <c r="D316" s="35" t="s">
        <v>87</v>
      </c>
      <c r="E316" s="36">
        <f>1*(E309+E311)</f>
        <v>1.3163</v>
      </c>
      <c r="F316" s="33">
        <v>7.9257587999999988</v>
      </c>
      <c r="G316" s="33">
        <f t="shared" si="24"/>
        <v>10.432676308439998</v>
      </c>
      <c r="H316" s="34"/>
      <c r="I316" s="30"/>
      <c r="J316" s="152">
        <v>0</v>
      </c>
      <c r="L316" s="215">
        <v>1.3163</v>
      </c>
      <c r="M316" s="33">
        <v>6.7844495327999992</v>
      </c>
      <c r="N316" s="33">
        <f t="shared" si="25"/>
        <v>8.9303709200246395</v>
      </c>
      <c r="O316" s="34"/>
      <c r="P316" s="36" t="str">
        <f t="shared" si="26"/>
        <v/>
      </c>
      <c r="Q316" s="216">
        <f t="shared" si="27"/>
        <v>0.14400000000000002</v>
      </c>
      <c r="R316" s="216">
        <f t="shared" si="28"/>
        <v>0.14399999999999991</v>
      </c>
      <c r="S316" s="217" t="str">
        <f t="shared" si="29"/>
        <v/>
      </c>
    </row>
    <row r="317" spans="1:19" ht="39" hidden="1" thickBot="1" x14ac:dyDescent="0.3">
      <c r="A317" s="262"/>
      <c r="B317" s="260"/>
      <c r="C317" s="35" t="s">
        <v>88</v>
      </c>
      <c r="D317" s="46" t="s">
        <v>89</v>
      </c>
      <c r="E317" s="36">
        <f>(E309+E311)*20</f>
        <v>26.326000000000001</v>
      </c>
      <c r="F317" s="33">
        <v>2.6576449499999995</v>
      </c>
      <c r="G317" s="33">
        <f t="shared" si="24"/>
        <v>69.965160953699993</v>
      </c>
      <c r="H317" s="34"/>
      <c r="I317" s="30"/>
      <c r="J317" s="152">
        <v>0</v>
      </c>
      <c r="L317" s="215">
        <v>26.326000000000001</v>
      </c>
      <c r="M317" s="33">
        <v>2.2749440771999998</v>
      </c>
      <c r="N317" s="33">
        <f t="shared" si="25"/>
        <v>59.890177776367196</v>
      </c>
      <c r="O317" s="34"/>
      <c r="P317" s="36" t="str">
        <f t="shared" si="26"/>
        <v/>
      </c>
      <c r="Q317" s="216">
        <f t="shared" si="27"/>
        <v>0.14399999999999991</v>
      </c>
      <c r="R317" s="216">
        <f t="shared" si="28"/>
        <v>0.14400000000000002</v>
      </c>
      <c r="S317" s="217" t="str">
        <f t="shared" si="29"/>
        <v/>
      </c>
    </row>
    <row r="318" spans="1:19" ht="15.75" hidden="1" thickBot="1" x14ac:dyDescent="0.3">
      <c r="A318" s="262"/>
      <c r="B318" s="260"/>
      <c r="C318" s="50"/>
      <c r="D318" s="46"/>
      <c r="E318" s="36"/>
      <c r="F318" s="33" t="s">
        <v>416</v>
      </c>
      <c r="G318" s="33" t="str">
        <f t="shared" si="24"/>
        <v/>
      </c>
      <c r="H318" s="34"/>
      <c r="I318" s="30"/>
      <c r="J318" s="152">
        <v>0</v>
      </c>
      <c r="L318" s="215"/>
      <c r="M318" s="33"/>
      <c r="N318" s="33" t="str">
        <f t="shared" si="25"/>
        <v/>
      </c>
      <c r="O318" s="34"/>
      <c r="P318" s="36" t="str">
        <f t="shared" si="26"/>
        <v/>
      </c>
      <c r="Q318" s="216" t="str">
        <f t="shared" si="27"/>
        <v/>
      </c>
      <c r="R318" s="216" t="str">
        <f t="shared" si="28"/>
        <v/>
      </c>
      <c r="S318" s="217" t="str">
        <f t="shared" si="29"/>
        <v/>
      </c>
    </row>
    <row r="319" spans="1:19" ht="26.25" hidden="1" thickBot="1" x14ac:dyDescent="0.3">
      <c r="A319" s="262"/>
      <c r="B319" s="260"/>
      <c r="C319" s="47" t="s">
        <v>90</v>
      </c>
      <c r="D319" s="46"/>
      <c r="E319" s="36"/>
      <c r="F319" s="33" t="s">
        <v>416</v>
      </c>
      <c r="G319" s="33" t="str">
        <f t="shared" si="24"/>
        <v/>
      </c>
      <c r="H319" s="34"/>
      <c r="I319" s="30"/>
      <c r="J319" s="152">
        <v>0</v>
      </c>
      <c r="L319" s="215"/>
      <c r="M319" s="33"/>
      <c r="N319" s="33" t="str">
        <f t="shared" si="25"/>
        <v/>
      </c>
      <c r="O319" s="34"/>
      <c r="P319" s="36" t="str">
        <f t="shared" si="26"/>
        <v/>
      </c>
      <c r="Q319" s="216" t="str">
        <f t="shared" si="27"/>
        <v/>
      </c>
      <c r="R319" s="216" t="str">
        <f t="shared" si="28"/>
        <v/>
      </c>
      <c r="S319" s="217" t="str">
        <f t="shared" si="29"/>
        <v/>
      </c>
    </row>
    <row r="320" spans="1:19" ht="15.75" hidden="1" thickBot="1" x14ac:dyDescent="0.3">
      <c r="A320" s="263"/>
      <c r="B320" s="261"/>
      <c r="C320" s="35"/>
      <c r="D320" s="35"/>
      <c r="E320" s="36"/>
      <c r="F320" s="30" t="s">
        <v>416</v>
      </c>
      <c r="G320" s="30" t="str">
        <f t="shared" si="24"/>
        <v/>
      </c>
      <c r="H320" s="34"/>
      <c r="I320" s="30"/>
      <c r="J320" s="152">
        <v>0</v>
      </c>
      <c r="L320" s="215"/>
      <c r="M320" s="30"/>
      <c r="N320" s="30" t="str">
        <f t="shared" si="25"/>
        <v/>
      </c>
      <c r="O320" s="34"/>
      <c r="P320" s="36" t="str">
        <f t="shared" si="26"/>
        <v/>
      </c>
      <c r="Q320" s="216" t="str">
        <f t="shared" si="27"/>
        <v/>
      </c>
      <c r="R320" s="216" t="str">
        <f t="shared" si="28"/>
        <v/>
      </c>
      <c r="S320" s="217" t="str">
        <f t="shared" si="29"/>
        <v/>
      </c>
    </row>
    <row r="321" spans="1:19" ht="15.75" hidden="1" thickBot="1" x14ac:dyDescent="0.3">
      <c r="A321" s="256" t="s">
        <v>92</v>
      </c>
      <c r="B321" s="259" t="str">
        <f>INDEX(Orçamentária!A:B,MATCH(Composições!A321,Orçamentária!A:A,0),2)</f>
        <v>Escoramento metálico</v>
      </c>
      <c r="C321" s="40"/>
      <c r="D321" s="25" t="s">
        <v>1334</v>
      </c>
      <c r="E321" s="26"/>
      <c r="F321" s="41" t="s">
        <v>416</v>
      </c>
      <c r="G321" s="27" t="str">
        <f t="shared" si="24"/>
        <v/>
      </c>
      <c r="H321" s="28"/>
      <c r="I321" s="29"/>
      <c r="J321" s="152">
        <v>0</v>
      </c>
      <c r="L321" s="218"/>
      <c r="M321" s="41"/>
      <c r="N321" s="27" t="str">
        <f t="shared" si="25"/>
        <v/>
      </c>
      <c r="O321" s="28"/>
      <c r="P321" s="36" t="str">
        <f t="shared" si="26"/>
        <v/>
      </c>
      <c r="Q321" s="216" t="str">
        <f t="shared" si="27"/>
        <v/>
      </c>
      <c r="R321" s="216" t="str">
        <f t="shared" si="28"/>
        <v/>
      </c>
      <c r="S321" s="217" t="str">
        <f t="shared" si="29"/>
        <v/>
      </c>
    </row>
    <row r="322" spans="1:19" ht="15.75" hidden="1" thickBot="1" x14ac:dyDescent="0.3">
      <c r="A322" s="262"/>
      <c r="B322" s="260"/>
      <c r="C322" s="31"/>
      <c r="D322" s="31"/>
      <c r="E322" s="32"/>
      <c r="F322" s="30" t="s">
        <v>416</v>
      </c>
      <c r="G322" s="30" t="str">
        <f t="shared" si="24"/>
        <v/>
      </c>
      <c r="H322" s="34"/>
      <c r="I322" s="30"/>
      <c r="J322" s="152">
        <v>0</v>
      </c>
      <c r="L322" s="219"/>
      <c r="M322" s="30"/>
      <c r="N322" s="30" t="str">
        <f t="shared" si="25"/>
        <v/>
      </c>
      <c r="O322" s="34"/>
      <c r="P322" s="36" t="str">
        <f t="shared" si="26"/>
        <v/>
      </c>
      <c r="Q322" s="216" t="str">
        <f t="shared" si="27"/>
        <v/>
      </c>
      <c r="R322" s="216" t="str">
        <f t="shared" si="28"/>
        <v/>
      </c>
      <c r="S322" s="217" t="str">
        <f t="shared" si="29"/>
        <v/>
      </c>
    </row>
    <row r="323" spans="1:19" ht="39" hidden="1" thickBot="1" x14ac:dyDescent="0.3">
      <c r="A323" s="262"/>
      <c r="B323" s="260"/>
      <c r="C323" s="35" t="s">
        <v>8227</v>
      </c>
      <c r="D323" s="35" t="s">
        <v>93</v>
      </c>
      <c r="E323" s="36">
        <v>0.85</v>
      </c>
      <c r="F323" s="30">
        <v>8.702</v>
      </c>
      <c r="G323" s="30">
        <f t="shared" si="24"/>
        <v>7.3967000000000001</v>
      </c>
      <c r="H323" s="38">
        <f>SUM(G323:G325)</f>
        <v>20.672000000000001</v>
      </c>
      <c r="I323" s="39"/>
      <c r="J323" s="152">
        <v>0</v>
      </c>
      <c r="L323" s="215">
        <v>0.85</v>
      </c>
      <c r="M323" s="30">
        <v>7.448912</v>
      </c>
      <c r="N323" s="30">
        <f t="shared" si="25"/>
        <v>6.3315751999999996</v>
      </c>
      <c r="O323" s="38">
        <f>SUM(N323:N325)</f>
        <v>17.695232000000001</v>
      </c>
      <c r="P323" s="36" t="str">
        <f t="shared" si="26"/>
        <v/>
      </c>
      <c r="Q323" s="216">
        <f t="shared" si="27"/>
        <v>0.14400000000000002</v>
      </c>
      <c r="R323" s="216">
        <f t="shared" si="28"/>
        <v>0.14400000000000002</v>
      </c>
      <c r="S323" s="217">
        <f t="shared" si="29"/>
        <v>0.14400000000000002</v>
      </c>
    </row>
    <row r="324" spans="1:19" ht="15.75" hidden="1" thickBot="1" x14ac:dyDescent="0.3">
      <c r="A324" s="262"/>
      <c r="B324" s="260"/>
      <c r="C324" s="35" t="s">
        <v>660</v>
      </c>
      <c r="D324" s="35" t="s">
        <v>583</v>
      </c>
      <c r="E324" s="36">
        <v>0.2</v>
      </c>
      <c r="F324" s="30">
        <v>21.337</v>
      </c>
      <c r="G324" s="30">
        <f t="shared" si="24"/>
        <v>4.2674000000000003</v>
      </c>
      <c r="H324" s="34"/>
      <c r="I324" s="30"/>
      <c r="J324" s="152">
        <v>0</v>
      </c>
      <c r="L324" s="215">
        <v>0.2</v>
      </c>
      <c r="M324" s="30">
        <v>18.264472000000001</v>
      </c>
      <c r="N324" s="30">
        <f t="shared" si="25"/>
        <v>3.6528944000000005</v>
      </c>
      <c r="O324" s="34"/>
      <c r="P324" s="36" t="str">
        <f t="shared" si="26"/>
        <v/>
      </c>
      <c r="Q324" s="216">
        <f t="shared" si="27"/>
        <v>0.14399999999999991</v>
      </c>
      <c r="R324" s="216">
        <f t="shared" si="28"/>
        <v>0.14399999999999991</v>
      </c>
      <c r="S324" s="217" t="str">
        <f t="shared" si="29"/>
        <v/>
      </c>
    </row>
    <row r="325" spans="1:19" ht="26.25" hidden="1" thickBot="1" x14ac:dyDescent="0.3">
      <c r="A325" s="262"/>
      <c r="B325" s="260"/>
      <c r="C325" s="35" t="s">
        <v>3233</v>
      </c>
      <c r="D325" s="35" t="s">
        <v>385</v>
      </c>
      <c r="E325" s="36">
        <v>1.1000000000000001</v>
      </c>
      <c r="F325" s="30">
        <v>8.1889999999999983</v>
      </c>
      <c r="G325" s="30">
        <f t="shared" si="24"/>
        <v>9.0078999999999994</v>
      </c>
      <c r="H325" s="34"/>
      <c r="I325" s="30"/>
      <c r="J325" s="152">
        <v>0</v>
      </c>
      <c r="L325" s="215">
        <v>1.1000000000000001</v>
      </c>
      <c r="M325" s="30">
        <v>7.0097839999999989</v>
      </c>
      <c r="N325" s="30">
        <f t="shared" si="25"/>
        <v>7.7107623999999992</v>
      </c>
      <c r="O325" s="34"/>
      <c r="P325" s="36" t="str">
        <f t="shared" si="26"/>
        <v/>
      </c>
      <c r="Q325" s="216">
        <f t="shared" si="27"/>
        <v>0.14399999999999991</v>
      </c>
      <c r="R325" s="216">
        <f t="shared" si="28"/>
        <v>0.14400000000000002</v>
      </c>
      <c r="S325" s="217" t="str">
        <f t="shared" si="29"/>
        <v/>
      </c>
    </row>
    <row r="326" spans="1:19" ht="15.75" hidden="1" thickBot="1" x14ac:dyDescent="0.3">
      <c r="A326" s="262"/>
      <c r="B326" s="260"/>
      <c r="C326" s="35"/>
      <c r="D326" s="35"/>
      <c r="E326" s="36"/>
      <c r="F326" s="30" t="s">
        <v>416</v>
      </c>
      <c r="G326" s="30" t="str">
        <f t="shared" ref="G326:G389" si="30">IF(ISNUMBER(F326),E326*F326,"")</f>
        <v/>
      </c>
      <c r="H326" s="34"/>
      <c r="I326" s="30"/>
      <c r="J326" s="152">
        <v>0</v>
      </c>
      <c r="L326" s="215"/>
      <c r="M326" s="30"/>
      <c r="N326" s="30" t="str">
        <f t="shared" ref="N326:N389" si="31">IF(ISNUMBER(M326),L326*M326,"")</f>
        <v/>
      </c>
      <c r="O326" s="34"/>
      <c r="P326" s="36" t="str">
        <f t="shared" si="26"/>
        <v/>
      </c>
      <c r="Q326" s="216" t="str">
        <f t="shared" si="27"/>
        <v/>
      </c>
      <c r="R326" s="216" t="str">
        <f t="shared" si="28"/>
        <v/>
      </c>
      <c r="S326" s="217" t="str">
        <f t="shared" si="29"/>
        <v/>
      </c>
    </row>
    <row r="327" spans="1:19" ht="15.75" hidden="1" thickBot="1" x14ac:dyDescent="0.3">
      <c r="A327" s="256" t="s">
        <v>94</v>
      </c>
      <c r="B327" s="259" t="str">
        <f>INDEX(Orçamentária!A:B,MATCH(Composições!A327,Orçamentária!A:A,0),2)</f>
        <v>Estrutura metálica em aço</v>
      </c>
      <c r="C327" s="40"/>
      <c r="D327" s="25" t="s">
        <v>28</v>
      </c>
      <c r="E327" s="26"/>
      <c r="F327" s="41" t="s">
        <v>416</v>
      </c>
      <c r="G327" s="27" t="str">
        <f t="shared" si="30"/>
        <v/>
      </c>
      <c r="H327" s="28"/>
      <c r="I327" s="29"/>
      <c r="J327" s="152">
        <v>0</v>
      </c>
      <c r="L327" s="218"/>
      <c r="M327" s="41"/>
      <c r="N327" s="27" t="str">
        <f t="shared" si="31"/>
        <v/>
      </c>
      <c r="O327" s="28"/>
      <c r="P327" s="36" t="str">
        <f t="shared" si="26"/>
        <v/>
      </c>
      <c r="Q327" s="216" t="str">
        <f t="shared" si="27"/>
        <v/>
      </c>
      <c r="R327" s="216" t="str">
        <f t="shared" si="28"/>
        <v/>
      </c>
      <c r="S327" s="217" t="str">
        <f t="shared" si="29"/>
        <v/>
      </c>
    </row>
    <row r="328" spans="1:19" ht="15.75" hidden="1" thickBot="1" x14ac:dyDescent="0.3">
      <c r="A328" s="262"/>
      <c r="B328" s="260"/>
      <c r="C328" s="31"/>
      <c r="D328" s="31"/>
      <c r="E328" s="32"/>
      <c r="F328" s="42" t="s">
        <v>416</v>
      </c>
      <c r="G328" s="30" t="str">
        <f t="shared" si="30"/>
        <v/>
      </c>
      <c r="H328" s="34"/>
      <c r="I328" s="30"/>
      <c r="J328" s="152">
        <v>0</v>
      </c>
      <c r="L328" s="219"/>
      <c r="M328" s="42"/>
      <c r="N328" s="30" t="str">
        <f t="shared" si="31"/>
        <v/>
      </c>
      <c r="O328" s="34"/>
      <c r="P328" s="36" t="str">
        <f t="shared" ref="P328:P391" si="32">IF(ISBLANK(L328),"",IF($E328&lt;&gt;L328,"SIM",""))</f>
        <v/>
      </c>
      <c r="Q328" s="216" t="str">
        <f t="shared" ref="Q328:Q391" si="33">IF(M328="","",1-M328/$F328)</f>
        <v/>
      </c>
      <c r="R328" s="216" t="str">
        <f t="shared" ref="R328:R391" si="34">IF(N328="","",1-N328/$G328)</f>
        <v/>
      </c>
      <c r="S328" s="217" t="str">
        <f t="shared" ref="S328:S391" si="35">IF(O328="","",1-O328/$H328)</f>
        <v/>
      </c>
    </row>
    <row r="329" spans="1:19" ht="39" hidden="1" thickBot="1" x14ac:dyDescent="0.3">
      <c r="A329" s="262"/>
      <c r="B329" s="260"/>
      <c r="C329" s="35" t="s">
        <v>7956</v>
      </c>
      <c r="D329" s="35" t="s">
        <v>773</v>
      </c>
      <c r="E329" s="36">
        <v>0.01</v>
      </c>
      <c r="F329" s="33">
        <v>64.219999999999985</v>
      </c>
      <c r="G329" s="33">
        <f t="shared" si="30"/>
        <v>0.64219999999999988</v>
      </c>
      <c r="H329" s="38">
        <f>SUM(G329:G340)</f>
        <v>15.324924999999997</v>
      </c>
      <c r="I329" s="39"/>
      <c r="J329" s="152">
        <v>0</v>
      </c>
      <c r="L329" s="215">
        <v>0.01</v>
      </c>
      <c r="M329" s="33">
        <v>54.972319999999989</v>
      </c>
      <c r="N329" s="33">
        <f t="shared" si="31"/>
        <v>0.54972319999999986</v>
      </c>
      <c r="O329" s="38">
        <f>SUM(N329:N340)</f>
        <v>13.118135799999999</v>
      </c>
      <c r="P329" s="36" t="str">
        <f t="shared" si="32"/>
        <v/>
      </c>
      <c r="Q329" s="216">
        <f t="shared" si="33"/>
        <v>0.14400000000000002</v>
      </c>
      <c r="R329" s="216">
        <f t="shared" si="34"/>
        <v>0.14400000000000002</v>
      </c>
      <c r="S329" s="217">
        <f t="shared" si="35"/>
        <v>0.14399999999999991</v>
      </c>
    </row>
    <row r="330" spans="1:19" ht="26.25" hidden="1" thickBot="1" x14ac:dyDescent="0.3">
      <c r="A330" s="262"/>
      <c r="B330" s="260"/>
      <c r="C330" s="35" t="s">
        <v>95</v>
      </c>
      <c r="D330" s="35" t="s">
        <v>773</v>
      </c>
      <c r="E330" s="36">
        <v>0.27</v>
      </c>
      <c r="F330" s="33">
        <v>10.069999999999999</v>
      </c>
      <c r="G330" s="33">
        <f t="shared" si="30"/>
        <v>2.7188999999999997</v>
      </c>
      <c r="H330" s="34"/>
      <c r="I330" s="30"/>
      <c r="J330" s="152">
        <v>0</v>
      </c>
      <c r="L330" s="215">
        <v>0.27</v>
      </c>
      <c r="M330" s="33">
        <v>8.6199199999999987</v>
      </c>
      <c r="N330" s="33">
        <f t="shared" si="31"/>
        <v>2.3273783999999997</v>
      </c>
      <c r="O330" s="34"/>
      <c r="P330" s="36" t="str">
        <f t="shared" si="32"/>
        <v/>
      </c>
      <c r="Q330" s="216">
        <f t="shared" si="33"/>
        <v>0.14400000000000002</v>
      </c>
      <c r="R330" s="216">
        <f t="shared" si="34"/>
        <v>0.14400000000000002</v>
      </c>
      <c r="S330" s="217" t="str">
        <f t="shared" si="35"/>
        <v/>
      </c>
    </row>
    <row r="331" spans="1:19" ht="15.75" hidden="1" thickBot="1" x14ac:dyDescent="0.3">
      <c r="A331" s="262"/>
      <c r="B331" s="260"/>
      <c r="C331" s="35" t="s">
        <v>96</v>
      </c>
      <c r="D331" s="46" t="s">
        <v>28</v>
      </c>
      <c r="E331" s="36">
        <v>0.33</v>
      </c>
      <c r="F331" s="33">
        <v>0</v>
      </c>
      <c r="G331" s="33">
        <f t="shared" si="30"/>
        <v>0</v>
      </c>
      <c r="H331" s="34"/>
      <c r="I331" s="30"/>
      <c r="J331" s="152">
        <v>0</v>
      </c>
      <c r="L331" s="215">
        <v>0.33</v>
      </c>
      <c r="M331" s="33">
        <v>0</v>
      </c>
      <c r="N331" s="33">
        <f t="shared" si="31"/>
        <v>0</v>
      </c>
      <c r="O331" s="34"/>
      <c r="P331" s="36" t="str">
        <f t="shared" si="32"/>
        <v/>
      </c>
      <c r="Q331" s="216" t="e">
        <f t="shared" si="33"/>
        <v>#DIV/0!</v>
      </c>
      <c r="R331" s="216" t="e">
        <f t="shared" si="34"/>
        <v>#DIV/0!</v>
      </c>
      <c r="S331" s="217" t="str">
        <f t="shared" si="35"/>
        <v/>
      </c>
    </row>
    <row r="332" spans="1:19" ht="15.75" hidden="1" thickBot="1" x14ac:dyDescent="0.3">
      <c r="A332" s="262"/>
      <c r="B332" s="260"/>
      <c r="C332" s="35" t="s">
        <v>97</v>
      </c>
      <c r="D332" s="35" t="s">
        <v>773</v>
      </c>
      <c r="E332" s="36">
        <v>2.5000000000000001E-2</v>
      </c>
      <c r="F332" s="33">
        <v>38</v>
      </c>
      <c r="G332" s="33">
        <f t="shared" si="30"/>
        <v>0.95000000000000007</v>
      </c>
      <c r="H332" s="34"/>
      <c r="I332" s="30"/>
      <c r="J332" s="152">
        <v>0</v>
      </c>
      <c r="L332" s="215">
        <v>2.5000000000000001E-2</v>
      </c>
      <c r="M332" s="33">
        <v>32.527999999999999</v>
      </c>
      <c r="N332" s="33">
        <f t="shared" si="31"/>
        <v>0.81320000000000003</v>
      </c>
      <c r="O332" s="34"/>
      <c r="P332" s="36" t="str">
        <f t="shared" si="32"/>
        <v/>
      </c>
      <c r="Q332" s="216">
        <f t="shared" si="33"/>
        <v>0.14400000000000002</v>
      </c>
      <c r="R332" s="216">
        <f t="shared" si="34"/>
        <v>0.14400000000000002</v>
      </c>
      <c r="S332" s="217" t="str">
        <f t="shared" si="35"/>
        <v/>
      </c>
    </row>
    <row r="333" spans="1:19" ht="26.25" hidden="1" thickBot="1" x14ac:dyDescent="0.3">
      <c r="A333" s="262"/>
      <c r="B333" s="260"/>
      <c r="C333" s="35" t="s">
        <v>98</v>
      </c>
      <c r="D333" s="35" t="s">
        <v>87</v>
      </c>
      <c r="E333" s="36">
        <v>0.05</v>
      </c>
      <c r="F333" s="33">
        <v>14.0695</v>
      </c>
      <c r="G333" s="33">
        <f t="shared" si="30"/>
        <v>0.70347500000000007</v>
      </c>
      <c r="H333" s="34"/>
      <c r="I333" s="30"/>
      <c r="J333" s="152">
        <v>0</v>
      </c>
      <c r="L333" s="215">
        <v>0.05</v>
      </c>
      <c r="M333" s="33">
        <v>12.043492000000001</v>
      </c>
      <c r="N333" s="33">
        <f t="shared" si="31"/>
        <v>0.60217460000000012</v>
      </c>
      <c r="O333" s="34"/>
      <c r="P333" s="36" t="str">
        <f t="shared" si="32"/>
        <v/>
      </c>
      <c r="Q333" s="216">
        <f t="shared" si="33"/>
        <v>0.14399999999999991</v>
      </c>
      <c r="R333" s="216">
        <f t="shared" si="34"/>
        <v>0.14399999999999991</v>
      </c>
      <c r="S333" s="217" t="str">
        <f t="shared" si="35"/>
        <v/>
      </c>
    </row>
    <row r="334" spans="1:19" ht="15.75" hidden="1" thickBot="1" x14ac:dyDescent="0.3">
      <c r="A334" s="262"/>
      <c r="B334" s="260"/>
      <c r="C334" s="35" t="s">
        <v>99</v>
      </c>
      <c r="D334" s="46" t="s">
        <v>28</v>
      </c>
      <c r="E334" s="36">
        <v>0.4</v>
      </c>
      <c r="F334" s="33">
        <v>0</v>
      </c>
      <c r="G334" s="33">
        <f t="shared" si="30"/>
        <v>0</v>
      </c>
      <c r="H334" s="34"/>
      <c r="I334" s="30"/>
      <c r="J334" s="152">
        <v>0</v>
      </c>
      <c r="L334" s="215">
        <v>0.4</v>
      </c>
      <c r="M334" s="33">
        <v>0</v>
      </c>
      <c r="N334" s="33">
        <f t="shared" si="31"/>
        <v>0</v>
      </c>
      <c r="O334" s="34"/>
      <c r="P334" s="36" t="str">
        <f t="shared" si="32"/>
        <v/>
      </c>
      <c r="Q334" s="216" t="e">
        <f t="shared" si="33"/>
        <v>#DIV/0!</v>
      </c>
      <c r="R334" s="216" t="e">
        <f t="shared" si="34"/>
        <v>#DIV/0!</v>
      </c>
      <c r="S334" s="217" t="str">
        <f t="shared" si="35"/>
        <v/>
      </c>
    </row>
    <row r="335" spans="1:19" ht="26.25" hidden="1" thickBot="1" x14ac:dyDescent="0.3">
      <c r="A335" s="262"/>
      <c r="B335" s="260"/>
      <c r="C335" s="35" t="s">
        <v>854</v>
      </c>
      <c r="D335" s="35" t="s">
        <v>583</v>
      </c>
      <c r="E335" s="36">
        <f>0.2+0.2</f>
        <v>0.4</v>
      </c>
      <c r="F335" s="30">
        <v>20.719499999999996</v>
      </c>
      <c r="G335" s="33">
        <f t="shared" si="30"/>
        <v>8.2877999999999989</v>
      </c>
      <c r="H335" s="34"/>
      <c r="I335" s="30"/>
      <c r="J335" s="152">
        <v>0</v>
      </c>
      <c r="L335" s="215">
        <v>0.4</v>
      </c>
      <c r="M335" s="30">
        <v>17.735891999999996</v>
      </c>
      <c r="N335" s="33">
        <f t="shared" si="31"/>
        <v>7.094356799999999</v>
      </c>
      <c r="O335" s="34"/>
      <c r="P335" s="36" t="str">
        <f t="shared" si="32"/>
        <v/>
      </c>
      <c r="Q335" s="216">
        <f t="shared" si="33"/>
        <v>0.14400000000000002</v>
      </c>
      <c r="R335" s="216">
        <f t="shared" si="34"/>
        <v>0.14400000000000002</v>
      </c>
      <c r="S335" s="217" t="str">
        <f t="shared" si="35"/>
        <v/>
      </c>
    </row>
    <row r="336" spans="1:19" ht="15.75" hidden="1" thickBot="1" x14ac:dyDescent="0.3">
      <c r="A336" s="262"/>
      <c r="B336" s="260"/>
      <c r="C336" s="35" t="s">
        <v>584</v>
      </c>
      <c r="D336" s="35" t="s">
        <v>583</v>
      </c>
      <c r="E336" s="36">
        <v>0.1</v>
      </c>
      <c r="F336" s="30">
        <v>20.225499999999997</v>
      </c>
      <c r="G336" s="33">
        <f t="shared" si="30"/>
        <v>2.0225499999999998</v>
      </c>
      <c r="H336" s="34"/>
      <c r="I336" s="30"/>
      <c r="J336" s="152">
        <v>0</v>
      </c>
      <c r="L336" s="215">
        <v>0.1</v>
      </c>
      <c r="M336" s="30">
        <v>17.313027999999996</v>
      </c>
      <c r="N336" s="33">
        <f t="shared" si="31"/>
        <v>1.7313027999999997</v>
      </c>
      <c r="O336" s="34"/>
      <c r="P336" s="36" t="str">
        <f t="shared" si="32"/>
        <v/>
      </c>
      <c r="Q336" s="216">
        <f t="shared" si="33"/>
        <v>0.14400000000000013</v>
      </c>
      <c r="R336" s="216">
        <f t="shared" si="34"/>
        <v>0.14400000000000013</v>
      </c>
      <c r="S336" s="217" t="str">
        <f t="shared" si="35"/>
        <v/>
      </c>
    </row>
    <row r="337" spans="1:19" ht="26.25" hidden="1" thickBot="1" x14ac:dyDescent="0.3">
      <c r="A337" s="262"/>
      <c r="B337" s="260"/>
      <c r="C337" s="35" t="s">
        <v>100</v>
      </c>
      <c r="D337" s="46" t="s">
        <v>28</v>
      </c>
      <c r="E337" s="36">
        <v>0.05</v>
      </c>
      <c r="F337" s="33">
        <v>0</v>
      </c>
      <c r="G337" s="33">
        <f t="shared" si="30"/>
        <v>0</v>
      </c>
      <c r="H337" s="34"/>
      <c r="I337" s="30"/>
      <c r="J337" s="152">
        <v>0</v>
      </c>
      <c r="L337" s="215">
        <v>0.05</v>
      </c>
      <c r="M337" s="33">
        <v>0</v>
      </c>
      <c r="N337" s="33">
        <f t="shared" si="31"/>
        <v>0</v>
      </c>
      <c r="O337" s="34"/>
      <c r="P337" s="36" t="str">
        <f t="shared" si="32"/>
        <v/>
      </c>
      <c r="Q337" s="216" t="e">
        <f t="shared" si="33"/>
        <v>#DIV/0!</v>
      </c>
      <c r="R337" s="216" t="e">
        <f t="shared" si="34"/>
        <v>#DIV/0!</v>
      </c>
      <c r="S337" s="217" t="str">
        <f t="shared" si="35"/>
        <v/>
      </c>
    </row>
    <row r="338" spans="1:19" ht="39" hidden="1" thickBot="1" x14ac:dyDescent="0.3">
      <c r="A338" s="262"/>
      <c r="B338" s="260"/>
      <c r="C338" s="35" t="s">
        <v>101</v>
      </c>
      <c r="D338" s="46" t="s">
        <v>70</v>
      </c>
      <c r="E338" s="36">
        <v>0.05</v>
      </c>
      <c r="F338" s="33">
        <v>0</v>
      </c>
      <c r="G338" s="33">
        <f t="shared" si="30"/>
        <v>0</v>
      </c>
      <c r="H338" s="34"/>
      <c r="I338" s="30"/>
      <c r="J338" s="152">
        <v>0</v>
      </c>
      <c r="L338" s="215">
        <v>0.05</v>
      </c>
      <c r="M338" s="33">
        <v>0</v>
      </c>
      <c r="N338" s="33">
        <f t="shared" si="31"/>
        <v>0</v>
      </c>
      <c r="O338" s="34"/>
      <c r="P338" s="36" t="str">
        <f t="shared" si="32"/>
        <v/>
      </c>
      <c r="Q338" s="216" t="e">
        <f t="shared" si="33"/>
        <v>#DIV/0!</v>
      </c>
      <c r="R338" s="216" t="e">
        <f t="shared" si="34"/>
        <v>#DIV/0!</v>
      </c>
      <c r="S338" s="217" t="str">
        <f t="shared" si="35"/>
        <v/>
      </c>
    </row>
    <row r="339" spans="1:19" ht="15.75" hidden="1" thickBot="1" x14ac:dyDescent="0.3">
      <c r="A339" s="262"/>
      <c r="B339" s="260"/>
      <c r="C339" s="35" t="s">
        <v>102</v>
      </c>
      <c r="D339" s="46" t="s">
        <v>11</v>
      </c>
      <c r="E339" s="36">
        <v>2.5000000000000001E-2</v>
      </c>
      <c r="F339" s="33">
        <v>0</v>
      </c>
      <c r="G339" s="33">
        <f t="shared" si="30"/>
        <v>0</v>
      </c>
      <c r="H339" s="34"/>
      <c r="I339" s="30"/>
      <c r="J339" s="152">
        <v>0</v>
      </c>
      <c r="L339" s="215">
        <v>2.5000000000000001E-2</v>
      </c>
      <c r="M339" s="33">
        <v>0</v>
      </c>
      <c r="N339" s="33">
        <f t="shared" si="31"/>
        <v>0</v>
      </c>
      <c r="O339" s="34"/>
      <c r="P339" s="36" t="str">
        <f t="shared" si="32"/>
        <v/>
      </c>
      <c r="Q339" s="216" t="e">
        <f t="shared" si="33"/>
        <v>#DIV/0!</v>
      </c>
      <c r="R339" s="216" t="e">
        <f t="shared" si="34"/>
        <v>#DIV/0!</v>
      </c>
      <c r="S339" s="217" t="str">
        <f t="shared" si="35"/>
        <v/>
      </c>
    </row>
    <row r="340" spans="1:19" ht="51.75" hidden="1" thickBot="1" x14ac:dyDescent="0.3">
      <c r="A340" s="262"/>
      <c r="B340" s="260"/>
      <c r="C340" s="35" t="s">
        <v>103</v>
      </c>
      <c r="D340" s="46" t="s">
        <v>11</v>
      </c>
      <c r="E340" s="36">
        <v>0.5</v>
      </c>
      <c r="F340" s="33">
        <v>0</v>
      </c>
      <c r="G340" s="33">
        <f t="shared" si="30"/>
        <v>0</v>
      </c>
      <c r="H340" s="34"/>
      <c r="I340" s="30"/>
      <c r="J340" s="152">
        <v>0</v>
      </c>
      <c r="L340" s="215">
        <v>0.5</v>
      </c>
      <c r="M340" s="33">
        <v>0</v>
      </c>
      <c r="N340" s="33">
        <f t="shared" si="31"/>
        <v>0</v>
      </c>
      <c r="O340" s="34"/>
      <c r="P340" s="36" t="str">
        <f t="shared" si="32"/>
        <v/>
      </c>
      <c r="Q340" s="216" t="e">
        <f t="shared" si="33"/>
        <v>#DIV/0!</v>
      </c>
      <c r="R340" s="216" t="e">
        <f t="shared" si="34"/>
        <v>#DIV/0!</v>
      </c>
      <c r="S340" s="217" t="str">
        <f t="shared" si="35"/>
        <v/>
      </c>
    </row>
    <row r="341" spans="1:19" ht="15.75" hidden="1" thickBot="1" x14ac:dyDescent="0.3">
      <c r="A341" s="263"/>
      <c r="B341" s="261"/>
      <c r="C341" s="35"/>
      <c r="D341" s="35"/>
      <c r="E341" s="36"/>
      <c r="F341" s="30" t="s">
        <v>416</v>
      </c>
      <c r="G341" s="30" t="str">
        <f t="shared" si="30"/>
        <v/>
      </c>
      <c r="H341" s="34"/>
      <c r="I341" s="30"/>
      <c r="J341" s="152">
        <v>0</v>
      </c>
      <c r="L341" s="215"/>
      <c r="M341" s="30"/>
      <c r="N341" s="30" t="str">
        <f t="shared" si="31"/>
        <v/>
      </c>
      <c r="O341" s="34"/>
      <c r="P341" s="36" t="str">
        <f t="shared" si="32"/>
        <v/>
      </c>
      <c r="Q341" s="216" t="str">
        <f t="shared" si="33"/>
        <v/>
      </c>
      <c r="R341" s="216" t="str">
        <f t="shared" si="34"/>
        <v/>
      </c>
      <c r="S341" s="217" t="str">
        <f t="shared" si="35"/>
        <v/>
      </c>
    </row>
    <row r="342" spans="1:19" ht="15.75" hidden="1" thickBot="1" x14ac:dyDescent="0.3">
      <c r="A342" s="256" t="s">
        <v>104</v>
      </c>
      <c r="B342" s="259" t="str">
        <f>INDEX(Orçamentária!A:B,MATCH(Composições!A342,Orçamentária!A:A,0),2)</f>
        <v>Forma para estruturas de concreto</v>
      </c>
      <c r="C342" s="40"/>
      <c r="D342" s="25" t="s">
        <v>70</v>
      </c>
      <c r="E342" s="26"/>
      <c r="F342" s="41" t="s">
        <v>416</v>
      </c>
      <c r="G342" s="27" t="str">
        <f t="shared" si="30"/>
        <v/>
      </c>
      <c r="H342" s="28"/>
      <c r="I342" s="29"/>
      <c r="J342" s="152">
        <v>0</v>
      </c>
      <c r="L342" s="218"/>
      <c r="M342" s="41"/>
      <c r="N342" s="27" t="str">
        <f t="shared" si="31"/>
        <v/>
      </c>
      <c r="O342" s="28"/>
      <c r="P342" s="36" t="str">
        <f t="shared" si="32"/>
        <v/>
      </c>
      <c r="Q342" s="216" t="str">
        <f t="shared" si="33"/>
        <v/>
      </c>
      <c r="R342" s="216" t="str">
        <f t="shared" si="34"/>
        <v/>
      </c>
      <c r="S342" s="217" t="str">
        <f t="shared" si="35"/>
        <v/>
      </c>
    </row>
    <row r="343" spans="1:19" ht="15.75" hidden="1" thickBot="1" x14ac:dyDescent="0.3">
      <c r="A343" s="262"/>
      <c r="B343" s="260"/>
      <c r="C343" s="31"/>
      <c r="D343" s="31"/>
      <c r="E343" s="32"/>
      <c r="F343" s="42" t="s">
        <v>416</v>
      </c>
      <c r="G343" s="30" t="str">
        <f t="shared" si="30"/>
        <v/>
      </c>
      <c r="H343" s="34"/>
      <c r="I343" s="30"/>
      <c r="J343" s="152">
        <v>0</v>
      </c>
      <c r="L343" s="219"/>
      <c r="M343" s="42"/>
      <c r="N343" s="30" t="str">
        <f t="shared" si="31"/>
        <v/>
      </c>
      <c r="O343" s="34"/>
      <c r="P343" s="36" t="str">
        <f t="shared" si="32"/>
        <v/>
      </c>
      <c r="Q343" s="216" t="str">
        <f t="shared" si="33"/>
        <v/>
      </c>
      <c r="R343" s="216" t="str">
        <f t="shared" si="34"/>
        <v/>
      </c>
      <c r="S343" s="217" t="str">
        <f t="shared" si="35"/>
        <v/>
      </c>
    </row>
    <row r="344" spans="1:19" ht="26.25" hidden="1" thickBot="1" x14ac:dyDescent="0.3">
      <c r="A344" s="262"/>
      <c r="B344" s="260"/>
      <c r="C344" s="35" t="s">
        <v>1009</v>
      </c>
      <c r="D344" s="35" t="s">
        <v>75</v>
      </c>
      <c r="E344" s="36">
        <v>0.01</v>
      </c>
      <c r="F344" s="33">
        <v>7.9229999999999992</v>
      </c>
      <c r="G344" s="33">
        <f t="shared" si="30"/>
        <v>7.9229999999999995E-2</v>
      </c>
      <c r="H344" s="38">
        <f>SUM(G344:G350)</f>
        <v>193.04211718899998</v>
      </c>
      <c r="I344" s="39"/>
      <c r="J344" s="152">
        <v>0</v>
      </c>
      <c r="L344" s="215">
        <v>0.01</v>
      </c>
      <c r="M344" s="33">
        <v>6.7820879999999999</v>
      </c>
      <c r="N344" s="33">
        <f t="shared" si="31"/>
        <v>6.782088E-2</v>
      </c>
      <c r="O344" s="38">
        <f>SUM(N344:N350)</f>
        <v>165.24405231378398</v>
      </c>
      <c r="P344" s="36" t="str">
        <f t="shared" si="32"/>
        <v/>
      </c>
      <c r="Q344" s="216">
        <f t="shared" si="33"/>
        <v>0.14399999999999991</v>
      </c>
      <c r="R344" s="216">
        <f t="shared" si="34"/>
        <v>0.14399999999999991</v>
      </c>
      <c r="S344" s="217">
        <f t="shared" si="35"/>
        <v>0.14400000000000002</v>
      </c>
    </row>
    <row r="345" spans="1:19" ht="26.25" hidden="1" thickBot="1" x14ac:dyDescent="0.3">
      <c r="A345" s="262"/>
      <c r="B345" s="260"/>
      <c r="C345" s="35" t="s">
        <v>8518</v>
      </c>
      <c r="D345" s="35" t="s">
        <v>385</v>
      </c>
      <c r="E345" s="36">
        <v>0.47399999999999998</v>
      </c>
      <c r="F345" s="33">
        <v>23.398499999999999</v>
      </c>
      <c r="G345" s="33">
        <f t="shared" si="30"/>
        <v>11.090888999999999</v>
      </c>
      <c r="H345" s="34"/>
      <c r="I345" s="30"/>
      <c r="J345" s="152">
        <v>0</v>
      </c>
      <c r="L345" s="215">
        <v>0.47399999999999998</v>
      </c>
      <c r="M345" s="33">
        <v>20.029115999999998</v>
      </c>
      <c r="N345" s="33">
        <f t="shared" si="31"/>
        <v>9.4938009839999982</v>
      </c>
      <c r="O345" s="34"/>
      <c r="P345" s="36" t="str">
        <f t="shared" si="32"/>
        <v/>
      </c>
      <c r="Q345" s="216">
        <f t="shared" si="33"/>
        <v>0.14400000000000002</v>
      </c>
      <c r="R345" s="216">
        <f t="shared" si="34"/>
        <v>0.14400000000000013</v>
      </c>
      <c r="S345" s="217" t="str">
        <f t="shared" si="35"/>
        <v/>
      </c>
    </row>
    <row r="346" spans="1:19" ht="15.75" hidden="1" thickBot="1" x14ac:dyDescent="0.3">
      <c r="A346" s="262"/>
      <c r="B346" s="260"/>
      <c r="C346" s="35" t="s">
        <v>2936</v>
      </c>
      <c r="D346" s="35" t="s">
        <v>773</v>
      </c>
      <c r="E346" s="36">
        <v>4.9000000000000002E-2</v>
      </c>
      <c r="F346" s="33">
        <v>26.656999999999996</v>
      </c>
      <c r="G346" s="33">
        <f t="shared" si="30"/>
        <v>1.3061929999999999</v>
      </c>
      <c r="H346" s="34"/>
      <c r="I346" s="30"/>
      <c r="J346" s="152">
        <v>0</v>
      </c>
      <c r="L346" s="215">
        <v>4.9000000000000002E-2</v>
      </c>
      <c r="M346" s="33">
        <v>22.818391999999996</v>
      </c>
      <c r="N346" s="33">
        <f t="shared" si="31"/>
        <v>1.1181012079999999</v>
      </c>
      <c r="O346" s="34"/>
      <c r="P346" s="36" t="str">
        <f t="shared" si="32"/>
        <v/>
      </c>
      <c r="Q346" s="216">
        <f t="shared" si="33"/>
        <v>0.14400000000000002</v>
      </c>
      <c r="R346" s="216">
        <f t="shared" si="34"/>
        <v>0.14400000000000002</v>
      </c>
      <c r="S346" s="217" t="str">
        <f t="shared" si="35"/>
        <v/>
      </c>
    </row>
    <row r="347" spans="1:19" ht="15.75" hidden="1" thickBot="1" x14ac:dyDescent="0.3">
      <c r="A347" s="262"/>
      <c r="B347" s="260"/>
      <c r="C347" s="35" t="s">
        <v>660</v>
      </c>
      <c r="D347" s="35" t="s">
        <v>583</v>
      </c>
      <c r="E347" s="36">
        <v>0.20499999999999999</v>
      </c>
      <c r="F347" s="30">
        <v>21.337</v>
      </c>
      <c r="G347" s="33">
        <f t="shared" si="30"/>
        <v>4.374085</v>
      </c>
      <c r="H347" s="34"/>
      <c r="I347" s="30"/>
      <c r="J347" s="152">
        <v>0</v>
      </c>
      <c r="L347" s="215">
        <v>0.20499999999999999</v>
      </c>
      <c r="M347" s="30">
        <v>18.264472000000001</v>
      </c>
      <c r="N347" s="33">
        <f t="shared" si="31"/>
        <v>3.74421676</v>
      </c>
      <c r="O347" s="34"/>
      <c r="P347" s="36" t="str">
        <f t="shared" si="32"/>
        <v/>
      </c>
      <c r="Q347" s="216">
        <f t="shared" si="33"/>
        <v>0.14399999999999991</v>
      </c>
      <c r="R347" s="216">
        <f t="shared" si="34"/>
        <v>0.14400000000000002</v>
      </c>
      <c r="S347" s="217" t="str">
        <f t="shared" si="35"/>
        <v/>
      </c>
    </row>
    <row r="348" spans="1:19" ht="15.75" hidden="1" thickBot="1" x14ac:dyDescent="0.3">
      <c r="A348" s="262"/>
      <c r="B348" s="260"/>
      <c r="C348" s="35" t="s">
        <v>862</v>
      </c>
      <c r="D348" s="35" t="s">
        <v>583</v>
      </c>
      <c r="E348" s="36">
        <v>1.1200000000000001</v>
      </c>
      <c r="F348" s="30">
        <v>26.799499999999998</v>
      </c>
      <c r="G348" s="33">
        <f t="shared" si="30"/>
        <v>30.015440000000002</v>
      </c>
      <c r="H348" s="34"/>
      <c r="I348" s="30"/>
      <c r="J348" s="152">
        <v>0</v>
      </c>
      <c r="L348" s="215">
        <v>1.1200000000000001</v>
      </c>
      <c r="M348" s="30">
        <v>22.940372</v>
      </c>
      <c r="N348" s="33">
        <f t="shared" si="31"/>
        <v>25.693216640000003</v>
      </c>
      <c r="O348" s="34"/>
      <c r="P348" s="36" t="str">
        <f t="shared" si="32"/>
        <v/>
      </c>
      <c r="Q348" s="216">
        <f t="shared" si="33"/>
        <v>0.14399999999999991</v>
      </c>
      <c r="R348" s="216">
        <f t="shared" si="34"/>
        <v>0.14399999999999991</v>
      </c>
      <c r="S348" s="217" t="str">
        <f t="shared" si="35"/>
        <v/>
      </c>
    </row>
    <row r="349" spans="1:19" ht="26.25" hidden="1" thickBot="1" x14ac:dyDescent="0.3">
      <c r="A349" s="262"/>
      <c r="B349" s="260"/>
      <c r="C349" s="35" t="s">
        <v>3218</v>
      </c>
      <c r="D349" s="35" t="s">
        <v>861</v>
      </c>
      <c r="E349" s="36">
        <v>0.621</v>
      </c>
      <c r="F349" s="33">
        <v>124.33613299999998</v>
      </c>
      <c r="G349" s="33">
        <f t="shared" si="30"/>
        <v>77.212738592999983</v>
      </c>
      <c r="H349" s="34"/>
      <c r="I349" s="30"/>
      <c r="J349" s="152">
        <v>0</v>
      </c>
      <c r="L349" s="215">
        <v>0.621</v>
      </c>
      <c r="M349" s="33">
        <v>106.43172984799997</v>
      </c>
      <c r="N349" s="33">
        <f t="shared" si="31"/>
        <v>66.094104235607986</v>
      </c>
      <c r="O349" s="34"/>
      <c r="P349" s="36" t="str">
        <f t="shared" si="32"/>
        <v/>
      </c>
      <c r="Q349" s="216">
        <f t="shared" si="33"/>
        <v>0.14400000000000002</v>
      </c>
      <c r="R349" s="216">
        <f t="shared" si="34"/>
        <v>0.14400000000000002</v>
      </c>
      <c r="S349" s="217" t="str">
        <f t="shared" si="35"/>
        <v/>
      </c>
    </row>
    <row r="350" spans="1:19" ht="26.25" hidden="1" thickBot="1" x14ac:dyDescent="0.3">
      <c r="A350" s="262"/>
      <c r="B350" s="260"/>
      <c r="C350" s="35" t="s">
        <v>3220</v>
      </c>
      <c r="D350" s="35" t="s">
        <v>385</v>
      </c>
      <c r="E350" s="36">
        <v>1.8160000000000001</v>
      </c>
      <c r="F350" s="33">
        <v>37.9755185</v>
      </c>
      <c r="G350" s="33">
        <f t="shared" si="30"/>
        <v>68.963541595999999</v>
      </c>
      <c r="H350" s="34"/>
      <c r="I350" s="30"/>
      <c r="J350" s="152">
        <v>0</v>
      </c>
      <c r="L350" s="215">
        <v>1.8160000000000001</v>
      </c>
      <c r="M350" s="33">
        <v>32.507043836000001</v>
      </c>
      <c r="N350" s="33">
        <f t="shared" si="31"/>
        <v>59.032791606176005</v>
      </c>
      <c r="O350" s="34"/>
      <c r="P350" s="36" t="str">
        <f t="shared" si="32"/>
        <v/>
      </c>
      <c r="Q350" s="216">
        <f t="shared" si="33"/>
        <v>0.14400000000000002</v>
      </c>
      <c r="R350" s="216">
        <f t="shared" si="34"/>
        <v>0.14399999999999991</v>
      </c>
      <c r="S350" s="217" t="str">
        <f t="shared" si="35"/>
        <v/>
      </c>
    </row>
    <row r="351" spans="1:19" ht="15.75" hidden="1" thickBot="1" x14ac:dyDescent="0.3">
      <c r="A351" s="263"/>
      <c r="B351" s="261"/>
      <c r="C351" s="35"/>
      <c r="D351" s="35"/>
      <c r="E351" s="36"/>
      <c r="F351" s="30" t="s">
        <v>416</v>
      </c>
      <c r="G351" s="30" t="str">
        <f t="shared" si="30"/>
        <v/>
      </c>
      <c r="H351" s="34"/>
      <c r="I351" s="30"/>
      <c r="J351" s="152">
        <v>0</v>
      </c>
      <c r="L351" s="215"/>
      <c r="M351" s="30"/>
      <c r="N351" s="30" t="str">
        <f t="shared" si="31"/>
        <v/>
      </c>
      <c r="O351" s="34"/>
      <c r="P351" s="36" t="str">
        <f t="shared" si="32"/>
        <v/>
      </c>
      <c r="Q351" s="216" t="str">
        <f t="shared" si="33"/>
        <v/>
      </c>
      <c r="R351" s="216" t="str">
        <f t="shared" si="34"/>
        <v/>
      </c>
      <c r="S351" s="217" t="str">
        <f t="shared" si="35"/>
        <v/>
      </c>
    </row>
    <row r="352" spans="1:19" ht="15.75" hidden="1" thickBot="1" x14ac:dyDescent="0.3">
      <c r="A352" s="256" t="s">
        <v>105</v>
      </c>
      <c r="B352" s="259" t="str">
        <f>INDEX(Orçamentária!A:B,MATCH(Composições!A352,Orçamentária!A:A,0),2)</f>
        <v>Verga/contraverga/cinta em bloco de concreto canaleta 11,5 x 19 x 39 cm</v>
      </c>
      <c r="C352" s="40"/>
      <c r="D352" s="25" t="s">
        <v>69</v>
      </c>
      <c r="E352" s="26"/>
      <c r="F352" s="41" t="s">
        <v>416</v>
      </c>
      <c r="G352" s="27" t="str">
        <f t="shared" si="30"/>
        <v/>
      </c>
      <c r="H352" s="28"/>
      <c r="I352" s="29"/>
      <c r="J352" s="152">
        <v>0</v>
      </c>
      <c r="L352" s="218"/>
      <c r="M352" s="41"/>
      <c r="N352" s="27" t="str">
        <f t="shared" si="31"/>
        <v/>
      </c>
      <c r="O352" s="28"/>
      <c r="P352" s="36" t="str">
        <f t="shared" si="32"/>
        <v/>
      </c>
      <c r="Q352" s="216" t="str">
        <f t="shared" si="33"/>
        <v/>
      </c>
      <c r="R352" s="216" t="str">
        <f t="shared" si="34"/>
        <v/>
      </c>
      <c r="S352" s="217" t="str">
        <f t="shared" si="35"/>
        <v/>
      </c>
    </row>
    <row r="353" spans="1:19" ht="15.75" hidden="1" thickBot="1" x14ac:dyDescent="0.3">
      <c r="A353" s="257"/>
      <c r="B353" s="260"/>
      <c r="C353" s="31"/>
      <c r="D353" s="31"/>
      <c r="E353" s="32"/>
      <c r="F353" s="42" t="s">
        <v>416</v>
      </c>
      <c r="G353" s="30" t="str">
        <f t="shared" si="30"/>
        <v/>
      </c>
      <c r="H353" s="34"/>
      <c r="I353" s="30"/>
      <c r="J353" s="152">
        <v>0</v>
      </c>
      <c r="L353" s="219"/>
      <c r="M353" s="42"/>
      <c r="N353" s="30" t="str">
        <f t="shared" si="31"/>
        <v/>
      </c>
      <c r="O353" s="34"/>
      <c r="P353" s="36" t="str">
        <f t="shared" si="32"/>
        <v/>
      </c>
      <c r="Q353" s="216" t="str">
        <f t="shared" si="33"/>
        <v/>
      </c>
      <c r="R353" s="216" t="str">
        <f t="shared" si="34"/>
        <v/>
      </c>
      <c r="S353" s="217" t="str">
        <f t="shared" si="35"/>
        <v/>
      </c>
    </row>
    <row r="354" spans="1:19" ht="15.75" hidden="1" thickBot="1" x14ac:dyDescent="0.3">
      <c r="A354" s="257"/>
      <c r="B354" s="260"/>
      <c r="C354" s="35" t="s">
        <v>584</v>
      </c>
      <c r="D354" s="35" t="s">
        <v>583</v>
      </c>
      <c r="E354" s="36">
        <v>0.4</v>
      </c>
      <c r="F354" s="30">
        <v>20.225499999999997</v>
      </c>
      <c r="G354" s="33">
        <f t="shared" si="30"/>
        <v>8.0901999999999994</v>
      </c>
      <c r="H354" s="38">
        <f>SUM(G354:G362)</f>
        <v>27.234093155999997</v>
      </c>
      <c r="I354" s="39"/>
      <c r="J354" s="152">
        <v>0</v>
      </c>
      <c r="L354" s="215">
        <v>0.4</v>
      </c>
      <c r="M354" s="30">
        <v>17.313027999999996</v>
      </c>
      <c r="N354" s="33">
        <f t="shared" si="31"/>
        <v>6.9252111999999988</v>
      </c>
      <c r="O354" s="38">
        <f>SUM(N354:N362)</f>
        <v>23.312383741535996</v>
      </c>
      <c r="P354" s="36" t="str">
        <f t="shared" si="32"/>
        <v/>
      </c>
      <c r="Q354" s="216">
        <f t="shared" si="33"/>
        <v>0.14400000000000013</v>
      </c>
      <c r="R354" s="216">
        <f t="shared" si="34"/>
        <v>0.14400000000000013</v>
      </c>
      <c r="S354" s="217">
        <f t="shared" si="35"/>
        <v>0.14400000000000002</v>
      </c>
    </row>
    <row r="355" spans="1:19" ht="15.75" hidden="1" thickBot="1" x14ac:dyDescent="0.3">
      <c r="A355" s="257"/>
      <c r="B355" s="260"/>
      <c r="C355" s="35" t="s">
        <v>591</v>
      </c>
      <c r="D355" s="35" t="s">
        <v>583</v>
      </c>
      <c r="E355" s="36">
        <v>0.3</v>
      </c>
      <c r="F355" s="30">
        <v>27.160499999999999</v>
      </c>
      <c r="G355" s="33">
        <f t="shared" si="30"/>
        <v>8.1481499999999993</v>
      </c>
      <c r="H355" s="34"/>
      <c r="I355" s="30"/>
      <c r="J355" s="152">
        <v>0</v>
      </c>
      <c r="L355" s="215">
        <v>0.3</v>
      </c>
      <c r="M355" s="30">
        <v>23.249388</v>
      </c>
      <c r="N355" s="33">
        <f t="shared" si="31"/>
        <v>6.9748163999999999</v>
      </c>
      <c r="O355" s="34"/>
      <c r="P355" s="36" t="str">
        <f t="shared" si="32"/>
        <v/>
      </c>
      <c r="Q355" s="216">
        <f t="shared" si="33"/>
        <v>0.14400000000000002</v>
      </c>
      <c r="R355" s="216">
        <f t="shared" si="34"/>
        <v>0.14399999999999991</v>
      </c>
      <c r="S355" s="217" t="str">
        <f t="shared" si="35"/>
        <v/>
      </c>
    </row>
    <row r="356" spans="1:19" ht="26.25" hidden="1" thickBot="1" x14ac:dyDescent="0.3">
      <c r="A356" s="257"/>
      <c r="B356" s="260"/>
      <c r="C356" s="35" t="s">
        <v>7985</v>
      </c>
      <c r="D356" s="35" t="s">
        <v>87</v>
      </c>
      <c r="E356" s="36">
        <v>0.01</v>
      </c>
      <c r="F356" s="33">
        <v>202.33099999999999</v>
      </c>
      <c r="G356" s="33">
        <f t="shared" si="30"/>
        <v>2.0233099999999999</v>
      </c>
      <c r="H356" s="34"/>
      <c r="I356" s="30"/>
      <c r="J356" s="152">
        <v>0</v>
      </c>
      <c r="L356" s="215">
        <v>0.01</v>
      </c>
      <c r="M356" s="33">
        <v>173.195336</v>
      </c>
      <c r="N356" s="33">
        <f t="shared" si="31"/>
        <v>1.7319533600000001</v>
      </c>
      <c r="O356" s="34"/>
      <c r="P356" s="36" t="str">
        <f t="shared" si="32"/>
        <v/>
      </c>
      <c r="Q356" s="216">
        <f t="shared" si="33"/>
        <v>0.14400000000000002</v>
      </c>
      <c r="R356" s="216">
        <f t="shared" si="34"/>
        <v>0.14399999999999991</v>
      </c>
      <c r="S356" s="217" t="str">
        <f t="shared" si="35"/>
        <v/>
      </c>
    </row>
    <row r="357" spans="1:19" ht="26.25" hidden="1" thickBot="1" x14ac:dyDescent="0.3">
      <c r="A357" s="257"/>
      <c r="B357" s="260"/>
      <c r="C357" s="35" t="s">
        <v>8312</v>
      </c>
      <c r="D357" s="35" t="s">
        <v>87</v>
      </c>
      <c r="E357" s="36">
        <v>0.01</v>
      </c>
      <c r="F357" s="33">
        <v>177.38399999999999</v>
      </c>
      <c r="G357" s="33">
        <f t="shared" si="30"/>
        <v>1.7738399999999999</v>
      </c>
      <c r="H357" s="34"/>
      <c r="I357" s="30"/>
      <c r="J357" s="152">
        <v>0</v>
      </c>
      <c r="L357" s="215">
        <v>0.01</v>
      </c>
      <c r="M357" s="33">
        <v>151.84070399999999</v>
      </c>
      <c r="N357" s="33">
        <f t="shared" si="31"/>
        <v>1.5184070399999998</v>
      </c>
      <c r="O357" s="34"/>
      <c r="P357" s="36" t="str">
        <f t="shared" si="32"/>
        <v/>
      </c>
      <c r="Q357" s="216">
        <f t="shared" si="33"/>
        <v>0.14400000000000002</v>
      </c>
      <c r="R357" s="216">
        <f t="shared" si="34"/>
        <v>0.14400000000000002</v>
      </c>
      <c r="S357" s="217" t="str">
        <f t="shared" si="35"/>
        <v/>
      </c>
    </row>
    <row r="358" spans="1:19" ht="15.75" hidden="1" thickBot="1" x14ac:dyDescent="0.3">
      <c r="A358" s="257"/>
      <c r="B358" s="260"/>
      <c r="C358" s="35" t="s">
        <v>8065</v>
      </c>
      <c r="D358" s="35" t="s">
        <v>773</v>
      </c>
      <c r="E358" s="36">
        <v>2.0099999999999998</v>
      </c>
      <c r="F358" s="33">
        <v>0.627</v>
      </c>
      <c r="G358" s="33">
        <f t="shared" si="30"/>
        <v>1.2602699999999998</v>
      </c>
      <c r="H358" s="34"/>
      <c r="I358" s="30"/>
      <c r="J358" s="152">
        <v>0</v>
      </c>
      <c r="L358" s="215">
        <v>2.0099999999999998</v>
      </c>
      <c r="M358" s="33">
        <v>0.53671199999999997</v>
      </c>
      <c r="N358" s="33">
        <f t="shared" si="31"/>
        <v>1.0787911199999998</v>
      </c>
      <c r="O358" s="34"/>
      <c r="P358" s="36" t="str">
        <f t="shared" si="32"/>
        <v/>
      </c>
      <c r="Q358" s="216">
        <f t="shared" si="33"/>
        <v>0.14400000000000002</v>
      </c>
      <c r="R358" s="216">
        <f t="shared" si="34"/>
        <v>0.14400000000000002</v>
      </c>
      <c r="S358" s="217" t="str">
        <f t="shared" si="35"/>
        <v/>
      </c>
    </row>
    <row r="359" spans="1:19" ht="15.75" hidden="1" thickBot="1" x14ac:dyDescent="0.3">
      <c r="A359" s="257"/>
      <c r="B359" s="260"/>
      <c r="C359" s="35" t="s">
        <v>106</v>
      </c>
      <c r="D359" s="46" t="s">
        <v>107</v>
      </c>
      <c r="E359" s="36">
        <v>2.5</v>
      </c>
      <c r="F359" s="30">
        <v>0</v>
      </c>
      <c r="G359" s="33">
        <f t="shared" si="30"/>
        <v>0</v>
      </c>
      <c r="H359" s="34"/>
      <c r="I359" s="30"/>
      <c r="J359" s="152">
        <v>0</v>
      </c>
      <c r="L359" s="215">
        <v>2.5</v>
      </c>
      <c r="M359" s="30">
        <v>0</v>
      </c>
      <c r="N359" s="33">
        <f t="shared" si="31"/>
        <v>0</v>
      </c>
      <c r="O359" s="34"/>
      <c r="P359" s="36" t="str">
        <f t="shared" si="32"/>
        <v/>
      </c>
      <c r="Q359" s="216" t="e">
        <f t="shared" si="33"/>
        <v>#DIV/0!</v>
      </c>
      <c r="R359" s="216" t="e">
        <f t="shared" si="34"/>
        <v>#DIV/0!</v>
      </c>
      <c r="S359" s="217" t="str">
        <f t="shared" si="35"/>
        <v/>
      </c>
    </row>
    <row r="360" spans="1:19" ht="15.75" hidden="1" thickBot="1" x14ac:dyDescent="0.3">
      <c r="A360" s="257"/>
      <c r="B360" s="260"/>
      <c r="C360" s="35" t="s">
        <v>7958</v>
      </c>
      <c r="D360" s="35" t="s">
        <v>773</v>
      </c>
      <c r="E360" s="36">
        <v>0.5</v>
      </c>
      <c r="F360" s="33">
        <v>9.4334999999999987</v>
      </c>
      <c r="G360" s="33">
        <f t="shared" si="30"/>
        <v>4.7167499999999993</v>
      </c>
      <c r="H360" s="34"/>
      <c r="I360" s="30"/>
      <c r="J360" s="152">
        <v>0</v>
      </c>
      <c r="L360" s="215">
        <v>0.5</v>
      </c>
      <c r="M360" s="33">
        <v>8.0750759999999993</v>
      </c>
      <c r="N360" s="33">
        <f t="shared" si="31"/>
        <v>4.0375379999999996</v>
      </c>
      <c r="O360" s="34"/>
      <c r="P360" s="36" t="str">
        <f t="shared" si="32"/>
        <v/>
      </c>
      <c r="Q360" s="216">
        <f t="shared" si="33"/>
        <v>0.14399999999999991</v>
      </c>
      <c r="R360" s="216">
        <f t="shared" si="34"/>
        <v>0.14399999999999991</v>
      </c>
      <c r="S360" s="217" t="str">
        <f t="shared" si="35"/>
        <v/>
      </c>
    </row>
    <row r="361" spans="1:19" ht="51.75" hidden="1" thickBot="1" x14ac:dyDescent="0.3">
      <c r="A361" s="257"/>
      <c r="B361" s="260"/>
      <c r="C361" s="35" t="s">
        <v>3071</v>
      </c>
      <c r="D361" s="35" t="s">
        <v>87</v>
      </c>
      <c r="E361" s="36">
        <f>1*(E356+E357)</f>
        <v>0.02</v>
      </c>
      <c r="F361" s="33">
        <v>7.9257587999999988</v>
      </c>
      <c r="G361" s="33">
        <f t="shared" si="30"/>
        <v>0.15851517599999998</v>
      </c>
      <c r="H361" s="34"/>
      <c r="I361" s="30"/>
      <c r="J361" s="152">
        <v>0</v>
      </c>
      <c r="L361" s="215">
        <v>0.02</v>
      </c>
      <c r="M361" s="33">
        <v>6.7844495327999992</v>
      </c>
      <c r="N361" s="33">
        <f t="shared" si="31"/>
        <v>0.13568899065599999</v>
      </c>
      <c r="O361" s="34"/>
      <c r="P361" s="36" t="str">
        <f t="shared" si="32"/>
        <v/>
      </c>
      <c r="Q361" s="216">
        <f t="shared" si="33"/>
        <v>0.14400000000000002</v>
      </c>
      <c r="R361" s="216">
        <f t="shared" si="34"/>
        <v>0.14400000000000002</v>
      </c>
      <c r="S361" s="217" t="str">
        <f t="shared" si="35"/>
        <v/>
      </c>
    </row>
    <row r="362" spans="1:19" ht="39" hidden="1" thickBot="1" x14ac:dyDescent="0.3">
      <c r="A362" s="257"/>
      <c r="B362" s="260"/>
      <c r="C362" s="35" t="s">
        <v>88</v>
      </c>
      <c r="D362" s="46" t="s">
        <v>89</v>
      </c>
      <c r="E362" s="36">
        <f>(E356+E357)*20</f>
        <v>0.4</v>
      </c>
      <c r="F362" s="33">
        <v>2.6576449499999995</v>
      </c>
      <c r="G362" s="33">
        <f t="shared" si="30"/>
        <v>1.0630579799999997</v>
      </c>
      <c r="H362" s="34"/>
      <c r="I362" s="30"/>
      <c r="J362" s="152">
        <v>0</v>
      </c>
      <c r="L362" s="215">
        <v>0.4</v>
      </c>
      <c r="M362" s="33">
        <v>2.2749440771999998</v>
      </c>
      <c r="N362" s="33">
        <f t="shared" si="31"/>
        <v>0.90997763087999994</v>
      </c>
      <c r="O362" s="34"/>
      <c r="P362" s="36" t="str">
        <f t="shared" si="32"/>
        <v/>
      </c>
      <c r="Q362" s="216">
        <f t="shared" si="33"/>
        <v>0.14399999999999991</v>
      </c>
      <c r="R362" s="216">
        <f t="shared" si="34"/>
        <v>0.14399999999999979</v>
      </c>
      <c r="S362" s="217" t="str">
        <f t="shared" si="35"/>
        <v/>
      </c>
    </row>
    <row r="363" spans="1:19" ht="15.75" hidden="1" thickBot="1" x14ac:dyDescent="0.3">
      <c r="A363" s="257"/>
      <c r="B363" s="260"/>
      <c r="C363" s="50"/>
      <c r="D363" s="46"/>
      <c r="E363" s="36"/>
      <c r="F363" s="33" t="s">
        <v>416</v>
      </c>
      <c r="G363" s="33" t="str">
        <f t="shared" si="30"/>
        <v/>
      </c>
      <c r="H363" s="34"/>
      <c r="I363" s="30"/>
      <c r="J363" s="152">
        <v>0</v>
      </c>
      <c r="L363" s="215"/>
      <c r="M363" s="33"/>
      <c r="N363" s="33" t="str">
        <f t="shared" si="31"/>
        <v/>
      </c>
      <c r="O363" s="34"/>
      <c r="P363" s="36" t="str">
        <f t="shared" si="32"/>
        <v/>
      </c>
      <c r="Q363" s="216" t="str">
        <f t="shared" si="33"/>
        <v/>
      </c>
      <c r="R363" s="216" t="str">
        <f t="shared" si="34"/>
        <v/>
      </c>
      <c r="S363" s="217" t="str">
        <f t="shared" si="35"/>
        <v/>
      </c>
    </row>
    <row r="364" spans="1:19" ht="26.25" hidden="1" thickBot="1" x14ac:dyDescent="0.3">
      <c r="A364" s="257"/>
      <c r="B364" s="260"/>
      <c r="C364" s="47" t="s">
        <v>90</v>
      </c>
      <c r="D364" s="46"/>
      <c r="E364" s="36"/>
      <c r="F364" s="33" t="s">
        <v>416</v>
      </c>
      <c r="G364" s="33" t="str">
        <f t="shared" si="30"/>
        <v/>
      </c>
      <c r="H364" s="34"/>
      <c r="I364" s="30"/>
      <c r="J364" s="152">
        <v>0</v>
      </c>
      <c r="L364" s="215"/>
      <c r="M364" s="33"/>
      <c r="N364" s="33" t="str">
        <f t="shared" si="31"/>
        <v/>
      </c>
      <c r="O364" s="34"/>
      <c r="P364" s="36" t="str">
        <f t="shared" si="32"/>
        <v/>
      </c>
      <c r="Q364" s="216" t="str">
        <f t="shared" si="33"/>
        <v/>
      </c>
      <c r="R364" s="216" t="str">
        <f t="shared" si="34"/>
        <v/>
      </c>
      <c r="S364" s="217" t="str">
        <f t="shared" si="35"/>
        <v/>
      </c>
    </row>
    <row r="365" spans="1:19" ht="15.75" hidden="1" thickBot="1" x14ac:dyDescent="0.3">
      <c r="A365" s="258"/>
      <c r="B365" s="261"/>
      <c r="C365" s="35"/>
      <c r="D365" s="35"/>
      <c r="E365" s="36"/>
      <c r="F365" s="30" t="s">
        <v>416</v>
      </c>
      <c r="G365" s="30" t="str">
        <f t="shared" si="30"/>
        <v/>
      </c>
      <c r="H365" s="34"/>
      <c r="I365" s="30"/>
      <c r="J365" s="152">
        <v>0</v>
      </c>
      <c r="L365" s="215"/>
      <c r="M365" s="30"/>
      <c r="N365" s="30" t="str">
        <f t="shared" si="31"/>
        <v/>
      </c>
      <c r="O365" s="34"/>
      <c r="P365" s="36" t="str">
        <f t="shared" si="32"/>
        <v/>
      </c>
      <c r="Q365" s="216" t="str">
        <f t="shared" si="33"/>
        <v/>
      </c>
      <c r="R365" s="216" t="str">
        <f t="shared" si="34"/>
        <v/>
      </c>
      <c r="S365" s="217" t="str">
        <f t="shared" si="35"/>
        <v/>
      </c>
    </row>
    <row r="366" spans="1:19" ht="15.75" hidden="1" thickBot="1" x14ac:dyDescent="0.3">
      <c r="A366" s="256" t="s">
        <v>108</v>
      </c>
      <c r="B366" s="259" t="str">
        <f>INDEX(Orçamentária!A:B,MATCH(Composições!A366,Orçamentária!A:A,0),2)</f>
        <v>Impermeabilização de superfície com revestimento bicomponente semi flexível</v>
      </c>
      <c r="C366" s="40"/>
      <c r="D366" s="25" t="s">
        <v>70</v>
      </c>
      <c r="E366" s="26"/>
      <c r="F366" s="41" t="s">
        <v>416</v>
      </c>
      <c r="G366" s="27" t="str">
        <f t="shared" si="30"/>
        <v/>
      </c>
      <c r="H366" s="28"/>
      <c r="I366" s="29"/>
      <c r="J366" s="152">
        <v>0</v>
      </c>
      <c r="L366" s="218"/>
      <c r="M366" s="41"/>
      <c r="N366" s="27" t="str">
        <f t="shared" si="31"/>
        <v/>
      </c>
      <c r="O366" s="28"/>
      <c r="P366" s="36" t="str">
        <f t="shared" si="32"/>
        <v/>
      </c>
      <c r="Q366" s="216" t="str">
        <f t="shared" si="33"/>
        <v/>
      </c>
      <c r="R366" s="216" t="str">
        <f t="shared" si="34"/>
        <v/>
      </c>
      <c r="S366" s="217" t="str">
        <f t="shared" si="35"/>
        <v/>
      </c>
    </row>
    <row r="367" spans="1:19" ht="15.75" hidden="1" thickBot="1" x14ac:dyDescent="0.3">
      <c r="A367" s="262"/>
      <c r="B367" s="260"/>
      <c r="C367" s="31"/>
      <c r="D367" s="31"/>
      <c r="E367" s="32"/>
      <c r="F367" s="42" t="s">
        <v>416</v>
      </c>
      <c r="G367" s="30" t="str">
        <f t="shared" si="30"/>
        <v/>
      </c>
      <c r="H367" s="34"/>
      <c r="I367" s="30"/>
      <c r="J367" s="152">
        <v>0</v>
      </c>
      <c r="L367" s="219"/>
      <c r="M367" s="42"/>
      <c r="N367" s="30" t="str">
        <f t="shared" si="31"/>
        <v/>
      </c>
      <c r="O367" s="34"/>
      <c r="P367" s="36" t="str">
        <f t="shared" si="32"/>
        <v/>
      </c>
      <c r="Q367" s="216" t="str">
        <f t="shared" si="33"/>
        <v/>
      </c>
      <c r="R367" s="216" t="str">
        <f t="shared" si="34"/>
        <v/>
      </c>
      <c r="S367" s="217" t="str">
        <f t="shared" si="35"/>
        <v/>
      </c>
    </row>
    <row r="368" spans="1:19" ht="26.25" hidden="1" thickBot="1" x14ac:dyDescent="0.3">
      <c r="A368" s="262"/>
      <c r="B368" s="260"/>
      <c r="C368" s="35" t="s">
        <v>7991</v>
      </c>
      <c r="D368" s="35" t="s">
        <v>773</v>
      </c>
      <c r="E368" s="36">
        <v>3.2</v>
      </c>
      <c r="F368" s="33">
        <v>3.7809999999999997</v>
      </c>
      <c r="G368" s="30">
        <f t="shared" si="30"/>
        <v>12.0992</v>
      </c>
      <c r="H368" s="38">
        <f>SUM(G368:G370)</f>
        <v>28.850929999999998</v>
      </c>
      <c r="I368" s="39"/>
      <c r="J368" s="152">
        <v>0</v>
      </c>
      <c r="L368" s="215">
        <v>3.2</v>
      </c>
      <c r="M368" s="33">
        <v>3.2365359999999996</v>
      </c>
      <c r="N368" s="30">
        <f t="shared" si="31"/>
        <v>10.3569152</v>
      </c>
      <c r="O368" s="38">
        <f>SUM(N368:N370)</f>
        <v>24.69639608</v>
      </c>
      <c r="P368" s="36" t="str">
        <f t="shared" si="32"/>
        <v/>
      </c>
      <c r="Q368" s="216">
        <f t="shared" si="33"/>
        <v>0.14400000000000002</v>
      </c>
      <c r="R368" s="216">
        <f t="shared" si="34"/>
        <v>0.14400000000000002</v>
      </c>
      <c r="S368" s="217">
        <f t="shared" si="35"/>
        <v>0.14400000000000002</v>
      </c>
    </row>
    <row r="369" spans="1:19" ht="15.75" hidden="1" thickBot="1" x14ac:dyDescent="0.3">
      <c r="A369" s="262"/>
      <c r="B369" s="260"/>
      <c r="C369" s="35" t="s">
        <v>1233</v>
      </c>
      <c r="D369" s="35" t="s">
        <v>583</v>
      </c>
      <c r="E369" s="36">
        <v>0.108</v>
      </c>
      <c r="F369" s="30">
        <v>21.318000000000001</v>
      </c>
      <c r="G369" s="30">
        <f t="shared" si="30"/>
        <v>2.3023440000000002</v>
      </c>
      <c r="H369" s="34"/>
      <c r="I369" s="30"/>
      <c r="J369" s="152">
        <v>0</v>
      </c>
      <c r="L369" s="215">
        <v>0.108</v>
      </c>
      <c r="M369" s="30">
        <v>18.248208000000002</v>
      </c>
      <c r="N369" s="30">
        <f t="shared" si="31"/>
        <v>1.9708064640000003</v>
      </c>
      <c r="O369" s="34"/>
      <c r="P369" s="36" t="str">
        <f t="shared" si="32"/>
        <v/>
      </c>
      <c r="Q369" s="216">
        <f t="shared" si="33"/>
        <v>0.14400000000000002</v>
      </c>
      <c r="R369" s="216">
        <f t="shared" si="34"/>
        <v>0.14399999999999991</v>
      </c>
      <c r="S369" s="217" t="str">
        <f t="shared" si="35"/>
        <v/>
      </c>
    </row>
    <row r="370" spans="1:19" ht="15.75" hidden="1" thickBot="1" x14ac:dyDescent="0.3">
      <c r="A370" s="262"/>
      <c r="B370" s="260"/>
      <c r="C370" s="35" t="s">
        <v>881</v>
      </c>
      <c r="D370" s="35" t="s">
        <v>583</v>
      </c>
      <c r="E370" s="36">
        <v>0.53200000000000003</v>
      </c>
      <c r="F370" s="30">
        <v>27.160499999999999</v>
      </c>
      <c r="G370" s="30">
        <f t="shared" si="30"/>
        <v>14.449386000000001</v>
      </c>
      <c r="H370" s="34"/>
      <c r="I370" s="30"/>
      <c r="J370" s="152">
        <v>0</v>
      </c>
      <c r="L370" s="215">
        <v>0.53200000000000003</v>
      </c>
      <c r="M370" s="30">
        <v>23.249388</v>
      </c>
      <c r="N370" s="30">
        <f t="shared" si="31"/>
        <v>12.368674416000001</v>
      </c>
      <c r="O370" s="34"/>
      <c r="P370" s="36" t="str">
        <f t="shared" si="32"/>
        <v/>
      </c>
      <c r="Q370" s="216">
        <f t="shared" si="33"/>
        <v>0.14400000000000002</v>
      </c>
      <c r="R370" s="216">
        <f t="shared" si="34"/>
        <v>0.14399999999999991</v>
      </c>
      <c r="S370" s="217" t="str">
        <f t="shared" si="35"/>
        <v/>
      </c>
    </row>
    <row r="371" spans="1:19" ht="15.75" hidden="1" thickBot="1" x14ac:dyDescent="0.3">
      <c r="A371" s="263"/>
      <c r="B371" s="261"/>
      <c r="C371" s="35"/>
      <c r="D371" s="35"/>
      <c r="E371" s="36"/>
      <c r="F371" s="30" t="s">
        <v>416</v>
      </c>
      <c r="G371" s="30" t="str">
        <f t="shared" si="30"/>
        <v/>
      </c>
      <c r="H371" s="34"/>
      <c r="I371" s="30"/>
      <c r="J371" s="152">
        <v>0</v>
      </c>
      <c r="L371" s="215"/>
      <c r="M371" s="30"/>
      <c r="N371" s="30" t="str">
        <f t="shared" si="31"/>
        <v/>
      </c>
      <c r="O371" s="34"/>
      <c r="P371" s="36" t="str">
        <f t="shared" si="32"/>
        <v/>
      </c>
      <c r="Q371" s="216" t="str">
        <f t="shared" si="33"/>
        <v/>
      </c>
      <c r="R371" s="216" t="str">
        <f t="shared" si="34"/>
        <v/>
      </c>
      <c r="S371" s="217" t="str">
        <f t="shared" si="35"/>
        <v/>
      </c>
    </row>
    <row r="372" spans="1:19" ht="15.75" hidden="1" thickBot="1" x14ac:dyDescent="0.3">
      <c r="A372" s="256" t="s">
        <v>109</v>
      </c>
      <c r="B372" s="259" t="str">
        <f>INDEX(Orçamentária!A:B,MATCH(Composições!A372,Orçamentária!A:A,0),2)</f>
        <v>Alvenaria de vedação</v>
      </c>
      <c r="C372" s="40"/>
      <c r="D372" s="25" t="s">
        <v>70</v>
      </c>
      <c r="E372" s="26"/>
      <c r="F372" s="41" t="s">
        <v>416</v>
      </c>
      <c r="G372" s="27" t="str">
        <f t="shared" si="30"/>
        <v/>
      </c>
      <c r="H372" s="28"/>
      <c r="I372" s="29"/>
      <c r="J372" s="152">
        <v>0</v>
      </c>
      <c r="L372" s="218"/>
      <c r="M372" s="41"/>
      <c r="N372" s="27" t="str">
        <f t="shared" si="31"/>
        <v/>
      </c>
      <c r="O372" s="28"/>
      <c r="P372" s="36" t="str">
        <f t="shared" si="32"/>
        <v/>
      </c>
      <c r="Q372" s="216" t="str">
        <f t="shared" si="33"/>
        <v/>
      </c>
      <c r="R372" s="216" t="str">
        <f t="shared" si="34"/>
        <v/>
      </c>
      <c r="S372" s="217" t="str">
        <f t="shared" si="35"/>
        <v/>
      </c>
    </row>
    <row r="373" spans="1:19" ht="15.75" hidden="1" thickBot="1" x14ac:dyDescent="0.3">
      <c r="A373" s="262"/>
      <c r="B373" s="260"/>
      <c r="C373" s="31"/>
      <c r="D373" s="31"/>
      <c r="E373" s="32"/>
      <c r="F373" s="42" t="s">
        <v>416</v>
      </c>
      <c r="G373" s="30" t="str">
        <f t="shared" si="30"/>
        <v/>
      </c>
      <c r="H373" s="34"/>
      <c r="I373" s="30"/>
      <c r="J373" s="152">
        <v>0</v>
      </c>
      <c r="L373" s="219"/>
      <c r="M373" s="42"/>
      <c r="N373" s="30" t="str">
        <f t="shared" si="31"/>
        <v/>
      </c>
      <c r="O373" s="34"/>
      <c r="P373" s="36" t="str">
        <f t="shared" si="32"/>
        <v/>
      </c>
      <c r="Q373" s="216" t="str">
        <f t="shared" si="33"/>
        <v/>
      </c>
      <c r="R373" s="216" t="str">
        <f t="shared" si="34"/>
        <v/>
      </c>
      <c r="S373" s="217" t="str">
        <f t="shared" si="35"/>
        <v/>
      </c>
    </row>
    <row r="374" spans="1:19" ht="26.25" hidden="1" thickBot="1" x14ac:dyDescent="0.3">
      <c r="A374" s="262"/>
      <c r="B374" s="260"/>
      <c r="C374" s="35" t="s">
        <v>8000</v>
      </c>
      <c r="D374" s="35" t="s">
        <v>213</v>
      </c>
      <c r="E374" s="36">
        <v>28.31</v>
      </c>
      <c r="F374" s="33">
        <v>0.66499999999999992</v>
      </c>
      <c r="G374" s="33">
        <f t="shared" si="30"/>
        <v>18.826149999999998</v>
      </c>
      <c r="H374" s="38">
        <f>SUM(G374:G379)</f>
        <v>86.719148344805788</v>
      </c>
      <c r="I374" s="39"/>
      <c r="J374" s="152">
        <v>0</v>
      </c>
      <c r="L374" s="215">
        <v>28.31</v>
      </c>
      <c r="M374" s="33">
        <v>0.56923999999999997</v>
      </c>
      <c r="N374" s="33">
        <f t="shared" si="31"/>
        <v>16.115184399999997</v>
      </c>
      <c r="O374" s="38">
        <f>SUM(N374:N379)</f>
        <v>74.231590983153751</v>
      </c>
      <c r="P374" s="36" t="str">
        <f t="shared" si="32"/>
        <v/>
      </c>
      <c r="Q374" s="216">
        <f t="shared" si="33"/>
        <v>0.14399999999999991</v>
      </c>
      <c r="R374" s="216">
        <f t="shared" si="34"/>
        <v>0.14400000000000013</v>
      </c>
      <c r="S374" s="217">
        <f t="shared" si="35"/>
        <v>0.14400000000000002</v>
      </c>
    </row>
    <row r="375" spans="1:19" ht="26.25" hidden="1" thickBot="1" x14ac:dyDescent="0.3">
      <c r="A375" s="262"/>
      <c r="B375" s="260"/>
      <c r="C375" s="35" t="s">
        <v>8423</v>
      </c>
      <c r="D375" s="35" t="s">
        <v>385</v>
      </c>
      <c r="E375" s="36">
        <v>0.42</v>
      </c>
      <c r="F375" s="33">
        <v>2.3939999999999997</v>
      </c>
      <c r="G375" s="33">
        <f t="shared" si="30"/>
        <v>1.0054799999999999</v>
      </c>
      <c r="H375" s="34"/>
      <c r="I375" s="30"/>
      <c r="J375" s="152">
        <v>0</v>
      </c>
      <c r="L375" s="215">
        <v>0.42</v>
      </c>
      <c r="M375" s="33">
        <v>2.049264</v>
      </c>
      <c r="N375" s="33">
        <f t="shared" si="31"/>
        <v>0.86069087999999994</v>
      </c>
      <c r="O375" s="34"/>
      <c r="P375" s="36" t="str">
        <f t="shared" si="32"/>
        <v/>
      </c>
      <c r="Q375" s="216">
        <f t="shared" si="33"/>
        <v>0.14399999999999991</v>
      </c>
      <c r="R375" s="216">
        <f t="shared" si="34"/>
        <v>0.14400000000000002</v>
      </c>
      <c r="S375" s="217" t="str">
        <f t="shared" si="35"/>
        <v/>
      </c>
    </row>
    <row r="376" spans="1:19" ht="15.75" hidden="1" thickBot="1" x14ac:dyDescent="0.3">
      <c r="A376" s="262"/>
      <c r="B376" s="260"/>
      <c r="C376" s="35" t="s">
        <v>8320</v>
      </c>
      <c r="D376" s="35" t="s">
        <v>1102</v>
      </c>
      <c r="E376" s="36">
        <v>5.0000000000000001E-3</v>
      </c>
      <c r="F376" s="33">
        <v>38.313499999999998</v>
      </c>
      <c r="G376" s="33">
        <f t="shared" si="30"/>
        <v>0.1915675</v>
      </c>
      <c r="H376" s="34"/>
      <c r="I376" s="30"/>
      <c r="J376" s="152">
        <v>0</v>
      </c>
      <c r="L376" s="215">
        <v>5.0000000000000001E-3</v>
      </c>
      <c r="M376" s="33">
        <v>32.796355999999996</v>
      </c>
      <c r="N376" s="33">
        <f t="shared" si="31"/>
        <v>0.16398177999999999</v>
      </c>
      <c r="O376" s="34"/>
      <c r="P376" s="36" t="str">
        <f t="shared" si="32"/>
        <v/>
      </c>
      <c r="Q376" s="216">
        <f t="shared" si="33"/>
        <v>0.14400000000000002</v>
      </c>
      <c r="R376" s="216">
        <f t="shared" si="34"/>
        <v>0.14400000000000002</v>
      </c>
      <c r="S376" s="217" t="str">
        <f t="shared" si="35"/>
        <v/>
      </c>
    </row>
    <row r="377" spans="1:19" ht="51.75" hidden="1" thickBot="1" x14ac:dyDescent="0.3">
      <c r="A377" s="262"/>
      <c r="B377" s="260"/>
      <c r="C377" s="35" t="s">
        <v>110</v>
      </c>
      <c r="D377" s="46" t="s">
        <v>80</v>
      </c>
      <c r="E377" s="36">
        <v>9.1000000000000004E-3</v>
      </c>
      <c r="F377" s="33">
        <v>734.72729063799989</v>
      </c>
      <c r="G377" s="33">
        <f t="shared" si="30"/>
        <v>6.6860183448057997</v>
      </c>
      <c r="H377" s="34"/>
      <c r="I377" s="30"/>
      <c r="J377" s="152">
        <v>0</v>
      </c>
      <c r="L377" s="215">
        <v>9.1000000000000004E-3</v>
      </c>
      <c r="M377" s="33">
        <v>628.92656078612788</v>
      </c>
      <c r="N377" s="33">
        <f t="shared" si="31"/>
        <v>5.7232317031537638</v>
      </c>
      <c r="O377" s="34"/>
      <c r="P377" s="36" t="str">
        <f t="shared" si="32"/>
        <v/>
      </c>
      <c r="Q377" s="216">
        <f t="shared" si="33"/>
        <v>0.14400000000000002</v>
      </c>
      <c r="R377" s="216">
        <f t="shared" si="34"/>
        <v>0.14400000000000013</v>
      </c>
      <c r="S377" s="217" t="str">
        <f t="shared" si="35"/>
        <v/>
      </c>
    </row>
    <row r="378" spans="1:19" ht="15.75" hidden="1" thickBot="1" x14ac:dyDescent="0.3">
      <c r="A378" s="262"/>
      <c r="B378" s="260"/>
      <c r="C378" s="35" t="s">
        <v>591</v>
      </c>
      <c r="D378" s="35" t="s">
        <v>583</v>
      </c>
      <c r="E378" s="36">
        <v>1.61</v>
      </c>
      <c r="F378" s="30">
        <v>27.160499999999999</v>
      </c>
      <c r="G378" s="30">
        <f t="shared" si="30"/>
        <v>43.728405000000002</v>
      </c>
      <c r="H378" s="34"/>
      <c r="I378" s="30"/>
      <c r="J378" s="152">
        <v>0</v>
      </c>
      <c r="L378" s="215">
        <v>1.61</v>
      </c>
      <c r="M378" s="30">
        <v>23.249388</v>
      </c>
      <c r="N378" s="30">
        <f t="shared" si="31"/>
        <v>37.431514679999999</v>
      </c>
      <c r="O378" s="34"/>
      <c r="P378" s="36" t="str">
        <f t="shared" si="32"/>
        <v/>
      </c>
      <c r="Q378" s="216">
        <f t="shared" si="33"/>
        <v>0.14400000000000002</v>
      </c>
      <c r="R378" s="216">
        <f t="shared" si="34"/>
        <v>0.14400000000000002</v>
      </c>
      <c r="S378" s="217" t="str">
        <f t="shared" si="35"/>
        <v/>
      </c>
    </row>
    <row r="379" spans="1:19" ht="15.75" hidden="1" thickBot="1" x14ac:dyDescent="0.3">
      <c r="A379" s="262"/>
      <c r="B379" s="260"/>
      <c r="C379" s="35" t="s">
        <v>584</v>
      </c>
      <c r="D379" s="35" t="s">
        <v>583</v>
      </c>
      <c r="E379" s="36">
        <v>0.80500000000000005</v>
      </c>
      <c r="F379" s="30">
        <v>20.225499999999997</v>
      </c>
      <c r="G379" s="30">
        <f t="shared" si="30"/>
        <v>16.281527499999999</v>
      </c>
      <c r="H379" s="34"/>
      <c r="I379" s="30"/>
      <c r="J379" s="152">
        <v>0</v>
      </c>
      <c r="L379" s="215">
        <v>0.80500000000000005</v>
      </c>
      <c r="M379" s="30">
        <v>17.313027999999996</v>
      </c>
      <c r="N379" s="30">
        <f t="shared" si="31"/>
        <v>13.936987539999997</v>
      </c>
      <c r="O379" s="34"/>
      <c r="P379" s="36" t="str">
        <f t="shared" si="32"/>
        <v/>
      </c>
      <c r="Q379" s="216">
        <f t="shared" si="33"/>
        <v>0.14400000000000013</v>
      </c>
      <c r="R379" s="216">
        <f t="shared" si="34"/>
        <v>0.14400000000000013</v>
      </c>
      <c r="S379" s="217" t="str">
        <f t="shared" si="35"/>
        <v/>
      </c>
    </row>
    <row r="380" spans="1:19" ht="15.75" hidden="1" thickBot="1" x14ac:dyDescent="0.3">
      <c r="A380" s="263"/>
      <c r="B380" s="261"/>
      <c r="C380" s="35"/>
      <c r="D380" s="35"/>
      <c r="E380" s="36"/>
      <c r="F380" s="30" t="s">
        <v>416</v>
      </c>
      <c r="G380" s="30" t="str">
        <f t="shared" si="30"/>
        <v/>
      </c>
      <c r="H380" s="34"/>
      <c r="I380" s="30"/>
      <c r="J380" s="152">
        <v>0</v>
      </c>
      <c r="L380" s="215"/>
      <c r="M380" s="30"/>
      <c r="N380" s="30" t="str">
        <f t="shared" si="31"/>
        <v/>
      </c>
      <c r="O380" s="34"/>
      <c r="P380" s="36" t="str">
        <f t="shared" si="32"/>
        <v/>
      </c>
      <c r="Q380" s="216" t="str">
        <f t="shared" si="33"/>
        <v/>
      </c>
      <c r="R380" s="216" t="str">
        <f t="shared" si="34"/>
        <v/>
      </c>
      <c r="S380" s="217" t="str">
        <f t="shared" si="35"/>
        <v/>
      </c>
    </row>
    <row r="381" spans="1:19" ht="15.75" hidden="1" thickBot="1" x14ac:dyDescent="0.3">
      <c r="A381" s="256" t="s">
        <v>111</v>
      </c>
      <c r="B381" s="259" t="str">
        <f>INDEX(Orçamentária!A:B,MATCH(Composições!A381,Orçamentária!A:A,0),2)</f>
        <v>Fechamento ou shaft em gesso acartonado tipo drywall</v>
      </c>
      <c r="C381" s="40"/>
      <c r="D381" s="25" t="s">
        <v>70</v>
      </c>
      <c r="E381" s="26"/>
      <c r="F381" s="41" t="s">
        <v>416</v>
      </c>
      <c r="G381" s="27" t="str">
        <f t="shared" si="30"/>
        <v/>
      </c>
      <c r="H381" s="28"/>
      <c r="I381" s="29"/>
      <c r="J381" s="152">
        <v>0</v>
      </c>
      <c r="L381" s="218"/>
      <c r="M381" s="41"/>
      <c r="N381" s="27" t="str">
        <f t="shared" si="31"/>
        <v/>
      </c>
      <c r="O381" s="28"/>
      <c r="P381" s="36" t="str">
        <f t="shared" si="32"/>
        <v/>
      </c>
      <c r="Q381" s="216" t="str">
        <f t="shared" si="33"/>
        <v/>
      </c>
      <c r="R381" s="216" t="str">
        <f t="shared" si="34"/>
        <v/>
      </c>
      <c r="S381" s="217" t="str">
        <f t="shared" si="35"/>
        <v/>
      </c>
    </row>
    <row r="382" spans="1:19" ht="15.75" hidden="1" thickBot="1" x14ac:dyDescent="0.3">
      <c r="A382" s="262"/>
      <c r="B382" s="260"/>
      <c r="C382" s="31"/>
      <c r="D382" s="31"/>
      <c r="E382" s="32"/>
      <c r="F382" s="42" t="s">
        <v>416</v>
      </c>
      <c r="G382" s="30" t="str">
        <f t="shared" si="30"/>
        <v/>
      </c>
      <c r="H382" s="34"/>
      <c r="I382" s="30"/>
      <c r="J382" s="152">
        <v>0</v>
      </c>
      <c r="L382" s="219"/>
      <c r="M382" s="42"/>
      <c r="N382" s="30" t="str">
        <f t="shared" si="31"/>
        <v/>
      </c>
      <c r="O382" s="34"/>
      <c r="P382" s="36" t="str">
        <f t="shared" si="32"/>
        <v/>
      </c>
      <c r="Q382" s="216" t="str">
        <f t="shared" si="33"/>
        <v/>
      </c>
      <c r="R382" s="216" t="str">
        <f t="shared" si="34"/>
        <v/>
      </c>
      <c r="S382" s="217" t="str">
        <f t="shared" si="35"/>
        <v/>
      </c>
    </row>
    <row r="383" spans="1:19" ht="26.25" hidden="1" thickBot="1" x14ac:dyDescent="0.3">
      <c r="A383" s="262"/>
      <c r="B383" s="260"/>
      <c r="C383" s="35" t="s">
        <v>8319</v>
      </c>
      <c r="D383" s="35" t="s">
        <v>1102</v>
      </c>
      <c r="E383" s="36">
        <v>2.4299999999999999E-2</v>
      </c>
      <c r="F383" s="33">
        <v>44.564499999999995</v>
      </c>
      <c r="G383" s="33">
        <f t="shared" si="30"/>
        <v>1.0829173499999998</v>
      </c>
      <c r="H383" s="38">
        <f>SUM(G383:G393)</f>
        <v>57.077645399999994</v>
      </c>
      <c r="I383" s="39"/>
      <c r="J383" s="152">
        <v>0</v>
      </c>
      <c r="L383" s="215">
        <v>2.4299999999999999E-2</v>
      </c>
      <c r="M383" s="33">
        <v>38.147211999999996</v>
      </c>
      <c r="N383" s="33">
        <f t="shared" si="31"/>
        <v>0.92697725159999989</v>
      </c>
      <c r="O383" s="38">
        <f>SUM(N383:N393)</f>
        <v>48.858464462400001</v>
      </c>
      <c r="P383" s="36" t="str">
        <f t="shared" si="32"/>
        <v/>
      </c>
      <c r="Q383" s="216">
        <f t="shared" si="33"/>
        <v>0.14400000000000002</v>
      </c>
      <c r="R383" s="216">
        <f t="shared" si="34"/>
        <v>0.14399999999999991</v>
      </c>
      <c r="S383" s="217">
        <f t="shared" si="35"/>
        <v>0.14399999999999991</v>
      </c>
    </row>
    <row r="384" spans="1:19" ht="26.25" hidden="1" thickBot="1" x14ac:dyDescent="0.3">
      <c r="A384" s="262"/>
      <c r="B384" s="260"/>
      <c r="C384" s="35" t="s">
        <v>3231</v>
      </c>
      <c r="D384" s="35" t="s">
        <v>861</v>
      </c>
      <c r="E384" s="36">
        <v>1.0529999999999999</v>
      </c>
      <c r="F384" s="33">
        <v>17.574999999999999</v>
      </c>
      <c r="G384" s="33">
        <f t="shared" si="30"/>
        <v>18.506474999999998</v>
      </c>
      <c r="H384" s="44"/>
      <c r="I384" s="45"/>
      <c r="J384" s="152">
        <v>0</v>
      </c>
      <c r="L384" s="215">
        <v>1.0529999999999999</v>
      </c>
      <c r="M384" s="33">
        <v>15.0442</v>
      </c>
      <c r="N384" s="33">
        <f t="shared" si="31"/>
        <v>15.841542599999999</v>
      </c>
      <c r="O384" s="44"/>
      <c r="P384" s="36" t="str">
        <f t="shared" si="32"/>
        <v/>
      </c>
      <c r="Q384" s="216">
        <f t="shared" si="33"/>
        <v>0.14400000000000002</v>
      </c>
      <c r="R384" s="216">
        <f t="shared" si="34"/>
        <v>0.14400000000000002</v>
      </c>
      <c r="S384" s="217" t="str">
        <f t="shared" si="35"/>
        <v/>
      </c>
    </row>
    <row r="385" spans="1:19" ht="26.25" hidden="1" thickBot="1" x14ac:dyDescent="0.3">
      <c r="A385" s="262"/>
      <c r="B385" s="260"/>
      <c r="C385" s="35" t="s">
        <v>8315</v>
      </c>
      <c r="D385" s="35" t="s">
        <v>385</v>
      </c>
      <c r="E385" s="36">
        <v>0.76039999999999996</v>
      </c>
      <c r="F385" s="33">
        <v>7.6665000000000001</v>
      </c>
      <c r="G385" s="33">
        <f t="shared" si="30"/>
        <v>5.8296066</v>
      </c>
      <c r="H385" s="44"/>
      <c r="I385" s="45"/>
      <c r="J385" s="152">
        <v>0</v>
      </c>
      <c r="L385" s="215">
        <v>0.76039999999999996</v>
      </c>
      <c r="M385" s="33">
        <v>6.5625239999999998</v>
      </c>
      <c r="N385" s="33">
        <f t="shared" si="31"/>
        <v>4.9901432496</v>
      </c>
      <c r="O385" s="44"/>
      <c r="P385" s="36" t="str">
        <f t="shared" si="32"/>
        <v/>
      </c>
      <c r="Q385" s="216">
        <f t="shared" si="33"/>
        <v>0.14400000000000002</v>
      </c>
      <c r="R385" s="216">
        <f t="shared" si="34"/>
        <v>0.14400000000000002</v>
      </c>
      <c r="S385" s="217" t="str">
        <f t="shared" si="35"/>
        <v/>
      </c>
    </row>
    <row r="386" spans="1:19" ht="26.25" hidden="1" thickBot="1" x14ac:dyDescent="0.3">
      <c r="A386" s="262"/>
      <c r="B386" s="260"/>
      <c r="C386" s="35" t="s">
        <v>8316</v>
      </c>
      <c r="D386" s="35" t="s">
        <v>385</v>
      </c>
      <c r="E386" s="36">
        <v>1.9910000000000001</v>
      </c>
      <c r="F386" s="33">
        <v>8.702</v>
      </c>
      <c r="G386" s="33">
        <f t="shared" si="30"/>
        <v>17.325682</v>
      </c>
      <c r="H386" s="44"/>
      <c r="I386" s="45"/>
      <c r="J386" s="152">
        <v>0</v>
      </c>
      <c r="L386" s="215">
        <v>1.9910000000000001</v>
      </c>
      <c r="M386" s="33">
        <v>7.448912</v>
      </c>
      <c r="N386" s="33">
        <f t="shared" si="31"/>
        <v>14.830783792</v>
      </c>
      <c r="O386" s="44"/>
      <c r="P386" s="36" t="str">
        <f t="shared" si="32"/>
        <v/>
      </c>
      <c r="Q386" s="216">
        <f t="shared" si="33"/>
        <v>0.14400000000000002</v>
      </c>
      <c r="R386" s="216">
        <f t="shared" si="34"/>
        <v>0.14400000000000002</v>
      </c>
      <c r="S386" s="217" t="str">
        <f t="shared" si="35"/>
        <v/>
      </c>
    </row>
    <row r="387" spans="1:19" ht="26.25" hidden="1" thickBot="1" x14ac:dyDescent="0.3">
      <c r="A387" s="262"/>
      <c r="B387" s="260"/>
      <c r="C387" s="35" t="s">
        <v>8167</v>
      </c>
      <c r="D387" s="35" t="s">
        <v>385</v>
      </c>
      <c r="E387" s="36">
        <v>1.2513000000000001</v>
      </c>
      <c r="F387" s="33">
        <v>0.27549999999999997</v>
      </c>
      <c r="G387" s="33">
        <f t="shared" si="30"/>
        <v>0.34473314999999999</v>
      </c>
      <c r="H387" s="44"/>
      <c r="I387" s="45"/>
      <c r="J387" s="152">
        <v>0</v>
      </c>
      <c r="L387" s="215">
        <v>1.2513000000000001</v>
      </c>
      <c r="M387" s="33">
        <v>0.23582799999999998</v>
      </c>
      <c r="N387" s="33">
        <f t="shared" si="31"/>
        <v>0.2950915764</v>
      </c>
      <c r="O387" s="44"/>
      <c r="P387" s="36" t="str">
        <f t="shared" si="32"/>
        <v/>
      </c>
      <c r="Q387" s="216">
        <f t="shared" si="33"/>
        <v>0.14400000000000002</v>
      </c>
      <c r="R387" s="216">
        <f t="shared" si="34"/>
        <v>0.14400000000000002</v>
      </c>
      <c r="S387" s="217" t="str">
        <f t="shared" si="35"/>
        <v/>
      </c>
    </row>
    <row r="388" spans="1:19" ht="26.25" hidden="1" thickBot="1" x14ac:dyDescent="0.3">
      <c r="A388" s="262"/>
      <c r="B388" s="260"/>
      <c r="C388" s="35" t="s">
        <v>8168</v>
      </c>
      <c r="D388" s="35" t="s">
        <v>385</v>
      </c>
      <c r="E388" s="36">
        <v>0.74070000000000003</v>
      </c>
      <c r="F388" s="33">
        <v>2.4319999999999999</v>
      </c>
      <c r="G388" s="33">
        <f t="shared" si="30"/>
        <v>1.8013824000000001</v>
      </c>
      <c r="H388" s="44"/>
      <c r="I388" s="45"/>
      <c r="J388" s="152">
        <v>0</v>
      </c>
      <c r="L388" s="215">
        <v>0.74070000000000003</v>
      </c>
      <c r="M388" s="33">
        <v>2.0817920000000001</v>
      </c>
      <c r="N388" s="33">
        <f t="shared" si="31"/>
        <v>1.5419833344</v>
      </c>
      <c r="O388" s="44"/>
      <c r="P388" s="36" t="str">
        <f t="shared" si="32"/>
        <v/>
      </c>
      <c r="Q388" s="216">
        <f t="shared" si="33"/>
        <v>0.14399999999999991</v>
      </c>
      <c r="R388" s="216">
        <f t="shared" si="34"/>
        <v>0.14400000000000002</v>
      </c>
      <c r="S388" s="217" t="str">
        <f t="shared" si="35"/>
        <v/>
      </c>
    </row>
    <row r="389" spans="1:19" ht="39" hidden="1" thickBot="1" x14ac:dyDescent="0.3">
      <c r="A389" s="262"/>
      <c r="B389" s="260"/>
      <c r="C389" s="35" t="s">
        <v>3229</v>
      </c>
      <c r="D389" s="35" t="s">
        <v>773</v>
      </c>
      <c r="E389" s="36">
        <v>0.51639999999999997</v>
      </c>
      <c r="F389" s="33">
        <v>3.04</v>
      </c>
      <c r="G389" s="33">
        <f t="shared" si="30"/>
        <v>1.5698559999999999</v>
      </c>
      <c r="H389" s="44"/>
      <c r="I389" s="45"/>
      <c r="J389" s="152">
        <v>0</v>
      </c>
      <c r="L389" s="215">
        <v>0.51639999999999997</v>
      </c>
      <c r="M389" s="33">
        <v>2.6022400000000001</v>
      </c>
      <c r="N389" s="33">
        <f t="shared" si="31"/>
        <v>1.343796736</v>
      </c>
      <c r="O389" s="44"/>
      <c r="P389" s="36" t="str">
        <f t="shared" si="32"/>
        <v/>
      </c>
      <c r="Q389" s="216">
        <f t="shared" si="33"/>
        <v>0.14400000000000002</v>
      </c>
      <c r="R389" s="216">
        <f t="shared" si="34"/>
        <v>0.14399999999999991</v>
      </c>
      <c r="S389" s="217" t="str">
        <f t="shared" si="35"/>
        <v/>
      </c>
    </row>
    <row r="390" spans="1:19" ht="26.25" hidden="1" thickBot="1" x14ac:dyDescent="0.3">
      <c r="A390" s="262"/>
      <c r="B390" s="260"/>
      <c r="C390" s="35" t="s">
        <v>8305</v>
      </c>
      <c r="D390" s="35" t="s">
        <v>213</v>
      </c>
      <c r="E390" s="36">
        <v>10.0039</v>
      </c>
      <c r="F390" s="33">
        <v>0.1045</v>
      </c>
      <c r="G390" s="33">
        <f t="shared" ref="G390:G453" si="36">IF(ISNUMBER(F390),E390*F390,"")</f>
        <v>1.04540755</v>
      </c>
      <c r="H390" s="44"/>
      <c r="I390" s="45"/>
      <c r="J390" s="152">
        <v>0</v>
      </c>
      <c r="L390" s="215">
        <v>10.0039</v>
      </c>
      <c r="M390" s="33">
        <v>8.9452000000000004E-2</v>
      </c>
      <c r="N390" s="33">
        <f t="shared" ref="N390:N453" si="37">IF(ISNUMBER(M390),L390*M390,"")</f>
        <v>0.8948688628</v>
      </c>
      <c r="O390" s="44"/>
      <c r="P390" s="36" t="str">
        <f t="shared" si="32"/>
        <v/>
      </c>
      <c r="Q390" s="216">
        <f t="shared" si="33"/>
        <v>0.14399999999999991</v>
      </c>
      <c r="R390" s="216">
        <f t="shared" si="34"/>
        <v>0.14400000000000002</v>
      </c>
      <c r="S390" s="217" t="str">
        <f t="shared" si="35"/>
        <v/>
      </c>
    </row>
    <row r="391" spans="1:19" ht="26.25" hidden="1" thickBot="1" x14ac:dyDescent="0.3">
      <c r="A391" s="262"/>
      <c r="B391" s="260"/>
      <c r="C391" s="35" t="s">
        <v>8306</v>
      </c>
      <c r="D391" s="35" t="s">
        <v>213</v>
      </c>
      <c r="E391" s="36">
        <v>0.80759999999999998</v>
      </c>
      <c r="F391" s="33">
        <v>0.247</v>
      </c>
      <c r="G391" s="33">
        <f t="shared" si="36"/>
        <v>0.19947719999999999</v>
      </c>
      <c r="H391" s="44"/>
      <c r="I391" s="45"/>
      <c r="J391" s="152">
        <v>0</v>
      </c>
      <c r="L391" s="215">
        <v>0.80759999999999998</v>
      </c>
      <c r="M391" s="33">
        <v>0.21143200000000001</v>
      </c>
      <c r="N391" s="33">
        <f t="shared" si="37"/>
        <v>0.1707524832</v>
      </c>
      <c r="O391" s="44"/>
      <c r="P391" s="36" t="str">
        <f t="shared" si="32"/>
        <v/>
      </c>
      <c r="Q391" s="216">
        <f t="shared" si="33"/>
        <v>0.14399999999999991</v>
      </c>
      <c r="R391" s="216">
        <f t="shared" si="34"/>
        <v>0.14400000000000002</v>
      </c>
      <c r="S391" s="217" t="str">
        <f t="shared" si="35"/>
        <v/>
      </c>
    </row>
    <row r="392" spans="1:19" ht="26.25" hidden="1" thickBot="1" x14ac:dyDescent="0.3">
      <c r="A392" s="262"/>
      <c r="B392" s="260"/>
      <c r="C392" s="35" t="s">
        <v>854</v>
      </c>
      <c r="D392" s="35" t="s">
        <v>583</v>
      </c>
      <c r="E392" s="36">
        <v>0.36359999999999998</v>
      </c>
      <c r="F392" s="30">
        <v>20.719499999999996</v>
      </c>
      <c r="G392" s="33">
        <f t="shared" si="36"/>
        <v>7.5336101999999983</v>
      </c>
      <c r="H392" s="44"/>
      <c r="I392" s="45"/>
      <c r="J392" s="152">
        <v>0</v>
      </c>
      <c r="L392" s="215">
        <v>0.36359999999999998</v>
      </c>
      <c r="M392" s="30">
        <v>17.735891999999996</v>
      </c>
      <c r="N392" s="33">
        <f t="shared" si="37"/>
        <v>6.4487703311999987</v>
      </c>
      <c r="O392" s="44"/>
      <c r="P392" s="36" t="str">
        <f t="shared" ref="P392:P455" si="38">IF(ISBLANK(L392),"",IF($E392&lt;&gt;L392,"SIM",""))</f>
        <v/>
      </c>
      <c r="Q392" s="216">
        <f t="shared" ref="Q392:Q455" si="39">IF(M392="","",1-M392/$F392)</f>
        <v>0.14400000000000002</v>
      </c>
      <c r="R392" s="216">
        <f t="shared" ref="R392:R455" si="40">IF(N392="","",1-N392/$G392)</f>
        <v>0.14400000000000002</v>
      </c>
      <c r="S392" s="217" t="str">
        <f t="shared" ref="S392:S455" si="41">IF(O392="","",1-O392/$H392)</f>
        <v/>
      </c>
    </row>
    <row r="393" spans="1:19" ht="15.75" hidden="1" thickBot="1" x14ac:dyDescent="0.3">
      <c r="A393" s="262"/>
      <c r="B393" s="260"/>
      <c r="C393" s="35" t="s">
        <v>584</v>
      </c>
      <c r="D393" s="35" t="s">
        <v>583</v>
      </c>
      <c r="E393" s="36">
        <v>9.0899999999999995E-2</v>
      </c>
      <c r="F393" s="30">
        <v>20.225499999999997</v>
      </c>
      <c r="G393" s="33">
        <f t="shared" si="36"/>
        <v>1.8384979499999996</v>
      </c>
      <c r="H393" s="44"/>
      <c r="I393" s="45"/>
      <c r="J393" s="152">
        <v>0</v>
      </c>
      <c r="L393" s="215">
        <v>9.0899999999999995E-2</v>
      </c>
      <c r="M393" s="30">
        <v>17.313027999999996</v>
      </c>
      <c r="N393" s="33">
        <f t="shared" si="37"/>
        <v>1.5737542451999995</v>
      </c>
      <c r="O393" s="44"/>
      <c r="P393" s="36" t="str">
        <f t="shared" si="38"/>
        <v/>
      </c>
      <c r="Q393" s="216">
        <f t="shared" si="39"/>
        <v>0.14400000000000013</v>
      </c>
      <c r="R393" s="216">
        <f t="shared" si="40"/>
        <v>0.14400000000000013</v>
      </c>
      <c r="S393" s="217" t="str">
        <f t="shared" si="41"/>
        <v/>
      </c>
    </row>
    <row r="394" spans="1:19" ht="15.75" hidden="1" thickBot="1" x14ac:dyDescent="0.3">
      <c r="A394" s="263"/>
      <c r="B394" s="261"/>
      <c r="C394" s="35"/>
      <c r="D394" s="35"/>
      <c r="E394" s="36"/>
      <c r="F394" s="30" t="s">
        <v>416</v>
      </c>
      <c r="G394" s="30" t="str">
        <f t="shared" si="36"/>
        <v/>
      </c>
      <c r="H394" s="34"/>
      <c r="I394" s="30"/>
      <c r="J394" s="152">
        <v>0</v>
      </c>
      <c r="L394" s="215"/>
      <c r="M394" s="30"/>
      <c r="N394" s="30" t="str">
        <f t="shared" si="37"/>
        <v/>
      </c>
      <c r="O394" s="34"/>
      <c r="P394" s="36" t="str">
        <f t="shared" si="38"/>
        <v/>
      </c>
      <c r="Q394" s="216" t="str">
        <f t="shared" si="39"/>
        <v/>
      </c>
      <c r="R394" s="216" t="str">
        <f t="shared" si="40"/>
        <v/>
      </c>
      <c r="S394" s="217" t="str">
        <f t="shared" si="41"/>
        <v/>
      </c>
    </row>
    <row r="395" spans="1:19" ht="15.75" hidden="1" thickBot="1" x14ac:dyDescent="0.3">
      <c r="A395" s="256" t="s">
        <v>112</v>
      </c>
      <c r="B395" s="259" t="str">
        <f>INDEX(Orçamentária!A:B,MATCH(Composições!A395,Orçamentária!A:A,0),2)</f>
        <v>Fixação (encunhamento) de Alvenaria de Vedação</v>
      </c>
      <c r="C395" s="40"/>
      <c r="D395" s="25" t="s">
        <v>69</v>
      </c>
      <c r="E395" s="26"/>
      <c r="F395" s="41" t="s">
        <v>416</v>
      </c>
      <c r="G395" s="27" t="str">
        <f t="shared" si="36"/>
        <v/>
      </c>
      <c r="H395" s="28"/>
      <c r="I395" s="29"/>
      <c r="J395" s="152">
        <v>0</v>
      </c>
      <c r="L395" s="218"/>
      <c r="M395" s="41"/>
      <c r="N395" s="27" t="str">
        <f t="shared" si="37"/>
        <v/>
      </c>
      <c r="O395" s="28"/>
      <c r="P395" s="36" t="str">
        <f t="shared" si="38"/>
        <v/>
      </c>
      <c r="Q395" s="216" t="str">
        <f t="shared" si="39"/>
        <v/>
      </c>
      <c r="R395" s="216" t="str">
        <f t="shared" si="40"/>
        <v/>
      </c>
      <c r="S395" s="217" t="str">
        <f t="shared" si="41"/>
        <v/>
      </c>
    </row>
    <row r="396" spans="1:19" ht="15.75" hidden="1" thickBot="1" x14ac:dyDescent="0.3">
      <c r="A396" s="262"/>
      <c r="B396" s="260"/>
      <c r="C396" s="31"/>
      <c r="D396" s="31"/>
      <c r="E396" s="32"/>
      <c r="F396" s="42" t="s">
        <v>416</v>
      </c>
      <c r="G396" s="30" t="str">
        <f t="shared" si="36"/>
        <v/>
      </c>
      <c r="H396" s="34"/>
      <c r="I396" s="30"/>
      <c r="J396" s="152">
        <v>0</v>
      </c>
      <c r="L396" s="219"/>
      <c r="M396" s="42"/>
      <c r="N396" s="30" t="str">
        <f t="shared" si="37"/>
        <v/>
      </c>
      <c r="O396" s="34"/>
      <c r="P396" s="36" t="str">
        <f t="shared" si="38"/>
        <v/>
      </c>
      <c r="Q396" s="216" t="str">
        <f t="shared" si="39"/>
        <v/>
      </c>
      <c r="R396" s="216" t="str">
        <f t="shared" si="40"/>
        <v/>
      </c>
      <c r="S396" s="217" t="str">
        <f t="shared" si="41"/>
        <v/>
      </c>
    </row>
    <row r="397" spans="1:19" ht="15.75" hidden="1" thickBot="1" x14ac:dyDescent="0.3">
      <c r="A397" s="262"/>
      <c r="B397" s="260"/>
      <c r="C397" s="35" t="s">
        <v>3062</v>
      </c>
      <c r="D397" s="35" t="s">
        <v>213</v>
      </c>
      <c r="E397" s="36">
        <v>11.2</v>
      </c>
      <c r="F397" s="33">
        <v>0.56999999999999995</v>
      </c>
      <c r="G397" s="30">
        <f t="shared" si="36"/>
        <v>6.3839999999999995</v>
      </c>
      <c r="H397" s="38">
        <f>SUM(G397:G400)</f>
        <v>26.602964775374797</v>
      </c>
      <c r="I397" s="39"/>
      <c r="J397" s="152">
        <v>0</v>
      </c>
      <c r="L397" s="215">
        <v>11.2</v>
      </c>
      <c r="M397" s="33">
        <v>0.48791999999999996</v>
      </c>
      <c r="N397" s="30">
        <f t="shared" si="37"/>
        <v>5.4647039999999993</v>
      </c>
      <c r="O397" s="38">
        <f>SUM(N397:N400)</f>
        <v>22.772137847720831</v>
      </c>
      <c r="P397" s="36" t="str">
        <f t="shared" si="38"/>
        <v/>
      </c>
      <c r="Q397" s="216">
        <f t="shared" si="39"/>
        <v>0.14400000000000002</v>
      </c>
      <c r="R397" s="216">
        <f t="shared" si="40"/>
        <v>0.14400000000000002</v>
      </c>
      <c r="S397" s="217">
        <f t="shared" si="41"/>
        <v>0.14399999999999979</v>
      </c>
    </row>
    <row r="398" spans="1:19" ht="51.75" hidden="1" thickBot="1" x14ac:dyDescent="0.3">
      <c r="A398" s="262"/>
      <c r="B398" s="260"/>
      <c r="C398" s="35" t="s">
        <v>113</v>
      </c>
      <c r="D398" s="46" t="s">
        <v>80</v>
      </c>
      <c r="E398" s="36">
        <v>5.1999999999999998E-3</v>
      </c>
      <c r="F398" s="33">
        <v>712.91486064900005</v>
      </c>
      <c r="G398" s="30">
        <f t="shared" si="36"/>
        <v>3.7071572753747999</v>
      </c>
      <c r="H398" s="44"/>
      <c r="I398" s="45"/>
      <c r="J398" s="152">
        <v>0</v>
      </c>
      <c r="L398" s="215">
        <v>5.1999999999999998E-3</v>
      </c>
      <c r="M398" s="33">
        <v>610.25512071554408</v>
      </c>
      <c r="N398" s="30">
        <f t="shared" si="37"/>
        <v>3.173326627720829</v>
      </c>
      <c r="O398" s="44"/>
      <c r="P398" s="36" t="str">
        <f t="shared" si="38"/>
        <v/>
      </c>
      <c r="Q398" s="216">
        <f t="shared" si="39"/>
        <v>0.14399999999999991</v>
      </c>
      <c r="R398" s="216">
        <f t="shared" si="40"/>
        <v>0.14399999999999991</v>
      </c>
      <c r="S398" s="217" t="str">
        <f t="shared" si="41"/>
        <v/>
      </c>
    </row>
    <row r="399" spans="1:19" ht="15.75" hidden="1" thickBot="1" x14ac:dyDescent="0.3">
      <c r="A399" s="262"/>
      <c r="B399" s="260"/>
      <c r="C399" s="35" t="s">
        <v>591</v>
      </c>
      <c r="D399" s="35" t="s">
        <v>583</v>
      </c>
      <c r="E399" s="36">
        <v>0.52900000000000003</v>
      </c>
      <c r="F399" s="30">
        <v>27.160499999999999</v>
      </c>
      <c r="G399" s="30">
        <f t="shared" si="36"/>
        <v>14.3679045</v>
      </c>
      <c r="H399" s="44"/>
      <c r="I399" s="45"/>
      <c r="J399" s="152">
        <v>0</v>
      </c>
      <c r="L399" s="215">
        <v>0.52900000000000003</v>
      </c>
      <c r="M399" s="30">
        <v>23.249388</v>
      </c>
      <c r="N399" s="30">
        <f t="shared" si="37"/>
        <v>12.298926252000001</v>
      </c>
      <c r="O399" s="44"/>
      <c r="P399" s="36" t="str">
        <f t="shared" si="38"/>
        <v/>
      </c>
      <c r="Q399" s="216">
        <f t="shared" si="39"/>
        <v>0.14400000000000002</v>
      </c>
      <c r="R399" s="216">
        <f t="shared" si="40"/>
        <v>0.14399999999999991</v>
      </c>
      <c r="S399" s="217" t="str">
        <f t="shared" si="41"/>
        <v/>
      </c>
    </row>
    <row r="400" spans="1:19" ht="15.75" hidden="1" thickBot="1" x14ac:dyDescent="0.3">
      <c r="A400" s="262"/>
      <c r="B400" s="260"/>
      <c r="C400" s="35" t="s">
        <v>584</v>
      </c>
      <c r="D400" s="35" t="s">
        <v>583</v>
      </c>
      <c r="E400" s="36">
        <v>0.106</v>
      </c>
      <c r="F400" s="30">
        <v>20.225499999999997</v>
      </c>
      <c r="G400" s="30">
        <f t="shared" si="36"/>
        <v>2.1439029999999994</v>
      </c>
      <c r="H400" s="44"/>
      <c r="I400" s="45"/>
      <c r="J400" s="152">
        <v>0</v>
      </c>
      <c r="L400" s="215">
        <v>0.106</v>
      </c>
      <c r="M400" s="30">
        <v>17.313027999999996</v>
      </c>
      <c r="N400" s="30">
        <f t="shared" si="37"/>
        <v>1.8351809679999995</v>
      </c>
      <c r="O400" s="44"/>
      <c r="P400" s="36" t="str">
        <f t="shared" si="38"/>
        <v/>
      </c>
      <c r="Q400" s="216">
        <f t="shared" si="39"/>
        <v>0.14400000000000013</v>
      </c>
      <c r="R400" s="216">
        <f t="shared" si="40"/>
        <v>0.14400000000000002</v>
      </c>
      <c r="S400" s="217" t="str">
        <f t="shared" si="41"/>
        <v/>
      </c>
    </row>
    <row r="401" spans="1:19" ht="15.75" hidden="1" thickBot="1" x14ac:dyDescent="0.3">
      <c r="A401" s="262"/>
      <c r="B401" s="260"/>
      <c r="C401" s="35"/>
      <c r="D401" s="46"/>
      <c r="E401" s="36"/>
      <c r="F401" s="33" t="s">
        <v>416</v>
      </c>
      <c r="G401" s="33" t="str">
        <f t="shared" si="36"/>
        <v/>
      </c>
      <c r="H401" s="44"/>
      <c r="I401" s="45"/>
      <c r="J401" s="152">
        <v>0</v>
      </c>
      <c r="L401" s="215"/>
      <c r="M401" s="33"/>
      <c r="N401" s="33" t="str">
        <f t="shared" si="37"/>
        <v/>
      </c>
      <c r="O401" s="44"/>
      <c r="P401" s="36" t="str">
        <f t="shared" si="38"/>
        <v/>
      </c>
      <c r="Q401" s="216" t="str">
        <f t="shared" si="39"/>
        <v/>
      </c>
      <c r="R401" s="216" t="str">
        <f t="shared" si="40"/>
        <v/>
      </c>
      <c r="S401" s="217" t="str">
        <f t="shared" si="41"/>
        <v/>
      </c>
    </row>
    <row r="402" spans="1:19" ht="15.75" hidden="1" thickBot="1" x14ac:dyDescent="0.3">
      <c r="A402" s="256" t="s">
        <v>114</v>
      </c>
      <c r="B402" s="259" t="str">
        <f>INDEX(Orçamentária!A:B,MATCH(Composições!A402,Orçamentária!A:A,0),2)</f>
        <v>Parede em gesso acartonado (drywall)</v>
      </c>
      <c r="C402" s="40"/>
      <c r="D402" s="25" t="s">
        <v>70</v>
      </c>
      <c r="E402" s="26"/>
      <c r="F402" s="41" t="s">
        <v>416</v>
      </c>
      <c r="G402" s="27" t="str">
        <f t="shared" si="36"/>
        <v/>
      </c>
      <c r="H402" s="28"/>
      <c r="I402" s="29"/>
      <c r="J402" s="152">
        <v>0</v>
      </c>
      <c r="L402" s="218"/>
      <c r="M402" s="41"/>
      <c r="N402" s="27" t="str">
        <f t="shared" si="37"/>
        <v/>
      </c>
      <c r="O402" s="28"/>
      <c r="P402" s="36" t="str">
        <f t="shared" si="38"/>
        <v/>
      </c>
      <c r="Q402" s="216" t="str">
        <f t="shared" si="39"/>
        <v/>
      </c>
      <c r="R402" s="216" t="str">
        <f t="shared" si="40"/>
        <v/>
      </c>
      <c r="S402" s="217" t="str">
        <f t="shared" si="41"/>
        <v/>
      </c>
    </row>
    <row r="403" spans="1:19" ht="15.75" hidden="1" thickBot="1" x14ac:dyDescent="0.3">
      <c r="A403" s="262"/>
      <c r="B403" s="260"/>
      <c r="C403" s="31"/>
      <c r="D403" s="31"/>
      <c r="E403" s="32"/>
      <c r="F403" s="42" t="s">
        <v>416</v>
      </c>
      <c r="G403" s="30" t="str">
        <f t="shared" si="36"/>
        <v/>
      </c>
      <c r="H403" s="34"/>
      <c r="I403" s="30"/>
      <c r="J403" s="152">
        <v>0</v>
      </c>
      <c r="L403" s="219"/>
      <c r="M403" s="42"/>
      <c r="N403" s="30" t="str">
        <f t="shared" si="37"/>
        <v/>
      </c>
      <c r="O403" s="34"/>
      <c r="P403" s="36" t="str">
        <f t="shared" si="38"/>
        <v/>
      </c>
      <c r="Q403" s="216" t="str">
        <f t="shared" si="39"/>
        <v/>
      </c>
      <c r="R403" s="216" t="str">
        <f t="shared" si="40"/>
        <v/>
      </c>
      <c r="S403" s="217" t="str">
        <f t="shared" si="41"/>
        <v/>
      </c>
    </row>
    <row r="404" spans="1:19" ht="26.25" hidden="1" thickBot="1" x14ac:dyDescent="0.3">
      <c r="A404" s="262"/>
      <c r="B404" s="260"/>
      <c r="C404" s="35" t="s">
        <v>8319</v>
      </c>
      <c r="D404" s="35" t="s">
        <v>1102</v>
      </c>
      <c r="E404" s="36">
        <v>2.4299999999999999E-2</v>
      </c>
      <c r="F404" s="33">
        <v>44.564499999999995</v>
      </c>
      <c r="G404" s="30">
        <f t="shared" si="36"/>
        <v>1.0829173499999998</v>
      </c>
      <c r="H404" s="38">
        <f>SUM(G404:G414)</f>
        <v>83.216490700000008</v>
      </c>
      <c r="I404" s="39"/>
      <c r="J404" s="152">
        <v>0</v>
      </c>
      <c r="L404" s="215">
        <v>2.4299999999999999E-2</v>
      </c>
      <c r="M404" s="33">
        <v>38.147211999999996</v>
      </c>
      <c r="N404" s="30">
        <f t="shared" si="37"/>
        <v>0.92697725159999989</v>
      </c>
      <c r="O404" s="38">
        <f>SUM(N404:N414)</f>
        <v>71.233316039199991</v>
      </c>
      <c r="P404" s="36" t="str">
        <f t="shared" si="38"/>
        <v/>
      </c>
      <c r="Q404" s="216">
        <f t="shared" si="39"/>
        <v>0.14400000000000002</v>
      </c>
      <c r="R404" s="216">
        <f t="shared" si="40"/>
        <v>0.14399999999999991</v>
      </c>
      <c r="S404" s="217">
        <f t="shared" si="41"/>
        <v>0.14400000000000024</v>
      </c>
    </row>
    <row r="405" spans="1:19" ht="26.25" hidden="1" thickBot="1" x14ac:dyDescent="0.3">
      <c r="A405" s="262"/>
      <c r="B405" s="260"/>
      <c r="C405" s="35" t="s">
        <v>3231</v>
      </c>
      <c r="D405" s="35" t="s">
        <v>861</v>
      </c>
      <c r="E405" s="36">
        <v>2.1059999999999999</v>
      </c>
      <c r="F405" s="33">
        <v>17.574999999999999</v>
      </c>
      <c r="G405" s="30">
        <f t="shared" si="36"/>
        <v>37.012949999999996</v>
      </c>
      <c r="H405" s="34"/>
      <c r="I405" s="30"/>
      <c r="J405" s="152">
        <v>0</v>
      </c>
      <c r="L405" s="215">
        <v>2.1059999999999999</v>
      </c>
      <c r="M405" s="33">
        <v>15.0442</v>
      </c>
      <c r="N405" s="30">
        <f t="shared" si="37"/>
        <v>31.683085199999997</v>
      </c>
      <c r="O405" s="34"/>
      <c r="P405" s="36" t="str">
        <f t="shared" si="38"/>
        <v/>
      </c>
      <c r="Q405" s="216">
        <f t="shared" si="39"/>
        <v>0.14400000000000002</v>
      </c>
      <c r="R405" s="216">
        <f t="shared" si="40"/>
        <v>0.14400000000000002</v>
      </c>
      <c r="S405" s="217" t="str">
        <f t="shared" si="41"/>
        <v/>
      </c>
    </row>
    <row r="406" spans="1:19" ht="26.25" hidden="1" thickBot="1" x14ac:dyDescent="0.3">
      <c r="A406" s="262"/>
      <c r="B406" s="260"/>
      <c r="C406" s="35" t="s">
        <v>8315</v>
      </c>
      <c r="D406" s="35" t="s">
        <v>385</v>
      </c>
      <c r="E406" s="36">
        <v>0.76039999999999996</v>
      </c>
      <c r="F406" s="33">
        <v>7.6665000000000001</v>
      </c>
      <c r="G406" s="30">
        <f t="shared" si="36"/>
        <v>5.8296066</v>
      </c>
      <c r="H406" s="34"/>
      <c r="I406" s="30"/>
      <c r="J406" s="152">
        <v>0</v>
      </c>
      <c r="L406" s="215">
        <v>0.76039999999999996</v>
      </c>
      <c r="M406" s="33">
        <v>6.5625239999999998</v>
      </c>
      <c r="N406" s="30">
        <f t="shared" si="37"/>
        <v>4.9901432496</v>
      </c>
      <c r="O406" s="34"/>
      <c r="P406" s="36" t="str">
        <f t="shared" si="38"/>
        <v/>
      </c>
      <c r="Q406" s="216">
        <f t="shared" si="39"/>
        <v>0.14400000000000002</v>
      </c>
      <c r="R406" s="216">
        <f t="shared" si="40"/>
        <v>0.14400000000000002</v>
      </c>
      <c r="S406" s="217" t="str">
        <f t="shared" si="41"/>
        <v/>
      </c>
    </row>
    <row r="407" spans="1:19" ht="26.25" hidden="1" thickBot="1" x14ac:dyDescent="0.3">
      <c r="A407" s="262"/>
      <c r="B407" s="260"/>
      <c r="C407" s="35" t="s">
        <v>8316</v>
      </c>
      <c r="D407" s="35" t="s">
        <v>385</v>
      </c>
      <c r="E407" s="36">
        <v>1.9910000000000001</v>
      </c>
      <c r="F407" s="33">
        <v>8.702</v>
      </c>
      <c r="G407" s="30">
        <f t="shared" si="36"/>
        <v>17.325682</v>
      </c>
      <c r="H407" s="34"/>
      <c r="I407" s="30"/>
      <c r="J407" s="152">
        <v>0</v>
      </c>
      <c r="L407" s="215">
        <v>1.9910000000000001</v>
      </c>
      <c r="M407" s="33">
        <v>7.448912</v>
      </c>
      <c r="N407" s="30">
        <f t="shared" si="37"/>
        <v>14.830783792</v>
      </c>
      <c r="O407" s="34"/>
      <c r="P407" s="36" t="str">
        <f t="shared" si="38"/>
        <v/>
      </c>
      <c r="Q407" s="216">
        <f t="shared" si="39"/>
        <v>0.14400000000000002</v>
      </c>
      <c r="R407" s="216">
        <f t="shared" si="40"/>
        <v>0.14400000000000002</v>
      </c>
      <c r="S407" s="217" t="str">
        <f t="shared" si="41"/>
        <v/>
      </c>
    </row>
    <row r="408" spans="1:19" ht="26.25" hidden="1" thickBot="1" x14ac:dyDescent="0.3">
      <c r="A408" s="262"/>
      <c r="B408" s="260"/>
      <c r="C408" s="35" t="s">
        <v>8167</v>
      </c>
      <c r="D408" s="35" t="s">
        <v>385</v>
      </c>
      <c r="E408" s="36">
        <v>2.5026999999999999</v>
      </c>
      <c r="F408" s="33">
        <v>0.27549999999999997</v>
      </c>
      <c r="G408" s="30">
        <f t="shared" si="36"/>
        <v>0.68949384999999985</v>
      </c>
      <c r="H408" s="34"/>
      <c r="I408" s="30"/>
      <c r="J408" s="152">
        <v>0</v>
      </c>
      <c r="L408" s="215">
        <v>2.5026999999999999</v>
      </c>
      <c r="M408" s="33">
        <v>0.23582799999999998</v>
      </c>
      <c r="N408" s="30">
        <f t="shared" si="37"/>
        <v>0.59020673559999992</v>
      </c>
      <c r="O408" s="34"/>
      <c r="P408" s="36" t="str">
        <f t="shared" si="38"/>
        <v/>
      </c>
      <c r="Q408" s="216">
        <f t="shared" si="39"/>
        <v>0.14400000000000002</v>
      </c>
      <c r="R408" s="216">
        <f t="shared" si="40"/>
        <v>0.14399999999999991</v>
      </c>
      <c r="S408" s="217" t="str">
        <f t="shared" si="41"/>
        <v/>
      </c>
    </row>
    <row r="409" spans="1:19" ht="26.25" hidden="1" thickBot="1" x14ac:dyDescent="0.3">
      <c r="A409" s="262"/>
      <c r="B409" s="260"/>
      <c r="C409" s="35" t="s">
        <v>8168</v>
      </c>
      <c r="D409" s="35" t="s">
        <v>385</v>
      </c>
      <c r="E409" s="36">
        <v>0.74070000000000003</v>
      </c>
      <c r="F409" s="33">
        <v>2.4319999999999999</v>
      </c>
      <c r="G409" s="30">
        <f t="shared" si="36"/>
        <v>1.8013824000000001</v>
      </c>
      <c r="H409" s="34"/>
      <c r="I409" s="30"/>
      <c r="J409" s="152">
        <v>0</v>
      </c>
      <c r="L409" s="215">
        <v>0.74070000000000003</v>
      </c>
      <c r="M409" s="33">
        <v>2.0817920000000001</v>
      </c>
      <c r="N409" s="30">
        <f t="shared" si="37"/>
        <v>1.5419833344</v>
      </c>
      <c r="O409" s="34"/>
      <c r="P409" s="36" t="str">
        <f t="shared" si="38"/>
        <v/>
      </c>
      <c r="Q409" s="216">
        <f t="shared" si="39"/>
        <v>0.14399999999999991</v>
      </c>
      <c r="R409" s="216">
        <f t="shared" si="40"/>
        <v>0.14400000000000002</v>
      </c>
      <c r="S409" s="217" t="str">
        <f t="shared" si="41"/>
        <v/>
      </c>
    </row>
    <row r="410" spans="1:19" ht="39" hidden="1" thickBot="1" x14ac:dyDescent="0.3">
      <c r="A410" s="262"/>
      <c r="B410" s="260"/>
      <c r="C410" s="35" t="s">
        <v>3229</v>
      </c>
      <c r="D410" s="35" t="s">
        <v>773</v>
      </c>
      <c r="E410" s="36">
        <v>1.0327</v>
      </c>
      <c r="F410" s="33">
        <v>3.04</v>
      </c>
      <c r="G410" s="30">
        <f t="shared" si="36"/>
        <v>3.139408</v>
      </c>
      <c r="H410" s="34"/>
      <c r="I410" s="30"/>
      <c r="J410" s="152">
        <v>0</v>
      </c>
      <c r="L410" s="215">
        <v>1.0327</v>
      </c>
      <c r="M410" s="33">
        <v>2.6022400000000001</v>
      </c>
      <c r="N410" s="30">
        <f t="shared" si="37"/>
        <v>2.6873332479999998</v>
      </c>
      <c r="O410" s="34"/>
      <c r="P410" s="36" t="str">
        <f t="shared" si="38"/>
        <v/>
      </c>
      <c r="Q410" s="216">
        <f t="shared" si="39"/>
        <v>0.14400000000000002</v>
      </c>
      <c r="R410" s="216">
        <f t="shared" si="40"/>
        <v>0.14400000000000002</v>
      </c>
      <c r="S410" s="217" t="str">
        <f t="shared" si="41"/>
        <v/>
      </c>
    </row>
    <row r="411" spans="1:19" ht="26.25" hidden="1" thickBot="1" x14ac:dyDescent="0.3">
      <c r="A411" s="262"/>
      <c r="B411" s="260"/>
      <c r="C411" s="35" t="s">
        <v>8305</v>
      </c>
      <c r="D411" s="35" t="s">
        <v>213</v>
      </c>
      <c r="E411" s="36">
        <v>20.0077</v>
      </c>
      <c r="F411" s="33">
        <v>0.1045</v>
      </c>
      <c r="G411" s="30">
        <f t="shared" si="36"/>
        <v>2.0908046499999999</v>
      </c>
      <c r="H411" s="34"/>
      <c r="I411" s="30"/>
      <c r="J411" s="152">
        <v>0</v>
      </c>
      <c r="L411" s="215">
        <v>20.0077</v>
      </c>
      <c r="M411" s="33">
        <v>8.9452000000000004E-2</v>
      </c>
      <c r="N411" s="30">
        <f t="shared" si="37"/>
        <v>1.7897287804000002</v>
      </c>
      <c r="O411" s="34"/>
      <c r="P411" s="36" t="str">
        <f t="shared" si="38"/>
        <v/>
      </c>
      <c r="Q411" s="216">
        <f t="shared" si="39"/>
        <v>0.14399999999999991</v>
      </c>
      <c r="R411" s="216">
        <f t="shared" si="40"/>
        <v>0.14399999999999991</v>
      </c>
      <c r="S411" s="217" t="str">
        <f t="shared" si="41"/>
        <v/>
      </c>
    </row>
    <row r="412" spans="1:19" ht="26.25" hidden="1" thickBot="1" x14ac:dyDescent="0.3">
      <c r="A412" s="262"/>
      <c r="B412" s="260"/>
      <c r="C412" s="35" t="s">
        <v>8306</v>
      </c>
      <c r="D412" s="35" t="s">
        <v>213</v>
      </c>
      <c r="E412" s="36">
        <v>0.80759999999999998</v>
      </c>
      <c r="F412" s="33">
        <v>0.247</v>
      </c>
      <c r="G412" s="30">
        <f t="shared" si="36"/>
        <v>0.19947719999999999</v>
      </c>
      <c r="H412" s="34"/>
      <c r="I412" s="30"/>
      <c r="J412" s="152">
        <v>0</v>
      </c>
      <c r="L412" s="215">
        <v>0.80759999999999998</v>
      </c>
      <c r="M412" s="33">
        <v>0.21143200000000001</v>
      </c>
      <c r="N412" s="30">
        <f t="shared" si="37"/>
        <v>0.1707524832</v>
      </c>
      <c r="O412" s="34"/>
      <c r="P412" s="36" t="str">
        <f t="shared" si="38"/>
        <v/>
      </c>
      <c r="Q412" s="216">
        <f t="shared" si="39"/>
        <v>0.14399999999999991</v>
      </c>
      <c r="R412" s="216">
        <f t="shared" si="40"/>
        <v>0.14400000000000002</v>
      </c>
      <c r="S412" s="217" t="str">
        <f t="shared" si="41"/>
        <v/>
      </c>
    </row>
    <row r="413" spans="1:19" ht="26.25" hidden="1" thickBot="1" x14ac:dyDescent="0.3">
      <c r="A413" s="262"/>
      <c r="B413" s="260"/>
      <c r="C413" s="35" t="s">
        <v>854</v>
      </c>
      <c r="D413" s="35" t="s">
        <v>583</v>
      </c>
      <c r="E413" s="36">
        <v>0.54490000000000005</v>
      </c>
      <c r="F413" s="30">
        <v>20.719499999999996</v>
      </c>
      <c r="G413" s="30">
        <f t="shared" si="36"/>
        <v>11.29005555</v>
      </c>
      <c r="H413" s="34"/>
      <c r="I413" s="30"/>
      <c r="J413" s="152">
        <v>0</v>
      </c>
      <c r="L413" s="215">
        <v>0.54490000000000005</v>
      </c>
      <c r="M413" s="30">
        <v>17.735891999999996</v>
      </c>
      <c r="N413" s="30">
        <f t="shared" si="37"/>
        <v>9.6642875507999992</v>
      </c>
      <c r="O413" s="34"/>
      <c r="P413" s="36" t="str">
        <f t="shared" si="38"/>
        <v/>
      </c>
      <c r="Q413" s="216">
        <f t="shared" si="39"/>
        <v>0.14400000000000002</v>
      </c>
      <c r="R413" s="216">
        <f t="shared" si="40"/>
        <v>0.14400000000000002</v>
      </c>
      <c r="S413" s="217" t="str">
        <f t="shared" si="41"/>
        <v/>
      </c>
    </row>
    <row r="414" spans="1:19" ht="15.75" hidden="1" thickBot="1" x14ac:dyDescent="0.3">
      <c r="A414" s="262"/>
      <c r="B414" s="260"/>
      <c r="C414" s="35" t="s">
        <v>584</v>
      </c>
      <c r="D414" s="35" t="s">
        <v>583</v>
      </c>
      <c r="E414" s="36">
        <v>0.13619999999999999</v>
      </c>
      <c r="F414" s="30">
        <v>20.225499999999997</v>
      </c>
      <c r="G414" s="30">
        <f t="shared" si="36"/>
        <v>2.7547130999999991</v>
      </c>
      <c r="H414" s="34"/>
      <c r="I414" s="30"/>
      <c r="J414" s="152">
        <v>0</v>
      </c>
      <c r="L414" s="215">
        <v>0.13619999999999999</v>
      </c>
      <c r="M414" s="30">
        <v>17.313027999999996</v>
      </c>
      <c r="N414" s="30">
        <f t="shared" si="37"/>
        <v>2.3580344135999991</v>
      </c>
      <c r="O414" s="34"/>
      <c r="P414" s="36" t="str">
        <f t="shared" si="38"/>
        <v/>
      </c>
      <c r="Q414" s="216">
        <f t="shared" si="39"/>
        <v>0.14400000000000013</v>
      </c>
      <c r="R414" s="216">
        <f t="shared" si="40"/>
        <v>0.14400000000000002</v>
      </c>
      <c r="S414" s="217" t="str">
        <f t="shared" si="41"/>
        <v/>
      </c>
    </row>
    <row r="415" spans="1:19" ht="15.75" hidden="1" thickBot="1" x14ac:dyDescent="0.3">
      <c r="A415" s="263"/>
      <c r="B415" s="261"/>
      <c r="C415" s="35"/>
      <c r="D415" s="35"/>
      <c r="E415" s="36"/>
      <c r="F415" s="30" t="s">
        <v>416</v>
      </c>
      <c r="G415" s="30" t="str">
        <f t="shared" si="36"/>
        <v/>
      </c>
      <c r="H415" s="34"/>
      <c r="I415" s="30"/>
      <c r="J415" s="152">
        <v>0</v>
      </c>
      <c r="L415" s="215"/>
      <c r="M415" s="30"/>
      <c r="N415" s="30" t="str">
        <f t="shared" si="37"/>
        <v/>
      </c>
      <c r="O415" s="34"/>
      <c r="P415" s="36" t="str">
        <f t="shared" si="38"/>
        <v/>
      </c>
      <c r="Q415" s="216" t="str">
        <f t="shared" si="39"/>
        <v/>
      </c>
      <c r="R415" s="216" t="str">
        <f t="shared" si="40"/>
        <v/>
      </c>
      <c r="S415" s="217" t="str">
        <f t="shared" si="41"/>
        <v/>
      </c>
    </row>
    <row r="416" spans="1:19" ht="15.75" hidden="1" thickBot="1" x14ac:dyDescent="0.3">
      <c r="A416" s="256" t="s">
        <v>115</v>
      </c>
      <c r="B416" s="259" t="str">
        <f>INDEX(Orçamentária!A:B,MATCH(Composições!A416,Orçamentária!A:A,0),2)</f>
        <v>Reparos superficiais em painéis de gesso acartonado</v>
      </c>
      <c r="C416" s="40"/>
      <c r="D416" s="25" t="s">
        <v>70</v>
      </c>
      <c r="E416" s="26"/>
      <c r="F416" s="41" t="s">
        <v>416</v>
      </c>
      <c r="G416" s="27" t="str">
        <f t="shared" si="36"/>
        <v/>
      </c>
      <c r="H416" s="28"/>
      <c r="I416" s="29"/>
      <c r="J416" s="152">
        <v>0</v>
      </c>
      <c r="L416" s="218"/>
      <c r="M416" s="41"/>
      <c r="N416" s="27" t="str">
        <f t="shared" si="37"/>
        <v/>
      </c>
      <c r="O416" s="28"/>
      <c r="P416" s="36" t="str">
        <f t="shared" si="38"/>
        <v/>
      </c>
      <c r="Q416" s="216" t="str">
        <f t="shared" si="39"/>
        <v/>
      </c>
      <c r="R416" s="216" t="str">
        <f t="shared" si="40"/>
        <v/>
      </c>
      <c r="S416" s="217" t="str">
        <f t="shared" si="41"/>
        <v/>
      </c>
    </row>
    <row r="417" spans="1:19" ht="15.75" hidden="1" thickBot="1" x14ac:dyDescent="0.3">
      <c r="A417" s="262"/>
      <c r="B417" s="260"/>
      <c r="C417" s="31"/>
      <c r="D417" s="31"/>
      <c r="E417" s="32"/>
      <c r="F417" s="42" t="s">
        <v>416</v>
      </c>
      <c r="G417" s="30" t="str">
        <f t="shared" si="36"/>
        <v/>
      </c>
      <c r="H417" s="34"/>
      <c r="I417" s="30"/>
      <c r="J417" s="152">
        <v>0</v>
      </c>
      <c r="L417" s="219"/>
      <c r="M417" s="42"/>
      <c r="N417" s="30" t="str">
        <f t="shared" si="37"/>
        <v/>
      </c>
      <c r="O417" s="34"/>
      <c r="P417" s="36" t="str">
        <f t="shared" si="38"/>
        <v/>
      </c>
      <c r="Q417" s="216" t="str">
        <f t="shared" si="39"/>
        <v/>
      </c>
      <c r="R417" s="216" t="str">
        <f t="shared" si="40"/>
        <v/>
      </c>
      <c r="S417" s="217" t="str">
        <f t="shared" si="41"/>
        <v/>
      </c>
    </row>
    <row r="418" spans="1:19" ht="26.25" hidden="1" thickBot="1" x14ac:dyDescent="0.3">
      <c r="A418" s="262"/>
      <c r="B418" s="260"/>
      <c r="C418" s="35" t="s">
        <v>8167</v>
      </c>
      <c r="D418" s="35" t="s">
        <v>385</v>
      </c>
      <c r="E418" s="36">
        <v>1.2513000000000001</v>
      </c>
      <c r="F418" s="33">
        <v>0.27549999999999997</v>
      </c>
      <c r="G418" s="30">
        <f t="shared" si="36"/>
        <v>0.34473314999999999</v>
      </c>
      <c r="H418" s="38">
        <f>SUM(G418:G421)</f>
        <v>5.7121343499999986</v>
      </c>
      <c r="I418" s="39"/>
      <c r="J418" s="152">
        <v>0</v>
      </c>
      <c r="L418" s="215">
        <v>1.2513000000000001</v>
      </c>
      <c r="M418" s="33">
        <v>0.23582799999999998</v>
      </c>
      <c r="N418" s="30">
        <f t="shared" si="37"/>
        <v>0.2950915764</v>
      </c>
      <c r="O418" s="38">
        <f>SUM(N418:N421)</f>
        <v>4.8895870035999991</v>
      </c>
      <c r="P418" s="36" t="str">
        <f t="shared" si="38"/>
        <v/>
      </c>
      <c r="Q418" s="216">
        <f t="shared" si="39"/>
        <v>0.14400000000000002</v>
      </c>
      <c r="R418" s="216">
        <f t="shared" si="40"/>
        <v>0.14400000000000002</v>
      </c>
      <c r="S418" s="217">
        <f t="shared" si="41"/>
        <v>0.14399999999999991</v>
      </c>
    </row>
    <row r="419" spans="1:19" ht="39" hidden="1" thickBot="1" x14ac:dyDescent="0.3">
      <c r="A419" s="262"/>
      <c r="B419" s="260"/>
      <c r="C419" s="35" t="s">
        <v>3229</v>
      </c>
      <c r="D419" s="35" t="s">
        <v>773</v>
      </c>
      <c r="E419" s="36">
        <v>0.51639999999999997</v>
      </c>
      <c r="F419" s="33">
        <v>3.04</v>
      </c>
      <c r="G419" s="30">
        <f t="shared" si="36"/>
        <v>1.5698559999999999</v>
      </c>
      <c r="H419" s="44"/>
      <c r="I419" s="45"/>
      <c r="J419" s="152">
        <v>0</v>
      </c>
      <c r="L419" s="215">
        <v>0.51639999999999997</v>
      </c>
      <c r="M419" s="33">
        <v>2.6022400000000001</v>
      </c>
      <c r="N419" s="30">
        <f t="shared" si="37"/>
        <v>1.343796736</v>
      </c>
      <c r="O419" s="44"/>
      <c r="P419" s="36" t="str">
        <f t="shared" si="38"/>
        <v/>
      </c>
      <c r="Q419" s="216">
        <f t="shared" si="39"/>
        <v>0.14400000000000002</v>
      </c>
      <c r="R419" s="216">
        <f t="shared" si="40"/>
        <v>0.14399999999999991</v>
      </c>
      <c r="S419" s="217" t="str">
        <f t="shared" si="41"/>
        <v/>
      </c>
    </row>
    <row r="420" spans="1:19" ht="26.25" hidden="1" thickBot="1" x14ac:dyDescent="0.3">
      <c r="A420" s="262"/>
      <c r="B420" s="260"/>
      <c r="C420" s="35" t="s">
        <v>854</v>
      </c>
      <c r="D420" s="35" t="s">
        <v>583</v>
      </c>
      <c r="E420" s="36">
        <f>0.3636/3</f>
        <v>0.12119999999999999</v>
      </c>
      <c r="F420" s="30">
        <v>20.719499999999996</v>
      </c>
      <c r="G420" s="30">
        <f t="shared" si="36"/>
        <v>2.5112033999999994</v>
      </c>
      <c r="H420" s="44"/>
      <c r="I420" s="45"/>
      <c r="J420" s="152">
        <v>0</v>
      </c>
      <c r="L420" s="215">
        <v>0.12119999999999999</v>
      </c>
      <c r="M420" s="30">
        <v>17.735891999999996</v>
      </c>
      <c r="N420" s="30">
        <f t="shared" si="37"/>
        <v>2.1495901103999993</v>
      </c>
      <c r="O420" s="44"/>
      <c r="P420" s="36" t="str">
        <f t="shared" si="38"/>
        <v/>
      </c>
      <c r="Q420" s="216">
        <f t="shared" si="39"/>
        <v>0.14400000000000002</v>
      </c>
      <c r="R420" s="216">
        <f t="shared" si="40"/>
        <v>0.14400000000000013</v>
      </c>
      <c r="S420" s="217" t="str">
        <f t="shared" si="41"/>
        <v/>
      </c>
    </row>
    <row r="421" spans="1:19" ht="15.75" hidden="1" thickBot="1" x14ac:dyDescent="0.3">
      <c r="A421" s="262"/>
      <c r="B421" s="260"/>
      <c r="C421" s="35" t="s">
        <v>584</v>
      </c>
      <c r="D421" s="35" t="s">
        <v>583</v>
      </c>
      <c r="E421" s="36">
        <f>ROUND(0.0909*0.7,4)</f>
        <v>6.3600000000000004E-2</v>
      </c>
      <c r="F421" s="30">
        <v>20.225499999999997</v>
      </c>
      <c r="G421" s="30">
        <f t="shared" si="36"/>
        <v>1.2863417999999998</v>
      </c>
      <c r="H421" s="44"/>
      <c r="I421" s="45"/>
      <c r="J421" s="152">
        <v>0</v>
      </c>
      <c r="L421" s="215">
        <v>6.3600000000000004E-2</v>
      </c>
      <c r="M421" s="30">
        <v>17.313027999999996</v>
      </c>
      <c r="N421" s="30">
        <f t="shared" si="37"/>
        <v>1.1011085807999998</v>
      </c>
      <c r="O421" s="44"/>
      <c r="P421" s="36" t="str">
        <f t="shared" si="38"/>
        <v/>
      </c>
      <c r="Q421" s="216">
        <f t="shared" si="39"/>
        <v>0.14400000000000013</v>
      </c>
      <c r="R421" s="216">
        <f t="shared" si="40"/>
        <v>0.14399999999999991</v>
      </c>
      <c r="S421" s="217" t="str">
        <f t="shared" si="41"/>
        <v/>
      </c>
    </row>
    <row r="422" spans="1:19" ht="15.75" hidden="1" thickBot="1" x14ac:dyDescent="0.3">
      <c r="A422" s="262"/>
      <c r="B422" s="260"/>
      <c r="C422" s="35"/>
      <c r="D422" s="46"/>
      <c r="E422" s="36"/>
      <c r="F422" s="33" t="s">
        <v>416</v>
      </c>
      <c r="G422" s="33" t="str">
        <f t="shared" si="36"/>
        <v/>
      </c>
      <c r="H422" s="44"/>
      <c r="I422" s="45"/>
      <c r="J422" s="152">
        <v>0</v>
      </c>
      <c r="L422" s="215"/>
      <c r="M422" s="33"/>
      <c r="N422" s="33" t="str">
        <f t="shared" si="37"/>
        <v/>
      </c>
      <c r="O422" s="44"/>
      <c r="P422" s="36" t="str">
        <f t="shared" si="38"/>
        <v/>
      </c>
      <c r="Q422" s="216" t="str">
        <f t="shared" si="39"/>
        <v/>
      </c>
      <c r="R422" s="216" t="str">
        <f t="shared" si="40"/>
        <v/>
      </c>
      <c r="S422" s="217" t="str">
        <f t="shared" si="41"/>
        <v/>
      </c>
    </row>
    <row r="423" spans="1:19" ht="15.75" hidden="1" thickBot="1" x14ac:dyDescent="0.3">
      <c r="A423" s="256" t="s">
        <v>116</v>
      </c>
      <c r="B423" s="259" t="str">
        <f>INDEX(Orçamentária!A:B,MATCH(Composições!A423,Orçamentária!A:A,0),2)</f>
        <v>Sóculo h=10 cm</v>
      </c>
      <c r="C423" s="40"/>
      <c r="D423" s="25" t="s">
        <v>70</v>
      </c>
      <c r="E423" s="26"/>
      <c r="F423" s="41" t="s">
        <v>416</v>
      </c>
      <c r="G423" s="27" t="str">
        <f t="shared" si="36"/>
        <v/>
      </c>
      <c r="H423" s="28"/>
      <c r="I423" s="29"/>
      <c r="J423" s="152">
        <v>0</v>
      </c>
      <c r="L423" s="218"/>
      <c r="M423" s="41"/>
      <c r="N423" s="27" t="str">
        <f t="shared" si="37"/>
        <v/>
      </c>
      <c r="O423" s="28"/>
      <c r="P423" s="36" t="str">
        <f t="shared" si="38"/>
        <v/>
      </c>
      <c r="Q423" s="216" t="str">
        <f t="shared" si="39"/>
        <v/>
      </c>
      <c r="R423" s="216" t="str">
        <f t="shared" si="40"/>
        <v/>
      </c>
      <c r="S423" s="217" t="str">
        <f t="shared" si="41"/>
        <v/>
      </c>
    </row>
    <row r="424" spans="1:19" ht="15.75" hidden="1" thickBot="1" x14ac:dyDescent="0.3">
      <c r="A424" s="262"/>
      <c r="B424" s="260"/>
      <c r="C424" s="31"/>
      <c r="D424" s="31"/>
      <c r="E424" s="32"/>
      <c r="F424" s="42" t="s">
        <v>416</v>
      </c>
      <c r="G424" s="30" t="str">
        <f t="shared" si="36"/>
        <v/>
      </c>
      <c r="H424" s="34"/>
      <c r="I424" s="30"/>
      <c r="J424" s="152">
        <v>0</v>
      </c>
      <c r="L424" s="219"/>
      <c r="M424" s="42"/>
      <c r="N424" s="30" t="str">
        <f t="shared" si="37"/>
        <v/>
      </c>
      <c r="O424" s="34"/>
      <c r="P424" s="36" t="str">
        <f t="shared" si="38"/>
        <v/>
      </c>
      <c r="Q424" s="216" t="str">
        <f t="shared" si="39"/>
        <v/>
      </c>
      <c r="R424" s="216" t="str">
        <f t="shared" si="40"/>
        <v/>
      </c>
      <c r="S424" s="217" t="str">
        <f t="shared" si="41"/>
        <v/>
      </c>
    </row>
    <row r="425" spans="1:19" ht="26.25" hidden="1" thickBot="1" x14ac:dyDescent="0.3">
      <c r="A425" s="262"/>
      <c r="B425" s="260"/>
      <c r="C425" s="35" t="s">
        <v>8423</v>
      </c>
      <c r="D425" s="35" t="s">
        <v>385</v>
      </c>
      <c r="E425" s="36">
        <v>0.42</v>
      </c>
      <c r="F425" s="33">
        <v>2.3939999999999997</v>
      </c>
      <c r="G425" s="33">
        <f t="shared" si="36"/>
        <v>1.0054799999999999</v>
      </c>
      <c r="H425" s="38">
        <f>SUM(G425:G433)</f>
        <v>85.735808613224592</v>
      </c>
      <c r="I425" s="39"/>
      <c r="J425" s="152">
        <v>0</v>
      </c>
      <c r="L425" s="215">
        <v>0.42</v>
      </c>
      <c r="M425" s="33">
        <v>2.049264</v>
      </c>
      <c r="N425" s="33">
        <f t="shared" si="37"/>
        <v>0.86069087999999994</v>
      </c>
      <c r="O425" s="38">
        <f>SUM(N425:N433)</f>
        <v>73.389852172920257</v>
      </c>
      <c r="P425" s="36" t="str">
        <f t="shared" si="38"/>
        <v/>
      </c>
      <c r="Q425" s="216">
        <f t="shared" si="39"/>
        <v>0.14399999999999991</v>
      </c>
      <c r="R425" s="216">
        <f t="shared" si="40"/>
        <v>0.14400000000000002</v>
      </c>
      <c r="S425" s="217">
        <f t="shared" si="41"/>
        <v>0.14399999999999991</v>
      </c>
    </row>
    <row r="426" spans="1:19" ht="15.75" hidden="1" thickBot="1" x14ac:dyDescent="0.3">
      <c r="A426" s="262"/>
      <c r="B426" s="260"/>
      <c r="C426" s="35" t="s">
        <v>8320</v>
      </c>
      <c r="D426" s="35" t="s">
        <v>1102</v>
      </c>
      <c r="E426" s="36">
        <v>5.0000000000000001E-3</v>
      </c>
      <c r="F426" s="33">
        <v>38.313499999999998</v>
      </c>
      <c r="G426" s="33">
        <f t="shared" si="36"/>
        <v>0.1915675</v>
      </c>
      <c r="H426" s="34"/>
      <c r="I426" s="30"/>
      <c r="J426" s="152">
        <v>0</v>
      </c>
      <c r="L426" s="215">
        <v>5.0000000000000001E-3</v>
      </c>
      <c r="M426" s="33">
        <v>32.796355999999996</v>
      </c>
      <c r="N426" s="33">
        <f t="shared" si="37"/>
        <v>0.16398177999999999</v>
      </c>
      <c r="O426" s="34"/>
      <c r="P426" s="36" t="str">
        <f t="shared" si="38"/>
        <v/>
      </c>
      <c r="Q426" s="216">
        <f t="shared" si="39"/>
        <v>0.14400000000000002</v>
      </c>
      <c r="R426" s="216">
        <f t="shared" si="40"/>
        <v>0.14400000000000002</v>
      </c>
      <c r="S426" s="217" t="str">
        <f t="shared" si="41"/>
        <v/>
      </c>
    </row>
    <row r="427" spans="1:19" ht="26.25" hidden="1" thickBot="1" x14ac:dyDescent="0.3">
      <c r="A427" s="262"/>
      <c r="B427" s="260"/>
      <c r="C427" s="35" t="s">
        <v>7999</v>
      </c>
      <c r="D427" s="35" t="s">
        <v>213</v>
      </c>
      <c r="E427" s="36">
        <v>13.6</v>
      </c>
      <c r="F427" s="33">
        <v>1.7195</v>
      </c>
      <c r="G427" s="33">
        <f t="shared" si="36"/>
        <v>23.385200000000001</v>
      </c>
      <c r="H427" s="34"/>
      <c r="I427" s="30"/>
      <c r="J427" s="152">
        <v>0</v>
      </c>
      <c r="L427" s="215">
        <v>13.6</v>
      </c>
      <c r="M427" s="33">
        <v>1.471892</v>
      </c>
      <c r="N427" s="33">
        <f t="shared" si="37"/>
        <v>20.0177312</v>
      </c>
      <c r="O427" s="34"/>
      <c r="P427" s="36" t="str">
        <f t="shared" si="38"/>
        <v/>
      </c>
      <c r="Q427" s="216">
        <f t="shared" si="39"/>
        <v>0.14400000000000002</v>
      </c>
      <c r="R427" s="216">
        <f t="shared" si="40"/>
        <v>0.14400000000000002</v>
      </c>
      <c r="S427" s="217" t="str">
        <f t="shared" si="41"/>
        <v/>
      </c>
    </row>
    <row r="428" spans="1:19" ht="51.75" hidden="1" thickBot="1" x14ac:dyDescent="0.3">
      <c r="A428" s="262"/>
      <c r="B428" s="260"/>
      <c r="C428" s="35" t="s">
        <v>110</v>
      </c>
      <c r="D428" s="46" t="s">
        <v>87</v>
      </c>
      <c r="E428" s="36">
        <v>1.04E-2</v>
      </c>
      <c r="F428" s="33">
        <v>734.72729063799989</v>
      </c>
      <c r="G428" s="33">
        <f t="shared" si="36"/>
        <v>7.6411638226351988</v>
      </c>
      <c r="H428" s="34"/>
      <c r="I428" s="30"/>
      <c r="J428" s="152">
        <v>0</v>
      </c>
      <c r="L428" s="215">
        <v>1.04E-2</v>
      </c>
      <c r="M428" s="33">
        <v>628.92656078612788</v>
      </c>
      <c r="N428" s="33">
        <f t="shared" si="37"/>
        <v>6.5408362321757298</v>
      </c>
      <c r="O428" s="34"/>
      <c r="P428" s="36" t="str">
        <f t="shared" si="38"/>
        <v/>
      </c>
      <c r="Q428" s="216">
        <f t="shared" si="39"/>
        <v>0.14400000000000002</v>
      </c>
      <c r="R428" s="216">
        <f t="shared" si="40"/>
        <v>0.14400000000000002</v>
      </c>
      <c r="S428" s="217" t="str">
        <f t="shared" si="41"/>
        <v/>
      </c>
    </row>
    <row r="429" spans="1:19" ht="15.75" hidden="1" thickBot="1" x14ac:dyDescent="0.3">
      <c r="A429" s="262"/>
      <c r="B429" s="260"/>
      <c r="C429" s="35" t="s">
        <v>591</v>
      </c>
      <c r="D429" s="35" t="s">
        <v>583</v>
      </c>
      <c r="E429" s="36">
        <v>0.59</v>
      </c>
      <c r="F429" s="30">
        <v>27.160499999999999</v>
      </c>
      <c r="G429" s="33">
        <f t="shared" si="36"/>
        <v>16.024694999999998</v>
      </c>
      <c r="H429" s="34"/>
      <c r="I429" s="30"/>
      <c r="J429" s="152">
        <v>0</v>
      </c>
      <c r="L429" s="215">
        <v>0.59</v>
      </c>
      <c r="M429" s="30">
        <v>23.249388</v>
      </c>
      <c r="N429" s="33">
        <f t="shared" si="37"/>
        <v>13.717138919999998</v>
      </c>
      <c r="O429" s="34"/>
      <c r="P429" s="36" t="str">
        <f t="shared" si="38"/>
        <v/>
      </c>
      <c r="Q429" s="216">
        <f t="shared" si="39"/>
        <v>0.14400000000000002</v>
      </c>
      <c r="R429" s="216">
        <f t="shared" si="40"/>
        <v>0.14400000000000002</v>
      </c>
      <c r="S429" s="217" t="str">
        <f t="shared" si="41"/>
        <v/>
      </c>
    </row>
    <row r="430" spans="1:19" ht="15.75" hidden="1" thickBot="1" x14ac:dyDescent="0.3">
      <c r="A430" s="262"/>
      <c r="B430" s="260"/>
      <c r="C430" s="35" t="s">
        <v>584</v>
      </c>
      <c r="D430" s="35" t="s">
        <v>583</v>
      </c>
      <c r="E430" s="36">
        <v>0.29499999999999998</v>
      </c>
      <c r="F430" s="30">
        <v>20.225499999999997</v>
      </c>
      <c r="G430" s="33">
        <f t="shared" si="36"/>
        <v>5.9665224999999991</v>
      </c>
      <c r="H430" s="34"/>
      <c r="I430" s="30"/>
      <c r="J430" s="152">
        <v>0</v>
      </c>
      <c r="L430" s="215">
        <v>0.29499999999999998</v>
      </c>
      <c r="M430" s="30">
        <v>17.313027999999996</v>
      </c>
      <c r="N430" s="33">
        <f t="shared" si="37"/>
        <v>5.1073432599999986</v>
      </c>
      <c r="O430" s="34"/>
      <c r="P430" s="36" t="str">
        <f t="shared" si="38"/>
        <v/>
      </c>
      <c r="Q430" s="216">
        <f t="shared" si="39"/>
        <v>0.14400000000000013</v>
      </c>
      <c r="R430" s="216">
        <f t="shared" si="40"/>
        <v>0.14400000000000013</v>
      </c>
      <c r="S430" s="217" t="str">
        <f t="shared" si="41"/>
        <v/>
      </c>
    </row>
    <row r="431" spans="1:19" ht="51.75" hidden="1" thickBot="1" x14ac:dyDescent="0.3">
      <c r="A431" s="262"/>
      <c r="B431" s="260"/>
      <c r="C431" s="35" t="s">
        <v>110</v>
      </c>
      <c r="D431" s="46" t="s">
        <v>80</v>
      </c>
      <c r="E431" s="36">
        <v>2.1299999999999999E-2</v>
      </c>
      <c r="F431" s="33">
        <v>734.72729063799989</v>
      </c>
      <c r="G431" s="33">
        <f t="shared" si="36"/>
        <v>15.649691290589397</v>
      </c>
      <c r="H431" s="34"/>
      <c r="I431" s="30"/>
      <c r="J431" s="152">
        <v>0</v>
      </c>
      <c r="L431" s="215">
        <v>2.1299999999999999E-2</v>
      </c>
      <c r="M431" s="33">
        <v>628.92656078612788</v>
      </c>
      <c r="N431" s="33">
        <f t="shared" si="37"/>
        <v>13.396135744744523</v>
      </c>
      <c r="O431" s="34"/>
      <c r="P431" s="36" t="str">
        <f t="shared" si="38"/>
        <v/>
      </c>
      <c r="Q431" s="216">
        <f t="shared" si="39"/>
        <v>0.14400000000000002</v>
      </c>
      <c r="R431" s="216">
        <f t="shared" si="40"/>
        <v>0.14400000000000002</v>
      </c>
      <c r="S431" s="217" t="str">
        <f t="shared" si="41"/>
        <v/>
      </c>
    </row>
    <row r="432" spans="1:19" ht="15.75" hidden="1" thickBot="1" x14ac:dyDescent="0.3">
      <c r="A432" s="262"/>
      <c r="B432" s="260"/>
      <c r="C432" s="35" t="s">
        <v>591</v>
      </c>
      <c r="D432" s="35" t="s">
        <v>583</v>
      </c>
      <c r="E432" s="36">
        <v>0.46</v>
      </c>
      <c r="F432" s="30">
        <v>27.160499999999999</v>
      </c>
      <c r="G432" s="33">
        <f t="shared" si="36"/>
        <v>12.493830000000001</v>
      </c>
      <c r="H432" s="34"/>
      <c r="I432" s="30"/>
      <c r="J432" s="152">
        <v>0</v>
      </c>
      <c r="L432" s="215">
        <v>0.46</v>
      </c>
      <c r="M432" s="30">
        <v>23.249388</v>
      </c>
      <c r="N432" s="33">
        <f t="shared" si="37"/>
        <v>10.694718480000001</v>
      </c>
      <c r="O432" s="34"/>
      <c r="P432" s="36" t="str">
        <f t="shared" si="38"/>
        <v/>
      </c>
      <c r="Q432" s="216">
        <f t="shared" si="39"/>
        <v>0.14400000000000002</v>
      </c>
      <c r="R432" s="216">
        <f t="shared" si="40"/>
        <v>0.14400000000000002</v>
      </c>
      <c r="S432" s="217" t="str">
        <f t="shared" si="41"/>
        <v/>
      </c>
    </row>
    <row r="433" spans="1:19" ht="15.75" hidden="1" thickBot="1" x14ac:dyDescent="0.3">
      <c r="A433" s="262"/>
      <c r="B433" s="260"/>
      <c r="C433" s="35" t="s">
        <v>584</v>
      </c>
      <c r="D433" s="35" t="s">
        <v>583</v>
      </c>
      <c r="E433" s="36">
        <v>0.16700000000000001</v>
      </c>
      <c r="F433" s="30">
        <v>20.225499999999997</v>
      </c>
      <c r="G433" s="33">
        <f t="shared" si="36"/>
        <v>3.3776584999999995</v>
      </c>
      <c r="H433" s="34"/>
      <c r="I433" s="30"/>
      <c r="J433" s="152">
        <v>0</v>
      </c>
      <c r="L433" s="215">
        <v>0.16700000000000001</v>
      </c>
      <c r="M433" s="30">
        <v>17.313027999999996</v>
      </c>
      <c r="N433" s="33">
        <f t="shared" si="37"/>
        <v>2.8912756759999994</v>
      </c>
      <c r="O433" s="34"/>
      <c r="P433" s="36" t="str">
        <f t="shared" si="38"/>
        <v/>
      </c>
      <c r="Q433" s="216">
        <f t="shared" si="39"/>
        <v>0.14400000000000013</v>
      </c>
      <c r="R433" s="216">
        <f t="shared" si="40"/>
        <v>0.14400000000000002</v>
      </c>
      <c r="S433" s="217" t="str">
        <f t="shared" si="41"/>
        <v/>
      </c>
    </row>
    <row r="434" spans="1:19" ht="15.75" hidden="1" thickBot="1" x14ac:dyDescent="0.3">
      <c r="A434" s="263"/>
      <c r="B434" s="261"/>
      <c r="C434" s="35"/>
      <c r="D434" s="35"/>
      <c r="E434" s="36"/>
      <c r="F434" s="30" t="s">
        <v>416</v>
      </c>
      <c r="G434" s="30" t="str">
        <f t="shared" si="36"/>
        <v/>
      </c>
      <c r="H434" s="34"/>
      <c r="I434" s="30"/>
      <c r="J434" s="152">
        <v>0</v>
      </c>
      <c r="L434" s="215"/>
      <c r="M434" s="30"/>
      <c r="N434" s="30" t="str">
        <f t="shared" si="37"/>
        <v/>
      </c>
      <c r="O434" s="34"/>
      <c r="P434" s="36" t="str">
        <f t="shared" si="38"/>
        <v/>
      </c>
      <c r="Q434" s="216" t="str">
        <f t="shared" si="39"/>
        <v/>
      </c>
      <c r="R434" s="216" t="str">
        <f t="shared" si="40"/>
        <v/>
      </c>
      <c r="S434" s="217" t="str">
        <f t="shared" si="41"/>
        <v/>
      </c>
    </row>
    <row r="435" spans="1:19" ht="15.75" hidden="1" thickBot="1" x14ac:dyDescent="0.3">
      <c r="A435" s="256" t="s">
        <v>117</v>
      </c>
      <c r="B435" s="259" t="str">
        <f>INDEX(Orçamentária!A:B,MATCH(Composições!A435,Orçamentária!A:A,0),2)</f>
        <v>Chapisco colante industrializado em vigas e pilares</v>
      </c>
      <c r="C435" s="40"/>
      <c r="D435" s="25" t="s">
        <v>70</v>
      </c>
      <c r="E435" s="26"/>
      <c r="F435" s="41" t="s">
        <v>416</v>
      </c>
      <c r="G435" s="27" t="str">
        <f t="shared" si="36"/>
        <v/>
      </c>
      <c r="H435" s="28"/>
      <c r="I435" s="29"/>
      <c r="J435" s="152">
        <v>0</v>
      </c>
      <c r="L435" s="218"/>
      <c r="M435" s="41"/>
      <c r="N435" s="27" t="str">
        <f t="shared" si="37"/>
        <v/>
      </c>
      <c r="O435" s="28"/>
      <c r="P435" s="36" t="str">
        <f t="shared" si="38"/>
        <v/>
      </c>
      <c r="Q435" s="216" t="str">
        <f t="shared" si="39"/>
        <v/>
      </c>
      <c r="R435" s="216" t="str">
        <f t="shared" si="40"/>
        <v/>
      </c>
      <c r="S435" s="217" t="str">
        <f t="shared" si="41"/>
        <v/>
      </c>
    </row>
    <row r="436" spans="1:19" ht="15.75" hidden="1" thickBot="1" x14ac:dyDescent="0.3">
      <c r="A436" s="262"/>
      <c r="B436" s="260"/>
      <c r="C436" s="31"/>
      <c r="D436" s="31"/>
      <c r="E436" s="32"/>
      <c r="F436" s="42" t="s">
        <v>416</v>
      </c>
      <c r="G436" s="30" t="str">
        <f t="shared" si="36"/>
        <v/>
      </c>
      <c r="H436" s="34"/>
      <c r="I436" s="30"/>
      <c r="J436" s="152">
        <v>0</v>
      </c>
      <c r="L436" s="219"/>
      <c r="M436" s="42"/>
      <c r="N436" s="30" t="str">
        <f t="shared" si="37"/>
        <v/>
      </c>
      <c r="O436" s="34"/>
      <c r="P436" s="36" t="str">
        <f t="shared" si="38"/>
        <v/>
      </c>
      <c r="Q436" s="216" t="str">
        <f t="shared" si="39"/>
        <v/>
      </c>
      <c r="R436" s="216" t="str">
        <f t="shared" si="40"/>
        <v/>
      </c>
      <c r="S436" s="217" t="str">
        <f t="shared" si="41"/>
        <v/>
      </c>
    </row>
    <row r="437" spans="1:19" ht="39" hidden="1" thickBot="1" x14ac:dyDescent="0.3">
      <c r="A437" s="262"/>
      <c r="B437" s="260"/>
      <c r="C437" s="35" t="s">
        <v>118</v>
      </c>
      <c r="D437" s="35" t="s">
        <v>80</v>
      </c>
      <c r="E437" s="36">
        <v>3.2000000000000002E-3</v>
      </c>
      <c r="F437" s="33">
        <v>2476.2639199999999</v>
      </c>
      <c r="G437" s="33">
        <f t="shared" si="36"/>
        <v>7.924044544</v>
      </c>
      <c r="H437" s="38">
        <f>SUM(G437:G439)</f>
        <v>19.130335744</v>
      </c>
      <c r="I437" s="39"/>
      <c r="J437" s="152">
        <v>0</v>
      </c>
      <c r="L437" s="215">
        <v>3.2000000000000002E-3</v>
      </c>
      <c r="M437" s="33">
        <v>2119.6819155200001</v>
      </c>
      <c r="N437" s="33">
        <f t="shared" si="37"/>
        <v>6.7829821296640009</v>
      </c>
      <c r="O437" s="38">
        <f>SUM(N437:N439)</f>
        <v>16.375567396864</v>
      </c>
      <c r="P437" s="36" t="str">
        <f t="shared" si="38"/>
        <v/>
      </c>
      <c r="Q437" s="216">
        <f t="shared" si="39"/>
        <v>0.14399999999999991</v>
      </c>
      <c r="R437" s="216">
        <f t="shared" si="40"/>
        <v>0.14399999999999991</v>
      </c>
      <c r="S437" s="217">
        <f t="shared" si="41"/>
        <v>0.14400000000000002</v>
      </c>
    </row>
    <row r="438" spans="1:19" ht="15.75" hidden="1" thickBot="1" x14ac:dyDescent="0.3">
      <c r="A438" s="262"/>
      <c r="B438" s="260"/>
      <c r="C438" s="35" t="s">
        <v>591</v>
      </c>
      <c r="D438" s="35" t="s">
        <v>583</v>
      </c>
      <c r="E438" s="36">
        <v>0.38400000000000001</v>
      </c>
      <c r="F438" s="30">
        <v>27.160499999999999</v>
      </c>
      <c r="G438" s="33">
        <f t="shared" si="36"/>
        <v>10.429632</v>
      </c>
      <c r="H438" s="34"/>
      <c r="I438" s="30"/>
      <c r="J438" s="152">
        <v>0</v>
      </c>
      <c r="L438" s="215">
        <v>0.38400000000000001</v>
      </c>
      <c r="M438" s="30">
        <v>23.249388</v>
      </c>
      <c r="N438" s="33">
        <f t="shared" si="37"/>
        <v>8.9277649920000002</v>
      </c>
      <c r="O438" s="34"/>
      <c r="P438" s="36" t="str">
        <f t="shared" si="38"/>
        <v/>
      </c>
      <c r="Q438" s="216">
        <f t="shared" si="39"/>
        <v>0.14400000000000002</v>
      </c>
      <c r="R438" s="216">
        <f t="shared" si="40"/>
        <v>0.14400000000000002</v>
      </c>
      <c r="S438" s="217" t="str">
        <f t="shared" si="41"/>
        <v/>
      </c>
    </row>
    <row r="439" spans="1:19" ht="15.75" hidden="1" thickBot="1" x14ac:dyDescent="0.3">
      <c r="A439" s="262"/>
      <c r="B439" s="260"/>
      <c r="C439" s="35" t="s">
        <v>584</v>
      </c>
      <c r="D439" s="35" t="s">
        <v>583</v>
      </c>
      <c r="E439" s="36">
        <v>3.8399999999999997E-2</v>
      </c>
      <c r="F439" s="30">
        <v>20.225499999999997</v>
      </c>
      <c r="G439" s="33">
        <f t="shared" si="36"/>
        <v>0.77665919999999977</v>
      </c>
      <c r="H439" s="34"/>
      <c r="I439" s="30"/>
      <c r="J439" s="152">
        <v>0</v>
      </c>
      <c r="L439" s="215">
        <v>3.8399999999999997E-2</v>
      </c>
      <c r="M439" s="30">
        <v>17.313027999999996</v>
      </c>
      <c r="N439" s="33">
        <f t="shared" si="37"/>
        <v>0.66482027519999976</v>
      </c>
      <c r="O439" s="34"/>
      <c r="P439" s="36" t="str">
        <f t="shared" si="38"/>
        <v/>
      </c>
      <c r="Q439" s="216">
        <f t="shared" si="39"/>
        <v>0.14400000000000013</v>
      </c>
      <c r="R439" s="216">
        <f t="shared" si="40"/>
        <v>0.14400000000000002</v>
      </c>
      <c r="S439" s="217" t="str">
        <f t="shared" si="41"/>
        <v/>
      </c>
    </row>
    <row r="440" spans="1:19" ht="15.75" hidden="1" thickBot="1" x14ac:dyDescent="0.3">
      <c r="A440" s="263"/>
      <c r="B440" s="261"/>
      <c r="C440" s="35"/>
      <c r="D440" s="35"/>
      <c r="E440" s="36"/>
      <c r="F440" s="30" t="s">
        <v>416</v>
      </c>
      <c r="G440" s="30" t="str">
        <f t="shared" si="36"/>
        <v/>
      </c>
      <c r="H440" s="34"/>
      <c r="I440" s="30"/>
      <c r="J440" s="152">
        <v>0</v>
      </c>
      <c r="L440" s="215"/>
      <c r="M440" s="30"/>
      <c r="N440" s="30" t="str">
        <f t="shared" si="37"/>
        <v/>
      </c>
      <c r="O440" s="34"/>
      <c r="P440" s="36" t="str">
        <f t="shared" si="38"/>
        <v/>
      </c>
      <c r="Q440" s="216" t="str">
        <f t="shared" si="39"/>
        <v/>
      </c>
      <c r="R440" s="216" t="str">
        <f t="shared" si="40"/>
        <v/>
      </c>
      <c r="S440" s="217" t="str">
        <f t="shared" si="41"/>
        <v/>
      </c>
    </row>
    <row r="441" spans="1:19" ht="15.75" hidden="1" thickBot="1" x14ac:dyDescent="0.3">
      <c r="A441" s="256" t="s">
        <v>119</v>
      </c>
      <c r="B441" s="259" t="str">
        <f>INDEX(Orçamentária!A:B,MATCH(Composições!A441,Orçamentária!A:A,0),2)</f>
        <v>Chapisco com argamassa traço 1:3</v>
      </c>
      <c r="C441" s="40"/>
      <c r="D441" s="25" t="s">
        <v>70</v>
      </c>
      <c r="E441" s="26"/>
      <c r="F441" s="41" t="s">
        <v>416</v>
      </c>
      <c r="G441" s="27" t="str">
        <f t="shared" si="36"/>
        <v/>
      </c>
      <c r="H441" s="28"/>
      <c r="I441" s="29"/>
      <c r="J441" s="152">
        <v>0</v>
      </c>
      <c r="L441" s="218"/>
      <c r="M441" s="41"/>
      <c r="N441" s="27" t="str">
        <f t="shared" si="37"/>
        <v/>
      </c>
      <c r="O441" s="28"/>
      <c r="P441" s="36" t="str">
        <f t="shared" si="38"/>
        <v/>
      </c>
      <c r="Q441" s="216" t="str">
        <f t="shared" si="39"/>
        <v/>
      </c>
      <c r="R441" s="216" t="str">
        <f t="shared" si="40"/>
        <v/>
      </c>
      <c r="S441" s="217" t="str">
        <f t="shared" si="41"/>
        <v/>
      </c>
    </row>
    <row r="442" spans="1:19" ht="15.75" hidden="1" thickBot="1" x14ac:dyDescent="0.3">
      <c r="A442" s="262"/>
      <c r="B442" s="260"/>
      <c r="C442" s="31"/>
      <c r="D442" s="31"/>
      <c r="E442" s="32"/>
      <c r="F442" s="42" t="s">
        <v>416</v>
      </c>
      <c r="G442" s="30" t="str">
        <f t="shared" si="36"/>
        <v/>
      </c>
      <c r="H442" s="34"/>
      <c r="I442" s="30"/>
      <c r="J442" s="152">
        <v>0</v>
      </c>
      <c r="L442" s="219"/>
      <c r="M442" s="42"/>
      <c r="N442" s="30" t="str">
        <f t="shared" si="37"/>
        <v/>
      </c>
      <c r="O442" s="34"/>
      <c r="P442" s="36" t="str">
        <f t="shared" si="38"/>
        <v/>
      </c>
      <c r="Q442" s="216" t="str">
        <f t="shared" si="39"/>
        <v/>
      </c>
      <c r="R442" s="216" t="str">
        <f t="shared" si="40"/>
        <v/>
      </c>
      <c r="S442" s="217" t="str">
        <f t="shared" si="41"/>
        <v/>
      </c>
    </row>
    <row r="443" spans="1:19" ht="39" hidden="1" thickBot="1" x14ac:dyDescent="0.3">
      <c r="A443" s="262"/>
      <c r="B443" s="260"/>
      <c r="C443" s="35" t="s">
        <v>120</v>
      </c>
      <c r="D443" s="35" t="s">
        <v>80</v>
      </c>
      <c r="E443" s="36">
        <v>4.1999999999999997E-3</v>
      </c>
      <c r="F443" s="33">
        <v>738.08134051699983</v>
      </c>
      <c r="G443" s="33">
        <f t="shared" si="36"/>
        <v>3.0999416301713989</v>
      </c>
      <c r="H443" s="38">
        <f>SUM(G443:G445)</f>
        <v>5.1427551301713983</v>
      </c>
      <c r="I443" s="39"/>
      <c r="J443" s="152">
        <v>0</v>
      </c>
      <c r="L443" s="215">
        <v>4.1999999999999997E-3</v>
      </c>
      <c r="M443" s="33">
        <v>631.79762748255189</v>
      </c>
      <c r="N443" s="33">
        <f t="shared" si="37"/>
        <v>2.6535500354267176</v>
      </c>
      <c r="O443" s="38">
        <f>SUM(N443:N445)</f>
        <v>4.4021983914267171</v>
      </c>
      <c r="P443" s="36" t="str">
        <f t="shared" si="38"/>
        <v/>
      </c>
      <c r="Q443" s="216">
        <f t="shared" si="39"/>
        <v>0.14399999999999991</v>
      </c>
      <c r="R443" s="216">
        <f t="shared" si="40"/>
        <v>0.14399999999999991</v>
      </c>
      <c r="S443" s="217">
        <f t="shared" si="41"/>
        <v>0.14400000000000002</v>
      </c>
    </row>
    <row r="444" spans="1:19" ht="15.75" hidden="1" thickBot="1" x14ac:dyDescent="0.3">
      <c r="A444" s="262"/>
      <c r="B444" s="260"/>
      <c r="C444" s="35" t="s">
        <v>591</v>
      </c>
      <c r="D444" s="35" t="s">
        <v>583</v>
      </c>
      <c r="E444" s="36">
        <v>7.0000000000000007E-2</v>
      </c>
      <c r="F444" s="30">
        <v>27.160499999999999</v>
      </c>
      <c r="G444" s="30">
        <f t="shared" si="36"/>
        <v>1.901235</v>
      </c>
      <c r="H444" s="34"/>
      <c r="I444" s="30"/>
      <c r="J444" s="152">
        <v>0</v>
      </c>
      <c r="L444" s="215">
        <v>7.0000000000000007E-2</v>
      </c>
      <c r="M444" s="30">
        <v>23.249388</v>
      </c>
      <c r="N444" s="30">
        <f t="shared" si="37"/>
        <v>1.6274571600000001</v>
      </c>
      <c r="O444" s="34"/>
      <c r="P444" s="36" t="str">
        <f t="shared" si="38"/>
        <v/>
      </c>
      <c r="Q444" s="216">
        <f t="shared" si="39"/>
        <v>0.14400000000000002</v>
      </c>
      <c r="R444" s="216">
        <f t="shared" si="40"/>
        <v>0.14400000000000002</v>
      </c>
      <c r="S444" s="217" t="str">
        <f t="shared" si="41"/>
        <v/>
      </c>
    </row>
    <row r="445" spans="1:19" ht="15.75" hidden="1" thickBot="1" x14ac:dyDescent="0.3">
      <c r="A445" s="262"/>
      <c r="B445" s="260"/>
      <c r="C445" s="35" t="s">
        <v>584</v>
      </c>
      <c r="D445" s="35" t="s">
        <v>583</v>
      </c>
      <c r="E445" s="36">
        <v>7.0000000000000001E-3</v>
      </c>
      <c r="F445" s="30">
        <v>20.225499999999997</v>
      </c>
      <c r="G445" s="30">
        <f t="shared" si="36"/>
        <v>0.14157849999999997</v>
      </c>
      <c r="H445" s="34"/>
      <c r="I445" s="30"/>
      <c r="J445" s="152">
        <v>0</v>
      </c>
      <c r="L445" s="215">
        <v>7.0000000000000001E-3</v>
      </c>
      <c r="M445" s="30">
        <v>17.313027999999996</v>
      </c>
      <c r="N445" s="30">
        <f t="shared" si="37"/>
        <v>0.12119119599999997</v>
      </c>
      <c r="O445" s="34"/>
      <c r="P445" s="36" t="str">
        <f t="shared" si="38"/>
        <v/>
      </c>
      <c r="Q445" s="216">
        <f t="shared" si="39"/>
        <v>0.14400000000000013</v>
      </c>
      <c r="R445" s="216">
        <f t="shared" si="40"/>
        <v>0.14400000000000002</v>
      </c>
      <c r="S445" s="217" t="str">
        <f t="shared" si="41"/>
        <v/>
      </c>
    </row>
    <row r="446" spans="1:19" ht="15.75" hidden="1" thickBot="1" x14ac:dyDescent="0.3">
      <c r="A446" s="263"/>
      <c r="B446" s="261"/>
      <c r="C446" s="35"/>
      <c r="D446" s="35"/>
      <c r="E446" s="36"/>
      <c r="F446" s="30" t="s">
        <v>416</v>
      </c>
      <c r="G446" s="30" t="str">
        <f t="shared" si="36"/>
        <v/>
      </c>
      <c r="H446" s="34"/>
      <c r="I446" s="30"/>
      <c r="J446" s="152">
        <v>0</v>
      </c>
      <c r="L446" s="215"/>
      <c r="M446" s="30"/>
      <c r="N446" s="30" t="str">
        <f t="shared" si="37"/>
        <v/>
      </c>
      <c r="O446" s="34"/>
      <c r="P446" s="36" t="str">
        <f t="shared" si="38"/>
        <v/>
      </c>
      <c r="Q446" s="216" t="str">
        <f t="shared" si="39"/>
        <v/>
      </c>
      <c r="R446" s="216" t="str">
        <f t="shared" si="40"/>
        <v/>
      </c>
      <c r="S446" s="217" t="str">
        <f t="shared" si="41"/>
        <v/>
      </c>
    </row>
    <row r="447" spans="1:19" ht="15.75" hidden="1" thickBot="1" x14ac:dyDescent="0.3">
      <c r="A447" s="256" t="s">
        <v>121</v>
      </c>
      <c r="B447" s="259" t="str">
        <f>INDEX(Orçamentária!A:B,MATCH(Composições!A447,Orçamentária!A:A,0),2)</f>
        <v>Gesso cola</v>
      </c>
      <c r="C447" s="40"/>
      <c r="D447" s="25" t="s">
        <v>70</v>
      </c>
      <c r="E447" s="26"/>
      <c r="F447" s="41" t="s">
        <v>416</v>
      </c>
      <c r="G447" s="27" t="str">
        <f t="shared" si="36"/>
        <v/>
      </c>
      <c r="H447" s="28"/>
      <c r="I447" s="29"/>
      <c r="J447" s="152">
        <v>0</v>
      </c>
      <c r="L447" s="218"/>
      <c r="M447" s="41"/>
      <c r="N447" s="27" t="str">
        <f t="shared" si="37"/>
        <v/>
      </c>
      <c r="O447" s="28"/>
      <c r="P447" s="36" t="str">
        <f t="shared" si="38"/>
        <v/>
      </c>
      <c r="Q447" s="216" t="str">
        <f t="shared" si="39"/>
        <v/>
      </c>
      <c r="R447" s="216" t="str">
        <f t="shared" si="40"/>
        <v/>
      </c>
      <c r="S447" s="217" t="str">
        <f t="shared" si="41"/>
        <v/>
      </c>
    </row>
    <row r="448" spans="1:19" ht="15.75" hidden="1" thickBot="1" x14ac:dyDescent="0.3">
      <c r="A448" s="257"/>
      <c r="B448" s="260"/>
      <c r="C448" s="31"/>
      <c r="D448" s="31"/>
      <c r="E448" s="32"/>
      <c r="F448" s="42" t="s">
        <v>416</v>
      </c>
      <c r="G448" s="30" t="str">
        <f t="shared" si="36"/>
        <v/>
      </c>
      <c r="H448" s="34"/>
      <c r="I448" s="30"/>
      <c r="J448" s="152">
        <v>0</v>
      </c>
      <c r="L448" s="219"/>
      <c r="M448" s="42"/>
      <c r="N448" s="30" t="str">
        <f t="shared" si="37"/>
        <v/>
      </c>
      <c r="O448" s="34"/>
      <c r="P448" s="36" t="str">
        <f t="shared" si="38"/>
        <v/>
      </c>
      <c r="Q448" s="216" t="str">
        <f t="shared" si="39"/>
        <v/>
      </c>
      <c r="R448" s="216" t="str">
        <f t="shared" si="40"/>
        <v/>
      </c>
      <c r="S448" s="217" t="str">
        <f t="shared" si="41"/>
        <v/>
      </c>
    </row>
    <row r="449" spans="1:19" ht="15.75" hidden="1" thickBot="1" x14ac:dyDescent="0.3">
      <c r="A449" s="257"/>
      <c r="B449" s="260"/>
      <c r="C449" s="35" t="s">
        <v>1103</v>
      </c>
      <c r="D449" s="35" t="s">
        <v>583</v>
      </c>
      <c r="E449" s="36">
        <v>0.4</v>
      </c>
      <c r="F449" s="30">
        <v>26.970499999999998</v>
      </c>
      <c r="G449" s="30">
        <f t="shared" si="36"/>
        <v>10.7882</v>
      </c>
      <c r="H449" s="38">
        <f>SUM(G449:G451)</f>
        <v>12.40624</v>
      </c>
      <c r="I449" s="39"/>
      <c r="J449" s="152">
        <v>0</v>
      </c>
      <c r="L449" s="215">
        <v>0.4</v>
      </c>
      <c r="M449" s="30">
        <v>23.086748</v>
      </c>
      <c r="N449" s="30">
        <f t="shared" si="37"/>
        <v>9.2346991999999997</v>
      </c>
      <c r="O449" s="38">
        <f>SUM(N449:N451)</f>
        <v>10.619741439999999</v>
      </c>
      <c r="P449" s="36" t="str">
        <f t="shared" si="38"/>
        <v/>
      </c>
      <c r="Q449" s="216">
        <f t="shared" si="39"/>
        <v>0.14399999999999991</v>
      </c>
      <c r="R449" s="216">
        <f t="shared" si="40"/>
        <v>0.14400000000000002</v>
      </c>
      <c r="S449" s="217">
        <f t="shared" si="41"/>
        <v>0.14400000000000013</v>
      </c>
    </row>
    <row r="450" spans="1:19" ht="15.75" hidden="1" thickBot="1" x14ac:dyDescent="0.3">
      <c r="A450" s="257"/>
      <c r="B450" s="260"/>
      <c r="C450" s="35" t="s">
        <v>584</v>
      </c>
      <c r="D450" s="35" t="s">
        <v>583</v>
      </c>
      <c r="E450" s="36">
        <v>0.08</v>
      </c>
      <c r="F450" s="30">
        <v>20.225499999999997</v>
      </c>
      <c r="G450" s="30">
        <f t="shared" si="36"/>
        <v>1.6180399999999997</v>
      </c>
      <c r="H450" s="34"/>
      <c r="I450" s="30"/>
      <c r="J450" s="152">
        <v>0</v>
      </c>
      <c r="L450" s="215">
        <v>0.08</v>
      </c>
      <c r="M450" s="30">
        <v>17.313027999999996</v>
      </c>
      <c r="N450" s="30">
        <f t="shared" si="37"/>
        <v>1.3850422399999998</v>
      </c>
      <c r="O450" s="34"/>
      <c r="P450" s="36" t="str">
        <f t="shared" si="38"/>
        <v/>
      </c>
      <c r="Q450" s="216">
        <f t="shared" si="39"/>
        <v>0.14400000000000013</v>
      </c>
      <c r="R450" s="216">
        <f t="shared" si="40"/>
        <v>0.14400000000000002</v>
      </c>
      <c r="S450" s="217" t="str">
        <f t="shared" si="41"/>
        <v/>
      </c>
    </row>
    <row r="451" spans="1:19" ht="15.75" hidden="1" thickBot="1" x14ac:dyDescent="0.3">
      <c r="A451" s="257"/>
      <c r="B451" s="260"/>
      <c r="C451" s="35" t="s">
        <v>122</v>
      </c>
      <c r="D451" s="35" t="s">
        <v>28</v>
      </c>
      <c r="E451" s="36">
        <v>0.75</v>
      </c>
      <c r="F451" s="30" t="s">
        <v>416</v>
      </c>
      <c r="G451" s="30" t="str">
        <f t="shared" si="36"/>
        <v/>
      </c>
      <c r="H451" s="34"/>
      <c r="I451" s="30"/>
      <c r="J451" s="152">
        <v>0</v>
      </c>
      <c r="L451" s="215">
        <v>0.75</v>
      </c>
      <c r="M451" s="30"/>
      <c r="N451" s="30" t="str">
        <f t="shared" si="37"/>
        <v/>
      </c>
      <c r="O451" s="34"/>
      <c r="P451" s="36" t="str">
        <f t="shared" si="38"/>
        <v/>
      </c>
      <c r="Q451" s="216" t="str">
        <f t="shared" si="39"/>
        <v/>
      </c>
      <c r="R451" s="216" t="str">
        <f t="shared" si="40"/>
        <v/>
      </c>
      <c r="S451" s="217" t="str">
        <f t="shared" si="41"/>
        <v/>
      </c>
    </row>
    <row r="452" spans="1:19" ht="15.75" hidden="1" thickBot="1" x14ac:dyDescent="0.3">
      <c r="A452" s="257"/>
      <c r="B452" s="260"/>
      <c r="C452" s="35"/>
      <c r="D452" s="35"/>
      <c r="E452" s="36"/>
      <c r="F452" s="30" t="s">
        <v>416</v>
      </c>
      <c r="G452" s="30" t="str">
        <f t="shared" si="36"/>
        <v/>
      </c>
      <c r="H452" s="34"/>
      <c r="I452" s="30"/>
      <c r="J452" s="152">
        <v>0</v>
      </c>
      <c r="L452" s="215"/>
      <c r="M452" s="30"/>
      <c r="N452" s="30" t="str">
        <f t="shared" si="37"/>
        <v/>
      </c>
      <c r="O452" s="34"/>
      <c r="P452" s="36" t="str">
        <f t="shared" si="38"/>
        <v/>
      </c>
      <c r="Q452" s="216" t="str">
        <f t="shared" si="39"/>
        <v/>
      </c>
      <c r="R452" s="216" t="str">
        <f t="shared" si="40"/>
        <v/>
      </c>
      <c r="S452" s="217" t="str">
        <f t="shared" si="41"/>
        <v/>
      </c>
    </row>
    <row r="453" spans="1:19" ht="26.25" hidden="1" thickBot="1" x14ac:dyDescent="0.3">
      <c r="A453" s="257"/>
      <c r="B453" s="260"/>
      <c r="C453" s="51" t="s">
        <v>123</v>
      </c>
      <c r="D453" s="51"/>
      <c r="E453" s="52"/>
      <c r="F453" s="33" t="s">
        <v>416</v>
      </c>
      <c r="G453" s="30" t="str">
        <f t="shared" si="36"/>
        <v/>
      </c>
      <c r="H453" s="34"/>
      <c r="I453" s="30"/>
      <c r="J453" s="152">
        <v>0</v>
      </c>
      <c r="L453" s="220"/>
      <c r="M453" s="33"/>
      <c r="N453" s="30" t="str">
        <f t="shared" si="37"/>
        <v/>
      </c>
      <c r="O453" s="34"/>
      <c r="P453" s="36" t="str">
        <f t="shared" si="38"/>
        <v/>
      </c>
      <c r="Q453" s="216" t="str">
        <f t="shared" si="39"/>
        <v/>
      </c>
      <c r="R453" s="216" t="str">
        <f t="shared" si="40"/>
        <v/>
      </c>
      <c r="S453" s="217" t="str">
        <f t="shared" si="41"/>
        <v/>
      </c>
    </row>
    <row r="454" spans="1:19" ht="15.75" hidden="1" thickBot="1" x14ac:dyDescent="0.3">
      <c r="A454" s="258"/>
      <c r="B454" s="261"/>
      <c r="C454" s="35"/>
      <c r="D454" s="35"/>
      <c r="E454" s="36"/>
      <c r="F454" s="30" t="s">
        <v>416</v>
      </c>
      <c r="G454" s="30" t="str">
        <f t="shared" ref="G454:G517" si="42">IF(ISNUMBER(F454),E454*F454,"")</f>
        <v/>
      </c>
      <c r="H454" s="34"/>
      <c r="I454" s="30"/>
      <c r="J454" s="152">
        <v>0</v>
      </c>
      <c r="L454" s="215"/>
      <c r="M454" s="30"/>
      <c r="N454" s="30" t="str">
        <f t="shared" ref="N454:N517" si="43">IF(ISNUMBER(M454),L454*M454,"")</f>
        <v/>
      </c>
      <c r="O454" s="34"/>
      <c r="P454" s="36" t="str">
        <f t="shared" si="38"/>
        <v/>
      </c>
      <c r="Q454" s="216" t="str">
        <f t="shared" si="39"/>
        <v/>
      </c>
      <c r="R454" s="216" t="str">
        <f t="shared" si="40"/>
        <v/>
      </c>
      <c r="S454" s="217" t="str">
        <f t="shared" si="41"/>
        <v/>
      </c>
    </row>
    <row r="455" spans="1:19" ht="15.75" hidden="1" thickBot="1" x14ac:dyDescent="0.3">
      <c r="A455" s="256" t="s">
        <v>124</v>
      </c>
      <c r="B455" s="259" t="str">
        <f>INDEX(Orçamentária!A:B,MATCH(Composições!A455,Orçamentária!A:A,0),2)</f>
        <v>Reboco com argamassa industrializada e = 2,0 cm</v>
      </c>
      <c r="C455" s="40"/>
      <c r="D455" s="25" t="s">
        <v>70</v>
      </c>
      <c r="E455" s="26"/>
      <c r="F455" s="41" t="s">
        <v>416</v>
      </c>
      <c r="G455" s="27" t="str">
        <f t="shared" si="42"/>
        <v/>
      </c>
      <c r="H455" s="28"/>
      <c r="I455" s="29"/>
      <c r="J455" s="152">
        <v>0</v>
      </c>
      <c r="L455" s="218"/>
      <c r="M455" s="41"/>
      <c r="N455" s="27" t="str">
        <f t="shared" si="43"/>
        <v/>
      </c>
      <c r="O455" s="28"/>
      <c r="P455" s="36" t="str">
        <f t="shared" si="38"/>
        <v/>
      </c>
      <c r="Q455" s="216" t="str">
        <f t="shared" si="39"/>
        <v/>
      </c>
      <c r="R455" s="216" t="str">
        <f t="shared" si="40"/>
        <v/>
      </c>
      <c r="S455" s="217" t="str">
        <f t="shared" si="41"/>
        <v/>
      </c>
    </row>
    <row r="456" spans="1:19" ht="15.75" hidden="1" thickBot="1" x14ac:dyDescent="0.3">
      <c r="A456" s="262"/>
      <c r="B456" s="260"/>
      <c r="C456" s="31"/>
      <c r="D456" s="31"/>
      <c r="E456" s="32"/>
      <c r="F456" s="42" t="s">
        <v>416</v>
      </c>
      <c r="G456" s="30" t="str">
        <f t="shared" si="42"/>
        <v/>
      </c>
      <c r="H456" s="34"/>
      <c r="I456" s="30"/>
      <c r="J456" s="152">
        <v>0</v>
      </c>
      <c r="L456" s="219"/>
      <c r="M456" s="42"/>
      <c r="N456" s="30" t="str">
        <f t="shared" si="43"/>
        <v/>
      </c>
      <c r="O456" s="34"/>
      <c r="P456" s="36" t="str">
        <f t="shared" ref="P456:P519" si="44">IF(ISBLANK(L456),"",IF($E456&lt;&gt;L456,"SIM",""))</f>
        <v/>
      </c>
      <c r="Q456" s="216" t="str">
        <f t="shared" ref="Q456:Q519" si="45">IF(M456="","",1-M456/$F456)</f>
        <v/>
      </c>
      <c r="R456" s="216" t="str">
        <f t="shared" ref="R456:R519" si="46">IF(N456="","",1-N456/$G456)</f>
        <v/>
      </c>
      <c r="S456" s="217" t="str">
        <f t="shared" ref="S456:S519" si="47">IF(O456="","",1-O456/$H456)</f>
        <v/>
      </c>
    </row>
    <row r="457" spans="1:19" ht="26.25" hidden="1" thickBot="1" x14ac:dyDescent="0.3">
      <c r="A457" s="262"/>
      <c r="B457" s="260"/>
      <c r="C457" s="35" t="s">
        <v>7989</v>
      </c>
      <c r="D457" s="35" t="s">
        <v>773</v>
      </c>
      <c r="E457" s="36">
        <f>1890*0.02</f>
        <v>37.800000000000004</v>
      </c>
      <c r="F457" s="33">
        <v>0.63649999999999995</v>
      </c>
      <c r="G457" s="30">
        <f t="shared" si="42"/>
        <v>24.059699999999999</v>
      </c>
      <c r="H457" s="38">
        <f>SUM(G457:G460)</f>
        <v>44.027124899999997</v>
      </c>
      <c r="I457" s="39"/>
      <c r="J457" s="152">
        <v>0</v>
      </c>
      <c r="L457" s="215">
        <v>37.800000000000004</v>
      </c>
      <c r="M457" s="33">
        <v>0.54484399999999999</v>
      </c>
      <c r="N457" s="30">
        <f t="shared" si="43"/>
        <v>20.5951032</v>
      </c>
      <c r="O457" s="38">
        <f>SUM(N457:N460)</f>
        <v>37.687218914399999</v>
      </c>
      <c r="P457" s="36" t="str">
        <f t="shared" si="44"/>
        <v/>
      </c>
      <c r="Q457" s="216">
        <f t="shared" si="45"/>
        <v>0.14399999999999991</v>
      </c>
      <c r="R457" s="216">
        <f t="shared" si="46"/>
        <v>0.14399999999999991</v>
      </c>
      <c r="S457" s="217">
        <f t="shared" si="47"/>
        <v>0.14400000000000002</v>
      </c>
    </row>
    <row r="458" spans="1:19" ht="15.75" hidden="1" thickBot="1" x14ac:dyDescent="0.3">
      <c r="A458" s="262"/>
      <c r="B458" s="260"/>
      <c r="C458" s="35" t="s">
        <v>584</v>
      </c>
      <c r="D458" s="35" t="s">
        <v>583</v>
      </c>
      <c r="E458" s="36">
        <f>12.59*0.02</f>
        <v>0.25180000000000002</v>
      </c>
      <c r="F458" s="30">
        <v>20.225499999999997</v>
      </c>
      <c r="G458" s="30">
        <f t="shared" si="42"/>
        <v>5.0927808999999993</v>
      </c>
      <c r="H458" s="44"/>
      <c r="I458" s="45"/>
      <c r="J458" s="152">
        <v>0</v>
      </c>
      <c r="L458" s="215">
        <v>0.25180000000000002</v>
      </c>
      <c r="M458" s="30">
        <v>17.313027999999996</v>
      </c>
      <c r="N458" s="30">
        <f t="shared" si="43"/>
        <v>4.3594204503999991</v>
      </c>
      <c r="O458" s="44"/>
      <c r="P458" s="36" t="str">
        <f t="shared" si="44"/>
        <v/>
      </c>
      <c r="Q458" s="216">
        <f t="shared" si="45"/>
        <v>0.14400000000000013</v>
      </c>
      <c r="R458" s="216">
        <f t="shared" si="46"/>
        <v>0.14400000000000002</v>
      </c>
      <c r="S458" s="217" t="str">
        <f t="shared" si="47"/>
        <v/>
      </c>
    </row>
    <row r="459" spans="1:19" ht="15.75" hidden="1" thickBot="1" x14ac:dyDescent="0.3">
      <c r="A459" s="262"/>
      <c r="B459" s="260"/>
      <c r="C459" s="35" t="s">
        <v>591</v>
      </c>
      <c r="D459" s="35" t="s">
        <v>583</v>
      </c>
      <c r="E459" s="36">
        <v>0.43</v>
      </c>
      <c r="F459" s="30">
        <v>27.160499999999999</v>
      </c>
      <c r="G459" s="30">
        <f t="shared" si="42"/>
        <v>11.679015</v>
      </c>
      <c r="H459" s="34"/>
      <c r="I459" s="30"/>
      <c r="J459" s="152">
        <v>0</v>
      </c>
      <c r="L459" s="215">
        <v>0.43</v>
      </c>
      <c r="M459" s="30">
        <v>23.249388</v>
      </c>
      <c r="N459" s="30">
        <f t="shared" si="43"/>
        <v>9.9972368399999993</v>
      </c>
      <c r="O459" s="34"/>
      <c r="P459" s="36" t="str">
        <f t="shared" si="44"/>
        <v/>
      </c>
      <c r="Q459" s="216">
        <f t="shared" si="45"/>
        <v>0.14400000000000002</v>
      </c>
      <c r="R459" s="216">
        <f t="shared" si="46"/>
        <v>0.14400000000000002</v>
      </c>
      <c r="S459" s="217" t="str">
        <f t="shared" si="47"/>
        <v/>
      </c>
    </row>
    <row r="460" spans="1:19" ht="15.75" hidden="1" thickBot="1" x14ac:dyDescent="0.3">
      <c r="A460" s="262"/>
      <c r="B460" s="260"/>
      <c r="C460" s="35" t="s">
        <v>584</v>
      </c>
      <c r="D460" s="35" t="s">
        <v>583</v>
      </c>
      <c r="E460" s="36">
        <f>0.158</f>
        <v>0.158</v>
      </c>
      <c r="F460" s="30">
        <v>20.225499999999997</v>
      </c>
      <c r="G460" s="30">
        <f t="shared" si="42"/>
        <v>3.1956289999999994</v>
      </c>
      <c r="H460" s="34"/>
      <c r="I460" s="30"/>
      <c r="J460" s="152">
        <v>0</v>
      </c>
      <c r="L460" s="215">
        <v>0.158</v>
      </c>
      <c r="M460" s="30">
        <v>17.313027999999996</v>
      </c>
      <c r="N460" s="30">
        <f t="shared" si="43"/>
        <v>2.7354584239999995</v>
      </c>
      <c r="O460" s="34"/>
      <c r="P460" s="36" t="str">
        <f t="shared" si="44"/>
        <v/>
      </c>
      <c r="Q460" s="216">
        <f t="shared" si="45"/>
        <v>0.14400000000000013</v>
      </c>
      <c r="R460" s="216">
        <f t="shared" si="46"/>
        <v>0.14400000000000002</v>
      </c>
      <c r="S460" s="217" t="str">
        <f t="shared" si="47"/>
        <v/>
      </c>
    </row>
    <row r="461" spans="1:19" ht="15.75" hidden="1" thickBot="1" x14ac:dyDescent="0.3">
      <c r="A461" s="262"/>
      <c r="B461" s="260"/>
      <c r="C461" s="35"/>
      <c r="D461" s="35"/>
      <c r="E461" s="36"/>
      <c r="F461" s="30" t="s">
        <v>416</v>
      </c>
      <c r="G461" s="30" t="str">
        <f t="shared" si="42"/>
        <v/>
      </c>
      <c r="H461" s="34"/>
      <c r="I461" s="30"/>
      <c r="J461" s="152">
        <v>0</v>
      </c>
      <c r="L461" s="215"/>
      <c r="M461" s="30"/>
      <c r="N461" s="30" t="str">
        <f t="shared" si="43"/>
        <v/>
      </c>
      <c r="O461" s="34"/>
      <c r="P461" s="36" t="str">
        <f t="shared" si="44"/>
        <v/>
      </c>
      <c r="Q461" s="216" t="str">
        <f t="shared" si="45"/>
        <v/>
      </c>
      <c r="R461" s="216" t="str">
        <f t="shared" si="46"/>
        <v/>
      </c>
      <c r="S461" s="217" t="str">
        <f t="shared" si="47"/>
        <v/>
      </c>
    </row>
    <row r="462" spans="1:19" ht="51.75" hidden="1" thickBot="1" x14ac:dyDescent="0.3">
      <c r="A462" s="262"/>
      <c r="B462" s="260"/>
      <c r="C462" s="51" t="s">
        <v>125</v>
      </c>
      <c r="D462" s="35"/>
      <c r="E462" s="36"/>
      <c r="F462" s="30" t="s">
        <v>416</v>
      </c>
      <c r="G462" s="30" t="str">
        <f t="shared" si="42"/>
        <v/>
      </c>
      <c r="H462" s="34"/>
      <c r="I462" s="30"/>
      <c r="J462" s="152">
        <v>0</v>
      </c>
      <c r="L462" s="215"/>
      <c r="M462" s="30"/>
      <c r="N462" s="30" t="str">
        <f t="shared" si="43"/>
        <v/>
      </c>
      <c r="O462" s="34"/>
      <c r="P462" s="36" t="str">
        <f t="shared" si="44"/>
        <v/>
      </c>
      <c r="Q462" s="216" t="str">
        <f t="shared" si="45"/>
        <v/>
      </c>
      <c r="R462" s="216" t="str">
        <f t="shared" si="46"/>
        <v/>
      </c>
      <c r="S462" s="217" t="str">
        <f t="shared" si="47"/>
        <v/>
      </c>
    </row>
    <row r="463" spans="1:19" ht="30.75" hidden="1" thickBot="1" x14ac:dyDescent="0.3">
      <c r="A463" s="262"/>
      <c r="B463" s="260"/>
      <c r="C463" s="143" t="s">
        <v>126</v>
      </c>
      <c r="D463" s="35"/>
      <c r="E463" s="36"/>
      <c r="F463" s="30" t="s">
        <v>416</v>
      </c>
      <c r="G463" s="30" t="str">
        <f t="shared" si="42"/>
        <v/>
      </c>
      <c r="H463" s="34"/>
      <c r="I463" s="30"/>
      <c r="J463" s="152">
        <v>0</v>
      </c>
      <c r="L463" s="215"/>
      <c r="M463" s="30"/>
      <c r="N463" s="30" t="str">
        <f t="shared" si="43"/>
        <v/>
      </c>
      <c r="O463" s="34"/>
      <c r="P463" s="36" t="str">
        <f t="shared" si="44"/>
        <v/>
      </c>
      <c r="Q463" s="216" t="str">
        <f t="shared" si="45"/>
        <v/>
      </c>
      <c r="R463" s="216" t="str">
        <f t="shared" si="46"/>
        <v/>
      </c>
      <c r="S463" s="217" t="str">
        <f t="shared" si="47"/>
        <v/>
      </c>
    </row>
    <row r="464" spans="1:19" ht="15.75" hidden="1" thickBot="1" x14ac:dyDescent="0.3">
      <c r="A464" s="263"/>
      <c r="B464" s="261"/>
      <c r="C464" s="35"/>
      <c r="D464" s="35"/>
      <c r="E464" s="36"/>
      <c r="F464" s="30" t="s">
        <v>416</v>
      </c>
      <c r="G464" s="30" t="str">
        <f t="shared" si="42"/>
        <v/>
      </c>
      <c r="H464" s="34"/>
      <c r="I464" s="30"/>
      <c r="J464" s="152">
        <v>0</v>
      </c>
      <c r="L464" s="215"/>
      <c r="M464" s="30"/>
      <c r="N464" s="30" t="str">
        <f t="shared" si="43"/>
        <v/>
      </c>
      <c r="O464" s="34"/>
      <c r="P464" s="36" t="str">
        <f t="shared" si="44"/>
        <v/>
      </c>
      <c r="Q464" s="216" t="str">
        <f t="shared" si="45"/>
        <v/>
      </c>
      <c r="R464" s="216" t="str">
        <f t="shared" si="46"/>
        <v/>
      </c>
      <c r="S464" s="217" t="str">
        <f t="shared" si="47"/>
        <v/>
      </c>
    </row>
    <row r="465" spans="1:19" ht="15.75" hidden="1" thickBot="1" x14ac:dyDescent="0.3">
      <c r="A465" s="256" t="s">
        <v>127</v>
      </c>
      <c r="B465" s="259" t="str">
        <f>INDEX(Orçamentária!A:B,MATCH(Composições!A465,Orçamentária!A:A,0),2)</f>
        <v>Regularização com argamassa industrializada e = 0,5 cm</v>
      </c>
      <c r="C465" s="40"/>
      <c r="D465" s="25" t="s">
        <v>70</v>
      </c>
      <c r="E465" s="26"/>
      <c r="F465" s="41" t="s">
        <v>416</v>
      </c>
      <c r="G465" s="27" t="str">
        <f t="shared" si="42"/>
        <v/>
      </c>
      <c r="H465" s="28"/>
      <c r="I465" s="29"/>
      <c r="J465" s="152">
        <v>0</v>
      </c>
      <c r="L465" s="218"/>
      <c r="M465" s="41"/>
      <c r="N465" s="27" t="str">
        <f t="shared" si="43"/>
        <v/>
      </c>
      <c r="O465" s="28"/>
      <c r="P465" s="36" t="str">
        <f t="shared" si="44"/>
        <v/>
      </c>
      <c r="Q465" s="216" t="str">
        <f t="shared" si="45"/>
        <v/>
      </c>
      <c r="R465" s="216" t="str">
        <f t="shared" si="46"/>
        <v/>
      </c>
      <c r="S465" s="217" t="str">
        <f t="shared" si="47"/>
        <v/>
      </c>
    </row>
    <row r="466" spans="1:19" ht="15.75" hidden="1" thickBot="1" x14ac:dyDescent="0.3">
      <c r="A466" s="262"/>
      <c r="B466" s="260"/>
      <c r="C466" s="31"/>
      <c r="D466" s="31"/>
      <c r="E466" s="32"/>
      <c r="F466" s="42" t="s">
        <v>416</v>
      </c>
      <c r="G466" s="30" t="str">
        <f t="shared" si="42"/>
        <v/>
      </c>
      <c r="H466" s="34"/>
      <c r="I466" s="30"/>
      <c r="J466" s="152">
        <v>0</v>
      </c>
      <c r="L466" s="219"/>
      <c r="M466" s="42"/>
      <c r="N466" s="30" t="str">
        <f t="shared" si="43"/>
        <v/>
      </c>
      <c r="O466" s="34"/>
      <c r="P466" s="36" t="str">
        <f t="shared" si="44"/>
        <v/>
      </c>
      <c r="Q466" s="216" t="str">
        <f t="shared" si="45"/>
        <v/>
      </c>
      <c r="R466" s="216" t="str">
        <f t="shared" si="46"/>
        <v/>
      </c>
      <c r="S466" s="217" t="str">
        <f t="shared" si="47"/>
        <v/>
      </c>
    </row>
    <row r="467" spans="1:19" ht="26.25" hidden="1" thickBot="1" x14ac:dyDescent="0.3">
      <c r="A467" s="262"/>
      <c r="B467" s="260"/>
      <c r="C467" s="35" t="s">
        <v>7989</v>
      </c>
      <c r="D467" s="35" t="s">
        <v>773</v>
      </c>
      <c r="E467" s="36">
        <f>1890*0.005</f>
        <v>9.4500000000000011</v>
      </c>
      <c r="F467" s="33">
        <v>0.63649999999999995</v>
      </c>
      <c r="G467" s="30">
        <f t="shared" si="42"/>
        <v>6.0149249999999999</v>
      </c>
      <c r="H467" s="38">
        <f>SUM(G467:G470)</f>
        <v>14.795943625</v>
      </c>
      <c r="I467" s="39"/>
      <c r="J467" s="152">
        <v>0</v>
      </c>
      <c r="L467" s="215">
        <v>9.4500000000000011</v>
      </c>
      <c r="M467" s="33">
        <v>0.54484399999999999</v>
      </c>
      <c r="N467" s="30">
        <f t="shared" si="43"/>
        <v>5.1487758000000001</v>
      </c>
      <c r="O467" s="38">
        <f>SUM(N467:N470)</f>
        <v>12.665327742999999</v>
      </c>
      <c r="P467" s="36" t="str">
        <f t="shared" si="44"/>
        <v/>
      </c>
      <c r="Q467" s="216">
        <f t="shared" si="45"/>
        <v>0.14399999999999991</v>
      </c>
      <c r="R467" s="216">
        <f t="shared" si="46"/>
        <v>0.14399999999999991</v>
      </c>
      <c r="S467" s="217">
        <f t="shared" si="47"/>
        <v>0.14400000000000002</v>
      </c>
    </row>
    <row r="468" spans="1:19" ht="15.75" hidden="1" thickBot="1" x14ac:dyDescent="0.3">
      <c r="A468" s="262"/>
      <c r="B468" s="260"/>
      <c r="C468" s="35" t="s">
        <v>584</v>
      </c>
      <c r="D468" s="35" t="s">
        <v>583</v>
      </c>
      <c r="E468" s="36">
        <f>12.59*0.005</f>
        <v>6.2950000000000006E-2</v>
      </c>
      <c r="F468" s="30">
        <v>20.225499999999997</v>
      </c>
      <c r="G468" s="30">
        <f t="shared" si="42"/>
        <v>1.2731952249999998</v>
      </c>
      <c r="H468" s="34"/>
      <c r="I468" s="30"/>
      <c r="J468" s="152">
        <v>0</v>
      </c>
      <c r="L468" s="215">
        <v>6.2950000000000006E-2</v>
      </c>
      <c r="M468" s="30">
        <v>17.313027999999996</v>
      </c>
      <c r="N468" s="30">
        <f t="shared" si="43"/>
        <v>1.0898551125999998</v>
      </c>
      <c r="O468" s="34"/>
      <c r="P468" s="36" t="str">
        <f t="shared" si="44"/>
        <v/>
      </c>
      <c r="Q468" s="216">
        <f t="shared" si="45"/>
        <v>0.14400000000000013</v>
      </c>
      <c r="R468" s="216">
        <f t="shared" si="46"/>
        <v>0.14400000000000002</v>
      </c>
      <c r="S468" s="217" t="str">
        <f t="shared" si="47"/>
        <v/>
      </c>
    </row>
    <row r="469" spans="1:19" ht="15.75" hidden="1" thickBot="1" x14ac:dyDescent="0.3">
      <c r="A469" s="262"/>
      <c r="B469" s="260"/>
      <c r="C469" s="35" t="s">
        <v>591</v>
      </c>
      <c r="D469" s="35" t="s">
        <v>583</v>
      </c>
      <c r="E469" s="36">
        <f>0.31*0.7</f>
        <v>0.217</v>
      </c>
      <c r="F469" s="30">
        <v>27.160499999999999</v>
      </c>
      <c r="G469" s="30">
        <f t="shared" si="42"/>
        <v>5.8938284999999997</v>
      </c>
      <c r="H469" s="34"/>
      <c r="I469" s="30"/>
      <c r="J469" s="152">
        <v>0</v>
      </c>
      <c r="L469" s="215">
        <v>0.217</v>
      </c>
      <c r="M469" s="30">
        <v>23.249388</v>
      </c>
      <c r="N469" s="30">
        <f t="shared" si="43"/>
        <v>5.0451171959999996</v>
      </c>
      <c r="O469" s="34"/>
      <c r="P469" s="36" t="str">
        <f t="shared" si="44"/>
        <v/>
      </c>
      <c r="Q469" s="216">
        <f t="shared" si="45"/>
        <v>0.14400000000000002</v>
      </c>
      <c r="R469" s="216">
        <f t="shared" si="46"/>
        <v>0.14400000000000002</v>
      </c>
      <c r="S469" s="217" t="str">
        <f t="shared" si="47"/>
        <v/>
      </c>
    </row>
    <row r="470" spans="1:19" ht="15.75" hidden="1" thickBot="1" x14ac:dyDescent="0.3">
      <c r="A470" s="262"/>
      <c r="B470" s="260"/>
      <c r="C470" s="35" t="s">
        <v>584</v>
      </c>
      <c r="D470" s="35" t="s">
        <v>583</v>
      </c>
      <c r="E470" s="36">
        <f>0.114*0.7</f>
        <v>7.9799999999999996E-2</v>
      </c>
      <c r="F470" s="30">
        <v>20.225499999999997</v>
      </c>
      <c r="G470" s="30">
        <f t="shared" si="42"/>
        <v>1.6139948999999996</v>
      </c>
      <c r="H470" s="34"/>
      <c r="I470" s="30"/>
      <c r="J470" s="152">
        <v>0</v>
      </c>
      <c r="L470" s="215">
        <v>7.9799999999999996E-2</v>
      </c>
      <c r="M470" s="30">
        <v>17.313027999999996</v>
      </c>
      <c r="N470" s="30">
        <f t="shared" si="43"/>
        <v>1.3815796343999995</v>
      </c>
      <c r="O470" s="34"/>
      <c r="P470" s="36" t="str">
        <f t="shared" si="44"/>
        <v/>
      </c>
      <c r="Q470" s="216">
        <f t="shared" si="45"/>
        <v>0.14400000000000013</v>
      </c>
      <c r="R470" s="216">
        <f t="shared" si="46"/>
        <v>0.14400000000000002</v>
      </c>
      <c r="S470" s="217" t="str">
        <f t="shared" si="47"/>
        <v/>
      </c>
    </row>
    <row r="471" spans="1:19" ht="15.75" hidden="1" thickBot="1" x14ac:dyDescent="0.3">
      <c r="A471" s="263"/>
      <c r="B471" s="261"/>
      <c r="C471" s="35"/>
      <c r="D471" s="35"/>
      <c r="E471" s="36"/>
      <c r="F471" s="30" t="s">
        <v>416</v>
      </c>
      <c r="G471" s="30" t="str">
        <f t="shared" si="42"/>
        <v/>
      </c>
      <c r="H471" s="34"/>
      <c r="I471" s="30"/>
      <c r="J471" s="152">
        <v>0</v>
      </c>
      <c r="L471" s="215"/>
      <c r="M471" s="30"/>
      <c r="N471" s="30" t="str">
        <f t="shared" si="43"/>
        <v/>
      </c>
      <c r="O471" s="34"/>
      <c r="P471" s="36" t="str">
        <f t="shared" si="44"/>
        <v/>
      </c>
      <c r="Q471" s="216" t="str">
        <f t="shared" si="45"/>
        <v/>
      </c>
      <c r="R471" s="216" t="str">
        <f t="shared" si="46"/>
        <v/>
      </c>
      <c r="S471" s="217" t="str">
        <f t="shared" si="47"/>
        <v/>
      </c>
    </row>
    <row r="472" spans="1:19" ht="15.75" hidden="1" thickBot="1" x14ac:dyDescent="0.3">
      <c r="A472" s="256" t="s">
        <v>128</v>
      </c>
      <c r="B472" s="259" t="str">
        <f>INDEX(Orçamentária!A:B,MATCH(Composições!A472,Orçamentária!A:A,0),2)</f>
        <v>Tratamento de trincas superficiais</v>
      </c>
      <c r="C472" s="40"/>
      <c r="D472" s="25" t="s">
        <v>69</v>
      </c>
      <c r="E472" s="26"/>
      <c r="F472" s="41" t="s">
        <v>416</v>
      </c>
      <c r="G472" s="27" t="str">
        <f t="shared" si="42"/>
        <v/>
      </c>
      <c r="H472" s="28"/>
      <c r="I472" s="29"/>
      <c r="J472" s="152">
        <v>0</v>
      </c>
      <c r="L472" s="218"/>
      <c r="M472" s="41"/>
      <c r="N472" s="27" t="str">
        <f t="shared" si="43"/>
        <v/>
      </c>
      <c r="O472" s="28"/>
      <c r="P472" s="36" t="str">
        <f t="shared" si="44"/>
        <v/>
      </c>
      <c r="Q472" s="216" t="str">
        <f t="shared" si="45"/>
        <v/>
      </c>
      <c r="R472" s="216" t="str">
        <f t="shared" si="46"/>
        <v/>
      </c>
      <c r="S472" s="217" t="str">
        <f t="shared" si="47"/>
        <v/>
      </c>
    </row>
    <row r="473" spans="1:19" ht="15.75" hidden="1" thickBot="1" x14ac:dyDescent="0.3">
      <c r="A473" s="262"/>
      <c r="B473" s="260"/>
      <c r="C473" s="31"/>
      <c r="D473" s="31"/>
      <c r="E473" s="32"/>
      <c r="F473" s="42" t="s">
        <v>416</v>
      </c>
      <c r="G473" s="30" t="str">
        <f t="shared" si="42"/>
        <v/>
      </c>
      <c r="H473" s="34"/>
      <c r="I473" s="30"/>
      <c r="J473" s="152">
        <v>0</v>
      </c>
      <c r="L473" s="219"/>
      <c r="M473" s="42"/>
      <c r="N473" s="30" t="str">
        <f t="shared" si="43"/>
        <v/>
      </c>
      <c r="O473" s="34"/>
      <c r="P473" s="36" t="str">
        <f t="shared" si="44"/>
        <v/>
      </c>
      <c r="Q473" s="216" t="str">
        <f t="shared" si="45"/>
        <v/>
      </c>
      <c r="R473" s="216" t="str">
        <f t="shared" si="46"/>
        <v/>
      </c>
      <c r="S473" s="217" t="str">
        <f t="shared" si="47"/>
        <v/>
      </c>
    </row>
    <row r="474" spans="1:19" ht="15.75" hidden="1" thickBot="1" x14ac:dyDescent="0.3">
      <c r="A474" s="262"/>
      <c r="B474" s="260"/>
      <c r="C474" s="35" t="s">
        <v>584</v>
      </c>
      <c r="D474" s="35" t="s">
        <v>583</v>
      </c>
      <c r="E474" s="36">
        <v>0.6</v>
      </c>
      <c r="F474" s="30">
        <v>20.225499999999997</v>
      </c>
      <c r="G474" s="33">
        <f t="shared" si="42"/>
        <v>12.135299999999997</v>
      </c>
      <c r="H474" s="38">
        <f>SUM(G474:G478)</f>
        <v>16.8428027</v>
      </c>
      <c r="I474" s="39"/>
      <c r="J474" s="152">
        <v>0</v>
      </c>
      <c r="L474" s="215">
        <v>0.6</v>
      </c>
      <c r="M474" s="30">
        <v>17.313027999999996</v>
      </c>
      <c r="N474" s="33">
        <f t="shared" si="43"/>
        <v>10.387816799999998</v>
      </c>
      <c r="O474" s="38">
        <f>SUM(N474:N478)</f>
        <v>14.417439111199997</v>
      </c>
      <c r="P474" s="36" t="str">
        <f t="shared" si="44"/>
        <v/>
      </c>
      <c r="Q474" s="216">
        <f t="shared" si="45"/>
        <v>0.14400000000000013</v>
      </c>
      <c r="R474" s="216">
        <f t="shared" si="46"/>
        <v>0.14400000000000002</v>
      </c>
      <c r="S474" s="217">
        <f t="shared" si="47"/>
        <v>0.14400000000000024</v>
      </c>
    </row>
    <row r="475" spans="1:19" ht="15.75" hidden="1" thickBot="1" x14ac:dyDescent="0.3">
      <c r="A475" s="262"/>
      <c r="B475" s="260"/>
      <c r="C475" s="35" t="s">
        <v>591</v>
      </c>
      <c r="D475" s="35" t="s">
        <v>583</v>
      </c>
      <c r="E475" s="36">
        <v>0.155</v>
      </c>
      <c r="F475" s="30">
        <v>27.160499999999999</v>
      </c>
      <c r="G475" s="33">
        <f t="shared" si="42"/>
        <v>4.2098775000000002</v>
      </c>
      <c r="H475" s="34"/>
      <c r="I475" s="30"/>
      <c r="J475" s="152">
        <v>0</v>
      </c>
      <c r="L475" s="215">
        <v>0.155</v>
      </c>
      <c r="M475" s="30">
        <v>23.249388</v>
      </c>
      <c r="N475" s="33">
        <f t="shared" si="43"/>
        <v>3.6036551399999999</v>
      </c>
      <c r="O475" s="34"/>
      <c r="P475" s="36" t="str">
        <f t="shared" si="44"/>
        <v/>
      </c>
      <c r="Q475" s="216">
        <f t="shared" si="45"/>
        <v>0.14400000000000002</v>
      </c>
      <c r="R475" s="216">
        <f t="shared" si="46"/>
        <v>0.14400000000000002</v>
      </c>
      <c r="S475" s="217" t="str">
        <f t="shared" si="47"/>
        <v/>
      </c>
    </row>
    <row r="476" spans="1:19" ht="15.75" hidden="1" thickBot="1" x14ac:dyDescent="0.3">
      <c r="A476" s="262"/>
      <c r="B476" s="260"/>
      <c r="C476" s="35" t="s">
        <v>129</v>
      </c>
      <c r="D476" s="46" t="s">
        <v>69</v>
      </c>
      <c r="E476" s="36">
        <v>1.05</v>
      </c>
      <c r="F476" s="33">
        <v>0</v>
      </c>
      <c r="G476" s="33">
        <f t="shared" si="42"/>
        <v>0</v>
      </c>
      <c r="H476" s="34"/>
      <c r="I476" s="30"/>
      <c r="J476" s="152">
        <v>0</v>
      </c>
      <c r="L476" s="215">
        <v>1.05</v>
      </c>
      <c r="M476" s="33">
        <v>0</v>
      </c>
      <c r="N476" s="33">
        <f t="shared" si="43"/>
        <v>0</v>
      </c>
      <c r="O476" s="34"/>
      <c r="P476" s="36" t="str">
        <f t="shared" si="44"/>
        <v/>
      </c>
      <c r="Q476" s="216" t="e">
        <f t="shared" si="45"/>
        <v>#DIV/0!</v>
      </c>
      <c r="R476" s="216" t="e">
        <f t="shared" si="46"/>
        <v>#DIV/0!</v>
      </c>
      <c r="S476" s="217" t="str">
        <f t="shared" si="47"/>
        <v/>
      </c>
    </row>
    <row r="477" spans="1:19" ht="15.75" hidden="1" thickBot="1" x14ac:dyDescent="0.3">
      <c r="A477" s="262"/>
      <c r="B477" s="260"/>
      <c r="C477" s="35" t="s">
        <v>8368</v>
      </c>
      <c r="D477" s="35" t="s">
        <v>75</v>
      </c>
      <c r="E477" s="36">
        <f>ROUND(1*0.15/(165/18),4)</f>
        <v>1.6400000000000001E-2</v>
      </c>
      <c r="F477" s="33">
        <v>30.343</v>
      </c>
      <c r="G477" s="33">
        <f t="shared" si="42"/>
        <v>0.49762520000000005</v>
      </c>
      <c r="H477" s="34"/>
      <c r="I477" s="30"/>
      <c r="J477" s="152">
        <v>0</v>
      </c>
      <c r="L477" s="215">
        <v>1.6400000000000001E-2</v>
      </c>
      <c r="M477" s="33">
        <v>25.973607999999999</v>
      </c>
      <c r="N477" s="33">
        <f t="shared" si="43"/>
        <v>0.42596717119999999</v>
      </c>
      <c r="O477" s="34"/>
      <c r="P477" s="36" t="str">
        <f t="shared" si="44"/>
        <v/>
      </c>
      <c r="Q477" s="216">
        <f t="shared" si="45"/>
        <v>0.14400000000000002</v>
      </c>
      <c r="R477" s="216">
        <f t="shared" si="46"/>
        <v>0.14400000000000013</v>
      </c>
      <c r="S477" s="217" t="str">
        <f t="shared" si="47"/>
        <v/>
      </c>
    </row>
    <row r="478" spans="1:19" ht="15.75" hidden="1" thickBot="1" x14ac:dyDescent="0.3">
      <c r="A478" s="262"/>
      <c r="B478" s="260"/>
      <c r="C478" s="35" t="s">
        <v>130</v>
      </c>
      <c r="D478" s="46" t="s">
        <v>5783</v>
      </c>
      <c r="E478" s="36">
        <v>0.4</v>
      </c>
      <c r="F478" s="33" t="s">
        <v>416</v>
      </c>
      <c r="G478" s="33" t="str">
        <f t="shared" si="42"/>
        <v/>
      </c>
      <c r="H478" s="34"/>
      <c r="I478" s="30"/>
      <c r="J478" s="152">
        <v>0</v>
      </c>
      <c r="L478" s="215">
        <v>0.4</v>
      </c>
      <c r="M478" s="33"/>
      <c r="N478" s="33" t="str">
        <f t="shared" si="43"/>
        <v/>
      </c>
      <c r="O478" s="34"/>
      <c r="P478" s="36" t="str">
        <f t="shared" si="44"/>
        <v/>
      </c>
      <c r="Q478" s="216" t="str">
        <f t="shared" si="45"/>
        <v/>
      </c>
      <c r="R478" s="216" t="str">
        <f t="shared" si="46"/>
        <v/>
      </c>
      <c r="S478" s="217" t="str">
        <f t="shared" si="47"/>
        <v/>
      </c>
    </row>
    <row r="479" spans="1:19" ht="15.75" hidden="1" thickBot="1" x14ac:dyDescent="0.3">
      <c r="A479" s="262"/>
      <c r="B479" s="260"/>
      <c r="C479" s="35"/>
      <c r="D479" s="46"/>
      <c r="E479" s="36"/>
      <c r="F479" s="33" t="s">
        <v>416</v>
      </c>
      <c r="G479" s="33" t="str">
        <f t="shared" si="42"/>
        <v/>
      </c>
      <c r="H479" s="34"/>
      <c r="I479" s="30"/>
      <c r="J479" s="152">
        <v>0</v>
      </c>
      <c r="L479" s="215"/>
      <c r="M479" s="33"/>
      <c r="N479" s="33" t="str">
        <f t="shared" si="43"/>
        <v/>
      </c>
      <c r="O479" s="34"/>
      <c r="P479" s="36" t="str">
        <f t="shared" si="44"/>
        <v/>
      </c>
      <c r="Q479" s="216" t="str">
        <f t="shared" si="45"/>
        <v/>
      </c>
      <c r="R479" s="216" t="str">
        <f t="shared" si="46"/>
        <v/>
      </c>
      <c r="S479" s="217" t="str">
        <f t="shared" si="47"/>
        <v/>
      </c>
    </row>
    <row r="480" spans="1:19" ht="51.75" hidden="1" thickBot="1" x14ac:dyDescent="0.3">
      <c r="A480" s="262"/>
      <c r="B480" s="260"/>
      <c r="C480" s="51" t="s">
        <v>5784</v>
      </c>
      <c r="D480" s="46"/>
      <c r="E480" s="36"/>
      <c r="F480" s="33" t="s">
        <v>416</v>
      </c>
      <c r="G480" s="33" t="str">
        <f t="shared" si="42"/>
        <v/>
      </c>
      <c r="H480" s="34"/>
      <c r="I480" s="30"/>
      <c r="J480" s="152">
        <v>0</v>
      </c>
      <c r="L480" s="215"/>
      <c r="M480" s="33"/>
      <c r="N480" s="33" t="str">
        <f t="shared" si="43"/>
        <v/>
      </c>
      <c r="O480" s="34"/>
      <c r="P480" s="36" t="str">
        <f t="shared" si="44"/>
        <v/>
      </c>
      <c r="Q480" s="216" t="str">
        <f t="shared" si="45"/>
        <v/>
      </c>
      <c r="R480" s="216" t="str">
        <f t="shared" si="46"/>
        <v/>
      </c>
      <c r="S480" s="217" t="str">
        <f t="shared" si="47"/>
        <v/>
      </c>
    </row>
    <row r="481" spans="1:19" ht="30.75" hidden="1" thickBot="1" x14ac:dyDescent="0.3">
      <c r="A481" s="262"/>
      <c r="B481" s="260"/>
      <c r="C481" s="144" t="s">
        <v>5785</v>
      </c>
      <c r="D481" s="46"/>
      <c r="E481" s="36"/>
      <c r="F481" s="33" t="s">
        <v>416</v>
      </c>
      <c r="G481" s="33" t="str">
        <f t="shared" si="42"/>
        <v/>
      </c>
      <c r="H481" s="34"/>
      <c r="I481" s="30"/>
      <c r="J481" s="152">
        <v>0</v>
      </c>
      <c r="L481" s="215"/>
      <c r="M481" s="33"/>
      <c r="N481" s="33" t="str">
        <f t="shared" si="43"/>
        <v/>
      </c>
      <c r="O481" s="34"/>
      <c r="P481" s="36" t="str">
        <f t="shared" si="44"/>
        <v/>
      </c>
      <c r="Q481" s="216" t="str">
        <f t="shared" si="45"/>
        <v/>
      </c>
      <c r="R481" s="216" t="str">
        <f t="shared" si="46"/>
        <v/>
      </c>
      <c r="S481" s="217" t="str">
        <f t="shared" si="47"/>
        <v/>
      </c>
    </row>
    <row r="482" spans="1:19" ht="30.75" hidden="1" thickBot="1" x14ac:dyDescent="0.3">
      <c r="A482" s="262"/>
      <c r="B482" s="260"/>
      <c r="C482" s="144" t="s">
        <v>131</v>
      </c>
      <c r="D482" s="46"/>
      <c r="E482" s="36"/>
      <c r="F482" s="33" t="s">
        <v>416</v>
      </c>
      <c r="G482" s="33" t="str">
        <f t="shared" si="42"/>
        <v/>
      </c>
      <c r="H482" s="34"/>
      <c r="I482" s="30"/>
      <c r="J482" s="152">
        <v>0</v>
      </c>
      <c r="L482" s="215"/>
      <c r="M482" s="33"/>
      <c r="N482" s="33" t="str">
        <f t="shared" si="43"/>
        <v/>
      </c>
      <c r="O482" s="34"/>
      <c r="P482" s="36" t="str">
        <f t="shared" si="44"/>
        <v/>
      </c>
      <c r="Q482" s="216" t="str">
        <f t="shared" si="45"/>
        <v/>
      </c>
      <c r="R482" s="216" t="str">
        <f t="shared" si="46"/>
        <v/>
      </c>
      <c r="S482" s="217" t="str">
        <f t="shared" si="47"/>
        <v/>
      </c>
    </row>
    <row r="483" spans="1:19" ht="15.75" hidden="1" thickBot="1" x14ac:dyDescent="0.3">
      <c r="A483" s="263"/>
      <c r="B483" s="261"/>
      <c r="C483" s="35"/>
      <c r="D483" s="35"/>
      <c r="E483" s="36"/>
      <c r="F483" s="30" t="s">
        <v>416</v>
      </c>
      <c r="G483" s="30" t="str">
        <f t="shared" si="42"/>
        <v/>
      </c>
      <c r="H483" s="34"/>
      <c r="I483" s="30"/>
      <c r="J483" s="152">
        <v>0</v>
      </c>
      <c r="L483" s="215"/>
      <c r="M483" s="30"/>
      <c r="N483" s="30" t="str">
        <f t="shared" si="43"/>
        <v/>
      </c>
      <c r="O483" s="34"/>
      <c r="P483" s="36" t="str">
        <f t="shared" si="44"/>
        <v/>
      </c>
      <c r="Q483" s="216" t="str">
        <f t="shared" si="45"/>
        <v/>
      </c>
      <c r="R483" s="216" t="str">
        <f t="shared" si="46"/>
        <v/>
      </c>
      <c r="S483" s="217" t="str">
        <f t="shared" si="47"/>
        <v/>
      </c>
    </row>
    <row r="484" spans="1:19" ht="15.75" hidden="1" thickBot="1" x14ac:dyDescent="0.3">
      <c r="A484" s="256" t="s">
        <v>132</v>
      </c>
      <c r="B484" s="259" t="str">
        <f>INDEX(Orçamentária!A:B,MATCH(Composições!A484,Orçamentária!A:A,0),2)</f>
        <v>Aplicação de fundo selador base água</v>
      </c>
      <c r="C484" s="40"/>
      <c r="D484" s="25" t="s">
        <v>70</v>
      </c>
      <c r="E484" s="26"/>
      <c r="F484" s="41" t="s">
        <v>416</v>
      </c>
      <c r="G484" s="27" t="str">
        <f t="shared" si="42"/>
        <v/>
      </c>
      <c r="H484" s="28"/>
      <c r="I484" s="29"/>
      <c r="J484" s="152">
        <v>0</v>
      </c>
      <c r="L484" s="218"/>
      <c r="M484" s="41"/>
      <c r="N484" s="27" t="str">
        <f t="shared" si="43"/>
        <v/>
      </c>
      <c r="O484" s="28"/>
      <c r="P484" s="36" t="str">
        <f t="shared" si="44"/>
        <v/>
      </c>
      <c r="Q484" s="216" t="str">
        <f t="shared" si="45"/>
        <v/>
      </c>
      <c r="R484" s="216" t="str">
        <f t="shared" si="46"/>
        <v/>
      </c>
      <c r="S484" s="217" t="str">
        <f t="shared" si="47"/>
        <v/>
      </c>
    </row>
    <row r="485" spans="1:19" ht="15.75" hidden="1" thickBot="1" x14ac:dyDescent="0.3">
      <c r="A485" s="262"/>
      <c r="B485" s="260"/>
      <c r="C485" s="31"/>
      <c r="D485" s="31"/>
      <c r="E485" s="32"/>
      <c r="F485" s="42" t="s">
        <v>416</v>
      </c>
      <c r="G485" s="30" t="str">
        <f t="shared" si="42"/>
        <v/>
      </c>
      <c r="H485" s="34"/>
      <c r="I485" s="30"/>
      <c r="J485" s="152">
        <v>0</v>
      </c>
      <c r="L485" s="219"/>
      <c r="M485" s="42"/>
      <c r="N485" s="30" t="str">
        <f t="shared" si="43"/>
        <v/>
      </c>
      <c r="O485" s="34"/>
      <c r="P485" s="36" t="str">
        <f t="shared" si="44"/>
        <v/>
      </c>
      <c r="Q485" s="216" t="str">
        <f t="shared" si="45"/>
        <v/>
      </c>
      <c r="R485" s="216" t="str">
        <f t="shared" si="46"/>
        <v/>
      </c>
      <c r="S485" s="217" t="str">
        <f t="shared" si="47"/>
        <v/>
      </c>
    </row>
    <row r="486" spans="1:19" ht="15.75" hidden="1" thickBot="1" x14ac:dyDescent="0.3">
      <c r="A486" s="262"/>
      <c r="B486" s="260"/>
      <c r="C486" s="35" t="s">
        <v>956</v>
      </c>
      <c r="D486" s="35" t="s">
        <v>583</v>
      </c>
      <c r="E486" s="36">
        <v>0.106</v>
      </c>
      <c r="F486" s="30">
        <v>28.6615</v>
      </c>
      <c r="G486" s="33">
        <f t="shared" si="42"/>
        <v>3.038119</v>
      </c>
      <c r="H486" s="38">
        <f>SUM(G486:G488)</f>
        <v>3.5842074999999998</v>
      </c>
      <c r="I486" s="39"/>
      <c r="J486" s="152">
        <v>0</v>
      </c>
      <c r="L486" s="215">
        <v>0.106</v>
      </c>
      <c r="M486" s="30">
        <v>24.534244000000001</v>
      </c>
      <c r="N486" s="33">
        <f t="shared" si="43"/>
        <v>2.6006298640000001</v>
      </c>
      <c r="O486" s="38">
        <f>SUM(N486:N488)</f>
        <v>3.0680816200000001</v>
      </c>
      <c r="P486" s="36" t="str">
        <f t="shared" si="44"/>
        <v/>
      </c>
      <c r="Q486" s="216">
        <f t="shared" si="45"/>
        <v>0.14400000000000002</v>
      </c>
      <c r="R486" s="216">
        <f t="shared" si="46"/>
        <v>0.14400000000000002</v>
      </c>
      <c r="S486" s="217">
        <f t="shared" si="47"/>
        <v>0.14399999999999991</v>
      </c>
    </row>
    <row r="487" spans="1:19" ht="15.75" hidden="1" thickBot="1" x14ac:dyDescent="0.3">
      <c r="A487" s="262"/>
      <c r="B487" s="260"/>
      <c r="C487" s="35" t="s">
        <v>584</v>
      </c>
      <c r="D487" s="35" t="s">
        <v>583</v>
      </c>
      <c r="E487" s="36">
        <v>2.7E-2</v>
      </c>
      <c r="F487" s="30">
        <v>20.225499999999997</v>
      </c>
      <c r="G487" s="33">
        <f t="shared" si="42"/>
        <v>0.54608849999999987</v>
      </c>
      <c r="H487" s="34"/>
      <c r="I487" s="30"/>
      <c r="J487" s="152">
        <v>0</v>
      </c>
      <c r="L487" s="215">
        <v>2.7E-2</v>
      </c>
      <c r="M487" s="30">
        <v>17.313027999999996</v>
      </c>
      <c r="N487" s="33">
        <f t="shared" si="43"/>
        <v>0.46745175599999989</v>
      </c>
      <c r="O487" s="34"/>
      <c r="P487" s="36" t="str">
        <f t="shared" si="44"/>
        <v/>
      </c>
      <c r="Q487" s="216">
        <f t="shared" si="45"/>
        <v>0.14400000000000013</v>
      </c>
      <c r="R487" s="216">
        <f t="shared" si="46"/>
        <v>0.14400000000000002</v>
      </c>
      <c r="S487" s="217" t="str">
        <f t="shared" si="47"/>
        <v/>
      </c>
    </row>
    <row r="488" spans="1:19" ht="15.75" hidden="1" thickBot="1" x14ac:dyDescent="0.3">
      <c r="A488" s="262"/>
      <c r="B488" s="260"/>
      <c r="C488" s="35" t="s">
        <v>133</v>
      </c>
      <c r="D488" s="49" t="s">
        <v>75</v>
      </c>
      <c r="E488" s="36">
        <v>0.16</v>
      </c>
      <c r="F488" s="33" t="s">
        <v>416</v>
      </c>
      <c r="G488" s="33" t="str">
        <f t="shared" si="42"/>
        <v/>
      </c>
      <c r="H488" s="34"/>
      <c r="I488" s="30"/>
      <c r="J488" s="152">
        <v>0</v>
      </c>
      <c r="L488" s="215">
        <v>0.16</v>
      </c>
      <c r="M488" s="33"/>
      <c r="N488" s="33" t="str">
        <f t="shared" si="43"/>
        <v/>
      </c>
      <c r="O488" s="34"/>
      <c r="P488" s="36" t="str">
        <f t="shared" si="44"/>
        <v/>
      </c>
      <c r="Q488" s="216" t="str">
        <f t="shared" si="45"/>
        <v/>
      </c>
      <c r="R488" s="216" t="str">
        <f t="shared" si="46"/>
        <v/>
      </c>
      <c r="S488" s="217" t="str">
        <f t="shared" si="47"/>
        <v/>
      </c>
    </row>
    <row r="489" spans="1:19" ht="15.75" hidden="1" thickBot="1" x14ac:dyDescent="0.3">
      <c r="A489" s="263"/>
      <c r="B489" s="261"/>
      <c r="C489" s="35"/>
      <c r="D489" s="35"/>
      <c r="E489" s="36"/>
      <c r="F489" s="30" t="s">
        <v>416</v>
      </c>
      <c r="G489" s="30" t="str">
        <f t="shared" si="42"/>
        <v/>
      </c>
      <c r="H489" s="34"/>
      <c r="I489" s="30"/>
      <c r="J489" s="152">
        <v>0</v>
      </c>
      <c r="L489" s="215"/>
      <c r="M489" s="30"/>
      <c r="N489" s="30" t="str">
        <f t="shared" si="43"/>
        <v/>
      </c>
      <c r="O489" s="34"/>
      <c r="P489" s="36" t="str">
        <f t="shared" si="44"/>
        <v/>
      </c>
      <c r="Q489" s="216" t="str">
        <f t="shared" si="45"/>
        <v/>
      </c>
      <c r="R489" s="216" t="str">
        <f t="shared" si="46"/>
        <v/>
      </c>
      <c r="S489" s="217" t="str">
        <f t="shared" si="47"/>
        <v/>
      </c>
    </row>
    <row r="490" spans="1:19" ht="15.75" hidden="1" thickBot="1" x14ac:dyDescent="0.3">
      <c r="A490" s="256" t="s">
        <v>134</v>
      </c>
      <c r="B490" s="259" t="str">
        <f>INDEX(Orçamentária!A:B,MATCH(Composições!A490,Orçamentária!A:A,0),2)</f>
        <v>Fundo anticorrosivo e de aderência</v>
      </c>
      <c r="C490" s="40"/>
      <c r="D490" s="25" t="s">
        <v>70</v>
      </c>
      <c r="E490" s="26"/>
      <c r="F490" s="41" t="s">
        <v>416</v>
      </c>
      <c r="G490" s="27" t="str">
        <f t="shared" si="42"/>
        <v/>
      </c>
      <c r="H490" s="28"/>
      <c r="I490" s="29"/>
      <c r="J490" s="152">
        <v>0</v>
      </c>
      <c r="L490" s="218"/>
      <c r="M490" s="41"/>
      <c r="N490" s="27" t="str">
        <f t="shared" si="43"/>
        <v/>
      </c>
      <c r="O490" s="28"/>
      <c r="P490" s="36" t="str">
        <f t="shared" si="44"/>
        <v/>
      </c>
      <c r="Q490" s="216" t="str">
        <f t="shared" si="45"/>
        <v/>
      </c>
      <c r="R490" s="216" t="str">
        <f t="shared" si="46"/>
        <v/>
      </c>
      <c r="S490" s="217" t="str">
        <f t="shared" si="47"/>
        <v/>
      </c>
    </row>
    <row r="491" spans="1:19" ht="15.75" hidden="1" thickBot="1" x14ac:dyDescent="0.3">
      <c r="A491" s="262"/>
      <c r="B491" s="260"/>
      <c r="C491" s="31"/>
      <c r="D491" s="31"/>
      <c r="E491" s="32"/>
      <c r="F491" s="42" t="s">
        <v>416</v>
      </c>
      <c r="G491" s="30" t="str">
        <f t="shared" si="42"/>
        <v/>
      </c>
      <c r="H491" s="34"/>
      <c r="I491" s="30"/>
      <c r="J491" s="152">
        <v>0</v>
      </c>
      <c r="L491" s="219"/>
      <c r="M491" s="42"/>
      <c r="N491" s="30" t="str">
        <f t="shared" si="43"/>
        <v/>
      </c>
      <c r="O491" s="34"/>
      <c r="P491" s="36" t="str">
        <f t="shared" si="44"/>
        <v/>
      </c>
      <c r="Q491" s="216" t="str">
        <f t="shared" si="45"/>
        <v/>
      </c>
      <c r="R491" s="216" t="str">
        <f t="shared" si="46"/>
        <v/>
      </c>
      <c r="S491" s="217" t="str">
        <f t="shared" si="47"/>
        <v/>
      </c>
    </row>
    <row r="492" spans="1:19" ht="15.75" hidden="1" thickBot="1" x14ac:dyDescent="0.3">
      <c r="A492" s="262"/>
      <c r="B492" s="260"/>
      <c r="C492" s="35" t="s">
        <v>956</v>
      </c>
      <c r="D492" s="35" t="s">
        <v>583</v>
      </c>
      <c r="E492" s="36">
        <f>2*0.2149</f>
        <v>0.42980000000000002</v>
      </c>
      <c r="F492" s="30">
        <v>28.6615</v>
      </c>
      <c r="G492" s="33">
        <f t="shared" si="42"/>
        <v>12.318712700000001</v>
      </c>
      <c r="H492" s="38">
        <f>SUM(G492:G493)</f>
        <v>12.318712700000001</v>
      </c>
      <c r="I492" s="39"/>
      <c r="J492" s="152">
        <v>0</v>
      </c>
      <c r="L492" s="215">
        <v>0.42980000000000002</v>
      </c>
      <c r="M492" s="30">
        <v>24.534244000000001</v>
      </c>
      <c r="N492" s="33">
        <f t="shared" si="43"/>
        <v>10.544818071200002</v>
      </c>
      <c r="O492" s="38">
        <f>SUM(N492:N493)</f>
        <v>10.544818071200002</v>
      </c>
      <c r="P492" s="36" t="str">
        <f t="shared" si="44"/>
        <v/>
      </c>
      <c r="Q492" s="216">
        <f t="shared" si="45"/>
        <v>0.14400000000000002</v>
      </c>
      <c r="R492" s="216">
        <f t="shared" si="46"/>
        <v>0.14399999999999991</v>
      </c>
      <c r="S492" s="217">
        <f t="shared" si="47"/>
        <v>0.14399999999999991</v>
      </c>
    </row>
    <row r="493" spans="1:19" ht="15.75" hidden="1" thickBot="1" x14ac:dyDescent="0.3">
      <c r="A493" s="262"/>
      <c r="B493" s="260"/>
      <c r="C493" s="35" t="s">
        <v>135</v>
      </c>
      <c r="D493" s="49" t="s">
        <v>75</v>
      </c>
      <c r="E493" s="36">
        <f>2*(3.6/45)</f>
        <v>0.16</v>
      </c>
      <c r="F493" s="33" t="s">
        <v>416</v>
      </c>
      <c r="G493" s="33" t="str">
        <f t="shared" si="42"/>
        <v/>
      </c>
      <c r="H493" s="34"/>
      <c r="I493" s="30"/>
      <c r="J493" s="152">
        <v>0</v>
      </c>
      <c r="L493" s="215">
        <v>0.16</v>
      </c>
      <c r="M493" s="33"/>
      <c r="N493" s="33" t="str">
        <f t="shared" si="43"/>
        <v/>
      </c>
      <c r="O493" s="34"/>
      <c r="P493" s="36" t="str">
        <f t="shared" si="44"/>
        <v/>
      </c>
      <c r="Q493" s="216" t="str">
        <f t="shared" si="45"/>
        <v/>
      </c>
      <c r="R493" s="216" t="str">
        <f t="shared" si="46"/>
        <v/>
      </c>
      <c r="S493" s="217" t="str">
        <f t="shared" si="47"/>
        <v/>
      </c>
    </row>
    <row r="494" spans="1:19" ht="15.75" hidden="1" thickBot="1" x14ac:dyDescent="0.3">
      <c r="A494" s="262"/>
      <c r="B494" s="260"/>
      <c r="C494" s="35"/>
      <c r="D494" s="46"/>
      <c r="E494" s="36"/>
      <c r="F494" s="33" t="s">
        <v>416</v>
      </c>
      <c r="G494" s="33" t="str">
        <f t="shared" si="42"/>
        <v/>
      </c>
      <c r="H494" s="34"/>
      <c r="I494" s="30"/>
      <c r="J494" s="152">
        <v>0</v>
      </c>
      <c r="L494" s="215"/>
      <c r="M494" s="33"/>
      <c r="N494" s="33" t="str">
        <f t="shared" si="43"/>
        <v/>
      </c>
      <c r="O494" s="34"/>
      <c r="P494" s="36" t="str">
        <f t="shared" si="44"/>
        <v/>
      </c>
      <c r="Q494" s="216" t="str">
        <f t="shared" si="45"/>
        <v/>
      </c>
      <c r="R494" s="216" t="str">
        <f t="shared" si="46"/>
        <v/>
      </c>
      <c r="S494" s="217" t="str">
        <f t="shared" si="47"/>
        <v/>
      </c>
    </row>
    <row r="495" spans="1:19" ht="26.25" hidden="1" thickBot="1" x14ac:dyDescent="0.3">
      <c r="A495" s="262"/>
      <c r="B495" s="260"/>
      <c r="C495" s="51" t="s">
        <v>136</v>
      </c>
      <c r="D495" s="46"/>
      <c r="E495" s="36"/>
      <c r="F495" s="33" t="s">
        <v>416</v>
      </c>
      <c r="G495" s="33" t="str">
        <f t="shared" si="42"/>
        <v/>
      </c>
      <c r="H495" s="34"/>
      <c r="I495" s="30"/>
      <c r="J495" s="152">
        <v>0</v>
      </c>
      <c r="L495" s="215"/>
      <c r="M495" s="33"/>
      <c r="N495" s="33" t="str">
        <f t="shared" si="43"/>
        <v/>
      </c>
      <c r="O495" s="34"/>
      <c r="P495" s="36" t="str">
        <f t="shared" si="44"/>
        <v/>
      </c>
      <c r="Q495" s="216" t="str">
        <f t="shared" si="45"/>
        <v/>
      </c>
      <c r="R495" s="216" t="str">
        <f t="shared" si="46"/>
        <v/>
      </c>
      <c r="S495" s="217" t="str">
        <f t="shared" si="47"/>
        <v/>
      </c>
    </row>
    <row r="496" spans="1:19" ht="30.75" hidden="1" thickBot="1" x14ac:dyDescent="0.3">
      <c r="A496" s="262"/>
      <c r="B496" s="260"/>
      <c r="C496" s="144" t="s">
        <v>137</v>
      </c>
      <c r="D496" s="46"/>
      <c r="E496" s="36"/>
      <c r="F496" s="33" t="s">
        <v>416</v>
      </c>
      <c r="G496" s="33" t="str">
        <f t="shared" si="42"/>
        <v/>
      </c>
      <c r="H496" s="34"/>
      <c r="I496" s="30"/>
      <c r="J496" s="152">
        <v>0</v>
      </c>
      <c r="L496" s="215"/>
      <c r="M496" s="33"/>
      <c r="N496" s="33" t="str">
        <f t="shared" si="43"/>
        <v/>
      </c>
      <c r="O496" s="34"/>
      <c r="P496" s="36" t="str">
        <f t="shared" si="44"/>
        <v/>
      </c>
      <c r="Q496" s="216" t="str">
        <f t="shared" si="45"/>
        <v/>
      </c>
      <c r="R496" s="216" t="str">
        <f t="shared" si="46"/>
        <v/>
      </c>
      <c r="S496" s="217" t="str">
        <f t="shared" si="47"/>
        <v/>
      </c>
    </row>
    <row r="497" spans="1:19" ht="30.75" hidden="1" thickBot="1" x14ac:dyDescent="0.3">
      <c r="A497" s="263"/>
      <c r="B497" s="261"/>
      <c r="C497" s="144" t="s">
        <v>138</v>
      </c>
      <c r="D497" s="35"/>
      <c r="E497" s="36"/>
      <c r="F497" s="30" t="s">
        <v>416</v>
      </c>
      <c r="G497" s="30" t="str">
        <f t="shared" si="42"/>
        <v/>
      </c>
      <c r="H497" s="34"/>
      <c r="I497" s="30"/>
      <c r="J497" s="152">
        <v>0</v>
      </c>
      <c r="L497" s="215"/>
      <c r="M497" s="30"/>
      <c r="N497" s="30" t="str">
        <f t="shared" si="43"/>
        <v/>
      </c>
      <c r="O497" s="34"/>
      <c r="P497" s="36" t="str">
        <f t="shared" si="44"/>
        <v/>
      </c>
      <c r="Q497" s="216" t="str">
        <f t="shared" si="45"/>
        <v/>
      </c>
      <c r="R497" s="216" t="str">
        <f t="shared" si="46"/>
        <v/>
      </c>
      <c r="S497" s="217" t="str">
        <f t="shared" si="47"/>
        <v/>
      </c>
    </row>
    <row r="498" spans="1:19" ht="15.75" hidden="1" thickBot="1" x14ac:dyDescent="0.3">
      <c r="A498" s="256" t="s">
        <v>139</v>
      </c>
      <c r="B498" s="259" t="str">
        <f>INDEX(Orçamentária!A:B,MATCH(Composições!A498,Orçamentária!A:A,0),2)</f>
        <v>Massa acrílica</v>
      </c>
      <c r="C498" s="40"/>
      <c r="D498" s="25" t="s">
        <v>70</v>
      </c>
      <c r="E498" s="26"/>
      <c r="F498" s="41" t="s">
        <v>416</v>
      </c>
      <c r="G498" s="27" t="str">
        <f t="shared" si="42"/>
        <v/>
      </c>
      <c r="H498" s="28"/>
      <c r="I498" s="29"/>
      <c r="J498" s="152">
        <v>0</v>
      </c>
      <c r="L498" s="218"/>
      <c r="M498" s="41"/>
      <c r="N498" s="27" t="str">
        <f t="shared" si="43"/>
        <v/>
      </c>
      <c r="O498" s="28"/>
      <c r="P498" s="36" t="str">
        <f t="shared" si="44"/>
        <v/>
      </c>
      <c r="Q498" s="216" t="str">
        <f t="shared" si="45"/>
        <v/>
      </c>
      <c r="R498" s="216" t="str">
        <f t="shared" si="46"/>
        <v/>
      </c>
      <c r="S498" s="217" t="str">
        <f t="shared" si="47"/>
        <v/>
      </c>
    </row>
    <row r="499" spans="1:19" ht="15.75" hidden="1" thickBot="1" x14ac:dyDescent="0.3">
      <c r="A499" s="262"/>
      <c r="B499" s="260"/>
      <c r="C499" s="31"/>
      <c r="D499" s="31"/>
      <c r="E499" s="32"/>
      <c r="F499" s="42" t="s">
        <v>416</v>
      </c>
      <c r="G499" s="30" t="str">
        <f t="shared" si="42"/>
        <v/>
      </c>
      <c r="H499" s="34"/>
      <c r="I499" s="30"/>
      <c r="J499" s="152">
        <v>0</v>
      </c>
      <c r="L499" s="219"/>
      <c r="M499" s="42"/>
      <c r="N499" s="30" t="str">
        <f t="shared" si="43"/>
        <v/>
      </c>
      <c r="O499" s="34"/>
      <c r="P499" s="36" t="str">
        <f t="shared" si="44"/>
        <v/>
      </c>
      <c r="Q499" s="216" t="str">
        <f t="shared" si="45"/>
        <v/>
      </c>
      <c r="R499" s="216" t="str">
        <f t="shared" si="46"/>
        <v/>
      </c>
      <c r="S499" s="217" t="str">
        <f t="shared" si="47"/>
        <v/>
      </c>
    </row>
    <row r="500" spans="1:19" ht="26.25" hidden="1" thickBot="1" x14ac:dyDescent="0.3">
      <c r="A500" s="262"/>
      <c r="B500" s="260"/>
      <c r="C500" s="35" t="s">
        <v>8221</v>
      </c>
      <c r="D500" s="35" t="s">
        <v>213</v>
      </c>
      <c r="E500" s="36">
        <v>0.1</v>
      </c>
      <c r="F500" s="33">
        <v>1.292</v>
      </c>
      <c r="G500" s="33">
        <f t="shared" si="42"/>
        <v>0.12920000000000001</v>
      </c>
      <c r="H500" s="38">
        <f>SUM(G500:G503)</f>
        <v>22.098640459999999</v>
      </c>
      <c r="I500" s="39"/>
      <c r="J500" s="152">
        <v>0</v>
      </c>
      <c r="L500" s="215">
        <v>0.1</v>
      </c>
      <c r="M500" s="33">
        <v>1.105952</v>
      </c>
      <c r="N500" s="33">
        <f t="shared" si="43"/>
        <v>0.1105952</v>
      </c>
      <c r="O500" s="38">
        <f>SUM(N500:N503)</f>
        <v>18.916436233760002</v>
      </c>
      <c r="P500" s="36" t="str">
        <f t="shared" si="44"/>
        <v/>
      </c>
      <c r="Q500" s="216">
        <f t="shared" si="45"/>
        <v>0.14400000000000002</v>
      </c>
      <c r="R500" s="216">
        <f t="shared" si="46"/>
        <v>0.14400000000000002</v>
      </c>
      <c r="S500" s="217">
        <f t="shared" si="47"/>
        <v>0.14399999999999979</v>
      </c>
    </row>
    <row r="501" spans="1:19" ht="15.75" hidden="1" thickBot="1" x14ac:dyDescent="0.3">
      <c r="A501" s="262"/>
      <c r="B501" s="260"/>
      <c r="C501" s="35" t="s">
        <v>8288</v>
      </c>
      <c r="D501" s="35" t="s">
        <v>773</v>
      </c>
      <c r="E501" s="36">
        <v>1.5518400000000001</v>
      </c>
      <c r="F501" s="33">
        <v>6.9064999999999994</v>
      </c>
      <c r="G501" s="33">
        <f t="shared" si="42"/>
        <v>10.717782959999999</v>
      </c>
      <c r="H501" s="34"/>
      <c r="I501" s="30"/>
      <c r="J501" s="152">
        <v>0</v>
      </c>
      <c r="L501" s="215">
        <v>1.5518400000000001</v>
      </c>
      <c r="M501" s="33">
        <v>5.9119639999999993</v>
      </c>
      <c r="N501" s="33">
        <f t="shared" si="43"/>
        <v>9.1744222137599998</v>
      </c>
      <c r="O501" s="34"/>
      <c r="P501" s="36" t="str">
        <f t="shared" si="44"/>
        <v/>
      </c>
      <c r="Q501" s="216">
        <f t="shared" si="45"/>
        <v>0.14400000000000002</v>
      </c>
      <c r="R501" s="216">
        <f t="shared" si="46"/>
        <v>0.14399999999999991</v>
      </c>
      <c r="S501" s="217" t="str">
        <f t="shared" si="47"/>
        <v/>
      </c>
    </row>
    <row r="502" spans="1:19" ht="15.75" hidden="1" thickBot="1" x14ac:dyDescent="0.3">
      <c r="A502" s="262"/>
      <c r="B502" s="260"/>
      <c r="C502" s="35" t="s">
        <v>956</v>
      </c>
      <c r="D502" s="35" t="s">
        <v>583</v>
      </c>
      <c r="E502" s="36">
        <v>0.33400000000000002</v>
      </c>
      <c r="F502" s="30">
        <v>28.6615</v>
      </c>
      <c r="G502" s="33">
        <f t="shared" si="42"/>
        <v>9.5729410000000001</v>
      </c>
      <c r="H502" s="34"/>
      <c r="I502" s="30"/>
      <c r="J502" s="152">
        <v>0</v>
      </c>
      <c r="L502" s="215">
        <v>0.33400000000000002</v>
      </c>
      <c r="M502" s="30">
        <v>24.534244000000001</v>
      </c>
      <c r="N502" s="33">
        <f t="shared" si="43"/>
        <v>8.1944374960000008</v>
      </c>
      <c r="O502" s="34"/>
      <c r="P502" s="36" t="str">
        <f t="shared" si="44"/>
        <v/>
      </c>
      <c r="Q502" s="216">
        <f t="shared" si="45"/>
        <v>0.14400000000000002</v>
      </c>
      <c r="R502" s="216">
        <f t="shared" si="46"/>
        <v>0.14399999999999991</v>
      </c>
      <c r="S502" s="217" t="str">
        <f t="shared" si="47"/>
        <v/>
      </c>
    </row>
    <row r="503" spans="1:19" ht="15.75" hidden="1" thickBot="1" x14ac:dyDescent="0.3">
      <c r="A503" s="262"/>
      <c r="B503" s="260"/>
      <c r="C503" s="35" t="s">
        <v>584</v>
      </c>
      <c r="D503" s="35" t="s">
        <v>583</v>
      </c>
      <c r="E503" s="36">
        <v>8.3000000000000004E-2</v>
      </c>
      <c r="F503" s="30">
        <v>20.225499999999997</v>
      </c>
      <c r="G503" s="33">
        <f t="shared" si="42"/>
        <v>1.6787164999999997</v>
      </c>
      <c r="H503" s="34"/>
      <c r="I503" s="30"/>
      <c r="J503" s="152">
        <v>0</v>
      </c>
      <c r="L503" s="215">
        <v>8.3000000000000004E-2</v>
      </c>
      <c r="M503" s="30">
        <v>17.313027999999996</v>
      </c>
      <c r="N503" s="33">
        <f t="shared" si="43"/>
        <v>1.4369813239999998</v>
      </c>
      <c r="O503" s="34"/>
      <c r="P503" s="36" t="str">
        <f t="shared" si="44"/>
        <v/>
      </c>
      <c r="Q503" s="216">
        <f t="shared" si="45"/>
        <v>0.14400000000000013</v>
      </c>
      <c r="R503" s="216">
        <f t="shared" si="46"/>
        <v>0.14400000000000002</v>
      </c>
      <c r="S503" s="217" t="str">
        <f t="shared" si="47"/>
        <v/>
      </c>
    </row>
    <row r="504" spans="1:19" ht="15.75" hidden="1" thickBot="1" x14ac:dyDescent="0.3">
      <c r="A504" s="263"/>
      <c r="B504" s="261"/>
      <c r="C504" s="35"/>
      <c r="D504" s="35"/>
      <c r="E504" s="36"/>
      <c r="F504" s="30" t="s">
        <v>416</v>
      </c>
      <c r="G504" s="30" t="str">
        <f t="shared" si="42"/>
        <v/>
      </c>
      <c r="H504" s="34"/>
      <c r="I504" s="30"/>
      <c r="J504" s="152">
        <v>0</v>
      </c>
      <c r="L504" s="215"/>
      <c r="M504" s="30"/>
      <c r="N504" s="30" t="str">
        <f t="shared" si="43"/>
        <v/>
      </c>
      <c r="O504" s="34"/>
      <c r="P504" s="36" t="str">
        <f t="shared" si="44"/>
        <v/>
      </c>
      <c r="Q504" s="216" t="str">
        <f t="shared" si="45"/>
        <v/>
      </c>
      <c r="R504" s="216" t="str">
        <f t="shared" si="46"/>
        <v/>
      </c>
      <c r="S504" s="217" t="str">
        <f t="shared" si="47"/>
        <v/>
      </c>
    </row>
    <row r="505" spans="1:19" ht="15.75" thickBot="1" x14ac:dyDescent="0.3">
      <c r="A505" s="256" t="s">
        <v>140</v>
      </c>
      <c r="B505" s="259" t="str">
        <f>INDEX(Orçamentária!A:B,MATCH(Composições!A505,Orçamentária!A:A,0),2)</f>
        <v>Massa corrida</v>
      </c>
      <c r="C505" s="40"/>
      <c r="D505" s="25" t="s">
        <v>70</v>
      </c>
      <c r="E505" s="26"/>
      <c r="F505" s="41" t="s">
        <v>416</v>
      </c>
      <c r="G505" s="27" t="str">
        <f t="shared" si="42"/>
        <v/>
      </c>
      <c r="H505" s="28"/>
      <c r="I505" s="29"/>
      <c r="J505" s="152">
        <v>71</v>
      </c>
      <c r="L505" s="218"/>
      <c r="M505" s="41"/>
      <c r="N505" s="27" t="str">
        <f t="shared" si="43"/>
        <v/>
      </c>
      <c r="O505" s="28"/>
      <c r="P505" s="36" t="str">
        <f t="shared" si="44"/>
        <v/>
      </c>
      <c r="Q505" s="216" t="str">
        <f t="shared" si="45"/>
        <v/>
      </c>
      <c r="R505" s="216" t="str">
        <f t="shared" si="46"/>
        <v/>
      </c>
      <c r="S505" s="217" t="str">
        <f t="shared" si="47"/>
        <v/>
      </c>
    </row>
    <row r="506" spans="1:19" x14ac:dyDescent="0.25">
      <c r="A506" s="262"/>
      <c r="B506" s="260"/>
      <c r="C506" s="31"/>
      <c r="D506" s="31"/>
      <c r="E506" s="32"/>
      <c r="F506" s="42" t="s">
        <v>416</v>
      </c>
      <c r="G506" s="30" t="str">
        <f t="shared" si="42"/>
        <v/>
      </c>
      <c r="H506" s="34"/>
      <c r="I506" s="30"/>
      <c r="J506" s="152">
        <v>71</v>
      </c>
      <c r="L506" s="219"/>
      <c r="M506" s="42"/>
      <c r="N506" s="30" t="str">
        <f t="shared" si="43"/>
        <v/>
      </c>
      <c r="O506" s="34"/>
      <c r="P506" s="36" t="str">
        <f t="shared" si="44"/>
        <v/>
      </c>
      <c r="Q506" s="216" t="str">
        <f t="shared" si="45"/>
        <v/>
      </c>
      <c r="R506" s="216" t="str">
        <f t="shared" si="46"/>
        <v/>
      </c>
      <c r="S506" s="217" t="str">
        <f t="shared" si="47"/>
        <v/>
      </c>
    </row>
    <row r="507" spans="1:19" ht="25.5" x14ac:dyDescent="0.25">
      <c r="A507" s="262"/>
      <c r="B507" s="260"/>
      <c r="C507" s="35" t="s">
        <v>8221</v>
      </c>
      <c r="D507" s="35" t="s">
        <v>213</v>
      </c>
      <c r="E507" s="36">
        <v>0.1</v>
      </c>
      <c r="F507" s="33">
        <v>1.292</v>
      </c>
      <c r="G507" s="33">
        <f t="shared" si="42"/>
        <v>0.12920000000000001</v>
      </c>
      <c r="H507" s="38">
        <f>SUM(G507:G510)</f>
        <v>17.345461759999999</v>
      </c>
      <c r="I507" s="39"/>
      <c r="J507" s="152">
        <v>71</v>
      </c>
      <c r="L507" s="215">
        <v>0.1</v>
      </c>
      <c r="M507" s="33">
        <v>1.105952</v>
      </c>
      <c r="N507" s="33">
        <f t="shared" si="43"/>
        <v>0.1105952</v>
      </c>
      <c r="O507" s="38">
        <f>SUM(N507:N510)</f>
        <v>14.84771526656</v>
      </c>
      <c r="P507" s="36" t="str">
        <f t="shared" si="44"/>
        <v/>
      </c>
      <c r="Q507" s="216">
        <f t="shared" si="45"/>
        <v>0.14400000000000002</v>
      </c>
      <c r="R507" s="216">
        <f t="shared" si="46"/>
        <v>0.14400000000000002</v>
      </c>
      <c r="S507" s="217">
        <f t="shared" si="47"/>
        <v>0.14400000000000002</v>
      </c>
    </row>
    <row r="508" spans="1:19" x14ac:dyDescent="0.25">
      <c r="A508" s="262"/>
      <c r="B508" s="260"/>
      <c r="C508" s="35" t="s">
        <v>8289</v>
      </c>
      <c r="D508" s="35" t="s">
        <v>773</v>
      </c>
      <c r="E508" s="36">
        <v>1.5550200000000001</v>
      </c>
      <c r="F508" s="33">
        <v>3.8379999999999996</v>
      </c>
      <c r="G508" s="33">
        <f t="shared" si="42"/>
        <v>5.9681667599999999</v>
      </c>
      <c r="H508" s="34"/>
      <c r="I508" s="30"/>
      <c r="J508" s="152">
        <v>71</v>
      </c>
      <c r="L508" s="215">
        <v>1.5550200000000001</v>
      </c>
      <c r="M508" s="33">
        <v>3.2853279999999998</v>
      </c>
      <c r="N508" s="33">
        <f t="shared" si="43"/>
        <v>5.1087507465600002</v>
      </c>
      <c r="O508" s="34"/>
      <c r="P508" s="36" t="str">
        <f t="shared" si="44"/>
        <v/>
      </c>
      <c r="Q508" s="216">
        <f t="shared" si="45"/>
        <v>0.14400000000000002</v>
      </c>
      <c r="R508" s="216">
        <f t="shared" si="46"/>
        <v>0.14399999999999991</v>
      </c>
      <c r="S508" s="217" t="str">
        <f t="shared" si="47"/>
        <v/>
      </c>
    </row>
    <row r="509" spans="1:19" x14ac:dyDescent="0.25">
      <c r="A509" s="262"/>
      <c r="B509" s="260"/>
      <c r="C509" s="35" t="s">
        <v>956</v>
      </c>
      <c r="D509" s="35" t="s">
        <v>583</v>
      </c>
      <c r="E509" s="36">
        <v>0.312</v>
      </c>
      <c r="F509" s="30">
        <v>28.6615</v>
      </c>
      <c r="G509" s="33">
        <f t="shared" si="42"/>
        <v>8.9423879999999993</v>
      </c>
      <c r="H509" s="34"/>
      <c r="I509" s="30"/>
      <c r="J509" s="152">
        <v>71</v>
      </c>
      <c r="L509" s="215">
        <v>0.312</v>
      </c>
      <c r="M509" s="30">
        <v>24.534244000000001</v>
      </c>
      <c r="N509" s="33">
        <f t="shared" si="43"/>
        <v>7.6546841280000004</v>
      </c>
      <c r="O509" s="34"/>
      <c r="P509" s="36" t="str">
        <f t="shared" si="44"/>
        <v/>
      </c>
      <c r="Q509" s="216">
        <f t="shared" si="45"/>
        <v>0.14400000000000002</v>
      </c>
      <c r="R509" s="216">
        <f t="shared" si="46"/>
        <v>0.14399999999999991</v>
      </c>
      <c r="S509" s="217" t="str">
        <f t="shared" si="47"/>
        <v/>
      </c>
    </row>
    <row r="510" spans="1:19" x14ac:dyDescent="0.25">
      <c r="A510" s="262"/>
      <c r="B510" s="260"/>
      <c r="C510" s="35" t="s">
        <v>584</v>
      </c>
      <c r="D510" s="35" t="s">
        <v>583</v>
      </c>
      <c r="E510" s="36">
        <v>0.114</v>
      </c>
      <c r="F510" s="30">
        <v>20.225499999999997</v>
      </c>
      <c r="G510" s="33">
        <f t="shared" si="42"/>
        <v>2.3057069999999995</v>
      </c>
      <c r="H510" s="34"/>
      <c r="I510" s="30"/>
      <c r="J510" s="152">
        <v>71</v>
      </c>
      <c r="L510" s="215">
        <v>0.114</v>
      </c>
      <c r="M510" s="30">
        <v>17.313027999999996</v>
      </c>
      <c r="N510" s="33">
        <f t="shared" si="43"/>
        <v>1.9736851919999996</v>
      </c>
      <c r="O510" s="34"/>
      <c r="P510" s="36" t="str">
        <f t="shared" si="44"/>
        <v/>
      </c>
      <c r="Q510" s="216">
        <f t="shared" si="45"/>
        <v>0.14400000000000013</v>
      </c>
      <c r="R510" s="216">
        <f t="shared" si="46"/>
        <v>0.14400000000000002</v>
      </c>
      <c r="S510" s="217" t="str">
        <f t="shared" si="47"/>
        <v/>
      </c>
    </row>
    <row r="511" spans="1:19" ht="15.75" thickBot="1" x14ac:dyDescent="0.3">
      <c r="A511" s="263"/>
      <c r="B511" s="261"/>
      <c r="C511" s="35"/>
      <c r="D511" s="35"/>
      <c r="E511" s="36"/>
      <c r="F511" s="30" t="s">
        <v>416</v>
      </c>
      <c r="G511" s="30" t="str">
        <f t="shared" si="42"/>
        <v/>
      </c>
      <c r="H511" s="34"/>
      <c r="I511" s="30"/>
      <c r="J511" s="152">
        <v>71</v>
      </c>
      <c r="L511" s="215"/>
      <c r="M511" s="30"/>
      <c r="N511" s="30" t="str">
        <f t="shared" si="43"/>
        <v/>
      </c>
      <c r="O511" s="34"/>
      <c r="P511" s="36" t="str">
        <f t="shared" si="44"/>
        <v/>
      </c>
      <c r="Q511" s="216" t="str">
        <f t="shared" si="45"/>
        <v/>
      </c>
      <c r="R511" s="216" t="str">
        <f t="shared" si="46"/>
        <v/>
      </c>
      <c r="S511" s="217" t="str">
        <f t="shared" si="47"/>
        <v/>
      </c>
    </row>
    <row r="512" spans="1:19" ht="15.75" hidden="1" thickBot="1" x14ac:dyDescent="0.3">
      <c r="A512" s="256" t="s">
        <v>141</v>
      </c>
      <c r="B512" s="259" t="str">
        <f>INDEX(Orçamentária!A:B,MATCH(Composições!A512,Orçamentária!A:A,0),2)</f>
        <v>Pintura com tinta látex acrílica Premium (paredes)</v>
      </c>
      <c r="C512" s="40"/>
      <c r="D512" s="25" t="s">
        <v>70</v>
      </c>
      <c r="E512" s="26"/>
      <c r="F512" s="41" t="s">
        <v>416</v>
      </c>
      <c r="G512" s="27" t="str">
        <f t="shared" si="42"/>
        <v/>
      </c>
      <c r="H512" s="28"/>
      <c r="I512" s="29"/>
      <c r="J512" s="152">
        <v>0</v>
      </c>
      <c r="L512" s="218"/>
      <c r="M512" s="41"/>
      <c r="N512" s="27" t="str">
        <f t="shared" si="43"/>
        <v/>
      </c>
      <c r="O512" s="28"/>
      <c r="P512" s="36" t="str">
        <f t="shared" si="44"/>
        <v/>
      </c>
      <c r="Q512" s="216" t="str">
        <f t="shared" si="45"/>
        <v/>
      </c>
      <c r="R512" s="216" t="str">
        <f t="shared" si="46"/>
        <v/>
      </c>
      <c r="S512" s="217" t="str">
        <f t="shared" si="47"/>
        <v/>
      </c>
    </row>
    <row r="513" spans="1:19" ht="15.75" hidden="1" thickBot="1" x14ac:dyDescent="0.3">
      <c r="A513" s="262"/>
      <c r="B513" s="260"/>
      <c r="C513" s="31"/>
      <c r="D513" s="31"/>
      <c r="E513" s="32"/>
      <c r="F513" s="42" t="s">
        <v>416</v>
      </c>
      <c r="G513" s="30" t="str">
        <f t="shared" si="42"/>
        <v/>
      </c>
      <c r="H513" s="34"/>
      <c r="I513" s="30"/>
      <c r="J513" s="152">
        <v>0</v>
      </c>
      <c r="L513" s="219"/>
      <c r="M513" s="42"/>
      <c r="N513" s="30" t="str">
        <f t="shared" si="43"/>
        <v/>
      </c>
      <c r="O513" s="34"/>
      <c r="P513" s="36" t="str">
        <f t="shared" si="44"/>
        <v/>
      </c>
      <c r="Q513" s="216" t="str">
        <f t="shared" si="45"/>
        <v/>
      </c>
      <c r="R513" s="216" t="str">
        <f t="shared" si="46"/>
        <v/>
      </c>
      <c r="S513" s="217" t="str">
        <f t="shared" si="47"/>
        <v/>
      </c>
    </row>
    <row r="514" spans="1:19" ht="15.75" hidden="1" thickBot="1" x14ac:dyDescent="0.3">
      <c r="A514" s="262"/>
      <c r="B514" s="260"/>
      <c r="C514" s="35" t="s">
        <v>956</v>
      </c>
      <c r="D514" s="35" t="s">
        <v>583</v>
      </c>
      <c r="E514" s="36">
        <v>0.187</v>
      </c>
      <c r="F514" s="30">
        <v>28.6615</v>
      </c>
      <c r="G514" s="33">
        <f t="shared" si="42"/>
        <v>5.3597004999999998</v>
      </c>
      <c r="H514" s="38">
        <f>SUM(G514:G516)</f>
        <v>15.793464999999999</v>
      </c>
      <c r="I514" s="39"/>
      <c r="J514" s="152">
        <v>0</v>
      </c>
      <c r="L514" s="215">
        <v>0.187</v>
      </c>
      <c r="M514" s="30">
        <v>24.534244000000001</v>
      </c>
      <c r="N514" s="33">
        <f t="shared" si="43"/>
        <v>4.5879036280000003</v>
      </c>
      <c r="O514" s="38">
        <f>SUM(N514:N516)</f>
        <v>13.51920604</v>
      </c>
      <c r="P514" s="36" t="str">
        <f t="shared" si="44"/>
        <v/>
      </c>
      <c r="Q514" s="216">
        <f t="shared" si="45"/>
        <v>0.14400000000000002</v>
      </c>
      <c r="R514" s="216">
        <f t="shared" si="46"/>
        <v>0.14399999999999991</v>
      </c>
      <c r="S514" s="217">
        <f t="shared" si="47"/>
        <v>0.14399999999999991</v>
      </c>
    </row>
    <row r="515" spans="1:19" ht="15.75" hidden="1" thickBot="1" x14ac:dyDescent="0.3">
      <c r="A515" s="262"/>
      <c r="B515" s="260"/>
      <c r="C515" s="35" t="s">
        <v>584</v>
      </c>
      <c r="D515" s="35" t="s">
        <v>583</v>
      </c>
      <c r="E515" s="36">
        <v>6.9000000000000006E-2</v>
      </c>
      <c r="F515" s="30">
        <v>20.225499999999997</v>
      </c>
      <c r="G515" s="33">
        <f t="shared" si="42"/>
        <v>1.3955594999999998</v>
      </c>
      <c r="H515" s="34"/>
      <c r="I515" s="30"/>
      <c r="J515" s="152">
        <v>0</v>
      </c>
      <c r="L515" s="215">
        <v>6.9000000000000006E-2</v>
      </c>
      <c r="M515" s="30">
        <v>17.313027999999996</v>
      </c>
      <c r="N515" s="33">
        <f t="shared" si="43"/>
        <v>1.1945989319999999</v>
      </c>
      <c r="O515" s="34"/>
      <c r="P515" s="36" t="str">
        <f t="shared" si="44"/>
        <v/>
      </c>
      <c r="Q515" s="216">
        <f t="shared" si="45"/>
        <v>0.14400000000000013</v>
      </c>
      <c r="R515" s="216">
        <f t="shared" si="46"/>
        <v>0.14400000000000002</v>
      </c>
      <c r="S515" s="217" t="str">
        <f t="shared" si="47"/>
        <v/>
      </c>
    </row>
    <row r="516" spans="1:19" ht="15.75" hidden="1" thickBot="1" x14ac:dyDescent="0.3">
      <c r="A516" s="262"/>
      <c r="B516" s="260"/>
      <c r="C516" s="35" t="s">
        <v>8442</v>
      </c>
      <c r="D516" s="35" t="s">
        <v>75</v>
      </c>
      <c r="E516" s="36">
        <v>0.33</v>
      </c>
      <c r="F516" s="33">
        <v>27.388499999999997</v>
      </c>
      <c r="G516" s="33">
        <f t="shared" si="42"/>
        <v>9.0382049999999996</v>
      </c>
      <c r="H516" s="34"/>
      <c r="I516" s="30"/>
      <c r="J516" s="152">
        <v>0</v>
      </c>
      <c r="L516" s="215">
        <v>0.33</v>
      </c>
      <c r="M516" s="33">
        <v>23.444555999999999</v>
      </c>
      <c r="N516" s="33">
        <f t="shared" si="43"/>
        <v>7.7367034800000001</v>
      </c>
      <c r="O516" s="34"/>
      <c r="P516" s="36" t="str">
        <f t="shared" si="44"/>
        <v/>
      </c>
      <c r="Q516" s="216">
        <f t="shared" si="45"/>
        <v>0.14399999999999991</v>
      </c>
      <c r="R516" s="216">
        <f t="shared" si="46"/>
        <v>0.14399999999999991</v>
      </c>
      <c r="S516" s="217" t="str">
        <f t="shared" si="47"/>
        <v/>
      </c>
    </row>
    <row r="517" spans="1:19" ht="15.75" hidden="1" thickBot="1" x14ac:dyDescent="0.3">
      <c r="A517" s="263"/>
      <c r="B517" s="261"/>
      <c r="C517" s="35"/>
      <c r="D517" s="35"/>
      <c r="E517" s="36"/>
      <c r="F517" s="30" t="s">
        <v>416</v>
      </c>
      <c r="G517" s="30" t="str">
        <f t="shared" si="42"/>
        <v/>
      </c>
      <c r="H517" s="34"/>
      <c r="I517" s="30"/>
      <c r="J517" s="152">
        <v>0</v>
      </c>
      <c r="L517" s="215"/>
      <c r="M517" s="30"/>
      <c r="N517" s="30" t="str">
        <f t="shared" si="43"/>
        <v/>
      </c>
      <c r="O517" s="34"/>
      <c r="P517" s="36" t="str">
        <f t="shared" si="44"/>
        <v/>
      </c>
      <c r="Q517" s="216" t="str">
        <f t="shared" si="45"/>
        <v/>
      </c>
      <c r="R517" s="216" t="str">
        <f t="shared" si="46"/>
        <v/>
      </c>
      <c r="S517" s="217" t="str">
        <f t="shared" si="47"/>
        <v/>
      </c>
    </row>
    <row r="518" spans="1:19" ht="15.75" hidden="1" thickBot="1" x14ac:dyDescent="0.3">
      <c r="A518" s="256" t="s">
        <v>142</v>
      </c>
      <c r="B518" s="259" t="str">
        <f>INDEX(Orçamentária!A:B,MATCH(Composições!A518,Orçamentária!A:A,0),2)</f>
        <v>Pintura em verniz sintético</v>
      </c>
      <c r="C518" s="40"/>
      <c r="D518" s="25" t="s">
        <v>70</v>
      </c>
      <c r="E518" s="26"/>
      <c r="F518" s="41" t="s">
        <v>416</v>
      </c>
      <c r="G518" s="27" t="str">
        <f>IF(ISNUMBER(F518),E518*F518,"")</f>
        <v/>
      </c>
      <c r="H518" s="28"/>
      <c r="I518" s="29"/>
      <c r="J518" s="152">
        <v>0</v>
      </c>
      <c r="L518" s="218"/>
      <c r="M518" s="41"/>
      <c r="N518" s="27" t="str">
        <f>IF(ISNUMBER(M518),L518*M518,"")</f>
        <v/>
      </c>
      <c r="O518" s="28"/>
      <c r="P518" s="36" t="str">
        <f t="shared" si="44"/>
        <v/>
      </c>
      <c r="Q518" s="216" t="str">
        <f t="shared" si="45"/>
        <v/>
      </c>
      <c r="R518" s="216" t="str">
        <f t="shared" si="46"/>
        <v/>
      </c>
      <c r="S518" s="217" t="str">
        <f t="shared" si="47"/>
        <v/>
      </c>
    </row>
    <row r="519" spans="1:19" ht="15.75" hidden="1" thickBot="1" x14ac:dyDescent="0.3">
      <c r="A519" s="262"/>
      <c r="B519" s="260"/>
      <c r="C519" s="31"/>
      <c r="D519" s="31"/>
      <c r="E519" s="32"/>
      <c r="F519" s="42" t="s">
        <v>416</v>
      </c>
      <c r="G519" s="30" t="str">
        <f>IF(ISNUMBER(F519),E519*F519,"")</f>
        <v/>
      </c>
      <c r="H519" s="34"/>
      <c r="I519" s="30"/>
      <c r="J519" s="152">
        <v>0</v>
      </c>
      <c r="L519" s="219"/>
      <c r="M519" s="42"/>
      <c r="N519" s="30" t="str">
        <f>IF(ISNUMBER(M519),L519*M519,"")</f>
        <v/>
      </c>
      <c r="O519" s="34"/>
      <c r="P519" s="36" t="str">
        <f t="shared" si="44"/>
        <v/>
      </c>
      <c r="Q519" s="216" t="str">
        <f t="shared" si="45"/>
        <v/>
      </c>
      <c r="R519" s="216" t="str">
        <f t="shared" si="46"/>
        <v/>
      </c>
      <c r="S519" s="217" t="str">
        <f t="shared" si="47"/>
        <v/>
      </c>
    </row>
    <row r="520" spans="1:19" ht="15.75" hidden="1" thickBot="1" x14ac:dyDescent="0.3">
      <c r="A520" s="262"/>
      <c r="B520" s="260"/>
      <c r="C520" s="35" t="s">
        <v>143</v>
      </c>
      <c r="D520" s="49" t="s">
        <v>75</v>
      </c>
      <c r="E520" s="36">
        <f>ROUND(3*3.6/100,4)</f>
        <v>0.108</v>
      </c>
      <c r="F520" s="33" t="s">
        <v>416</v>
      </c>
      <c r="G520" s="30" t="str">
        <f>IF(ISNUMBER(F520),E520*F520,"")</f>
        <v/>
      </c>
      <c r="H520" s="38">
        <f>SUM(G520:G521)</f>
        <v>20.280877400000001</v>
      </c>
      <c r="I520" s="39"/>
      <c r="J520" s="152">
        <v>0</v>
      </c>
      <c r="L520" s="215">
        <v>0.108</v>
      </c>
      <c r="M520" s="33"/>
      <c r="N520" s="30" t="str">
        <f>IF(ISNUMBER(M520),L520*M520,"")</f>
        <v/>
      </c>
      <c r="O520" s="38">
        <f>SUM(N520:N521)</f>
        <v>17.360431054399999</v>
      </c>
      <c r="P520" s="36" t="str">
        <f t="shared" ref="P520:P583" si="48">IF(ISBLANK(L520),"",IF($E520&lt;&gt;L520,"SIM",""))</f>
        <v/>
      </c>
      <c r="Q520" s="216" t="str">
        <f t="shared" ref="Q520:Q583" si="49">IF(M520="","",1-M520/$F520)</f>
        <v/>
      </c>
      <c r="R520" s="216" t="str">
        <f t="shared" ref="R520:R583" si="50">IF(N520="","",1-N520/$G520)</f>
        <v/>
      </c>
      <c r="S520" s="217">
        <f t="shared" ref="S520:S583" si="51">IF(O520="","",1-O520/$H520)</f>
        <v>0.14400000000000013</v>
      </c>
    </row>
    <row r="521" spans="1:19" ht="15.75" hidden="1" thickBot="1" x14ac:dyDescent="0.3">
      <c r="A521" s="262"/>
      <c r="B521" s="260"/>
      <c r="C521" s="35" t="s">
        <v>956</v>
      </c>
      <c r="D521" s="35" t="s">
        <v>583</v>
      </c>
      <c r="E521" s="36">
        <v>0.70760000000000001</v>
      </c>
      <c r="F521" s="30">
        <v>28.6615</v>
      </c>
      <c r="G521" s="30">
        <f>IF(ISNUMBER(F521),E521*F521,"")</f>
        <v>20.280877400000001</v>
      </c>
      <c r="H521" s="34"/>
      <c r="I521" s="30"/>
      <c r="J521" s="152">
        <v>0</v>
      </c>
      <c r="L521" s="215">
        <v>0.70760000000000001</v>
      </c>
      <c r="M521" s="30">
        <v>24.534244000000001</v>
      </c>
      <c r="N521" s="30">
        <f>IF(ISNUMBER(M521),L521*M521,"")</f>
        <v>17.360431054399999</v>
      </c>
      <c r="O521" s="34"/>
      <c r="P521" s="36" t="str">
        <f t="shared" si="48"/>
        <v/>
      </c>
      <c r="Q521" s="216">
        <f t="shared" si="49"/>
        <v>0.14400000000000002</v>
      </c>
      <c r="R521" s="216">
        <f t="shared" si="50"/>
        <v>0.14400000000000013</v>
      </c>
      <c r="S521" s="217" t="str">
        <f t="shared" si="51"/>
        <v/>
      </c>
    </row>
    <row r="522" spans="1:19" ht="15.75" hidden="1" thickBot="1" x14ac:dyDescent="0.3">
      <c r="A522" s="262"/>
      <c r="B522" s="260"/>
      <c r="C522" s="35"/>
      <c r="D522" s="35"/>
      <c r="E522" s="36"/>
      <c r="F522" s="30" t="s">
        <v>416</v>
      </c>
      <c r="G522" s="30"/>
      <c r="H522" s="34"/>
      <c r="I522" s="30"/>
      <c r="J522" s="152">
        <v>0</v>
      </c>
      <c r="L522" s="215"/>
      <c r="M522" s="30"/>
      <c r="N522" s="30"/>
      <c r="O522" s="34"/>
      <c r="P522" s="36" t="str">
        <f t="shared" si="48"/>
        <v/>
      </c>
      <c r="Q522" s="216" t="str">
        <f t="shared" si="49"/>
        <v/>
      </c>
      <c r="R522" s="216" t="str">
        <f t="shared" si="50"/>
        <v/>
      </c>
      <c r="S522" s="217" t="str">
        <f t="shared" si="51"/>
        <v/>
      </c>
    </row>
    <row r="523" spans="1:19" ht="39" hidden="1" thickBot="1" x14ac:dyDescent="0.3">
      <c r="A523" s="262"/>
      <c r="B523" s="260"/>
      <c r="C523" s="51" t="s">
        <v>2954</v>
      </c>
      <c r="D523" s="35"/>
      <c r="E523" s="36"/>
      <c r="F523" s="30" t="s">
        <v>416</v>
      </c>
      <c r="G523" s="30"/>
      <c r="H523" s="34"/>
      <c r="I523" s="30"/>
      <c r="J523" s="152">
        <v>0</v>
      </c>
      <c r="L523" s="215"/>
      <c r="M523" s="30"/>
      <c r="N523" s="30"/>
      <c r="O523" s="34"/>
      <c r="P523" s="36" t="str">
        <f t="shared" si="48"/>
        <v/>
      </c>
      <c r="Q523" s="216" t="str">
        <f t="shared" si="49"/>
        <v/>
      </c>
      <c r="R523" s="216" t="str">
        <f t="shared" si="50"/>
        <v/>
      </c>
      <c r="S523" s="217" t="str">
        <f t="shared" si="51"/>
        <v/>
      </c>
    </row>
    <row r="524" spans="1:19" ht="15.75" hidden="1" thickBot="1" x14ac:dyDescent="0.3">
      <c r="A524" s="263"/>
      <c r="B524" s="261"/>
      <c r="C524" s="35"/>
      <c r="D524" s="35"/>
      <c r="E524" s="36"/>
      <c r="F524" s="30" t="s">
        <v>416</v>
      </c>
      <c r="G524" s="30" t="str">
        <f>IF(ISNUMBER(F524),E524*F524,"")</f>
        <v/>
      </c>
      <c r="H524" s="34"/>
      <c r="I524" s="30"/>
      <c r="J524" s="152">
        <v>0</v>
      </c>
      <c r="L524" s="215"/>
      <c r="M524" s="30"/>
      <c r="N524" s="30" t="str">
        <f>IF(ISNUMBER(M524),L524*M524,"")</f>
        <v/>
      </c>
      <c r="O524" s="34"/>
      <c r="P524" s="36" t="str">
        <f t="shared" si="48"/>
        <v/>
      </c>
      <c r="Q524" s="216" t="str">
        <f t="shared" si="49"/>
        <v/>
      </c>
      <c r="R524" s="216" t="str">
        <f t="shared" si="50"/>
        <v/>
      </c>
      <c r="S524" s="217" t="str">
        <f t="shared" si="51"/>
        <v/>
      </c>
    </row>
    <row r="525" spans="1:19" ht="15.75" hidden="1" thickBot="1" x14ac:dyDescent="0.3">
      <c r="A525" s="256" t="s">
        <v>144</v>
      </c>
      <c r="B525" s="259" t="str">
        <f>INDEX(Orçamentária!A:B,MATCH(Composições!A525,Orçamentária!A:A,0),2)</f>
        <v>Pintura esmalte acetinado (metais e madeiras)</v>
      </c>
      <c r="C525" s="40"/>
      <c r="D525" s="25" t="s">
        <v>70</v>
      </c>
      <c r="E525" s="26"/>
      <c r="F525" s="41" t="s">
        <v>416</v>
      </c>
      <c r="G525" s="27" t="str">
        <f>IF(ISNUMBER(F525),E525*F525,"")</f>
        <v/>
      </c>
      <c r="H525" s="28"/>
      <c r="I525" s="29"/>
      <c r="J525" s="152">
        <v>0</v>
      </c>
      <c r="L525" s="218"/>
      <c r="M525" s="41"/>
      <c r="N525" s="27" t="str">
        <f>IF(ISNUMBER(M525),L525*M525,"")</f>
        <v/>
      </c>
      <c r="O525" s="28"/>
      <c r="P525" s="36" t="str">
        <f t="shared" si="48"/>
        <v/>
      </c>
      <c r="Q525" s="216" t="str">
        <f t="shared" si="49"/>
        <v/>
      </c>
      <c r="R525" s="216" t="str">
        <f t="shared" si="50"/>
        <v/>
      </c>
      <c r="S525" s="217" t="str">
        <f t="shared" si="51"/>
        <v/>
      </c>
    </row>
    <row r="526" spans="1:19" ht="15.75" hidden="1" thickBot="1" x14ac:dyDescent="0.3">
      <c r="A526" s="262"/>
      <c r="B526" s="260"/>
      <c r="C526" s="31"/>
      <c r="D526" s="31"/>
      <c r="E526" s="32"/>
      <c r="F526" s="42" t="s">
        <v>416</v>
      </c>
      <c r="G526" s="30" t="str">
        <f>IF(ISNUMBER(F526),E526*F526,"")</f>
        <v/>
      </c>
      <c r="H526" s="34"/>
      <c r="I526" s="30"/>
      <c r="J526" s="152">
        <v>0</v>
      </c>
      <c r="L526" s="219"/>
      <c r="M526" s="42"/>
      <c r="N526" s="30" t="str">
        <f>IF(ISNUMBER(M526),L526*M526,"")</f>
        <v/>
      </c>
      <c r="O526" s="34"/>
      <c r="P526" s="36" t="str">
        <f t="shared" si="48"/>
        <v/>
      </c>
      <c r="Q526" s="216" t="str">
        <f t="shared" si="49"/>
        <v/>
      </c>
      <c r="R526" s="216" t="str">
        <f t="shared" si="50"/>
        <v/>
      </c>
      <c r="S526" s="217" t="str">
        <f t="shared" si="51"/>
        <v/>
      </c>
    </row>
    <row r="527" spans="1:19" ht="15.75" hidden="1" thickBot="1" x14ac:dyDescent="0.3">
      <c r="A527" s="262"/>
      <c r="B527" s="260"/>
      <c r="C527" s="35" t="s">
        <v>956</v>
      </c>
      <c r="D527" s="35" t="s">
        <v>583</v>
      </c>
      <c r="E527" s="36">
        <v>0.57079999999999997</v>
      </c>
      <c r="F527" s="30">
        <v>28.6615</v>
      </c>
      <c r="G527" s="33">
        <f>IF(ISNUMBER(F527),E527*F527,"")</f>
        <v>16.3599842</v>
      </c>
      <c r="H527" s="38">
        <f>SUM(G527:G528)</f>
        <v>16.3599842</v>
      </c>
      <c r="I527" s="39"/>
      <c r="J527" s="152">
        <v>0</v>
      </c>
      <c r="L527" s="215">
        <v>0.57079999999999997</v>
      </c>
      <c r="M527" s="30">
        <v>24.534244000000001</v>
      </c>
      <c r="N527" s="33">
        <f>IF(ISNUMBER(M527),L527*M527,"")</f>
        <v>14.004146475200001</v>
      </c>
      <c r="O527" s="38">
        <f>SUM(N527:N528)</f>
        <v>14.004146475200001</v>
      </c>
      <c r="P527" s="36" t="str">
        <f t="shared" si="48"/>
        <v/>
      </c>
      <c r="Q527" s="216">
        <f t="shared" si="49"/>
        <v>0.14400000000000002</v>
      </c>
      <c r="R527" s="216">
        <f t="shared" si="50"/>
        <v>0.14399999999999991</v>
      </c>
      <c r="S527" s="217">
        <f t="shared" si="51"/>
        <v>0.14399999999999991</v>
      </c>
    </row>
    <row r="528" spans="1:19" ht="15.75" hidden="1" thickBot="1" x14ac:dyDescent="0.3">
      <c r="A528" s="262"/>
      <c r="B528" s="260"/>
      <c r="C528" s="35" t="s">
        <v>145</v>
      </c>
      <c r="D528" s="49" t="s">
        <v>75</v>
      </c>
      <c r="E528" s="36">
        <f>ROUND(3*3.6/75,4)</f>
        <v>0.14399999999999999</v>
      </c>
      <c r="F528" s="33" t="s">
        <v>416</v>
      </c>
      <c r="G528" s="33" t="str">
        <f>IF(ISNUMBER(F528),E528*F528,"")</f>
        <v/>
      </c>
      <c r="H528" s="34"/>
      <c r="I528" s="30"/>
      <c r="J528" s="152">
        <v>0</v>
      </c>
      <c r="L528" s="215">
        <v>0.14399999999999999</v>
      </c>
      <c r="M528" s="33"/>
      <c r="N528" s="33" t="str">
        <f>IF(ISNUMBER(M528),L528*M528,"")</f>
        <v/>
      </c>
      <c r="O528" s="34"/>
      <c r="P528" s="36" t="str">
        <f t="shared" si="48"/>
        <v/>
      </c>
      <c r="Q528" s="216" t="str">
        <f t="shared" si="49"/>
        <v/>
      </c>
      <c r="R528" s="216" t="str">
        <f t="shared" si="50"/>
        <v/>
      </c>
      <c r="S528" s="217" t="str">
        <f t="shared" si="51"/>
        <v/>
      </c>
    </row>
    <row r="529" spans="1:19" ht="15.75" hidden="1" thickBot="1" x14ac:dyDescent="0.3">
      <c r="A529" s="262"/>
      <c r="B529" s="260"/>
      <c r="C529" s="35"/>
      <c r="D529" s="49"/>
      <c r="E529" s="36"/>
      <c r="F529" s="33" t="s">
        <v>416</v>
      </c>
      <c r="G529" s="33"/>
      <c r="H529" s="34"/>
      <c r="I529" s="30"/>
      <c r="J529" s="152">
        <v>0</v>
      </c>
      <c r="L529" s="215"/>
      <c r="M529" s="33"/>
      <c r="N529" s="33"/>
      <c r="O529" s="34"/>
      <c r="P529" s="36" t="str">
        <f t="shared" si="48"/>
        <v/>
      </c>
      <c r="Q529" s="216" t="str">
        <f t="shared" si="49"/>
        <v/>
      </c>
      <c r="R529" s="216" t="str">
        <f t="shared" si="50"/>
        <v/>
      </c>
      <c r="S529" s="217" t="str">
        <f t="shared" si="51"/>
        <v/>
      </c>
    </row>
    <row r="530" spans="1:19" ht="39" hidden="1" thickBot="1" x14ac:dyDescent="0.3">
      <c r="A530" s="262"/>
      <c r="B530" s="260"/>
      <c r="C530" s="51" t="s">
        <v>2953</v>
      </c>
      <c r="D530" s="49"/>
      <c r="E530" s="36"/>
      <c r="F530" s="33" t="s">
        <v>416</v>
      </c>
      <c r="G530" s="33"/>
      <c r="H530" s="34"/>
      <c r="I530" s="30"/>
      <c r="J530" s="152">
        <v>0</v>
      </c>
      <c r="L530" s="215"/>
      <c r="M530" s="33"/>
      <c r="N530" s="33"/>
      <c r="O530" s="34"/>
      <c r="P530" s="36" t="str">
        <f t="shared" si="48"/>
        <v/>
      </c>
      <c r="Q530" s="216" t="str">
        <f t="shared" si="49"/>
        <v/>
      </c>
      <c r="R530" s="216" t="str">
        <f t="shared" si="50"/>
        <v/>
      </c>
      <c r="S530" s="217" t="str">
        <f t="shared" si="51"/>
        <v/>
      </c>
    </row>
    <row r="531" spans="1:19" ht="15.75" hidden="1" thickBot="1" x14ac:dyDescent="0.3">
      <c r="A531" s="263"/>
      <c r="B531" s="261"/>
      <c r="C531" s="35"/>
      <c r="D531" s="35"/>
      <c r="E531" s="36"/>
      <c r="F531" s="30" t="s">
        <v>416</v>
      </c>
      <c r="G531" s="30" t="str">
        <f t="shared" ref="G531:G594" si="52">IF(ISNUMBER(F531),E531*F531,"")</f>
        <v/>
      </c>
      <c r="H531" s="34"/>
      <c r="I531" s="30"/>
      <c r="J531" s="152">
        <v>0</v>
      </c>
      <c r="L531" s="215"/>
      <c r="M531" s="30"/>
      <c r="N531" s="30" t="str">
        <f t="shared" ref="N531:N594" si="53">IF(ISNUMBER(M531),L531*M531,"")</f>
        <v/>
      </c>
      <c r="O531" s="34"/>
      <c r="P531" s="36" t="str">
        <f t="shared" si="48"/>
        <v/>
      </c>
      <c r="Q531" s="216" t="str">
        <f t="shared" si="49"/>
        <v/>
      </c>
      <c r="R531" s="216" t="str">
        <f t="shared" si="50"/>
        <v/>
      </c>
      <c r="S531" s="217" t="str">
        <f t="shared" si="51"/>
        <v/>
      </c>
    </row>
    <row r="532" spans="1:19" ht="15.75" thickBot="1" x14ac:dyDescent="0.3">
      <c r="A532" s="256" t="s">
        <v>146</v>
      </c>
      <c r="B532" s="259" t="str">
        <f>INDEX(Orçamentária!A:B,MATCH(Composições!A532,Orçamentária!A:A,0),2)</f>
        <v>Pintura tinta látex acrílica standard (tetos)</v>
      </c>
      <c r="C532" s="40"/>
      <c r="D532" s="25" t="s">
        <v>70</v>
      </c>
      <c r="E532" s="26"/>
      <c r="F532" s="41" t="s">
        <v>416</v>
      </c>
      <c r="G532" s="27" t="str">
        <f t="shared" si="52"/>
        <v/>
      </c>
      <c r="H532" s="28"/>
      <c r="I532" s="29"/>
      <c r="J532" s="152">
        <v>356</v>
      </c>
      <c r="L532" s="218"/>
      <c r="M532" s="41"/>
      <c r="N532" s="27" t="str">
        <f t="shared" si="53"/>
        <v/>
      </c>
      <c r="O532" s="28"/>
      <c r="P532" s="36" t="str">
        <f t="shared" si="48"/>
        <v/>
      </c>
      <c r="Q532" s="216" t="str">
        <f t="shared" si="49"/>
        <v/>
      </c>
      <c r="R532" s="216" t="str">
        <f t="shared" si="50"/>
        <v/>
      </c>
      <c r="S532" s="217" t="str">
        <f t="shared" si="51"/>
        <v/>
      </c>
    </row>
    <row r="533" spans="1:19" x14ac:dyDescent="0.25">
      <c r="A533" s="262"/>
      <c r="B533" s="260"/>
      <c r="C533" s="31"/>
      <c r="D533" s="31"/>
      <c r="E533" s="32"/>
      <c r="F533" s="42" t="s">
        <v>416</v>
      </c>
      <c r="G533" s="30" t="str">
        <f t="shared" si="52"/>
        <v/>
      </c>
      <c r="H533" s="34"/>
      <c r="I533" s="30"/>
      <c r="J533" s="152">
        <v>356</v>
      </c>
      <c r="L533" s="219"/>
      <c r="M533" s="42"/>
      <c r="N533" s="30" t="str">
        <f t="shared" si="53"/>
        <v/>
      </c>
      <c r="O533" s="34"/>
      <c r="P533" s="36" t="str">
        <f t="shared" si="48"/>
        <v/>
      </c>
      <c r="Q533" s="216" t="str">
        <f t="shared" si="49"/>
        <v/>
      </c>
      <c r="R533" s="216" t="str">
        <f t="shared" si="50"/>
        <v/>
      </c>
      <c r="S533" s="217" t="str">
        <f t="shared" si="51"/>
        <v/>
      </c>
    </row>
    <row r="534" spans="1:19" x14ac:dyDescent="0.25">
      <c r="A534" s="262"/>
      <c r="B534" s="260"/>
      <c r="C534" s="35" t="s">
        <v>956</v>
      </c>
      <c r="D534" s="35" t="s">
        <v>583</v>
      </c>
      <c r="E534" s="36">
        <v>0.24399999999999999</v>
      </c>
      <c r="F534" s="30">
        <v>28.6615</v>
      </c>
      <c r="G534" s="33">
        <f t="shared" si="52"/>
        <v>6.9934060000000002</v>
      </c>
      <c r="H534" s="38">
        <f>SUM(G534:G536)</f>
        <v>17.831680499999997</v>
      </c>
      <c r="I534" s="39"/>
      <c r="J534" s="152">
        <v>356</v>
      </c>
      <c r="L534" s="215">
        <v>0.24399999999999999</v>
      </c>
      <c r="M534" s="30">
        <v>24.534244000000001</v>
      </c>
      <c r="N534" s="33">
        <f t="shared" si="53"/>
        <v>5.9863555360000005</v>
      </c>
      <c r="O534" s="38">
        <f>SUM(N534:N536)</f>
        <v>15.263918508</v>
      </c>
      <c r="P534" s="36" t="str">
        <f t="shared" si="48"/>
        <v/>
      </c>
      <c r="Q534" s="216">
        <f t="shared" si="49"/>
        <v>0.14400000000000002</v>
      </c>
      <c r="R534" s="216">
        <f t="shared" si="50"/>
        <v>0.14399999999999991</v>
      </c>
      <c r="S534" s="217">
        <f t="shared" si="51"/>
        <v>0.14399999999999991</v>
      </c>
    </row>
    <row r="535" spans="1:19" x14ac:dyDescent="0.25">
      <c r="A535" s="262"/>
      <c r="B535" s="260"/>
      <c r="C535" s="35" t="s">
        <v>584</v>
      </c>
      <c r="D535" s="35" t="s">
        <v>583</v>
      </c>
      <c r="E535" s="36">
        <v>8.8999999999999996E-2</v>
      </c>
      <c r="F535" s="30">
        <v>20.225499999999997</v>
      </c>
      <c r="G535" s="33">
        <f t="shared" si="52"/>
        <v>1.8000694999999995</v>
      </c>
      <c r="H535" s="34"/>
      <c r="I535" s="30"/>
      <c r="J535" s="152">
        <v>356</v>
      </c>
      <c r="L535" s="215">
        <v>8.8999999999999996E-2</v>
      </c>
      <c r="M535" s="30">
        <v>17.313027999999996</v>
      </c>
      <c r="N535" s="33">
        <f t="shared" si="53"/>
        <v>1.5408594919999996</v>
      </c>
      <c r="O535" s="34"/>
      <c r="P535" s="36" t="str">
        <f t="shared" si="48"/>
        <v/>
      </c>
      <c r="Q535" s="216">
        <f t="shared" si="49"/>
        <v>0.14400000000000013</v>
      </c>
      <c r="R535" s="216">
        <f t="shared" si="50"/>
        <v>0.14400000000000002</v>
      </c>
      <c r="S535" s="217" t="str">
        <f t="shared" si="51"/>
        <v/>
      </c>
    </row>
    <row r="536" spans="1:19" x14ac:dyDescent="0.25">
      <c r="A536" s="262"/>
      <c r="B536" s="260"/>
      <c r="C536" s="35" t="s">
        <v>8442</v>
      </c>
      <c r="D536" s="35" t="s">
        <v>75</v>
      </c>
      <c r="E536" s="36">
        <v>0.33</v>
      </c>
      <c r="F536" s="33">
        <v>27.388499999999997</v>
      </c>
      <c r="G536" s="33">
        <f t="shared" si="52"/>
        <v>9.0382049999999996</v>
      </c>
      <c r="H536" s="34"/>
      <c r="I536" s="30"/>
      <c r="J536" s="152">
        <v>356</v>
      </c>
      <c r="L536" s="215">
        <v>0.33</v>
      </c>
      <c r="M536" s="33">
        <v>23.444555999999999</v>
      </c>
      <c r="N536" s="33">
        <f t="shared" si="53"/>
        <v>7.7367034800000001</v>
      </c>
      <c r="O536" s="34"/>
      <c r="P536" s="36" t="str">
        <f t="shared" si="48"/>
        <v/>
      </c>
      <c r="Q536" s="216">
        <f t="shared" si="49"/>
        <v>0.14399999999999991</v>
      </c>
      <c r="R536" s="216">
        <f t="shared" si="50"/>
        <v>0.14399999999999991</v>
      </c>
      <c r="S536" s="217" t="str">
        <f t="shared" si="51"/>
        <v/>
      </c>
    </row>
    <row r="537" spans="1:19" ht="15.75" thickBot="1" x14ac:dyDescent="0.3">
      <c r="A537" s="263"/>
      <c r="B537" s="261"/>
      <c r="C537" s="35"/>
      <c r="D537" s="35"/>
      <c r="E537" s="36"/>
      <c r="F537" s="30" t="s">
        <v>416</v>
      </c>
      <c r="G537" s="30" t="str">
        <f t="shared" si="52"/>
        <v/>
      </c>
      <c r="H537" s="34"/>
      <c r="I537" s="30"/>
      <c r="J537" s="152">
        <v>356</v>
      </c>
      <c r="L537" s="215"/>
      <c r="M537" s="30"/>
      <c r="N537" s="30" t="str">
        <f t="shared" si="53"/>
        <v/>
      </c>
      <c r="O537" s="34"/>
      <c r="P537" s="36" t="str">
        <f t="shared" si="48"/>
        <v/>
      </c>
      <c r="Q537" s="216" t="str">
        <f t="shared" si="49"/>
        <v/>
      </c>
      <c r="R537" s="216" t="str">
        <f t="shared" si="50"/>
        <v/>
      </c>
      <c r="S537" s="217" t="str">
        <f t="shared" si="51"/>
        <v/>
      </c>
    </row>
    <row r="538" spans="1:19" ht="15.75" hidden="1" thickBot="1" x14ac:dyDescent="0.3">
      <c r="A538" s="256" t="s">
        <v>147</v>
      </c>
      <c r="B538" s="259" t="str">
        <f>INDEX(Orçamentária!A:B,MATCH(Composições!A538,Orçamentária!A:A,0),2)</f>
        <v>Cerâmica para revestimento de superfícies internas ou externas – Linha Administrativa</v>
      </c>
      <c r="C538" s="40"/>
      <c r="D538" s="25" t="s">
        <v>70</v>
      </c>
      <c r="E538" s="26"/>
      <c r="F538" s="41" t="s">
        <v>416</v>
      </c>
      <c r="G538" s="27" t="str">
        <f t="shared" si="52"/>
        <v/>
      </c>
      <c r="H538" s="28"/>
      <c r="I538" s="29"/>
      <c r="J538" s="152">
        <v>0</v>
      </c>
      <c r="L538" s="218"/>
      <c r="M538" s="41"/>
      <c r="N538" s="27" t="str">
        <f t="shared" si="53"/>
        <v/>
      </c>
      <c r="O538" s="28"/>
      <c r="P538" s="36" t="str">
        <f t="shared" si="48"/>
        <v/>
      </c>
      <c r="Q538" s="216" t="str">
        <f t="shared" si="49"/>
        <v/>
      </c>
      <c r="R538" s="216" t="str">
        <f t="shared" si="50"/>
        <v/>
      </c>
      <c r="S538" s="217" t="str">
        <f t="shared" si="51"/>
        <v/>
      </c>
    </row>
    <row r="539" spans="1:19" ht="15.75" hidden="1" thickBot="1" x14ac:dyDescent="0.3">
      <c r="A539" s="262"/>
      <c r="B539" s="260"/>
      <c r="C539" s="31"/>
      <c r="D539" s="31"/>
      <c r="E539" s="32"/>
      <c r="F539" s="42" t="s">
        <v>416</v>
      </c>
      <c r="G539" s="30" t="str">
        <f t="shared" si="52"/>
        <v/>
      </c>
      <c r="H539" s="34"/>
      <c r="I539" s="30"/>
      <c r="J539" s="152">
        <v>0</v>
      </c>
      <c r="L539" s="219"/>
      <c r="M539" s="42"/>
      <c r="N539" s="30" t="str">
        <f t="shared" si="53"/>
        <v/>
      </c>
      <c r="O539" s="34"/>
      <c r="P539" s="36" t="str">
        <f t="shared" si="48"/>
        <v/>
      </c>
      <c r="Q539" s="216" t="str">
        <f t="shared" si="49"/>
        <v/>
      </c>
      <c r="R539" s="216" t="str">
        <f t="shared" si="50"/>
        <v/>
      </c>
      <c r="S539" s="217" t="str">
        <f t="shared" si="51"/>
        <v/>
      </c>
    </row>
    <row r="540" spans="1:19" ht="26.25" hidden="1" thickBot="1" x14ac:dyDescent="0.3">
      <c r="A540" s="262"/>
      <c r="B540" s="260"/>
      <c r="C540" s="35" t="s">
        <v>148</v>
      </c>
      <c r="D540" s="35" t="s">
        <v>861</v>
      </c>
      <c r="E540" s="36">
        <v>1.08</v>
      </c>
      <c r="F540" s="33">
        <v>42.294000000000004</v>
      </c>
      <c r="G540" s="33">
        <f t="shared" si="52"/>
        <v>45.677520000000008</v>
      </c>
      <c r="H540" s="38">
        <f>SUM(G540:G544)</f>
        <v>78.271829999999994</v>
      </c>
      <c r="I540" s="39"/>
      <c r="J540" s="152">
        <v>0</v>
      </c>
      <c r="L540" s="215">
        <v>1.08</v>
      </c>
      <c r="M540" s="33">
        <v>36.203664000000003</v>
      </c>
      <c r="N540" s="33">
        <f t="shared" si="53"/>
        <v>39.099957120000006</v>
      </c>
      <c r="O540" s="38">
        <f>SUM(N540:N544)</f>
        <v>67.000686480000013</v>
      </c>
      <c r="P540" s="36" t="str">
        <f t="shared" si="48"/>
        <v/>
      </c>
      <c r="Q540" s="216">
        <f t="shared" si="49"/>
        <v>0.14400000000000002</v>
      </c>
      <c r="R540" s="216">
        <f t="shared" si="50"/>
        <v>0.14400000000000002</v>
      </c>
      <c r="S540" s="217">
        <f t="shared" si="51"/>
        <v>0.14399999999999979</v>
      </c>
    </row>
    <row r="541" spans="1:19" ht="15.75" hidden="1" thickBot="1" x14ac:dyDescent="0.3">
      <c r="A541" s="262"/>
      <c r="B541" s="260"/>
      <c r="C541" s="35" t="s">
        <v>7986</v>
      </c>
      <c r="D541" s="35" t="s">
        <v>773</v>
      </c>
      <c r="E541" s="36">
        <v>6.14</v>
      </c>
      <c r="F541" s="33">
        <v>1.0924999999999998</v>
      </c>
      <c r="G541" s="33">
        <f t="shared" si="52"/>
        <v>6.7079499999999985</v>
      </c>
      <c r="H541" s="34"/>
      <c r="I541" s="30"/>
      <c r="J541" s="152">
        <v>0</v>
      </c>
      <c r="L541" s="215">
        <v>6.14</v>
      </c>
      <c r="M541" s="33">
        <v>0.9351799999999999</v>
      </c>
      <c r="N541" s="33">
        <f t="shared" si="53"/>
        <v>5.7420051999999995</v>
      </c>
      <c r="O541" s="34"/>
      <c r="P541" s="36" t="str">
        <f t="shared" si="48"/>
        <v/>
      </c>
      <c r="Q541" s="216">
        <f t="shared" si="49"/>
        <v>0.14399999999999991</v>
      </c>
      <c r="R541" s="216">
        <f t="shared" si="50"/>
        <v>0.14399999999999991</v>
      </c>
      <c r="S541" s="217" t="str">
        <f t="shared" si="51"/>
        <v/>
      </c>
    </row>
    <row r="542" spans="1:19" ht="15.75" hidden="1" thickBot="1" x14ac:dyDescent="0.3">
      <c r="A542" s="262"/>
      <c r="B542" s="260"/>
      <c r="C542" s="35" t="s">
        <v>8367</v>
      </c>
      <c r="D542" s="35" t="s">
        <v>773</v>
      </c>
      <c r="E542" s="36">
        <v>0.22</v>
      </c>
      <c r="F542" s="33">
        <v>3.4579999999999997</v>
      </c>
      <c r="G542" s="33">
        <f t="shared" si="52"/>
        <v>0.76075999999999999</v>
      </c>
      <c r="H542" s="34"/>
      <c r="I542" s="30"/>
      <c r="J542" s="152">
        <v>0</v>
      </c>
      <c r="L542" s="215">
        <v>0.22</v>
      </c>
      <c r="M542" s="33">
        <v>2.9600479999999996</v>
      </c>
      <c r="N542" s="33">
        <f t="shared" si="53"/>
        <v>0.65121055999999988</v>
      </c>
      <c r="O542" s="34"/>
      <c r="P542" s="36" t="str">
        <f t="shared" si="48"/>
        <v/>
      </c>
      <c r="Q542" s="216">
        <f t="shared" si="49"/>
        <v>0.14400000000000002</v>
      </c>
      <c r="R542" s="216">
        <f t="shared" si="50"/>
        <v>0.14400000000000013</v>
      </c>
      <c r="S542" s="217" t="str">
        <f t="shared" si="51"/>
        <v/>
      </c>
    </row>
    <row r="543" spans="1:19" ht="15.75" hidden="1" thickBot="1" x14ac:dyDescent="0.3">
      <c r="A543" s="262"/>
      <c r="B543" s="260"/>
      <c r="C543" s="35" t="s">
        <v>1079</v>
      </c>
      <c r="D543" s="35" t="s">
        <v>583</v>
      </c>
      <c r="E543" s="36">
        <v>0.66</v>
      </c>
      <c r="F543" s="30">
        <v>27.036999999999999</v>
      </c>
      <c r="G543" s="33">
        <f t="shared" si="52"/>
        <v>17.84442</v>
      </c>
      <c r="H543" s="34"/>
      <c r="I543" s="30"/>
      <c r="J543" s="152">
        <v>0</v>
      </c>
      <c r="L543" s="215">
        <v>0.66</v>
      </c>
      <c r="M543" s="30">
        <v>23.143671999999999</v>
      </c>
      <c r="N543" s="33">
        <f t="shared" si="53"/>
        <v>15.27482352</v>
      </c>
      <c r="O543" s="34"/>
      <c r="P543" s="36" t="str">
        <f t="shared" si="48"/>
        <v/>
      </c>
      <c r="Q543" s="216">
        <f t="shared" si="49"/>
        <v>0.14400000000000002</v>
      </c>
      <c r="R543" s="216">
        <f t="shared" si="50"/>
        <v>0.14400000000000002</v>
      </c>
      <c r="S543" s="217" t="str">
        <f t="shared" si="51"/>
        <v/>
      </c>
    </row>
    <row r="544" spans="1:19" ht="15.75" hidden="1" thickBot="1" x14ac:dyDescent="0.3">
      <c r="A544" s="262"/>
      <c r="B544" s="260"/>
      <c r="C544" s="35" t="s">
        <v>584</v>
      </c>
      <c r="D544" s="35" t="s">
        <v>583</v>
      </c>
      <c r="E544" s="36">
        <v>0.36</v>
      </c>
      <c r="F544" s="30">
        <v>20.225499999999997</v>
      </c>
      <c r="G544" s="33">
        <f t="shared" si="52"/>
        <v>7.2811799999999982</v>
      </c>
      <c r="H544" s="34"/>
      <c r="I544" s="30"/>
      <c r="J544" s="152">
        <v>0</v>
      </c>
      <c r="L544" s="215">
        <v>0.36</v>
      </c>
      <c r="M544" s="30">
        <v>17.313027999999996</v>
      </c>
      <c r="N544" s="33">
        <f t="shared" si="53"/>
        <v>6.2326900799999985</v>
      </c>
      <c r="O544" s="34"/>
      <c r="P544" s="36" t="str">
        <f t="shared" si="48"/>
        <v/>
      </c>
      <c r="Q544" s="216">
        <f t="shared" si="49"/>
        <v>0.14400000000000013</v>
      </c>
      <c r="R544" s="216">
        <f t="shared" si="50"/>
        <v>0.14400000000000002</v>
      </c>
      <c r="S544" s="217" t="str">
        <f t="shared" si="51"/>
        <v/>
      </c>
    </row>
    <row r="545" spans="1:19" ht="15.75" hidden="1" thickBot="1" x14ac:dyDescent="0.3">
      <c r="A545" s="263"/>
      <c r="B545" s="261"/>
      <c r="C545" s="35"/>
      <c r="D545" s="35"/>
      <c r="E545" s="36"/>
      <c r="F545" s="30" t="s">
        <v>416</v>
      </c>
      <c r="G545" s="30" t="str">
        <f t="shared" si="52"/>
        <v/>
      </c>
      <c r="H545" s="34"/>
      <c r="I545" s="30"/>
      <c r="J545" s="152">
        <v>0</v>
      </c>
      <c r="L545" s="215"/>
      <c r="M545" s="30"/>
      <c r="N545" s="30" t="str">
        <f t="shared" si="53"/>
        <v/>
      </c>
      <c r="O545" s="34"/>
      <c r="P545" s="36" t="str">
        <f t="shared" si="48"/>
        <v/>
      </c>
      <c r="Q545" s="216" t="str">
        <f t="shared" si="49"/>
        <v/>
      </c>
      <c r="R545" s="216" t="str">
        <f t="shared" si="50"/>
        <v/>
      </c>
      <c r="S545" s="217" t="str">
        <f t="shared" si="51"/>
        <v/>
      </c>
    </row>
    <row r="546" spans="1:19" ht="15.75" hidden="1" thickBot="1" x14ac:dyDescent="0.3">
      <c r="A546" s="256" t="s">
        <v>149</v>
      </c>
      <c r="B546" s="259" t="str">
        <f>INDEX(Orçamentária!A:B,MATCH(Composições!A546,Orçamentária!A:A,0),2)</f>
        <v>Contrapiso em argamassa</v>
      </c>
      <c r="C546" s="40"/>
      <c r="D546" s="25" t="s">
        <v>70</v>
      </c>
      <c r="E546" s="26"/>
      <c r="F546" s="41" t="s">
        <v>416</v>
      </c>
      <c r="G546" s="27" t="str">
        <f t="shared" si="52"/>
        <v/>
      </c>
      <c r="H546" s="28"/>
      <c r="I546" s="29"/>
      <c r="J546" s="152">
        <v>0</v>
      </c>
      <c r="L546" s="218"/>
      <c r="M546" s="41"/>
      <c r="N546" s="27" t="str">
        <f t="shared" si="53"/>
        <v/>
      </c>
      <c r="O546" s="28"/>
      <c r="P546" s="36" t="str">
        <f t="shared" si="48"/>
        <v/>
      </c>
      <c r="Q546" s="216" t="str">
        <f t="shared" si="49"/>
        <v/>
      </c>
      <c r="R546" s="216" t="str">
        <f t="shared" si="50"/>
        <v/>
      </c>
      <c r="S546" s="217" t="str">
        <f t="shared" si="51"/>
        <v/>
      </c>
    </row>
    <row r="547" spans="1:19" ht="15.75" hidden="1" thickBot="1" x14ac:dyDescent="0.3">
      <c r="A547" s="262"/>
      <c r="B547" s="260"/>
      <c r="C547" s="31"/>
      <c r="D547" s="31"/>
      <c r="E547" s="32"/>
      <c r="F547" s="42" t="s">
        <v>416</v>
      </c>
      <c r="G547" s="30" t="str">
        <f t="shared" si="52"/>
        <v/>
      </c>
      <c r="H547" s="34"/>
      <c r="I547" s="30"/>
      <c r="J547" s="152">
        <v>0</v>
      </c>
      <c r="L547" s="219"/>
      <c r="M547" s="42"/>
      <c r="N547" s="30" t="str">
        <f t="shared" si="53"/>
        <v/>
      </c>
      <c r="O547" s="34"/>
      <c r="P547" s="36" t="str">
        <f t="shared" si="48"/>
        <v/>
      </c>
      <c r="Q547" s="216" t="str">
        <f t="shared" si="49"/>
        <v/>
      </c>
      <c r="R547" s="216" t="str">
        <f t="shared" si="50"/>
        <v/>
      </c>
      <c r="S547" s="217" t="str">
        <f t="shared" si="51"/>
        <v/>
      </c>
    </row>
    <row r="548" spans="1:19" ht="26.25" hidden="1" thickBot="1" x14ac:dyDescent="0.3">
      <c r="A548" s="262"/>
      <c r="B548" s="260"/>
      <c r="C548" s="35" t="s">
        <v>150</v>
      </c>
      <c r="D548" s="35" t="s">
        <v>80</v>
      </c>
      <c r="E548" s="36">
        <v>5.2999999999999999E-2</v>
      </c>
      <c r="F548" s="33">
        <v>863.68162074250006</v>
      </c>
      <c r="G548" s="33">
        <f t="shared" si="52"/>
        <v>45.775125899352503</v>
      </c>
      <c r="H548" s="38">
        <f>SUM(G548:G552)</f>
        <v>59.467599399352494</v>
      </c>
      <c r="I548" s="39"/>
      <c r="J548" s="152">
        <v>0</v>
      </c>
      <c r="L548" s="215">
        <v>5.2999999999999999E-2</v>
      </c>
      <c r="M548" s="33">
        <v>739.31146735558002</v>
      </c>
      <c r="N548" s="33">
        <f t="shared" si="53"/>
        <v>39.18350776984574</v>
      </c>
      <c r="O548" s="38">
        <f>SUM(N548:N552)</f>
        <v>50.904265085845736</v>
      </c>
      <c r="P548" s="36" t="str">
        <f t="shared" si="48"/>
        <v/>
      </c>
      <c r="Q548" s="216">
        <f t="shared" si="49"/>
        <v>0.14400000000000002</v>
      </c>
      <c r="R548" s="216">
        <f t="shared" si="50"/>
        <v>0.14400000000000002</v>
      </c>
      <c r="S548" s="217">
        <f t="shared" si="51"/>
        <v>0.14400000000000002</v>
      </c>
    </row>
    <row r="549" spans="1:19" ht="15.75" hidden="1" thickBot="1" x14ac:dyDescent="0.3">
      <c r="A549" s="262"/>
      <c r="B549" s="260"/>
      <c r="C549" s="35" t="s">
        <v>591</v>
      </c>
      <c r="D549" s="35" t="s">
        <v>583</v>
      </c>
      <c r="E549" s="36">
        <v>0.27100000000000002</v>
      </c>
      <c r="F549" s="30">
        <v>27.160499999999999</v>
      </c>
      <c r="G549" s="33">
        <f t="shared" si="52"/>
        <v>7.3604954999999999</v>
      </c>
      <c r="H549" s="34"/>
      <c r="I549" s="30"/>
      <c r="J549" s="152">
        <v>0</v>
      </c>
      <c r="L549" s="215">
        <v>0.27100000000000002</v>
      </c>
      <c r="M549" s="30">
        <v>23.249388</v>
      </c>
      <c r="N549" s="33">
        <f t="shared" si="53"/>
        <v>6.3005841480000004</v>
      </c>
      <c r="O549" s="34"/>
      <c r="P549" s="36" t="str">
        <f t="shared" si="48"/>
        <v/>
      </c>
      <c r="Q549" s="216">
        <f t="shared" si="49"/>
        <v>0.14400000000000002</v>
      </c>
      <c r="R549" s="216">
        <f t="shared" si="50"/>
        <v>0.14399999999999991</v>
      </c>
      <c r="S549" s="217" t="str">
        <f t="shared" si="51"/>
        <v/>
      </c>
    </row>
    <row r="550" spans="1:19" ht="15.75" hidden="1" thickBot="1" x14ac:dyDescent="0.3">
      <c r="A550" s="262"/>
      <c r="B550" s="260"/>
      <c r="C550" s="35" t="s">
        <v>584</v>
      </c>
      <c r="D550" s="35" t="s">
        <v>583</v>
      </c>
      <c r="E550" s="36">
        <v>0.13600000000000001</v>
      </c>
      <c r="F550" s="30">
        <v>20.225499999999997</v>
      </c>
      <c r="G550" s="33">
        <f t="shared" si="52"/>
        <v>2.7506679999999997</v>
      </c>
      <c r="H550" s="34"/>
      <c r="I550" s="30"/>
      <c r="J550" s="152">
        <v>0</v>
      </c>
      <c r="L550" s="215">
        <v>0.13600000000000001</v>
      </c>
      <c r="M550" s="30">
        <v>17.313027999999996</v>
      </c>
      <c r="N550" s="33">
        <f t="shared" si="53"/>
        <v>2.3545718079999998</v>
      </c>
      <c r="O550" s="34"/>
      <c r="P550" s="36" t="str">
        <f t="shared" si="48"/>
        <v/>
      </c>
      <c r="Q550" s="216">
        <f t="shared" si="49"/>
        <v>0.14400000000000013</v>
      </c>
      <c r="R550" s="216">
        <f t="shared" si="50"/>
        <v>0.14400000000000002</v>
      </c>
      <c r="S550" s="217" t="str">
        <f t="shared" si="51"/>
        <v/>
      </c>
    </row>
    <row r="551" spans="1:19" ht="15.75" hidden="1" thickBot="1" x14ac:dyDescent="0.3">
      <c r="A551" s="262"/>
      <c r="B551" s="260"/>
      <c r="C551" s="35" t="s">
        <v>8065</v>
      </c>
      <c r="D551" s="35" t="s">
        <v>773</v>
      </c>
      <c r="E551" s="36">
        <v>0.5</v>
      </c>
      <c r="F551" s="33">
        <v>0.627</v>
      </c>
      <c r="G551" s="33">
        <f t="shared" si="52"/>
        <v>0.3135</v>
      </c>
      <c r="H551" s="34"/>
      <c r="I551" s="30"/>
      <c r="J551" s="152">
        <v>0</v>
      </c>
      <c r="L551" s="215">
        <v>0.5</v>
      </c>
      <c r="M551" s="33">
        <v>0.53671199999999997</v>
      </c>
      <c r="N551" s="33">
        <f t="shared" si="53"/>
        <v>0.26835599999999998</v>
      </c>
      <c r="O551" s="34"/>
      <c r="P551" s="36" t="str">
        <f t="shared" si="48"/>
        <v/>
      </c>
      <c r="Q551" s="216">
        <f t="shared" si="49"/>
        <v>0.14400000000000002</v>
      </c>
      <c r="R551" s="216">
        <f t="shared" si="50"/>
        <v>0.14400000000000002</v>
      </c>
      <c r="S551" s="217" t="str">
        <f t="shared" si="51"/>
        <v/>
      </c>
    </row>
    <row r="552" spans="1:19" ht="26.25" hidden="1" thickBot="1" x14ac:dyDescent="0.3">
      <c r="A552" s="262"/>
      <c r="B552" s="260"/>
      <c r="C552" s="35" t="s">
        <v>7976</v>
      </c>
      <c r="D552" s="35" t="s">
        <v>75</v>
      </c>
      <c r="E552" s="36">
        <v>0.21</v>
      </c>
      <c r="F552" s="33">
        <v>15.560999999999998</v>
      </c>
      <c r="G552" s="33">
        <f t="shared" si="52"/>
        <v>3.2678099999999994</v>
      </c>
      <c r="H552" s="34"/>
      <c r="I552" s="30"/>
      <c r="J552" s="152">
        <v>0</v>
      </c>
      <c r="L552" s="215">
        <v>0.21</v>
      </c>
      <c r="M552" s="33">
        <v>13.320215999999999</v>
      </c>
      <c r="N552" s="33">
        <f t="shared" si="53"/>
        <v>2.7972453599999998</v>
      </c>
      <c r="O552" s="34"/>
      <c r="P552" s="36" t="str">
        <f t="shared" si="48"/>
        <v/>
      </c>
      <c r="Q552" s="216">
        <f t="shared" si="49"/>
        <v>0.14400000000000002</v>
      </c>
      <c r="R552" s="216">
        <f t="shared" si="50"/>
        <v>0.14399999999999991</v>
      </c>
      <c r="S552" s="217" t="str">
        <f t="shared" si="51"/>
        <v/>
      </c>
    </row>
    <row r="553" spans="1:19" ht="15.75" hidden="1" thickBot="1" x14ac:dyDescent="0.3">
      <c r="A553" s="263"/>
      <c r="B553" s="261"/>
      <c r="C553" s="35"/>
      <c r="D553" s="35"/>
      <c r="E553" s="36"/>
      <c r="F553" s="30" t="s">
        <v>416</v>
      </c>
      <c r="G553" s="30" t="str">
        <f t="shared" si="52"/>
        <v/>
      </c>
      <c r="H553" s="34"/>
      <c r="I553" s="30"/>
      <c r="J553" s="152">
        <v>0</v>
      </c>
      <c r="L553" s="215"/>
      <c r="M553" s="30"/>
      <c r="N553" s="30" t="str">
        <f t="shared" si="53"/>
        <v/>
      </c>
      <c r="O553" s="34"/>
      <c r="P553" s="36" t="str">
        <f t="shared" si="48"/>
        <v/>
      </c>
      <c r="Q553" s="216" t="str">
        <f t="shared" si="49"/>
        <v/>
      </c>
      <c r="R553" s="216" t="str">
        <f t="shared" si="50"/>
        <v/>
      </c>
      <c r="S553" s="217" t="str">
        <f t="shared" si="51"/>
        <v/>
      </c>
    </row>
    <row r="554" spans="1:19" ht="15.75" hidden="1" thickBot="1" x14ac:dyDescent="0.3">
      <c r="A554" s="256" t="s">
        <v>151</v>
      </c>
      <c r="B554" s="259" t="str">
        <f>INDEX(Orçamentária!A:B,MATCH(Composições!A554,Orçamentária!A:A,0),2)</f>
        <v>Contrapiso em argamassa (e = 2 cm) ou Regularização de contrapiso existente</v>
      </c>
      <c r="C554" s="40"/>
      <c r="D554" s="25" t="s">
        <v>70</v>
      </c>
      <c r="E554" s="26"/>
      <c r="F554" s="41" t="s">
        <v>416</v>
      </c>
      <c r="G554" s="27" t="str">
        <f t="shared" si="52"/>
        <v/>
      </c>
      <c r="H554" s="28"/>
      <c r="I554" s="29"/>
      <c r="J554" s="152">
        <v>0</v>
      </c>
      <c r="L554" s="218"/>
      <c r="M554" s="41"/>
      <c r="N554" s="27" t="str">
        <f t="shared" si="53"/>
        <v/>
      </c>
      <c r="O554" s="28"/>
      <c r="P554" s="36" t="str">
        <f t="shared" si="48"/>
        <v/>
      </c>
      <c r="Q554" s="216" t="str">
        <f t="shared" si="49"/>
        <v/>
      </c>
      <c r="R554" s="216" t="str">
        <f t="shared" si="50"/>
        <v/>
      </c>
      <c r="S554" s="217" t="str">
        <f t="shared" si="51"/>
        <v/>
      </c>
    </row>
    <row r="555" spans="1:19" ht="15.75" hidden="1" thickBot="1" x14ac:dyDescent="0.3">
      <c r="A555" s="262"/>
      <c r="B555" s="260"/>
      <c r="C555" s="31"/>
      <c r="D555" s="31"/>
      <c r="E555" s="32"/>
      <c r="F555" s="42" t="s">
        <v>416</v>
      </c>
      <c r="G555" s="30" t="str">
        <f t="shared" si="52"/>
        <v/>
      </c>
      <c r="H555" s="34"/>
      <c r="I555" s="30"/>
      <c r="J555" s="152">
        <v>0</v>
      </c>
      <c r="L555" s="219"/>
      <c r="M555" s="42"/>
      <c r="N555" s="30" t="str">
        <f t="shared" si="53"/>
        <v/>
      </c>
      <c r="O555" s="34"/>
      <c r="P555" s="36" t="str">
        <f t="shared" si="48"/>
        <v/>
      </c>
      <c r="Q555" s="216" t="str">
        <f t="shared" si="49"/>
        <v/>
      </c>
      <c r="R555" s="216" t="str">
        <f t="shared" si="50"/>
        <v/>
      </c>
      <c r="S555" s="217" t="str">
        <f t="shared" si="51"/>
        <v/>
      </c>
    </row>
    <row r="556" spans="1:19" ht="15.75" hidden="1" thickBot="1" x14ac:dyDescent="0.3">
      <c r="A556" s="262"/>
      <c r="B556" s="260"/>
      <c r="C556" s="35" t="s">
        <v>8065</v>
      </c>
      <c r="D556" s="35" t="s">
        <v>773</v>
      </c>
      <c r="E556" s="36">
        <v>0.5</v>
      </c>
      <c r="F556" s="33">
        <v>0.627</v>
      </c>
      <c r="G556" s="33">
        <f t="shared" si="52"/>
        <v>0.3135</v>
      </c>
      <c r="H556" s="38">
        <f>SUM(G556:G560)</f>
        <v>38.331915743017497</v>
      </c>
      <c r="I556" s="39"/>
      <c r="J556" s="152">
        <v>0</v>
      </c>
      <c r="L556" s="215">
        <v>0.5</v>
      </c>
      <c r="M556" s="33">
        <v>0.53671199999999997</v>
      </c>
      <c r="N556" s="33">
        <f t="shared" si="53"/>
        <v>0.26835599999999998</v>
      </c>
      <c r="O556" s="38">
        <f>SUM(N556:N560)</f>
        <v>32.812119876022976</v>
      </c>
      <c r="P556" s="36" t="str">
        <f t="shared" si="48"/>
        <v/>
      </c>
      <c r="Q556" s="216">
        <f t="shared" si="49"/>
        <v>0.14400000000000002</v>
      </c>
      <c r="R556" s="216">
        <f t="shared" si="50"/>
        <v>0.14400000000000002</v>
      </c>
      <c r="S556" s="217">
        <f t="shared" si="51"/>
        <v>0.14400000000000002</v>
      </c>
    </row>
    <row r="557" spans="1:19" ht="26.25" hidden="1" thickBot="1" x14ac:dyDescent="0.3">
      <c r="A557" s="262"/>
      <c r="B557" s="260"/>
      <c r="C557" s="35" t="s">
        <v>7976</v>
      </c>
      <c r="D557" s="35" t="s">
        <v>75</v>
      </c>
      <c r="E557" s="36">
        <v>0.21</v>
      </c>
      <c r="F557" s="33">
        <v>15.560999999999998</v>
      </c>
      <c r="G557" s="33">
        <f t="shared" si="52"/>
        <v>3.2678099999999994</v>
      </c>
      <c r="H557" s="34"/>
      <c r="I557" s="30"/>
      <c r="J557" s="152">
        <v>0</v>
      </c>
      <c r="L557" s="215">
        <v>0.21</v>
      </c>
      <c r="M557" s="33">
        <v>13.320215999999999</v>
      </c>
      <c r="N557" s="33">
        <f t="shared" si="53"/>
        <v>2.7972453599999998</v>
      </c>
      <c r="O557" s="34"/>
      <c r="P557" s="36" t="str">
        <f t="shared" si="48"/>
        <v/>
      </c>
      <c r="Q557" s="216">
        <f t="shared" si="49"/>
        <v>0.14400000000000002</v>
      </c>
      <c r="R557" s="216">
        <f t="shared" si="50"/>
        <v>0.14399999999999991</v>
      </c>
      <c r="S557" s="217" t="str">
        <f t="shared" si="51"/>
        <v/>
      </c>
    </row>
    <row r="558" spans="1:19" ht="26.25" hidden="1" thickBot="1" x14ac:dyDescent="0.3">
      <c r="A558" s="262"/>
      <c r="B558" s="260"/>
      <c r="C558" s="35" t="s">
        <v>150</v>
      </c>
      <c r="D558" s="35" t="s">
        <v>80</v>
      </c>
      <c r="E558" s="36">
        <v>3.1E-2</v>
      </c>
      <c r="F558" s="33">
        <v>863.68162074250006</v>
      </c>
      <c r="G558" s="33">
        <f t="shared" si="52"/>
        <v>26.774130243017503</v>
      </c>
      <c r="H558" s="34"/>
      <c r="I558" s="30"/>
      <c r="J558" s="152">
        <v>0</v>
      </c>
      <c r="L558" s="215">
        <v>3.1E-2</v>
      </c>
      <c r="M558" s="33">
        <v>739.31146735558002</v>
      </c>
      <c r="N558" s="33">
        <f t="shared" si="53"/>
        <v>22.918655488022981</v>
      </c>
      <c r="O558" s="34"/>
      <c r="P558" s="36" t="str">
        <f t="shared" si="48"/>
        <v/>
      </c>
      <c r="Q558" s="216">
        <f t="shared" si="49"/>
        <v>0.14400000000000002</v>
      </c>
      <c r="R558" s="216">
        <f t="shared" si="50"/>
        <v>0.14400000000000002</v>
      </c>
      <c r="S558" s="217" t="str">
        <f t="shared" si="51"/>
        <v/>
      </c>
    </row>
    <row r="559" spans="1:19" ht="15.75" hidden="1" thickBot="1" x14ac:dyDescent="0.3">
      <c r="A559" s="262"/>
      <c r="B559" s="260"/>
      <c r="C559" s="35" t="s">
        <v>591</v>
      </c>
      <c r="D559" s="35" t="s">
        <v>583</v>
      </c>
      <c r="E559" s="36">
        <v>0.214</v>
      </c>
      <c r="F559" s="30">
        <v>27.160499999999999</v>
      </c>
      <c r="G559" s="33">
        <f t="shared" si="52"/>
        <v>5.8123469999999999</v>
      </c>
      <c r="H559" s="34"/>
      <c r="I559" s="30"/>
      <c r="J559" s="152">
        <v>0</v>
      </c>
      <c r="L559" s="215">
        <v>0.214</v>
      </c>
      <c r="M559" s="30">
        <v>23.249388</v>
      </c>
      <c r="N559" s="33">
        <f t="shared" si="53"/>
        <v>4.9753690319999997</v>
      </c>
      <c r="O559" s="34"/>
      <c r="P559" s="36" t="str">
        <f t="shared" si="48"/>
        <v/>
      </c>
      <c r="Q559" s="216">
        <f t="shared" si="49"/>
        <v>0.14400000000000002</v>
      </c>
      <c r="R559" s="216">
        <f t="shared" si="50"/>
        <v>0.14400000000000002</v>
      </c>
      <c r="S559" s="217" t="str">
        <f t="shared" si="51"/>
        <v/>
      </c>
    </row>
    <row r="560" spans="1:19" ht="15.75" hidden="1" thickBot="1" x14ac:dyDescent="0.3">
      <c r="A560" s="262"/>
      <c r="B560" s="260"/>
      <c r="C560" s="35" t="s">
        <v>584</v>
      </c>
      <c r="D560" s="35" t="s">
        <v>583</v>
      </c>
      <c r="E560" s="36">
        <v>0.107</v>
      </c>
      <c r="F560" s="30">
        <v>20.225499999999997</v>
      </c>
      <c r="G560" s="33">
        <f t="shared" si="52"/>
        <v>2.1641284999999995</v>
      </c>
      <c r="H560" s="34"/>
      <c r="I560" s="30"/>
      <c r="J560" s="152">
        <v>0</v>
      </c>
      <c r="L560" s="215">
        <v>0.107</v>
      </c>
      <c r="M560" s="30">
        <v>17.313027999999996</v>
      </c>
      <c r="N560" s="33">
        <f t="shared" si="53"/>
        <v>1.8524939959999995</v>
      </c>
      <c r="O560" s="34"/>
      <c r="P560" s="36" t="str">
        <f t="shared" si="48"/>
        <v/>
      </c>
      <c r="Q560" s="216">
        <f t="shared" si="49"/>
        <v>0.14400000000000013</v>
      </c>
      <c r="R560" s="216">
        <f t="shared" si="50"/>
        <v>0.14400000000000002</v>
      </c>
      <c r="S560" s="217" t="str">
        <f t="shared" si="51"/>
        <v/>
      </c>
    </row>
    <row r="561" spans="1:19" ht="15.75" hidden="1" thickBot="1" x14ac:dyDescent="0.3">
      <c r="A561" s="263"/>
      <c r="B561" s="261"/>
      <c r="C561" s="35"/>
      <c r="D561" s="35"/>
      <c r="E561" s="36"/>
      <c r="F561" s="30" t="s">
        <v>416</v>
      </c>
      <c r="G561" s="30" t="str">
        <f t="shared" si="52"/>
        <v/>
      </c>
      <c r="H561" s="34"/>
      <c r="I561" s="30"/>
      <c r="J561" s="152">
        <v>0</v>
      </c>
      <c r="L561" s="215"/>
      <c r="M561" s="30"/>
      <c r="N561" s="30" t="str">
        <f t="shared" si="53"/>
        <v/>
      </c>
      <c r="O561" s="34"/>
      <c r="P561" s="36" t="str">
        <f t="shared" si="48"/>
        <v/>
      </c>
      <c r="Q561" s="216" t="str">
        <f t="shared" si="49"/>
        <v/>
      </c>
      <c r="R561" s="216" t="str">
        <f t="shared" si="50"/>
        <v/>
      </c>
      <c r="S561" s="217" t="str">
        <f t="shared" si="51"/>
        <v/>
      </c>
    </row>
    <row r="562" spans="1:19" ht="15.75" hidden="1" thickBot="1" x14ac:dyDescent="0.3">
      <c r="A562" s="256" t="s">
        <v>152</v>
      </c>
      <c r="B562" s="259" t="str">
        <f>INDEX(Orçamentária!A:B,MATCH(Composições!A562,Orçamentária!A:A,0),2)</f>
        <v>Granito cinza andorinha para piso</v>
      </c>
      <c r="C562" s="40"/>
      <c r="D562" s="25" t="s">
        <v>70</v>
      </c>
      <c r="E562" s="26"/>
      <c r="F562" s="41" t="s">
        <v>416</v>
      </c>
      <c r="G562" s="27" t="str">
        <f t="shared" si="52"/>
        <v/>
      </c>
      <c r="H562" s="28"/>
      <c r="I562" s="29"/>
      <c r="J562" s="152">
        <v>0</v>
      </c>
      <c r="L562" s="218"/>
      <c r="M562" s="41"/>
      <c r="N562" s="27" t="str">
        <f t="shared" si="53"/>
        <v/>
      </c>
      <c r="O562" s="28"/>
      <c r="P562" s="36" t="str">
        <f t="shared" si="48"/>
        <v/>
      </c>
      <c r="Q562" s="216" t="str">
        <f t="shared" si="49"/>
        <v/>
      </c>
      <c r="R562" s="216" t="str">
        <f t="shared" si="50"/>
        <v/>
      </c>
      <c r="S562" s="217" t="str">
        <f t="shared" si="51"/>
        <v/>
      </c>
    </row>
    <row r="563" spans="1:19" ht="15.75" hidden="1" thickBot="1" x14ac:dyDescent="0.3">
      <c r="A563" s="262"/>
      <c r="B563" s="260"/>
      <c r="C563" s="31"/>
      <c r="D563" s="31"/>
      <c r="E563" s="32"/>
      <c r="F563" s="42" t="s">
        <v>416</v>
      </c>
      <c r="G563" s="30" t="str">
        <f t="shared" si="52"/>
        <v/>
      </c>
      <c r="H563" s="34"/>
      <c r="I563" s="30"/>
      <c r="J563" s="152">
        <v>0</v>
      </c>
      <c r="L563" s="219"/>
      <c r="M563" s="42"/>
      <c r="N563" s="30" t="str">
        <f t="shared" si="53"/>
        <v/>
      </c>
      <c r="O563" s="34"/>
      <c r="P563" s="36" t="str">
        <f t="shared" si="48"/>
        <v/>
      </c>
      <c r="Q563" s="216" t="str">
        <f t="shared" si="49"/>
        <v/>
      </c>
      <c r="R563" s="216" t="str">
        <f t="shared" si="50"/>
        <v/>
      </c>
      <c r="S563" s="217" t="str">
        <f t="shared" si="51"/>
        <v/>
      </c>
    </row>
    <row r="564" spans="1:19" ht="15.75" hidden="1" thickBot="1" x14ac:dyDescent="0.3">
      <c r="A564" s="262"/>
      <c r="B564" s="260"/>
      <c r="C564" s="35" t="s">
        <v>7987</v>
      </c>
      <c r="D564" s="35" t="s">
        <v>773</v>
      </c>
      <c r="E564" s="36">
        <v>8.6199999999999992</v>
      </c>
      <c r="F564" s="33">
        <v>1.8049999999999999</v>
      </c>
      <c r="G564" s="33">
        <f t="shared" si="52"/>
        <v>15.559099999999997</v>
      </c>
      <c r="H564" s="38">
        <f>SUM(G564:G568)</f>
        <v>60.177122999999987</v>
      </c>
      <c r="I564" s="39"/>
      <c r="J564" s="152">
        <v>0</v>
      </c>
      <c r="L564" s="215">
        <v>8.6199999999999992</v>
      </c>
      <c r="M564" s="33">
        <v>1.54508</v>
      </c>
      <c r="N564" s="33">
        <f t="shared" si="53"/>
        <v>13.318589599999999</v>
      </c>
      <c r="O564" s="38">
        <f>SUM(N564:N568)</f>
        <v>51.511617287999989</v>
      </c>
      <c r="P564" s="36" t="str">
        <f t="shared" si="48"/>
        <v/>
      </c>
      <c r="Q564" s="216">
        <f t="shared" si="49"/>
        <v>0.14400000000000002</v>
      </c>
      <c r="R564" s="216">
        <f t="shared" si="50"/>
        <v>0.14399999999999991</v>
      </c>
      <c r="S564" s="217">
        <f t="shared" si="51"/>
        <v>0.14400000000000002</v>
      </c>
    </row>
    <row r="565" spans="1:19" ht="15.75" hidden="1" thickBot="1" x14ac:dyDescent="0.3">
      <c r="A565" s="262"/>
      <c r="B565" s="260"/>
      <c r="C565" s="35" t="s">
        <v>2906</v>
      </c>
      <c r="D565" s="35" t="s">
        <v>583</v>
      </c>
      <c r="E565" s="36">
        <v>1.1879999999999999</v>
      </c>
      <c r="F565" s="30">
        <v>27.036999999999999</v>
      </c>
      <c r="G565" s="33">
        <f t="shared" si="52"/>
        <v>32.119955999999995</v>
      </c>
      <c r="H565" s="34"/>
      <c r="I565" s="30"/>
      <c r="J565" s="152">
        <v>0</v>
      </c>
      <c r="L565" s="215">
        <v>1.1879999999999999</v>
      </c>
      <c r="M565" s="30">
        <v>23.143671999999999</v>
      </c>
      <c r="N565" s="33">
        <f t="shared" si="53"/>
        <v>27.494682335999997</v>
      </c>
      <c r="O565" s="34"/>
      <c r="P565" s="36" t="str">
        <f t="shared" si="48"/>
        <v/>
      </c>
      <c r="Q565" s="216">
        <f t="shared" si="49"/>
        <v>0.14400000000000002</v>
      </c>
      <c r="R565" s="216">
        <f t="shared" si="50"/>
        <v>0.14400000000000002</v>
      </c>
      <c r="S565" s="217" t="str">
        <f t="shared" si="51"/>
        <v/>
      </c>
    </row>
    <row r="566" spans="1:19" ht="15.75" hidden="1" thickBot="1" x14ac:dyDescent="0.3">
      <c r="A566" s="262"/>
      <c r="B566" s="260"/>
      <c r="C566" s="35" t="s">
        <v>584</v>
      </c>
      <c r="D566" s="35" t="s">
        <v>583</v>
      </c>
      <c r="E566" s="36">
        <v>0.59399999999999997</v>
      </c>
      <c r="F566" s="30">
        <v>20.225499999999997</v>
      </c>
      <c r="G566" s="33">
        <f t="shared" si="52"/>
        <v>12.013946999999998</v>
      </c>
      <c r="H566" s="34"/>
      <c r="I566" s="30"/>
      <c r="J566" s="152">
        <v>0</v>
      </c>
      <c r="L566" s="215">
        <v>0.59399999999999997</v>
      </c>
      <c r="M566" s="30">
        <v>17.313027999999996</v>
      </c>
      <c r="N566" s="33">
        <f t="shared" si="53"/>
        <v>10.283938631999996</v>
      </c>
      <c r="O566" s="34"/>
      <c r="P566" s="36" t="str">
        <f t="shared" si="48"/>
        <v/>
      </c>
      <c r="Q566" s="216">
        <f t="shared" si="49"/>
        <v>0.14400000000000013</v>
      </c>
      <c r="R566" s="216">
        <f t="shared" si="50"/>
        <v>0.14400000000000013</v>
      </c>
      <c r="S566" s="217" t="str">
        <f t="shared" si="51"/>
        <v/>
      </c>
    </row>
    <row r="567" spans="1:19" ht="15.75" hidden="1" thickBot="1" x14ac:dyDescent="0.3">
      <c r="A567" s="262"/>
      <c r="B567" s="260"/>
      <c r="C567" s="35" t="s">
        <v>8367</v>
      </c>
      <c r="D567" s="35" t="s">
        <v>773</v>
      </c>
      <c r="E567" s="36">
        <v>0.14000000000000001</v>
      </c>
      <c r="F567" s="33">
        <v>3.4579999999999997</v>
      </c>
      <c r="G567" s="33">
        <f t="shared" si="52"/>
        <v>0.48411999999999999</v>
      </c>
      <c r="H567" s="34"/>
      <c r="I567" s="30"/>
      <c r="J567" s="152">
        <v>0</v>
      </c>
      <c r="L567" s="215">
        <v>0.14000000000000001</v>
      </c>
      <c r="M567" s="33">
        <v>2.9600479999999996</v>
      </c>
      <c r="N567" s="33">
        <f t="shared" si="53"/>
        <v>0.41440672000000001</v>
      </c>
      <c r="O567" s="34"/>
      <c r="P567" s="36" t="str">
        <f t="shared" si="48"/>
        <v/>
      </c>
      <c r="Q567" s="216">
        <f t="shared" si="49"/>
        <v>0.14400000000000002</v>
      </c>
      <c r="R567" s="216">
        <f t="shared" si="50"/>
        <v>0.14400000000000002</v>
      </c>
      <c r="S567" s="217" t="str">
        <f t="shared" si="51"/>
        <v/>
      </c>
    </row>
    <row r="568" spans="1:19" ht="15.75" hidden="1" thickBot="1" x14ac:dyDescent="0.3">
      <c r="A568" s="262"/>
      <c r="B568" s="260"/>
      <c r="C568" s="35" t="s">
        <v>153</v>
      </c>
      <c r="D568" s="35" t="s">
        <v>70</v>
      </c>
      <c r="E568" s="36">
        <v>1.1599999999999999</v>
      </c>
      <c r="F568" s="33" t="s">
        <v>416</v>
      </c>
      <c r="G568" s="53" t="str">
        <f t="shared" si="52"/>
        <v/>
      </c>
      <c r="H568" s="34"/>
      <c r="I568" s="30"/>
      <c r="J568" s="152">
        <v>0</v>
      </c>
      <c r="L568" s="215">
        <v>1.1599999999999999</v>
      </c>
      <c r="M568" s="33"/>
      <c r="N568" s="53" t="str">
        <f t="shared" si="53"/>
        <v/>
      </c>
      <c r="O568" s="34"/>
      <c r="P568" s="36" t="str">
        <f t="shared" si="48"/>
        <v/>
      </c>
      <c r="Q568" s="216" t="str">
        <f t="shared" si="49"/>
        <v/>
      </c>
      <c r="R568" s="216" t="str">
        <f t="shared" si="50"/>
        <v/>
      </c>
      <c r="S568" s="217" t="str">
        <f t="shared" si="51"/>
        <v/>
      </c>
    </row>
    <row r="569" spans="1:19" ht="15.75" hidden="1" thickBot="1" x14ac:dyDescent="0.3">
      <c r="A569" s="263"/>
      <c r="B569" s="261"/>
      <c r="C569" s="35"/>
      <c r="D569" s="35"/>
      <c r="E569" s="36"/>
      <c r="F569" s="30" t="s">
        <v>416</v>
      </c>
      <c r="G569" s="30" t="str">
        <f t="shared" si="52"/>
        <v/>
      </c>
      <c r="H569" s="34"/>
      <c r="I569" s="30"/>
      <c r="J569" s="152">
        <v>0</v>
      </c>
      <c r="L569" s="215"/>
      <c r="M569" s="30"/>
      <c r="N569" s="30" t="str">
        <f t="shared" si="53"/>
        <v/>
      </c>
      <c r="O569" s="34"/>
      <c r="P569" s="36" t="str">
        <f t="shared" si="48"/>
        <v/>
      </c>
      <c r="Q569" s="216" t="str">
        <f t="shared" si="49"/>
        <v/>
      </c>
      <c r="R569" s="216" t="str">
        <f t="shared" si="50"/>
        <v/>
      </c>
      <c r="S569" s="217" t="str">
        <f t="shared" si="51"/>
        <v/>
      </c>
    </row>
    <row r="570" spans="1:19" ht="15.75" hidden="1" thickBot="1" x14ac:dyDescent="0.3">
      <c r="A570" s="256" t="s">
        <v>154</v>
      </c>
      <c r="B570" s="259" t="str">
        <f>INDEX(Orçamentária!A:B,MATCH(Composições!A570,Orçamentária!A:A,0),2)</f>
        <v>Granito Cinza Andorinha para rodapé</v>
      </c>
      <c r="C570" s="40"/>
      <c r="D570" s="25" t="s">
        <v>70</v>
      </c>
      <c r="E570" s="26"/>
      <c r="F570" s="41" t="s">
        <v>416</v>
      </c>
      <c r="G570" s="27" t="str">
        <f t="shared" si="52"/>
        <v/>
      </c>
      <c r="H570" s="28"/>
      <c r="I570" s="29"/>
      <c r="J570" s="152">
        <v>0</v>
      </c>
      <c r="L570" s="218"/>
      <c r="M570" s="41"/>
      <c r="N570" s="27" t="str">
        <f t="shared" si="53"/>
        <v/>
      </c>
      <c r="O570" s="28"/>
      <c r="P570" s="36" t="str">
        <f t="shared" si="48"/>
        <v/>
      </c>
      <c r="Q570" s="216" t="str">
        <f t="shared" si="49"/>
        <v/>
      </c>
      <c r="R570" s="216" t="str">
        <f t="shared" si="50"/>
        <v/>
      </c>
      <c r="S570" s="217" t="str">
        <f t="shared" si="51"/>
        <v/>
      </c>
    </row>
    <row r="571" spans="1:19" ht="15.75" hidden="1" thickBot="1" x14ac:dyDescent="0.3">
      <c r="A571" s="262"/>
      <c r="B571" s="260"/>
      <c r="C571" s="31"/>
      <c r="D571" s="31"/>
      <c r="E571" s="32"/>
      <c r="F571" s="42" t="s">
        <v>416</v>
      </c>
      <c r="G571" s="30" t="str">
        <f t="shared" si="52"/>
        <v/>
      </c>
      <c r="H571" s="34"/>
      <c r="I571" s="30"/>
      <c r="J571" s="152">
        <v>0</v>
      </c>
      <c r="L571" s="219"/>
      <c r="M571" s="42"/>
      <c r="N571" s="30" t="str">
        <f t="shared" si="53"/>
        <v/>
      </c>
      <c r="O571" s="34"/>
      <c r="P571" s="36" t="str">
        <f t="shared" si="48"/>
        <v/>
      </c>
      <c r="Q571" s="216" t="str">
        <f t="shared" si="49"/>
        <v/>
      </c>
      <c r="R571" s="216" t="str">
        <f t="shared" si="50"/>
        <v/>
      </c>
      <c r="S571" s="217" t="str">
        <f t="shared" si="51"/>
        <v/>
      </c>
    </row>
    <row r="572" spans="1:19" ht="26.25" hidden="1" thickBot="1" x14ac:dyDescent="0.3">
      <c r="A572" s="262"/>
      <c r="B572" s="260"/>
      <c r="C572" s="35" t="s">
        <v>155</v>
      </c>
      <c r="D572" s="35" t="s">
        <v>69</v>
      </c>
      <c r="E572" s="36">
        <f>ROUND(1.04/0.07,4)</f>
        <v>14.857100000000001</v>
      </c>
      <c r="F572" s="33" t="s">
        <v>416</v>
      </c>
      <c r="G572" s="33" t="str">
        <f t="shared" si="52"/>
        <v/>
      </c>
      <c r="H572" s="38">
        <f>SUM(G572:G576)</f>
        <v>130.87674999999999</v>
      </c>
      <c r="I572" s="39"/>
      <c r="J572" s="152">
        <v>0</v>
      </c>
      <c r="L572" s="215">
        <v>14.857100000000001</v>
      </c>
      <c r="M572" s="33"/>
      <c r="N572" s="33" t="str">
        <f t="shared" si="53"/>
        <v/>
      </c>
      <c r="O572" s="38">
        <f>SUM(N572:N576)</f>
        <v>112.03049799999998</v>
      </c>
      <c r="P572" s="36" t="str">
        <f t="shared" si="48"/>
        <v/>
      </c>
      <c r="Q572" s="216" t="str">
        <f t="shared" si="49"/>
        <v/>
      </c>
      <c r="R572" s="216" t="str">
        <f t="shared" si="50"/>
        <v/>
      </c>
      <c r="S572" s="217">
        <f t="shared" si="51"/>
        <v>0.14400000000000002</v>
      </c>
    </row>
    <row r="573" spans="1:19" ht="15.75" hidden="1" thickBot="1" x14ac:dyDescent="0.3">
      <c r="A573" s="262"/>
      <c r="B573" s="260"/>
      <c r="C573" s="35" t="s">
        <v>7987</v>
      </c>
      <c r="D573" s="35" t="s">
        <v>773</v>
      </c>
      <c r="E573" s="36">
        <f>ROUND(0.8614/0.1,4)</f>
        <v>8.6140000000000008</v>
      </c>
      <c r="F573" s="33">
        <v>1.8049999999999999</v>
      </c>
      <c r="G573" s="33">
        <f t="shared" si="52"/>
        <v>15.54827</v>
      </c>
      <c r="H573" s="44"/>
      <c r="I573" s="45"/>
      <c r="J573" s="152">
        <v>0</v>
      </c>
      <c r="L573" s="215">
        <v>8.6140000000000008</v>
      </c>
      <c r="M573" s="33">
        <v>1.54508</v>
      </c>
      <c r="N573" s="33">
        <f t="shared" si="53"/>
        <v>13.309319120000001</v>
      </c>
      <c r="O573" s="44"/>
      <c r="P573" s="36" t="str">
        <f t="shared" si="48"/>
        <v/>
      </c>
      <c r="Q573" s="216">
        <f t="shared" si="49"/>
        <v>0.14400000000000002</v>
      </c>
      <c r="R573" s="216">
        <f t="shared" si="50"/>
        <v>0.14399999999999991</v>
      </c>
      <c r="S573" s="217" t="str">
        <f t="shared" si="51"/>
        <v/>
      </c>
    </row>
    <row r="574" spans="1:19" ht="15.75" hidden="1" thickBot="1" x14ac:dyDescent="0.3">
      <c r="A574" s="262"/>
      <c r="B574" s="260"/>
      <c r="C574" s="35" t="s">
        <v>2906</v>
      </c>
      <c r="D574" s="35" t="s">
        <v>583</v>
      </c>
      <c r="E574" s="36">
        <f>0.299/0.1</f>
        <v>2.9899999999999998</v>
      </c>
      <c r="F574" s="30">
        <v>27.036999999999999</v>
      </c>
      <c r="G574" s="33">
        <f t="shared" si="52"/>
        <v>80.84062999999999</v>
      </c>
      <c r="H574" s="34"/>
      <c r="I574" s="30"/>
      <c r="J574" s="152">
        <v>0</v>
      </c>
      <c r="L574" s="215">
        <v>2.9899999999999998</v>
      </c>
      <c r="M574" s="30">
        <v>23.143671999999999</v>
      </c>
      <c r="N574" s="33">
        <f t="shared" si="53"/>
        <v>69.199579279999995</v>
      </c>
      <c r="O574" s="34"/>
      <c r="P574" s="36" t="str">
        <f t="shared" si="48"/>
        <v/>
      </c>
      <c r="Q574" s="216">
        <f t="shared" si="49"/>
        <v>0.14400000000000002</v>
      </c>
      <c r="R574" s="216">
        <f t="shared" si="50"/>
        <v>0.14400000000000002</v>
      </c>
      <c r="S574" s="217" t="str">
        <f t="shared" si="51"/>
        <v/>
      </c>
    </row>
    <row r="575" spans="1:19" ht="15.75" hidden="1" thickBot="1" x14ac:dyDescent="0.3">
      <c r="A575" s="262"/>
      <c r="B575" s="260"/>
      <c r="C575" s="35" t="s">
        <v>584</v>
      </c>
      <c r="D575" s="35" t="s">
        <v>583</v>
      </c>
      <c r="E575" s="36">
        <f>0.15/0.1</f>
        <v>1.4999999999999998</v>
      </c>
      <c r="F575" s="30">
        <v>20.225499999999997</v>
      </c>
      <c r="G575" s="33">
        <f t="shared" si="52"/>
        <v>30.338249999999992</v>
      </c>
      <c r="H575" s="34"/>
      <c r="I575" s="30"/>
      <c r="J575" s="152">
        <v>0</v>
      </c>
      <c r="L575" s="215">
        <v>1.4999999999999998</v>
      </c>
      <c r="M575" s="30">
        <v>17.313027999999996</v>
      </c>
      <c r="N575" s="33">
        <f t="shared" si="53"/>
        <v>25.96954199999999</v>
      </c>
      <c r="O575" s="34"/>
      <c r="P575" s="36" t="str">
        <f t="shared" si="48"/>
        <v/>
      </c>
      <c r="Q575" s="216">
        <f t="shared" si="49"/>
        <v>0.14400000000000013</v>
      </c>
      <c r="R575" s="216">
        <f t="shared" si="50"/>
        <v>0.14400000000000013</v>
      </c>
      <c r="S575" s="217" t="str">
        <f t="shared" si="51"/>
        <v/>
      </c>
    </row>
    <row r="576" spans="1:19" ht="15.75" hidden="1" thickBot="1" x14ac:dyDescent="0.3">
      <c r="A576" s="262"/>
      <c r="B576" s="260"/>
      <c r="C576" s="35" t="s">
        <v>8367</v>
      </c>
      <c r="D576" s="35" t="s">
        <v>773</v>
      </c>
      <c r="E576" s="36">
        <f>0.12/0.1</f>
        <v>1.2</v>
      </c>
      <c r="F576" s="33">
        <v>3.4579999999999997</v>
      </c>
      <c r="G576" s="33">
        <f t="shared" si="52"/>
        <v>4.1495999999999995</v>
      </c>
      <c r="H576" s="34"/>
      <c r="I576" s="30"/>
      <c r="J576" s="152">
        <v>0</v>
      </c>
      <c r="L576" s="215">
        <v>1.2</v>
      </c>
      <c r="M576" s="33">
        <v>2.9600479999999996</v>
      </c>
      <c r="N576" s="33">
        <f t="shared" si="53"/>
        <v>3.5520575999999995</v>
      </c>
      <c r="O576" s="34"/>
      <c r="P576" s="36" t="str">
        <f t="shared" si="48"/>
        <v/>
      </c>
      <c r="Q576" s="216">
        <f t="shared" si="49"/>
        <v>0.14400000000000002</v>
      </c>
      <c r="R576" s="216">
        <f t="shared" si="50"/>
        <v>0.14400000000000002</v>
      </c>
      <c r="S576" s="217" t="str">
        <f t="shared" si="51"/>
        <v/>
      </c>
    </row>
    <row r="577" spans="1:19" ht="15.75" hidden="1" thickBot="1" x14ac:dyDescent="0.3">
      <c r="A577" s="262"/>
      <c r="B577" s="260"/>
      <c r="C577" s="35"/>
      <c r="D577" s="35"/>
      <c r="E577" s="36"/>
      <c r="F577" s="33" t="s">
        <v>416</v>
      </c>
      <c r="G577" s="33" t="str">
        <f t="shared" si="52"/>
        <v/>
      </c>
      <c r="H577" s="34"/>
      <c r="I577" s="30"/>
      <c r="J577" s="152">
        <v>0</v>
      </c>
      <c r="L577" s="215"/>
      <c r="M577" s="33"/>
      <c r="N577" s="33" t="str">
        <f t="shared" si="53"/>
        <v/>
      </c>
      <c r="O577" s="34"/>
      <c r="P577" s="36" t="str">
        <f t="shared" si="48"/>
        <v/>
      </c>
      <c r="Q577" s="216" t="str">
        <f t="shared" si="49"/>
        <v/>
      </c>
      <c r="R577" s="216" t="str">
        <f t="shared" si="50"/>
        <v/>
      </c>
      <c r="S577" s="217" t="str">
        <f t="shared" si="51"/>
        <v/>
      </c>
    </row>
    <row r="578" spans="1:19" ht="26.25" hidden="1" thickBot="1" x14ac:dyDescent="0.3">
      <c r="A578" s="262"/>
      <c r="B578" s="260"/>
      <c r="C578" s="47" t="s">
        <v>156</v>
      </c>
      <c r="D578" s="35"/>
      <c r="E578" s="36"/>
      <c r="F578" s="33" t="s">
        <v>416</v>
      </c>
      <c r="G578" s="33" t="str">
        <f t="shared" si="52"/>
        <v/>
      </c>
      <c r="H578" s="34"/>
      <c r="I578" s="30"/>
      <c r="J578" s="152">
        <v>0</v>
      </c>
      <c r="L578" s="215"/>
      <c r="M578" s="33"/>
      <c r="N578" s="33" t="str">
        <f t="shared" si="53"/>
        <v/>
      </c>
      <c r="O578" s="34"/>
      <c r="P578" s="36" t="str">
        <f t="shared" si="48"/>
        <v/>
      </c>
      <c r="Q578" s="216" t="str">
        <f t="shared" si="49"/>
        <v/>
      </c>
      <c r="R578" s="216" t="str">
        <f t="shared" si="50"/>
        <v/>
      </c>
      <c r="S578" s="217" t="str">
        <f t="shared" si="51"/>
        <v/>
      </c>
    </row>
    <row r="579" spans="1:19" ht="15.75" hidden="1" thickBot="1" x14ac:dyDescent="0.3">
      <c r="A579" s="263"/>
      <c r="B579" s="261"/>
      <c r="C579" s="35"/>
      <c r="D579" s="35"/>
      <c r="E579" s="36"/>
      <c r="F579" s="30" t="s">
        <v>416</v>
      </c>
      <c r="G579" s="30" t="str">
        <f t="shared" si="52"/>
        <v/>
      </c>
      <c r="H579" s="34"/>
      <c r="I579" s="30"/>
      <c r="J579" s="152">
        <v>0</v>
      </c>
      <c r="L579" s="215"/>
      <c r="M579" s="30"/>
      <c r="N579" s="30" t="str">
        <f t="shared" si="53"/>
        <v/>
      </c>
      <c r="O579" s="34"/>
      <c r="P579" s="36" t="str">
        <f t="shared" si="48"/>
        <v/>
      </c>
      <c r="Q579" s="216" t="str">
        <f t="shared" si="49"/>
        <v/>
      </c>
      <c r="R579" s="216" t="str">
        <f t="shared" si="50"/>
        <v/>
      </c>
      <c r="S579" s="217" t="str">
        <f t="shared" si="51"/>
        <v/>
      </c>
    </row>
    <row r="580" spans="1:19" ht="15.75" hidden="1" thickBot="1" x14ac:dyDescent="0.3">
      <c r="A580" s="256" t="s">
        <v>157</v>
      </c>
      <c r="B580" s="259" t="str">
        <f>INDEX(Orçamentária!A:B,MATCH(Composições!A580,Orçamentária!A:A,0),2)</f>
        <v>Granito Cinza Andorinha para soleira e peitoril</v>
      </c>
      <c r="C580" s="40"/>
      <c r="D580" s="25" t="s">
        <v>70</v>
      </c>
      <c r="E580" s="26"/>
      <c r="F580" s="41" t="s">
        <v>416</v>
      </c>
      <c r="G580" s="27" t="str">
        <f t="shared" si="52"/>
        <v/>
      </c>
      <c r="H580" s="28"/>
      <c r="I580" s="29"/>
      <c r="J580" s="152">
        <v>0</v>
      </c>
      <c r="L580" s="218"/>
      <c r="M580" s="41"/>
      <c r="N580" s="27" t="str">
        <f t="shared" si="53"/>
        <v/>
      </c>
      <c r="O580" s="28"/>
      <c r="P580" s="36" t="str">
        <f t="shared" si="48"/>
        <v/>
      </c>
      <c r="Q580" s="216" t="str">
        <f t="shared" si="49"/>
        <v/>
      </c>
      <c r="R580" s="216" t="str">
        <f t="shared" si="50"/>
        <v/>
      </c>
      <c r="S580" s="217" t="str">
        <f t="shared" si="51"/>
        <v/>
      </c>
    </row>
    <row r="581" spans="1:19" ht="15.75" hidden="1" thickBot="1" x14ac:dyDescent="0.3">
      <c r="A581" s="262"/>
      <c r="B581" s="260"/>
      <c r="C581" s="31"/>
      <c r="D581" s="31"/>
      <c r="E581" s="32"/>
      <c r="F581" s="42" t="s">
        <v>416</v>
      </c>
      <c r="G581" s="30" t="str">
        <f t="shared" si="52"/>
        <v/>
      </c>
      <c r="H581" s="34"/>
      <c r="I581" s="30"/>
      <c r="J581" s="152">
        <v>0</v>
      </c>
      <c r="L581" s="219"/>
      <c r="M581" s="42"/>
      <c r="N581" s="30" t="str">
        <f t="shared" si="53"/>
        <v/>
      </c>
      <c r="O581" s="34"/>
      <c r="P581" s="36" t="str">
        <f t="shared" si="48"/>
        <v/>
      </c>
      <c r="Q581" s="216" t="str">
        <f t="shared" si="49"/>
        <v/>
      </c>
      <c r="R581" s="216" t="str">
        <f t="shared" si="50"/>
        <v/>
      </c>
      <c r="S581" s="217" t="str">
        <f t="shared" si="51"/>
        <v/>
      </c>
    </row>
    <row r="582" spans="1:19" ht="26.25" hidden="1" thickBot="1" x14ac:dyDescent="0.3">
      <c r="A582" s="262"/>
      <c r="B582" s="260"/>
      <c r="C582" s="35" t="s">
        <v>158</v>
      </c>
      <c r="D582" s="35" t="s">
        <v>69</v>
      </c>
      <c r="E582" s="36">
        <f>ROUND(1/0.15,4)</f>
        <v>6.6666999999999996</v>
      </c>
      <c r="F582" s="33" t="s">
        <v>416</v>
      </c>
      <c r="G582" s="33" t="str">
        <f t="shared" si="52"/>
        <v/>
      </c>
      <c r="H582" s="38">
        <f>SUM(G582:G585)</f>
        <v>150.9292379</v>
      </c>
      <c r="I582" s="39"/>
      <c r="J582" s="152">
        <v>0</v>
      </c>
      <c r="L582" s="215">
        <v>6.6666999999999996</v>
      </c>
      <c r="M582" s="33"/>
      <c r="N582" s="33" t="str">
        <f t="shared" si="53"/>
        <v/>
      </c>
      <c r="O582" s="38">
        <f>SUM(N582:N585)</f>
        <v>129.19542764239998</v>
      </c>
      <c r="P582" s="36" t="str">
        <f t="shared" si="48"/>
        <v/>
      </c>
      <c r="Q582" s="216" t="str">
        <f t="shared" si="49"/>
        <v/>
      </c>
      <c r="R582" s="216" t="str">
        <f t="shared" si="50"/>
        <v/>
      </c>
      <c r="S582" s="217">
        <f t="shared" si="51"/>
        <v>0.14400000000000013</v>
      </c>
    </row>
    <row r="583" spans="1:19" ht="15.75" hidden="1" thickBot="1" x14ac:dyDescent="0.3">
      <c r="A583" s="262"/>
      <c r="B583" s="260"/>
      <c r="C583" s="35" t="s">
        <v>7987</v>
      </c>
      <c r="D583" s="35" t="s">
        <v>773</v>
      </c>
      <c r="E583" s="36">
        <f>1.29/0.15</f>
        <v>8.6000000000000014</v>
      </c>
      <c r="F583" s="33">
        <v>1.8049999999999999</v>
      </c>
      <c r="G583" s="33">
        <f t="shared" si="52"/>
        <v>15.523000000000001</v>
      </c>
      <c r="H583" s="34"/>
      <c r="I583" s="30"/>
      <c r="J583" s="152">
        <v>0</v>
      </c>
      <c r="L583" s="215">
        <v>8.6000000000000014</v>
      </c>
      <c r="M583" s="33">
        <v>1.54508</v>
      </c>
      <c r="N583" s="33">
        <f t="shared" si="53"/>
        <v>13.287688000000003</v>
      </c>
      <c r="O583" s="34"/>
      <c r="P583" s="36" t="str">
        <f t="shared" si="48"/>
        <v/>
      </c>
      <c r="Q583" s="216">
        <f t="shared" si="49"/>
        <v>0.14400000000000002</v>
      </c>
      <c r="R583" s="216">
        <f t="shared" si="50"/>
        <v>0.14399999999999991</v>
      </c>
      <c r="S583" s="217" t="str">
        <f t="shared" si="51"/>
        <v/>
      </c>
    </row>
    <row r="584" spans="1:19" ht="15.75" hidden="1" thickBot="1" x14ac:dyDescent="0.3">
      <c r="A584" s="262"/>
      <c r="B584" s="260"/>
      <c r="C584" s="35" t="s">
        <v>2906</v>
      </c>
      <c r="D584" s="35" t="s">
        <v>583</v>
      </c>
      <c r="E584" s="36">
        <f>ROUND(0.547/0.15,4)</f>
        <v>3.6467000000000001</v>
      </c>
      <c r="F584" s="30">
        <v>27.036999999999999</v>
      </c>
      <c r="G584" s="33">
        <f t="shared" si="52"/>
        <v>98.595827900000003</v>
      </c>
      <c r="H584" s="34"/>
      <c r="I584" s="30"/>
      <c r="J584" s="152">
        <v>0</v>
      </c>
      <c r="L584" s="215">
        <v>3.6467000000000001</v>
      </c>
      <c r="M584" s="30">
        <v>23.143671999999999</v>
      </c>
      <c r="N584" s="33">
        <f t="shared" si="53"/>
        <v>84.398028682399996</v>
      </c>
      <c r="O584" s="34"/>
      <c r="P584" s="36" t="str">
        <f t="shared" ref="P584:P647" si="54">IF(ISBLANK(L584),"",IF($E584&lt;&gt;L584,"SIM",""))</f>
        <v/>
      </c>
      <c r="Q584" s="216">
        <f t="shared" ref="Q584:Q647" si="55">IF(M584="","",1-M584/$F584)</f>
        <v>0.14400000000000002</v>
      </c>
      <c r="R584" s="216">
        <f t="shared" ref="R584:R647" si="56">IF(N584="","",1-N584/$G584)</f>
        <v>0.14400000000000002</v>
      </c>
      <c r="S584" s="217" t="str">
        <f t="shared" ref="S584:S647" si="57">IF(O584="","",1-O584/$H584)</f>
        <v/>
      </c>
    </row>
    <row r="585" spans="1:19" ht="15.75" hidden="1" thickBot="1" x14ac:dyDescent="0.3">
      <c r="A585" s="262"/>
      <c r="B585" s="260"/>
      <c r="C585" s="35" t="s">
        <v>584</v>
      </c>
      <c r="D585" s="35" t="s">
        <v>583</v>
      </c>
      <c r="E585" s="36">
        <f>ROUND(0.273/0.15,4)</f>
        <v>1.82</v>
      </c>
      <c r="F585" s="30">
        <v>20.225499999999997</v>
      </c>
      <c r="G585" s="33">
        <f t="shared" si="52"/>
        <v>36.810409999999997</v>
      </c>
      <c r="H585" s="34"/>
      <c r="I585" s="30"/>
      <c r="J585" s="152">
        <v>0</v>
      </c>
      <c r="L585" s="215">
        <v>1.82</v>
      </c>
      <c r="M585" s="30">
        <v>17.313027999999996</v>
      </c>
      <c r="N585" s="33">
        <f t="shared" si="53"/>
        <v>31.509710959999992</v>
      </c>
      <c r="O585" s="34"/>
      <c r="P585" s="36" t="str">
        <f t="shared" si="54"/>
        <v/>
      </c>
      <c r="Q585" s="216">
        <f t="shared" si="55"/>
        <v>0.14400000000000013</v>
      </c>
      <c r="R585" s="216">
        <f t="shared" si="56"/>
        <v>0.14400000000000013</v>
      </c>
      <c r="S585" s="217" t="str">
        <f t="shared" si="57"/>
        <v/>
      </c>
    </row>
    <row r="586" spans="1:19" ht="15.75" hidden="1" thickBot="1" x14ac:dyDescent="0.3">
      <c r="A586" s="262"/>
      <c r="B586" s="260"/>
      <c r="C586" s="35"/>
      <c r="D586" s="35"/>
      <c r="E586" s="36"/>
      <c r="F586" s="30" t="s">
        <v>416</v>
      </c>
      <c r="G586" s="33" t="str">
        <f t="shared" si="52"/>
        <v/>
      </c>
      <c r="H586" s="34"/>
      <c r="I586" s="30"/>
      <c r="J586" s="152">
        <v>0</v>
      </c>
      <c r="L586" s="215"/>
      <c r="M586" s="30"/>
      <c r="N586" s="33" t="str">
        <f t="shared" si="53"/>
        <v/>
      </c>
      <c r="O586" s="34"/>
      <c r="P586" s="36" t="str">
        <f t="shared" si="54"/>
        <v/>
      </c>
      <c r="Q586" s="216" t="str">
        <f t="shared" si="55"/>
        <v/>
      </c>
      <c r="R586" s="216" t="str">
        <f t="shared" si="56"/>
        <v/>
      </c>
      <c r="S586" s="217" t="str">
        <f t="shared" si="57"/>
        <v/>
      </c>
    </row>
    <row r="587" spans="1:19" ht="26.25" hidden="1" thickBot="1" x14ac:dyDescent="0.3">
      <c r="A587" s="262"/>
      <c r="B587" s="260"/>
      <c r="C587" s="47" t="s">
        <v>159</v>
      </c>
      <c r="D587" s="35"/>
      <c r="E587" s="36"/>
      <c r="F587" s="30" t="s">
        <v>416</v>
      </c>
      <c r="G587" s="33" t="str">
        <f t="shared" si="52"/>
        <v/>
      </c>
      <c r="H587" s="34"/>
      <c r="I587" s="30"/>
      <c r="J587" s="152">
        <v>0</v>
      </c>
      <c r="L587" s="215"/>
      <c r="M587" s="30"/>
      <c r="N587" s="33" t="str">
        <f t="shared" si="53"/>
        <v/>
      </c>
      <c r="O587" s="34"/>
      <c r="P587" s="36" t="str">
        <f t="shared" si="54"/>
        <v/>
      </c>
      <c r="Q587" s="216" t="str">
        <f t="shared" si="55"/>
        <v/>
      </c>
      <c r="R587" s="216" t="str">
        <f t="shared" si="56"/>
        <v/>
      </c>
      <c r="S587" s="217" t="str">
        <f t="shared" si="57"/>
        <v/>
      </c>
    </row>
    <row r="588" spans="1:19" ht="15.75" hidden="1" thickBot="1" x14ac:dyDescent="0.3">
      <c r="A588" s="263"/>
      <c r="B588" s="261"/>
      <c r="C588" s="35"/>
      <c r="D588" s="35"/>
      <c r="E588" s="36"/>
      <c r="F588" s="30" t="s">
        <v>416</v>
      </c>
      <c r="G588" s="30" t="str">
        <f t="shared" si="52"/>
        <v/>
      </c>
      <c r="H588" s="34"/>
      <c r="I588" s="30"/>
      <c r="J588" s="152">
        <v>0</v>
      </c>
      <c r="L588" s="215"/>
      <c r="M588" s="30"/>
      <c r="N588" s="30" t="str">
        <f t="shared" si="53"/>
        <v/>
      </c>
      <c r="O588" s="34"/>
      <c r="P588" s="36" t="str">
        <f t="shared" si="54"/>
        <v/>
      </c>
      <c r="Q588" s="216" t="str">
        <f t="shared" si="55"/>
        <v/>
      </c>
      <c r="R588" s="216" t="str">
        <f t="shared" si="56"/>
        <v/>
      </c>
      <c r="S588" s="217" t="str">
        <f t="shared" si="57"/>
        <v/>
      </c>
    </row>
    <row r="589" spans="1:19" ht="15.75" hidden="1" thickBot="1" x14ac:dyDescent="0.3">
      <c r="A589" s="256" t="s">
        <v>160</v>
      </c>
      <c r="B589" s="259" t="str">
        <f>INDEX(Orçamentária!A:B,MATCH(Composições!A589,Orçamentária!A:A,0),2)</f>
        <v>Granito Preto São Gabriel para piso</v>
      </c>
      <c r="C589" s="40"/>
      <c r="D589" s="25" t="s">
        <v>70</v>
      </c>
      <c r="E589" s="26"/>
      <c r="F589" s="41" t="s">
        <v>416</v>
      </c>
      <c r="G589" s="27" t="str">
        <f t="shared" si="52"/>
        <v/>
      </c>
      <c r="H589" s="28"/>
      <c r="I589" s="29"/>
      <c r="J589" s="152">
        <v>0</v>
      </c>
      <c r="L589" s="218"/>
      <c r="M589" s="41"/>
      <c r="N589" s="27" t="str">
        <f t="shared" si="53"/>
        <v/>
      </c>
      <c r="O589" s="28"/>
      <c r="P589" s="36" t="str">
        <f t="shared" si="54"/>
        <v/>
      </c>
      <c r="Q589" s="216" t="str">
        <f t="shared" si="55"/>
        <v/>
      </c>
      <c r="R589" s="216" t="str">
        <f t="shared" si="56"/>
        <v/>
      </c>
      <c r="S589" s="217" t="str">
        <f t="shared" si="57"/>
        <v/>
      </c>
    </row>
    <row r="590" spans="1:19" ht="15.75" hidden="1" thickBot="1" x14ac:dyDescent="0.3">
      <c r="A590" s="262"/>
      <c r="B590" s="260"/>
      <c r="C590" s="31"/>
      <c r="D590" s="31"/>
      <c r="E590" s="32"/>
      <c r="F590" s="42" t="s">
        <v>416</v>
      </c>
      <c r="G590" s="30" t="str">
        <f t="shared" si="52"/>
        <v/>
      </c>
      <c r="H590" s="34"/>
      <c r="I590" s="30"/>
      <c r="J590" s="152">
        <v>0</v>
      </c>
      <c r="L590" s="219"/>
      <c r="M590" s="42"/>
      <c r="N590" s="30" t="str">
        <f t="shared" si="53"/>
        <v/>
      </c>
      <c r="O590" s="34"/>
      <c r="P590" s="36" t="str">
        <f t="shared" si="54"/>
        <v/>
      </c>
      <c r="Q590" s="216" t="str">
        <f t="shared" si="55"/>
        <v/>
      </c>
      <c r="R590" s="216" t="str">
        <f t="shared" si="56"/>
        <v/>
      </c>
      <c r="S590" s="217" t="str">
        <f t="shared" si="57"/>
        <v/>
      </c>
    </row>
    <row r="591" spans="1:19" ht="15.75" hidden="1" thickBot="1" x14ac:dyDescent="0.3">
      <c r="A591" s="262"/>
      <c r="B591" s="260"/>
      <c r="C591" s="35" t="s">
        <v>7987</v>
      </c>
      <c r="D591" s="35" t="s">
        <v>773</v>
      </c>
      <c r="E591" s="36">
        <v>8.6199999999999992</v>
      </c>
      <c r="F591" s="33">
        <v>1.8049999999999999</v>
      </c>
      <c r="G591" s="33">
        <f t="shared" si="52"/>
        <v>15.559099999999997</v>
      </c>
      <c r="H591" s="38">
        <f>SUM(G591:G595)</f>
        <v>60.177122999999987</v>
      </c>
      <c r="I591" s="39"/>
      <c r="J591" s="152">
        <v>0</v>
      </c>
      <c r="L591" s="215">
        <v>8.6199999999999992</v>
      </c>
      <c r="M591" s="33">
        <v>1.54508</v>
      </c>
      <c r="N591" s="33">
        <f t="shared" si="53"/>
        <v>13.318589599999999</v>
      </c>
      <c r="O591" s="38">
        <f>SUM(N591:N595)</f>
        <v>51.511617287999989</v>
      </c>
      <c r="P591" s="36" t="str">
        <f t="shared" si="54"/>
        <v/>
      </c>
      <c r="Q591" s="216">
        <f t="shared" si="55"/>
        <v>0.14400000000000002</v>
      </c>
      <c r="R591" s="216">
        <f t="shared" si="56"/>
        <v>0.14399999999999991</v>
      </c>
      <c r="S591" s="217">
        <f t="shared" si="57"/>
        <v>0.14400000000000002</v>
      </c>
    </row>
    <row r="592" spans="1:19" ht="15.75" hidden="1" thickBot="1" x14ac:dyDescent="0.3">
      <c r="A592" s="262"/>
      <c r="B592" s="260"/>
      <c r="C592" s="35" t="s">
        <v>2906</v>
      </c>
      <c r="D592" s="35" t="s">
        <v>583</v>
      </c>
      <c r="E592" s="36">
        <v>1.1879999999999999</v>
      </c>
      <c r="F592" s="30">
        <v>27.036999999999999</v>
      </c>
      <c r="G592" s="33">
        <f t="shared" si="52"/>
        <v>32.119955999999995</v>
      </c>
      <c r="H592" s="34"/>
      <c r="I592" s="30"/>
      <c r="J592" s="152">
        <v>0</v>
      </c>
      <c r="L592" s="215">
        <v>1.1879999999999999</v>
      </c>
      <c r="M592" s="30">
        <v>23.143671999999999</v>
      </c>
      <c r="N592" s="33">
        <f t="shared" si="53"/>
        <v>27.494682335999997</v>
      </c>
      <c r="O592" s="34"/>
      <c r="P592" s="36" t="str">
        <f t="shared" si="54"/>
        <v/>
      </c>
      <c r="Q592" s="216">
        <f t="shared" si="55"/>
        <v>0.14400000000000002</v>
      </c>
      <c r="R592" s="216">
        <f t="shared" si="56"/>
        <v>0.14400000000000002</v>
      </c>
      <c r="S592" s="217" t="str">
        <f t="shared" si="57"/>
        <v/>
      </c>
    </row>
    <row r="593" spans="1:19" ht="15.75" hidden="1" thickBot="1" x14ac:dyDescent="0.3">
      <c r="A593" s="262"/>
      <c r="B593" s="260"/>
      <c r="C593" s="35" t="s">
        <v>584</v>
      </c>
      <c r="D593" s="35" t="s">
        <v>583</v>
      </c>
      <c r="E593" s="36">
        <v>0.59399999999999997</v>
      </c>
      <c r="F593" s="30">
        <v>20.225499999999997</v>
      </c>
      <c r="G593" s="33">
        <f t="shared" si="52"/>
        <v>12.013946999999998</v>
      </c>
      <c r="H593" s="34"/>
      <c r="I593" s="30"/>
      <c r="J593" s="152">
        <v>0</v>
      </c>
      <c r="L593" s="215">
        <v>0.59399999999999997</v>
      </c>
      <c r="M593" s="30">
        <v>17.313027999999996</v>
      </c>
      <c r="N593" s="33">
        <f t="shared" si="53"/>
        <v>10.283938631999996</v>
      </c>
      <c r="O593" s="34"/>
      <c r="P593" s="36" t="str">
        <f t="shared" si="54"/>
        <v/>
      </c>
      <c r="Q593" s="216">
        <f t="shared" si="55"/>
        <v>0.14400000000000013</v>
      </c>
      <c r="R593" s="216">
        <f t="shared" si="56"/>
        <v>0.14400000000000013</v>
      </c>
      <c r="S593" s="217" t="str">
        <f t="shared" si="57"/>
        <v/>
      </c>
    </row>
    <row r="594" spans="1:19" ht="15.75" hidden="1" thickBot="1" x14ac:dyDescent="0.3">
      <c r="A594" s="262"/>
      <c r="B594" s="260"/>
      <c r="C594" s="35" t="s">
        <v>8367</v>
      </c>
      <c r="D594" s="35" t="s">
        <v>773</v>
      </c>
      <c r="E594" s="36">
        <v>0.14000000000000001</v>
      </c>
      <c r="F594" s="33">
        <v>3.4579999999999997</v>
      </c>
      <c r="G594" s="33">
        <f t="shared" si="52"/>
        <v>0.48411999999999999</v>
      </c>
      <c r="H594" s="34"/>
      <c r="I594" s="30"/>
      <c r="J594" s="152">
        <v>0</v>
      </c>
      <c r="L594" s="215">
        <v>0.14000000000000001</v>
      </c>
      <c r="M594" s="33">
        <v>2.9600479999999996</v>
      </c>
      <c r="N594" s="33">
        <f t="shared" si="53"/>
        <v>0.41440672000000001</v>
      </c>
      <c r="O594" s="34"/>
      <c r="P594" s="36" t="str">
        <f t="shared" si="54"/>
        <v/>
      </c>
      <c r="Q594" s="216">
        <f t="shared" si="55"/>
        <v>0.14400000000000002</v>
      </c>
      <c r="R594" s="216">
        <f t="shared" si="56"/>
        <v>0.14400000000000002</v>
      </c>
      <c r="S594" s="217" t="str">
        <f t="shared" si="57"/>
        <v/>
      </c>
    </row>
    <row r="595" spans="1:19" ht="15.75" hidden="1" thickBot="1" x14ac:dyDescent="0.3">
      <c r="A595" s="262"/>
      <c r="B595" s="260"/>
      <c r="C595" s="35" t="s">
        <v>161</v>
      </c>
      <c r="D595" s="35" t="s">
        <v>70</v>
      </c>
      <c r="E595" s="36">
        <v>1.1599999999999999</v>
      </c>
      <c r="F595" s="33" t="s">
        <v>416</v>
      </c>
      <c r="G595" s="53" t="str">
        <f t="shared" ref="G595:G658" si="58">IF(ISNUMBER(F595),E595*F595,"")</f>
        <v/>
      </c>
      <c r="H595" s="34"/>
      <c r="I595" s="30"/>
      <c r="J595" s="152">
        <v>0</v>
      </c>
      <c r="L595" s="215">
        <v>1.1599999999999999</v>
      </c>
      <c r="M595" s="33"/>
      <c r="N595" s="53" t="str">
        <f t="shared" ref="N595:N658" si="59">IF(ISNUMBER(M595),L595*M595,"")</f>
        <v/>
      </c>
      <c r="O595" s="34"/>
      <c r="P595" s="36" t="str">
        <f t="shared" si="54"/>
        <v/>
      </c>
      <c r="Q595" s="216" t="str">
        <f t="shared" si="55"/>
        <v/>
      </c>
      <c r="R595" s="216" t="str">
        <f t="shared" si="56"/>
        <v/>
      </c>
      <c r="S595" s="217" t="str">
        <f t="shared" si="57"/>
        <v/>
      </c>
    </row>
    <row r="596" spans="1:19" ht="15.75" hidden="1" thickBot="1" x14ac:dyDescent="0.3">
      <c r="A596" s="263"/>
      <c r="B596" s="261"/>
      <c r="C596" s="35"/>
      <c r="D596" s="35"/>
      <c r="E596" s="36"/>
      <c r="F596" s="30" t="s">
        <v>416</v>
      </c>
      <c r="G596" s="30" t="str">
        <f t="shared" si="58"/>
        <v/>
      </c>
      <c r="H596" s="34"/>
      <c r="I596" s="30"/>
      <c r="J596" s="152">
        <v>0</v>
      </c>
      <c r="L596" s="215"/>
      <c r="M596" s="30"/>
      <c r="N596" s="30" t="str">
        <f t="shared" si="59"/>
        <v/>
      </c>
      <c r="O596" s="34"/>
      <c r="P596" s="36" t="str">
        <f t="shared" si="54"/>
        <v/>
      </c>
      <c r="Q596" s="216" t="str">
        <f t="shared" si="55"/>
        <v/>
      </c>
      <c r="R596" s="216" t="str">
        <f t="shared" si="56"/>
        <v/>
      </c>
      <c r="S596" s="217" t="str">
        <f t="shared" si="57"/>
        <v/>
      </c>
    </row>
    <row r="597" spans="1:19" ht="15.75" hidden="1" thickBot="1" x14ac:dyDescent="0.3">
      <c r="A597" s="256" t="s">
        <v>162</v>
      </c>
      <c r="B597" s="259" t="str">
        <f>INDEX(Orçamentária!A:B,MATCH(Composições!A597,Orçamentária!A:A,0),2)</f>
        <v>Granito Preto São Gabriel para rodapé</v>
      </c>
      <c r="C597" s="40"/>
      <c r="D597" s="25" t="s">
        <v>70</v>
      </c>
      <c r="E597" s="26"/>
      <c r="F597" s="41" t="s">
        <v>416</v>
      </c>
      <c r="G597" s="27" t="str">
        <f t="shared" si="58"/>
        <v/>
      </c>
      <c r="H597" s="28"/>
      <c r="I597" s="29"/>
      <c r="J597" s="152">
        <v>0</v>
      </c>
      <c r="L597" s="218"/>
      <c r="M597" s="41"/>
      <c r="N597" s="27" t="str">
        <f t="shared" si="59"/>
        <v/>
      </c>
      <c r="O597" s="28"/>
      <c r="P597" s="36" t="str">
        <f t="shared" si="54"/>
        <v/>
      </c>
      <c r="Q597" s="216" t="str">
        <f t="shared" si="55"/>
        <v/>
      </c>
      <c r="R597" s="216" t="str">
        <f t="shared" si="56"/>
        <v/>
      </c>
      <c r="S597" s="217" t="str">
        <f t="shared" si="57"/>
        <v/>
      </c>
    </row>
    <row r="598" spans="1:19" ht="15.75" hidden="1" thickBot="1" x14ac:dyDescent="0.3">
      <c r="A598" s="262"/>
      <c r="B598" s="260"/>
      <c r="C598" s="31"/>
      <c r="D598" s="31"/>
      <c r="E598" s="32"/>
      <c r="F598" s="42" t="s">
        <v>416</v>
      </c>
      <c r="G598" s="30" t="str">
        <f t="shared" si="58"/>
        <v/>
      </c>
      <c r="H598" s="34"/>
      <c r="I598" s="30"/>
      <c r="J598" s="152">
        <v>0</v>
      </c>
      <c r="L598" s="219"/>
      <c r="M598" s="42"/>
      <c r="N598" s="30" t="str">
        <f t="shared" si="59"/>
        <v/>
      </c>
      <c r="O598" s="34"/>
      <c r="P598" s="36" t="str">
        <f t="shared" si="54"/>
        <v/>
      </c>
      <c r="Q598" s="216" t="str">
        <f t="shared" si="55"/>
        <v/>
      </c>
      <c r="R598" s="216" t="str">
        <f t="shared" si="56"/>
        <v/>
      </c>
      <c r="S598" s="217" t="str">
        <f t="shared" si="57"/>
        <v/>
      </c>
    </row>
    <row r="599" spans="1:19" ht="26.25" hidden="1" thickBot="1" x14ac:dyDescent="0.3">
      <c r="A599" s="262"/>
      <c r="B599" s="260"/>
      <c r="C599" s="35" t="s">
        <v>163</v>
      </c>
      <c r="D599" s="35" t="s">
        <v>69</v>
      </c>
      <c r="E599" s="36">
        <f>ROUND(1.04/0.07,2)</f>
        <v>14.86</v>
      </c>
      <c r="F599" s="33" t="s">
        <v>416</v>
      </c>
      <c r="G599" s="33" t="str">
        <f t="shared" si="58"/>
        <v/>
      </c>
      <c r="H599" s="38">
        <f>SUM(G599:G603)</f>
        <v>130.87674999999999</v>
      </c>
      <c r="I599" s="39"/>
      <c r="J599" s="152">
        <v>0</v>
      </c>
      <c r="L599" s="215">
        <v>14.86</v>
      </c>
      <c r="M599" s="33"/>
      <c r="N599" s="33" t="str">
        <f t="shared" si="59"/>
        <v/>
      </c>
      <c r="O599" s="38">
        <f>SUM(N599:N603)</f>
        <v>112.03049799999998</v>
      </c>
      <c r="P599" s="36" t="str">
        <f t="shared" si="54"/>
        <v/>
      </c>
      <c r="Q599" s="216" t="str">
        <f t="shared" si="55"/>
        <v/>
      </c>
      <c r="R599" s="216" t="str">
        <f t="shared" si="56"/>
        <v/>
      </c>
      <c r="S599" s="217">
        <f t="shared" si="57"/>
        <v>0.14400000000000002</v>
      </c>
    </row>
    <row r="600" spans="1:19" ht="15.75" hidden="1" thickBot="1" x14ac:dyDescent="0.3">
      <c r="A600" s="262"/>
      <c r="B600" s="260"/>
      <c r="C600" s="35" t="s">
        <v>7987</v>
      </c>
      <c r="D600" s="35" t="s">
        <v>773</v>
      </c>
      <c r="E600" s="36">
        <f>ROUND(0.8614/0.1,4)</f>
        <v>8.6140000000000008</v>
      </c>
      <c r="F600" s="33">
        <v>1.8049999999999999</v>
      </c>
      <c r="G600" s="33">
        <f t="shared" si="58"/>
        <v>15.54827</v>
      </c>
      <c r="H600" s="34"/>
      <c r="I600" s="30"/>
      <c r="J600" s="152">
        <v>0</v>
      </c>
      <c r="L600" s="215">
        <v>8.6140000000000008</v>
      </c>
      <c r="M600" s="33">
        <v>1.54508</v>
      </c>
      <c r="N600" s="33">
        <f t="shared" si="59"/>
        <v>13.309319120000001</v>
      </c>
      <c r="O600" s="34"/>
      <c r="P600" s="36" t="str">
        <f t="shared" si="54"/>
        <v/>
      </c>
      <c r="Q600" s="216">
        <f t="shared" si="55"/>
        <v>0.14400000000000002</v>
      </c>
      <c r="R600" s="216">
        <f t="shared" si="56"/>
        <v>0.14399999999999991</v>
      </c>
      <c r="S600" s="217" t="str">
        <f t="shared" si="57"/>
        <v/>
      </c>
    </row>
    <row r="601" spans="1:19" ht="15.75" hidden="1" thickBot="1" x14ac:dyDescent="0.3">
      <c r="A601" s="262"/>
      <c r="B601" s="260"/>
      <c r="C601" s="35" t="s">
        <v>2906</v>
      </c>
      <c r="D601" s="35" t="s">
        <v>583</v>
      </c>
      <c r="E601" s="36">
        <f>0.299/0.1</f>
        <v>2.9899999999999998</v>
      </c>
      <c r="F601" s="30">
        <v>27.036999999999999</v>
      </c>
      <c r="G601" s="33">
        <f t="shared" si="58"/>
        <v>80.84062999999999</v>
      </c>
      <c r="H601" s="34"/>
      <c r="I601" s="30"/>
      <c r="J601" s="152">
        <v>0</v>
      </c>
      <c r="L601" s="215">
        <v>2.9899999999999998</v>
      </c>
      <c r="M601" s="30">
        <v>23.143671999999999</v>
      </c>
      <c r="N601" s="33">
        <f t="shared" si="59"/>
        <v>69.199579279999995</v>
      </c>
      <c r="O601" s="34"/>
      <c r="P601" s="36" t="str">
        <f t="shared" si="54"/>
        <v/>
      </c>
      <c r="Q601" s="216">
        <f t="shared" si="55"/>
        <v>0.14400000000000002</v>
      </c>
      <c r="R601" s="216">
        <f t="shared" si="56"/>
        <v>0.14400000000000002</v>
      </c>
      <c r="S601" s="217" t="str">
        <f t="shared" si="57"/>
        <v/>
      </c>
    </row>
    <row r="602" spans="1:19" ht="15.75" hidden="1" thickBot="1" x14ac:dyDescent="0.3">
      <c r="A602" s="262"/>
      <c r="B602" s="260"/>
      <c r="C602" s="35" t="s">
        <v>584</v>
      </c>
      <c r="D602" s="35" t="s">
        <v>583</v>
      </c>
      <c r="E602" s="36">
        <f>0.15/0.1</f>
        <v>1.4999999999999998</v>
      </c>
      <c r="F602" s="30">
        <v>20.225499999999997</v>
      </c>
      <c r="G602" s="33">
        <f t="shared" si="58"/>
        <v>30.338249999999992</v>
      </c>
      <c r="H602" s="34"/>
      <c r="I602" s="30"/>
      <c r="J602" s="152">
        <v>0</v>
      </c>
      <c r="L602" s="215">
        <v>1.4999999999999998</v>
      </c>
      <c r="M602" s="30">
        <v>17.313027999999996</v>
      </c>
      <c r="N602" s="33">
        <f t="shared" si="59"/>
        <v>25.96954199999999</v>
      </c>
      <c r="O602" s="34"/>
      <c r="P602" s="36" t="str">
        <f t="shared" si="54"/>
        <v/>
      </c>
      <c r="Q602" s="216">
        <f t="shared" si="55"/>
        <v>0.14400000000000013</v>
      </c>
      <c r="R602" s="216">
        <f t="shared" si="56"/>
        <v>0.14400000000000013</v>
      </c>
      <c r="S602" s="217" t="str">
        <f t="shared" si="57"/>
        <v/>
      </c>
    </row>
    <row r="603" spans="1:19" ht="15.75" hidden="1" thickBot="1" x14ac:dyDescent="0.3">
      <c r="A603" s="262"/>
      <c r="B603" s="260"/>
      <c r="C603" s="35" t="s">
        <v>8367</v>
      </c>
      <c r="D603" s="35" t="s">
        <v>773</v>
      </c>
      <c r="E603" s="36">
        <f>0.12/0.1</f>
        <v>1.2</v>
      </c>
      <c r="F603" s="33">
        <v>3.4579999999999997</v>
      </c>
      <c r="G603" s="33">
        <f t="shared" si="58"/>
        <v>4.1495999999999995</v>
      </c>
      <c r="H603" s="34"/>
      <c r="I603" s="30"/>
      <c r="J603" s="152">
        <v>0</v>
      </c>
      <c r="L603" s="215">
        <v>1.2</v>
      </c>
      <c r="M603" s="33">
        <v>2.9600479999999996</v>
      </c>
      <c r="N603" s="33">
        <f t="shared" si="59"/>
        <v>3.5520575999999995</v>
      </c>
      <c r="O603" s="34"/>
      <c r="P603" s="36" t="str">
        <f t="shared" si="54"/>
        <v/>
      </c>
      <c r="Q603" s="216">
        <f t="shared" si="55"/>
        <v>0.14400000000000002</v>
      </c>
      <c r="R603" s="216">
        <f t="shared" si="56"/>
        <v>0.14400000000000002</v>
      </c>
      <c r="S603" s="217" t="str">
        <f t="shared" si="57"/>
        <v/>
      </c>
    </row>
    <row r="604" spans="1:19" ht="15.75" hidden="1" thickBot="1" x14ac:dyDescent="0.3">
      <c r="A604" s="262"/>
      <c r="B604" s="260"/>
      <c r="C604" s="35"/>
      <c r="D604" s="35"/>
      <c r="E604" s="36"/>
      <c r="F604" s="33" t="s">
        <v>416</v>
      </c>
      <c r="G604" s="33" t="str">
        <f t="shared" si="58"/>
        <v/>
      </c>
      <c r="H604" s="34"/>
      <c r="I604" s="30"/>
      <c r="J604" s="152">
        <v>0</v>
      </c>
      <c r="L604" s="215"/>
      <c r="M604" s="33"/>
      <c r="N604" s="33" t="str">
        <f t="shared" si="59"/>
        <v/>
      </c>
      <c r="O604" s="34"/>
      <c r="P604" s="36" t="str">
        <f t="shared" si="54"/>
        <v/>
      </c>
      <c r="Q604" s="216" t="str">
        <f t="shared" si="55"/>
        <v/>
      </c>
      <c r="R604" s="216" t="str">
        <f t="shared" si="56"/>
        <v/>
      </c>
      <c r="S604" s="217" t="str">
        <f t="shared" si="57"/>
        <v/>
      </c>
    </row>
    <row r="605" spans="1:19" ht="26.25" hidden="1" thickBot="1" x14ac:dyDescent="0.3">
      <c r="A605" s="262"/>
      <c r="B605" s="260"/>
      <c r="C605" s="47" t="s">
        <v>156</v>
      </c>
      <c r="D605" s="35"/>
      <c r="E605" s="36"/>
      <c r="F605" s="33" t="s">
        <v>416</v>
      </c>
      <c r="G605" s="33" t="str">
        <f t="shared" si="58"/>
        <v/>
      </c>
      <c r="H605" s="34"/>
      <c r="I605" s="30"/>
      <c r="J605" s="152">
        <v>0</v>
      </c>
      <c r="L605" s="215"/>
      <c r="M605" s="33"/>
      <c r="N605" s="33" t="str">
        <f t="shared" si="59"/>
        <v/>
      </c>
      <c r="O605" s="34"/>
      <c r="P605" s="36" t="str">
        <f t="shared" si="54"/>
        <v/>
      </c>
      <c r="Q605" s="216" t="str">
        <f t="shared" si="55"/>
        <v/>
      </c>
      <c r="R605" s="216" t="str">
        <f t="shared" si="56"/>
        <v/>
      </c>
      <c r="S605" s="217" t="str">
        <f t="shared" si="57"/>
        <v/>
      </c>
    </row>
    <row r="606" spans="1:19" ht="15.75" hidden="1" thickBot="1" x14ac:dyDescent="0.3">
      <c r="A606" s="263"/>
      <c r="B606" s="261"/>
      <c r="C606" s="35"/>
      <c r="D606" s="35"/>
      <c r="E606" s="36"/>
      <c r="F606" s="30" t="s">
        <v>416</v>
      </c>
      <c r="G606" s="30" t="str">
        <f t="shared" si="58"/>
        <v/>
      </c>
      <c r="H606" s="34"/>
      <c r="I606" s="30"/>
      <c r="J606" s="152">
        <v>0</v>
      </c>
      <c r="L606" s="215"/>
      <c r="M606" s="30"/>
      <c r="N606" s="30" t="str">
        <f t="shared" si="59"/>
        <v/>
      </c>
      <c r="O606" s="34"/>
      <c r="P606" s="36" t="str">
        <f t="shared" si="54"/>
        <v/>
      </c>
      <c r="Q606" s="216" t="str">
        <f t="shared" si="55"/>
        <v/>
      </c>
      <c r="R606" s="216" t="str">
        <f t="shared" si="56"/>
        <v/>
      </c>
      <c r="S606" s="217" t="str">
        <f t="shared" si="57"/>
        <v/>
      </c>
    </row>
    <row r="607" spans="1:19" ht="15.75" hidden="1" thickBot="1" x14ac:dyDescent="0.3">
      <c r="A607" s="256" t="s">
        <v>164</v>
      </c>
      <c r="B607" s="259" t="str">
        <f>INDEX(Orçamentária!A:B,MATCH(Composições!A607,Orçamentária!A:A,0),2)</f>
        <v>Granito Preto São Gabriel para soleira e peitoril</v>
      </c>
      <c r="C607" s="40"/>
      <c r="D607" s="25" t="s">
        <v>70</v>
      </c>
      <c r="E607" s="26"/>
      <c r="F607" s="41" t="s">
        <v>416</v>
      </c>
      <c r="G607" s="27" t="str">
        <f t="shared" si="58"/>
        <v/>
      </c>
      <c r="H607" s="28"/>
      <c r="I607" s="29"/>
      <c r="J607" s="152">
        <v>0</v>
      </c>
      <c r="L607" s="218"/>
      <c r="M607" s="41"/>
      <c r="N607" s="27" t="str">
        <f t="shared" si="59"/>
        <v/>
      </c>
      <c r="O607" s="28"/>
      <c r="P607" s="36" t="str">
        <f t="shared" si="54"/>
        <v/>
      </c>
      <c r="Q607" s="216" t="str">
        <f t="shared" si="55"/>
        <v/>
      </c>
      <c r="R607" s="216" t="str">
        <f t="shared" si="56"/>
        <v/>
      </c>
      <c r="S607" s="217" t="str">
        <f t="shared" si="57"/>
        <v/>
      </c>
    </row>
    <row r="608" spans="1:19" ht="15.75" hidden="1" thickBot="1" x14ac:dyDescent="0.3">
      <c r="A608" s="262"/>
      <c r="B608" s="260"/>
      <c r="C608" s="31"/>
      <c r="D608" s="31"/>
      <c r="E608" s="32"/>
      <c r="F608" s="42" t="s">
        <v>416</v>
      </c>
      <c r="G608" s="30" t="str">
        <f t="shared" si="58"/>
        <v/>
      </c>
      <c r="H608" s="34"/>
      <c r="I608" s="30"/>
      <c r="J608" s="152">
        <v>0</v>
      </c>
      <c r="L608" s="219"/>
      <c r="M608" s="42"/>
      <c r="N608" s="30" t="str">
        <f t="shared" si="59"/>
        <v/>
      </c>
      <c r="O608" s="34"/>
      <c r="P608" s="36" t="str">
        <f t="shared" si="54"/>
        <v/>
      </c>
      <c r="Q608" s="216" t="str">
        <f t="shared" si="55"/>
        <v/>
      </c>
      <c r="R608" s="216" t="str">
        <f t="shared" si="56"/>
        <v/>
      </c>
      <c r="S608" s="217" t="str">
        <f t="shared" si="57"/>
        <v/>
      </c>
    </row>
    <row r="609" spans="1:19" ht="26.25" hidden="1" thickBot="1" x14ac:dyDescent="0.3">
      <c r="A609" s="262"/>
      <c r="B609" s="260"/>
      <c r="C609" s="35" t="s">
        <v>165</v>
      </c>
      <c r="D609" s="35" t="s">
        <v>69</v>
      </c>
      <c r="E609" s="36">
        <f>ROUND(1/0.15,4)</f>
        <v>6.6666999999999996</v>
      </c>
      <c r="F609" s="33" t="s">
        <v>416</v>
      </c>
      <c r="G609" s="33" t="str">
        <f t="shared" si="58"/>
        <v/>
      </c>
      <c r="H609" s="38">
        <f>SUM(G609:G612)</f>
        <v>150.9292379</v>
      </c>
      <c r="I609" s="39"/>
      <c r="J609" s="152">
        <v>0</v>
      </c>
      <c r="L609" s="215">
        <v>6.6666999999999996</v>
      </c>
      <c r="M609" s="33"/>
      <c r="N609" s="33" t="str">
        <f t="shared" si="59"/>
        <v/>
      </c>
      <c r="O609" s="38">
        <f>SUM(N609:N612)</f>
        <v>129.19542764239998</v>
      </c>
      <c r="P609" s="36" t="str">
        <f t="shared" si="54"/>
        <v/>
      </c>
      <c r="Q609" s="216" t="str">
        <f t="shared" si="55"/>
        <v/>
      </c>
      <c r="R609" s="216" t="str">
        <f t="shared" si="56"/>
        <v/>
      </c>
      <c r="S609" s="217">
        <f t="shared" si="57"/>
        <v>0.14400000000000013</v>
      </c>
    </row>
    <row r="610" spans="1:19" ht="15.75" hidden="1" thickBot="1" x14ac:dyDescent="0.3">
      <c r="A610" s="262"/>
      <c r="B610" s="260"/>
      <c r="C610" s="35" t="s">
        <v>7987</v>
      </c>
      <c r="D610" s="35" t="s">
        <v>773</v>
      </c>
      <c r="E610" s="36">
        <f>ROUND(1.29/0.15,4)</f>
        <v>8.6</v>
      </c>
      <c r="F610" s="33">
        <v>1.8049999999999999</v>
      </c>
      <c r="G610" s="33">
        <f t="shared" si="58"/>
        <v>15.523</v>
      </c>
      <c r="H610" s="34"/>
      <c r="I610" s="30"/>
      <c r="J610" s="152">
        <v>0</v>
      </c>
      <c r="L610" s="215">
        <v>8.6</v>
      </c>
      <c r="M610" s="33">
        <v>1.54508</v>
      </c>
      <c r="N610" s="33">
        <f t="shared" si="59"/>
        <v>13.287687999999999</v>
      </c>
      <c r="O610" s="34"/>
      <c r="P610" s="36" t="str">
        <f t="shared" si="54"/>
        <v/>
      </c>
      <c r="Q610" s="216">
        <f t="shared" si="55"/>
        <v>0.14400000000000002</v>
      </c>
      <c r="R610" s="216">
        <f t="shared" si="56"/>
        <v>0.14400000000000002</v>
      </c>
      <c r="S610" s="217" t="str">
        <f t="shared" si="57"/>
        <v/>
      </c>
    </row>
    <row r="611" spans="1:19" ht="15.75" hidden="1" thickBot="1" x14ac:dyDescent="0.3">
      <c r="A611" s="262"/>
      <c r="B611" s="260"/>
      <c r="C611" s="35" t="s">
        <v>2906</v>
      </c>
      <c r="D611" s="35" t="s">
        <v>583</v>
      </c>
      <c r="E611" s="36">
        <f>ROUND(0.547/0.15,4)</f>
        <v>3.6467000000000001</v>
      </c>
      <c r="F611" s="30">
        <v>27.036999999999999</v>
      </c>
      <c r="G611" s="33">
        <f t="shared" si="58"/>
        <v>98.595827900000003</v>
      </c>
      <c r="H611" s="34"/>
      <c r="I611" s="30"/>
      <c r="J611" s="152">
        <v>0</v>
      </c>
      <c r="L611" s="215">
        <v>3.6467000000000001</v>
      </c>
      <c r="M611" s="30">
        <v>23.143671999999999</v>
      </c>
      <c r="N611" s="33">
        <f t="shared" si="59"/>
        <v>84.398028682399996</v>
      </c>
      <c r="O611" s="34"/>
      <c r="P611" s="36" t="str">
        <f t="shared" si="54"/>
        <v/>
      </c>
      <c r="Q611" s="216">
        <f t="shared" si="55"/>
        <v>0.14400000000000002</v>
      </c>
      <c r="R611" s="216">
        <f t="shared" si="56"/>
        <v>0.14400000000000002</v>
      </c>
      <c r="S611" s="217" t="str">
        <f t="shared" si="57"/>
        <v/>
      </c>
    </row>
    <row r="612" spans="1:19" ht="15.75" hidden="1" thickBot="1" x14ac:dyDescent="0.3">
      <c r="A612" s="262"/>
      <c r="B612" s="260"/>
      <c r="C612" s="35" t="s">
        <v>584</v>
      </c>
      <c r="D612" s="35" t="s">
        <v>583</v>
      </c>
      <c r="E612" s="36">
        <f>ROUND(0.273/0.15,4)</f>
        <v>1.82</v>
      </c>
      <c r="F612" s="30">
        <v>20.225499999999997</v>
      </c>
      <c r="G612" s="33">
        <f t="shared" si="58"/>
        <v>36.810409999999997</v>
      </c>
      <c r="H612" s="34"/>
      <c r="I612" s="30"/>
      <c r="J612" s="152">
        <v>0</v>
      </c>
      <c r="L612" s="215">
        <v>1.82</v>
      </c>
      <c r="M612" s="30">
        <v>17.313027999999996</v>
      </c>
      <c r="N612" s="33">
        <f t="shared" si="59"/>
        <v>31.509710959999992</v>
      </c>
      <c r="O612" s="34"/>
      <c r="P612" s="36" t="str">
        <f t="shared" si="54"/>
        <v/>
      </c>
      <c r="Q612" s="216">
        <f t="shared" si="55"/>
        <v>0.14400000000000013</v>
      </c>
      <c r="R612" s="216">
        <f t="shared" si="56"/>
        <v>0.14400000000000013</v>
      </c>
      <c r="S612" s="217" t="str">
        <f t="shared" si="57"/>
        <v/>
      </c>
    </row>
    <row r="613" spans="1:19" ht="15.75" hidden="1" thickBot="1" x14ac:dyDescent="0.3">
      <c r="A613" s="262"/>
      <c r="B613" s="260"/>
      <c r="C613" s="35"/>
      <c r="D613" s="35"/>
      <c r="E613" s="36"/>
      <c r="F613" s="30" t="s">
        <v>416</v>
      </c>
      <c r="G613" s="33" t="str">
        <f t="shared" si="58"/>
        <v/>
      </c>
      <c r="H613" s="34"/>
      <c r="I613" s="30"/>
      <c r="J613" s="152">
        <v>0</v>
      </c>
      <c r="L613" s="215"/>
      <c r="M613" s="30"/>
      <c r="N613" s="33" t="str">
        <f t="shared" si="59"/>
        <v/>
      </c>
      <c r="O613" s="34"/>
      <c r="P613" s="36" t="str">
        <f t="shared" si="54"/>
        <v/>
      </c>
      <c r="Q613" s="216" t="str">
        <f t="shared" si="55"/>
        <v/>
      </c>
      <c r="R613" s="216" t="str">
        <f t="shared" si="56"/>
        <v/>
      </c>
      <c r="S613" s="217" t="str">
        <f t="shared" si="57"/>
        <v/>
      </c>
    </row>
    <row r="614" spans="1:19" ht="26.25" hidden="1" thickBot="1" x14ac:dyDescent="0.3">
      <c r="A614" s="262"/>
      <c r="B614" s="260"/>
      <c r="C614" s="47" t="s">
        <v>159</v>
      </c>
      <c r="D614" s="35"/>
      <c r="E614" s="36"/>
      <c r="F614" s="30" t="s">
        <v>416</v>
      </c>
      <c r="G614" s="33" t="str">
        <f t="shared" si="58"/>
        <v/>
      </c>
      <c r="H614" s="34"/>
      <c r="I614" s="30"/>
      <c r="J614" s="152">
        <v>0</v>
      </c>
      <c r="L614" s="215"/>
      <c r="M614" s="30"/>
      <c r="N614" s="33" t="str">
        <f t="shared" si="59"/>
        <v/>
      </c>
      <c r="O614" s="34"/>
      <c r="P614" s="36" t="str">
        <f t="shared" si="54"/>
        <v/>
      </c>
      <c r="Q614" s="216" t="str">
        <f t="shared" si="55"/>
        <v/>
      </c>
      <c r="R614" s="216" t="str">
        <f t="shared" si="56"/>
        <v/>
      </c>
      <c r="S614" s="217" t="str">
        <f t="shared" si="57"/>
        <v/>
      </c>
    </row>
    <row r="615" spans="1:19" ht="15.75" hidden="1" thickBot="1" x14ac:dyDescent="0.3">
      <c r="A615" s="263"/>
      <c r="B615" s="261"/>
      <c r="C615" s="35"/>
      <c r="D615" s="35"/>
      <c r="E615" s="36"/>
      <c r="F615" s="30" t="s">
        <v>416</v>
      </c>
      <c r="G615" s="30" t="str">
        <f t="shared" si="58"/>
        <v/>
      </c>
      <c r="H615" s="34"/>
      <c r="I615" s="30"/>
      <c r="J615" s="152">
        <v>0</v>
      </c>
      <c r="L615" s="215"/>
      <c r="M615" s="30"/>
      <c r="N615" s="30" t="str">
        <f t="shared" si="59"/>
        <v/>
      </c>
      <c r="O615" s="34"/>
      <c r="P615" s="36" t="str">
        <f t="shared" si="54"/>
        <v/>
      </c>
      <c r="Q615" s="216" t="str">
        <f t="shared" si="55"/>
        <v/>
      </c>
      <c r="R615" s="216" t="str">
        <f t="shared" si="56"/>
        <v/>
      </c>
      <c r="S615" s="217" t="str">
        <f t="shared" si="57"/>
        <v/>
      </c>
    </row>
    <row r="616" spans="1:19" ht="15.75" hidden="1" thickBot="1" x14ac:dyDescent="0.3">
      <c r="A616" s="256" t="s">
        <v>166</v>
      </c>
      <c r="B616" s="259" t="str">
        <f>INDEX(Orçamentária!A:B,MATCH(Composições!A616,Orçamentária!A:A,0),2)</f>
        <v>Instalação de rodapé de madeira reaproveitado</v>
      </c>
      <c r="C616" s="40"/>
      <c r="D616" s="25" t="s">
        <v>69</v>
      </c>
      <c r="E616" s="26"/>
      <c r="F616" s="41" t="s">
        <v>416</v>
      </c>
      <c r="G616" s="27" t="str">
        <f t="shared" si="58"/>
        <v/>
      </c>
      <c r="H616" s="28"/>
      <c r="I616" s="29"/>
      <c r="J616" s="152">
        <v>0</v>
      </c>
      <c r="L616" s="218"/>
      <c r="M616" s="41"/>
      <c r="N616" s="27" t="str">
        <f t="shared" si="59"/>
        <v/>
      </c>
      <c r="O616" s="28"/>
      <c r="P616" s="36" t="str">
        <f t="shared" si="54"/>
        <v/>
      </c>
      <c r="Q616" s="216" t="str">
        <f t="shared" si="55"/>
        <v/>
      </c>
      <c r="R616" s="216" t="str">
        <f t="shared" si="56"/>
        <v/>
      </c>
      <c r="S616" s="217" t="str">
        <f t="shared" si="57"/>
        <v/>
      </c>
    </row>
    <row r="617" spans="1:19" ht="15.75" hidden="1" thickBot="1" x14ac:dyDescent="0.3">
      <c r="A617" s="262"/>
      <c r="B617" s="260"/>
      <c r="C617" s="31"/>
      <c r="D617" s="31"/>
      <c r="E617" s="32"/>
      <c r="F617" s="42" t="s">
        <v>416</v>
      </c>
      <c r="G617" s="30" t="str">
        <f t="shared" si="58"/>
        <v/>
      </c>
      <c r="H617" s="34"/>
      <c r="I617" s="30"/>
      <c r="J617" s="152">
        <v>0</v>
      </c>
      <c r="L617" s="219"/>
      <c r="M617" s="42"/>
      <c r="N617" s="30" t="str">
        <f t="shared" si="59"/>
        <v/>
      </c>
      <c r="O617" s="34"/>
      <c r="P617" s="36" t="str">
        <f t="shared" si="54"/>
        <v/>
      </c>
      <c r="Q617" s="216" t="str">
        <f t="shared" si="55"/>
        <v/>
      </c>
      <c r="R617" s="216" t="str">
        <f t="shared" si="56"/>
        <v/>
      </c>
      <c r="S617" s="217" t="str">
        <f t="shared" si="57"/>
        <v/>
      </c>
    </row>
    <row r="618" spans="1:19" ht="15.75" hidden="1" thickBot="1" x14ac:dyDescent="0.3">
      <c r="A618" s="262"/>
      <c r="B618" s="260"/>
      <c r="C618" s="35" t="s">
        <v>1092</v>
      </c>
      <c r="D618" s="35" t="s">
        <v>773</v>
      </c>
      <c r="E618" s="36">
        <v>4.0300000000000002E-2</v>
      </c>
      <c r="F618" s="30">
        <v>42.730999999999995</v>
      </c>
      <c r="G618" s="33">
        <f t="shared" si="58"/>
        <v>1.7220593</v>
      </c>
      <c r="H618" s="38">
        <f>SUM(G618:G620)</f>
        <v>14.525818249999997</v>
      </c>
      <c r="I618" s="39"/>
      <c r="J618" s="152">
        <v>0</v>
      </c>
      <c r="L618" s="215">
        <v>4.0300000000000002E-2</v>
      </c>
      <c r="M618" s="30">
        <v>36.577735999999994</v>
      </c>
      <c r="N618" s="33">
        <f t="shared" si="59"/>
        <v>1.4740827607999998</v>
      </c>
      <c r="O618" s="38">
        <f>SUM(N618:N620)</f>
        <v>12.434100422</v>
      </c>
      <c r="P618" s="36" t="str">
        <f t="shared" si="54"/>
        <v/>
      </c>
      <c r="Q618" s="216">
        <f t="shared" si="55"/>
        <v>0.14400000000000002</v>
      </c>
      <c r="R618" s="216">
        <f t="shared" si="56"/>
        <v>0.14400000000000013</v>
      </c>
      <c r="S618" s="217">
        <f t="shared" si="57"/>
        <v>0.14399999999999979</v>
      </c>
    </row>
    <row r="619" spans="1:19" ht="15.75" hidden="1" thickBot="1" x14ac:dyDescent="0.3">
      <c r="A619" s="262"/>
      <c r="B619" s="260"/>
      <c r="C619" s="35" t="s">
        <v>584</v>
      </c>
      <c r="D619" s="35" t="s">
        <v>583</v>
      </c>
      <c r="E619" s="36">
        <v>0.15140000000000001</v>
      </c>
      <c r="F619" s="33">
        <v>20.225499999999997</v>
      </c>
      <c r="G619" s="33">
        <f t="shared" si="58"/>
        <v>3.0621406999999996</v>
      </c>
      <c r="H619" s="34"/>
      <c r="I619" s="30"/>
      <c r="J619" s="152">
        <v>0</v>
      </c>
      <c r="L619" s="215">
        <v>0.15140000000000001</v>
      </c>
      <c r="M619" s="33">
        <v>17.313027999999996</v>
      </c>
      <c r="N619" s="33">
        <f t="shared" si="59"/>
        <v>2.6211924391999997</v>
      </c>
      <c r="O619" s="34"/>
      <c r="P619" s="36" t="str">
        <f t="shared" si="54"/>
        <v/>
      </c>
      <c r="Q619" s="216">
        <f t="shared" si="55"/>
        <v>0.14400000000000013</v>
      </c>
      <c r="R619" s="216">
        <f t="shared" si="56"/>
        <v>0.14400000000000002</v>
      </c>
      <c r="S619" s="217" t="str">
        <f t="shared" si="57"/>
        <v/>
      </c>
    </row>
    <row r="620" spans="1:19" ht="15.75" hidden="1" thickBot="1" x14ac:dyDescent="0.3">
      <c r="A620" s="262"/>
      <c r="B620" s="260"/>
      <c r="C620" s="35" t="s">
        <v>1071</v>
      </c>
      <c r="D620" s="35" t="s">
        <v>583</v>
      </c>
      <c r="E620" s="36">
        <v>0.36349999999999999</v>
      </c>
      <c r="F620" s="33">
        <v>26.799499999999998</v>
      </c>
      <c r="G620" s="33">
        <f t="shared" si="58"/>
        <v>9.7416182499999984</v>
      </c>
      <c r="H620" s="34"/>
      <c r="I620" s="30"/>
      <c r="J620" s="152">
        <v>0</v>
      </c>
      <c r="L620" s="215">
        <v>0.36349999999999999</v>
      </c>
      <c r="M620" s="33">
        <v>22.940372</v>
      </c>
      <c r="N620" s="33">
        <f t="shared" si="59"/>
        <v>8.3388252220000005</v>
      </c>
      <c r="O620" s="34"/>
      <c r="P620" s="36" t="str">
        <f t="shared" si="54"/>
        <v/>
      </c>
      <c r="Q620" s="216">
        <f t="shared" si="55"/>
        <v>0.14399999999999991</v>
      </c>
      <c r="R620" s="216">
        <f t="shared" si="56"/>
        <v>0.14399999999999979</v>
      </c>
      <c r="S620" s="217" t="str">
        <f t="shared" si="57"/>
        <v/>
      </c>
    </row>
    <row r="621" spans="1:19" ht="15.75" hidden="1" thickBot="1" x14ac:dyDescent="0.3">
      <c r="A621" s="262"/>
      <c r="B621" s="260"/>
      <c r="C621" s="35"/>
      <c r="D621" s="35"/>
      <c r="E621" s="36"/>
      <c r="F621" s="30" t="s">
        <v>416</v>
      </c>
      <c r="G621" s="30" t="str">
        <f t="shared" si="58"/>
        <v/>
      </c>
      <c r="H621" s="34"/>
      <c r="I621" s="30"/>
      <c r="J621" s="152">
        <v>0</v>
      </c>
      <c r="L621" s="215"/>
      <c r="M621" s="30"/>
      <c r="N621" s="30" t="str">
        <f t="shared" si="59"/>
        <v/>
      </c>
      <c r="O621" s="34"/>
      <c r="P621" s="36" t="str">
        <f t="shared" si="54"/>
        <v/>
      </c>
      <c r="Q621" s="216" t="str">
        <f t="shared" si="55"/>
        <v/>
      </c>
      <c r="R621" s="216" t="str">
        <f t="shared" si="56"/>
        <v/>
      </c>
      <c r="S621" s="217" t="str">
        <f t="shared" si="57"/>
        <v/>
      </c>
    </row>
    <row r="622" spans="1:19" ht="15.75" hidden="1" thickBot="1" x14ac:dyDescent="0.3">
      <c r="A622" s="256" t="s">
        <v>167</v>
      </c>
      <c r="B622" s="259" t="str">
        <f>INDEX(Orçamentária!A:B,MATCH(Composições!A622,Orçamentária!A:A,0),2)</f>
        <v>Mármore Bege Bahia para piso e parede</v>
      </c>
      <c r="C622" s="40"/>
      <c r="D622" s="25" t="s">
        <v>70</v>
      </c>
      <c r="E622" s="26"/>
      <c r="F622" s="41" t="s">
        <v>416</v>
      </c>
      <c r="G622" s="27" t="str">
        <f t="shared" si="58"/>
        <v/>
      </c>
      <c r="H622" s="28"/>
      <c r="I622" s="29"/>
      <c r="J622" s="152">
        <v>0</v>
      </c>
      <c r="L622" s="218"/>
      <c r="M622" s="41"/>
      <c r="N622" s="27" t="str">
        <f t="shared" si="59"/>
        <v/>
      </c>
      <c r="O622" s="28"/>
      <c r="P622" s="36" t="str">
        <f t="shared" si="54"/>
        <v/>
      </c>
      <c r="Q622" s="216" t="str">
        <f t="shared" si="55"/>
        <v/>
      </c>
      <c r="R622" s="216" t="str">
        <f t="shared" si="56"/>
        <v/>
      </c>
      <c r="S622" s="217" t="str">
        <f t="shared" si="57"/>
        <v/>
      </c>
    </row>
    <row r="623" spans="1:19" ht="15.75" hidden="1" thickBot="1" x14ac:dyDescent="0.3">
      <c r="A623" s="262"/>
      <c r="B623" s="260"/>
      <c r="C623" s="31"/>
      <c r="D623" s="31"/>
      <c r="E623" s="32"/>
      <c r="F623" s="42" t="s">
        <v>416</v>
      </c>
      <c r="G623" s="30" t="str">
        <f t="shared" si="58"/>
        <v/>
      </c>
      <c r="H623" s="34"/>
      <c r="I623" s="30"/>
      <c r="J623" s="152">
        <v>0</v>
      </c>
      <c r="L623" s="219"/>
      <c r="M623" s="42"/>
      <c r="N623" s="30" t="str">
        <f t="shared" si="59"/>
        <v/>
      </c>
      <c r="O623" s="34"/>
      <c r="P623" s="36" t="str">
        <f t="shared" si="54"/>
        <v/>
      </c>
      <c r="Q623" s="216" t="str">
        <f t="shared" si="55"/>
        <v/>
      </c>
      <c r="R623" s="216" t="str">
        <f t="shared" si="56"/>
        <v/>
      </c>
      <c r="S623" s="217" t="str">
        <f t="shared" si="57"/>
        <v/>
      </c>
    </row>
    <row r="624" spans="1:19" ht="15.75" hidden="1" thickBot="1" x14ac:dyDescent="0.3">
      <c r="A624" s="262"/>
      <c r="B624" s="260"/>
      <c r="C624" s="35" t="s">
        <v>7987</v>
      </c>
      <c r="D624" s="35" t="s">
        <v>773</v>
      </c>
      <c r="E624" s="36">
        <v>8.6199999999999992</v>
      </c>
      <c r="F624" s="33">
        <v>1.8049999999999999</v>
      </c>
      <c r="G624" s="33">
        <f t="shared" si="58"/>
        <v>15.559099999999997</v>
      </c>
      <c r="H624" s="38">
        <f>SUM(G624:G628)</f>
        <v>60.177122999999987</v>
      </c>
      <c r="I624" s="39"/>
      <c r="J624" s="152">
        <v>0</v>
      </c>
      <c r="L624" s="215">
        <v>8.6199999999999992</v>
      </c>
      <c r="M624" s="33">
        <v>1.54508</v>
      </c>
      <c r="N624" s="33">
        <f t="shared" si="59"/>
        <v>13.318589599999999</v>
      </c>
      <c r="O624" s="38">
        <f>SUM(N624:N628)</f>
        <v>51.511617287999989</v>
      </c>
      <c r="P624" s="36" t="str">
        <f t="shared" si="54"/>
        <v/>
      </c>
      <c r="Q624" s="216">
        <f t="shared" si="55"/>
        <v>0.14400000000000002</v>
      </c>
      <c r="R624" s="216">
        <f t="shared" si="56"/>
        <v>0.14399999999999991</v>
      </c>
      <c r="S624" s="217">
        <f t="shared" si="57"/>
        <v>0.14400000000000002</v>
      </c>
    </row>
    <row r="625" spans="1:19" ht="15.75" hidden="1" thickBot="1" x14ac:dyDescent="0.3">
      <c r="A625" s="262"/>
      <c r="B625" s="260"/>
      <c r="C625" s="35" t="s">
        <v>2906</v>
      </c>
      <c r="D625" s="35" t="s">
        <v>583</v>
      </c>
      <c r="E625" s="36">
        <v>1.1879999999999999</v>
      </c>
      <c r="F625" s="30">
        <v>27.036999999999999</v>
      </c>
      <c r="G625" s="33">
        <f t="shared" si="58"/>
        <v>32.119955999999995</v>
      </c>
      <c r="H625" s="34"/>
      <c r="I625" s="30"/>
      <c r="J625" s="152">
        <v>0</v>
      </c>
      <c r="L625" s="215">
        <v>1.1879999999999999</v>
      </c>
      <c r="M625" s="30">
        <v>23.143671999999999</v>
      </c>
      <c r="N625" s="33">
        <f t="shared" si="59"/>
        <v>27.494682335999997</v>
      </c>
      <c r="O625" s="34"/>
      <c r="P625" s="36" t="str">
        <f t="shared" si="54"/>
        <v/>
      </c>
      <c r="Q625" s="216">
        <f t="shared" si="55"/>
        <v>0.14400000000000002</v>
      </c>
      <c r="R625" s="216">
        <f t="shared" si="56"/>
        <v>0.14400000000000002</v>
      </c>
      <c r="S625" s="217" t="str">
        <f t="shared" si="57"/>
        <v/>
      </c>
    </row>
    <row r="626" spans="1:19" ht="15.75" hidden="1" thickBot="1" x14ac:dyDescent="0.3">
      <c r="A626" s="262"/>
      <c r="B626" s="260"/>
      <c r="C626" s="35" t="s">
        <v>584</v>
      </c>
      <c r="D626" s="35" t="s">
        <v>583</v>
      </c>
      <c r="E626" s="36">
        <v>0.59399999999999997</v>
      </c>
      <c r="F626" s="30">
        <v>20.225499999999997</v>
      </c>
      <c r="G626" s="33">
        <f t="shared" si="58"/>
        <v>12.013946999999998</v>
      </c>
      <c r="H626" s="34"/>
      <c r="I626" s="30"/>
      <c r="J626" s="152">
        <v>0</v>
      </c>
      <c r="L626" s="215">
        <v>0.59399999999999997</v>
      </c>
      <c r="M626" s="30">
        <v>17.313027999999996</v>
      </c>
      <c r="N626" s="33">
        <f t="shared" si="59"/>
        <v>10.283938631999996</v>
      </c>
      <c r="O626" s="34"/>
      <c r="P626" s="36" t="str">
        <f t="shared" si="54"/>
        <v/>
      </c>
      <c r="Q626" s="216">
        <f t="shared" si="55"/>
        <v>0.14400000000000013</v>
      </c>
      <c r="R626" s="216">
        <f t="shared" si="56"/>
        <v>0.14400000000000013</v>
      </c>
      <c r="S626" s="217" t="str">
        <f t="shared" si="57"/>
        <v/>
      </c>
    </row>
    <row r="627" spans="1:19" ht="15.75" hidden="1" thickBot="1" x14ac:dyDescent="0.3">
      <c r="A627" s="262"/>
      <c r="B627" s="260"/>
      <c r="C627" s="35" t="s">
        <v>8367</v>
      </c>
      <c r="D627" s="35" t="s">
        <v>773</v>
      </c>
      <c r="E627" s="36">
        <v>0.14000000000000001</v>
      </c>
      <c r="F627" s="33">
        <v>3.4579999999999997</v>
      </c>
      <c r="G627" s="33">
        <f t="shared" si="58"/>
        <v>0.48411999999999999</v>
      </c>
      <c r="H627" s="34"/>
      <c r="I627" s="30"/>
      <c r="J627" s="152">
        <v>0</v>
      </c>
      <c r="L627" s="215">
        <v>0.14000000000000001</v>
      </c>
      <c r="M627" s="33">
        <v>2.9600479999999996</v>
      </c>
      <c r="N627" s="33">
        <f t="shared" si="59"/>
        <v>0.41440672000000001</v>
      </c>
      <c r="O627" s="34"/>
      <c r="P627" s="36" t="str">
        <f t="shared" si="54"/>
        <v/>
      </c>
      <c r="Q627" s="216">
        <f t="shared" si="55"/>
        <v>0.14400000000000002</v>
      </c>
      <c r="R627" s="216">
        <f t="shared" si="56"/>
        <v>0.14400000000000002</v>
      </c>
      <c r="S627" s="217" t="str">
        <f t="shared" si="57"/>
        <v/>
      </c>
    </row>
    <row r="628" spans="1:19" ht="15.75" hidden="1" thickBot="1" x14ac:dyDescent="0.3">
      <c r="A628" s="262"/>
      <c r="B628" s="260"/>
      <c r="C628" s="35" t="s">
        <v>168</v>
      </c>
      <c r="D628" s="35" t="s">
        <v>70</v>
      </c>
      <c r="E628" s="36">
        <v>1.1599999999999999</v>
      </c>
      <c r="F628" s="33" t="s">
        <v>416</v>
      </c>
      <c r="G628" s="53" t="str">
        <f t="shared" si="58"/>
        <v/>
      </c>
      <c r="H628" s="34"/>
      <c r="I628" s="30"/>
      <c r="J628" s="152">
        <v>0</v>
      </c>
      <c r="L628" s="215">
        <v>1.1599999999999999</v>
      </c>
      <c r="M628" s="33"/>
      <c r="N628" s="53" t="str">
        <f t="shared" si="59"/>
        <v/>
      </c>
      <c r="O628" s="34"/>
      <c r="P628" s="36" t="str">
        <f t="shared" si="54"/>
        <v/>
      </c>
      <c r="Q628" s="216" t="str">
        <f t="shared" si="55"/>
        <v/>
      </c>
      <c r="R628" s="216" t="str">
        <f t="shared" si="56"/>
        <v/>
      </c>
      <c r="S628" s="217" t="str">
        <f t="shared" si="57"/>
        <v/>
      </c>
    </row>
    <row r="629" spans="1:19" ht="15.75" hidden="1" thickBot="1" x14ac:dyDescent="0.3">
      <c r="A629" s="263"/>
      <c r="B629" s="261"/>
      <c r="C629" s="35"/>
      <c r="D629" s="35"/>
      <c r="E629" s="36"/>
      <c r="F629" s="30" t="s">
        <v>416</v>
      </c>
      <c r="G629" s="30" t="str">
        <f t="shared" si="58"/>
        <v/>
      </c>
      <c r="H629" s="34"/>
      <c r="I629" s="30"/>
      <c r="J629" s="152">
        <v>0</v>
      </c>
      <c r="L629" s="215"/>
      <c r="M629" s="30"/>
      <c r="N629" s="30" t="str">
        <f t="shared" si="59"/>
        <v/>
      </c>
      <c r="O629" s="34"/>
      <c r="P629" s="36" t="str">
        <f t="shared" si="54"/>
        <v/>
      </c>
      <c r="Q629" s="216" t="str">
        <f t="shared" si="55"/>
        <v/>
      </c>
      <c r="R629" s="216" t="str">
        <f t="shared" si="56"/>
        <v/>
      </c>
      <c r="S629" s="217" t="str">
        <f t="shared" si="57"/>
        <v/>
      </c>
    </row>
    <row r="630" spans="1:19" ht="15.75" hidden="1" thickBot="1" x14ac:dyDescent="0.3">
      <c r="A630" s="256" t="s">
        <v>169</v>
      </c>
      <c r="B630" s="259" t="str">
        <f>INDEX(Orçamentária!A:B,MATCH(Composições!A630,Orçamentária!A:A,0),2)</f>
        <v>Mármore Branco Especial para piso e parede</v>
      </c>
      <c r="C630" s="40"/>
      <c r="D630" s="25" t="s">
        <v>70</v>
      </c>
      <c r="E630" s="26"/>
      <c r="F630" s="41" t="s">
        <v>416</v>
      </c>
      <c r="G630" s="27" t="str">
        <f t="shared" si="58"/>
        <v/>
      </c>
      <c r="H630" s="28"/>
      <c r="I630" s="29"/>
      <c r="J630" s="152">
        <v>0</v>
      </c>
      <c r="L630" s="218"/>
      <c r="M630" s="41"/>
      <c r="N630" s="27" t="str">
        <f t="shared" si="59"/>
        <v/>
      </c>
      <c r="O630" s="28"/>
      <c r="P630" s="36" t="str">
        <f t="shared" si="54"/>
        <v/>
      </c>
      <c r="Q630" s="216" t="str">
        <f t="shared" si="55"/>
        <v/>
      </c>
      <c r="R630" s="216" t="str">
        <f t="shared" si="56"/>
        <v/>
      </c>
      <c r="S630" s="217" t="str">
        <f t="shared" si="57"/>
        <v/>
      </c>
    </row>
    <row r="631" spans="1:19" ht="15.75" hidden="1" thickBot="1" x14ac:dyDescent="0.3">
      <c r="A631" s="262"/>
      <c r="B631" s="260"/>
      <c r="C631" s="31"/>
      <c r="D631" s="31"/>
      <c r="E631" s="32"/>
      <c r="F631" s="42" t="s">
        <v>416</v>
      </c>
      <c r="G631" s="30" t="str">
        <f t="shared" si="58"/>
        <v/>
      </c>
      <c r="H631" s="34"/>
      <c r="I631" s="30"/>
      <c r="J631" s="152">
        <v>0</v>
      </c>
      <c r="L631" s="219"/>
      <c r="M631" s="42"/>
      <c r="N631" s="30" t="str">
        <f t="shared" si="59"/>
        <v/>
      </c>
      <c r="O631" s="34"/>
      <c r="P631" s="36" t="str">
        <f t="shared" si="54"/>
        <v/>
      </c>
      <c r="Q631" s="216" t="str">
        <f t="shared" si="55"/>
        <v/>
      </c>
      <c r="R631" s="216" t="str">
        <f t="shared" si="56"/>
        <v/>
      </c>
      <c r="S631" s="217" t="str">
        <f t="shared" si="57"/>
        <v/>
      </c>
    </row>
    <row r="632" spans="1:19" ht="15.75" hidden="1" thickBot="1" x14ac:dyDescent="0.3">
      <c r="A632" s="262"/>
      <c r="B632" s="260"/>
      <c r="C632" s="35" t="s">
        <v>7987</v>
      </c>
      <c r="D632" s="35" t="s">
        <v>773</v>
      </c>
      <c r="E632" s="36">
        <v>8.6199999999999992</v>
      </c>
      <c r="F632" s="33">
        <v>1.8049999999999999</v>
      </c>
      <c r="G632" s="33">
        <f t="shared" si="58"/>
        <v>15.559099999999997</v>
      </c>
      <c r="H632" s="38">
        <f>SUM(G632:G636)</f>
        <v>60.177122999999987</v>
      </c>
      <c r="I632" s="39"/>
      <c r="J632" s="152">
        <v>0</v>
      </c>
      <c r="L632" s="215">
        <v>8.6199999999999992</v>
      </c>
      <c r="M632" s="33">
        <v>1.54508</v>
      </c>
      <c r="N632" s="33">
        <f t="shared" si="59"/>
        <v>13.318589599999999</v>
      </c>
      <c r="O632" s="38">
        <f>SUM(N632:N636)</f>
        <v>51.511617287999989</v>
      </c>
      <c r="P632" s="36" t="str">
        <f t="shared" si="54"/>
        <v/>
      </c>
      <c r="Q632" s="216">
        <f t="shared" si="55"/>
        <v>0.14400000000000002</v>
      </c>
      <c r="R632" s="216">
        <f t="shared" si="56"/>
        <v>0.14399999999999991</v>
      </c>
      <c r="S632" s="217">
        <f t="shared" si="57"/>
        <v>0.14400000000000002</v>
      </c>
    </row>
    <row r="633" spans="1:19" ht="15.75" hidden="1" thickBot="1" x14ac:dyDescent="0.3">
      <c r="A633" s="262"/>
      <c r="B633" s="260"/>
      <c r="C633" s="35" t="s">
        <v>2906</v>
      </c>
      <c r="D633" s="35" t="s">
        <v>583</v>
      </c>
      <c r="E633" s="36">
        <v>1.1879999999999999</v>
      </c>
      <c r="F633" s="30">
        <v>27.036999999999999</v>
      </c>
      <c r="G633" s="33">
        <f t="shared" si="58"/>
        <v>32.119955999999995</v>
      </c>
      <c r="H633" s="34"/>
      <c r="I633" s="30"/>
      <c r="J633" s="152">
        <v>0</v>
      </c>
      <c r="L633" s="215">
        <v>1.1879999999999999</v>
      </c>
      <c r="M633" s="30">
        <v>23.143671999999999</v>
      </c>
      <c r="N633" s="33">
        <f t="shared" si="59"/>
        <v>27.494682335999997</v>
      </c>
      <c r="O633" s="34"/>
      <c r="P633" s="36" t="str">
        <f t="shared" si="54"/>
        <v/>
      </c>
      <c r="Q633" s="216">
        <f t="shared" si="55"/>
        <v>0.14400000000000002</v>
      </c>
      <c r="R633" s="216">
        <f t="shared" si="56"/>
        <v>0.14400000000000002</v>
      </c>
      <c r="S633" s="217" t="str">
        <f t="shared" si="57"/>
        <v/>
      </c>
    </row>
    <row r="634" spans="1:19" ht="15.75" hidden="1" thickBot="1" x14ac:dyDescent="0.3">
      <c r="A634" s="262"/>
      <c r="B634" s="260"/>
      <c r="C634" s="35" t="s">
        <v>584</v>
      </c>
      <c r="D634" s="35" t="s">
        <v>583</v>
      </c>
      <c r="E634" s="36">
        <v>0.59399999999999997</v>
      </c>
      <c r="F634" s="30">
        <v>20.225499999999997</v>
      </c>
      <c r="G634" s="33">
        <f t="shared" si="58"/>
        <v>12.013946999999998</v>
      </c>
      <c r="H634" s="34"/>
      <c r="I634" s="30"/>
      <c r="J634" s="152">
        <v>0</v>
      </c>
      <c r="L634" s="215">
        <v>0.59399999999999997</v>
      </c>
      <c r="M634" s="30">
        <v>17.313027999999996</v>
      </c>
      <c r="N634" s="33">
        <f t="shared" si="59"/>
        <v>10.283938631999996</v>
      </c>
      <c r="O634" s="34"/>
      <c r="P634" s="36" t="str">
        <f t="shared" si="54"/>
        <v/>
      </c>
      <c r="Q634" s="216">
        <f t="shared" si="55"/>
        <v>0.14400000000000013</v>
      </c>
      <c r="R634" s="216">
        <f t="shared" si="56"/>
        <v>0.14400000000000013</v>
      </c>
      <c r="S634" s="217" t="str">
        <f t="shared" si="57"/>
        <v/>
      </c>
    </row>
    <row r="635" spans="1:19" ht="15.75" hidden="1" thickBot="1" x14ac:dyDescent="0.3">
      <c r="A635" s="262"/>
      <c r="B635" s="260"/>
      <c r="C635" s="35" t="s">
        <v>8367</v>
      </c>
      <c r="D635" s="35" t="s">
        <v>773</v>
      </c>
      <c r="E635" s="36">
        <v>0.14000000000000001</v>
      </c>
      <c r="F635" s="33">
        <v>3.4579999999999997</v>
      </c>
      <c r="G635" s="33">
        <f t="shared" si="58"/>
        <v>0.48411999999999999</v>
      </c>
      <c r="H635" s="34"/>
      <c r="I635" s="30"/>
      <c r="J635" s="152">
        <v>0</v>
      </c>
      <c r="L635" s="215">
        <v>0.14000000000000001</v>
      </c>
      <c r="M635" s="33">
        <v>2.9600479999999996</v>
      </c>
      <c r="N635" s="33">
        <f t="shared" si="59"/>
        <v>0.41440672000000001</v>
      </c>
      <c r="O635" s="34"/>
      <c r="P635" s="36" t="str">
        <f t="shared" si="54"/>
        <v/>
      </c>
      <c r="Q635" s="216">
        <f t="shared" si="55"/>
        <v>0.14400000000000002</v>
      </c>
      <c r="R635" s="216">
        <f t="shared" si="56"/>
        <v>0.14400000000000002</v>
      </c>
      <c r="S635" s="217" t="str">
        <f t="shared" si="57"/>
        <v/>
      </c>
    </row>
    <row r="636" spans="1:19" ht="15.75" hidden="1" thickBot="1" x14ac:dyDescent="0.3">
      <c r="A636" s="262"/>
      <c r="B636" s="260"/>
      <c r="C636" s="35" t="s">
        <v>170</v>
      </c>
      <c r="D636" s="35" t="s">
        <v>70</v>
      </c>
      <c r="E636" s="36">
        <v>1.1599999999999999</v>
      </c>
      <c r="F636" s="33" t="s">
        <v>416</v>
      </c>
      <c r="G636" s="53" t="str">
        <f t="shared" si="58"/>
        <v/>
      </c>
      <c r="H636" s="34"/>
      <c r="I636" s="30"/>
      <c r="J636" s="152">
        <v>0</v>
      </c>
      <c r="L636" s="215">
        <v>1.1599999999999999</v>
      </c>
      <c r="M636" s="33"/>
      <c r="N636" s="53" t="str">
        <f t="shared" si="59"/>
        <v/>
      </c>
      <c r="O636" s="34"/>
      <c r="P636" s="36" t="str">
        <f t="shared" si="54"/>
        <v/>
      </c>
      <c r="Q636" s="216" t="str">
        <f t="shared" si="55"/>
        <v/>
      </c>
      <c r="R636" s="216" t="str">
        <f t="shared" si="56"/>
        <v/>
      </c>
      <c r="S636" s="217" t="str">
        <f t="shared" si="57"/>
        <v/>
      </c>
    </row>
    <row r="637" spans="1:19" ht="15.75" hidden="1" thickBot="1" x14ac:dyDescent="0.3">
      <c r="A637" s="263"/>
      <c r="B637" s="261"/>
      <c r="C637" s="35"/>
      <c r="D637" s="35"/>
      <c r="E637" s="36"/>
      <c r="F637" s="30" t="s">
        <v>416</v>
      </c>
      <c r="G637" s="30" t="str">
        <f t="shared" si="58"/>
        <v/>
      </c>
      <c r="H637" s="34"/>
      <c r="I637" s="30"/>
      <c r="J637" s="152">
        <v>0</v>
      </c>
      <c r="L637" s="215"/>
      <c r="M637" s="30"/>
      <c r="N637" s="30" t="str">
        <f t="shared" si="59"/>
        <v/>
      </c>
      <c r="O637" s="34"/>
      <c r="P637" s="36" t="str">
        <f t="shared" si="54"/>
        <v/>
      </c>
      <c r="Q637" s="216" t="str">
        <f t="shared" si="55"/>
        <v/>
      </c>
      <c r="R637" s="216" t="str">
        <f t="shared" si="56"/>
        <v/>
      </c>
      <c r="S637" s="217" t="str">
        <f t="shared" si="57"/>
        <v/>
      </c>
    </row>
    <row r="638" spans="1:19" ht="15.75" hidden="1" thickBot="1" x14ac:dyDescent="0.3">
      <c r="A638" s="256" t="s">
        <v>171</v>
      </c>
      <c r="B638" s="259" t="str">
        <f>INDEX(Orçamentária!A:B,MATCH(Composições!A638,Orçamentária!A:A,0),2)</f>
        <v>Rodapé de madeira</v>
      </c>
      <c r="C638" s="40"/>
      <c r="D638" s="25" t="s">
        <v>69</v>
      </c>
      <c r="E638" s="26"/>
      <c r="F638" s="41" t="s">
        <v>416</v>
      </c>
      <c r="G638" s="27" t="str">
        <f t="shared" si="58"/>
        <v/>
      </c>
      <c r="H638" s="28"/>
      <c r="I638" s="29"/>
      <c r="J638" s="152">
        <v>0</v>
      </c>
      <c r="L638" s="218"/>
      <c r="M638" s="41"/>
      <c r="N638" s="27" t="str">
        <f t="shared" si="59"/>
        <v/>
      </c>
      <c r="O638" s="28"/>
      <c r="P638" s="36" t="str">
        <f t="shared" si="54"/>
        <v/>
      </c>
      <c r="Q638" s="216" t="str">
        <f t="shared" si="55"/>
        <v/>
      </c>
      <c r="R638" s="216" t="str">
        <f t="shared" si="56"/>
        <v/>
      </c>
      <c r="S638" s="217" t="str">
        <f t="shared" si="57"/>
        <v/>
      </c>
    </row>
    <row r="639" spans="1:19" ht="15.75" hidden="1" thickBot="1" x14ac:dyDescent="0.3">
      <c r="A639" s="262"/>
      <c r="B639" s="260"/>
      <c r="C639" s="31"/>
      <c r="D639" s="31"/>
      <c r="E639" s="32"/>
      <c r="F639" s="42" t="s">
        <v>416</v>
      </c>
      <c r="G639" s="30" t="str">
        <f t="shared" si="58"/>
        <v/>
      </c>
      <c r="H639" s="34"/>
      <c r="I639" s="30"/>
      <c r="J639" s="152">
        <v>0</v>
      </c>
      <c r="L639" s="219"/>
      <c r="M639" s="42"/>
      <c r="N639" s="30" t="str">
        <f t="shared" si="59"/>
        <v/>
      </c>
      <c r="O639" s="34"/>
      <c r="P639" s="36" t="str">
        <f t="shared" si="54"/>
        <v/>
      </c>
      <c r="Q639" s="216" t="str">
        <f t="shared" si="55"/>
        <v/>
      </c>
      <c r="R639" s="216" t="str">
        <f t="shared" si="56"/>
        <v/>
      </c>
      <c r="S639" s="217" t="str">
        <f t="shared" si="57"/>
        <v/>
      </c>
    </row>
    <row r="640" spans="1:19" ht="26.25" hidden="1" thickBot="1" x14ac:dyDescent="0.3">
      <c r="A640" s="262"/>
      <c r="B640" s="260"/>
      <c r="C640" s="35" t="s">
        <v>2940</v>
      </c>
      <c r="D640" s="35" t="s">
        <v>385</v>
      </c>
      <c r="E640" s="36">
        <v>1.0349999999999999</v>
      </c>
      <c r="F640" s="30">
        <v>16.881499999999999</v>
      </c>
      <c r="G640" s="33">
        <f t="shared" si="58"/>
        <v>17.472352499999996</v>
      </c>
      <c r="H640" s="38">
        <f>SUM(G640:G643)</f>
        <v>31.998170749999996</v>
      </c>
      <c r="I640" s="39"/>
      <c r="J640" s="152">
        <v>0</v>
      </c>
      <c r="L640" s="215">
        <v>1.0349999999999999</v>
      </c>
      <c r="M640" s="30">
        <v>14.450564</v>
      </c>
      <c r="N640" s="33">
        <f t="shared" si="59"/>
        <v>14.956333739999998</v>
      </c>
      <c r="O640" s="38">
        <f>SUM(N640:N643)</f>
        <v>27.390434161999995</v>
      </c>
      <c r="P640" s="36" t="str">
        <f t="shared" si="54"/>
        <v/>
      </c>
      <c r="Q640" s="216">
        <f t="shared" si="55"/>
        <v>0.14399999999999991</v>
      </c>
      <c r="R640" s="216">
        <f t="shared" si="56"/>
        <v>0.14399999999999991</v>
      </c>
      <c r="S640" s="217">
        <f t="shared" si="57"/>
        <v>0.14400000000000002</v>
      </c>
    </row>
    <row r="641" spans="1:19" ht="15.75" hidden="1" thickBot="1" x14ac:dyDescent="0.3">
      <c r="A641" s="262"/>
      <c r="B641" s="260"/>
      <c r="C641" s="35" t="s">
        <v>1092</v>
      </c>
      <c r="D641" s="35" t="s">
        <v>773</v>
      </c>
      <c r="E641" s="36">
        <v>4.0300000000000002E-2</v>
      </c>
      <c r="F641" s="30">
        <v>42.730999999999995</v>
      </c>
      <c r="G641" s="33">
        <f t="shared" si="58"/>
        <v>1.7220593</v>
      </c>
      <c r="H641" s="34"/>
      <c r="I641" s="30"/>
      <c r="J641" s="152">
        <v>0</v>
      </c>
      <c r="L641" s="215">
        <v>4.0300000000000002E-2</v>
      </c>
      <c r="M641" s="30">
        <v>36.577735999999994</v>
      </c>
      <c r="N641" s="33">
        <f t="shared" si="59"/>
        <v>1.4740827607999998</v>
      </c>
      <c r="O641" s="34"/>
      <c r="P641" s="36" t="str">
        <f t="shared" si="54"/>
        <v/>
      </c>
      <c r="Q641" s="216">
        <f t="shared" si="55"/>
        <v>0.14400000000000002</v>
      </c>
      <c r="R641" s="216">
        <f t="shared" si="56"/>
        <v>0.14400000000000013</v>
      </c>
      <c r="S641" s="217" t="str">
        <f t="shared" si="57"/>
        <v/>
      </c>
    </row>
    <row r="642" spans="1:19" ht="15.75" hidden="1" thickBot="1" x14ac:dyDescent="0.3">
      <c r="A642" s="262"/>
      <c r="B642" s="260"/>
      <c r="C642" s="35" t="s">
        <v>584</v>
      </c>
      <c r="D642" s="35" t="s">
        <v>583</v>
      </c>
      <c r="E642" s="36">
        <v>0.15140000000000001</v>
      </c>
      <c r="F642" s="33">
        <v>20.225499999999997</v>
      </c>
      <c r="G642" s="33">
        <f t="shared" si="58"/>
        <v>3.0621406999999996</v>
      </c>
      <c r="H642" s="34"/>
      <c r="I642" s="30"/>
      <c r="J642" s="152">
        <v>0</v>
      </c>
      <c r="L642" s="215">
        <v>0.15140000000000001</v>
      </c>
      <c r="M642" s="33">
        <v>17.313027999999996</v>
      </c>
      <c r="N642" s="33">
        <f t="shared" si="59"/>
        <v>2.6211924391999997</v>
      </c>
      <c r="O642" s="34"/>
      <c r="P642" s="36" t="str">
        <f t="shared" si="54"/>
        <v/>
      </c>
      <c r="Q642" s="216">
        <f t="shared" si="55"/>
        <v>0.14400000000000013</v>
      </c>
      <c r="R642" s="216">
        <f t="shared" si="56"/>
        <v>0.14400000000000002</v>
      </c>
      <c r="S642" s="217" t="str">
        <f t="shared" si="57"/>
        <v/>
      </c>
    </row>
    <row r="643" spans="1:19" ht="15.75" hidden="1" thickBot="1" x14ac:dyDescent="0.3">
      <c r="A643" s="262"/>
      <c r="B643" s="260"/>
      <c r="C643" s="35" t="s">
        <v>1071</v>
      </c>
      <c r="D643" s="35" t="s">
        <v>583</v>
      </c>
      <c r="E643" s="36">
        <v>0.36349999999999999</v>
      </c>
      <c r="F643" s="33">
        <v>26.799499999999998</v>
      </c>
      <c r="G643" s="33">
        <f t="shared" si="58"/>
        <v>9.7416182499999984</v>
      </c>
      <c r="H643" s="34"/>
      <c r="I643" s="30"/>
      <c r="J643" s="152">
        <v>0</v>
      </c>
      <c r="L643" s="215">
        <v>0.36349999999999999</v>
      </c>
      <c r="M643" s="33">
        <v>22.940372</v>
      </c>
      <c r="N643" s="33">
        <f t="shared" si="59"/>
        <v>8.3388252220000005</v>
      </c>
      <c r="O643" s="34"/>
      <c r="P643" s="36" t="str">
        <f t="shared" si="54"/>
        <v/>
      </c>
      <c r="Q643" s="216">
        <f t="shared" si="55"/>
        <v>0.14399999999999991</v>
      </c>
      <c r="R643" s="216">
        <f t="shared" si="56"/>
        <v>0.14399999999999979</v>
      </c>
      <c r="S643" s="217" t="str">
        <f t="shared" si="57"/>
        <v/>
      </c>
    </row>
    <row r="644" spans="1:19" ht="15.75" hidden="1" thickBot="1" x14ac:dyDescent="0.3">
      <c r="A644" s="263"/>
      <c r="B644" s="261"/>
      <c r="C644" s="35"/>
      <c r="D644" s="35"/>
      <c r="E644" s="36"/>
      <c r="F644" s="30" t="s">
        <v>416</v>
      </c>
      <c r="G644" s="30" t="str">
        <f t="shared" si="58"/>
        <v/>
      </c>
      <c r="H644" s="34"/>
      <c r="I644" s="30"/>
      <c r="J644" s="152">
        <v>0</v>
      </c>
      <c r="L644" s="215"/>
      <c r="M644" s="30"/>
      <c r="N644" s="30" t="str">
        <f t="shared" si="59"/>
        <v/>
      </c>
      <c r="O644" s="34"/>
      <c r="P644" s="36" t="str">
        <f t="shared" si="54"/>
        <v/>
      </c>
      <c r="Q644" s="216" t="str">
        <f t="shared" si="55"/>
        <v/>
      </c>
      <c r="R644" s="216" t="str">
        <f t="shared" si="56"/>
        <v/>
      </c>
      <c r="S644" s="217" t="str">
        <f t="shared" si="57"/>
        <v/>
      </c>
    </row>
    <row r="645" spans="1:19" ht="15.75" hidden="1" thickBot="1" x14ac:dyDescent="0.3">
      <c r="A645" s="256" t="s">
        <v>172</v>
      </c>
      <c r="B645" s="259" t="str">
        <f>INDEX(Orçamentária!A:B,MATCH(Composições!A645,Orçamentária!A:A,0),2)</f>
        <v>Acabamento abaulado em placas de granito ou mármore reaproveitadas</v>
      </c>
      <c r="C645" s="40"/>
      <c r="D645" s="25" t="s">
        <v>69</v>
      </c>
      <c r="E645" s="26"/>
      <c r="F645" s="41" t="s">
        <v>416</v>
      </c>
      <c r="G645" s="27" t="str">
        <f t="shared" si="58"/>
        <v/>
      </c>
      <c r="H645" s="28"/>
      <c r="I645" s="29"/>
      <c r="J645" s="152">
        <v>0</v>
      </c>
      <c r="L645" s="218"/>
      <c r="M645" s="41"/>
      <c r="N645" s="27" t="str">
        <f t="shared" si="59"/>
        <v/>
      </c>
      <c r="O645" s="28"/>
      <c r="P645" s="36" t="str">
        <f t="shared" si="54"/>
        <v/>
      </c>
      <c r="Q645" s="216" t="str">
        <f t="shared" si="55"/>
        <v/>
      </c>
      <c r="R645" s="216" t="str">
        <f t="shared" si="56"/>
        <v/>
      </c>
      <c r="S645" s="217" t="str">
        <f t="shared" si="57"/>
        <v/>
      </c>
    </row>
    <row r="646" spans="1:19" ht="15.75" hidden="1" thickBot="1" x14ac:dyDescent="0.3">
      <c r="A646" s="262"/>
      <c r="B646" s="260"/>
      <c r="C646" s="31"/>
      <c r="D646" s="31"/>
      <c r="E646" s="32"/>
      <c r="F646" s="42" t="s">
        <v>416</v>
      </c>
      <c r="G646" s="30" t="str">
        <f t="shared" si="58"/>
        <v/>
      </c>
      <c r="H646" s="34"/>
      <c r="I646" s="30"/>
      <c r="J646" s="152">
        <v>0</v>
      </c>
      <c r="L646" s="219"/>
      <c r="M646" s="42"/>
      <c r="N646" s="30" t="str">
        <f t="shared" si="59"/>
        <v/>
      </c>
      <c r="O646" s="34"/>
      <c r="P646" s="36" t="str">
        <f t="shared" si="54"/>
        <v/>
      </c>
      <c r="Q646" s="216" t="str">
        <f t="shared" si="55"/>
        <v/>
      </c>
      <c r="R646" s="216" t="str">
        <f t="shared" si="56"/>
        <v/>
      </c>
      <c r="S646" s="217" t="str">
        <f t="shared" si="57"/>
        <v/>
      </c>
    </row>
    <row r="647" spans="1:19" ht="15.75" hidden="1" thickBot="1" x14ac:dyDescent="0.3">
      <c r="A647" s="262"/>
      <c r="B647" s="260"/>
      <c r="C647" s="35" t="s">
        <v>2906</v>
      </c>
      <c r="D647" s="35" t="s">
        <v>583</v>
      </c>
      <c r="E647" s="36">
        <v>2</v>
      </c>
      <c r="F647" s="30">
        <v>27.036999999999999</v>
      </c>
      <c r="G647" s="33">
        <f t="shared" si="58"/>
        <v>54.073999999999998</v>
      </c>
      <c r="H647" s="38">
        <f>SUM(G647:G647)</f>
        <v>54.073999999999998</v>
      </c>
      <c r="I647" s="39"/>
      <c r="J647" s="152">
        <v>0</v>
      </c>
      <c r="L647" s="215">
        <v>2</v>
      </c>
      <c r="M647" s="30">
        <v>23.143671999999999</v>
      </c>
      <c r="N647" s="33">
        <f t="shared" si="59"/>
        <v>46.287343999999997</v>
      </c>
      <c r="O647" s="38">
        <f>SUM(N647:N647)</f>
        <v>46.287343999999997</v>
      </c>
      <c r="P647" s="36" t="str">
        <f t="shared" si="54"/>
        <v/>
      </c>
      <c r="Q647" s="216">
        <f t="shared" si="55"/>
        <v>0.14400000000000002</v>
      </c>
      <c r="R647" s="216">
        <f t="shared" si="56"/>
        <v>0.14400000000000002</v>
      </c>
      <c r="S647" s="217">
        <f t="shared" si="57"/>
        <v>0.14400000000000002</v>
      </c>
    </row>
    <row r="648" spans="1:19" ht="15.75" hidden="1" thickBot="1" x14ac:dyDescent="0.3">
      <c r="A648" s="263"/>
      <c r="B648" s="261"/>
      <c r="C648" s="54"/>
      <c r="D648" s="35"/>
      <c r="E648" s="36"/>
      <c r="F648" s="30" t="s">
        <v>416</v>
      </c>
      <c r="G648" s="30" t="str">
        <f t="shared" si="58"/>
        <v/>
      </c>
      <c r="H648" s="34"/>
      <c r="I648" s="30"/>
      <c r="J648" s="152">
        <v>0</v>
      </c>
      <c r="L648" s="215"/>
      <c r="M648" s="30"/>
      <c r="N648" s="30" t="str">
        <f t="shared" si="59"/>
        <v/>
      </c>
      <c r="O648" s="34"/>
      <c r="P648" s="36" t="str">
        <f t="shared" ref="P648:P711" si="60">IF(ISBLANK(L648),"",IF($E648&lt;&gt;L648,"SIM",""))</f>
        <v/>
      </c>
      <c r="Q648" s="216" t="str">
        <f t="shared" ref="Q648:Q711" si="61">IF(M648="","",1-M648/$F648)</f>
        <v/>
      </c>
      <c r="R648" s="216" t="str">
        <f t="shared" ref="R648:R711" si="62">IF(N648="","",1-N648/$G648)</f>
        <v/>
      </c>
      <c r="S648" s="217" t="str">
        <f t="shared" ref="S648:S711" si="63">IF(O648="","",1-O648/$H648)</f>
        <v/>
      </c>
    </row>
    <row r="649" spans="1:19" ht="15.75" hidden="1" thickBot="1" x14ac:dyDescent="0.3">
      <c r="A649" s="256" t="s">
        <v>173</v>
      </c>
      <c r="B649" s="259" t="str">
        <f>INDEX(Orçamentária!A:B,MATCH(Composições!A649,Orçamentária!A:A,0),2)</f>
        <v>Acabamento em meia esquadria em placas de granito ou mármore reaproveitadas</v>
      </c>
      <c r="C649" s="40"/>
      <c r="D649" s="25" t="s">
        <v>69</v>
      </c>
      <c r="E649" s="26"/>
      <c r="F649" s="41" t="s">
        <v>416</v>
      </c>
      <c r="G649" s="27" t="str">
        <f t="shared" si="58"/>
        <v/>
      </c>
      <c r="H649" s="28"/>
      <c r="I649" s="29"/>
      <c r="J649" s="152">
        <v>0</v>
      </c>
      <c r="L649" s="218"/>
      <c r="M649" s="41"/>
      <c r="N649" s="27" t="str">
        <f t="shared" si="59"/>
        <v/>
      </c>
      <c r="O649" s="28"/>
      <c r="P649" s="36" t="str">
        <f t="shared" si="60"/>
        <v/>
      </c>
      <c r="Q649" s="216" t="str">
        <f t="shared" si="61"/>
        <v/>
      </c>
      <c r="R649" s="216" t="str">
        <f t="shared" si="62"/>
        <v/>
      </c>
      <c r="S649" s="217" t="str">
        <f t="shared" si="63"/>
        <v/>
      </c>
    </row>
    <row r="650" spans="1:19" ht="15.75" hidden="1" thickBot="1" x14ac:dyDescent="0.3">
      <c r="A650" s="262"/>
      <c r="B650" s="260"/>
      <c r="C650" s="31"/>
      <c r="D650" s="31"/>
      <c r="E650" s="32"/>
      <c r="F650" s="42" t="s">
        <v>416</v>
      </c>
      <c r="G650" s="30" t="str">
        <f t="shared" si="58"/>
        <v/>
      </c>
      <c r="H650" s="34"/>
      <c r="I650" s="30"/>
      <c r="J650" s="152">
        <v>0</v>
      </c>
      <c r="L650" s="219"/>
      <c r="M650" s="42"/>
      <c r="N650" s="30" t="str">
        <f t="shared" si="59"/>
        <v/>
      </c>
      <c r="O650" s="34"/>
      <c r="P650" s="36" t="str">
        <f t="shared" si="60"/>
        <v/>
      </c>
      <c r="Q650" s="216" t="str">
        <f t="shared" si="61"/>
        <v/>
      </c>
      <c r="R650" s="216" t="str">
        <f t="shared" si="62"/>
        <v/>
      </c>
      <c r="S650" s="217" t="str">
        <f t="shared" si="63"/>
        <v/>
      </c>
    </row>
    <row r="651" spans="1:19" ht="15.75" hidden="1" thickBot="1" x14ac:dyDescent="0.3">
      <c r="A651" s="262"/>
      <c r="B651" s="260"/>
      <c r="C651" s="35" t="s">
        <v>2906</v>
      </c>
      <c r="D651" s="35" t="s">
        <v>583</v>
      </c>
      <c r="E651" s="36">
        <v>1.75</v>
      </c>
      <c r="F651" s="30">
        <v>27.036999999999999</v>
      </c>
      <c r="G651" s="33">
        <f t="shared" si="58"/>
        <v>47.314749999999997</v>
      </c>
      <c r="H651" s="38">
        <f>SUM(G651:G651)</f>
        <v>47.314749999999997</v>
      </c>
      <c r="I651" s="39"/>
      <c r="J651" s="152">
        <v>0</v>
      </c>
      <c r="L651" s="215">
        <v>1.75</v>
      </c>
      <c r="M651" s="30">
        <v>23.143671999999999</v>
      </c>
      <c r="N651" s="33">
        <f t="shared" si="59"/>
        <v>40.501425999999995</v>
      </c>
      <c r="O651" s="38">
        <f>SUM(N651:N651)</f>
        <v>40.501425999999995</v>
      </c>
      <c r="P651" s="36" t="str">
        <f t="shared" si="60"/>
        <v/>
      </c>
      <c r="Q651" s="216">
        <f t="shared" si="61"/>
        <v>0.14400000000000002</v>
      </c>
      <c r="R651" s="216">
        <f t="shared" si="62"/>
        <v>0.14400000000000002</v>
      </c>
      <c r="S651" s="217">
        <f t="shared" si="63"/>
        <v>0.14400000000000002</v>
      </c>
    </row>
    <row r="652" spans="1:19" ht="15.75" hidden="1" thickBot="1" x14ac:dyDescent="0.3">
      <c r="A652" s="263"/>
      <c r="B652" s="261"/>
      <c r="C652" s="54"/>
      <c r="D652" s="35"/>
      <c r="E652" s="36"/>
      <c r="F652" s="30" t="s">
        <v>416</v>
      </c>
      <c r="G652" s="30" t="str">
        <f t="shared" si="58"/>
        <v/>
      </c>
      <c r="H652" s="34"/>
      <c r="I652" s="30"/>
      <c r="J652" s="152">
        <v>0</v>
      </c>
      <c r="L652" s="215"/>
      <c r="M652" s="30"/>
      <c r="N652" s="30" t="str">
        <f t="shared" si="59"/>
        <v/>
      </c>
      <c r="O652" s="34"/>
      <c r="P652" s="36" t="str">
        <f t="shared" si="60"/>
        <v/>
      </c>
      <c r="Q652" s="216" t="str">
        <f t="shared" si="61"/>
        <v/>
      </c>
      <c r="R652" s="216" t="str">
        <f t="shared" si="62"/>
        <v/>
      </c>
      <c r="S652" s="217" t="str">
        <f t="shared" si="63"/>
        <v/>
      </c>
    </row>
    <row r="653" spans="1:19" ht="15.75" hidden="1" thickBot="1" x14ac:dyDescent="0.3">
      <c r="A653" s="256" t="s">
        <v>174</v>
      </c>
      <c r="B653" s="259" t="str">
        <f>INDEX(Orçamentária!A:B,MATCH(Composições!A653,Orçamentária!A:A,0),2)</f>
        <v>Acabamento reto em placas de granito ou mármore reaproveitadas</v>
      </c>
      <c r="C653" s="40"/>
      <c r="D653" s="25" t="s">
        <v>69</v>
      </c>
      <c r="E653" s="26"/>
      <c r="F653" s="41" t="s">
        <v>416</v>
      </c>
      <c r="G653" s="27" t="str">
        <f t="shared" si="58"/>
        <v/>
      </c>
      <c r="H653" s="28"/>
      <c r="I653" s="29"/>
      <c r="J653" s="152">
        <v>0</v>
      </c>
      <c r="L653" s="218"/>
      <c r="M653" s="41"/>
      <c r="N653" s="27" t="str">
        <f t="shared" si="59"/>
        <v/>
      </c>
      <c r="O653" s="28"/>
      <c r="P653" s="36" t="str">
        <f t="shared" si="60"/>
        <v/>
      </c>
      <c r="Q653" s="216" t="str">
        <f t="shared" si="61"/>
        <v/>
      </c>
      <c r="R653" s="216" t="str">
        <f t="shared" si="62"/>
        <v/>
      </c>
      <c r="S653" s="217" t="str">
        <f t="shared" si="63"/>
        <v/>
      </c>
    </row>
    <row r="654" spans="1:19" ht="15.75" hidden="1" thickBot="1" x14ac:dyDescent="0.3">
      <c r="A654" s="262"/>
      <c r="B654" s="260"/>
      <c r="C654" s="31"/>
      <c r="D654" s="31"/>
      <c r="E654" s="32"/>
      <c r="F654" s="42" t="s">
        <v>416</v>
      </c>
      <c r="G654" s="30" t="str">
        <f t="shared" si="58"/>
        <v/>
      </c>
      <c r="H654" s="34"/>
      <c r="I654" s="30"/>
      <c r="J654" s="152">
        <v>0</v>
      </c>
      <c r="L654" s="219"/>
      <c r="M654" s="42"/>
      <c r="N654" s="30" t="str">
        <f t="shared" si="59"/>
        <v/>
      </c>
      <c r="O654" s="34"/>
      <c r="P654" s="36" t="str">
        <f t="shared" si="60"/>
        <v/>
      </c>
      <c r="Q654" s="216" t="str">
        <f t="shared" si="61"/>
        <v/>
      </c>
      <c r="R654" s="216" t="str">
        <f t="shared" si="62"/>
        <v/>
      </c>
      <c r="S654" s="217" t="str">
        <f t="shared" si="63"/>
        <v/>
      </c>
    </row>
    <row r="655" spans="1:19" ht="15.75" hidden="1" thickBot="1" x14ac:dyDescent="0.3">
      <c r="A655" s="262"/>
      <c r="B655" s="260"/>
      <c r="C655" s="35" t="s">
        <v>2906</v>
      </c>
      <c r="D655" s="35" t="s">
        <v>583</v>
      </c>
      <c r="E655" s="36">
        <v>1</v>
      </c>
      <c r="F655" s="30">
        <v>27.036999999999999</v>
      </c>
      <c r="G655" s="33">
        <f t="shared" si="58"/>
        <v>27.036999999999999</v>
      </c>
      <c r="H655" s="38">
        <f>SUM(G655:G655)</f>
        <v>27.036999999999999</v>
      </c>
      <c r="I655" s="39"/>
      <c r="J655" s="152">
        <v>0</v>
      </c>
      <c r="L655" s="215">
        <v>1</v>
      </c>
      <c r="M655" s="30">
        <v>23.143671999999999</v>
      </c>
      <c r="N655" s="33">
        <f t="shared" si="59"/>
        <v>23.143671999999999</v>
      </c>
      <c r="O655" s="38">
        <f>SUM(N655:N655)</f>
        <v>23.143671999999999</v>
      </c>
      <c r="P655" s="36" t="str">
        <f t="shared" si="60"/>
        <v/>
      </c>
      <c r="Q655" s="216">
        <f t="shared" si="61"/>
        <v>0.14400000000000002</v>
      </c>
      <c r="R655" s="216">
        <f t="shared" si="62"/>
        <v>0.14400000000000002</v>
      </c>
      <c r="S655" s="217">
        <f t="shared" si="63"/>
        <v>0.14400000000000002</v>
      </c>
    </row>
    <row r="656" spans="1:19" ht="15.75" hidden="1" thickBot="1" x14ac:dyDescent="0.3">
      <c r="A656" s="263"/>
      <c r="B656" s="261"/>
      <c r="C656" s="54"/>
      <c r="D656" s="35"/>
      <c r="E656" s="36"/>
      <c r="F656" s="30" t="s">
        <v>416</v>
      </c>
      <c r="G656" s="30" t="str">
        <f t="shared" si="58"/>
        <v/>
      </c>
      <c r="H656" s="34"/>
      <c r="I656" s="30"/>
      <c r="J656" s="152">
        <v>0</v>
      </c>
      <c r="L656" s="215"/>
      <c r="M656" s="30"/>
      <c r="N656" s="30" t="str">
        <f t="shared" si="59"/>
        <v/>
      </c>
      <c r="O656" s="34"/>
      <c r="P656" s="36" t="str">
        <f t="shared" si="60"/>
        <v/>
      </c>
      <c r="Q656" s="216" t="str">
        <f t="shared" si="61"/>
        <v/>
      </c>
      <c r="R656" s="216" t="str">
        <f t="shared" si="62"/>
        <v/>
      </c>
      <c r="S656" s="217" t="str">
        <f t="shared" si="63"/>
        <v/>
      </c>
    </row>
    <row r="657" spans="1:19" ht="15.75" hidden="1" thickBot="1" x14ac:dyDescent="0.3">
      <c r="A657" s="256" t="s">
        <v>175</v>
      </c>
      <c r="B657" s="259" t="str">
        <f>INDEX(Orçamentária!A:B,MATCH(Composições!A657,Orçamentária!A:A,0),2)</f>
        <v>Corte de peça de granito ou mármore reaproveitada</v>
      </c>
      <c r="C657" s="40"/>
      <c r="D657" s="25" t="s">
        <v>69</v>
      </c>
      <c r="E657" s="26"/>
      <c r="F657" s="41" t="s">
        <v>416</v>
      </c>
      <c r="G657" s="27" t="str">
        <f t="shared" si="58"/>
        <v/>
      </c>
      <c r="H657" s="28"/>
      <c r="I657" s="29"/>
      <c r="J657" s="152">
        <v>0</v>
      </c>
      <c r="L657" s="218"/>
      <c r="M657" s="41"/>
      <c r="N657" s="27" t="str">
        <f t="shared" si="59"/>
        <v/>
      </c>
      <c r="O657" s="28"/>
      <c r="P657" s="36" t="str">
        <f t="shared" si="60"/>
        <v/>
      </c>
      <c r="Q657" s="216" t="str">
        <f t="shared" si="61"/>
        <v/>
      </c>
      <c r="R657" s="216" t="str">
        <f t="shared" si="62"/>
        <v/>
      </c>
      <c r="S657" s="217" t="str">
        <f t="shared" si="63"/>
        <v/>
      </c>
    </row>
    <row r="658" spans="1:19" ht="15.75" hidden="1" thickBot="1" x14ac:dyDescent="0.3">
      <c r="A658" s="262"/>
      <c r="B658" s="260"/>
      <c r="C658" s="31"/>
      <c r="D658" s="31"/>
      <c r="E658" s="32"/>
      <c r="F658" s="42" t="s">
        <v>416</v>
      </c>
      <c r="G658" s="30" t="str">
        <f t="shared" si="58"/>
        <v/>
      </c>
      <c r="H658" s="34"/>
      <c r="I658" s="30"/>
      <c r="J658" s="152">
        <v>0</v>
      </c>
      <c r="L658" s="219"/>
      <c r="M658" s="42"/>
      <c r="N658" s="30" t="str">
        <f t="shared" si="59"/>
        <v/>
      </c>
      <c r="O658" s="34"/>
      <c r="P658" s="36" t="str">
        <f t="shared" si="60"/>
        <v/>
      </c>
      <c r="Q658" s="216" t="str">
        <f t="shared" si="61"/>
        <v/>
      </c>
      <c r="R658" s="216" t="str">
        <f t="shared" si="62"/>
        <v/>
      </c>
      <c r="S658" s="217" t="str">
        <f t="shared" si="63"/>
        <v/>
      </c>
    </row>
    <row r="659" spans="1:19" ht="15.75" hidden="1" thickBot="1" x14ac:dyDescent="0.3">
      <c r="A659" s="262"/>
      <c r="B659" s="260"/>
      <c r="C659" s="35" t="s">
        <v>2906</v>
      </c>
      <c r="D659" s="35" t="s">
        <v>583</v>
      </c>
      <c r="E659" s="36">
        <v>1.25</v>
      </c>
      <c r="F659" s="30">
        <v>27.036999999999999</v>
      </c>
      <c r="G659" s="33">
        <f t="shared" ref="G659:G722" si="64">IF(ISNUMBER(F659),E659*F659,"")</f>
        <v>33.796250000000001</v>
      </c>
      <c r="H659" s="38">
        <f>SUM(G659:G659)</f>
        <v>33.796250000000001</v>
      </c>
      <c r="I659" s="39"/>
      <c r="J659" s="152">
        <v>0</v>
      </c>
      <c r="L659" s="215">
        <v>1.25</v>
      </c>
      <c r="M659" s="30">
        <v>23.143671999999999</v>
      </c>
      <c r="N659" s="33">
        <f t="shared" ref="N659:N722" si="65">IF(ISNUMBER(M659),L659*M659,"")</f>
        <v>28.929589999999997</v>
      </c>
      <c r="O659" s="38">
        <f>SUM(N659:N659)</f>
        <v>28.929589999999997</v>
      </c>
      <c r="P659" s="36" t="str">
        <f t="shared" si="60"/>
        <v/>
      </c>
      <c r="Q659" s="216">
        <f t="shared" si="61"/>
        <v>0.14400000000000002</v>
      </c>
      <c r="R659" s="216">
        <f t="shared" si="62"/>
        <v>0.14400000000000013</v>
      </c>
      <c r="S659" s="217">
        <f t="shared" si="63"/>
        <v>0.14400000000000013</v>
      </c>
    </row>
    <row r="660" spans="1:19" ht="15.75" hidden="1" thickBot="1" x14ac:dyDescent="0.3">
      <c r="A660" s="263"/>
      <c r="B660" s="261"/>
      <c r="C660" s="54"/>
      <c r="D660" s="35"/>
      <c r="E660" s="36"/>
      <c r="F660" s="30" t="s">
        <v>416</v>
      </c>
      <c r="G660" s="30" t="str">
        <f t="shared" si="64"/>
        <v/>
      </c>
      <c r="H660" s="34"/>
      <c r="I660" s="30"/>
      <c r="J660" s="152">
        <v>0</v>
      </c>
      <c r="L660" s="215"/>
      <c r="M660" s="30"/>
      <c r="N660" s="30" t="str">
        <f t="shared" si="65"/>
        <v/>
      </c>
      <c r="O660" s="34"/>
      <c r="P660" s="36" t="str">
        <f t="shared" si="60"/>
        <v/>
      </c>
      <c r="Q660" s="216" t="str">
        <f t="shared" si="61"/>
        <v/>
      </c>
      <c r="R660" s="216" t="str">
        <f t="shared" si="62"/>
        <v/>
      </c>
      <c r="S660" s="217" t="str">
        <f t="shared" si="63"/>
        <v/>
      </c>
    </row>
    <row r="661" spans="1:19" ht="15.75" hidden="1" thickBot="1" x14ac:dyDescent="0.3">
      <c r="A661" s="256" t="s">
        <v>176</v>
      </c>
      <c r="B661" s="259" t="str">
        <f>INDEX(Orçamentária!A:B,MATCH(Composições!A661,Orçamentária!A:A,0),2)</f>
        <v>Corte em placas de granito ou mármore reaproveitadas, para instalação de cubas</v>
      </c>
      <c r="C661" s="40"/>
      <c r="D661" s="25" t="s">
        <v>16</v>
      </c>
      <c r="E661" s="26"/>
      <c r="F661" s="41" t="s">
        <v>416</v>
      </c>
      <c r="G661" s="27" t="str">
        <f t="shared" si="64"/>
        <v/>
      </c>
      <c r="H661" s="28"/>
      <c r="I661" s="29"/>
      <c r="J661" s="152">
        <v>0</v>
      </c>
      <c r="L661" s="218"/>
      <c r="M661" s="41"/>
      <c r="N661" s="27" t="str">
        <f t="shared" si="65"/>
        <v/>
      </c>
      <c r="O661" s="28"/>
      <c r="P661" s="36" t="str">
        <f t="shared" si="60"/>
        <v/>
      </c>
      <c r="Q661" s="216" t="str">
        <f t="shared" si="61"/>
        <v/>
      </c>
      <c r="R661" s="216" t="str">
        <f t="shared" si="62"/>
        <v/>
      </c>
      <c r="S661" s="217" t="str">
        <f t="shared" si="63"/>
        <v/>
      </c>
    </row>
    <row r="662" spans="1:19" ht="15.75" hidden="1" thickBot="1" x14ac:dyDescent="0.3">
      <c r="A662" s="262"/>
      <c r="B662" s="260"/>
      <c r="C662" s="31"/>
      <c r="D662" s="31"/>
      <c r="E662" s="32"/>
      <c r="F662" s="42" t="s">
        <v>416</v>
      </c>
      <c r="G662" s="30" t="str">
        <f t="shared" si="64"/>
        <v/>
      </c>
      <c r="H662" s="34"/>
      <c r="I662" s="30"/>
      <c r="J662" s="152">
        <v>0</v>
      </c>
      <c r="L662" s="219"/>
      <c r="M662" s="42"/>
      <c r="N662" s="30" t="str">
        <f t="shared" si="65"/>
        <v/>
      </c>
      <c r="O662" s="34"/>
      <c r="P662" s="36" t="str">
        <f t="shared" si="60"/>
        <v/>
      </c>
      <c r="Q662" s="216" t="str">
        <f t="shared" si="61"/>
        <v/>
      </c>
      <c r="R662" s="216" t="str">
        <f t="shared" si="62"/>
        <v/>
      </c>
      <c r="S662" s="217" t="str">
        <f t="shared" si="63"/>
        <v/>
      </c>
    </row>
    <row r="663" spans="1:19" ht="26.25" hidden="1" thickBot="1" x14ac:dyDescent="0.3">
      <c r="A663" s="262"/>
      <c r="B663" s="260"/>
      <c r="C663" s="35" t="s">
        <v>177</v>
      </c>
      <c r="D663" s="35" t="s">
        <v>213</v>
      </c>
      <c r="E663" s="36">
        <v>1</v>
      </c>
      <c r="F663" s="30">
        <v>113.715</v>
      </c>
      <c r="G663" s="33">
        <f t="shared" si="64"/>
        <v>113.715</v>
      </c>
      <c r="H663" s="38">
        <f>SUM(G663:G663)</f>
        <v>113.715</v>
      </c>
      <c r="I663" s="39"/>
      <c r="J663" s="152">
        <v>0</v>
      </c>
      <c r="L663" s="215">
        <v>1</v>
      </c>
      <c r="M663" s="30">
        <v>97.340040000000002</v>
      </c>
      <c r="N663" s="33">
        <f t="shared" si="65"/>
        <v>97.340040000000002</v>
      </c>
      <c r="O663" s="38">
        <f>SUM(N663:N663)</f>
        <v>97.340040000000002</v>
      </c>
      <c r="P663" s="36" t="str">
        <f t="shared" si="60"/>
        <v/>
      </c>
      <c r="Q663" s="216">
        <f t="shared" si="61"/>
        <v>0.14400000000000002</v>
      </c>
      <c r="R663" s="216">
        <f t="shared" si="62"/>
        <v>0.14400000000000002</v>
      </c>
      <c r="S663" s="217">
        <f t="shared" si="63"/>
        <v>0.14400000000000002</v>
      </c>
    </row>
    <row r="664" spans="1:19" ht="15.75" hidden="1" thickBot="1" x14ac:dyDescent="0.3">
      <c r="A664" s="263"/>
      <c r="B664" s="261"/>
      <c r="C664" s="54"/>
      <c r="D664" s="35"/>
      <c r="E664" s="36"/>
      <c r="F664" s="30" t="s">
        <v>416</v>
      </c>
      <c r="G664" s="30" t="str">
        <f t="shared" si="64"/>
        <v/>
      </c>
      <c r="H664" s="34"/>
      <c r="I664" s="30"/>
      <c r="J664" s="152">
        <v>0</v>
      </c>
      <c r="L664" s="215"/>
      <c r="M664" s="30"/>
      <c r="N664" s="30" t="str">
        <f t="shared" si="65"/>
        <v/>
      </c>
      <c r="O664" s="34"/>
      <c r="P664" s="36" t="str">
        <f t="shared" si="60"/>
        <v/>
      </c>
      <c r="Q664" s="216" t="str">
        <f t="shared" si="61"/>
        <v/>
      </c>
      <c r="R664" s="216" t="str">
        <f t="shared" si="62"/>
        <v/>
      </c>
      <c r="S664" s="217" t="str">
        <f t="shared" si="63"/>
        <v/>
      </c>
    </row>
    <row r="665" spans="1:19" ht="15.75" hidden="1" thickBot="1" x14ac:dyDescent="0.3">
      <c r="A665" s="256" t="s">
        <v>178</v>
      </c>
      <c r="B665" s="259" t="str">
        <f>INDEX(Orçamentária!A:B,MATCH(Composições!A665,Orçamentária!A:A,0),2)</f>
        <v>Furo em placas de granito ou mármore reaproveitadas, para instalação de torneira ou misturador</v>
      </c>
      <c r="C665" s="156"/>
      <c r="D665" s="25" t="s">
        <v>16</v>
      </c>
      <c r="E665" s="26"/>
      <c r="F665" s="41" t="s">
        <v>416</v>
      </c>
      <c r="G665" s="27" t="str">
        <f t="shared" si="64"/>
        <v/>
      </c>
      <c r="H665" s="28"/>
      <c r="I665" s="29"/>
      <c r="J665" s="152">
        <v>0</v>
      </c>
      <c r="L665" s="218"/>
      <c r="M665" s="41"/>
      <c r="N665" s="27" t="str">
        <f t="shared" si="65"/>
        <v/>
      </c>
      <c r="O665" s="28"/>
      <c r="P665" s="36" t="str">
        <f t="shared" si="60"/>
        <v/>
      </c>
      <c r="Q665" s="216" t="str">
        <f t="shared" si="61"/>
        <v/>
      </c>
      <c r="R665" s="216" t="str">
        <f t="shared" si="62"/>
        <v/>
      </c>
      <c r="S665" s="217" t="str">
        <f t="shared" si="63"/>
        <v/>
      </c>
    </row>
    <row r="666" spans="1:19" ht="15.75" hidden="1" thickBot="1" x14ac:dyDescent="0.3">
      <c r="A666" s="262"/>
      <c r="B666" s="260"/>
      <c r="C666" s="31"/>
      <c r="D666" s="31"/>
      <c r="E666" s="32"/>
      <c r="F666" s="42" t="s">
        <v>416</v>
      </c>
      <c r="G666" s="30" t="str">
        <f t="shared" si="64"/>
        <v/>
      </c>
      <c r="H666" s="34"/>
      <c r="I666" s="30"/>
      <c r="J666" s="152">
        <v>0</v>
      </c>
      <c r="L666" s="219"/>
      <c r="M666" s="42"/>
      <c r="N666" s="30" t="str">
        <f t="shared" si="65"/>
        <v/>
      </c>
      <c r="O666" s="34"/>
      <c r="P666" s="36" t="str">
        <f t="shared" si="60"/>
        <v/>
      </c>
      <c r="Q666" s="216" t="str">
        <f t="shared" si="61"/>
        <v/>
      </c>
      <c r="R666" s="216" t="str">
        <f t="shared" si="62"/>
        <v/>
      </c>
      <c r="S666" s="217" t="str">
        <f t="shared" si="63"/>
        <v/>
      </c>
    </row>
    <row r="667" spans="1:19" ht="26.25" hidden="1" thickBot="1" x14ac:dyDescent="0.3">
      <c r="A667" s="262"/>
      <c r="B667" s="260"/>
      <c r="C667" s="35" t="s">
        <v>8519</v>
      </c>
      <c r="D667" s="35" t="s">
        <v>213</v>
      </c>
      <c r="E667" s="36">
        <v>1</v>
      </c>
      <c r="F667" s="30">
        <v>17.052499999999998</v>
      </c>
      <c r="G667" s="33">
        <f t="shared" si="64"/>
        <v>17.052499999999998</v>
      </c>
      <c r="H667" s="38">
        <f>SUM(G667:G667)</f>
        <v>17.052499999999998</v>
      </c>
      <c r="I667" s="39"/>
      <c r="J667" s="152">
        <v>0</v>
      </c>
      <c r="L667" s="215">
        <v>1</v>
      </c>
      <c r="M667" s="30">
        <v>14.596939999999998</v>
      </c>
      <c r="N667" s="33">
        <f t="shared" si="65"/>
        <v>14.596939999999998</v>
      </c>
      <c r="O667" s="38">
        <f>SUM(N667:N667)</f>
        <v>14.596939999999998</v>
      </c>
      <c r="P667" s="36" t="str">
        <f t="shared" si="60"/>
        <v/>
      </c>
      <c r="Q667" s="216">
        <f t="shared" si="61"/>
        <v>0.14400000000000002</v>
      </c>
      <c r="R667" s="216">
        <f t="shared" si="62"/>
        <v>0.14400000000000002</v>
      </c>
      <c r="S667" s="217">
        <f t="shared" si="63"/>
        <v>0.14400000000000002</v>
      </c>
    </row>
    <row r="668" spans="1:19" ht="15.75" hidden="1" thickBot="1" x14ac:dyDescent="0.3">
      <c r="A668" s="263"/>
      <c r="B668" s="261"/>
      <c r="C668" s="35"/>
      <c r="D668" s="35"/>
      <c r="E668" s="36"/>
      <c r="F668" s="30" t="s">
        <v>416</v>
      </c>
      <c r="G668" s="30" t="str">
        <f t="shared" si="64"/>
        <v/>
      </c>
      <c r="H668" s="34"/>
      <c r="I668" s="30"/>
      <c r="J668" s="152">
        <v>0</v>
      </c>
      <c r="L668" s="215"/>
      <c r="M668" s="30"/>
      <c r="N668" s="30" t="str">
        <f t="shared" si="65"/>
        <v/>
      </c>
      <c r="O668" s="34"/>
      <c r="P668" s="36" t="str">
        <f t="shared" si="60"/>
        <v/>
      </c>
      <c r="Q668" s="216" t="str">
        <f t="shared" si="61"/>
        <v/>
      </c>
      <c r="R668" s="216" t="str">
        <f t="shared" si="62"/>
        <v/>
      </c>
      <c r="S668" s="217" t="str">
        <f t="shared" si="63"/>
        <v/>
      </c>
    </row>
    <row r="669" spans="1:19" ht="15.75" hidden="1" thickBot="1" x14ac:dyDescent="0.3">
      <c r="A669" s="256" t="s">
        <v>179</v>
      </c>
      <c r="B669" s="259" t="str">
        <f>INDEX(Orçamentária!A:B,MATCH(Composições!A669,Orçamentária!A:A,0),2)</f>
        <v>Granito Cinza Andorinha 20 mm para rodabancada</v>
      </c>
      <c r="C669" s="40"/>
      <c r="D669" s="25" t="s">
        <v>70</v>
      </c>
      <c r="E669" s="26"/>
      <c r="F669" s="41" t="s">
        <v>416</v>
      </c>
      <c r="G669" s="27" t="str">
        <f t="shared" si="64"/>
        <v/>
      </c>
      <c r="H669" s="28"/>
      <c r="I669" s="29"/>
      <c r="J669" s="152">
        <v>0</v>
      </c>
      <c r="L669" s="218"/>
      <c r="M669" s="41"/>
      <c r="N669" s="27" t="str">
        <f t="shared" si="65"/>
        <v/>
      </c>
      <c r="O669" s="28"/>
      <c r="P669" s="36" t="str">
        <f t="shared" si="60"/>
        <v/>
      </c>
      <c r="Q669" s="216" t="str">
        <f t="shared" si="61"/>
        <v/>
      </c>
      <c r="R669" s="216" t="str">
        <f t="shared" si="62"/>
        <v/>
      </c>
      <c r="S669" s="217" t="str">
        <f t="shared" si="63"/>
        <v/>
      </c>
    </row>
    <row r="670" spans="1:19" ht="15.75" hidden="1" thickBot="1" x14ac:dyDescent="0.3">
      <c r="A670" s="262"/>
      <c r="B670" s="260"/>
      <c r="C670" s="31"/>
      <c r="D670" s="31"/>
      <c r="E670" s="32"/>
      <c r="F670" s="42" t="s">
        <v>416</v>
      </c>
      <c r="G670" s="30" t="str">
        <f t="shared" si="64"/>
        <v/>
      </c>
      <c r="H670" s="34"/>
      <c r="I670" s="30"/>
      <c r="J670" s="152">
        <v>0</v>
      </c>
      <c r="L670" s="219"/>
      <c r="M670" s="42"/>
      <c r="N670" s="30" t="str">
        <f t="shared" si="65"/>
        <v/>
      </c>
      <c r="O670" s="34"/>
      <c r="P670" s="36" t="str">
        <f t="shared" si="60"/>
        <v/>
      </c>
      <c r="Q670" s="216" t="str">
        <f t="shared" si="61"/>
        <v/>
      </c>
      <c r="R670" s="216" t="str">
        <f t="shared" si="62"/>
        <v/>
      </c>
      <c r="S670" s="217" t="str">
        <f t="shared" si="63"/>
        <v/>
      </c>
    </row>
    <row r="671" spans="1:19" ht="26.25" hidden="1" thickBot="1" x14ac:dyDescent="0.3">
      <c r="A671" s="262"/>
      <c r="B671" s="260"/>
      <c r="C671" s="35" t="s">
        <v>180</v>
      </c>
      <c r="D671" s="35" t="s">
        <v>69</v>
      </c>
      <c r="E671" s="36">
        <f>ROUND(1.04/0.15,4)</f>
        <v>6.9333</v>
      </c>
      <c r="F671" s="33" t="s">
        <v>416</v>
      </c>
      <c r="G671" s="33" t="str">
        <f t="shared" si="64"/>
        <v/>
      </c>
      <c r="H671" s="38">
        <f>SUM(G671:G675)</f>
        <v>87.250325599999996</v>
      </c>
      <c r="I671" s="39"/>
      <c r="J671" s="152">
        <v>0</v>
      </c>
      <c r="L671" s="215">
        <v>6.9333</v>
      </c>
      <c r="M671" s="33"/>
      <c r="N671" s="33" t="str">
        <f t="shared" si="65"/>
        <v/>
      </c>
      <c r="O671" s="38">
        <f>SUM(N671:N675)</f>
        <v>74.686278713600004</v>
      </c>
      <c r="P671" s="36" t="str">
        <f t="shared" si="60"/>
        <v/>
      </c>
      <c r="Q671" s="216" t="str">
        <f t="shared" si="61"/>
        <v/>
      </c>
      <c r="R671" s="216" t="str">
        <f t="shared" si="62"/>
        <v/>
      </c>
      <c r="S671" s="217">
        <f t="shared" si="63"/>
        <v>0.14399999999999991</v>
      </c>
    </row>
    <row r="672" spans="1:19" ht="15.75" hidden="1" thickBot="1" x14ac:dyDescent="0.3">
      <c r="A672" s="262"/>
      <c r="B672" s="260"/>
      <c r="C672" s="35" t="s">
        <v>7987</v>
      </c>
      <c r="D672" s="35" t="s">
        <v>773</v>
      </c>
      <c r="E672" s="36">
        <f>ROUND(0.8614/0.15,4)</f>
        <v>5.7427000000000001</v>
      </c>
      <c r="F672" s="33">
        <v>1.8049999999999999</v>
      </c>
      <c r="G672" s="33">
        <f t="shared" si="64"/>
        <v>10.3655735</v>
      </c>
      <c r="H672" s="34"/>
      <c r="I672" s="30"/>
      <c r="J672" s="152">
        <v>0</v>
      </c>
      <c r="L672" s="215">
        <v>5.7427000000000001</v>
      </c>
      <c r="M672" s="33">
        <v>1.54508</v>
      </c>
      <c r="N672" s="33">
        <f t="shared" si="65"/>
        <v>8.8729309159999996</v>
      </c>
      <c r="O672" s="34"/>
      <c r="P672" s="36" t="str">
        <f t="shared" si="60"/>
        <v/>
      </c>
      <c r="Q672" s="216">
        <f t="shared" si="61"/>
        <v>0.14400000000000002</v>
      </c>
      <c r="R672" s="216">
        <f t="shared" si="62"/>
        <v>0.14400000000000002</v>
      </c>
      <c r="S672" s="217" t="str">
        <f t="shared" si="63"/>
        <v/>
      </c>
    </row>
    <row r="673" spans="1:19" ht="15.75" hidden="1" thickBot="1" x14ac:dyDescent="0.3">
      <c r="A673" s="262"/>
      <c r="B673" s="260"/>
      <c r="C673" s="35" t="s">
        <v>2906</v>
      </c>
      <c r="D673" s="35" t="s">
        <v>583</v>
      </c>
      <c r="E673" s="36">
        <f>ROUND(0.299/0.15,4)</f>
        <v>1.9933000000000001</v>
      </c>
      <c r="F673" s="30">
        <v>27.036999999999999</v>
      </c>
      <c r="G673" s="33">
        <f t="shared" si="64"/>
        <v>53.892852099999999</v>
      </c>
      <c r="H673" s="34"/>
      <c r="I673" s="30"/>
      <c r="J673" s="152">
        <v>0</v>
      </c>
      <c r="L673" s="215">
        <v>1.9933000000000001</v>
      </c>
      <c r="M673" s="30">
        <v>23.143671999999999</v>
      </c>
      <c r="N673" s="33">
        <f t="shared" si="65"/>
        <v>46.132281397599996</v>
      </c>
      <c r="O673" s="34"/>
      <c r="P673" s="36" t="str">
        <f t="shared" si="60"/>
        <v/>
      </c>
      <c r="Q673" s="216">
        <f t="shared" si="61"/>
        <v>0.14400000000000002</v>
      </c>
      <c r="R673" s="216">
        <f t="shared" si="62"/>
        <v>0.14400000000000002</v>
      </c>
      <c r="S673" s="217" t="str">
        <f t="shared" si="63"/>
        <v/>
      </c>
    </row>
    <row r="674" spans="1:19" ht="15.75" hidden="1" thickBot="1" x14ac:dyDescent="0.3">
      <c r="A674" s="262"/>
      <c r="B674" s="260"/>
      <c r="C674" s="35" t="s">
        <v>584</v>
      </c>
      <c r="D674" s="35" t="s">
        <v>583</v>
      </c>
      <c r="E674" s="36">
        <f>0.15/0.15</f>
        <v>1</v>
      </c>
      <c r="F674" s="30">
        <v>20.225499999999997</v>
      </c>
      <c r="G674" s="33">
        <f t="shared" si="64"/>
        <v>20.225499999999997</v>
      </c>
      <c r="H674" s="34"/>
      <c r="I674" s="30"/>
      <c r="J674" s="152">
        <v>0</v>
      </c>
      <c r="L674" s="215">
        <v>1</v>
      </c>
      <c r="M674" s="30">
        <v>17.313027999999996</v>
      </c>
      <c r="N674" s="33">
        <f t="shared" si="65"/>
        <v>17.313027999999996</v>
      </c>
      <c r="O674" s="34"/>
      <c r="P674" s="36" t="str">
        <f t="shared" si="60"/>
        <v/>
      </c>
      <c r="Q674" s="216">
        <f t="shared" si="61"/>
        <v>0.14400000000000013</v>
      </c>
      <c r="R674" s="216">
        <f t="shared" si="62"/>
        <v>0.14400000000000013</v>
      </c>
      <c r="S674" s="217" t="str">
        <f t="shared" si="63"/>
        <v/>
      </c>
    </row>
    <row r="675" spans="1:19" ht="15.75" hidden="1" thickBot="1" x14ac:dyDescent="0.3">
      <c r="A675" s="262"/>
      <c r="B675" s="260"/>
      <c r="C675" s="35" t="s">
        <v>8367</v>
      </c>
      <c r="D675" s="35" t="s">
        <v>773</v>
      </c>
      <c r="E675" s="36">
        <f>0.12/0.15</f>
        <v>0.8</v>
      </c>
      <c r="F675" s="33">
        <v>3.4579999999999997</v>
      </c>
      <c r="G675" s="33">
        <f t="shared" si="64"/>
        <v>2.7664</v>
      </c>
      <c r="H675" s="34"/>
      <c r="I675" s="30"/>
      <c r="J675" s="152">
        <v>0</v>
      </c>
      <c r="L675" s="215">
        <v>0.8</v>
      </c>
      <c r="M675" s="33">
        <v>2.9600479999999996</v>
      </c>
      <c r="N675" s="33">
        <f t="shared" si="65"/>
        <v>2.3680383999999997</v>
      </c>
      <c r="O675" s="34"/>
      <c r="P675" s="36" t="str">
        <f t="shared" si="60"/>
        <v/>
      </c>
      <c r="Q675" s="216">
        <f t="shared" si="61"/>
        <v>0.14400000000000002</v>
      </c>
      <c r="R675" s="216">
        <f t="shared" si="62"/>
        <v>0.14400000000000013</v>
      </c>
      <c r="S675" s="217" t="str">
        <f t="shared" si="63"/>
        <v/>
      </c>
    </row>
    <row r="676" spans="1:19" ht="15.75" hidden="1" thickBot="1" x14ac:dyDescent="0.3">
      <c r="A676" s="262"/>
      <c r="B676" s="260"/>
      <c r="C676" s="35"/>
      <c r="D676" s="35"/>
      <c r="E676" s="36"/>
      <c r="F676" s="33" t="s">
        <v>416</v>
      </c>
      <c r="G676" s="33" t="str">
        <f t="shared" si="64"/>
        <v/>
      </c>
      <c r="H676" s="34"/>
      <c r="I676" s="30"/>
      <c r="J676" s="152">
        <v>0</v>
      </c>
      <c r="L676" s="215"/>
      <c r="M676" s="33"/>
      <c r="N676" s="33" t="str">
        <f t="shared" si="65"/>
        <v/>
      </c>
      <c r="O676" s="34"/>
      <c r="P676" s="36" t="str">
        <f t="shared" si="60"/>
        <v/>
      </c>
      <c r="Q676" s="216" t="str">
        <f t="shared" si="61"/>
        <v/>
      </c>
      <c r="R676" s="216" t="str">
        <f t="shared" si="62"/>
        <v/>
      </c>
      <c r="S676" s="217" t="str">
        <f t="shared" si="63"/>
        <v/>
      </c>
    </row>
    <row r="677" spans="1:19" ht="15.75" hidden="1" thickBot="1" x14ac:dyDescent="0.3">
      <c r="A677" s="256" t="s">
        <v>181</v>
      </c>
      <c r="B677" s="259" t="str">
        <f>INDEX(Orçamentária!A:B,MATCH(Composições!A677,Orçamentária!A:A,0),2)</f>
        <v>Granito Cinza Andorinha 20 mm para bancadas</v>
      </c>
      <c r="C677" s="40"/>
      <c r="D677" s="25" t="s">
        <v>70</v>
      </c>
      <c r="E677" s="26"/>
      <c r="F677" s="41" t="s">
        <v>416</v>
      </c>
      <c r="G677" s="27" t="str">
        <f t="shared" si="64"/>
        <v/>
      </c>
      <c r="H677" s="28"/>
      <c r="I677" s="29"/>
      <c r="J677" s="152">
        <v>0</v>
      </c>
      <c r="L677" s="218"/>
      <c r="M677" s="41"/>
      <c r="N677" s="27" t="str">
        <f t="shared" si="65"/>
        <v/>
      </c>
      <c r="O677" s="28"/>
      <c r="P677" s="36" t="str">
        <f t="shared" si="60"/>
        <v/>
      </c>
      <c r="Q677" s="216" t="str">
        <f t="shared" si="61"/>
        <v/>
      </c>
      <c r="R677" s="216" t="str">
        <f t="shared" si="62"/>
        <v/>
      </c>
      <c r="S677" s="217" t="str">
        <f t="shared" si="63"/>
        <v/>
      </c>
    </row>
    <row r="678" spans="1:19" ht="15.75" hidden="1" thickBot="1" x14ac:dyDescent="0.3">
      <c r="A678" s="262"/>
      <c r="B678" s="260"/>
      <c r="C678" s="31"/>
      <c r="D678" s="31"/>
      <c r="E678" s="32"/>
      <c r="F678" s="42" t="s">
        <v>416</v>
      </c>
      <c r="G678" s="30" t="str">
        <f t="shared" si="64"/>
        <v/>
      </c>
      <c r="H678" s="34"/>
      <c r="I678" s="30"/>
      <c r="J678" s="152">
        <v>0</v>
      </c>
      <c r="L678" s="219"/>
      <c r="M678" s="42"/>
      <c r="N678" s="30" t="str">
        <f t="shared" si="65"/>
        <v/>
      </c>
      <c r="O678" s="34"/>
      <c r="P678" s="36" t="str">
        <f t="shared" si="60"/>
        <v/>
      </c>
      <c r="Q678" s="216" t="str">
        <f t="shared" si="61"/>
        <v/>
      </c>
      <c r="R678" s="216" t="str">
        <f t="shared" si="62"/>
        <v/>
      </c>
      <c r="S678" s="217" t="str">
        <f t="shared" si="63"/>
        <v/>
      </c>
    </row>
    <row r="679" spans="1:19" ht="15.75" hidden="1" thickBot="1" x14ac:dyDescent="0.3">
      <c r="A679" s="262"/>
      <c r="B679" s="260"/>
      <c r="C679" s="35" t="s">
        <v>2934</v>
      </c>
      <c r="D679" s="35" t="s">
        <v>773</v>
      </c>
      <c r="E679" s="36">
        <f>ROUND(0.5228/(1.5*0.6),4)</f>
        <v>0.58089999999999997</v>
      </c>
      <c r="F679" s="53">
        <v>38.826499999999996</v>
      </c>
      <c r="G679" s="53">
        <f t="shared" si="64"/>
        <v>22.554313849999996</v>
      </c>
      <c r="H679" s="38">
        <f>SUM(G679:G685)</f>
        <v>155.11190929999998</v>
      </c>
      <c r="I679" s="39"/>
      <c r="J679" s="152">
        <v>0</v>
      </c>
      <c r="L679" s="215">
        <v>0.58089999999999997</v>
      </c>
      <c r="M679" s="53">
        <v>33.235484</v>
      </c>
      <c r="N679" s="53">
        <f t="shared" si="65"/>
        <v>19.3064926556</v>
      </c>
      <c r="O679" s="38">
        <f>SUM(N679:N685)</f>
        <v>132.77579436079998</v>
      </c>
      <c r="P679" s="36" t="str">
        <f t="shared" si="60"/>
        <v/>
      </c>
      <c r="Q679" s="216">
        <f t="shared" si="61"/>
        <v>0.14399999999999991</v>
      </c>
      <c r="R679" s="216">
        <f t="shared" si="62"/>
        <v>0.14399999999999991</v>
      </c>
      <c r="S679" s="217">
        <f t="shared" si="63"/>
        <v>0.14400000000000002</v>
      </c>
    </row>
    <row r="680" spans="1:19" ht="39" hidden="1" thickBot="1" x14ac:dyDescent="0.3">
      <c r="A680" s="262"/>
      <c r="B680" s="260"/>
      <c r="C680" s="35" t="s">
        <v>991</v>
      </c>
      <c r="D680" s="35" t="s">
        <v>213</v>
      </c>
      <c r="E680" s="36">
        <f>ROUND(6/(1.5*0.6),4)</f>
        <v>6.6666999999999996</v>
      </c>
      <c r="F680" s="53">
        <v>1.1019999999999999</v>
      </c>
      <c r="G680" s="53">
        <f t="shared" si="64"/>
        <v>7.3467033999999991</v>
      </c>
      <c r="H680" s="72"/>
      <c r="I680" s="73"/>
      <c r="J680" s="152">
        <v>0</v>
      </c>
      <c r="L680" s="215">
        <v>6.6666999999999996</v>
      </c>
      <c r="M680" s="53">
        <v>0.94331199999999993</v>
      </c>
      <c r="N680" s="53">
        <f t="shared" si="65"/>
        <v>6.2887781103999991</v>
      </c>
      <c r="O680" s="72"/>
      <c r="P680" s="36" t="str">
        <f t="shared" si="60"/>
        <v/>
      </c>
      <c r="Q680" s="216">
        <f t="shared" si="61"/>
        <v>0.14400000000000002</v>
      </c>
      <c r="R680" s="216">
        <f t="shared" si="62"/>
        <v>0.14400000000000002</v>
      </c>
      <c r="S680" s="217" t="str">
        <f t="shared" si="63"/>
        <v/>
      </c>
    </row>
    <row r="681" spans="1:19" ht="26.25" hidden="1" thickBot="1" x14ac:dyDescent="0.3">
      <c r="A681" s="262"/>
      <c r="B681" s="260"/>
      <c r="C681" s="35" t="s">
        <v>182</v>
      </c>
      <c r="D681" s="35" t="s">
        <v>861</v>
      </c>
      <c r="E681" s="36">
        <f>ROUND(1.005/(1.5*0.6),4)</f>
        <v>1.1167</v>
      </c>
      <c r="F681" s="53" t="s">
        <v>416</v>
      </c>
      <c r="G681" s="53" t="str">
        <f t="shared" si="64"/>
        <v/>
      </c>
      <c r="H681" s="72"/>
      <c r="I681" s="73"/>
      <c r="J681" s="152">
        <v>0</v>
      </c>
      <c r="L681" s="215">
        <v>1.1167</v>
      </c>
      <c r="M681" s="53"/>
      <c r="N681" s="53" t="str">
        <f t="shared" si="65"/>
        <v/>
      </c>
      <c r="O681" s="72"/>
      <c r="P681" s="36" t="str">
        <f t="shared" si="60"/>
        <v/>
      </c>
      <c r="Q681" s="216" t="str">
        <f t="shared" si="61"/>
        <v/>
      </c>
      <c r="R681" s="216" t="str">
        <f t="shared" si="62"/>
        <v/>
      </c>
      <c r="S681" s="217" t="str">
        <f t="shared" si="63"/>
        <v/>
      </c>
    </row>
    <row r="682" spans="1:19" ht="15.75" hidden="1" thickBot="1" x14ac:dyDescent="0.3">
      <c r="A682" s="262"/>
      <c r="B682" s="260"/>
      <c r="C682" s="35" t="s">
        <v>3061</v>
      </c>
      <c r="D682" s="35" t="s">
        <v>773</v>
      </c>
      <c r="E682" s="36">
        <f>ROUND(0.0211/(1.5*0.6),4)</f>
        <v>2.3400000000000001E-2</v>
      </c>
      <c r="F682" s="53">
        <v>72.836500000000001</v>
      </c>
      <c r="G682" s="53">
        <f t="shared" si="64"/>
        <v>1.7043741000000001</v>
      </c>
      <c r="H682" s="72"/>
      <c r="I682" s="73"/>
      <c r="J682" s="152">
        <v>0</v>
      </c>
      <c r="L682" s="215">
        <v>2.3400000000000001E-2</v>
      </c>
      <c r="M682" s="53">
        <v>62.348044000000002</v>
      </c>
      <c r="N682" s="53">
        <f t="shared" si="65"/>
        <v>1.4589442296000001</v>
      </c>
      <c r="O682" s="72"/>
      <c r="P682" s="36" t="str">
        <f t="shared" si="60"/>
        <v/>
      </c>
      <c r="Q682" s="216">
        <f t="shared" si="61"/>
        <v>0.14400000000000002</v>
      </c>
      <c r="R682" s="216">
        <f t="shared" si="62"/>
        <v>0.14400000000000002</v>
      </c>
      <c r="S682" s="217" t="str">
        <f t="shared" si="63"/>
        <v/>
      </c>
    </row>
    <row r="683" spans="1:19" ht="26.25" hidden="1" thickBot="1" x14ac:dyDescent="0.3">
      <c r="A683" s="262"/>
      <c r="B683" s="260"/>
      <c r="C683" s="35" t="s">
        <v>2941</v>
      </c>
      <c r="D683" s="35" t="s">
        <v>213</v>
      </c>
      <c r="E683" s="36">
        <f>ROUND(2/(1.5*0.6),4)</f>
        <v>2.2222</v>
      </c>
      <c r="F683" s="53">
        <v>25.4315</v>
      </c>
      <c r="G683" s="53">
        <f t="shared" si="64"/>
        <v>56.513879299999999</v>
      </c>
      <c r="H683" s="72"/>
      <c r="I683" s="73"/>
      <c r="J683" s="152">
        <v>0</v>
      </c>
      <c r="L683" s="215">
        <v>2.2222</v>
      </c>
      <c r="M683" s="53">
        <v>21.769363999999999</v>
      </c>
      <c r="N683" s="53">
        <f t="shared" si="65"/>
        <v>48.375880680799995</v>
      </c>
      <c r="O683" s="72"/>
      <c r="P683" s="36" t="str">
        <f t="shared" si="60"/>
        <v/>
      </c>
      <c r="Q683" s="216">
        <f t="shared" si="61"/>
        <v>0.14400000000000002</v>
      </c>
      <c r="R683" s="216">
        <f t="shared" si="62"/>
        <v>0.14400000000000013</v>
      </c>
      <c r="S683" s="217" t="str">
        <f t="shared" si="63"/>
        <v/>
      </c>
    </row>
    <row r="684" spans="1:19" ht="15.75" hidden="1" thickBot="1" x14ac:dyDescent="0.3">
      <c r="A684" s="262"/>
      <c r="B684" s="260"/>
      <c r="C684" s="35" t="s">
        <v>2906</v>
      </c>
      <c r="D684" s="35" t="s">
        <v>583</v>
      </c>
      <c r="E684" s="36">
        <f>ROUND(1.4944/(1.5*0.6),4)</f>
        <v>1.6604000000000001</v>
      </c>
      <c r="F684" s="53">
        <v>27.036999999999999</v>
      </c>
      <c r="G684" s="53">
        <f t="shared" si="64"/>
        <v>44.892234800000004</v>
      </c>
      <c r="H684" s="72"/>
      <c r="I684" s="73"/>
      <c r="J684" s="152">
        <v>0</v>
      </c>
      <c r="L684" s="215">
        <v>1.6604000000000001</v>
      </c>
      <c r="M684" s="53">
        <v>23.143671999999999</v>
      </c>
      <c r="N684" s="53">
        <f t="shared" si="65"/>
        <v>38.427752988800002</v>
      </c>
      <c r="O684" s="72"/>
      <c r="P684" s="36" t="str">
        <f t="shared" si="60"/>
        <v/>
      </c>
      <c r="Q684" s="216">
        <f t="shared" si="61"/>
        <v>0.14400000000000002</v>
      </c>
      <c r="R684" s="216">
        <f t="shared" si="62"/>
        <v>0.14400000000000002</v>
      </c>
      <c r="S684" s="217" t="str">
        <f t="shared" si="63"/>
        <v/>
      </c>
    </row>
    <row r="685" spans="1:19" ht="15.75" hidden="1" thickBot="1" x14ac:dyDescent="0.3">
      <c r="A685" s="262"/>
      <c r="B685" s="260"/>
      <c r="C685" s="35" t="s">
        <v>584</v>
      </c>
      <c r="D685" s="35" t="s">
        <v>583</v>
      </c>
      <c r="E685" s="36">
        <f>ROUND(0.9834/(1.5*0.6),4)</f>
        <v>1.0927</v>
      </c>
      <c r="F685" s="53">
        <v>20.225499999999997</v>
      </c>
      <c r="G685" s="53">
        <f t="shared" si="64"/>
        <v>22.100403849999996</v>
      </c>
      <c r="H685" s="72"/>
      <c r="I685" s="73"/>
      <c r="J685" s="152">
        <v>0</v>
      </c>
      <c r="L685" s="215">
        <v>1.0927</v>
      </c>
      <c r="M685" s="53">
        <v>17.313027999999996</v>
      </c>
      <c r="N685" s="53">
        <f t="shared" si="65"/>
        <v>18.917945695599997</v>
      </c>
      <c r="O685" s="72"/>
      <c r="P685" s="36" t="str">
        <f t="shared" si="60"/>
        <v/>
      </c>
      <c r="Q685" s="216">
        <f t="shared" si="61"/>
        <v>0.14400000000000013</v>
      </c>
      <c r="R685" s="216">
        <f t="shared" si="62"/>
        <v>0.14400000000000002</v>
      </c>
      <c r="S685" s="217" t="str">
        <f t="shared" si="63"/>
        <v/>
      </c>
    </row>
    <row r="686" spans="1:19" ht="15.75" hidden="1" thickBot="1" x14ac:dyDescent="0.3">
      <c r="A686" s="262"/>
      <c r="B686" s="260"/>
      <c r="C686" s="35"/>
      <c r="D686" s="35"/>
      <c r="E686" s="36"/>
      <c r="F686" s="30" t="s">
        <v>416</v>
      </c>
      <c r="G686" s="33" t="str">
        <f t="shared" si="64"/>
        <v/>
      </c>
      <c r="H686" s="34"/>
      <c r="I686" s="30"/>
      <c r="J686" s="152">
        <v>0</v>
      </c>
      <c r="L686" s="215"/>
      <c r="M686" s="30"/>
      <c r="N686" s="33" t="str">
        <f t="shared" si="65"/>
        <v/>
      </c>
      <c r="O686" s="34"/>
      <c r="P686" s="36" t="str">
        <f t="shared" si="60"/>
        <v/>
      </c>
      <c r="Q686" s="216" t="str">
        <f t="shared" si="61"/>
        <v/>
      </c>
      <c r="R686" s="216" t="str">
        <f t="shared" si="62"/>
        <v/>
      </c>
      <c r="S686" s="217" t="str">
        <f t="shared" si="63"/>
        <v/>
      </c>
    </row>
    <row r="687" spans="1:19" ht="15.75" hidden="1" thickBot="1" x14ac:dyDescent="0.3">
      <c r="A687" s="256" t="s">
        <v>183</v>
      </c>
      <c r="B687" s="259" t="str">
        <f>INDEX(Orçamentária!A:B,MATCH(Composições!A687,Orçamentária!A:A,0),2)</f>
        <v>Granito Cinza Andorinha 20 mm para divisória</v>
      </c>
      <c r="C687" s="40"/>
      <c r="D687" s="25" t="s">
        <v>70</v>
      </c>
      <c r="E687" s="26"/>
      <c r="F687" s="41" t="s">
        <v>416</v>
      </c>
      <c r="G687" s="27" t="str">
        <f t="shared" si="64"/>
        <v/>
      </c>
      <c r="H687" s="28"/>
      <c r="I687" s="29"/>
      <c r="J687" s="152">
        <v>0</v>
      </c>
      <c r="L687" s="218"/>
      <c r="M687" s="41"/>
      <c r="N687" s="27" t="str">
        <f t="shared" si="65"/>
        <v/>
      </c>
      <c r="O687" s="28"/>
      <c r="P687" s="36" t="str">
        <f t="shared" si="60"/>
        <v/>
      </c>
      <c r="Q687" s="216" t="str">
        <f t="shared" si="61"/>
        <v/>
      </c>
      <c r="R687" s="216" t="str">
        <f t="shared" si="62"/>
        <v/>
      </c>
      <c r="S687" s="217" t="str">
        <f t="shared" si="63"/>
        <v/>
      </c>
    </row>
    <row r="688" spans="1:19" ht="15.75" hidden="1" thickBot="1" x14ac:dyDescent="0.3">
      <c r="A688" s="262"/>
      <c r="B688" s="260"/>
      <c r="C688" s="31"/>
      <c r="D688" s="31"/>
      <c r="E688" s="32"/>
      <c r="F688" s="42" t="s">
        <v>416</v>
      </c>
      <c r="G688" s="30" t="str">
        <f t="shared" si="64"/>
        <v/>
      </c>
      <c r="H688" s="34"/>
      <c r="I688" s="30"/>
      <c r="J688" s="152">
        <v>0</v>
      </c>
      <c r="L688" s="219"/>
      <c r="M688" s="42"/>
      <c r="N688" s="30" t="str">
        <f t="shared" si="65"/>
        <v/>
      </c>
      <c r="O688" s="34"/>
      <c r="P688" s="36" t="str">
        <f t="shared" si="60"/>
        <v/>
      </c>
      <c r="Q688" s="216" t="str">
        <f t="shared" si="61"/>
        <v/>
      </c>
      <c r="R688" s="216" t="str">
        <f t="shared" si="62"/>
        <v/>
      </c>
      <c r="S688" s="217" t="str">
        <f t="shared" si="63"/>
        <v/>
      </c>
    </row>
    <row r="689" spans="1:19" ht="26.25" hidden="1" thickBot="1" x14ac:dyDescent="0.3">
      <c r="A689" s="262"/>
      <c r="B689" s="260"/>
      <c r="C689" s="35" t="s">
        <v>650</v>
      </c>
      <c r="D689" s="35" t="s">
        <v>773</v>
      </c>
      <c r="E689" s="36">
        <v>0.53</v>
      </c>
      <c r="F689" s="33">
        <v>52.259499999999996</v>
      </c>
      <c r="G689" s="33">
        <f t="shared" si="64"/>
        <v>27.697534999999998</v>
      </c>
      <c r="H689" s="38">
        <f>SUM(G689:G695)</f>
        <v>111.88545199999999</v>
      </c>
      <c r="I689" s="39"/>
      <c r="J689" s="152">
        <v>0</v>
      </c>
      <c r="L689" s="215">
        <v>0.53</v>
      </c>
      <c r="M689" s="33">
        <v>44.734131999999995</v>
      </c>
      <c r="N689" s="33">
        <f t="shared" si="65"/>
        <v>23.70908996</v>
      </c>
      <c r="O689" s="38">
        <f>SUM(N689:N695)</f>
        <v>95.773946911999985</v>
      </c>
      <c r="P689" s="36" t="str">
        <f t="shared" si="60"/>
        <v/>
      </c>
      <c r="Q689" s="216">
        <f t="shared" si="61"/>
        <v>0.14400000000000002</v>
      </c>
      <c r="R689" s="216">
        <f t="shared" si="62"/>
        <v>0.14399999999999991</v>
      </c>
      <c r="S689" s="217">
        <f t="shared" si="63"/>
        <v>0.14400000000000002</v>
      </c>
    </row>
    <row r="690" spans="1:19" ht="26.25" hidden="1" thickBot="1" x14ac:dyDescent="0.3">
      <c r="A690" s="262"/>
      <c r="B690" s="260"/>
      <c r="C690" s="35" t="s">
        <v>5545</v>
      </c>
      <c r="D690" s="35" t="s">
        <v>861</v>
      </c>
      <c r="E690" s="36">
        <v>1.05</v>
      </c>
      <c r="F690" s="33" t="s">
        <v>416</v>
      </c>
      <c r="G690" s="33" t="str">
        <f t="shared" si="64"/>
        <v/>
      </c>
      <c r="H690" s="34"/>
      <c r="I690" s="30"/>
      <c r="J690" s="152">
        <v>0</v>
      </c>
      <c r="L690" s="215">
        <v>1.05</v>
      </c>
      <c r="M690" s="33"/>
      <c r="N690" s="33" t="str">
        <f t="shared" si="65"/>
        <v/>
      </c>
      <c r="O690" s="34"/>
      <c r="P690" s="36" t="str">
        <f t="shared" si="60"/>
        <v/>
      </c>
      <c r="Q690" s="216" t="str">
        <f t="shared" si="61"/>
        <v/>
      </c>
      <c r="R690" s="216" t="str">
        <f t="shared" si="62"/>
        <v/>
      </c>
      <c r="S690" s="217" t="str">
        <f t="shared" si="63"/>
        <v/>
      </c>
    </row>
    <row r="691" spans="1:19" ht="15.75" hidden="1" thickBot="1" x14ac:dyDescent="0.3">
      <c r="A691" s="262"/>
      <c r="B691" s="260"/>
      <c r="C691" s="35" t="s">
        <v>7988</v>
      </c>
      <c r="D691" s="35" t="s">
        <v>773</v>
      </c>
      <c r="E691" s="36">
        <v>0.97</v>
      </c>
      <c r="F691" s="30">
        <v>2.0710000000000002</v>
      </c>
      <c r="G691" s="33">
        <f t="shared" si="64"/>
        <v>2.0088699999999999</v>
      </c>
      <c r="H691" s="34"/>
      <c r="I691" s="30"/>
      <c r="J691" s="152">
        <v>0</v>
      </c>
      <c r="L691" s="215">
        <v>0.97</v>
      </c>
      <c r="M691" s="30">
        <v>1.7727760000000001</v>
      </c>
      <c r="N691" s="33">
        <f t="shared" si="65"/>
        <v>1.7195927200000001</v>
      </c>
      <c r="O691" s="34"/>
      <c r="P691" s="36" t="str">
        <f t="shared" si="60"/>
        <v/>
      </c>
      <c r="Q691" s="216">
        <f t="shared" si="61"/>
        <v>0.14400000000000002</v>
      </c>
      <c r="R691" s="216">
        <f t="shared" si="62"/>
        <v>0.14399999999999991</v>
      </c>
      <c r="S691" s="217" t="str">
        <f t="shared" si="63"/>
        <v/>
      </c>
    </row>
    <row r="692" spans="1:19" ht="15.75" hidden="1" thickBot="1" x14ac:dyDescent="0.3">
      <c r="A692" s="262"/>
      <c r="B692" s="260"/>
      <c r="C692" s="35" t="s">
        <v>2906</v>
      </c>
      <c r="D692" s="35" t="s">
        <v>583</v>
      </c>
      <c r="E692" s="36">
        <v>1.405</v>
      </c>
      <c r="F692" s="30">
        <v>27.036999999999999</v>
      </c>
      <c r="G692" s="33">
        <f t="shared" si="64"/>
        <v>37.986984999999997</v>
      </c>
      <c r="H692" s="34"/>
      <c r="I692" s="30"/>
      <c r="J692" s="152">
        <v>0</v>
      </c>
      <c r="L692" s="215">
        <v>1.405</v>
      </c>
      <c r="M692" s="30">
        <v>23.143671999999999</v>
      </c>
      <c r="N692" s="33">
        <f t="shared" si="65"/>
        <v>32.516859159999996</v>
      </c>
      <c r="O692" s="34"/>
      <c r="P692" s="36" t="str">
        <f t="shared" si="60"/>
        <v/>
      </c>
      <c r="Q692" s="216">
        <f t="shared" si="61"/>
        <v>0.14400000000000002</v>
      </c>
      <c r="R692" s="216">
        <f t="shared" si="62"/>
        <v>0.14400000000000002</v>
      </c>
      <c r="S692" s="217" t="str">
        <f t="shared" si="63"/>
        <v/>
      </c>
    </row>
    <row r="693" spans="1:19" ht="15.75" hidden="1" thickBot="1" x14ac:dyDescent="0.3">
      <c r="A693" s="262"/>
      <c r="B693" s="260"/>
      <c r="C693" s="35" t="s">
        <v>584</v>
      </c>
      <c r="D693" s="35" t="s">
        <v>583</v>
      </c>
      <c r="E693" s="36">
        <v>0.70199999999999996</v>
      </c>
      <c r="F693" s="30">
        <v>20.225499999999997</v>
      </c>
      <c r="G693" s="33">
        <f t="shared" si="64"/>
        <v>14.198300999999997</v>
      </c>
      <c r="H693" s="34"/>
      <c r="I693" s="30"/>
      <c r="J693" s="152">
        <v>0</v>
      </c>
      <c r="L693" s="215">
        <v>0.70199999999999996</v>
      </c>
      <c r="M693" s="30">
        <v>17.313027999999996</v>
      </c>
      <c r="N693" s="33">
        <f t="shared" si="65"/>
        <v>12.153745655999996</v>
      </c>
      <c r="O693" s="34"/>
      <c r="P693" s="36" t="str">
        <f t="shared" si="60"/>
        <v/>
      </c>
      <c r="Q693" s="216">
        <f t="shared" si="61"/>
        <v>0.14400000000000013</v>
      </c>
      <c r="R693" s="216">
        <f t="shared" si="62"/>
        <v>0.14400000000000013</v>
      </c>
      <c r="S693" s="217" t="str">
        <f t="shared" si="63"/>
        <v/>
      </c>
    </row>
    <row r="694" spans="1:19" ht="26.25" hidden="1" thickBot="1" x14ac:dyDescent="0.3">
      <c r="A694" s="262"/>
      <c r="B694" s="260"/>
      <c r="C694" s="35" t="s">
        <v>1013</v>
      </c>
      <c r="D694" s="35" t="s">
        <v>813</v>
      </c>
      <c r="E694" s="36">
        <v>8.8999999999999996E-2</v>
      </c>
      <c r="F694" s="30">
        <v>22.210999999999999</v>
      </c>
      <c r="G694" s="33">
        <f t="shared" si="64"/>
        <v>1.9767789999999998</v>
      </c>
      <c r="H694" s="34"/>
      <c r="I694" s="30"/>
      <c r="J694" s="152">
        <v>0</v>
      </c>
      <c r="L694" s="215">
        <v>8.8999999999999996E-2</v>
      </c>
      <c r="M694" s="30">
        <v>19.012615999999998</v>
      </c>
      <c r="N694" s="33">
        <f t="shared" si="65"/>
        <v>1.6921228239999997</v>
      </c>
      <c r="O694" s="34"/>
      <c r="P694" s="36" t="str">
        <f t="shared" si="60"/>
        <v/>
      </c>
      <c r="Q694" s="216">
        <f t="shared" si="61"/>
        <v>0.14400000000000002</v>
      </c>
      <c r="R694" s="216">
        <f t="shared" si="62"/>
        <v>0.14400000000000013</v>
      </c>
      <c r="S694" s="217" t="str">
        <f t="shared" si="63"/>
        <v/>
      </c>
    </row>
    <row r="695" spans="1:19" ht="26.25" hidden="1" thickBot="1" x14ac:dyDescent="0.3">
      <c r="A695" s="262"/>
      <c r="B695" s="260"/>
      <c r="C695" s="35" t="s">
        <v>1014</v>
      </c>
      <c r="D695" s="35" t="s">
        <v>815</v>
      </c>
      <c r="E695" s="36">
        <v>1.3160000000000001</v>
      </c>
      <c r="F695" s="33">
        <v>21.2895</v>
      </c>
      <c r="G695" s="33">
        <f t="shared" si="64"/>
        <v>28.016982000000002</v>
      </c>
      <c r="H695" s="34"/>
      <c r="I695" s="30"/>
      <c r="J695" s="152">
        <v>0</v>
      </c>
      <c r="L695" s="215">
        <v>1.3160000000000001</v>
      </c>
      <c r="M695" s="33">
        <v>18.223812000000002</v>
      </c>
      <c r="N695" s="33">
        <f t="shared" si="65"/>
        <v>23.982536592000002</v>
      </c>
      <c r="O695" s="34"/>
      <c r="P695" s="36" t="str">
        <f t="shared" si="60"/>
        <v/>
      </c>
      <c r="Q695" s="216">
        <f t="shared" si="61"/>
        <v>0.14399999999999991</v>
      </c>
      <c r="R695" s="216">
        <f t="shared" si="62"/>
        <v>0.14400000000000002</v>
      </c>
      <c r="S695" s="217" t="str">
        <f t="shared" si="63"/>
        <v/>
      </c>
    </row>
    <row r="696" spans="1:19" ht="15.75" hidden="1" thickBot="1" x14ac:dyDescent="0.3">
      <c r="A696" s="262"/>
      <c r="B696" s="260"/>
      <c r="C696" s="35"/>
      <c r="D696" s="35"/>
      <c r="E696" s="36"/>
      <c r="F696" s="33" t="s">
        <v>416</v>
      </c>
      <c r="G696" s="33" t="str">
        <f t="shared" si="64"/>
        <v/>
      </c>
      <c r="H696" s="34"/>
      <c r="I696" s="30"/>
      <c r="J696" s="152">
        <v>0</v>
      </c>
      <c r="L696" s="215"/>
      <c r="M696" s="33"/>
      <c r="N696" s="33" t="str">
        <f t="shared" si="65"/>
        <v/>
      </c>
      <c r="O696" s="34"/>
      <c r="P696" s="36" t="str">
        <f t="shared" si="60"/>
        <v/>
      </c>
      <c r="Q696" s="216" t="str">
        <f t="shared" si="61"/>
        <v/>
      </c>
      <c r="R696" s="216" t="str">
        <f t="shared" si="62"/>
        <v/>
      </c>
      <c r="S696" s="217" t="str">
        <f t="shared" si="63"/>
        <v/>
      </c>
    </row>
    <row r="697" spans="1:19" ht="15.75" hidden="1" thickBot="1" x14ac:dyDescent="0.3">
      <c r="A697" s="256" t="s">
        <v>185</v>
      </c>
      <c r="B697" s="259" t="str">
        <f>INDEX(Orçamentária!A:B,MATCH(Composições!A697,Orçamentária!A:A,0),2)</f>
        <v>Granito Preto São Gabriel 20 mm para rodabancada</v>
      </c>
      <c r="C697" s="40"/>
      <c r="D697" s="25" t="s">
        <v>70</v>
      </c>
      <c r="E697" s="26"/>
      <c r="F697" s="41" t="s">
        <v>416</v>
      </c>
      <c r="G697" s="27" t="str">
        <f t="shared" si="64"/>
        <v/>
      </c>
      <c r="H697" s="28"/>
      <c r="I697" s="29"/>
      <c r="J697" s="152">
        <v>0</v>
      </c>
      <c r="L697" s="218"/>
      <c r="M697" s="41"/>
      <c r="N697" s="27" t="str">
        <f t="shared" si="65"/>
        <v/>
      </c>
      <c r="O697" s="28"/>
      <c r="P697" s="36" t="str">
        <f t="shared" si="60"/>
        <v/>
      </c>
      <c r="Q697" s="216" t="str">
        <f t="shared" si="61"/>
        <v/>
      </c>
      <c r="R697" s="216" t="str">
        <f t="shared" si="62"/>
        <v/>
      </c>
      <c r="S697" s="217" t="str">
        <f t="shared" si="63"/>
        <v/>
      </c>
    </row>
    <row r="698" spans="1:19" ht="15.75" hidden="1" thickBot="1" x14ac:dyDescent="0.3">
      <c r="A698" s="262"/>
      <c r="B698" s="260"/>
      <c r="C698" s="31"/>
      <c r="D698" s="31"/>
      <c r="E698" s="32"/>
      <c r="F698" s="42" t="s">
        <v>416</v>
      </c>
      <c r="G698" s="30" t="str">
        <f t="shared" si="64"/>
        <v/>
      </c>
      <c r="H698" s="34"/>
      <c r="I698" s="30"/>
      <c r="J698" s="152">
        <v>0</v>
      </c>
      <c r="L698" s="219"/>
      <c r="M698" s="42"/>
      <c r="N698" s="30" t="str">
        <f t="shared" si="65"/>
        <v/>
      </c>
      <c r="O698" s="34"/>
      <c r="P698" s="36" t="str">
        <f t="shared" si="60"/>
        <v/>
      </c>
      <c r="Q698" s="216" t="str">
        <f t="shared" si="61"/>
        <v/>
      </c>
      <c r="R698" s="216" t="str">
        <f t="shared" si="62"/>
        <v/>
      </c>
      <c r="S698" s="217" t="str">
        <f t="shared" si="63"/>
        <v/>
      </c>
    </row>
    <row r="699" spans="1:19" ht="26.25" hidden="1" thickBot="1" x14ac:dyDescent="0.3">
      <c r="A699" s="262"/>
      <c r="B699" s="260"/>
      <c r="C699" s="35" t="s">
        <v>186</v>
      </c>
      <c r="D699" s="35" t="s">
        <v>69</v>
      </c>
      <c r="E699" s="36">
        <f>ROUND(1.04/0.15,4)</f>
        <v>6.9333</v>
      </c>
      <c r="F699" s="33" t="s">
        <v>416</v>
      </c>
      <c r="G699" s="30" t="str">
        <f t="shared" si="64"/>
        <v/>
      </c>
      <c r="H699" s="38">
        <f>SUM(G699:G703)</f>
        <v>87.250325599999996</v>
      </c>
      <c r="I699" s="39"/>
      <c r="J699" s="152">
        <v>0</v>
      </c>
      <c r="L699" s="215">
        <v>6.9333</v>
      </c>
      <c r="M699" s="33"/>
      <c r="N699" s="30" t="str">
        <f t="shared" si="65"/>
        <v/>
      </c>
      <c r="O699" s="38">
        <f>SUM(N699:N703)</f>
        <v>74.686278713600004</v>
      </c>
      <c r="P699" s="36" t="str">
        <f t="shared" si="60"/>
        <v/>
      </c>
      <c r="Q699" s="216" t="str">
        <f t="shared" si="61"/>
        <v/>
      </c>
      <c r="R699" s="216" t="str">
        <f t="shared" si="62"/>
        <v/>
      </c>
      <c r="S699" s="217">
        <f t="shared" si="63"/>
        <v>0.14399999999999991</v>
      </c>
    </row>
    <row r="700" spans="1:19" ht="15.75" hidden="1" thickBot="1" x14ac:dyDescent="0.3">
      <c r="A700" s="262"/>
      <c r="B700" s="260"/>
      <c r="C700" s="35" t="s">
        <v>7987</v>
      </c>
      <c r="D700" s="35" t="s">
        <v>773</v>
      </c>
      <c r="E700" s="36">
        <f>ROUND(0.8614/0.15,4)</f>
        <v>5.7427000000000001</v>
      </c>
      <c r="F700" s="33">
        <v>1.8049999999999999</v>
      </c>
      <c r="G700" s="33">
        <f t="shared" si="64"/>
        <v>10.3655735</v>
      </c>
      <c r="H700" s="34"/>
      <c r="I700" s="30"/>
      <c r="J700" s="152">
        <v>0</v>
      </c>
      <c r="L700" s="215">
        <v>5.7427000000000001</v>
      </c>
      <c r="M700" s="33">
        <v>1.54508</v>
      </c>
      <c r="N700" s="33">
        <f t="shared" si="65"/>
        <v>8.8729309159999996</v>
      </c>
      <c r="O700" s="34"/>
      <c r="P700" s="36" t="str">
        <f t="shared" si="60"/>
        <v/>
      </c>
      <c r="Q700" s="216">
        <f t="shared" si="61"/>
        <v>0.14400000000000002</v>
      </c>
      <c r="R700" s="216">
        <f t="shared" si="62"/>
        <v>0.14400000000000002</v>
      </c>
      <c r="S700" s="217" t="str">
        <f t="shared" si="63"/>
        <v/>
      </c>
    </row>
    <row r="701" spans="1:19" ht="15.75" hidden="1" thickBot="1" x14ac:dyDescent="0.3">
      <c r="A701" s="262"/>
      <c r="B701" s="260"/>
      <c r="C701" s="35" t="s">
        <v>2906</v>
      </c>
      <c r="D701" s="35" t="s">
        <v>583</v>
      </c>
      <c r="E701" s="36">
        <f>ROUND(0.299/0.15,4)</f>
        <v>1.9933000000000001</v>
      </c>
      <c r="F701" s="33">
        <v>27.036999999999999</v>
      </c>
      <c r="G701" s="33">
        <f t="shared" si="64"/>
        <v>53.892852099999999</v>
      </c>
      <c r="H701" s="34"/>
      <c r="I701" s="30"/>
      <c r="J701" s="152">
        <v>0</v>
      </c>
      <c r="L701" s="215">
        <v>1.9933000000000001</v>
      </c>
      <c r="M701" s="33">
        <v>23.143671999999999</v>
      </c>
      <c r="N701" s="33">
        <f t="shared" si="65"/>
        <v>46.132281397599996</v>
      </c>
      <c r="O701" s="34"/>
      <c r="P701" s="36" t="str">
        <f t="shared" si="60"/>
        <v/>
      </c>
      <c r="Q701" s="216">
        <f t="shared" si="61"/>
        <v>0.14400000000000002</v>
      </c>
      <c r="R701" s="216">
        <f t="shared" si="62"/>
        <v>0.14400000000000002</v>
      </c>
      <c r="S701" s="217" t="str">
        <f t="shared" si="63"/>
        <v/>
      </c>
    </row>
    <row r="702" spans="1:19" ht="15.75" hidden="1" thickBot="1" x14ac:dyDescent="0.3">
      <c r="A702" s="262"/>
      <c r="B702" s="260"/>
      <c r="C702" s="35" t="s">
        <v>584</v>
      </c>
      <c r="D702" s="35" t="s">
        <v>583</v>
      </c>
      <c r="E702" s="36">
        <f>0.15/0.15</f>
        <v>1</v>
      </c>
      <c r="F702" s="33">
        <v>20.225499999999997</v>
      </c>
      <c r="G702" s="33">
        <f t="shared" si="64"/>
        <v>20.225499999999997</v>
      </c>
      <c r="H702" s="34"/>
      <c r="I702" s="30"/>
      <c r="J702" s="152">
        <v>0</v>
      </c>
      <c r="L702" s="215">
        <v>1</v>
      </c>
      <c r="M702" s="33">
        <v>17.313027999999996</v>
      </c>
      <c r="N702" s="33">
        <f t="shared" si="65"/>
        <v>17.313027999999996</v>
      </c>
      <c r="O702" s="34"/>
      <c r="P702" s="36" t="str">
        <f t="shared" si="60"/>
        <v/>
      </c>
      <c r="Q702" s="216">
        <f t="shared" si="61"/>
        <v>0.14400000000000013</v>
      </c>
      <c r="R702" s="216">
        <f t="shared" si="62"/>
        <v>0.14400000000000013</v>
      </c>
      <c r="S702" s="217" t="str">
        <f t="shared" si="63"/>
        <v/>
      </c>
    </row>
    <row r="703" spans="1:19" ht="15.75" hidden="1" thickBot="1" x14ac:dyDescent="0.3">
      <c r="A703" s="262"/>
      <c r="B703" s="260"/>
      <c r="C703" s="35" t="s">
        <v>8367</v>
      </c>
      <c r="D703" s="35" t="s">
        <v>773</v>
      </c>
      <c r="E703" s="36">
        <f>0.12/0.15</f>
        <v>0.8</v>
      </c>
      <c r="F703" s="33">
        <v>3.4579999999999997</v>
      </c>
      <c r="G703" s="33">
        <f t="shared" si="64"/>
        <v>2.7664</v>
      </c>
      <c r="H703" s="34"/>
      <c r="I703" s="30"/>
      <c r="J703" s="152">
        <v>0</v>
      </c>
      <c r="L703" s="215">
        <v>0.8</v>
      </c>
      <c r="M703" s="33">
        <v>2.9600479999999996</v>
      </c>
      <c r="N703" s="33">
        <f t="shared" si="65"/>
        <v>2.3680383999999997</v>
      </c>
      <c r="O703" s="34"/>
      <c r="P703" s="36" t="str">
        <f t="shared" si="60"/>
        <v/>
      </c>
      <c r="Q703" s="216">
        <f t="shared" si="61"/>
        <v>0.14400000000000002</v>
      </c>
      <c r="R703" s="216">
        <f t="shared" si="62"/>
        <v>0.14400000000000013</v>
      </c>
      <c r="S703" s="217" t="str">
        <f t="shared" si="63"/>
        <v/>
      </c>
    </row>
    <row r="704" spans="1:19" ht="15.75" hidden="1" thickBot="1" x14ac:dyDescent="0.3">
      <c r="A704" s="262"/>
      <c r="B704" s="260"/>
      <c r="C704" s="35"/>
      <c r="D704" s="35"/>
      <c r="E704" s="36"/>
      <c r="F704" s="33" t="s">
        <v>416</v>
      </c>
      <c r="G704" s="33" t="str">
        <f t="shared" si="64"/>
        <v/>
      </c>
      <c r="H704" s="34"/>
      <c r="I704" s="30"/>
      <c r="J704" s="152">
        <v>0</v>
      </c>
      <c r="L704" s="215"/>
      <c r="M704" s="33"/>
      <c r="N704" s="33" t="str">
        <f t="shared" si="65"/>
        <v/>
      </c>
      <c r="O704" s="34"/>
      <c r="P704" s="36" t="str">
        <f t="shared" si="60"/>
        <v/>
      </c>
      <c r="Q704" s="216" t="str">
        <f t="shared" si="61"/>
        <v/>
      </c>
      <c r="R704" s="216" t="str">
        <f t="shared" si="62"/>
        <v/>
      </c>
      <c r="S704" s="217" t="str">
        <f t="shared" si="63"/>
        <v/>
      </c>
    </row>
    <row r="705" spans="1:19" ht="15.75" hidden="1" thickBot="1" x14ac:dyDescent="0.3">
      <c r="A705" s="256" t="s">
        <v>187</v>
      </c>
      <c r="B705" s="259" t="str">
        <f>INDEX(Orçamentária!A:B,MATCH(Composições!A705,Orçamentária!A:A,0),2)</f>
        <v>Granito Preto São Gabriel 20 mm para bancadas</v>
      </c>
      <c r="C705" s="40"/>
      <c r="D705" s="25" t="s">
        <v>70</v>
      </c>
      <c r="E705" s="26"/>
      <c r="F705" s="41" t="s">
        <v>416</v>
      </c>
      <c r="G705" s="27" t="str">
        <f t="shared" si="64"/>
        <v/>
      </c>
      <c r="H705" s="28"/>
      <c r="I705" s="29"/>
      <c r="J705" s="152">
        <v>0</v>
      </c>
      <c r="L705" s="218"/>
      <c r="M705" s="41"/>
      <c r="N705" s="27" t="str">
        <f t="shared" si="65"/>
        <v/>
      </c>
      <c r="O705" s="28"/>
      <c r="P705" s="36" t="str">
        <f t="shared" si="60"/>
        <v/>
      </c>
      <c r="Q705" s="216" t="str">
        <f t="shared" si="61"/>
        <v/>
      </c>
      <c r="R705" s="216" t="str">
        <f t="shared" si="62"/>
        <v/>
      </c>
      <c r="S705" s="217" t="str">
        <f t="shared" si="63"/>
        <v/>
      </c>
    </row>
    <row r="706" spans="1:19" ht="15.75" hidden="1" thickBot="1" x14ac:dyDescent="0.3">
      <c r="A706" s="262"/>
      <c r="B706" s="260"/>
      <c r="C706" s="31"/>
      <c r="D706" s="31"/>
      <c r="E706" s="32"/>
      <c r="F706" s="42" t="s">
        <v>416</v>
      </c>
      <c r="G706" s="30" t="str">
        <f t="shared" si="64"/>
        <v/>
      </c>
      <c r="H706" s="34"/>
      <c r="I706" s="30"/>
      <c r="J706" s="152">
        <v>0</v>
      </c>
      <c r="L706" s="219"/>
      <c r="M706" s="42"/>
      <c r="N706" s="30" t="str">
        <f t="shared" si="65"/>
        <v/>
      </c>
      <c r="O706" s="34"/>
      <c r="P706" s="36" t="str">
        <f t="shared" si="60"/>
        <v/>
      </c>
      <c r="Q706" s="216" t="str">
        <f t="shared" si="61"/>
        <v/>
      </c>
      <c r="R706" s="216" t="str">
        <f t="shared" si="62"/>
        <v/>
      </c>
      <c r="S706" s="217" t="str">
        <f t="shared" si="63"/>
        <v/>
      </c>
    </row>
    <row r="707" spans="1:19" ht="15.75" hidden="1" thickBot="1" x14ac:dyDescent="0.3">
      <c r="A707" s="262"/>
      <c r="B707" s="260"/>
      <c r="C707" s="35" t="s">
        <v>2934</v>
      </c>
      <c r="D707" s="35" t="s">
        <v>773</v>
      </c>
      <c r="E707" s="36">
        <f>ROUND(0.5228/(1.5*0.6),4)</f>
        <v>0.58089999999999997</v>
      </c>
      <c r="F707" s="53">
        <v>38.826499999999996</v>
      </c>
      <c r="G707" s="53">
        <f t="shared" si="64"/>
        <v>22.554313849999996</v>
      </c>
      <c r="H707" s="38">
        <f>SUM(G707:G713)</f>
        <v>155.11190929999998</v>
      </c>
      <c r="I707" s="39"/>
      <c r="J707" s="152">
        <v>0</v>
      </c>
      <c r="L707" s="215">
        <v>0.58089999999999997</v>
      </c>
      <c r="M707" s="53">
        <v>33.235484</v>
      </c>
      <c r="N707" s="53">
        <f t="shared" si="65"/>
        <v>19.3064926556</v>
      </c>
      <c r="O707" s="38">
        <f>SUM(N707:N713)</f>
        <v>132.77579436079998</v>
      </c>
      <c r="P707" s="36" t="str">
        <f t="shared" si="60"/>
        <v/>
      </c>
      <c r="Q707" s="216">
        <f t="shared" si="61"/>
        <v>0.14399999999999991</v>
      </c>
      <c r="R707" s="216">
        <f t="shared" si="62"/>
        <v>0.14399999999999991</v>
      </c>
      <c r="S707" s="217">
        <f t="shared" si="63"/>
        <v>0.14400000000000002</v>
      </c>
    </row>
    <row r="708" spans="1:19" ht="39" hidden="1" thickBot="1" x14ac:dyDescent="0.3">
      <c r="A708" s="262"/>
      <c r="B708" s="260"/>
      <c r="C708" s="35" t="s">
        <v>991</v>
      </c>
      <c r="D708" s="35" t="s">
        <v>213</v>
      </c>
      <c r="E708" s="36">
        <f>ROUND(6/(1.5*0.6),4)</f>
        <v>6.6666999999999996</v>
      </c>
      <c r="F708" s="53">
        <v>1.1019999999999999</v>
      </c>
      <c r="G708" s="53">
        <f t="shared" si="64"/>
        <v>7.3467033999999991</v>
      </c>
      <c r="H708" s="72"/>
      <c r="I708" s="73"/>
      <c r="J708" s="152">
        <v>0</v>
      </c>
      <c r="L708" s="215">
        <v>6.6666999999999996</v>
      </c>
      <c r="M708" s="53">
        <v>0.94331199999999993</v>
      </c>
      <c r="N708" s="53">
        <f t="shared" si="65"/>
        <v>6.2887781103999991</v>
      </c>
      <c r="O708" s="72"/>
      <c r="P708" s="36" t="str">
        <f t="shared" si="60"/>
        <v/>
      </c>
      <c r="Q708" s="216">
        <f t="shared" si="61"/>
        <v>0.14400000000000002</v>
      </c>
      <c r="R708" s="216">
        <f t="shared" si="62"/>
        <v>0.14400000000000002</v>
      </c>
      <c r="S708" s="217" t="str">
        <f t="shared" si="63"/>
        <v/>
      </c>
    </row>
    <row r="709" spans="1:19" ht="26.25" hidden="1" thickBot="1" x14ac:dyDescent="0.3">
      <c r="A709" s="262"/>
      <c r="B709" s="260"/>
      <c r="C709" s="35" t="s">
        <v>188</v>
      </c>
      <c r="D709" s="35" t="s">
        <v>861</v>
      </c>
      <c r="E709" s="36">
        <f>ROUND(1.005/(1.5*0.6),4)</f>
        <v>1.1167</v>
      </c>
      <c r="F709" s="53" t="s">
        <v>416</v>
      </c>
      <c r="G709" s="53" t="str">
        <f t="shared" si="64"/>
        <v/>
      </c>
      <c r="H709" s="72"/>
      <c r="I709" s="73"/>
      <c r="J709" s="152">
        <v>0</v>
      </c>
      <c r="L709" s="215">
        <v>1.1167</v>
      </c>
      <c r="M709" s="53"/>
      <c r="N709" s="53" t="str">
        <f t="shared" si="65"/>
        <v/>
      </c>
      <c r="O709" s="72"/>
      <c r="P709" s="36" t="str">
        <f t="shared" si="60"/>
        <v/>
      </c>
      <c r="Q709" s="216" t="str">
        <f t="shared" si="61"/>
        <v/>
      </c>
      <c r="R709" s="216" t="str">
        <f t="shared" si="62"/>
        <v/>
      </c>
      <c r="S709" s="217" t="str">
        <f t="shared" si="63"/>
        <v/>
      </c>
    </row>
    <row r="710" spans="1:19" ht="15.75" hidden="1" thickBot="1" x14ac:dyDescent="0.3">
      <c r="A710" s="262"/>
      <c r="B710" s="260"/>
      <c r="C710" s="35" t="s">
        <v>3061</v>
      </c>
      <c r="D710" s="35" t="s">
        <v>773</v>
      </c>
      <c r="E710" s="36">
        <f>ROUND(0.0211/(1.5*0.6),4)</f>
        <v>2.3400000000000001E-2</v>
      </c>
      <c r="F710" s="53">
        <v>72.836500000000001</v>
      </c>
      <c r="G710" s="53">
        <f t="shared" si="64"/>
        <v>1.7043741000000001</v>
      </c>
      <c r="H710" s="72"/>
      <c r="I710" s="73"/>
      <c r="J710" s="152">
        <v>0</v>
      </c>
      <c r="L710" s="215">
        <v>2.3400000000000001E-2</v>
      </c>
      <c r="M710" s="53">
        <v>62.348044000000002</v>
      </c>
      <c r="N710" s="53">
        <f t="shared" si="65"/>
        <v>1.4589442296000001</v>
      </c>
      <c r="O710" s="72"/>
      <c r="P710" s="36" t="str">
        <f t="shared" si="60"/>
        <v/>
      </c>
      <c r="Q710" s="216">
        <f t="shared" si="61"/>
        <v>0.14400000000000002</v>
      </c>
      <c r="R710" s="216">
        <f t="shared" si="62"/>
        <v>0.14400000000000002</v>
      </c>
      <c r="S710" s="217" t="str">
        <f t="shared" si="63"/>
        <v/>
      </c>
    </row>
    <row r="711" spans="1:19" ht="26.25" hidden="1" thickBot="1" x14ac:dyDescent="0.3">
      <c r="A711" s="262"/>
      <c r="B711" s="260"/>
      <c r="C711" s="35" t="s">
        <v>2941</v>
      </c>
      <c r="D711" s="35" t="s">
        <v>213</v>
      </c>
      <c r="E711" s="36">
        <f>ROUND(2/(1.5*0.6),4)</f>
        <v>2.2222</v>
      </c>
      <c r="F711" s="53">
        <v>25.4315</v>
      </c>
      <c r="G711" s="53">
        <f t="shared" si="64"/>
        <v>56.513879299999999</v>
      </c>
      <c r="H711" s="72"/>
      <c r="I711" s="73"/>
      <c r="J711" s="152">
        <v>0</v>
      </c>
      <c r="L711" s="215">
        <v>2.2222</v>
      </c>
      <c r="M711" s="53">
        <v>21.769363999999999</v>
      </c>
      <c r="N711" s="53">
        <f t="shared" si="65"/>
        <v>48.375880680799995</v>
      </c>
      <c r="O711" s="72"/>
      <c r="P711" s="36" t="str">
        <f t="shared" si="60"/>
        <v/>
      </c>
      <c r="Q711" s="216">
        <f t="shared" si="61"/>
        <v>0.14400000000000002</v>
      </c>
      <c r="R711" s="216">
        <f t="shared" si="62"/>
        <v>0.14400000000000013</v>
      </c>
      <c r="S711" s="217" t="str">
        <f t="shared" si="63"/>
        <v/>
      </c>
    </row>
    <row r="712" spans="1:19" ht="15.75" hidden="1" thickBot="1" x14ac:dyDescent="0.3">
      <c r="A712" s="262"/>
      <c r="B712" s="260"/>
      <c r="C712" s="35" t="s">
        <v>2906</v>
      </c>
      <c r="D712" s="35" t="s">
        <v>583</v>
      </c>
      <c r="E712" s="36">
        <f>ROUND(1.4944/(1.5*0.6),4)</f>
        <v>1.6604000000000001</v>
      </c>
      <c r="F712" s="53">
        <v>27.036999999999999</v>
      </c>
      <c r="G712" s="53">
        <f t="shared" si="64"/>
        <v>44.892234800000004</v>
      </c>
      <c r="H712" s="72"/>
      <c r="I712" s="73"/>
      <c r="J712" s="152">
        <v>0</v>
      </c>
      <c r="L712" s="215">
        <v>1.6604000000000001</v>
      </c>
      <c r="M712" s="53">
        <v>23.143671999999999</v>
      </c>
      <c r="N712" s="53">
        <f t="shared" si="65"/>
        <v>38.427752988800002</v>
      </c>
      <c r="O712" s="72"/>
      <c r="P712" s="36" t="str">
        <f t="shared" ref="P712:P775" si="66">IF(ISBLANK(L712),"",IF($E712&lt;&gt;L712,"SIM",""))</f>
        <v/>
      </c>
      <c r="Q712" s="216">
        <f t="shared" ref="Q712:Q775" si="67">IF(M712="","",1-M712/$F712)</f>
        <v>0.14400000000000002</v>
      </c>
      <c r="R712" s="216">
        <f t="shared" ref="R712:R775" si="68">IF(N712="","",1-N712/$G712)</f>
        <v>0.14400000000000002</v>
      </c>
      <c r="S712" s="217" t="str">
        <f t="shared" ref="S712:S775" si="69">IF(O712="","",1-O712/$H712)</f>
        <v/>
      </c>
    </row>
    <row r="713" spans="1:19" ht="15.75" hidden="1" thickBot="1" x14ac:dyDescent="0.3">
      <c r="A713" s="262"/>
      <c r="B713" s="260"/>
      <c r="C713" s="35" t="s">
        <v>584</v>
      </c>
      <c r="D713" s="35" t="s">
        <v>583</v>
      </c>
      <c r="E713" s="36">
        <f>ROUND(0.9834/(1.5*0.6),4)</f>
        <v>1.0927</v>
      </c>
      <c r="F713" s="53">
        <v>20.225499999999997</v>
      </c>
      <c r="G713" s="53">
        <f t="shared" si="64"/>
        <v>22.100403849999996</v>
      </c>
      <c r="H713" s="72"/>
      <c r="I713" s="73"/>
      <c r="J713" s="152">
        <v>0</v>
      </c>
      <c r="L713" s="215">
        <v>1.0927</v>
      </c>
      <c r="M713" s="53">
        <v>17.313027999999996</v>
      </c>
      <c r="N713" s="53">
        <f t="shared" si="65"/>
        <v>18.917945695599997</v>
      </c>
      <c r="O713" s="72"/>
      <c r="P713" s="36" t="str">
        <f t="shared" si="66"/>
        <v/>
      </c>
      <c r="Q713" s="216">
        <f t="shared" si="67"/>
        <v>0.14400000000000013</v>
      </c>
      <c r="R713" s="216">
        <f t="shared" si="68"/>
        <v>0.14400000000000002</v>
      </c>
      <c r="S713" s="217" t="str">
        <f t="shared" si="69"/>
        <v/>
      </c>
    </row>
    <row r="714" spans="1:19" ht="15.75" hidden="1" thickBot="1" x14ac:dyDescent="0.3">
      <c r="A714" s="262"/>
      <c r="B714" s="260"/>
      <c r="C714" s="35"/>
      <c r="D714" s="35"/>
      <c r="E714" s="36"/>
      <c r="F714" s="30" t="s">
        <v>416</v>
      </c>
      <c r="G714" s="33" t="str">
        <f t="shared" si="64"/>
        <v/>
      </c>
      <c r="H714" s="34"/>
      <c r="I714" s="30"/>
      <c r="J714" s="152">
        <v>0</v>
      </c>
      <c r="L714" s="215"/>
      <c r="M714" s="30"/>
      <c r="N714" s="33" t="str">
        <f t="shared" si="65"/>
        <v/>
      </c>
      <c r="O714" s="34"/>
      <c r="P714" s="36" t="str">
        <f t="shared" si="66"/>
        <v/>
      </c>
      <c r="Q714" s="216" t="str">
        <f t="shared" si="67"/>
        <v/>
      </c>
      <c r="R714" s="216" t="str">
        <f t="shared" si="68"/>
        <v/>
      </c>
      <c r="S714" s="217" t="str">
        <f t="shared" si="69"/>
        <v/>
      </c>
    </row>
    <row r="715" spans="1:19" ht="15.75" hidden="1" thickBot="1" x14ac:dyDescent="0.3">
      <c r="A715" s="256" t="s">
        <v>189</v>
      </c>
      <c r="B715" s="259" t="str">
        <f>INDEX(Orçamentária!A:B,MATCH(Composições!A715,Orçamentária!A:A,0),2)</f>
        <v>Instalação de bancada de granito ou mármore reaproveitada</v>
      </c>
      <c r="C715" s="40"/>
      <c r="D715" s="25" t="s">
        <v>70</v>
      </c>
      <c r="E715" s="26"/>
      <c r="F715" s="41" t="s">
        <v>416</v>
      </c>
      <c r="G715" s="27" t="str">
        <f t="shared" si="64"/>
        <v/>
      </c>
      <c r="H715" s="28"/>
      <c r="I715" s="29"/>
      <c r="J715" s="152">
        <v>0</v>
      </c>
      <c r="L715" s="218"/>
      <c r="M715" s="41"/>
      <c r="N715" s="27" t="str">
        <f t="shared" si="65"/>
        <v/>
      </c>
      <c r="O715" s="28"/>
      <c r="P715" s="36" t="str">
        <f t="shared" si="66"/>
        <v/>
      </c>
      <c r="Q715" s="216" t="str">
        <f t="shared" si="67"/>
        <v/>
      </c>
      <c r="R715" s="216" t="str">
        <f t="shared" si="68"/>
        <v/>
      </c>
      <c r="S715" s="217" t="str">
        <f t="shared" si="69"/>
        <v/>
      </c>
    </row>
    <row r="716" spans="1:19" ht="15.75" hidden="1" thickBot="1" x14ac:dyDescent="0.3">
      <c r="A716" s="262"/>
      <c r="B716" s="260"/>
      <c r="C716" s="31"/>
      <c r="D716" s="31"/>
      <c r="E716" s="32"/>
      <c r="F716" s="42" t="s">
        <v>416</v>
      </c>
      <c r="G716" s="30" t="str">
        <f t="shared" si="64"/>
        <v/>
      </c>
      <c r="H716" s="34"/>
      <c r="I716" s="30"/>
      <c r="J716" s="152">
        <v>0</v>
      </c>
      <c r="L716" s="219"/>
      <c r="M716" s="42"/>
      <c r="N716" s="30" t="str">
        <f t="shared" si="65"/>
        <v/>
      </c>
      <c r="O716" s="34"/>
      <c r="P716" s="36" t="str">
        <f t="shared" si="66"/>
        <v/>
      </c>
      <c r="Q716" s="216" t="str">
        <f t="shared" si="67"/>
        <v/>
      </c>
      <c r="R716" s="216" t="str">
        <f t="shared" si="68"/>
        <v/>
      </c>
      <c r="S716" s="217" t="str">
        <f t="shared" si="69"/>
        <v/>
      </c>
    </row>
    <row r="717" spans="1:19" ht="15.75" hidden="1" thickBot="1" x14ac:dyDescent="0.3">
      <c r="A717" s="262"/>
      <c r="B717" s="260"/>
      <c r="C717" s="35" t="s">
        <v>2934</v>
      </c>
      <c r="D717" s="35" t="s">
        <v>773</v>
      </c>
      <c r="E717" s="36">
        <f>ROUND(0.5228/(1.5*0.6),4)</f>
        <v>0.58089999999999997</v>
      </c>
      <c r="F717" s="53">
        <v>38.826499999999996</v>
      </c>
      <c r="G717" s="53">
        <f t="shared" si="64"/>
        <v>22.554313849999996</v>
      </c>
      <c r="H717" s="38">
        <f>SUM(G717:G722)</f>
        <v>155.11190929999998</v>
      </c>
      <c r="I717" s="39"/>
      <c r="J717" s="152">
        <v>0</v>
      </c>
      <c r="L717" s="215">
        <v>0.58089999999999997</v>
      </c>
      <c r="M717" s="53">
        <v>33.235484</v>
      </c>
      <c r="N717" s="53">
        <f t="shared" si="65"/>
        <v>19.3064926556</v>
      </c>
      <c r="O717" s="38">
        <f>SUM(N717:N722)</f>
        <v>132.77579436079998</v>
      </c>
      <c r="P717" s="36" t="str">
        <f t="shared" si="66"/>
        <v/>
      </c>
      <c r="Q717" s="216">
        <f t="shared" si="67"/>
        <v>0.14399999999999991</v>
      </c>
      <c r="R717" s="216">
        <f t="shared" si="68"/>
        <v>0.14399999999999991</v>
      </c>
      <c r="S717" s="217">
        <f t="shared" si="69"/>
        <v>0.14400000000000002</v>
      </c>
    </row>
    <row r="718" spans="1:19" ht="39" hidden="1" thickBot="1" x14ac:dyDescent="0.3">
      <c r="A718" s="262"/>
      <c r="B718" s="260"/>
      <c r="C718" s="35" t="s">
        <v>991</v>
      </c>
      <c r="D718" s="35" t="s">
        <v>213</v>
      </c>
      <c r="E718" s="36">
        <f>ROUND(6/(1.5*0.6),4)</f>
        <v>6.6666999999999996</v>
      </c>
      <c r="F718" s="53">
        <v>1.1019999999999999</v>
      </c>
      <c r="G718" s="53">
        <f t="shared" si="64"/>
        <v>7.3467033999999991</v>
      </c>
      <c r="H718" s="72"/>
      <c r="I718" s="73"/>
      <c r="J718" s="152">
        <v>0</v>
      </c>
      <c r="L718" s="215">
        <v>6.6666999999999996</v>
      </c>
      <c r="M718" s="53">
        <v>0.94331199999999993</v>
      </c>
      <c r="N718" s="53">
        <f t="shared" si="65"/>
        <v>6.2887781103999991</v>
      </c>
      <c r="O718" s="72"/>
      <c r="P718" s="36" t="str">
        <f t="shared" si="66"/>
        <v/>
      </c>
      <c r="Q718" s="216">
        <f t="shared" si="67"/>
        <v>0.14400000000000002</v>
      </c>
      <c r="R718" s="216">
        <f t="shared" si="68"/>
        <v>0.14400000000000002</v>
      </c>
      <c r="S718" s="217" t="str">
        <f t="shared" si="69"/>
        <v/>
      </c>
    </row>
    <row r="719" spans="1:19" ht="15.75" hidden="1" thickBot="1" x14ac:dyDescent="0.3">
      <c r="A719" s="262"/>
      <c r="B719" s="260"/>
      <c r="C719" s="35" t="s">
        <v>3061</v>
      </c>
      <c r="D719" s="35" t="s">
        <v>773</v>
      </c>
      <c r="E719" s="36">
        <f>ROUND(0.0211/(1.5*0.6),4)</f>
        <v>2.3400000000000001E-2</v>
      </c>
      <c r="F719" s="53">
        <v>72.836500000000001</v>
      </c>
      <c r="G719" s="53">
        <f t="shared" si="64"/>
        <v>1.7043741000000001</v>
      </c>
      <c r="H719" s="72"/>
      <c r="I719" s="73"/>
      <c r="J719" s="152">
        <v>0</v>
      </c>
      <c r="L719" s="215">
        <v>2.3400000000000001E-2</v>
      </c>
      <c r="M719" s="53">
        <v>62.348044000000002</v>
      </c>
      <c r="N719" s="53">
        <f t="shared" si="65"/>
        <v>1.4589442296000001</v>
      </c>
      <c r="O719" s="72"/>
      <c r="P719" s="36" t="str">
        <f t="shared" si="66"/>
        <v/>
      </c>
      <c r="Q719" s="216">
        <f t="shared" si="67"/>
        <v>0.14400000000000002</v>
      </c>
      <c r="R719" s="216">
        <f t="shared" si="68"/>
        <v>0.14400000000000002</v>
      </c>
      <c r="S719" s="217" t="str">
        <f t="shared" si="69"/>
        <v/>
      </c>
    </row>
    <row r="720" spans="1:19" ht="26.25" hidden="1" thickBot="1" x14ac:dyDescent="0.3">
      <c r="A720" s="262"/>
      <c r="B720" s="260"/>
      <c r="C720" s="35" t="s">
        <v>2941</v>
      </c>
      <c r="D720" s="35" t="s">
        <v>213</v>
      </c>
      <c r="E720" s="36">
        <f>ROUND(2/(1.5*0.6),4)</f>
        <v>2.2222</v>
      </c>
      <c r="F720" s="53">
        <v>25.4315</v>
      </c>
      <c r="G720" s="53">
        <f t="shared" si="64"/>
        <v>56.513879299999999</v>
      </c>
      <c r="H720" s="72"/>
      <c r="I720" s="73"/>
      <c r="J720" s="152">
        <v>0</v>
      </c>
      <c r="L720" s="215">
        <v>2.2222</v>
      </c>
      <c r="M720" s="53">
        <v>21.769363999999999</v>
      </c>
      <c r="N720" s="53">
        <f t="shared" si="65"/>
        <v>48.375880680799995</v>
      </c>
      <c r="O720" s="72"/>
      <c r="P720" s="36" t="str">
        <f t="shared" si="66"/>
        <v/>
      </c>
      <c r="Q720" s="216">
        <f t="shared" si="67"/>
        <v>0.14400000000000002</v>
      </c>
      <c r="R720" s="216">
        <f t="shared" si="68"/>
        <v>0.14400000000000013</v>
      </c>
      <c r="S720" s="217" t="str">
        <f t="shared" si="69"/>
        <v/>
      </c>
    </row>
    <row r="721" spans="1:19" ht="15.75" hidden="1" thickBot="1" x14ac:dyDescent="0.3">
      <c r="A721" s="262"/>
      <c r="B721" s="260"/>
      <c r="C721" s="35" t="s">
        <v>2906</v>
      </c>
      <c r="D721" s="35" t="s">
        <v>583</v>
      </c>
      <c r="E721" s="36">
        <f>ROUND(1.4944/(1.5*0.6),4)</f>
        <v>1.6604000000000001</v>
      </c>
      <c r="F721" s="53">
        <v>27.036999999999999</v>
      </c>
      <c r="G721" s="53">
        <f t="shared" si="64"/>
        <v>44.892234800000004</v>
      </c>
      <c r="H721" s="72"/>
      <c r="I721" s="73"/>
      <c r="J721" s="152">
        <v>0</v>
      </c>
      <c r="L721" s="215">
        <v>1.6604000000000001</v>
      </c>
      <c r="M721" s="53">
        <v>23.143671999999999</v>
      </c>
      <c r="N721" s="53">
        <f t="shared" si="65"/>
        <v>38.427752988800002</v>
      </c>
      <c r="O721" s="72"/>
      <c r="P721" s="36" t="str">
        <f t="shared" si="66"/>
        <v/>
      </c>
      <c r="Q721" s="216">
        <f t="shared" si="67"/>
        <v>0.14400000000000002</v>
      </c>
      <c r="R721" s="216">
        <f t="shared" si="68"/>
        <v>0.14400000000000002</v>
      </c>
      <c r="S721" s="217" t="str">
        <f t="shared" si="69"/>
        <v/>
      </c>
    </row>
    <row r="722" spans="1:19" ht="15.75" hidden="1" thickBot="1" x14ac:dyDescent="0.3">
      <c r="A722" s="262"/>
      <c r="B722" s="260"/>
      <c r="C722" s="35" t="s">
        <v>584</v>
      </c>
      <c r="D722" s="35" t="s">
        <v>583</v>
      </c>
      <c r="E722" s="36">
        <f>ROUND(0.9834/(1.5*0.6),4)</f>
        <v>1.0927</v>
      </c>
      <c r="F722" s="53">
        <v>20.225499999999997</v>
      </c>
      <c r="G722" s="53">
        <f t="shared" si="64"/>
        <v>22.100403849999996</v>
      </c>
      <c r="H722" s="72"/>
      <c r="I722" s="73"/>
      <c r="J722" s="152">
        <v>0</v>
      </c>
      <c r="L722" s="215">
        <v>1.0927</v>
      </c>
      <c r="M722" s="53">
        <v>17.313027999999996</v>
      </c>
      <c r="N722" s="53">
        <f t="shared" si="65"/>
        <v>18.917945695599997</v>
      </c>
      <c r="O722" s="72"/>
      <c r="P722" s="36" t="str">
        <f t="shared" si="66"/>
        <v/>
      </c>
      <c r="Q722" s="216">
        <f t="shared" si="67"/>
        <v>0.14400000000000013</v>
      </c>
      <c r="R722" s="216">
        <f t="shared" si="68"/>
        <v>0.14400000000000002</v>
      </c>
      <c r="S722" s="217" t="str">
        <f t="shared" si="69"/>
        <v/>
      </c>
    </row>
    <row r="723" spans="1:19" ht="15.75" hidden="1" thickBot="1" x14ac:dyDescent="0.3">
      <c r="A723" s="263"/>
      <c r="B723" s="261"/>
      <c r="C723" s="35"/>
      <c r="D723" s="35"/>
      <c r="E723" s="36"/>
      <c r="F723" s="30" t="s">
        <v>416</v>
      </c>
      <c r="G723" s="30" t="str">
        <f t="shared" ref="G723:G786" si="70">IF(ISNUMBER(F723),E723*F723,"")</f>
        <v/>
      </c>
      <c r="H723" s="34"/>
      <c r="I723" s="30"/>
      <c r="J723" s="152">
        <v>0</v>
      </c>
      <c r="L723" s="215"/>
      <c r="M723" s="30"/>
      <c r="N723" s="30" t="str">
        <f t="shared" ref="N723:N786" si="71">IF(ISNUMBER(M723),L723*M723,"")</f>
        <v/>
      </c>
      <c r="O723" s="34"/>
      <c r="P723" s="36" t="str">
        <f t="shared" si="66"/>
        <v/>
      </c>
      <c r="Q723" s="216" t="str">
        <f t="shared" si="67"/>
        <v/>
      </c>
      <c r="R723" s="216" t="str">
        <f t="shared" si="68"/>
        <v/>
      </c>
      <c r="S723" s="217" t="str">
        <f t="shared" si="69"/>
        <v/>
      </c>
    </row>
    <row r="724" spans="1:19" ht="15.75" hidden="1" thickBot="1" x14ac:dyDescent="0.3">
      <c r="A724" s="256" t="s">
        <v>190</v>
      </c>
      <c r="B724" s="259" t="str">
        <f>INDEX(Orçamentária!A:B,MATCH(Composições!A724,Orçamentária!A:A,0),2)</f>
        <v>Instalação de rodapé/rodabanca reaproveitado(a), de mármore ou granito</v>
      </c>
      <c r="C724" s="40"/>
      <c r="D724" s="25" t="s">
        <v>70</v>
      </c>
      <c r="E724" s="26"/>
      <c r="F724" s="41" t="s">
        <v>416</v>
      </c>
      <c r="G724" s="27" t="str">
        <f t="shared" si="70"/>
        <v/>
      </c>
      <c r="H724" s="28"/>
      <c r="I724" s="29"/>
      <c r="J724" s="152">
        <v>0</v>
      </c>
      <c r="L724" s="218"/>
      <c r="M724" s="41"/>
      <c r="N724" s="27" t="str">
        <f t="shared" si="71"/>
        <v/>
      </c>
      <c r="O724" s="28"/>
      <c r="P724" s="36" t="str">
        <f t="shared" si="66"/>
        <v/>
      </c>
      <c r="Q724" s="216" t="str">
        <f t="shared" si="67"/>
        <v/>
      </c>
      <c r="R724" s="216" t="str">
        <f t="shared" si="68"/>
        <v/>
      </c>
      <c r="S724" s="217" t="str">
        <f t="shared" si="69"/>
        <v/>
      </c>
    </row>
    <row r="725" spans="1:19" ht="15.75" hidden="1" thickBot="1" x14ac:dyDescent="0.3">
      <c r="A725" s="262"/>
      <c r="B725" s="260"/>
      <c r="C725" s="31"/>
      <c r="D725" s="31"/>
      <c r="E725" s="32"/>
      <c r="F725" s="42" t="s">
        <v>416</v>
      </c>
      <c r="G725" s="30" t="str">
        <f t="shared" si="70"/>
        <v/>
      </c>
      <c r="H725" s="34"/>
      <c r="I725" s="30"/>
      <c r="J725" s="152">
        <v>0</v>
      </c>
      <c r="L725" s="219"/>
      <c r="M725" s="42"/>
      <c r="N725" s="30" t="str">
        <f t="shared" si="71"/>
        <v/>
      </c>
      <c r="O725" s="34"/>
      <c r="P725" s="36" t="str">
        <f t="shared" si="66"/>
        <v/>
      </c>
      <c r="Q725" s="216" t="str">
        <f t="shared" si="67"/>
        <v/>
      </c>
      <c r="R725" s="216" t="str">
        <f t="shared" si="68"/>
        <v/>
      </c>
      <c r="S725" s="217" t="str">
        <f t="shared" si="69"/>
        <v/>
      </c>
    </row>
    <row r="726" spans="1:19" ht="15.75" hidden="1" thickBot="1" x14ac:dyDescent="0.3">
      <c r="A726" s="262"/>
      <c r="B726" s="260"/>
      <c r="C726" s="35" t="s">
        <v>7987</v>
      </c>
      <c r="D726" s="35" t="s">
        <v>773</v>
      </c>
      <c r="E726" s="36">
        <f>0.8614</f>
        <v>0.86140000000000005</v>
      </c>
      <c r="F726" s="33">
        <v>1.8049999999999999</v>
      </c>
      <c r="G726" s="33">
        <f t="shared" si="70"/>
        <v>1.554827</v>
      </c>
      <c r="H726" s="38">
        <f>SUM(G726:G729)</f>
        <v>13.087674999999997</v>
      </c>
      <c r="I726" s="39"/>
      <c r="J726" s="152">
        <v>0</v>
      </c>
      <c r="L726" s="215">
        <v>0.86140000000000005</v>
      </c>
      <c r="M726" s="33">
        <v>1.54508</v>
      </c>
      <c r="N726" s="33">
        <f t="shared" si="71"/>
        <v>1.3309319120000001</v>
      </c>
      <c r="O726" s="38">
        <f>SUM(N726:N729)</f>
        <v>11.203049799999999</v>
      </c>
      <c r="P726" s="36" t="str">
        <f t="shared" si="66"/>
        <v/>
      </c>
      <c r="Q726" s="216">
        <f t="shared" si="67"/>
        <v>0.14400000000000002</v>
      </c>
      <c r="R726" s="216">
        <f t="shared" si="68"/>
        <v>0.14399999999999991</v>
      </c>
      <c r="S726" s="217">
        <f t="shared" si="69"/>
        <v>0.14399999999999991</v>
      </c>
    </row>
    <row r="727" spans="1:19" ht="15.75" hidden="1" thickBot="1" x14ac:dyDescent="0.3">
      <c r="A727" s="262"/>
      <c r="B727" s="260"/>
      <c r="C727" s="35" t="s">
        <v>2906</v>
      </c>
      <c r="D727" s="35" t="s">
        <v>583</v>
      </c>
      <c r="E727" s="36">
        <f>0.299</f>
        <v>0.29899999999999999</v>
      </c>
      <c r="F727" s="30">
        <v>27.036999999999999</v>
      </c>
      <c r="G727" s="33">
        <f t="shared" si="70"/>
        <v>8.0840629999999987</v>
      </c>
      <c r="H727" s="34"/>
      <c r="I727" s="30"/>
      <c r="J727" s="152">
        <v>0</v>
      </c>
      <c r="L727" s="215">
        <v>0.29899999999999999</v>
      </c>
      <c r="M727" s="30">
        <v>23.143671999999999</v>
      </c>
      <c r="N727" s="33">
        <f t="shared" si="71"/>
        <v>6.9199579279999996</v>
      </c>
      <c r="O727" s="34"/>
      <c r="P727" s="36" t="str">
        <f t="shared" si="66"/>
        <v/>
      </c>
      <c r="Q727" s="216">
        <f t="shared" si="67"/>
        <v>0.14400000000000002</v>
      </c>
      <c r="R727" s="216">
        <f t="shared" si="68"/>
        <v>0.14399999999999991</v>
      </c>
      <c r="S727" s="217" t="str">
        <f t="shared" si="69"/>
        <v/>
      </c>
    </row>
    <row r="728" spans="1:19" ht="15.75" hidden="1" thickBot="1" x14ac:dyDescent="0.3">
      <c r="A728" s="262"/>
      <c r="B728" s="260"/>
      <c r="C728" s="35" t="s">
        <v>584</v>
      </c>
      <c r="D728" s="35" t="s">
        <v>583</v>
      </c>
      <c r="E728" s="36">
        <f>0.15</f>
        <v>0.15</v>
      </c>
      <c r="F728" s="30">
        <v>20.225499999999997</v>
      </c>
      <c r="G728" s="33">
        <f t="shared" si="70"/>
        <v>3.0338249999999993</v>
      </c>
      <c r="H728" s="34"/>
      <c r="I728" s="30"/>
      <c r="J728" s="152">
        <v>0</v>
      </c>
      <c r="L728" s="215">
        <v>0.15</v>
      </c>
      <c r="M728" s="30">
        <v>17.313027999999996</v>
      </c>
      <c r="N728" s="33">
        <f t="shared" si="71"/>
        <v>2.5969541999999994</v>
      </c>
      <c r="O728" s="34"/>
      <c r="P728" s="36" t="str">
        <f t="shared" si="66"/>
        <v/>
      </c>
      <c r="Q728" s="216">
        <f t="shared" si="67"/>
        <v>0.14400000000000013</v>
      </c>
      <c r="R728" s="216">
        <f t="shared" si="68"/>
        <v>0.14400000000000002</v>
      </c>
      <c r="S728" s="217" t="str">
        <f t="shared" si="69"/>
        <v/>
      </c>
    </row>
    <row r="729" spans="1:19" ht="15.75" hidden="1" thickBot="1" x14ac:dyDescent="0.3">
      <c r="A729" s="262"/>
      <c r="B729" s="260"/>
      <c r="C729" s="35" t="s">
        <v>8367</v>
      </c>
      <c r="D729" s="35" t="s">
        <v>773</v>
      </c>
      <c r="E729" s="36">
        <f>0.12</f>
        <v>0.12</v>
      </c>
      <c r="F729" s="33">
        <v>3.4579999999999997</v>
      </c>
      <c r="G729" s="33">
        <f t="shared" si="70"/>
        <v>0.41495999999999994</v>
      </c>
      <c r="H729" s="34"/>
      <c r="I729" s="30"/>
      <c r="J729" s="152">
        <v>0</v>
      </c>
      <c r="L729" s="215">
        <v>0.12</v>
      </c>
      <c r="M729" s="33">
        <v>2.9600479999999996</v>
      </c>
      <c r="N729" s="33">
        <f t="shared" si="71"/>
        <v>0.35520575999999993</v>
      </c>
      <c r="O729" s="34"/>
      <c r="P729" s="36" t="str">
        <f t="shared" si="66"/>
        <v/>
      </c>
      <c r="Q729" s="216">
        <f t="shared" si="67"/>
        <v>0.14400000000000002</v>
      </c>
      <c r="R729" s="216">
        <f t="shared" si="68"/>
        <v>0.14400000000000002</v>
      </c>
      <c r="S729" s="217" t="str">
        <f t="shared" si="69"/>
        <v/>
      </c>
    </row>
    <row r="730" spans="1:19" ht="15.75" hidden="1" thickBot="1" x14ac:dyDescent="0.3">
      <c r="A730" s="263"/>
      <c r="B730" s="261"/>
      <c r="C730" s="35"/>
      <c r="D730" s="35"/>
      <c r="E730" s="36"/>
      <c r="F730" s="30" t="s">
        <v>416</v>
      </c>
      <c r="G730" s="30" t="str">
        <f t="shared" si="70"/>
        <v/>
      </c>
      <c r="H730" s="34"/>
      <c r="I730" s="30"/>
      <c r="J730" s="152">
        <v>0</v>
      </c>
      <c r="L730" s="215"/>
      <c r="M730" s="30"/>
      <c r="N730" s="30" t="str">
        <f t="shared" si="71"/>
        <v/>
      </c>
      <c r="O730" s="34"/>
      <c r="P730" s="36" t="str">
        <f t="shared" si="66"/>
        <v/>
      </c>
      <c r="Q730" s="216" t="str">
        <f t="shared" si="67"/>
        <v/>
      </c>
      <c r="R730" s="216" t="str">
        <f t="shared" si="68"/>
        <v/>
      </c>
      <c r="S730" s="217" t="str">
        <f t="shared" si="69"/>
        <v/>
      </c>
    </row>
    <row r="731" spans="1:19" ht="15.75" hidden="1" thickBot="1" x14ac:dyDescent="0.3">
      <c r="A731" s="256" t="s">
        <v>191</v>
      </c>
      <c r="B731" s="259" t="str">
        <f>INDEX(Orçamentária!A:B,MATCH(Composições!A731,Orçamentária!A:A,0),2)</f>
        <v>Instalação de soleira ou peitoril, de mármore ou granito, reaproveitados</v>
      </c>
      <c r="C731" s="40"/>
      <c r="D731" s="25" t="s">
        <v>70</v>
      </c>
      <c r="E731" s="26"/>
      <c r="F731" s="41" t="s">
        <v>416</v>
      </c>
      <c r="G731" s="27" t="str">
        <f t="shared" si="70"/>
        <v/>
      </c>
      <c r="H731" s="28"/>
      <c r="I731" s="29"/>
      <c r="J731" s="152">
        <v>0</v>
      </c>
      <c r="L731" s="218"/>
      <c r="M731" s="41"/>
      <c r="N731" s="27" t="str">
        <f t="shared" si="71"/>
        <v/>
      </c>
      <c r="O731" s="28"/>
      <c r="P731" s="36" t="str">
        <f t="shared" si="66"/>
        <v/>
      </c>
      <c r="Q731" s="216" t="str">
        <f t="shared" si="67"/>
        <v/>
      </c>
      <c r="R731" s="216" t="str">
        <f t="shared" si="68"/>
        <v/>
      </c>
      <c r="S731" s="217" t="str">
        <f t="shared" si="69"/>
        <v/>
      </c>
    </row>
    <row r="732" spans="1:19" ht="15.75" hidden="1" thickBot="1" x14ac:dyDescent="0.3">
      <c r="A732" s="262"/>
      <c r="B732" s="260"/>
      <c r="C732" s="31"/>
      <c r="D732" s="31"/>
      <c r="E732" s="32"/>
      <c r="F732" s="42" t="s">
        <v>416</v>
      </c>
      <c r="G732" s="30" t="str">
        <f t="shared" si="70"/>
        <v/>
      </c>
      <c r="H732" s="34"/>
      <c r="I732" s="30"/>
      <c r="J732" s="152">
        <v>0</v>
      </c>
      <c r="L732" s="219"/>
      <c r="M732" s="42"/>
      <c r="N732" s="30" t="str">
        <f t="shared" si="71"/>
        <v/>
      </c>
      <c r="O732" s="34"/>
      <c r="P732" s="36" t="str">
        <f t="shared" si="66"/>
        <v/>
      </c>
      <c r="Q732" s="216" t="str">
        <f t="shared" si="67"/>
        <v/>
      </c>
      <c r="R732" s="216" t="str">
        <f t="shared" si="68"/>
        <v/>
      </c>
      <c r="S732" s="217" t="str">
        <f t="shared" si="69"/>
        <v/>
      </c>
    </row>
    <row r="733" spans="1:19" ht="15.75" hidden="1" thickBot="1" x14ac:dyDescent="0.3">
      <c r="A733" s="262"/>
      <c r="B733" s="260"/>
      <c r="C733" s="35" t="s">
        <v>2906</v>
      </c>
      <c r="D733" s="35" t="s">
        <v>583</v>
      </c>
      <c r="E733" s="36">
        <v>1.1879999999999999</v>
      </c>
      <c r="F733" s="30">
        <v>27.036999999999999</v>
      </c>
      <c r="G733" s="33">
        <f t="shared" si="70"/>
        <v>32.119955999999995</v>
      </c>
      <c r="H733" s="38">
        <f>SUM(G733:G735)</f>
        <v>59.69300299999999</v>
      </c>
      <c r="I733" s="39"/>
      <c r="J733" s="152">
        <v>0</v>
      </c>
      <c r="L733" s="215">
        <v>1.1879999999999999</v>
      </c>
      <c r="M733" s="30">
        <v>23.143671999999999</v>
      </c>
      <c r="N733" s="33">
        <f t="shared" si="71"/>
        <v>27.494682335999997</v>
      </c>
      <c r="O733" s="38">
        <f>SUM(N733:N735)</f>
        <v>51.097210567999994</v>
      </c>
      <c r="P733" s="36" t="str">
        <f t="shared" si="66"/>
        <v/>
      </c>
      <c r="Q733" s="216">
        <f t="shared" si="67"/>
        <v>0.14400000000000002</v>
      </c>
      <c r="R733" s="216">
        <f t="shared" si="68"/>
        <v>0.14400000000000002</v>
      </c>
      <c r="S733" s="217">
        <f t="shared" si="69"/>
        <v>0.14399999999999991</v>
      </c>
    </row>
    <row r="734" spans="1:19" ht="15.75" hidden="1" thickBot="1" x14ac:dyDescent="0.3">
      <c r="A734" s="262"/>
      <c r="B734" s="260"/>
      <c r="C734" s="35" t="s">
        <v>584</v>
      </c>
      <c r="D734" s="35" t="s">
        <v>583</v>
      </c>
      <c r="E734" s="36">
        <v>0.59399999999999997</v>
      </c>
      <c r="F734" s="30">
        <v>20.225499999999997</v>
      </c>
      <c r="G734" s="33">
        <f t="shared" si="70"/>
        <v>12.013946999999998</v>
      </c>
      <c r="H734" s="34"/>
      <c r="I734" s="30"/>
      <c r="J734" s="152">
        <v>0</v>
      </c>
      <c r="L734" s="215">
        <v>0.59399999999999997</v>
      </c>
      <c r="M734" s="30">
        <v>17.313027999999996</v>
      </c>
      <c r="N734" s="33">
        <f t="shared" si="71"/>
        <v>10.283938631999996</v>
      </c>
      <c r="O734" s="34"/>
      <c r="P734" s="36" t="str">
        <f t="shared" si="66"/>
        <v/>
      </c>
      <c r="Q734" s="216">
        <f t="shared" si="67"/>
        <v>0.14400000000000013</v>
      </c>
      <c r="R734" s="216">
        <f t="shared" si="68"/>
        <v>0.14400000000000013</v>
      </c>
      <c r="S734" s="217" t="str">
        <f t="shared" si="69"/>
        <v/>
      </c>
    </row>
    <row r="735" spans="1:19" ht="15.75" hidden="1" thickBot="1" x14ac:dyDescent="0.3">
      <c r="A735" s="262"/>
      <c r="B735" s="260"/>
      <c r="C735" s="35" t="s">
        <v>7987</v>
      </c>
      <c r="D735" s="35" t="s">
        <v>773</v>
      </c>
      <c r="E735" s="36">
        <v>8.6199999999999992</v>
      </c>
      <c r="F735" s="33">
        <v>1.8049999999999999</v>
      </c>
      <c r="G735" s="33">
        <f t="shared" si="70"/>
        <v>15.559099999999997</v>
      </c>
      <c r="H735" s="34"/>
      <c r="I735" s="30"/>
      <c r="J735" s="152">
        <v>0</v>
      </c>
      <c r="L735" s="215">
        <v>8.6199999999999992</v>
      </c>
      <c r="M735" s="33">
        <v>1.54508</v>
      </c>
      <c r="N735" s="33">
        <f t="shared" si="71"/>
        <v>13.318589599999999</v>
      </c>
      <c r="O735" s="34"/>
      <c r="P735" s="36" t="str">
        <f t="shared" si="66"/>
        <v/>
      </c>
      <c r="Q735" s="216">
        <f t="shared" si="67"/>
        <v>0.14400000000000002</v>
      </c>
      <c r="R735" s="216">
        <f t="shared" si="68"/>
        <v>0.14399999999999991</v>
      </c>
      <c r="S735" s="217" t="str">
        <f t="shared" si="69"/>
        <v/>
      </c>
    </row>
    <row r="736" spans="1:19" ht="15.75" hidden="1" thickBot="1" x14ac:dyDescent="0.3">
      <c r="A736" s="263"/>
      <c r="B736" s="261"/>
      <c r="C736" s="35"/>
      <c r="D736" s="35"/>
      <c r="E736" s="36"/>
      <c r="F736" s="30" t="s">
        <v>416</v>
      </c>
      <c r="G736" s="30" t="str">
        <f t="shared" si="70"/>
        <v/>
      </c>
      <c r="H736" s="34"/>
      <c r="I736" s="30"/>
      <c r="J736" s="152">
        <v>0</v>
      </c>
      <c r="L736" s="215"/>
      <c r="M736" s="30"/>
      <c r="N736" s="30" t="str">
        <f t="shared" si="71"/>
        <v/>
      </c>
      <c r="O736" s="34"/>
      <c r="P736" s="36" t="str">
        <f t="shared" si="66"/>
        <v/>
      </c>
      <c r="Q736" s="216" t="str">
        <f t="shared" si="67"/>
        <v/>
      </c>
      <c r="R736" s="216" t="str">
        <f t="shared" si="68"/>
        <v/>
      </c>
      <c r="S736" s="217" t="str">
        <f t="shared" si="69"/>
        <v/>
      </c>
    </row>
    <row r="737" spans="1:19" ht="15.75" hidden="1" thickBot="1" x14ac:dyDescent="0.3">
      <c r="A737" s="256" t="s">
        <v>192</v>
      </c>
      <c r="B737" s="259" t="str">
        <f>INDEX(Orçamentária!A:B,MATCH(Composições!A737,Orçamentária!A:A,0),2)</f>
        <v>Mármore Branco Especial 20 mm para rodabancada</v>
      </c>
      <c r="C737" s="40"/>
      <c r="D737" s="25" t="s">
        <v>70</v>
      </c>
      <c r="E737" s="26"/>
      <c r="F737" s="41" t="s">
        <v>416</v>
      </c>
      <c r="G737" s="27" t="str">
        <f t="shared" si="70"/>
        <v/>
      </c>
      <c r="H737" s="28"/>
      <c r="I737" s="29"/>
      <c r="J737" s="152">
        <v>0</v>
      </c>
      <c r="L737" s="218"/>
      <c r="M737" s="41"/>
      <c r="N737" s="27" t="str">
        <f t="shared" si="71"/>
        <v/>
      </c>
      <c r="O737" s="28"/>
      <c r="P737" s="36" t="str">
        <f t="shared" si="66"/>
        <v/>
      </c>
      <c r="Q737" s="216" t="str">
        <f t="shared" si="67"/>
        <v/>
      </c>
      <c r="R737" s="216" t="str">
        <f t="shared" si="68"/>
        <v/>
      </c>
      <c r="S737" s="217" t="str">
        <f t="shared" si="69"/>
        <v/>
      </c>
    </row>
    <row r="738" spans="1:19" ht="15.75" hidden="1" thickBot="1" x14ac:dyDescent="0.3">
      <c r="A738" s="262"/>
      <c r="B738" s="260"/>
      <c r="C738" s="31"/>
      <c r="D738" s="31"/>
      <c r="E738" s="32"/>
      <c r="F738" s="42" t="s">
        <v>416</v>
      </c>
      <c r="G738" s="30" t="str">
        <f t="shared" si="70"/>
        <v/>
      </c>
      <c r="H738" s="34"/>
      <c r="I738" s="30"/>
      <c r="J738" s="152">
        <v>0</v>
      </c>
      <c r="L738" s="219"/>
      <c r="M738" s="42"/>
      <c r="N738" s="30" t="str">
        <f t="shared" si="71"/>
        <v/>
      </c>
      <c r="O738" s="34"/>
      <c r="P738" s="36" t="str">
        <f t="shared" si="66"/>
        <v/>
      </c>
      <c r="Q738" s="216" t="str">
        <f t="shared" si="67"/>
        <v/>
      </c>
      <c r="R738" s="216" t="str">
        <f t="shared" si="68"/>
        <v/>
      </c>
      <c r="S738" s="217" t="str">
        <f t="shared" si="69"/>
        <v/>
      </c>
    </row>
    <row r="739" spans="1:19" ht="26.25" hidden="1" thickBot="1" x14ac:dyDescent="0.3">
      <c r="A739" s="262"/>
      <c r="B739" s="260"/>
      <c r="C739" s="35" t="s">
        <v>193</v>
      </c>
      <c r="D739" s="35" t="s">
        <v>69</v>
      </c>
      <c r="E739" s="36">
        <f>ROUND(1.04/0.15,4)</f>
        <v>6.9333</v>
      </c>
      <c r="F739" s="33" t="s">
        <v>416</v>
      </c>
      <c r="G739" s="33" t="str">
        <f t="shared" si="70"/>
        <v/>
      </c>
      <c r="H739" s="38">
        <f>SUM(G739:G743)</f>
        <v>60.177122999999987</v>
      </c>
      <c r="I739" s="39"/>
      <c r="J739" s="152">
        <v>0</v>
      </c>
      <c r="L739" s="215">
        <v>6.9333</v>
      </c>
      <c r="M739" s="33"/>
      <c r="N739" s="33" t="str">
        <f t="shared" si="71"/>
        <v/>
      </c>
      <c r="O739" s="38">
        <f>SUM(N739:N743)</f>
        <v>51.511617287999989</v>
      </c>
      <c r="P739" s="36" t="str">
        <f t="shared" si="66"/>
        <v/>
      </c>
      <c r="Q739" s="216" t="str">
        <f t="shared" si="67"/>
        <v/>
      </c>
      <c r="R739" s="216" t="str">
        <f t="shared" si="68"/>
        <v/>
      </c>
      <c r="S739" s="217">
        <f t="shared" si="69"/>
        <v>0.14400000000000002</v>
      </c>
    </row>
    <row r="740" spans="1:19" ht="15.75" hidden="1" thickBot="1" x14ac:dyDescent="0.3">
      <c r="A740" s="262"/>
      <c r="B740" s="260"/>
      <c r="C740" s="35" t="s">
        <v>7987</v>
      </c>
      <c r="D740" s="35" t="s">
        <v>773</v>
      </c>
      <c r="E740" s="36">
        <v>8.6199999999999992</v>
      </c>
      <c r="F740" s="33">
        <v>1.8049999999999999</v>
      </c>
      <c r="G740" s="33">
        <f t="shared" si="70"/>
        <v>15.559099999999997</v>
      </c>
      <c r="H740" s="34"/>
      <c r="I740" s="30"/>
      <c r="J740" s="152">
        <v>0</v>
      </c>
      <c r="L740" s="215">
        <v>8.6199999999999992</v>
      </c>
      <c r="M740" s="33">
        <v>1.54508</v>
      </c>
      <c r="N740" s="33">
        <f t="shared" si="71"/>
        <v>13.318589599999999</v>
      </c>
      <c r="O740" s="34"/>
      <c r="P740" s="36" t="str">
        <f t="shared" si="66"/>
        <v/>
      </c>
      <c r="Q740" s="216">
        <f t="shared" si="67"/>
        <v>0.14400000000000002</v>
      </c>
      <c r="R740" s="216">
        <f t="shared" si="68"/>
        <v>0.14399999999999991</v>
      </c>
      <c r="S740" s="217" t="str">
        <f t="shared" si="69"/>
        <v/>
      </c>
    </row>
    <row r="741" spans="1:19" ht="15.75" hidden="1" thickBot="1" x14ac:dyDescent="0.3">
      <c r="A741" s="262"/>
      <c r="B741" s="260"/>
      <c r="C741" s="35" t="s">
        <v>2906</v>
      </c>
      <c r="D741" s="35" t="s">
        <v>583</v>
      </c>
      <c r="E741" s="36">
        <v>1.1879999999999999</v>
      </c>
      <c r="F741" s="30">
        <v>27.036999999999999</v>
      </c>
      <c r="G741" s="33">
        <f t="shared" si="70"/>
        <v>32.119955999999995</v>
      </c>
      <c r="H741" s="34"/>
      <c r="I741" s="30"/>
      <c r="J741" s="152">
        <v>0</v>
      </c>
      <c r="L741" s="215">
        <v>1.1879999999999999</v>
      </c>
      <c r="M741" s="30">
        <v>23.143671999999999</v>
      </c>
      <c r="N741" s="33">
        <f t="shared" si="71"/>
        <v>27.494682335999997</v>
      </c>
      <c r="O741" s="34"/>
      <c r="P741" s="36" t="str">
        <f t="shared" si="66"/>
        <v/>
      </c>
      <c r="Q741" s="216">
        <f t="shared" si="67"/>
        <v>0.14400000000000002</v>
      </c>
      <c r="R741" s="216">
        <f t="shared" si="68"/>
        <v>0.14400000000000002</v>
      </c>
      <c r="S741" s="217" t="str">
        <f t="shared" si="69"/>
        <v/>
      </c>
    </row>
    <row r="742" spans="1:19" ht="15.75" hidden="1" thickBot="1" x14ac:dyDescent="0.3">
      <c r="A742" s="262"/>
      <c r="B742" s="260"/>
      <c r="C742" s="35" t="s">
        <v>584</v>
      </c>
      <c r="D742" s="35" t="s">
        <v>583</v>
      </c>
      <c r="E742" s="36">
        <v>0.59399999999999997</v>
      </c>
      <c r="F742" s="30">
        <v>20.225499999999997</v>
      </c>
      <c r="G742" s="33">
        <f t="shared" si="70"/>
        <v>12.013946999999998</v>
      </c>
      <c r="H742" s="34"/>
      <c r="I742" s="30"/>
      <c r="J742" s="152">
        <v>0</v>
      </c>
      <c r="L742" s="215">
        <v>0.59399999999999997</v>
      </c>
      <c r="M742" s="30">
        <v>17.313027999999996</v>
      </c>
      <c r="N742" s="33">
        <f t="shared" si="71"/>
        <v>10.283938631999996</v>
      </c>
      <c r="O742" s="34"/>
      <c r="P742" s="36" t="str">
        <f t="shared" si="66"/>
        <v/>
      </c>
      <c r="Q742" s="216">
        <f t="shared" si="67"/>
        <v>0.14400000000000013</v>
      </c>
      <c r="R742" s="216">
        <f t="shared" si="68"/>
        <v>0.14400000000000013</v>
      </c>
      <c r="S742" s="217" t="str">
        <f t="shared" si="69"/>
        <v/>
      </c>
    </row>
    <row r="743" spans="1:19" ht="15.75" hidden="1" thickBot="1" x14ac:dyDescent="0.3">
      <c r="A743" s="262"/>
      <c r="B743" s="260"/>
      <c r="C743" s="35" t="s">
        <v>8367</v>
      </c>
      <c r="D743" s="35" t="s">
        <v>773</v>
      </c>
      <c r="E743" s="36">
        <v>0.14000000000000001</v>
      </c>
      <c r="F743" s="33">
        <v>3.4579999999999997</v>
      </c>
      <c r="G743" s="33">
        <f t="shared" si="70"/>
        <v>0.48411999999999999</v>
      </c>
      <c r="H743" s="34"/>
      <c r="I743" s="30"/>
      <c r="J743" s="152">
        <v>0</v>
      </c>
      <c r="L743" s="215">
        <v>0.14000000000000001</v>
      </c>
      <c r="M743" s="33">
        <v>2.9600479999999996</v>
      </c>
      <c r="N743" s="33">
        <f t="shared" si="71"/>
        <v>0.41440672000000001</v>
      </c>
      <c r="O743" s="34"/>
      <c r="P743" s="36" t="str">
        <f t="shared" si="66"/>
        <v/>
      </c>
      <c r="Q743" s="216">
        <f t="shared" si="67"/>
        <v>0.14400000000000002</v>
      </c>
      <c r="R743" s="216">
        <f t="shared" si="68"/>
        <v>0.14400000000000002</v>
      </c>
      <c r="S743" s="217" t="str">
        <f t="shared" si="69"/>
        <v/>
      </c>
    </row>
    <row r="744" spans="1:19" ht="15.75" hidden="1" thickBot="1" x14ac:dyDescent="0.3">
      <c r="A744" s="262"/>
      <c r="B744" s="260"/>
      <c r="C744" s="35"/>
      <c r="D744" s="35"/>
      <c r="E744" s="36"/>
      <c r="F744" s="33" t="s">
        <v>416</v>
      </c>
      <c r="G744" s="33" t="str">
        <f t="shared" si="70"/>
        <v/>
      </c>
      <c r="H744" s="34"/>
      <c r="I744" s="30"/>
      <c r="J744" s="152">
        <v>0</v>
      </c>
      <c r="L744" s="215"/>
      <c r="M744" s="33"/>
      <c r="N744" s="33" t="str">
        <f t="shared" si="71"/>
        <v/>
      </c>
      <c r="O744" s="34"/>
      <c r="P744" s="36" t="str">
        <f t="shared" si="66"/>
        <v/>
      </c>
      <c r="Q744" s="216" t="str">
        <f t="shared" si="67"/>
        <v/>
      </c>
      <c r="R744" s="216" t="str">
        <f t="shared" si="68"/>
        <v/>
      </c>
      <c r="S744" s="217" t="str">
        <f t="shared" si="69"/>
        <v/>
      </c>
    </row>
    <row r="745" spans="1:19" ht="15.75" hidden="1" thickBot="1" x14ac:dyDescent="0.3">
      <c r="A745" s="256" t="s">
        <v>194</v>
      </c>
      <c r="B745" s="259" t="str">
        <f>INDEX(Orçamentária!A:B,MATCH(Composições!A745,Orçamentária!A:A,0),2)</f>
        <v>Instalação de divisória e porta de divisória com dobradiça reaproveitadas</v>
      </c>
      <c r="C745" s="40"/>
      <c r="D745" s="25" t="s">
        <v>70</v>
      </c>
      <c r="E745" s="26"/>
      <c r="F745" s="41" t="s">
        <v>416</v>
      </c>
      <c r="G745" s="27" t="str">
        <f t="shared" si="70"/>
        <v/>
      </c>
      <c r="H745" s="28"/>
      <c r="I745" s="29"/>
      <c r="J745" s="152">
        <v>0</v>
      </c>
      <c r="L745" s="218"/>
      <c r="M745" s="41"/>
      <c r="N745" s="27" t="str">
        <f t="shared" si="71"/>
        <v/>
      </c>
      <c r="O745" s="28"/>
      <c r="P745" s="36" t="str">
        <f t="shared" si="66"/>
        <v/>
      </c>
      <c r="Q745" s="216" t="str">
        <f t="shared" si="67"/>
        <v/>
      </c>
      <c r="R745" s="216" t="str">
        <f t="shared" si="68"/>
        <v/>
      </c>
      <c r="S745" s="217" t="str">
        <f t="shared" si="69"/>
        <v/>
      </c>
    </row>
    <row r="746" spans="1:19" ht="15.75" hidden="1" thickBot="1" x14ac:dyDescent="0.3">
      <c r="A746" s="262"/>
      <c r="B746" s="260"/>
      <c r="C746" s="31"/>
      <c r="D746" s="31"/>
      <c r="E746" s="32"/>
      <c r="F746" s="42" t="s">
        <v>416</v>
      </c>
      <c r="G746" s="30" t="str">
        <f t="shared" si="70"/>
        <v/>
      </c>
      <c r="H746" s="34"/>
      <c r="I746" s="30"/>
      <c r="J746" s="152">
        <v>0</v>
      </c>
      <c r="L746" s="219"/>
      <c r="M746" s="42"/>
      <c r="N746" s="30" t="str">
        <f t="shared" si="71"/>
        <v/>
      </c>
      <c r="O746" s="34"/>
      <c r="P746" s="36" t="str">
        <f t="shared" si="66"/>
        <v/>
      </c>
      <c r="Q746" s="216" t="str">
        <f t="shared" si="67"/>
        <v/>
      </c>
      <c r="R746" s="216" t="str">
        <f t="shared" si="68"/>
        <v/>
      </c>
      <c r="S746" s="217" t="str">
        <f t="shared" si="69"/>
        <v/>
      </c>
    </row>
    <row r="747" spans="1:19" ht="26.25" hidden="1" thickBot="1" x14ac:dyDescent="0.3">
      <c r="A747" s="262"/>
      <c r="B747" s="260"/>
      <c r="C747" s="35" t="s">
        <v>195</v>
      </c>
      <c r="D747" s="46" t="s">
        <v>70</v>
      </c>
      <c r="E747" s="36">
        <v>1</v>
      </c>
      <c r="F747" s="30">
        <v>0</v>
      </c>
      <c r="G747" s="33">
        <f t="shared" si="70"/>
        <v>0</v>
      </c>
      <c r="H747" s="38">
        <f>SUM(G747:G747)</f>
        <v>0</v>
      </c>
      <c r="I747" s="39"/>
      <c r="J747" s="152">
        <v>0</v>
      </c>
      <c r="L747" s="215">
        <v>1</v>
      </c>
      <c r="M747" s="30">
        <v>0</v>
      </c>
      <c r="N747" s="33">
        <f t="shared" si="71"/>
        <v>0</v>
      </c>
      <c r="O747" s="38">
        <f>SUM(N747:N747)</f>
        <v>0</v>
      </c>
      <c r="P747" s="36" t="str">
        <f t="shared" si="66"/>
        <v/>
      </c>
      <c r="Q747" s="216" t="e">
        <f t="shared" si="67"/>
        <v>#DIV/0!</v>
      </c>
      <c r="R747" s="216" t="e">
        <f t="shared" si="68"/>
        <v>#DIV/0!</v>
      </c>
      <c r="S747" s="217" t="e">
        <f t="shared" si="69"/>
        <v>#DIV/0!</v>
      </c>
    </row>
    <row r="748" spans="1:19" ht="15.75" hidden="1" thickBot="1" x14ac:dyDescent="0.3">
      <c r="A748" s="263"/>
      <c r="B748" s="261"/>
      <c r="C748" s="35"/>
      <c r="D748" s="35"/>
      <c r="E748" s="36"/>
      <c r="F748" s="30" t="s">
        <v>416</v>
      </c>
      <c r="G748" s="30" t="str">
        <f t="shared" si="70"/>
        <v/>
      </c>
      <c r="H748" s="34"/>
      <c r="I748" s="30"/>
      <c r="J748" s="152">
        <v>0</v>
      </c>
      <c r="L748" s="215"/>
      <c r="M748" s="30"/>
      <c r="N748" s="30" t="str">
        <f t="shared" si="71"/>
        <v/>
      </c>
      <c r="O748" s="34"/>
      <c r="P748" s="36" t="str">
        <f t="shared" si="66"/>
        <v/>
      </c>
      <c r="Q748" s="216" t="str">
        <f t="shared" si="67"/>
        <v/>
      </c>
      <c r="R748" s="216" t="str">
        <f t="shared" si="68"/>
        <v/>
      </c>
      <c r="S748" s="217" t="str">
        <f t="shared" si="69"/>
        <v/>
      </c>
    </row>
    <row r="749" spans="1:19" ht="15.75" hidden="1" thickBot="1" x14ac:dyDescent="0.3">
      <c r="A749" s="256" t="s">
        <v>196</v>
      </c>
      <c r="B749" s="259" t="str">
        <f>INDEX(Orçamentária!A:B,MATCH(Composições!A749,Orçamentária!A:A,0),2)</f>
        <v>Alçapão em forro de gesso acartonado</v>
      </c>
      <c r="C749" s="40"/>
      <c r="D749" s="25" t="s">
        <v>70</v>
      </c>
      <c r="E749" s="26"/>
      <c r="F749" s="41" t="s">
        <v>416</v>
      </c>
      <c r="G749" s="27" t="str">
        <f t="shared" si="70"/>
        <v/>
      </c>
      <c r="H749" s="28"/>
      <c r="I749" s="29"/>
      <c r="J749" s="152">
        <v>0</v>
      </c>
      <c r="L749" s="218"/>
      <c r="M749" s="41"/>
      <c r="N749" s="27" t="str">
        <f t="shared" si="71"/>
        <v/>
      </c>
      <c r="O749" s="28"/>
      <c r="P749" s="36" t="str">
        <f t="shared" si="66"/>
        <v/>
      </c>
      <c r="Q749" s="216" t="str">
        <f t="shared" si="67"/>
        <v/>
      </c>
      <c r="R749" s="216" t="str">
        <f t="shared" si="68"/>
        <v/>
      </c>
      <c r="S749" s="217" t="str">
        <f t="shared" si="69"/>
        <v/>
      </c>
    </row>
    <row r="750" spans="1:19" ht="15.75" hidden="1" thickBot="1" x14ac:dyDescent="0.3">
      <c r="A750" s="262"/>
      <c r="B750" s="260"/>
      <c r="C750" s="31"/>
      <c r="D750" s="31"/>
      <c r="E750" s="32"/>
      <c r="F750" s="42" t="s">
        <v>416</v>
      </c>
      <c r="G750" s="30" t="str">
        <f t="shared" si="70"/>
        <v/>
      </c>
      <c r="H750" s="34"/>
      <c r="I750" s="30"/>
      <c r="J750" s="152">
        <v>0</v>
      </c>
      <c r="L750" s="219"/>
      <c r="M750" s="42"/>
      <c r="N750" s="30" t="str">
        <f t="shared" si="71"/>
        <v/>
      </c>
      <c r="O750" s="34"/>
      <c r="P750" s="36" t="str">
        <f t="shared" si="66"/>
        <v/>
      </c>
      <c r="Q750" s="216" t="str">
        <f t="shared" si="67"/>
        <v/>
      </c>
      <c r="R750" s="216" t="str">
        <f t="shared" si="68"/>
        <v/>
      </c>
      <c r="S750" s="217" t="str">
        <f t="shared" si="69"/>
        <v/>
      </c>
    </row>
    <row r="751" spans="1:19" ht="26.25" hidden="1" thickBot="1" x14ac:dyDescent="0.3">
      <c r="A751" s="262"/>
      <c r="B751" s="260"/>
      <c r="C751" s="35" t="s">
        <v>8318</v>
      </c>
      <c r="D751" s="35" t="s">
        <v>385</v>
      </c>
      <c r="E751" s="36">
        <f>2*(1.5+0.67)</f>
        <v>4.34</v>
      </c>
      <c r="F751" s="33">
        <v>4.7404999999999999</v>
      </c>
      <c r="G751" s="33">
        <f t="shared" si="70"/>
        <v>20.57377</v>
      </c>
      <c r="H751" s="38">
        <f>SUM(G751:G754)</f>
        <v>67.769769999999994</v>
      </c>
      <c r="I751" s="39"/>
      <c r="J751" s="152">
        <v>0</v>
      </c>
      <c r="L751" s="215">
        <v>4.34</v>
      </c>
      <c r="M751" s="33">
        <v>4.057868</v>
      </c>
      <c r="N751" s="33">
        <f t="shared" si="71"/>
        <v>17.611147119999998</v>
      </c>
      <c r="O751" s="38">
        <f>SUM(N751:N754)</f>
        <v>58.010923119999994</v>
      </c>
      <c r="P751" s="36" t="str">
        <f t="shared" si="66"/>
        <v/>
      </c>
      <c r="Q751" s="216">
        <f t="shared" si="67"/>
        <v>0.14400000000000002</v>
      </c>
      <c r="R751" s="216">
        <f t="shared" si="68"/>
        <v>0.14400000000000002</v>
      </c>
      <c r="S751" s="217">
        <f t="shared" si="69"/>
        <v>0.14400000000000002</v>
      </c>
    </row>
    <row r="752" spans="1:19" ht="15.75" hidden="1" thickBot="1" x14ac:dyDescent="0.3">
      <c r="A752" s="262"/>
      <c r="B752" s="260"/>
      <c r="C752" s="35" t="s">
        <v>197</v>
      </c>
      <c r="D752" s="46" t="s">
        <v>70</v>
      </c>
      <c r="E752" s="36">
        <f>0.36/0.6/0.6</f>
        <v>1</v>
      </c>
      <c r="F752" s="33" t="s">
        <v>416</v>
      </c>
      <c r="G752" s="33" t="str">
        <f t="shared" si="70"/>
        <v/>
      </c>
      <c r="H752" s="34"/>
      <c r="I752" s="30"/>
      <c r="J752" s="152">
        <v>0</v>
      </c>
      <c r="L752" s="215">
        <v>1</v>
      </c>
      <c r="M752" s="33"/>
      <c r="N752" s="33" t="str">
        <f t="shared" si="71"/>
        <v/>
      </c>
      <c r="O752" s="34"/>
      <c r="P752" s="36" t="str">
        <f t="shared" si="66"/>
        <v/>
      </c>
      <c r="Q752" s="216" t="str">
        <f t="shared" si="67"/>
        <v/>
      </c>
      <c r="R752" s="216" t="str">
        <f t="shared" si="68"/>
        <v/>
      </c>
      <c r="S752" s="217" t="str">
        <f t="shared" si="69"/>
        <v/>
      </c>
    </row>
    <row r="753" spans="1:19" ht="15.75" hidden="1" thickBot="1" x14ac:dyDescent="0.3">
      <c r="A753" s="262"/>
      <c r="B753" s="260"/>
      <c r="C753" s="35" t="s">
        <v>1103</v>
      </c>
      <c r="D753" s="35" t="s">
        <v>583</v>
      </c>
      <c r="E753" s="36">
        <v>1</v>
      </c>
      <c r="F753" s="30">
        <v>26.970499999999998</v>
      </c>
      <c r="G753" s="33">
        <f t="shared" si="70"/>
        <v>26.970499999999998</v>
      </c>
      <c r="H753" s="34"/>
      <c r="I753" s="30"/>
      <c r="J753" s="152">
        <v>0</v>
      </c>
      <c r="L753" s="215">
        <v>1</v>
      </c>
      <c r="M753" s="30">
        <v>23.086748</v>
      </c>
      <c r="N753" s="33">
        <f t="shared" si="71"/>
        <v>23.086748</v>
      </c>
      <c r="O753" s="34"/>
      <c r="P753" s="36" t="str">
        <f t="shared" si="66"/>
        <v/>
      </c>
      <c r="Q753" s="216">
        <f t="shared" si="67"/>
        <v>0.14399999999999991</v>
      </c>
      <c r="R753" s="216">
        <f t="shared" si="68"/>
        <v>0.14399999999999991</v>
      </c>
      <c r="S753" s="217" t="str">
        <f t="shared" si="69"/>
        <v/>
      </c>
    </row>
    <row r="754" spans="1:19" ht="15.75" hidden="1" thickBot="1" x14ac:dyDescent="0.3">
      <c r="A754" s="262"/>
      <c r="B754" s="260"/>
      <c r="C754" s="35" t="s">
        <v>584</v>
      </c>
      <c r="D754" s="35" t="s">
        <v>583</v>
      </c>
      <c r="E754" s="36">
        <v>1</v>
      </c>
      <c r="F754" s="30">
        <v>20.225499999999997</v>
      </c>
      <c r="G754" s="33">
        <f t="shared" si="70"/>
        <v>20.225499999999997</v>
      </c>
      <c r="H754" s="34"/>
      <c r="I754" s="30"/>
      <c r="J754" s="152">
        <v>0</v>
      </c>
      <c r="L754" s="215">
        <v>1</v>
      </c>
      <c r="M754" s="30">
        <v>17.313027999999996</v>
      </c>
      <c r="N754" s="33">
        <f t="shared" si="71"/>
        <v>17.313027999999996</v>
      </c>
      <c r="O754" s="34"/>
      <c r="P754" s="36" t="str">
        <f t="shared" si="66"/>
        <v/>
      </c>
      <c r="Q754" s="216">
        <f t="shared" si="67"/>
        <v>0.14400000000000013</v>
      </c>
      <c r="R754" s="216">
        <f t="shared" si="68"/>
        <v>0.14400000000000013</v>
      </c>
      <c r="S754" s="217" t="str">
        <f t="shared" si="69"/>
        <v/>
      </c>
    </row>
    <row r="755" spans="1:19" ht="15.75" hidden="1" thickBot="1" x14ac:dyDescent="0.3">
      <c r="A755" s="263"/>
      <c r="B755" s="261"/>
      <c r="C755" s="35"/>
      <c r="D755" s="35"/>
      <c r="E755" s="36"/>
      <c r="F755" s="30" t="s">
        <v>416</v>
      </c>
      <c r="G755" s="30" t="str">
        <f t="shared" si="70"/>
        <v/>
      </c>
      <c r="H755" s="34"/>
      <c r="I755" s="30"/>
      <c r="J755" s="152">
        <v>0</v>
      </c>
      <c r="L755" s="215"/>
      <c r="M755" s="30"/>
      <c r="N755" s="30" t="str">
        <f t="shared" si="71"/>
        <v/>
      </c>
      <c r="O755" s="34"/>
      <c r="P755" s="36" t="str">
        <f t="shared" si="66"/>
        <v/>
      </c>
      <c r="Q755" s="216" t="str">
        <f t="shared" si="67"/>
        <v/>
      </c>
      <c r="R755" s="216" t="str">
        <f t="shared" si="68"/>
        <v/>
      </c>
      <c r="S755" s="217" t="str">
        <f t="shared" si="69"/>
        <v/>
      </c>
    </row>
    <row r="756" spans="1:19" ht="15.75" hidden="1" thickBot="1" x14ac:dyDescent="0.3">
      <c r="A756" s="256" t="s">
        <v>198</v>
      </c>
      <c r="B756" s="259" t="str">
        <f>INDEX(Orçamentária!A:B,MATCH(Composições!A756,Orçamentária!A:A,0),2)</f>
        <v>Forro de PVC em réguas de 100 x 6000 mm</v>
      </c>
      <c r="C756" s="40"/>
      <c r="D756" s="25" t="s">
        <v>70</v>
      </c>
      <c r="E756" s="26"/>
      <c r="F756" s="41" t="s">
        <v>416</v>
      </c>
      <c r="G756" s="27" t="str">
        <f t="shared" si="70"/>
        <v/>
      </c>
      <c r="H756" s="28"/>
      <c r="I756" s="29"/>
      <c r="J756" s="152">
        <v>0</v>
      </c>
      <c r="L756" s="218"/>
      <c r="M756" s="41"/>
      <c r="N756" s="27" t="str">
        <f t="shared" si="71"/>
        <v/>
      </c>
      <c r="O756" s="28"/>
      <c r="P756" s="36" t="str">
        <f t="shared" si="66"/>
        <v/>
      </c>
      <c r="Q756" s="216" t="str">
        <f t="shared" si="67"/>
        <v/>
      </c>
      <c r="R756" s="216" t="str">
        <f t="shared" si="68"/>
        <v/>
      </c>
      <c r="S756" s="217" t="str">
        <f t="shared" si="69"/>
        <v/>
      </c>
    </row>
    <row r="757" spans="1:19" ht="15.75" hidden="1" thickBot="1" x14ac:dyDescent="0.3">
      <c r="A757" s="262"/>
      <c r="B757" s="260"/>
      <c r="C757" s="31"/>
      <c r="D757" s="31"/>
      <c r="E757" s="32"/>
      <c r="F757" s="42" t="s">
        <v>416</v>
      </c>
      <c r="G757" s="30" t="str">
        <f t="shared" si="70"/>
        <v/>
      </c>
      <c r="H757" s="34"/>
      <c r="I757" s="30"/>
      <c r="J757" s="152">
        <v>0</v>
      </c>
      <c r="L757" s="219"/>
      <c r="M757" s="42"/>
      <c r="N757" s="30" t="str">
        <f t="shared" si="71"/>
        <v/>
      </c>
      <c r="O757" s="34"/>
      <c r="P757" s="36" t="str">
        <f t="shared" si="66"/>
        <v/>
      </c>
      <c r="Q757" s="216" t="str">
        <f t="shared" si="67"/>
        <v/>
      </c>
      <c r="R757" s="216" t="str">
        <f t="shared" si="68"/>
        <v/>
      </c>
      <c r="S757" s="217" t="str">
        <f t="shared" si="69"/>
        <v/>
      </c>
    </row>
    <row r="758" spans="1:19" ht="26.25" hidden="1" thickBot="1" x14ac:dyDescent="0.3">
      <c r="A758" s="262"/>
      <c r="B758" s="260"/>
      <c r="C758" s="35" t="s">
        <v>199</v>
      </c>
      <c r="D758" s="35" t="s">
        <v>773</v>
      </c>
      <c r="E758" s="36">
        <v>4.2599999999999999E-2</v>
      </c>
      <c r="F758" s="33">
        <v>24.4435</v>
      </c>
      <c r="G758" s="30">
        <f t="shared" si="70"/>
        <v>1.0412931000000001</v>
      </c>
      <c r="H758" s="38">
        <f>SUM(G758:G765)</f>
        <v>63.404395549999997</v>
      </c>
      <c r="I758" s="39"/>
      <c r="J758" s="152">
        <v>0</v>
      </c>
      <c r="L758" s="215">
        <v>4.2599999999999999E-2</v>
      </c>
      <c r="M758" s="33">
        <v>20.923636000000002</v>
      </c>
      <c r="N758" s="30">
        <f t="shared" si="71"/>
        <v>0.89134689360000008</v>
      </c>
      <c r="O758" s="38">
        <f>SUM(N758:N765)</f>
        <v>54.274162590799989</v>
      </c>
      <c r="P758" s="36" t="str">
        <f t="shared" si="66"/>
        <v/>
      </c>
      <c r="Q758" s="216">
        <f t="shared" si="67"/>
        <v>0.14399999999999991</v>
      </c>
      <c r="R758" s="216">
        <f t="shared" si="68"/>
        <v>0.14400000000000002</v>
      </c>
      <c r="S758" s="217">
        <f t="shared" si="69"/>
        <v>0.14400000000000013</v>
      </c>
    </row>
    <row r="759" spans="1:19" ht="39" hidden="1" thickBot="1" x14ac:dyDescent="0.3">
      <c r="A759" s="262"/>
      <c r="B759" s="260"/>
      <c r="C759" s="35" t="s">
        <v>8172</v>
      </c>
      <c r="D759" s="35" t="s">
        <v>861</v>
      </c>
      <c r="E759" s="36">
        <v>1.0955999999999999</v>
      </c>
      <c r="F759" s="33">
        <v>22.799999999999997</v>
      </c>
      <c r="G759" s="30">
        <f t="shared" si="70"/>
        <v>24.979679999999995</v>
      </c>
      <c r="H759" s="34"/>
      <c r="I759" s="30"/>
      <c r="J759" s="152">
        <v>0</v>
      </c>
      <c r="L759" s="215">
        <v>1.0955999999999999</v>
      </c>
      <c r="M759" s="33">
        <v>19.516799999999996</v>
      </c>
      <c r="N759" s="30">
        <f t="shared" si="71"/>
        <v>21.382606079999995</v>
      </c>
      <c r="O759" s="34"/>
      <c r="P759" s="36" t="str">
        <f t="shared" si="66"/>
        <v/>
      </c>
      <c r="Q759" s="216">
        <f t="shared" si="67"/>
        <v>0.14400000000000002</v>
      </c>
      <c r="R759" s="216">
        <f t="shared" si="68"/>
        <v>0.14400000000000002</v>
      </c>
      <c r="S759" s="217" t="str">
        <f t="shared" si="69"/>
        <v/>
      </c>
    </row>
    <row r="760" spans="1:19" ht="39" hidden="1" thickBot="1" x14ac:dyDescent="0.3">
      <c r="A760" s="262"/>
      <c r="B760" s="260"/>
      <c r="C760" s="35" t="s">
        <v>8314</v>
      </c>
      <c r="D760" s="35" t="s">
        <v>385</v>
      </c>
      <c r="E760" s="36">
        <v>3.8498999999999999</v>
      </c>
      <c r="F760" s="33">
        <v>5.6429999999999998</v>
      </c>
      <c r="G760" s="30">
        <f t="shared" si="70"/>
        <v>21.724985699999998</v>
      </c>
      <c r="H760" s="34"/>
      <c r="I760" s="30"/>
      <c r="J760" s="152">
        <v>0</v>
      </c>
      <c r="L760" s="215">
        <v>3.8498999999999999</v>
      </c>
      <c r="M760" s="33">
        <v>4.8304080000000003</v>
      </c>
      <c r="N760" s="30">
        <f t="shared" si="71"/>
        <v>18.596587759200002</v>
      </c>
      <c r="O760" s="34"/>
      <c r="P760" s="36" t="str">
        <f t="shared" si="66"/>
        <v/>
      </c>
      <c r="Q760" s="216">
        <f t="shared" si="67"/>
        <v>0.14399999999999991</v>
      </c>
      <c r="R760" s="216">
        <f t="shared" si="68"/>
        <v>0.14399999999999979</v>
      </c>
      <c r="S760" s="217" t="str">
        <f t="shared" si="69"/>
        <v/>
      </c>
    </row>
    <row r="761" spans="1:19" ht="39" hidden="1" thickBot="1" x14ac:dyDescent="0.3">
      <c r="A761" s="262"/>
      <c r="B761" s="260"/>
      <c r="C761" s="35" t="s">
        <v>8313</v>
      </c>
      <c r="D761" s="35" t="s">
        <v>213</v>
      </c>
      <c r="E761" s="36">
        <v>1.3265</v>
      </c>
      <c r="F761" s="33">
        <v>2.1280000000000001</v>
      </c>
      <c r="G761" s="30">
        <f t="shared" si="70"/>
        <v>2.8227920000000002</v>
      </c>
      <c r="H761" s="34"/>
      <c r="I761" s="30"/>
      <c r="J761" s="152">
        <v>0</v>
      </c>
      <c r="L761" s="215">
        <v>1.3265</v>
      </c>
      <c r="M761" s="33">
        <v>1.8215680000000001</v>
      </c>
      <c r="N761" s="30">
        <f t="shared" si="71"/>
        <v>2.4163099520000002</v>
      </c>
      <c r="O761" s="34"/>
      <c r="P761" s="36" t="str">
        <f t="shared" si="66"/>
        <v/>
      </c>
      <c r="Q761" s="216">
        <f t="shared" si="67"/>
        <v>0.14400000000000002</v>
      </c>
      <c r="R761" s="216">
        <f t="shared" si="68"/>
        <v>0.14400000000000002</v>
      </c>
      <c r="S761" s="217" t="str">
        <f t="shared" si="69"/>
        <v/>
      </c>
    </row>
    <row r="762" spans="1:19" ht="26.25" hidden="1" thickBot="1" x14ac:dyDescent="0.3">
      <c r="A762" s="262"/>
      <c r="B762" s="260"/>
      <c r="C762" s="35" t="s">
        <v>8306</v>
      </c>
      <c r="D762" s="35" t="s">
        <v>213</v>
      </c>
      <c r="E762" s="36">
        <v>2.1911999999999998</v>
      </c>
      <c r="F762" s="33">
        <v>0.247</v>
      </c>
      <c r="G762" s="30">
        <f t="shared" si="70"/>
        <v>0.5412264</v>
      </c>
      <c r="H762" s="34"/>
      <c r="I762" s="30"/>
      <c r="J762" s="152">
        <v>0</v>
      </c>
      <c r="L762" s="215">
        <v>2.1911999999999998</v>
      </c>
      <c r="M762" s="33">
        <v>0.21143200000000001</v>
      </c>
      <c r="N762" s="30">
        <f t="shared" si="71"/>
        <v>0.46328979839999995</v>
      </c>
      <c r="O762" s="34"/>
      <c r="P762" s="36" t="str">
        <f t="shared" si="66"/>
        <v/>
      </c>
      <c r="Q762" s="216">
        <f t="shared" si="67"/>
        <v>0.14399999999999991</v>
      </c>
      <c r="R762" s="216">
        <f t="shared" si="68"/>
        <v>0.14400000000000013</v>
      </c>
      <c r="S762" s="217" t="str">
        <f t="shared" si="69"/>
        <v/>
      </c>
    </row>
    <row r="763" spans="1:19" ht="26.25" hidden="1" thickBot="1" x14ac:dyDescent="0.3">
      <c r="A763" s="262"/>
      <c r="B763" s="260"/>
      <c r="C763" s="35" t="s">
        <v>200</v>
      </c>
      <c r="D763" s="35" t="s">
        <v>1102</v>
      </c>
      <c r="E763" s="36">
        <v>1.32E-2</v>
      </c>
      <c r="F763" s="33">
        <v>27.701999999999998</v>
      </c>
      <c r="G763" s="30">
        <f t="shared" si="70"/>
        <v>0.36566639999999995</v>
      </c>
      <c r="H763" s="34"/>
      <c r="I763" s="30"/>
      <c r="J763" s="152">
        <v>0</v>
      </c>
      <c r="L763" s="215">
        <v>1.32E-2</v>
      </c>
      <c r="M763" s="33">
        <v>23.712911999999999</v>
      </c>
      <c r="N763" s="30">
        <f t="shared" si="71"/>
        <v>0.31301043839999998</v>
      </c>
      <c r="O763" s="34"/>
      <c r="P763" s="36" t="str">
        <f t="shared" si="66"/>
        <v/>
      </c>
      <c r="Q763" s="216">
        <f t="shared" si="67"/>
        <v>0.14400000000000002</v>
      </c>
      <c r="R763" s="216">
        <f t="shared" si="68"/>
        <v>0.14399999999999991</v>
      </c>
      <c r="S763" s="217" t="str">
        <f t="shared" si="69"/>
        <v/>
      </c>
    </row>
    <row r="764" spans="1:19" ht="26.25" hidden="1" thickBot="1" x14ac:dyDescent="0.3">
      <c r="A764" s="262"/>
      <c r="B764" s="260"/>
      <c r="C764" s="35" t="s">
        <v>201</v>
      </c>
      <c r="D764" s="35" t="s">
        <v>1102</v>
      </c>
      <c r="E764" s="36">
        <v>3.3300000000000003E-2</v>
      </c>
      <c r="F764" s="33">
        <v>47.490499999999997</v>
      </c>
      <c r="G764" s="30">
        <f t="shared" si="70"/>
        <v>1.5814336500000001</v>
      </c>
      <c r="H764" s="34"/>
      <c r="I764" s="30"/>
      <c r="J764" s="152">
        <v>0</v>
      </c>
      <c r="L764" s="215">
        <v>3.3300000000000003E-2</v>
      </c>
      <c r="M764" s="33">
        <v>40.651868</v>
      </c>
      <c r="N764" s="30">
        <f t="shared" si="71"/>
        <v>1.3537072044000003</v>
      </c>
      <c r="O764" s="34"/>
      <c r="P764" s="36" t="str">
        <f t="shared" si="66"/>
        <v/>
      </c>
      <c r="Q764" s="216">
        <f t="shared" si="67"/>
        <v>0.14399999999999991</v>
      </c>
      <c r="R764" s="216">
        <f t="shared" si="68"/>
        <v>0.14399999999999991</v>
      </c>
      <c r="S764" s="217" t="str">
        <f t="shared" si="69"/>
        <v/>
      </c>
    </row>
    <row r="765" spans="1:19" ht="26.25" hidden="1" thickBot="1" x14ac:dyDescent="0.3">
      <c r="A765" s="262"/>
      <c r="B765" s="260"/>
      <c r="C765" s="35" t="s">
        <v>854</v>
      </c>
      <c r="D765" s="35" t="s">
        <v>583</v>
      </c>
      <c r="E765" s="36">
        <v>0.49940000000000001</v>
      </c>
      <c r="F765" s="30">
        <v>20.719499999999996</v>
      </c>
      <c r="G765" s="30">
        <f t="shared" si="70"/>
        <v>10.347318299999998</v>
      </c>
      <c r="H765" s="34"/>
      <c r="I765" s="30"/>
      <c r="J765" s="152">
        <v>0</v>
      </c>
      <c r="L765" s="215">
        <v>0.49940000000000001</v>
      </c>
      <c r="M765" s="30">
        <v>17.735891999999996</v>
      </c>
      <c r="N765" s="30">
        <f t="shared" si="71"/>
        <v>8.8573044647999986</v>
      </c>
      <c r="O765" s="34"/>
      <c r="P765" s="36" t="str">
        <f t="shared" si="66"/>
        <v/>
      </c>
      <c r="Q765" s="216">
        <f t="shared" si="67"/>
        <v>0.14400000000000002</v>
      </c>
      <c r="R765" s="216">
        <f t="shared" si="68"/>
        <v>0.14399999999999991</v>
      </c>
      <c r="S765" s="217" t="str">
        <f t="shared" si="69"/>
        <v/>
      </c>
    </row>
    <row r="766" spans="1:19" ht="15.75" hidden="1" thickBot="1" x14ac:dyDescent="0.3">
      <c r="A766" s="263"/>
      <c r="B766" s="261"/>
      <c r="C766" s="35"/>
      <c r="D766" s="35"/>
      <c r="E766" s="36"/>
      <c r="F766" s="30" t="s">
        <v>416</v>
      </c>
      <c r="G766" s="30" t="str">
        <f t="shared" si="70"/>
        <v/>
      </c>
      <c r="H766" s="34"/>
      <c r="I766" s="30"/>
      <c r="J766" s="152">
        <v>0</v>
      </c>
      <c r="L766" s="215"/>
      <c r="M766" s="30"/>
      <c r="N766" s="30" t="str">
        <f t="shared" si="71"/>
        <v/>
      </c>
      <c r="O766" s="34"/>
      <c r="P766" s="36" t="str">
        <f t="shared" si="66"/>
        <v/>
      </c>
      <c r="Q766" s="216" t="str">
        <f t="shared" si="67"/>
        <v/>
      </c>
      <c r="R766" s="216" t="str">
        <f t="shared" si="68"/>
        <v/>
      </c>
      <c r="S766" s="217" t="str">
        <f t="shared" si="69"/>
        <v/>
      </c>
    </row>
    <row r="767" spans="1:19" ht="15.75" hidden="1" thickBot="1" x14ac:dyDescent="0.3">
      <c r="A767" s="256" t="s">
        <v>202</v>
      </c>
      <c r="B767" s="259" t="str">
        <f>INDEX(Orçamentária!A:B,MATCH(Composições!A767,Orçamentária!A:A,0),2)</f>
        <v>Forro de PVC em réguas de 100 x 6000 mm, sem estrutura</v>
      </c>
      <c r="C767" s="40"/>
      <c r="D767" s="25" t="s">
        <v>70</v>
      </c>
      <c r="E767" s="26"/>
      <c r="F767" s="41" t="s">
        <v>416</v>
      </c>
      <c r="G767" s="27" t="str">
        <f t="shared" si="70"/>
        <v/>
      </c>
      <c r="H767" s="28"/>
      <c r="I767" s="29"/>
      <c r="J767" s="152">
        <v>0</v>
      </c>
      <c r="L767" s="218"/>
      <c r="M767" s="41"/>
      <c r="N767" s="27" t="str">
        <f t="shared" si="71"/>
        <v/>
      </c>
      <c r="O767" s="28"/>
      <c r="P767" s="36" t="str">
        <f t="shared" si="66"/>
        <v/>
      </c>
      <c r="Q767" s="216" t="str">
        <f t="shared" si="67"/>
        <v/>
      </c>
      <c r="R767" s="216" t="str">
        <f t="shared" si="68"/>
        <v/>
      </c>
      <c r="S767" s="217" t="str">
        <f t="shared" si="69"/>
        <v/>
      </c>
    </row>
    <row r="768" spans="1:19" ht="15.75" hidden="1" thickBot="1" x14ac:dyDescent="0.3">
      <c r="A768" s="262"/>
      <c r="B768" s="260"/>
      <c r="C768" s="31"/>
      <c r="D768" s="31"/>
      <c r="E768" s="32"/>
      <c r="F768" s="42" t="s">
        <v>416</v>
      </c>
      <c r="G768" s="30" t="str">
        <f t="shared" si="70"/>
        <v/>
      </c>
      <c r="H768" s="34"/>
      <c r="I768" s="30"/>
      <c r="J768" s="152">
        <v>0</v>
      </c>
      <c r="L768" s="219"/>
      <c r="M768" s="42"/>
      <c r="N768" s="30" t="str">
        <f t="shared" si="71"/>
        <v/>
      </c>
      <c r="O768" s="34"/>
      <c r="P768" s="36" t="str">
        <f t="shared" si="66"/>
        <v/>
      </c>
      <c r="Q768" s="216" t="str">
        <f t="shared" si="67"/>
        <v/>
      </c>
      <c r="R768" s="216" t="str">
        <f t="shared" si="68"/>
        <v/>
      </c>
      <c r="S768" s="217" t="str">
        <f t="shared" si="69"/>
        <v/>
      </c>
    </row>
    <row r="769" spans="1:19" ht="39" hidden="1" thickBot="1" x14ac:dyDescent="0.3">
      <c r="A769" s="262"/>
      <c r="B769" s="260"/>
      <c r="C769" s="35" t="s">
        <v>8172</v>
      </c>
      <c r="D769" s="35" t="s">
        <v>861</v>
      </c>
      <c r="E769" s="36">
        <v>1.0955999999999999</v>
      </c>
      <c r="F769" s="33">
        <v>22.799999999999997</v>
      </c>
      <c r="G769" s="30">
        <f t="shared" si="70"/>
        <v>24.979679999999995</v>
      </c>
      <c r="H769" s="38">
        <f>SUM(G769:G771)</f>
        <v>28.624687499999993</v>
      </c>
      <c r="I769" s="39"/>
      <c r="J769" s="152">
        <v>0</v>
      </c>
      <c r="L769" s="215">
        <v>1.0955999999999999</v>
      </c>
      <c r="M769" s="33">
        <v>19.516799999999996</v>
      </c>
      <c r="N769" s="30">
        <f t="shared" si="71"/>
        <v>21.382606079999995</v>
      </c>
      <c r="O769" s="38">
        <f>SUM(N769:N771)</f>
        <v>24.502732499999993</v>
      </c>
      <c r="P769" s="36" t="str">
        <f t="shared" si="66"/>
        <v/>
      </c>
      <c r="Q769" s="216">
        <f t="shared" si="67"/>
        <v>0.14400000000000002</v>
      </c>
      <c r="R769" s="216">
        <f t="shared" si="68"/>
        <v>0.14400000000000002</v>
      </c>
      <c r="S769" s="217">
        <f t="shared" si="69"/>
        <v>0.14400000000000002</v>
      </c>
    </row>
    <row r="770" spans="1:19" ht="26.25" hidden="1" thickBot="1" x14ac:dyDescent="0.3">
      <c r="A770" s="262"/>
      <c r="B770" s="260"/>
      <c r="C770" s="35" t="s">
        <v>8306</v>
      </c>
      <c r="D770" s="35" t="s">
        <v>213</v>
      </c>
      <c r="E770" s="36">
        <v>2.1911999999999998</v>
      </c>
      <c r="F770" s="33">
        <v>0.247</v>
      </c>
      <c r="G770" s="33">
        <f t="shared" si="70"/>
        <v>0.5412264</v>
      </c>
      <c r="H770" s="43"/>
      <c r="I770" s="39"/>
      <c r="J770" s="152">
        <v>0</v>
      </c>
      <c r="L770" s="215">
        <v>2.1911999999999998</v>
      </c>
      <c r="M770" s="33">
        <v>0.21143200000000001</v>
      </c>
      <c r="N770" s="33">
        <f t="shared" si="71"/>
        <v>0.46328979839999995</v>
      </c>
      <c r="O770" s="43"/>
      <c r="P770" s="36" t="str">
        <f t="shared" si="66"/>
        <v/>
      </c>
      <c r="Q770" s="216">
        <f t="shared" si="67"/>
        <v>0.14399999999999991</v>
      </c>
      <c r="R770" s="216">
        <f t="shared" si="68"/>
        <v>0.14400000000000013</v>
      </c>
      <c r="S770" s="217" t="str">
        <f t="shared" si="69"/>
        <v/>
      </c>
    </row>
    <row r="771" spans="1:19" ht="26.25" hidden="1" thickBot="1" x14ac:dyDescent="0.3">
      <c r="A771" s="262"/>
      <c r="B771" s="260"/>
      <c r="C771" s="35" t="s">
        <v>854</v>
      </c>
      <c r="D771" s="35" t="s">
        <v>583</v>
      </c>
      <c r="E771" s="36">
        <f>ROUND(0.4994*0.3,4)</f>
        <v>0.14979999999999999</v>
      </c>
      <c r="F771" s="30">
        <v>20.719499999999996</v>
      </c>
      <c r="G771" s="33">
        <f t="shared" si="70"/>
        <v>3.1037810999999991</v>
      </c>
      <c r="H771" s="34"/>
      <c r="I771" s="30"/>
      <c r="J771" s="152">
        <v>0</v>
      </c>
      <c r="L771" s="215">
        <v>0.14979999999999999</v>
      </c>
      <c r="M771" s="30">
        <v>17.735891999999996</v>
      </c>
      <c r="N771" s="33">
        <f t="shared" si="71"/>
        <v>2.6568366215999992</v>
      </c>
      <c r="O771" s="34"/>
      <c r="P771" s="36" t="str">
        <f t="shared" si="66"/>
        <v/>
      </c>
      <c r="Q771" s="216">
        <f t="shared" si="67"/>
        <v>0.14400000000000002</v>
      </c>
      <c r="R771" s="216">
        <f t="shared" si="68"/>
        <v>0.14400000000000002</v>
      </c>
      <c r="S771" s="217" t="str">
        <f t="shared" si="69"/>
        <v/>
      </c>
    </row>
    <row r="772" spans="1:19" ht="15.75" hidden="1" thickBot="1" x14ac:dyDescent="0.3">
      <c r="A772" s="263"/>
      <c r="B772" s="261"/>
      <c r="C772" s="35"/>
      <c r="D772" s="35"/>
      <c r="E772" s="36"/>
      <c r="F772" s="30" t="s">
        <v>416</v>
      </c>
      <c r="G772" s="30" t="str">
        <f t="shared" si="70"/>
        <v/>
      </c>
      <c r="H772" s="34"/>
      <c r="I772" s="30"/>
      <c r="J772" s="152">
        <v>0</v>
      </c>
      <c r="L772" s="215"/>
      <c r="M772" s="30"/>
      <c r="N772" s="30" t="str">
        <f t="shared" si="71"/>
        <v/>
      </c>
      <c r="O772" s="34"/>
      <c r="P772" s="36" t="str">
        <f t="shared" si="66"/>
        <v/>
      </c>
      <c r="Q772" s="216" t="str">
        <f t="shared" si="67"/>
        <v/>
      </c>
      <c r="R772" s="216" t="str">
        <f t="shared" si="68"/>
        <v/>
      </c>
      <c r="S772" s="217" t="str">
        <f t="shared" si="69"/>
        <v/>
      </c>
    </row>
    <row r="773" spans="1:19" ht="15.75" hidden="1" thickBot="1" x14ac:dyDescent="0.3">
      <c r="A773" s="256" t="s">
        <v>203</v>
      </c>
      <c r="B773" s="259" t="str">
        <f>INDEX(Orçamentária!A:B,MATCH(Composições!A773,Orçamentária!A:A,0),2)</f>
        <v>Forro de PVC modular em placas</v>
      </c>
      <c r="C773" s="40"/>
      <c r="D773" s="25" t="s">
        <v>70</v>
      </c>
      <c r="E773" s="26"/>
      <c r="F773" s="41" t="s">
        <v>416</v>
      </c>
      <c r="G773" s="27" t="str">
        <f t="shared" si="70"/>
        <v/>
      </c>
      <c r="H773" s="28"/>
      <c r="I773" s="29"/>
      <c r="J773" s="152">
        <v>0</v>
      </c>
      <c r="L773" s="218"/>
      <c r="M773" s="41"/>
      <c r="N773" s="27" t="str">
        <f t="shared" si="71"/>
        <v/>
      </c>
      <c r="O773" s="28"/>
      <c r="P773" s="36" t="str">
        <f t="shared" si="66"/>
        <v/>
      </c>
      <c r="Q773" s="216" t="str">
        <f t="shared" si="67"/>
        <v/>
      </c>
      <c r="R773" s="216" t="str">
        <f t="shared" si="68"/>
        <v/>
      </c>
      <c r="S773" s="217" t="str">
        <f t="shared" si="69"/>
        <v/>
      </c>
    </row>
    <row r="774" spans="1:19" ht="15.75" hidden="1" thickBot="1" x14ac:dyDescent="0.3">
      <c r="A774" s="257"/>
      <c r="B774" s="260"/>
      <c r="C774" s="31"/>
      <c r="D774" s="31"/>
      <c r="E774" s="32"/>
      <c r="F774" s="42" t="s">
        <v>416</v>
      </c>
      <c r="G774" s="30" t="str">
        <f t="shared" si="70"/>
        <v/>
      </c>
      <c r="H774" s="34"/>
      <c r="I774" s="30"/>
      <c r="J774" s="152">
        <v>0</v>
      </c>
      <c r="L774" s="219"/>
      <c r="M774" s="42"/>
      <c r="N774" s="30" t="str">
        <f t="shared" si="71"/>
        <v/>
      </c>
      <c r="O774" s="34"/>
      <c r="P774" s="36" t="str">
        <f t="shared" si="66"/>
        <v/>
      </c>
      <c r="Q774" s="216" t="str">
        <f t="shared" si="67"/>
        <v/>
      </c>
      <c r="R774" s="216" t="str">
        <f t="shared" si="68"/>
        <v/>
      </c>
      <c r="S774" s="217" t="str">
        <f t="shared" si="69"/>
        <v/>
      </c>
    </row>
    <row r="775" spans="1:19" ht="26.25" hidden="1" thickBot="1" x14ac:dyDescent="0.3">
      <c r="A775" s="257"/>
      <c r="B775" s="260"/>
      <c r="C775" s="35" t="s">
        <v>199</v>
      </c>
      <c r="D775" s="35" t="s">
        <v>773</v>
      </c>
      <c r="E775" s="36">
        <v>4.2599999999999999E-2</v>
      </c>
      <c r="F775" s="33">
        <v>24.4435</v>
      </c>
      <c r="G775" s="30">
        <f t="shared" si="70"/>
        <v>1.0412931000000001</v>
      </c>
      <c r="H775" s="38">
        <f>SUM(G775:G782)</f>
        <v>38.424715549999995</v>
      </c>
      <c r="I775" s="39"/>
      <c r="J775" s="152">
        <v>0</v>
      </c>
      <c r="L775" s="215">
        <v>4.2599999999999999E-2</v>
      </c>
      <c r="M775" s="33">
        <v>20.923636000000002</v>
      </c>
      <c r="N775" s="30">
        <f t="shared" si="71"/>
        <v>0.89134689360000008</v>
      </c>
      <c r="O775" s="38">
        <f>SUM(N775:N782)</f>
        <v>32.891556510800001</v>
      </c>
      <c r="P775" s="36" t="str">
        <f t="shared" si="66"/>
        <v/>
      </c>
      <c r="Q775" s="216">
        <f t="shared" si="67"/>
        <v>0.14399999999999991</v>
      </c>
      <c r="R775" s="216">
        <f t="shared" si="68"/>
        <v>0.14400000000000002</v>
      </c>
      <c r="S775" s="217">
        <f t="shared" si="69"/>
        <v>0.14399999999999991</v>
      </c>
    </row>
    <row r="776" spans="1:19" ht="15.75" hidden="1" thickBot="1" x14ac:dyDescent="0.3">
      <c r="A776" s="257"/>
      <c r="B776" s="260"/>
      <c r="C776" s="35" t="s">
        <v>204</v>
      </c>
      <c r="D776" s="46" t="s">
        <v>70</v>
      </c>
      <c r="E776" s="36">
        <v>1.0955999999999999</v>
      </c>
      <c r="F776" s="33" t="s">
        <v>416</v>
      </c>
      <c r="G776" s="30" t="str">
        <f t="shared" si="70"/>
        <v/>
      </c>
      <c r="H776" s="34"/>
      <c r="I776" s="30"/>
      <c r="J776" s="152">
        <v>0</v>
      </c>
      <c r="L776" s="215">
        <v>1.0955999999999999</v>
      </c>
      <c r="M776" s="33"/>
      <c r="N776" s="30" t="str">
        <f t="shared" si="71"/>
        <v/>
      </c>
      <c r="O776" s="34"/>
      <c r="P776" s="36" t="str">
        <f t="shared" ref="P776:P839" si="72">IF(ISBLANK(L776),"",IF($E776&lt;&gt;L776,"SIM",""))</f>
        <v/>
      </c>
      <c r="Q776" s="216" t="str">
        <f t="shared" ref="Q776:Q839" si="73">IF(M776="","",1-M776/$F776)</f>
        <v/>
      </c>
      <c r="R776" s="216" t="str">
        <f t="shared" ref="R776:R839" si="74">IF(N776="","",1-N776/$G776)</f>
        <v/>
      </c>
      <c r="S776" s="217" t="str">
        <f t="shared" ref="S776:S839" si="75">IF(O776="","",1-O776/$H776)</f>
        <v/>
      </c>
    </row>
    <row r="777" spans="1:19" ht="39" hidden="1" thickBot="1" x14ac:dyDescent="0.3">
      <c r="A777" s="257"/>
      <c r="B777" s="260"/>
      <c r="C777" s="35" t="s">
        <v>8314</v>
      </c>
      <c r="D777" s="35" t="s">
        <v>385</v>
      </c>
      <c r="E777" s="36">
        <v>3.8498999999999999</v>
      </c>
      <c r="F777" s="33">
        <v>5.6429999999999998</v>
      </c>
      <c r="G777" s="30">
        <f t="shared" si="70"/>
        <v>21.724985699999998</v>
      </c>
      <c r="H777" s="34"/>
      <c r="I777" s="30"/>
      <c r="J777" s="152">
        <v>0</v>
      </c>
      <c r="L777" s="215">
        <v>3.8498999999999999</v>
      </c>
      <c r="M777" s="33">
        <v>4.8304080000000003</v>
      </c>
      <c r="N777" s="30">
        <f t="shared" si="71"/>
        <v>18.596587759200002</v>
      </c>
      <c r="O777" s="34"/>
      <c r="P777" s="36" t="str">
        <f t="shared" si="72"/>
        <v/>
      </c>
      <c r="Q777" s="216">
        <f t="shared" si="73"/>
        <v>0.14399999999999991</v>
      </c>
      <c r="R777" s="216">
        <f t="shared" si="74"/>
        <v>0.14399999999999979</v>
      </c>
      <c r="S777" s="217" t="str">
        <f t="shared" si="75"/>
        <v/>
      </c>
    </row>
    <row r="778" spans="1:19" ht="39" hidden="1" thickBot="1" x14ac:dyDescent="0.3">
      <c r="A778" s="257"/>
      <c r="B778" s="260"/>
      <c r="C778" s="35" t="s">
        <v>8313</v>
      </c>
      <c r="D778" s="35" t="s">
        <v>213</v>
      </c>
      <c r="E778" s="36">
        <v>1.3265</v>
      </c>
      <c r="F778" s="33">
        <v>2.1280000000000001</v>
      </c>
      <c r="G778" s="30">
        <f t="shared" si="70"/>
        <v>2.8227920000000002</v>
      </c>
      <c r="H778" s="34"/>
      <c r="I778" s="30"/>
      <c r="J778" s="152">
        <v>0</v>
      </c>
      <c r="L778" s="215">
        <v>1.3265</v>
      </c>
      <c r="M778" s="33">
        <v>1.8215680000000001</v>
      </c>
      <c r="N778" s="30">
        <f t="shared" si="71"/>
        <v>2.4163099520000002</v>
      </c>
      <c r="O778" s="34"/>
      <c r="P778" s="36" t="str">
        <f t="shared" si="72"/>
        <v/>
      </c>
      <c r="Q778" s="216">
        <f t="shared" si="73"/>
        <v>0.14400000000000002</v>
      </c>
      <c r="R778" s="216">
        <f t="shared" si="74"/>
        <v>0.14400000000000002</v>
      </c>
      <c r="S778" s="217" t="str">
        <f t="shared" si="75"/>
        <v/>
      </c>
    </row>
    <row r="779" spans="1:19" ht="26.25" hidden="1" thickBot="1" x14ac:dyDescent="0.3">
      <c r="A779" s="257"/>
      <c r="B779" s="260"/>
      <c r="C779" s="35" t="s">
        <v>8306</v>
      </c>
      <c r="D779" s="35" t="s">
        <v>213</v>
      </c>
      <c r="E779" s="36">
        <v>2.1911999999999998</v>
      </c>
      <c r="F779" s="33">
        <v>0.247</v>
      </c>
      <c r="G779" s="30">
        <f t="shared" si="70"/>
        <v>0.5412264</v>
      </c>
      <c r="H779" s="34"/>
      <c r="I779" s="30"/>
      <c r="J779" s="152">
        <v>0</v>
      </c>
      <c r="L779" s="215">
        <v>2.1911999999999998</v>
      </c>
      <c r="M779" s="33">
        <v>0.21143200000000001</v>
      </c>
      <c r="N779" s="30">
        <f t="shared" si="71"/>
        <v>0.46328979839999995</v>
      </c>
      <c r="O779" s="34"/>
      <c r="P779" s="36" t="str">
        <f t="shared" si="72"/>
        <v/>
      </c>
      <c r="Q779" s="216">
        <f t="shared" si="73"/>
        <v>0.14399999999999991</v>
      </c>
      <c r="R779" s="216">
        <f t="shared" si="74"/>
        <v>0.14400000000000013</v>
      </c>
      <c r="S779" s="217" t="str">
        <f t="shared" si="75"/>
        <v/>
      </c>
    </row>
    <row r="780" spans="1:19" ht="26.25" hidden="1" thickBot="1" x14ac:dyDescent="0.3">
      <c r="A780" s="257"/>
      <c r="B780" s="260"/>
      <c r="C780" s="35" t="s">
        <v>200</v>
      </c>
      <c r="D780" s="35" t="s">
        <v>1102</v>
      </c>
      <c r="E780" s="36">
        <v>1.32E-2</v>
      </c>
      <c r="F780" s="33">
        <v>27.701999999999998</v>
      </c>
      <c r="G780" s="30">
        <f t="shared" si="70"/>
        <v>0.36566639999999995</v>
      </c>
      <c r="H780" s="34"/>
      <c r="I780" s="30"/>
      <c r="J780" s="152">
        <v>0</v>
      </c>
      <c r="L780" s="215">
        <v>1.32E-2</v>
      </c>
      <c r="M780" s="33">
        <v>23.712911999999999</v>
      </c>
      <c r="N780" s="30">
        <f t="shared" si="71"/>
        <v>0.31301043839999998</v>
      </c>
      <c r="O780" s="34"/>
      <c r="P780" s="36" t="str">
        <f t="shared" si="72"/>
        <v/>
      </c>
      <c r="Q780" s="216">
        <f t="shared" si="73"/>
        <v>0.14400000000000002</v>
      </c>
      <c r="R780" s="216">
        <f t="shared" si="74"/>
        <v>0.14399999999999991</v>
      </c>
      <c r="S780" s="217" t="str">
        <f t="shared" si="75"/>
        <v/>
      </c>
    </row>
    <row r="781" spans="1:19" ht="26.25" hidden="1" thickBot="1" x14ac:dyDescent="0.3">
      <c r="A781" s="257"/>
      <c r="B781" s="260"/>
      <c r="C781" s="35" t="s">
        <v>201</v>
      </c>
      <c r="D781" s="35" t="s">
        <v>1102</v>
      </c>
      <c r="E781" s="36">
        <v>3.3300000000000003E-2</v>
      </c>
      <c r="F781" s="33">
        <v>47.490499999999997</v>
      </c>
      <c r="G781" s="30">
        <f t="shared" si="70"/>
        <v>1.5814336500000001</v>
      </c>
      <c r="H781" s="34"/>
      <c r="I781" s="30"/>
      <c r="J781" s="152">
        <v>0</v>
      </c>
      <c r="L781" s="215">
        <v>3.3300000000000003E-2</v>
      </c>
      <c r="M781" s="33">
        <v>40.651868</v>
      </c>
      <c r="N781" s="30">
        <f t="shared" si="71"/>
        <v>1.3537072044000003</v>
      </c>
      <c r="O781" s="34"/>
      <c r="P781" s="36" t="str">
        <f t="shared" si="72"/>
        <v/>
      </c>
      <c r="Q781" s="216">
        <f t="shared" si="73"/>
        <v>0.14399999999999991</v>
      </c>
      <c r="R781" s="216">
        <f t="shared" si="74"/>
        <v>0.14399999999999991</v>
      </c>
      <c r="S781" s="217" t="str">
        <f t="shared" si="75"/>
        <v/>
      </c>
    </row>
    <row r="782" spans="1:19" ht="26.25" hidden="1" thickBot="1" x14ac:dyDescent="0.3">
      <c r="A782" s="257"/>
      <c r="B782" s="260"/>
      <c r="C782" s="35" t="s">
        <v>854</v>
      </c>
      <c r="D782" s="35" t="s">
        <v>583</v>
      </c>
      <c r="E782" s="36">
        <v>0.49940000000000001</v>
      </c>
      <c r="F782" s="30">
        <v>20.719499999999996</v>
      </c>
      <c r="G782" s="30">
        <f t="shared" si="70"/>
        <v>10.347318299999998</v>
      </c>
      <c r="H782" s="34"/>
      <c r="I782" s="30"/>
      <c r="J782" s="152">
        <v>0</v>
      </c>
      <c r="L782" s="215">
        <v>0.49940000000000001</v>
      </c>
      <c r="M782" s="30">
        <v>17.735891999999996</v>
      </c>
      <c r="N782" s="30">
        <f t="shared" si="71"/>
        <v>8.8573044647999986</v>
      </c>
      <c r="O782" s="34"/>
      <c r="P782" s="36" t="str">
        <f t="shared" si="72"/>
        <v/>
      </c>
      <c r="Q782" s="216">
        <f t="shared" si="73"/>
        <v>0.14400000000000002</v>
      </c>
      <c r="R782" s="216">
        <f t="shared" si="74"/>
        <v>0.14399999999999991</v>
      </c>
      <c r="S782" s="217" t="str">
        <f t="shared" si="75"/>
        <v/>
      </c>
    </row>
    <row r="783" spans="1:19" ht="15.75" hidden="1" thickBot="1" x14ac:dyDescent="0.3">
      <c r="A783" s="258"/>
      <c r="B783" s="261"/>
      <c r="C783" s="35"/>
      <c r="D783" s="35"/>
      <c r="E783" s="36"/>
      <c r="F783" s="30" t="s">
        <v>416</v>
      </c>
      <c r="G783" s="30" t="str">
        <f t="shared" si="70"/>
        <v/>
      </c>
      <c r="H783" s="34"/>
      <c r="I783" s="30"/>
      <c r="J783" s="152">
        <v>0</v>
      </c>
      <c r="L783" s="215"/>
      <c r="M783" s="30"/>
      <c r="N783" s="30" t="str">
        <f t="shared" si="71"/>
        <v/>
      </c>
      <c r="O783" s="34"/>
      <c r="P783" s="36" t="str">
        <f t="shared" si="72"/>
        <v/>
      </c>
      <c r="Q783" s="216" t="str">
        <f t="shared" si="73"/>
        <v/>
      </c>
      <c r="R783" s="216" t="str">
        <f t="shared" si="74"/>
        <v/>
      </c>
      <c r="S783" s="217" t="str">
        <f t="shared" si="75"/>
        <v/>
      </c>
    </row>
    <row r="784" spans="1:19" ht="15.75" hidden="1" thickBot="1" x14ac:dyDescent="0.3">
      <c r="A784" s="256" t="s">
        <v>205</v>
      </c>
      <c r="B784" s="259" t="str">
        <f>INDEX(Orçamentária!A:B,MATCH(Composições!A784,Orçamentária!A:A,0),2)</f>
        <v>Forro em chapas metálicas</v>
      </c>
      <c r="C784" s="40"/>
      <c r="D784" s="25" t="s">
        <v>70</v>
      </c>
      <c r="E784" s="26"/>
      <c r="F784" s="41" t="s">
        <v>416</v>
      </c>
      <c r="G784" s="27" t="str">
        <f t="shared" si="70"/>
        <v/>
      </c>
      <c r="H784" s="28"/>
      <c r="I784" s="29"/>
      <c r="J784" s="152">
        <v>0</v>
      </c>
      <c r="L784" s="218"/>
      <c r="M784" s="41"/>
      <c r="N784" s="27" t="str">
        <f t="shared" si="71"/>
        <v/>
      </c>
      <c r="O784" s="28"/>
      <c r="P784" s="36" t="str">
        <f t="shared" si="72"/>
        <v/>
      </c>
      <c r="Q784" s="216" t="str">
        <f t="shared" si="73"/>
        <v/>
      </c>
      <c r="R784" s="216" t="str">
        <f t="shared" si="74"/>
        <v/>
      </c>
      <c r="S784" s="217" t="str">
        <f t="shared" si="75"/>
        <v/>
      </c>
    </row>
    <row r="785" spans="1:19" ht="15.75" hidden="1" thickBot="1" x14ac:dyDescent="0.3">
      <c r="A785" s="257"/>
      <c r="B785" s="260"/>
      <c r="C785" s="31"/>
      <c r="D785" s="31"/>
      <c r="E785" s="32"/>
      <c r="F785" s="42" t="s">
        <v>416</v>
      </c>
      <c r="G785" s="30" t="str">
        <f t="shared" si="70"/>
        <v/>
      </c>
      <c r="H785" s="34"/>
      <c r="I785" s="30"/>
      <c r="J785" s="152">
        <v>0</v>
      </c>
      <c r="L785" s="219"/>
      <c r="M785" s="42"/>
      <c r="N785" s="30" t="str">
        <f t="shared" si="71"/>
        <v/>
      </c>
      <c r="O785" s="34"/>
      <c r="P785" s="36" t="str">
        <f t="shared" si="72"/>
        <v/>
      </c>
      <c r="Q785" s="216" t="str">
        <f t="shared" si="73"/>
        <v/>
      </c>
      <c r="R785" s="216" t="str">
        <f t="shared" si="74"/>
        <v/>
      </c>
      <c r="S785" s="217" t="str">
        <f t="shared" si="75"/>
        <v/>
      </c>
    </row>
    <row r="786" spans="1:19" ht="26.25" hidden="1" thickBot="1" x14ac:dyDescent="0.3">
      <c r="A786" s="257"/>
      <c r="B786" s="260"/>
      <c r="C786" s="35" t="s">
        <v>2901</v>
      </c>
      <c r="D786" s="35" t="s">
        <v>583</v>
      </c>
      <c r="E786" s="36">
        <v>0.5</v>
      </c>
      <c r="F786" s="33">
        <v>23.160999999999998</v>
      </c>
      <c r="G786" s="30">
        <f t="shared" si="70"/>
        <v>11.580499999999999</v>
      </c>
      <c r="H786" s="38">
        <f>SUM(G786:G789)</f>
        <v>21.940249999999999</v>
      </c>
      <c r="I786" s="39"/>
      <c r="J786" s="152">
        <v>0</v>
      </c>
      <c r="L786" s="215">
        <v>0.5</v>
      </c>
      <c r="M786" s="33">
        <v>19.825816</v>
      </c>
      <c r="N786" s="30">
        <f t="shared" si="71"/>
        <v>9.9129079999999998</v>
      </c>
      <c r="O786" s="38">
        <f>SUM(N786:N789)</f>
        <v>18.780853999999998</v>
      </c>
      <c r="P786" s="36" t="str">
        <f t="shared" si="72"/>
        <v/>
      </c>
      <c r="Q786" s="216">
        <f t="shared" si="73"/>
        <v>0.14399999999999991</v>
      </c>
      <c r="R786" s="216">
        <f t="shared" si="74"/>
        <v>0.14399999999999991</v>
      </c>
      <c r="S786" s="217">
        <f t="shared" si="75"/>
        <v>0.14400000000000002</v>
      </c>
    </row>
    <row r="787" spans="1:19" ht="26.25" hidden="1" thickBot="1" x14ac:dyDescent="0.3">
      <c r="A787" s="257"/>
      <c r="B787" s="260"/>
      <c r="C787" s="35" t="s">
        <v>854</v>
      </c>
      <c r="D787" s="35" t="s">
        <v>583</v>
      </c>
      <c r="E787" s="36">
        <v>0.5</v>
      </c>
      <c r="F787" s="33">
        <v>20.719499999999996</v>
      </c>
      <c r="G787" s="30">
        <f t="shared" ref="G787:G850" si="76">IF(ISNUMBER(F787),E787*F787,"")</f>
        <v>10.359749999999998</v>
      </c>
      <c r="H787" s="34"/>
      <c r="I787" s="30"/>
      <c r="J787" s="152">
        <v>0</v>
      </c>
      <c r="L787" s="215">
        <v>0.5</v>
      </c>
      <c r="M787" s="33">
        <v>17.735891999999996</v>
      </c>
      <c r="N787" s="30">
        <f t="shared" ref="N787:N850" si="77">IF(ISNUMBER(M787),L787*M787,"")</f>
        <v>8.8679459999999981</v>
      </c>
      <c r="O787" s="34"/>
      <c r="P787" s="36" t="str">
        <f t="shared" si="72"/>
        <v/>
      </c>
      <c r="Q787" s="216">
        <f t="shared" si="73"/>
        <v>0.14400000000000002</v>
      </c>
      <c r="R787" s="216">
        <f t="shared" si="74"/>
        <v>0.14400000000000002</v>
      </c>
      <c r="S787" s="217" t="str">
        <f t="shared" si="75"/>
        <v/>
      </c>
    </row>
    <row r="788" spans="1:19" ht="15.75" hidden="1" thickBot="1" x14ac:dyDescent="0.3">
      <c r="A788" s="257"/>
      <c r="B788" s="260"/>
      <c r="C788" s="37" t="s">
        <v>206</v>
      </c>
      <c r="D788" s="35" t="s">
        <v>70</v>
      </c>
      <c r="E788" s="36">
        <v>1</v>
      </c>
      <c r="F788" s="33" t="s">
        <v>416</v>
      </c>
      <c r="G788" s="30" t="str">
        <f t="shared" si="76"/>
        <v/>
      </c>
      <c r="H788" s="34"/>
      <c r="I788" s="30"/>
      <c r="J788" s="152">
        <v>0</v>
      </c>
      <c r="L788" s="215">
        <v>1</v>
      </c>
      <c r="M788" s="33"/>
      <c r="N788" s="30" t="str">
        <f t="shared" si="77"/>
        <v/>
      </c>
      <c r="O788" s="34"/>
      <c r="P788" s="36" t="str">
        <f t="shared" si="72"/>
        <v/>
      </c>
      <c r="Q788" s="216" t="str">
        <f t="shared" si="73"/>
        <v/>
      </c>
      <c r="R788" s="216" t="str">
        <f t="shared" si="74"/>
        <v/>
      </c>
      <c r="S788" s="217" t="str">
        <f t="shared" si="75"/>
        <v/>
      </c>
    </row>
    <row r="789" spans="1:19" ht="15.75" hidden="1" thickBot="1" x14ac:dyDescent="0.3">
      <c r="A789" s="257"/>
      <c r="B789" s="260"/>
      <c r="C789" s="37" t="s">
        <v>207</v>
      </c>
      <c r="D789" s="35" t="s">
        <v>70</v>
      </c>
      <c r="E789" s="36">
        <v>1</v>
      </c>
      <c r="F789" s="33" t="s">
        <v>416</v>
      </c>
      <c r="G789" s="30" t="str">
        <f t="shared" si="76"/>
        <v/>
      </c>
      <c r="H789" s="34"/>
      <c r="I789" s="30"/>
      <c r="J789" s="152">
        <v>0</v>
      </c>
      <c r="L789" s="215">
        <v>1</v>
      </c>
      <c r="M789" s="33"/>
      <c r="N789" s="30" t="str">
        <f t="shared" si="77"/>
        <v/>
      </c>
      <c r="O789" s="34"/>
      <c r="P789" s="36" t="str">
        <f t="shared" si="72"/>
        <v/>
      </c>
      <c r="Q789" s="216" t="str">
        <f t="shared" si="73"/>
        <v/>
      </c>
      <c r="R789" s="216" t="str">
        <f t="shared" si="74"/>
        <v/>
      </c>
      <c r="S789" s="217" t="str">
        <f t="shared" si="75"/>
        <v/>
      </c>
    </row>
    <row r="790" spans="1:19" ht="15.75" hidden="1" thickBot="1" x14ac:dyDescent="0.3">
      <c r="A790" s="258"/>
      <c r="B790" s="261"/>
      <c r="C790" s="35"/>
      <c r="D790" s="35"/>
      <c r="E790" s="36"/>
      <c r="F790" s="30" t="s">
        <v>416</v>
      </c>
      <c r="G790" s="30" t="str">
        <f t="shared" si="76"/>
        <v/>
      </c>
      <c r="H790" s="34"/>
      <c r="I790" s="30"/>
      <c r="J790" s="152">
        <v>0</v>
      </c>
      <c r="L790" s="215"/>
      <c r="M790" s="30"/>
      <c r="N790" s="30" t="str">
        <f t="shared" si="77"/>
        <v/>
      </c>
      <c r="O790" s="34"/>
      <c r="P790" s="36" t="str">
        <f t="shared" si="72"/>
        <v/>
      </c>
      <c r="Q790" s="216" t="str">
        <f t="shared" si="73"/>
        <v/>
      </c>
      <c r="R790" s="216" t="str">
        <f t="shared" si="74"/>
        <v/>
      </c>
      <c r="S790" s="217" t="str">
        <f t="shared" si="75"/>
        <v/>
      </c>
    </row>
    <row r="791" spans="1:19" ht="15.75" thickBot="1" x14ac:dyDescent="0.3">
      <c r="A791" s="256" t="s">
        <v>208</v>
      </c>
      <c r="B791" s="259" t="str">
        <f>INDEX(Orçamentária!A:B,MATCH(Composições!A791,Orçamentária!A:A,0),2)</f>
        <v>Forro em gesso acartonado monolítico</v>
      </c>
      <c r="C791" s="40"/>
      <c r="D791" s="25" t="s">
        <v>70</v>
      </c>
      <c r="E791" s="26"/>
      <c r="F791" s="41" t="s">
        <v>416</v>
      </c>
      <c r="G791" s="27" t="str">
        <f t="shared" si="76"/>
        <v/>
      </c>
      <c r="H791" s="28"/>
      <c r="I791" s="29"/>
      <c r="J791" s="152">
        <v>356</v>
      </c>
      <c r="L791" s="218"/>
      <c r="M791" s="41"/>
      <c r="N791" s="27" t="str">
        <f t="shared" si="77"/>
        <v/>
      </c>
      <c r="O791" s="28"/>
      <c r="P791" s="36" t="str">
        <f t="shared" si="72"/>
        <v/>
      </c>
      <c r="Q791" s="216" t="str">
        <f t="shared" si="73"/>
        <v/>
      </c>
      <c r="R791" s="216" t="str">
        <f t="shared" si="74"/>
        <v/>
      </c>
      <c r="S791" s="217" t="str">
        <f t="shared" si="75"/>
        <v/>
      </c>
    </row>
    <row r="792" spans="1:19" x14ac:dyDescent="0.25">
      <c r="A792" s="262"/>
      <c r="B792" s="260"/>
      <c r="C792" s="31"/>
      <c r="D792" s="31"/>
      <c r="E792" s="32"/>
      <c r="F792" s="42" t="s">
        <v>416</v>
      </c>
      <c r="G792" s="30" t="str">
        <f t="shared" si="76"/>
        <v/>
      </c>
      <c r="H792" s="34"/>
      <c r="I792" s="30"/>
      <c r="J792" s="152">
        <v>356</v>
      </c>
      <c r="L792" s="219"/>
      <c r="M792" s="42"/>
      <c r="N792" s="30" t="str">
        <f t="shared" si="77"/>
        <v/>
      </c>
      <c r="O792" s="34"/>
      <c r="P792" s="36" t="str">
        <f t="shared" si="72"/>
        <v/>
      </c>
      <c r="Q792" s="216" t="str">
        <f t="shared" si="73"/>
        <v/>
      </c>
      <c r="R792" s="216" t="str">
        <f t="shared" si="74"/>
        <v/>
      </c>
      <c r="S792" s="217" t="str">
        <f t="shared" si="75"/>
        <v/>
      </c>
    </row>
    <row r="793" spans="1:19" ht="25.5" x14ac:dyDescent="0.25">
      <c r="A793" s="262"/>
      <c r="B793" s="260"/>
      <c r="C793" s="35" t="s">
        <v>199</v>
      </c>
      <c r="D793" s="35" t="s">
        <v>773</v>
      </c>
      <c r="E793" s="36">
        <v>4.2599999999999999E-2</v>
      </c>
      <c r="F793" s="33">
        <v>24.4435</v>
      </c>
      <c r="G793" s="33">
        <f t="shared" si="76"/>
        <v>1.0412931000000001</v>
      </c>
      <c r="H793" s="38">
        <f>SUM(G793:G803)</f>
        <v>66.545316899999989</v>
      </c>
      <c r="I793" s="39"/>
      <c r="J793" s="152">
        <v>356</v>
      </c>
      <c r="L793" s="215">
        <v>4.2599999999999999E-2</v>
      </c>
      <c r="M793" s="33">
        <v>20.923636000000002</v>
      </c>
      <c r="N793" s="33">
        <f t="shared" si="77"/>
        <v>0.89134689360000008</v>
      </c>
      <c r="O793" s="38">
        <f>SUM(N793:N803)</f>
        <v>56.962791266400004</v>
      </c>
      <c r="P793" s="36" t="str">
        <f t="shared" si="72"/>
        <v/>
      </c>
      <c r="Q793" s="216">
        <f t="shared" si="73"/>
        <v>0.14399999999999991</v>
      </c>
      <c r="R793" s="216">
        <f t="shared" si="74"/>
        <v>0.14400000000000002</v>
      </c>
      <c r="S793" s="217">
        <f t="shared" si="75"/>
        <v>0.14399999999999979</v>
      </c>
    </row>
    <row r="794" spans="1:19" ht="25.5" x14ac:dyDescent="0.25">
      <c r="A794" s="262"/>
      <c r="B794" s="260"/>
      <c r="C794" s="35" t="s">
        <v>3231</v>
      </c>
      <c r="D794" s="35" t="s">
        <v>861</v>
      </c>
      <c r="E794" s="36">
        <v>1.0966</v>
      </c>
      <c r="F794" s="33">
        <v>17.574999999999999</v>
      </c>
      <c r="G794" s="33">
        <f t="shared" si="76"/>
        <v>19.272745</v>
      </c>
      <c r="H794" s="44"/>
      <c r="I794" s="45"/>
      <c r="J794" s="152">
        <v>356</v>
      </c>
      <c r="L794" s="215">
        <v>1.0966</v>
      </c>
      <c r="M794" s="33">
        <v>15.0442</v>
      </c>
      <c r="N794" s="33">
        <f t="shared" si="77"/>
        <v>16.497469720000002</v>
      </c>
      <c r="O794" s="44"/>
      <c r="P794" s="36" t="str">
        <f t="shared" si="72"/>
        <v/>
      </c>
      <c r="Q794" s="216">
        <f t="shared" si="73"/>
        <v>0.14400000000000002</v>
      </c>
      <c r="R794" s="216">
        <f t="shared" si="74"/>
        <v>0.14399999999999991</v>
      </c>
      <c r="S794" s="217" t="str">
        <f t="shared" si="75"/>
        <v/>
      </c>
    </row>
    <row r="795" spans="1:19" ht="38.25" x14ac:dyDescent="0.25">
      <c r="A795" s="262"/>
      <c r="B795" s="260"/>
      <c r="C795" s="35" t="s">
        <v>8314</v>
      </c>
      <c r="D795" s="35" t="s">
        <v>385</v>
      </c>
      <c r="E795" s="36">
        <v>3.851</v>
      </c>
      <c r="F795" s="33">
        <v>5.6429999999999998</v>
      </c>
      <c r="G795" s="33">
        <f t="shared" si="76"/>
        <v>21.731192999999998</v>
      </c>
      <c r="H795" s="44"/>
      <c r="I795" s="45"/>
      <c r="J795" s="152">
        <v>356</v>
      </c>
      <c r="L795" s="215">
        <v>3.851</v>
      </c>
      <c r="M795" s="33">
        <v>4.8304080000000003</v>
      </c>
      <c r="N795" s="33">
        <f t="shared" si="77"/>
        <v>18.601901208000001</v>
      </c>
      <c r="O795" s="44"/>
      <c r="P795" s="36" t="str">
        <f t="shared" si="72"/>
        <v/>
      </c>
      <c r="Q795" s="216">
        <f t="shared" si="73"/>
        <v>0.14399999999999991</v>
      </c>
      <c r="R795" s="216">
        <f t="shared" si="74"/>
        <v>0.14399999999999991</v>
      </c>
      <c r="S795" s="217" t="str">
        <f t="shared" si="75"/>
        <v/>
      </c>
    </row>
    <row r="796" spans="1:19" ht="38.25" x14ac:dyDescent="0.25">
      <c r="A796" s="262"/>
      <c r="B796" s="260"/>
      <c r="C796" s="35" t="s">
        <v>8313</v>
      </c>
      <c r="D796" s="35" t="s">
        <v>213</v>
      </c>
      <c r="E796" s="36">
        <v>1.3265</v>
      </c>
      <c r="F796" s="33">
        <v>2.1280000000000001</v>
      </c>
      <c r="G796" s="33">
        <f t="shared" si="76"/>
        <v>2.8227920000000002</v>
      </c>
      <c r="H796" s="44"/>
      <c r="I796" s="45"/>
      <c r="J796" s="152">
        <v>356</v>
      </c>
      <c r="L796" s="215">
        <v>1.3265</v>
      </c>
      <c r="M796" s="33">
        <v>1.8215680000000001</v>
      </c>
      <c r="N796" s="33">
        <f t="shared" si="77"/>
        <v>2.4163099520000002</v>
      </c>
      <c r="O796" s="44"/>
      <c r="P796" s="36" t="str">
        <f t="shared" si="72"/>
        <v/>
      </c>
      <c r="Q796" s="216">
        <f t="shared" si="73"/>
        <v>0.14400000000000002</v>
      </c>
      <c r="R796" s="216">
        <f t="shared" si="74"/>
        <v>0.14400000000000002</v>
      </c>
      <c r="S796" s="217" t="str">
        <f t="shared" si="75"/>
        <v/>
      </c>
    </row>
    <row r="797" spans="1:19" ht="25.5" x14ac:dyDescent="0.25">
      <c r="A797" s="262"/>
      <c r="B797" s="260"/>
      <c r="C797" s="35" t="s">
        <v>8168</v>
      </c>
      <c r="D797" s="35" t="s">
        <v>385</v>
      </c>
      <c r="E797" s="36">
        <v>1.4395</v>
      </c>
      <c r="F797" s="33">
        <v>2.4319999999999999</v>
      </c>
      <c r="G797" s="33">
        <f t="shared" si="76"/>
        <v>3.500864</v>
      </c>
      <c r="H797" s="44"/>
      <c r="I797" s="45"/>
      <c r="J797" s="152">
        <v>356</v>
      </c>
      <c r="L797" s="215">
        <v>1.4395</v>
      </c>
      <c r="M797" s="33">
        <v>2.0817920000000001</v>
      </c>
      <c r="N797" s="33">
        <f t="shared" si="77"/>
        <v>2.9967395840000002</v>
      </c>
      <c r="O797" s="44"/>
      <c r="P797" s="36" t="str">
        <f t="shared" si="72"/>
        <v/>
      </c>
      <c r="Q797" s="216">
        <f t="shared" si="73"/>
        <v>0.14399999999999991</v>
      </c>
      <c r="R797" s="216">
        <f t="shared" si="74"/>
        <v>0.14399999999999991</v>
      </c>
      <c r="S797" s="217" t="str">
        <f t="shared" si="75"/>
        <v/>
      </c>
    </row>
    <row r="798" spans="1:19" ht="38.25" x14ac:dyDescent="0.25">
      <c r="A798" s="262"/>
      <c r="B798" s="260"/>
      <c r="C798" s="35" t="s">
        <v>3229</v>
      </c>
      <c r="D798" s="35" t="s">
        <v>773</v>
      </c>
      <c r="E798" s="36">
        <v>0.5202</v>
      </c>
      <c r="F798" s="33">
        <v>3.04</v>
      </c>
      <c r="G798" s="33">
        <f t="shared" si="76"/>
        <v>1.5814079999999999</v>
      </c>
      <c r="H798" s="44"/>
      <c r="I798" s="45"/>
      <c r="J798" s="152">
        <v>356</v>
      </c>
      <c r="L798" s="215">
        <v>0.5202</v>
      </c>
      <c r="M798" s="33">
        <v>2.6022400000000001</v>
      </c>
      <c r="N798" s="33">
        <f t="shared" si="77"/>
        <v>1.3536852480000001</v>
      </c>
      <c r="O798" s="44"/>
      <c r="P798" s="36" t="str">
        <f t="shared" si="72"/>
        <v/>
      </c>
      <c r="Q798" s="216">
        <f t="shared" si="73"/>
        <v>0.14400000000000002</v>
      </c>
      <c r="R798" s="216">
        <f t="shared" si="74"/>
        <v>0.14399999999999991</v>
      </c>
      <c r="S798" s="217" t="str">
        <f t="shared" si="75"/>
        <v/>
      </c>
    </row>
    <row r="799" spans="1:19" ht="25.5" x14ac:dyDescent="0.25">
      <c r="A799" s="262"/>
      <c r="B799" s="260"/>
      <c r="C799" s="35" t="s">
        <v>8305</v>
      </c>
      <c r="D799" s="35" t="s">
        <v>213</v>
      </c>
      <c r="E799" s="36">
        <v>7.9740000000000002</v>
      </c>
      <c r="F799" s="33">
        <v>0.1045</v>
      </c>
      <c r="G799" s="33">
        <f t="shared" si="76"/>
        <v>0.833283</v>
      </c>
      <c r="H799" s="44"/>
      <c r="I799" s="45"/>
      <c r="J799" s="152">
        <v>356</v>
      </c>
      <c r="L799" s="215">
        <v>7.9740000000000002</v>
      </c>
      <c r="M799" s="33">
        <v>8.9452000000000004E-2</v>
      </c>
      <c r="N799" s="33">
        <f t="shared" si="77"/>
        <v>0.71329024800000007</v>
      </c>
      <c r="O799" s="44"/>
      <c r="P799" s="36" t="str">
        <f t="shared" si="72"/>
        <v/>
      </c>
      <c r="Q799" s="216">
        <f t="shared" si="73"/>
        <v>0.14399999999999991</v>
      </c>
      <c r="R799" s="216">
        <f t="shared" si="74"/>
        <v>0.14399999999999991</v>
      </c>
      <c r="S799" s="217" t="str">
        <f t="shared" si="75"/>
        <v/>
      </c>
    </row>
    <row r="800" spans="1:19" ht="25.5" x14ac:dyDescent="0.25">
      <c r="A800" s="262"/>
      <c r="B800" s="260"/>
      <c r="C800" s="35" t="s">
        <v>8306</v>
      </c>
      <c r="D800" s="35" t="s">
        <v>213</v>
      </c>
      <c r="E800" s="36">
        <v>2.1911999999999998</v>
      </c>
      <c r="F800" s="33">
        <v>0.247</v>
      </c>
      <c r="G800" s="33">
        <f t="shared" si="76"/>
        <v>0.5412264</v>
      </c>
      <c r="H800" s="44"/>
      <c r="I800" s="45"/>
      <c r="J800" s="152">
        <v>356</v>
      </c>
      <c r="L800" s="215">
        <v>2.1911999999999998</v>
      </c>
      <c r="M800" s="33">
        <v>0.21143200000000001</v>
      </c>
      <c r="N800" s="33">
        <f t="shared" si="77"/>
        <v>0.46328979839999995</v>
      </c>
      <c r="O800" s="44"/>
      <c r="P800" s="36" t="str">
        <f t="shared" si="72"/>
        <v/>
      </c>
      <c r="Q800" s="216">
        <f t="shared" si="73"/>
        <v>0.14399999999999991</v>
      </c>
      <c r="R800" s="216">
        <f t="shared" si="74"/>
        <v>0.14400000000000013</v>
      </c>
      <c r="S800" s="217" t="str">
        <f t="shared" si="75"/>
        <v/>
      </c>
    </row>
    <row r="801" spans="1:19" ht="25.5" x14ac:dyDescent="0.25">
      <c r="A801" s="262"/>
      <c r="B801" s="260"/>
      <c r="C801" s="35" t="s">
        <v>200</v>
      </c>
      <c r="D801" s="35" t="s">
        <v>1102</v>
      </c>
      <c r="E801" s="36">
        <v>1.32E-2</v>
      </c>
      <c r="F801" s="33">
        <v>27.701999999999998</v>
      </c>
      <c r="G801" s="33">
        <f t="shared" si="76"/>
        <v>0.36566639999999995</v>
      </c>
      <c r="H801" s="44"/>
      <c r="I801" s="45"/>
      <c r="J801" s="152">
        <v>356</v>
      </c>
      <c r="L801" s="215">
        <v>1.32E-2</v>
      </c>
      <c r="M801" s="33">
        <v>23.712911999999999</v>
      </c>
      <c r="N801" s="33">
        <f t="shared" si="77"/>
        <v>0.31301043839999998</v>
      </c>
      <c r="O801" s="44"/>
      <c r="P801" s="36" t="str">
        <f t="shared" si="72"/>
        <v/>
      </c>
      <c r="Q801" s="216">
        <f t="shared" si="73"/>
        <v>0.14400000000000002</v>
      </c>
      <c r="R801" s="216">
        <f t="shared" si="74"/>
        <v>0.14399999999999991</v>
      </c>
      <c r="S801" s="217" t="str">
        <f t="shared" si="75"/>
        <v/>
      </c>
    </row>
    <row r="802" spans="1:19" ht="25.5" x14ac:dyDescent="0.25">
      <c r="A802" s="262"/>
      <c r="B802" s="260"/>
      <c r="C802" s="35" t="s">
        <v>854</v>
      </c>
      <c r="D802" s="35" t="s">
        <v>583</v>
      </c>
      <c r="E802" s="36">
        <v>0.36280000000000001</v>
      </c>
      <c r="F802" s="30">
        <v>20.719499999999996</v>
      </c>
      <c r="G802" s="33">
        <f t="shared" si="76"/>
        <v>7.5170345999999988</v>
      </c>
      <c r="H802" s="44"/>
      <c r="I802" s="45"/>
      <c r="J802" s="152">
        <v>356</v>
      </c>
      <c r="L802" s="215">
        <v>0.36280000000000001</v>
      </c>
      <c r="M802" s="30">
        <v>17.735891999999996</v>
      </c>
      <c r="N802" s="33">
        <f t="shared" si="77"/>
        <v>6.4345816175999992</v>
      </c>
      <c r="O802" s="44"/>
      <c r="P802" s="36" t="str">
        <f t="shared" si="72"/>
        <v/>
      </c>
      <c r="Q802" s="216">
        <f t="shared" si="73"/>
        <v>0.14400000000000002</v>
      </c>
      <c r="R802" s="216">
        <f t="shared" si="74"/>
        <v>0.14400000000000002</v>
      </c>
      <c r="S802" s="217" t="str">
        <f t="shared" si="75"/>
        <v/>
      </c>
    </row>
    <row r="803" spans="1:19" x14ac:dyDescent="0.25">
      <c r="A803" s="262"/>
      <c r="B803" s="260"/>
      <c r="C803" s="35" t="s">
        <v>584</v>
      </c>
      <c r="D803" s="35" t="s">
        <v>583</v>
      </c>
      <c r="E803" s="36">
        <v>0.36280000000000001</v>
      </c>
      <c r="F803" s="30">
        <v>20.225499999999997</v>
      </c>
      <c r="G803" s="33">
        <f t="shared" si="76"/>
        <v>7.3378113999999988</v>
      </c>
      <c r="H803" s="44"/>
      <c r="I803" s="45"/>
      <c r="J803" s="152">
        <v>356</v>
      </c>
      <c r="L803" s="215">
        <v>0.36280000000000001</v>
      </c>
      <c r="M803" s="30">
        <v>17.313027999999996</v>
      </c>
      <c r="N803" s="33">
        <f t="shared" si="77"/>
        <v>6.2811665583999989</v>
      </c>
      <c r="O803" s="44"/>
      <c r="P803" s="36" t="str">
        <f t="shared" si="72"/>
        <v/>
      </c>
      <c r="Q803" s="216">
        <f t="shared" si="73"/>
        <v>0.14400000000000013</v>
      </c>
      <c r="R803" s="216">
        <f t="shared" si="74"/>
        <v>0.14400000000000002</v>
      </c>
      <c r="S803" s="217" t="str">
        <f t="shared" si="75"/>
        <v/>
      </c>
    </row>
    <row r="804" spans="1:19" ht="15.75" thickBot="1" x14ac:dyDescent="0.3">
      <c r="A804" s="263"/>
      <c r="B804" s="261"/>
      <c r="C804" s="35"/>
      <c r="D804" s="35"/>
      <c r="E804" s="36"/>
      <c r="F804" s="30" t="s">
        <v>416</v>
      </c>
      <c r="G804" s="30" t="str">
        <f t="shared" si="76"/>
        <v/>
      </c>
      <c r="H804" s="34"/>
      <c r="I804" s="30"/>
      <c r="J804" s="152">
        <v>356</v>
      </c>
      <c r="L804" s="215"/>
      <c r="M804" s="30"/>
      <c r="N804" s="30" t="str">
        <f t="shared" si="77"/>
        <v/>
      </c>
      <c r="O804" s="34"/>
      <c r="P804" s="36" t="str">
        <f t="shared" si="72"/>
        <v/>
      </c>
      <c r="Q804" s="216" t="str">
        <f t="shared" si="73"/>
        <v/>
      </c>
      <c r="R804" s="216" t="str">
        <f t="shared" si="74"/>
        <v/>
      </c>
      <c r="S804" s="217" t="str">
        <f t="shared" si="75"/>
        <v/>
      </c>
    </row>
    <row r="805" spans="1:19" ht="15.75" hidden="1" thickBot="1" x14ac:dyDescent="0.3">
      <c r="A805" s="256" t="s">
        <v>209</v>
      </c>
      <c r="B805" s="259" t="str">
        <f>INDEX(Orçamentária!A:B,MATCH(Composições!A805,Orçamentária!A:A,0),2)</f>
        <v>Forro em gesso acartonado monolítico, sem estrutura</v>
      </c>
      <c r="C805" s="40"/>
      <c r="D805" s="25" t="s">
        <v>70</v>
      </c>
      <c r="E805" s="26"/>
      <c r="F805" s="41" t="s">
        <v>416</v>
      </c>
      <c r="G805" s="27" t="str">
        <f t="shared" si="76"/>
        <v/>
      </c>
      <c r="H805" s="28"/>
      <c r="I805" s="29"/>
      <c r="J805" s="152">
        <v>0</v>
      </c>
      <c r="L805" s="218"/>
      <c r="M805" s="41"/>
      <c r="N805" s="27" t="str">
        <f t="shared" si="77"/>
        <v/>
      </c>
      <c r="O805" s="28"/>
      <c r="P805" s="36" t="str">
        <f t="shared" si="72"/>
        <v/>
      </c>
      <c r="Q805" s="216" t="str">
        <f t="shared" si="73"/>
        <v/>
      </c>
      <c r="R805" s="216" t="str">
        <f t="shared" si="74"/>
        <v/>
      </c>
      <c r="S805" s="217" t="str">
        <f t="shared" si="75"/>
        <v/>
      </c>
    </row>
    <row r="806" spans="1:19" ht="15.75" hidden="1" thickBot="1" x14ac:dyDescent="0.3">
      <c r="A806" s="262"/>
      <c r="B806" s="260"/>
      <c r="C806" s="31"/>
      <c r="D806" s="31"/>
      <c r="E806" s="32"/>
      <c r="F806" s="42" t="s">
        <v>416</v>
      </c>
      <c r="G806" s="30" t="str">
        <f t="shared" si="76"/>
        <v/>
      </c>
      <c r="H806" s="34"/>
      <c r="I806" s="30"/>
      <c r="J806" s="152">
        <v>0</v>
      </c>
      <c r="L806" s="219"/>
      <c r="M806" s="42"/>
      <c r="N806" s="30" t="str">
        <f t="shared" si="77"/>
        <v/>
      </c>
      <c r="O806" s="34"/>
      <c r="P806" s="36" t="str">
        <f t="shared" si="72"/>
        <v/>
      </c>
      <c r="Q806" s="216" t="str">
        <f t="shared" si="73"/>
        <v/>
      </c>
      <c r="R806" s="216" t="str">
        <f t="shared" si="74"/>
        <v/>
      </c>
      <c r="S806" s="217" t="str">
        <f t="shared" si="75"/>
        <v/>
      </c>
    </row>
    <row r="807" spans="1:19" ht="26.25" hidden="1" thickBot="1" x14ac:dyDescent="0.3">
      <c r="A807" s="262"/>
      <c r="B807" s="260"/>
      <c r="C807" s="35" t="s">
        <v>3231</v>
      </c>
      <c r="D807" s="35" t="s">
        <v>861</v>
      </c>
      <c r="E807" s="36">
        <v>1.0966</v>
      </c>
      <c r="F807" s="33">
        <v>17.574999999999999</v>
      </c>
      <c r="G807" s="33">
        <f t="shared" si="76"/>
        <v>19.272745</v>
      </c>
      <c r="H807" s="38">
        <f>SUM(G807:G813)</f>
        <v>40.584372399999999</v>
      </c>
      <c r="I807" s="39"/>
      <c r="J807" s="152">
        <v>0</v>
      </c>
      <c r="L807" s="215">
        <v>1.0966</v>
      </c>
      <c r="M807" s="33">
        <v>15.0442</v>
      </c>
      <c r="N807" s="33">
        <f t="shared" si="77"/>
        <v>16.497469720000002</v>
      </c>
      <c r="O807" s="38">
        <f>SUM(N807:N813)</f>
        <v>34.740222774400003</v>
      </c>
      <c r="P807" s="36" t="str">
        <f t="shared" si="72"/>
        <v/>
      </c>
      <c r="Q807" s="216">
        <f t="shared" si="73"/>
        <v>0.14400000000000002</v>
      </c>
      <c r="R807" s="216">
        <f t="shared" si="74"/>
        <v>0.14399999999999991</v>
      </c>
      <c r="S807" s="217">
        <f t="shared" si="75"/>
        <v>0.14399999999999991</v>
      </c>
    </row>
    <row r="808" spans="1:19" ht="26.25" hidden="1" thickBot="1" x14ac:dyDescent="0.3">
      <c r="A808" s="262"/>
      <c r="B808" s="260"/>
      <c r="C808" s="35" t="s">
        <v>8168</v>
      </c>
      <c r="D808" s="35" t="s">
        <v>385</v>
      </c>
      <c r="E808" s="36">
        <v>1.4395</v>
      </c>
      <c r="F808" s="33">
        <v>2.4319999999999999</v>
      </c>
      <c r="G808" s="33">
        <f t="shared" si="76"/>
        <v>3.500864</v>
      </c>
      <c r="H808" s="44"/>
      <c r="I808" s="45"/>
      <c r="J808" s="152">
        <v>0</v>
      </c>
      <c r="L808" s="215">
        <v>1.4395</v>
      </c>
      <c r="M808" s="33">
        <v>2.0817920000000001</v>
      </c>
      <c r="N808" s="33">
        <f t="shared" si="77"/>
        <v>2.9967395840000002</v>
      </c>
      <c r="O808" s="44"/>
      <c r="P808" s="36" t="str">
        <f t="shared" si="72"/>
        <v/>
      </c>
      <c r="Q808" s="216">
        <f t="shared" si="73"/>
        <v>0.14399999999999991</v>
      </c>
      <c r="R808" s="216">
        <f t="shared" si="74"/>
        <v>0.14399999999999991</v>
      </c>
      <c r="S808" s="217" t="str">
        <f t="shared" si="75"/>
        <v/>
      </c>
    </row>
    <row r="809" spans="1:19" ht="39" hidden="1" thickBot="1" x14ac:dyDescent="0.3">
      <c r="A809" s="262"/>
      <c r="B809" s="260"/>
      <c r="C809" s="35" t="s">
        <v>3229</v>
      </c>
      <c r="D809" s="35" t="s">
        <v>773</v>
      </c>
      <c r="E809" s="36">
        <v>0.5202</v>
      </c>
      <c r="F809" s="33">
        <v>3.04</v>
      </c>
      <c r="G809" s="33">
        <f t="shared" si="76"/>
        <v>1.5814079999999999</v>
      </c>
      <c r="H809" s="44"/>
      <c r="I809" s="45"/>
      <c r="J809" s="152">
        <v>0</v>
      </c>
      <c r="L809" s="215">
        <v>0.5202</v>
      </c>
      <c r="M809" s="33">
        <v>2.6022400000000001</v>
      </c>
      <c r="N809" s="33">
        <f t="shared" si="77"/>
        <v>1.3536852480000001</v>
      </c>
      <c r="O809" s="44"/>
      <c r="P809" s="36" t="str">
        <f t="shared" si="72"/>
        <v/>
      </c>
      <c r="Q809" s="216">
        <f t="shared" si="73"/>
        <v>0.14400000000000002</v>
      </c>
      <c r="R809" s="216">
        <f t="shared" si="74"/>
        <v>0.14399999999999991</v>
      </c>
      <c r="S809" s="217" t="str">
        <f t="shared" si="75"/>
        <v/>
      </c>
    </row>
    <row r="810" spans="1:19" ht="26.25" hidden="1" thickBot="1" x14ac:dyDescent="0.3">
      <c r="A810" s="262"/>
      <c r="B810" s="260"/>
      <c r="C810" s="35" t="s">
        <v>8305</v>
      </c>
      <c r="D810" s="35" t="s">
        <v>213</v>
      </c>
      <c r="E810" s="36">
        <v>7.9740000000000002</v>
      </c>
      <c r="F810" s="33">
        <v>0.1045</v>
      </c>
      <c r="G810" s="33">
        <f t="shared" si="76"/>
        <v>0.833283</v>
      </c>
      <c r="H810" s="44"/>
      <c r="I810" s="45"/>
      <c r="J810" s="152">
        <v>0</v>
      </c>
      <c r="L810" s="215">
        <v>7.9740000000000002</v>
      </c>
      <c r="M810" s="33">
        <v>8.9452000000000004E-2</v>
      </c>
      <c r="N810" s="33">
        <f t="shared" si="77"/>
        <v>0.71329024800000007</v>
      </c>
      <c r="O810" s="44"/>
      <c r="P810" s="36" t="str">
        <f t="shared" si="72"/>
        <v/>
      </c>
      <c r="Q810" s="216">
        <f t="shared" si="73"/>
        <v>0.14399999999999991</v>
      </c>
      <c r="R810" s="216">
        <f t="shared" si="74"/>
        <v>0.14399999999999991</v>
      </c>
      <c r="S810" s="217" t="str">
        <f t="shared" si="75"/>
        <v/>
      </c>
    </row>
    <row r="811" spans="1:19" ht="26.25" hidden="1" thickBot="1" x14ac:dyDescent="0.3">
      <c r="A811" s="262"/>
      <c r="B811" s="260"/>
      <c r="C811" s="35" t="s">
        <v>8306</v>
      </c>
      <c r="D811" s="35" t="s">
        <v>213</v>
      </c>
      <c r="E811" s="36">
        <v>2.1911999999999998</v>
      </c>
      <c r="F811" s="33">
        <v>0.247</v>
      </c>
      <c r="G811" s="33">
        <f t="shared" si="76"/>
        <v>0.5412264</v>
      </c>
      <c r="H811" s="44"/>
      <c r="I811" s="45"/>
      <c r="J811" s="152">
        <v>0</v>
      </c>
      <c r="L811" s="215">
        <v>2.1911999999999998</v>
      </c>
      <c r="M811" s="33">
        <v>0.21143200000000001</v>
      </c>
      <c r="N811" s="33">
        <f t="shared" si="77"/>
        <v>0.46328979839999995</v>
      </c>
      <c r="O811" s="44"/>
      <c r="P811" s="36" t="str">
        <f t="shared" si="72"/>
        <v/>
      </c>
      <c r="Q811" s="216">
        <f t="shared" si="73"/>
        <v>0.14399999999999991</v>
      </c>
      <c r="R811" s="216">
        <f t="shared" si="74"/>
        <v>0.14400000000000013</v>
      </c>
      <c r="S811" s="217" t="str">
        <f t="shared" si="75"/>
        <v/>
      </c>
    </row>
    <row r="812" spans="1:19" ht="26.25" hidden="1" thickBot="1" x14ac:dyDescent="0.3">
      <c r="A812" s="262"/>
      <c r="B812" s="260"/>
      <c r="C812" s="35" t="s">
        <v>854</v>
      </c>
      <c r="D812" s="35" t="s">
        <v>583</v>
      </c>
      <c r="E812" s="36">
        <v>0.36280000000000001</v>
      </c>
      <c r="F812" s="30">
        <v>20.719499999999996</v>
      </c>
      <c r="G812" s="33">
        <f t="shared" si="76"/>
        <v>7.5170345999999988</v>
      </c>
      <c r="H812" s="44"/>
      <c r="I812" s="45"/>
      <c r="J812" s="152">
        <v>0</v>
      </c>
      <c r="L812" s="215">
        <v>0.36280000000000001</v>
      </c>
      <c r="M812" s="30">
        <v>17.735891999999996</v>
      </c>
      <c r="N812" s="33">
        <f t="shared" si="77"/>
        <v>6.4345816175999992</v>
      </c>
      <c r="O812" s="44"/>
      <c r="P812" s="36" t="str">
        <f t="shared" si="72"/>
        <v/>
      </c>
      <c r="Q812" s="216">
        <f t="shared" si="73"/>
        <v>0.14400000000000002</v>
      </c>
      <c r="R812" s="216">
        <f t="shared" si="74"/>
        <v>0.14400000000000002</v>
      </c>
      <c r="S812" s="217" t="str">
        <f t="shared" si="75"/>
        <v/>
      </c>
    </row>
    <row r="813" spans="1:19" ht="15.75" hidden="1" thickBot="1" x14ac:dyDescent="0.3">
      <c r="A813" s="262"/>
      <c r="B813" s="260"/>
      <c r="C813" s="35" t="s">
        <v>584</v>
      </c>
      <c r="D813" s="35" t="s">
        <v>583</v>
      </c>
      <c r="E813" s="36">
        <v>0.36280000000000001</v>
      </c>
      <c r="F813" s="30">
        <v>20.225499999999997</v>
      </c>
      <c r="G813" s="33">
        <f t="shared" si="76"/>
        <v>7.3378113999999988</v>
      </c>
      <c r="H813" s="44"/>
      <c r="I813" s="45"/>
      <c r="J813" s="152">
        <v>0</v>
      </c>
      <c r="L813" s="215">
        <v>0.36280000000000001</v>
      </c>
      <c r="M813" s="30">
        <v>17.313027999999996</v>
      </c>
      <c r="N813" s="33">
        <f t="shared" si="77"/>
        <v>6.2811665583999989</v>
      </c>
      <c r="O813" s="44"/>
      <c r="P813" s="36" t="str">
        <f t="shared" si="72"/>
        <v/>
      </c>
      <c r="Q813" s="216">
        <f t="shared" si="73"/>
        <v>0.14400000000000013</v>
      </c>
      <c r="R813" s="216">
        <f t="shared" si="74"/>
        <v>0.14400000000000002</v>
      </c>
      <c r="S813" s="217" t="str">
        <f t="shared" si="75"/>
        <v/>
      </c>
    </row>
    <row r="814" spans="1:19" ht="15.75" hidden="1" thickBot="1" x14ac:dyDescent="0.3">
      <c r="A814" s="263"/>
      <c r="B814" s="261"/>
      <c r="C814" s="35"/>
      <c r="D814" s="35"/>
      <c r="E814" s="36"/>
      <c r="F814" s="30" t="s">
        <v>416</v>
      </c>
      <c r="G814" s="30" t="str">
        <f t="shared" si="76"/>
        <v/>
      </c>
      <c r="H814" s="34"/>
      <c r="I814" s="30"/>
      <c r="J814" s="152">
        <v>0</v>
      </c>
      <c r="L814" s="215"/>
      <c r="M814" s="30"/>
      <c r="N814" s="30" t="str">
        <f t="shared" si="77"/>
        <v/>
      </c>
      <c r="O814" s="34"/>
      <c r="P814" s="36" t="str">
        <f t="shared" si="72"/>
        <v/>
      </c>
      <c r="Q814" s="216" t="str">
        <f t="shared" si="73"/>
        <v/>
      </c>
      <c r="R814" s="216" t="str">
        <f t="shared" si="74"/>
        <v/>
      </c>
      <c r="S814" s="217" t="str">
        <f t="shared" si="75"/>
        <v/>
      </c>
    </row>
    <row r="815" spans="1:19" ht="15.75" hidden="1" thickBot="1" x14ac:dyDescent="0.3">
      <c r="A815" s="256" t="s">
        <v>210</v>
      </c>
      <c r="B815" s="259" t="str">
        <f>INDEX(Orçamentária!A:B,MATCH(Composições!A815,Orçamentária!A:A,0),2)</f>
        <v>Forro mineral modulado</v>
      </c>
      <c r="C815" s="40"/>
      <c r="D815" s="25" t="s">
        <v>70</v>
      </c>
      <c r="E815" s="26"/>
      <c r="F815" s="41" t="s">
        <v>416</v>
      </c>
      <c r="G815" s="27" t="str">
        <f t="shared" si="76"/>
        <v/>
      </c>
      <c r="H815" s="28"/>
      <c r="I815" s="29"/>
      <c r="J815" s="152">
        <v>0</v>
      </c>
      <c r="L815" s="218"/>
      <c r="M815" s="41"/>
      <c r="N815" s="27" t="str">
        <f t="shared" si="77"/>
        <v/>
      </c>
      <c r="O815" s="28"/>
      <c r="P815" s="36" t="str">
        <f t="shared" si="72"/>
        <v/>
      </c>
      <c r="Q815" s="216" t="str">
        <f t="shared" si="73"/>
        <v/>
      </c>
      <c r="R815" s="216" t="str">
        <f t="shared" si="74"/>
        <v/>
      </c>
      <c r="S815" s="217" t="str">
        <f t="shared" si="75"/>
        <v/>
      </c>
    </row>
    <row r="816" spans="1:19" ht="15.75" hidden="1" thickBot="1" x14ac:dyDescent="0.3">
      <c r="A816" s="262"/>
      <c r="B816" s="260"/>
      <c r="C816" s="31"/>
      <c r="D816" s="31"/>
      <c r="E816" s="32"/>
      <c r="F816" s="42" t="s">
        <v>416</v>
      </c>
      <c r="G816" s="30" t="str">
        <f t="shared" si="76"/>
        <v/>
      </c>
      <c r="H816" s="34"/>
      <c r="I816" s="30"/>
      <c r="J816" s="152">
        <v>0</v>
      </c>
      <c r="L816" s="219"/>
      <c r="M816" s="42"/>
      <c r="N816" s="30" t="str">
        <f t="shared" si="77"/>
        <v/>
      </c>
      <c r="O816" s="34"/>
      <c r="P816" s="36" t="str">
        <f t="shared" si="72"/>
        <v/>
      </c>
      <c r="Q816" s="216" t="str">
        <f t="shared" si="73"/>
        <v/>
      </c>
      <c r="R816" s="216" t="str">
        <f t="shared" si="74"/>
        <v/>
      </c>
      <c r="S816" s="217" t="str">
        <f t="shared" si="75"/>
        <v/>
      </c>
    </row>
    <row r="817" spans="1:19" ht="39" hidden="1" thickBot="1" x14ac:dyDescent="0.3">
      <c r="A817" s="262"/>
      <c r="B817" s="260"/>
      <c r="C817" s="35" t="s">
        <v>211</v>
      </c>
      <c r="D817" s="35" t="s">
        <v>861</v>
      </c>
      <c r="E817" s="36">
        <v>1</v>
      </c>
      <c r="F817" s="33">
        <v>123.68049999999999</v>
      </c>
      <c r="G817" s="33">
        <f t="shared" si="76"/>
        <v>123.68049999999999</v>
      </c>
      <c r="H817" s="38">
        <f>SUM(G817:G817)</f>
        <v>123.68049999999999</v>
      </c>
      <c r="I817" s="39"/>
      <c r="J817" s="152">
        <v>0</v>
      </c>
      <c r="L817" s="215">
        <v>1</v>
      </c>
      <c r="M817" s="33">
        <v>105.870508</v>
      </c>
      <c r="N817" s="33">
        <f t="shared" si="77"/>
        <v>105.870508</v>
      </c>
      <c r="O817" s="38">
        <f>SUM(N817:N817)</f>
        <v>105.870508</v>
      </c>
      <c r="P817" s="36" t="str">
        <f t="shared" si="72"/>
        <v/>
      </c>
      <c r="Q817" s="216">
        <f t="shared" si="73"/>
        <v>0.14399999999999991</v>
      </c>
      <c r="R817" s="216">
        <f t="shared" si="74"/>
        <v>0.14399999999999991</v>
      </c>
      <c r="S817" s="217">
        <f t="shared" si="75"/>
        <v>0.14399999999999991</v>
      </c>
    </row>
    <row r="818" spans="1:19" ht="15.75" hidden="1" thickBot="1" x14ac:dyDescent="0.3">
      <c r="A818" s="263"/>
      <c r="B818" s="261"/>
      <c r="C818" s="35"/>
      <c r="D818" s="35"/>
      <c r="E818" s="36"/>
      <c r="F818" s="30" t="s">
        <v>416</v>
      </c>
      <c r="G818" s="30" t="str">
        <f t="shared" si="76"/>
        <v/>
      </c>
      <c r="H818" s="34"/>
      <c r="I818" s="30"/>
      <c r="J818" s="152">
        <v>0</v>
      </c>
      <c r="L818" s="215"/>
      <c r="M818" s="30"/>
      <c r="N818" s="30" t="str">
        <f t="shared" si="77"/>
        <v/>
      </c>
      <c r="O818" s="34"/>
      <c r="P818" s="36" t="str">
        <f t="shared" si="72"/>
        <v/>
      </c>
      <c r="Q818" s="216" t="str">
        <f t="shared" si="73"/>
        <v/>
      </c>
      <c r="R818" s="216" t="str">
        <f t="shared" si="74"/>
        <v/>
      </c>
      <c r="S818" s="217" t="str">
        <f t="shared" si="75"/>
        <v/>
      </c>
    </row>
    <row r="819" spans="1:19" ht="15.75" hidden="1" thickBot="1" x14ac:dyDescent="0.3">
      <c r="A819" s="256" t="s">
        <v>212</v>
      </c>
      <c r="B819" s="259" t="str">
        <f>INDEX(Orçamentária!A:B,MATCH(Composições!A819,Orçamentária!A:A,0),2)</f>
        <v>Forro mineral modulado, sem estrutura</v>
      </c>
      <c r="C819" s="40"/>
      <c r="D819" s="25" t="s">
        <v>70</v>
      </c>
      <c r="E819" s="26"/>
      <c r="F819" s="41" t="s">
        <v>416</v>
      </c>
      <c r="G819" s="27" t="str">
        <f t="shared" si="76"/>
        <v/>
      </c>
      <c r="H819" s="28"/>
      <c r="I819" s="29"/>
      <c r="J819" s="152">
        <v>0</v>
      </c>
      <c r="L819" s="218"/>
      <c r="M819" s="41"/>
      <c r="N819" s="27" t="str">
        <f t="shared" si="77"/>
        <v/>
      </c>
      <c r="O819" s="28"/>
      <c r="P819" s="36" t="str">
        <f t="shared" si="72"/>
        <v/>
      </c>
      <c r="Q819" s="216" t="str">
        <f t="shared" si="73"/>
        <v/>
      </c>
      <c r="R819" s="216" t="str">
        <f t="shared" si="74"/>
        <v/>
      </c>
      <c r="S819" s="217" t="str">
        <f t="shared" si="75"/>
        <v/>
      </c>
    </row>
    <row r="820" spans="1:19" ht="15.75" hidden="1" thickBot="1" x14ac:dyDescent="0.3">
      <c r="A820" s="262"/>
      <c r="B820" s="260"/>
      <c r="C820" s="31"/>
      <c r="D820" s="31"/>
      <c r="E820" s="32"/>
      <c r="F820" s="42" t="s">
        <v>416</v>
      </c>
      <c r="G820" s="30" t="str">
        <f t="shared" si="76"/>
        <v/>
      </c>
      <c r="H820" s="34"/>
      <c r="I820" s="30"/>
      <c r="J820" s="152">
        <v>0</v>
      </c>
      <c r="L820" s="219"/>
      <c r="M820" s="42"/>
      <c r="N820" s="30" t="str">
        <f t="shared" si="77"/>
        <v/>
      </c>
      <c r="O820" s="34"/>
      <c r="P820" s="36" t="str">
        <f t="shared" si="72"/>
        <v/>
      </c>
      <c r="Q820" s="216" t="str">
        <f t="shared" si="73"/>
        <v/>
      </c>
      <c r="R820" s="216" t="str">
        <f t="shared" si="74"/>
        <v/>
      </c>
      <c r="S820" s="217" t="str">
        <f t="shared" si="75"/>
        <v/>
      </c>
    </row>
    <row r="821" spans="1:19" ht="15.75" hidden="1" thickBot="1" x14ac:dyDescent="0.3">
      <c r="A821" s="262"/>
      <c r="B821" s="260"/>
      <c r="C821" s="35" t="s">
        <v>1233</v>
      </c>
      <c r="D821" s="35" t="s">
        <v>583</v>
      </c>
      <c r="E821" s="36">
        <f>1.2/4</f>
        <v>0.3</v>
      </c>
      <c r="F821" s="30">
        <v>21.318000000000001</v>
      </c>
      <c r="G821" s="30">
        <f t="shared" si="76"/>
        <v>6.3954000000000004</v>
      </c>
      <c r="H821" s="38">
        <f>SUM(G821:G822)</f>
        <v>33.945399999999999</v>
      </c>
      <c r="I821" s="39"/>
      <c r="J821" s="152">
        <v>0</v>
      </c>
      <c r="L821" s="215">
        <v>0.3</v>
      </c>
      <c r="M821" s="30">
        <v>18.248208000000002</v>
      </c>
      <c r="N821" s="30">
        <f t="shared" si="77"/>
        <v>5.4744624000000002</v>
      </c>
      <c r="O821" s="38">
        <f>SUM(N821:N822)</f>
        <v>29.057262399999999</v>
      </c>
      <c r="P821" s="36" t="str">
        <f t="shared" si="72"/>
        <v/>
      </c>
      <c r="Q821" s="216">
        <f t="shared" si="73"/>
        <v>0.14400000000000002</v>
      </c>
      <c r="R821" s="216">
        <f t="shared" si="74"/>
        <v>0.14400000000000002</v>
      </c>
      <c r="S821" s="217">
        <f t="shared" si="75"/>
        <v>0.14400000000000002</v>
      </c>
    </row>
    <row r="822" spans="1:19" ht="26.25" hidden="1" thickBot="1" x14ac:dyDescent="0.3">
      <c r="A822" s="262"/>
      <c r="B822" s="260"/>
      <c r="C822" s="35" t="s">
        <v>8322</v>
      </c>
      <c r="D822" s="35" t="s">
        <v>213</v>
      </c>
      <c r="E822" s="36">
        <v>1</v>
      </c>
      <c r="F822" s="33">
        <v>27.549999999999997</v>
      </c>
      <c r="G822" s="30">
        <f t="shared" si="76"/>
        <v>27.549999999999997</v>
      </c>
      <c r="H822" s="34"/>
      <c r="I822" s="30"/>
      <c r="J822" s="152">
        <v>0</v>
      </c>
      <c r="L822" s="215">
        <v>1</v>
      </c>
      <c r="M822" s="33">
        <v>23.582799999999999</v>
      </c>
      <c r="N822" s="30">
        <f t="shared" si="77"/>
        <v>23.582799999999999</v>
      </c>
      <c r="O822" s="34"/>
      <c r="P822" s="36" t="str">
        <f t="shared" si="72"/>
        <v/>
      </c>
      <c r="Q822" s="216">
        <f t="shared" si="73"/>
        <v>0.14399999999999991</v>
      </c>
      <c r="R822" s="216">
        <f t="shared" si="74"/>
        <v>0.14399999999999991</v>
      </c>
      <c r="S822" s="217" t="str">
        <f t="shared" si="75"/>
        <v/>
      </c>
    </row>
    <row r="823" spans="1:19" ht="15.75" hidden="1" thickBot="1" x14ac:dyDescent="0.3">
      <c r="A823" s="263"/>
      <c r="B823" s="261"/>
      <c r="C823" s="35"/>
      <c r="D823" s="35"/>
      <c r="E823" s="36"/>
      <c r="F823" s="30" t="s">
        <v>416</v>
      </c>
      <c r="G823" s="30" t="str">
        <f t="shared" si="76"/>
        <v/>
      </c>
      <c r="H823" s="34"/>
      <c r="I823" s="30"/>
      <c r="J823" s="152">
        <v>0</v>
      </c>
      <c r="L823" s="215"/>
      <c r="M823" s="30"/>
      <c r="N823" s="30" t="str">
        <f t="shared" si="77"/>
        <v/>
      </c>
      <c r="O823" s="34"/>
      <c r="P823" s="36" t="str">
        <f t="shared" si="72"/>
        <v/>
      </c>
      <c r="Q823" s="216" t="str">
        <f t="shared" si="73"/>
        <v/>
      </c>
      <c r="R823" s="216" t="str">
        <f t="shared" si="74"/>
        <v/>
      </c>
      <c r="S823" s="217" t="str">
        <f t="shared" si="75"/>
        <v/>
      </c>
    </row>
    <row r="824" spans="1:19" ht="15.75" hidden="1" thickBot="1" x14ac:dyDescent="0.3">
      <c r="A824" s="256" t="s">
        <v>214</v>
      </c>
      <c r="B824" s="259" t="str">
        <f>INDEX(Orçamentária!A:B,MATCH(Composições!A824,Orçamentária!A:A,0),2)</f>
        <v>Instalação de forro de PVC reaproveitado</v>
      </c>
      <c r="C824" s="40"/>
      <c r="D824" s="25" t="s">
        <v>70</v>
      </c>
      <c r="E824" s="26"/>
      <c r="F824" s="41" t="s">
        <v>416</v>
      </c>
      <c r="G824" s="27" t="str">
        <f t="shared" si="76"/>
        <v/>
      </c>
      <c r="H824" s="28"/>
      <c r="I824" s="29"/>
      <c r="J824" s="152">
        <v>0</v>
      </c>
      <c r="L824" s="218"/>
      <c r="M824" s="41"/>
      <c r="N824" s="27" t="str">
        <f t="shared" si="77"/>
        <v/>
      </c>
      <c r="O824" s="28"/>
      <c r="P824" s="36" t="str">
        <f t="shared" si="72"/>
        <v/>
      </c>
      <c r="Q824" s="216" t="str">
        <f t="shared" si="73"/>
        <v/>
      </c>
      <c r="R824" s="216" t="str">
        <f t="shared" si="74"/>
        <v/>
      </c>
      <c r="S824" s="217" t="str">
        <f t="shared" si="75"/>
        <v/>
      </c>
    </row>
    <row r="825" spans="1:19" ht="15.75" hidden="1" thickBot="1" x14ac:dyDescent="0.3">
      <c r="A825" s="262"/>
      <c r="B825" s="260"/>
      <c r="C825" s="31"/>
      <c r="D825" s="31"/>
      <c r="E825" s="32"/>
      <c r="F825" s="42" t="s">
        <v>416</v>
      </c>
      <c r="G825" s="30" t="str">
        <f t="shared" si="76"/>
        <v/>
      </c>
      <c r="H825" s="34"/>
      <c r="I825" s="30"/>
      <c r="J825" s="152">
        <v>0</v>
      </c>
      <c r="L825" s="219"/>
      <c r="M825" s="42"/>
      <c r="N825" s="30" t="str">
        <f t="shared" si="77"/>
        <v/>
      </c>
      <c r="O825" s="34"/>
      <c r="P825" s="36" t="str">
        <f t="shared" si="72"/>
        <v/>
      </c>
      <c r="Q825" s="216" t="str">
        <f t="shared" si="73"/>
        <v/>
      </c>
      <c r="R825" s="216" t="str">
        <f t="shared" si="74"/>
        <v/>
      </c>
      <c r="S825" s="217" t="str">
        <f t="shared" si="75"/>
        <v/>
      </c>
    </row>
    <row r="826" spans="1:19" ht="26.25" hidden="1" thickBot="1" x14ac:dyDescent="0.3">
      <c r="A826" s="262"/>
      <c r="B826" s="260"/>
      <c r="C826" s="35" t="s">
        <v>854</v>
      </c>
      <c r="D826" s="35" t="s">
        <v>583</v>
      </c>
      <c r="E826" s="36">
        <f>ROUND(0.4994*0.3,4)</f>
        <v>0.14979999999999999</v>
      </c>
      <c r="F826" s="30">
        <v>20.719499999999996</v>
      </c>
      <c r="G826" s="30">
        <f t="shared" si="76"/>
        <v>3.1037810999999991</v>
      </c>
      <c r="H826" s="38">
        <f>SUM(G826:G826)</f>
        <v>3.1037810999999991</v>
      </c>
      <c r="I826" s="39"/>
      <c r="J826" s="152">
        <v>0</v>
      </c>
      <c r="L826" s="215">
        <v>0.14979999999999999</v>
      </c>
      <c r="M826" s="30">
        <v>17.735891999999996</v>
      </c>
      <c r="N826" s="30">
        <f t="shared" si="77"/>
        <v>2.6568366215999992</v>
      </c>
      <c r="O826" s="38">
        <f>SUM(N826:N826)</f>
        <v>2.6568366215999992</v>
      </c>
      <c r="P826" s="36" t="str">
        <f t="shared" si="72"/>
        <v/>
      </c>
      <c r="Q826" s="216">
        <f t="shared" si="73"/>
        <v>0.14400000000000002</v>
      </c>
      <c r="R826" s="216">
        <f t="shared" si="74"/>
        <v>0.14400000000000002</v>
      </c>
      <c r="S826" s="217">
        <f t="shared" si="75"/>
        <v>0.14400000000000002</v>
      </c>
    </row>
    <row r="827" spans="1:19" ht="15.75" hidden="1" thickBot="1" x14ac:dyDescent="0.3">
      <c r="A827" s="263"/>
      <c r="B827" s="261"/>
      <c r="C827" s="35"/>
      <c r="D827" s="35"/>
      <c r="E827" s="36"/>
      <c r="F827" s="30" t="s">
        <v>416</v>
      </c>
      <c r="G827" s="30" t="str">
        <f t="shared" si="76"/>
        <v/>
      </c>
      <c r="H827" s="34"/>
      <c r="I827" s="30"/>
      <c r="J827" s="152">
        <v>0</v>
      </c>
      <c r="L827" s="215"/>
      <c r="M827" s="30"/>
      <c r="N827" s="30" t="str">
        <f t="shared" si="77"/>
        <v/>
      </c>
      <c r="O827" s="34"/>
      <c r="P827" s="36" t="str">
        <f t="shared" si="72"/>
        <v/>
      </c>
      <c r="Q827" s="216" t="str">
        <f t="shared" si="73"/>
        <v/>
      </c>
      <c r="R827" s="216" t="str">
        <f t="shared" si="74"/>
        <v/>
      </c>
      <c r="S827" s="217" t="str">
        <f t="shared" si="75"/>
        <v/>
      </c>
    </row>
    <row r="828" spans="1:19" ht="15.75" hidden="1" thickBot="1" x14ac:dyDescent="0.3">
      <c r="A828" s="256" t="s">
        <v>215</v>
      </c>
      <c r="B828" s="259" t="str">
        <f>INDEX(Orçamentária!A:B,MATCH(Composições!A828,Orçamentária!A:A,0),2)</f>
        <v>Instalação de forro mineral reaproveitado</v>
      </c>
      <c r="C828" s="40"/>
      <c r="D828" s="25" t="s">
        <v>70</v>
      </c>
      <c r="E828" s="26"/>
      <c r="F828" s="41" t="s">
        <v>416</v>
      </c>
      <c r="G828" s="27" t="str">
        <f t="shared" si="76"/>
        <v/>
      </c>
      <c r="H828" s="28"/>
      <c r="I828" s="29"/>
      <c r="J828" s="152">
        <v>0</v>
      </c>
      <c r="L828" s="218"/>
      <c r="M828" s="41"/>
      <c r="N828" s="27" t="str">
        <f t="shared" si="77"/>
        <v/>
      </c>
      <c r="O828" s="28"/>
      <c r="P828" s="36" t="str">
        <f t="shared" si="72"/>
        <v/>
      </c>
      <c r="Q828" s="216" t="str">
        <f t="shared" si="73"/>
        <v/>
      </c>
      <c r="R828" s="216" t="str">
        <f t="shared" si="74"/>
        <v/>
      </c>
      <c r="S828" s="217" t="str">
        <f t="shared" si="75"/>
        <v/>
      </c>
    </row>
    <row r="829" spans="1:19" ht="15.75" hidden="1" thickBot="1" x14ac:dyDescent="0.3">
      <c r="A829" s="262"/>
      <c r="B829" s="260"/>
      <c r="C829" s="31"/>
      <c r="D829" s="31"/>
      <c r="E829" s="32"/>
      <c r="F829" s="42" t="s">
        <v>416</v>
      </c>
      <c r="G829" s="30" t="str">
        <f t="shared" si="76"/>
        <v/>
      </c>
      <c r="H829" s="34"/>
      <c r="I829" s="30"/>
      <c r="J829" s="152">
        <v>0</v>
      </c>
      <c r="L829" s="219"/>
      <c r="M829" s="42"/>
      <c r="N829" s="30" t="str">
        <f t="shared" si="77"/>
        <v/>
      </c>
      <c r="O829" s="34"/>
      <c r="P829" s="36" t="str">
        <f t="shared" si="72"/>
        <v/>
      </c>
      <c r="Q829" s="216" t="str">
        <f t="shared" si="73"/>
        <v/>
      </c>
      <c r="R829" s="216" t="str">
        <f t="shared" si="74"/>
        <v/>
      </c>
      <c r="S829" s="217" t="str">
        <f t="shared" si="75"/>
        <v/>
      </c>
    </row>
    <row r="830" spans="1:19" ht="15.75" hidden="1" thickBot="1" x14ac:dyDescent="0.3">
      <c r="A830" s="262"/>
      <c r="B830" s="260"/>
      <c r="C830" s="35" t="s">
        <v>1233</v>
      </c>
      <c r="D830" s="35" t="s">
        <v>583</v>
      </c>
      <c r="E830" s="36">
        <v>1.2</v>
      </c>
      <c r="F830" s="30">
        <v>21.318000000000001</v>
      </c>
      <c r="G830" s="30">
        <f t="shared" si="76"/>
        <v>25.581600000000002</v>
      </c>
      <c r="H830" s="38">
        <f>SUM(G830:G831)</f>
        <v>50.444999999999993</v>
      </c>
      <c r="I830" s="39"/>
      <c r="J830" s="152">
        <v>0</v>
      </c>
      <c r="L830" s="215">
        <v>1.2</v>
      </c>
      <c r="M830" s="30">
        <v>18.248208000000002</v>
      </c>
      <c r="N830" s="30">
        <f t="shared" si="77"/>
        <v>21.897849600000001</v>
      </c>
      <c r="O830" s="38">
        <f>SUM(N830:N831)</f>
        <v>43.18092</v>
      </c>
      <c r="P830" s="36" t="str">
        <f t="shared" si="72"/>
        <v/>
      </c>
      <c r="Q830" s="216">
        <f t="shared" si="73"/>
        <v>0.14400000000000002</v>
      </c>
      <c r="R830" s="216">
        <f t="shared" si="74"/>
        <v>0.14400000000000002</v>
      </c>
      <c r="S830" s="217">
        <f t="shared" si="75"/>
        <v>0.14399999999999991</v>
      </c>
    </row>
    <row r="831" spans="1:19" ht="26.25" hidden="1" thickBot="1" x14ac:dyDescent="0.3">
      <c r="A831" s="262"/>
      <c r="B831" s="260"/>
      <c r="C831" s="35" t="s">
        <v>854</v>
      </c>
      <c r="D831" s="35" t="s">
        <v>583</v>
      </c>
      <c r="E831" s="36">
        <v>1.2</v>
      </c>
      <c r="F831" s="30">
        <v>20.719499999999996</v>
      </c>
      <c r="G831" s="30">
        <f t="shared" si="76"/>
        <v>24.863399999999995</v>
      </c>
      <c r="H831" s="34"/>
      <c r="I831" s="30"/>
      <c r="J831" s="152">
        <v>0</v>
      </c>
      <c r="L831" s="215">
        <v>1.2</v>
      </c>
      <c r="M831" s="30">
        <v>17.735891999999996</v>
      </c>
      <c r="N831" s="30">
        <f t="shared" si="77"/>
        <v>21.283070399999996</v>
      </c>
      <c r="O831" s="34"/>
      <c r="P831" s="36" t="str">
        <f t="shared" si="72"/>
        <v/>
      </c>
      <c r="Q831" s="216">
        <f t="shared" si="73"/>
        <v>0.14400000000000002</v>
      </c>
      <c r="R831" s="216">
        <f t="shared" si="74"/>
        <v>0.14400000000000002</v>
      </c>
      <c r="S831" s="217" t="str">
        <f t="shared" si="75"/>
        <v/>
      </c>
    </row>
    <row r="832" spans="1:19" ht="15.75" hidden="1" thickBot="1" x14ac:dyDescent="0.3">
      <c r="A832" s="263"/>
      <c r="B832" s="261"/>
      <c r="C832" s="35"/>
      <c r="D832" s="35"/>
      <c r="E832" s="36"/>
      <c r="F832" s="30" t="s">
        <v>416</v>
      </c>
      <c r="G832" s="30" t="str">
        <f t="shared" si="76"/>
        <v/>
      </c>
      <c r="H832" s="34"/>
      <c r="I832" s="30"/>
      <c r="J832" s="152">
        <v>0</v>
      </c>
      <c r="L832" s="215"/>
      <c r="M832" s="30"/>
      <c r="N832" s="30" t="str">
        <f t="shared" si="77"/>
        <v/>
      </c>
      <c r="O832" s="34"/>
      <c r="P832" s="36" t="str">
        <f t="shared" si="72"/>
        <v/>
      </c>
      <c r="Q832" s="216" t="str">
        <f t="shared" si="73"/>
        <v/>
      </c>
      <c r="R832" s="216" t="str">
        <f t="shared" si="74"/>
        <v/>
      </c>
      <c r="S832" s="217" t="str">
        <f t="shared" si="75"/>
        <v/>
      </c>
    </row>
    <row r="833" spans="1:19" ht="15.75" hidden="1" thickBot="1" x14ac:dyDescent="0.3">
      <c r="A833" s="256" t="s">
        <v>216</v>
      </c>
      <c r="B833" s="259" t="str">
        <f>INDEX(Orçamentária!A:B,MATCH(Composições!A833,Orçamentária!A:A,0),2)</f>
        <v>Tabica metálica em forro de gesso acartonado</v>
      </c>
      <c r="C833" s="40"/>
      <c r="D833" s="25" t="s">
        <v>69</v>
      </c>
      <c r="E833" s="26"/>
      <c r="F833" s="41" t="s">
        <v>416</v>
      </c>
      <c r="G833" s="27" t="str">
        <f t="shared" si="76"/>
        <v/>
      </c>
      <c r="H833" s="28"/>
      <c r="I833" s="29"/>
      <c r="J833" s="152">
        <v>0</v>
      </c>
      <c r="L833" s="218"/>
      <c r="M833" s="41"/>
      <c r="N833" s="27" t="str">
        <f t="shared" si="77"/>
        <v/>
      </c>
      <c r="O833" s="28"/>
      <c r="P833" s="36" t="str">
        <f t="shared" si="72"/>
        <v/>
      </c>
      <c r="Q833" s="216" t="str">
        <f t="shared" si="73"/>
        <v/>
      </c>
      <c r="R833" s="216" t="str">
        <f t="shared" si="74"/>
        <v/>
      </c>
      <c r="S833" s="217" t="str">
        <f t="shared" si="75"/>
        <v/>
      </c>
    </row>
    <row r="834" spans="1:19" ht="15.75" hidden="1" thickBot="1" x14ac:dyDescent="0.3">
      <c r="A834" s="262"/>
      <c r="B834" s="260"/>
      <c r="C834" s="31"/>
      <c r="D834" s="31"/>
      <c r="E834" s="32"/>
      <c r="F834" s="42" t="s">
        <v>416</v>
      </c>
      <c r="G834" s="30" t="str">
        <f t="shared" si="76"/>
        <v/>
      </c>
      <c r="H834" s="34"/>
      <c r="I834" s="30"/>
      <c r="J834" s="152">
        <v>0</v>
      </c>
      <c r="L834" s="219"/>
      <c r="M834" s="42"/>
      <c r="N834" s="30" t="str">
        <f t="shared" si="77"/>
        <v/>
      </c>
      <c r="O834" s="34"/>
      <c r="P834" s="36" t="str">
        <f t="shared" si="72"/>
        <v/>
      </c>
      <c r="Q834" s="216" t="str">
        <f t="shared" si="73"/>
        <v/>
      </c>
      <c r="R834" s="216" t="str">
        <f t="shared" si="74"/>
        <v/>
      </c>
      <c r="S834" s="217" t="str">
        <f t="shared" si="75"/>
        <v/>
      </c>
    </row>
    <row r="835" spans="1:19" ht="39" hidden="1" thickBot="1" x14ac:dyDescent="0.3">
      <c r="A835" s="262"/>
      <c r="B835" s="260"/>
      <c r="C835" s="35" t="s">
        <v>8317</v>
      </c>
      <c r="D835" s="35" t="s">
        <v>385</v>
      </c>
      <c r="E835" s="36">
        <v>1.1512</v>
      </c>
      <c r="F835" s="33">
        <v>5.4719999999999995</v>
      </c>
      <c r="G835" s="33">
        <f t="shared" si="76"/>
        <v>6.2993663999999994</v>
      </c>
      <c r="H835" s="38">
        <f>SUM(G835:G838)</f>
        <v>13.042102549999999</v>
      </c>
      <c r="I835" s="39"/>
      <c r="J835" s="152">
        <v>0</v>
      </c>
      <c r="L835" s="215">
        <v>1.1512</v>
      </c>
      <c r="M835" s="33">
        <v>4.6840319999999993</v>
      </c>
      <c r="N835" s="33">
        <f t="shared" si="77"/>
        <v>5.3922576383999994</v>
      </c>
      <c r="O835" s="38">
        <f>SUM(N835:N838)</f>
        <v>11.1640397828</v>
      </c>
      <c r="P835" s="36" t="str">
        <f t="shared" si="72"/>
        <v/>
      </c>
      <c r="Q835" s="216">
        <f t="shared" si="73"/>
        <v>0.14400000000000002</v>
      </c>
      <c r="R835" s="216">
        <f t="shared" si="74"/>
        <v>0.14400000000000002</v>
      </c>
      <c r="S835" s="217">
        <f t="shared" si="75"/>
        <v>0.14400000000000002</v>
      </c>
    </row>
    <row r="836" spans="1:19" ht="26.25" hidden="1" thickBot="1" x14ac:dyDescent="0.3">
      <c r="A836" s="262"/>
      <c r="B836" s="260"/>
      <c r="C836" s="35" t="s">
        <v>8306</v>
      </c>
      <c r="D836" s="35" t="s">
        <v>213</v>
      </c>
      <c r="E836" s="36">
        <v>0.58330000000000004</v>
      </c>
      <c r="F836" s="33">
        <v>0.247</v>
      </c>
      <c r="G836" s="33">
        <f t="shared" si="76"/>
        <v>0.14407510000000001</v>
      </c>
      <c r="H836" s="55"/>
      <c r="I836" s="56"/>
      <c r="J836" s="152">
        <v>0</v>
      </c>
      <c r="L836" s="215">
        <v>0.58330000000000004</v>
      </c>
      <c r="M836" s="33">
        <v>0.21143200000000001</v>
      </c>
      <c r="N836" s="33">
        <f t="shared" si="77"/>
        <v>0.12332828560000002</v>
      </c>
      <c r="O836" s="55"/>
      <c r="P836" s="36" t="str">
        <f t="shared" si="72"/>
        <v/>
      </c>
      <c r="Q836" s="216">
        <f t="shared" si="73"/>
        <v>0.14399999999999991</v>
      </c>
      <c r="R836" s="216">
        <f t="shared" si="74"/>
        <v>0.14399999999999991</v>
      </c>
      <c r="S836" s="217" t="str">
        <f t="shared" si="75"/>
        <v/>
      </c>
    </row>
    <row r="837" spans="1:19" ht="26.25" hidden="1" thickBot="1" x14ac:dyDescent="0.3">
      <c r="A837" s="262"/>
      <c r="B837" s="260"/>
      <c r="C837" s="35" t="s">
        <v>201</v>
      </c>
      <c r="D837" s="35" t="s">
        <v>1102</v>
      </c>
      <c r="E837" s="36">
        <v>7.4899999999999994E-2</v>
      </c>
      <c r="F837" s="33">
        <v>47.490499999999997</v>
      </c>
      <c r="G837" s="33">
        <f t="shared" si="76"/>
        <v>3.5570384499999994</v>
      </c>
      <c r="H837" s="55"/>
      <c r="I837" s="56"/>
      <c r="J837" s="152">
        <v>0</v>
      </c>
      <c r="L837" s="215">
        <v>7.4899999999999994E-2</v>
      </c>
      <c r="M837" s="33">
        <v>40.651868</v>
      </c>
      <c r="N837" s="33">
        <f t="shared" si="77"/>
        <v>3.0448249131999998</v>
      </c>
      <c r="O837" s="55"/>
      <c r="P837" s="36" t="str">
        <f t="shared" si="72"/>
        <v/>
      </c>
      <c r="Q837" s="216">
        <f t="shared" si="73"/>
        <v>0.14399999999999991</v>
      </c>
      <c r="R837" s="216">
        <f t="shared" si="74"/>
        <v>0.14399999999999991</v>
      </c>
      <c r="S837" s="217" t="str">
        <f t="shared" si="75"/>
        <v/>
      </c>
    </row>
    <row r="838" spans="1:19" ht="26.25" hidden="1" thickBot="1" x14ac:dyDescent="0.3">
      <c r="A838" s="262"/>
      <c r="B838" s="260"/>
      <c r="C838" s="35" t="s">
        <v>854</v>
      </c>
      <c r="D838" s="35" t="s">
        <v>583</v>
      </c>
      <c r="E838" s="36">
        <v>0.14680000000000001</v>
      </c>
      <c r="F838" s="30">
        <v>20.719499999999996</v>
      </c>
      <c r="G838" s="33">
        <f t="shared" si="76"/>
        <v>3.0416225999999997</v>
      </c>
      <c r="H838" s="55"/>
      <c r="I838" s="56"/>
      <c r="J838" s="152">
        <v>0</v>
      </c>
      <c r="L838" s="215">
        <v>0.14680000000000001</v>
      </c>
      <c r="M838" s="30">
        <v>17.735891999999996</v>
      </c>
      <c r="N838" s="33">
        <f t="shared" si="77"/>
        <v>2.6036289455999997</v>
      </c>
      <c r="O838" s="55"/>
      <c r="P838" s="36" t="str">
        <f t="shared" si="72"/>
        <v/>
      </c>
      <c r="Q838" s="216">
        <f t="shared" si="73"/>
        <v>0.14400000000000002</v>
      </c>
      <c r="R838" s="216">
        <f t="shared" si="74"/>
        <v>0.14400000000000002</v>
      </c>
      <c r="S838" s="217" t="str">
        <f t="shared" si="75"/>
        <v/>
      </c>
    </row>
    <row r="839" spans="1:19" ht="15.75" hidden="1" thickBot="1" x14ac:dyDescent="0.3">
      <c r="A839" s="263"/>
      <c r="B839" s="261"/>
      <c r="C839" s="35"/>
      <c r="D839" s="35"/>
      <c r="E839" s="36"/>
      <c r="F839" s="30" t="s">
        <v>416</v>
      </c>
      <c r="G839" s="33" t="str">
        <f t="shared" si="76"/>
        <v/>
      </c>
      <c r="H839" s="34"/>
      <c r="I839" s="30"/>
      <c r="J839" s="152">
        <v>0</v>
      </c>
      <c r="L839" s="215"/>
      <c r="M839" s="30"/>
      <c r="N839" s="33" t="str">
        <f t="shared" si="77"/>
        <v/>
      </c>
      <c r="O839" s="34"/>
      <c r="P839" s="36" t="str">
        <f t="shared" si="72"/>
        <v/>
      </c>
      <c r="Q839" s="216" t="str">
        <f t="shared" si="73"/>
        <v/>
      </c>
      <c r="R839" s="216" t="str">
        <f t="shared" si="74"/>
        <v/>
      </c>
      <c r="S839" s="217" t="str">
        <f t="shared" si="75"/>
        <v/>
      </c>
    </row>
    <row r="840" spans="1:19" ht="15.75" hidden="1" thickBot="1" x14ac:dyDescent="0.3">
      <c r="A840" s="256" t="s">
        <v>217</v>
      </c>
      <c r="B840" s="259" t="str">
        <f>INDEX(Orçamentária!A:B,MATCH(Composições!A840,Orçamentária!A:A,0),2)</f>
        <v>Instalação de revestimento de piso têxtil (carpete) reaproveitado</v>
      </c>
      <c r="C840" s="40"/>
      <c r="D840" s="25" t="s">
        <v>70</v>
      </c>
      <c r="E840" s="26"/>
      <c r="F840" s="41" t="s">
        <v>416</v>
      </c>
      <c r="G840" s="27" t="str">
        <f t="shared" si="76"/>
        <v/>
      </c>
      <c r="H840" s="28"/>
      <c r="I840" s="29"/>
      <c r="J840" s="152">
        <v>0</v>
      </c>
      <c r="L840" s="218"/>
      <c r="M840" s="41"/>
      <c r="N840" s="27" t="str">
        <f t="shared" si="77"/>
        <v/>
      </c>
      <c r="O840" s="28"/>
      <c r="P840" s="36" t="str">
        <f t="shared" ref="P840:P903" si="78">IF(ISBLANK(L840),"",IF($E840&lt;&gt;L840,"SIM",""))</f>
        <v/>
      </c>
      <c r="Q840" s="216" t="str">
        <f t="shared" ref="Q840:Q903" si="79">IF(M840="","",1-M840/$F840)</f>
        <v/>
      </c>
      <c r="R840" s="216" t="str">
        <f t="shared" ref="R840:R903" si="80">IF(N840="","",1-N840/$G840)</f>
        <v/>
      </c>
      <c r="S840" s="217" t="str">
        <f t="shared" ref="S840:S903" si="81">IF(O840="","",1-O840/$H840)</f>
        <v/>
      </c>
    </row>
    <row r="841" spans="1:19" ht="15.75" hidden="1" thickBot="1" x14ac:dyDescent="0.3">
      <c r="A841" s="262"/>
      <c r="B841" s="260"/>
      <c r="C841" s="31"/>
      <c r="D841" s="31"/>
      <c r="E841" s="32"/>
      <c r="F841" s="42" t="s">
        <v>416</v>
      </c>
      <c r="G841" s="30" t="str">
        <f t="shared" si="76"/>
        <v/>
      </c>
      <c r="H841" s="34"/>
      <c r="I841" s="30"/>
      <c r="J841" s="152">
        <v>0</v>
      </c>
      <c r="L841" s="219"/>
      <c r="M841" s="42"/>
      <c r="N841" s="30" t="str">
        <f t="shared" si="77"/>
        <v/>
      </c>
      <c r="O841" s="34"/>
      <c r="P841" s="36" t="str">
        <f t="shared" si="78"/>
        <v/>
      </c>
      <c r="Q841" s="216" t="str">
        <f t="shared" si="79"/>
        <v/>
      </c>
      <c r="R841" s="216" t="str">
        <f t="shared" si="80"/>
        <v/>
      </c>
      <c r="S841" s="217" t="str">
        <f t="shared" si="81"/>
        <v/>
      </c>
    </row>
    <row r="842" spans="1:19" ht="15.75" hidden="1" thickBot="1" x14ac:dyDescent="0.3">
      <c r="A842" s="262"/>
      <c r="B842" s="260"/>
      <c r="C842" s="35" t="s">
        <v>584</v>
      </c>
      <c r="D842" s="35" t="s">
        <v>583</v>
      </c>
      <c r="E842" s="36">
        <v>0.1</v>
      </c>
      <c r="F842" s="30">
        <v>20.225499999999997</v>
      </c>
      <c r="G842" s="33">
        <f t="shared" si="76"/>
        <v>2.0225499999999998</v>
      </c>
      <c r="H842" s="38">
        <f>SUM(G842:G844)</f>
        <v>9.4657999999999998</v>
      </c>
      <c r="I842" s="39"/>
      <c r="J842" s="152">
        <v>0</v>
      </c>
      <c r="L842" s="215">
        <v>0.1</v>
      </c>
      <c r="M842" s="30">
        <v>17.313027999999996</v>
      </c>
      <c r="N842" s="33">
        <f t="shared" si="77"/>
        <v>1.7313027999999997</v>
      </c>
      <c r="O842" s="38">
        <f>SUM(N842:N844)</f>
        <v>8.1027248000000007</v>
      </c>
      <c r="P842" s="36" t="str">
        <f t="shared" si="78"/>
        <v/>
      </c>
      <c r="Q842" s="216">
        <f t="shared" si="79"/>
        <v>0.14400000000000013</v>
      </c>
      <c r="R842" s="216">
        <f t="shared" si="80"/>
        <v>0.14400000000000013</v>
      </c>
      <c r="S842" s="217">
        <f t="shared" si="81"/>
        <v>0.14399999999999991</v>
      </c>
    </row>
    <row r="843" spans="1:19" ht="15.75" hidden="1" thickBot="1" x14ac:dyDescent="0.3">
      <c r="A843" s="262"/>
      <c r="B843" s="260"/>
      <c r="C843" s="35" t="s">
        <v>591</v>
      </c>
      <c r="D843" s="35" t="s">
        <v>583</v>
      </c>
      <c r="E843" s="36">
        <v>0.1</v>
      </c>
      <c r="F843" s="30">
        <v>27.160499999999999</v>
      </c>
      <c r="G843" s="33">
        <f t="shared" si="76"/>
        <v>2.7160500000000001</v>
      </c>
      <c r="H843" s="34"/>
      <c r="I843" s="30"/>
      <c r="J843" s="152">
        <v>0</v>
      </c>
      <c r="L843" s="215">
        <v>0.1</v>
      </c>
      <c r="M843" s="30">
        <v>23.249388</v>
      </c>
      <c r="N843" s="33">
        <f t="shared" si="77"/>
        <v>2.3249388</v>
      </c>
      <c r="O843" s="34"/>
      <c r="P843" s="36" t="str">
        <f t="shared" si="78"/>
        <v/>
      </c>
      <c r="Q843" s="216">
        <f t="shared" si="79"/>
        <v>0.14400000000000002</v>
      </c>
      <c r="R843" s="216">
        <f t="shared" si="80"/>
        <v>0.14400000000000002</v>
      </c>
      <c r="S843" s="217" t="str">
        <f t="shared" si="81"/>
        <v/>
      </c>
    </row>
    <row r="844" spans="1:19" ht="15.75" hidden="1" thickBot="1" x14ac:dyDescent="0.3">
      <c r="A844" s="262"/>
      <c r="B844" s="260"/>
      <c r="C844" s="35" t="s">
        <v>7974</v>
      </c>
      <c r="D844" s="35" t="s">
        <v>773</v>
      </c>
      <c r="E844" s="36">
        <v>0.1</v>
      </c>
      <c r="F844" s="33">
        <v>47.271999999999998</v>
      </c>
      <c r="G844" s="30">
        <f t="shared" si="76"/>
        <v>4.7271999999999998</v>
      </c>
      <c r="H844" s="34"/>
      <c r="I844" s="30"/>
      <c r="J844" s="152">
        <v>0</v>
      </c>
      <c r="L844" s="215">
        <v>0.1</v>
      </c>
      <c r="M844" s="33">
        <v>40.464832000000001</v>
      </c>
      <c r="N844" s="30">
        <f t="shared" si="77"/>
        <v>4.0464831999999999</v>
      </c>
      <c r="O844" s="34"/>
      <c r="P844" s="36" t="str">
        <f t="shared" si="78"/>
        <v/>
      </c>
      <c r="Q844" s="216">
        <f t="shared" si="79"/>
        <v>0.14399999999999991</v>
      </c>
      <c r="R844" s="216">
        <f t="shared" si="80"/>
        <v>0.14400000000000002</v>
      </c>
      <c r="S844" s="217" t="str">
        <f t="shared" si="81"/>
        <v/>
      </c>
    </row>
    <row r="845" spans="1:19" ht="15.75" hidden="1" thickBot="1" x14ac:dyDescent="0.3">
      <c r="A845" s="263"/>
      <c r="B845" s="261"/>
      <c r="C845" s="35"/>
      <c r="D845" s="35"/>
      <c r="E845" s="36"/>
      <c r="F845" s="30" t="s">
        <v>416</v>
      </c>
      <c r="G845" s="30" t="str">
        <f t="shared" si="76"/>
        <v/>
      </c>
      <c r="H845" s="34"/>
      <c r="I845" s="30"/>
      <c r="J845" s="152">
        <v>0</v>
      </c>
      <c r="L845" s="215"/>
      <c r="M845" s="30"/>
      <c r="N845" s="30" t="str">
        <f t="shared" si="77"/>
        <v/>
      </c>
      <c r="O845" s="34"/>
      <c r="P845" s="36" t="str">
        <f t="shared" si="78"/>
        <v/>
      </c>
      <c r="Q845" s="216" t="str">
        <f t="shared" si="79"/>
        <v/>
      </c>
      <c r="R845" s="216" t="str">
        <f t="shared" si="80"/>
        <v/>
      </c>
      <c r="S845" s="217" t="str">
        <f t="shared" si="81"/>
        <v/>
      </c>
    </row>
    <row r="846" spans="1:19" ht="15.75" hidden="1" thickBot="1" x14ac:dyDescent="0.3">
      <c r="A846" s="256" t="s">
        <v>218</v>
      </c>
      <c r="B846" s="259" t="str">
        <f>INDEX(Orçamentária!A:B,MATCH(Composições!A846,Orçamentária!A:A,0),2)</f>
        <v>Baguetes metálicos</v>
      </c>
      <c r="C846" s="40"/>
      <c r="D846" s="25" t="s">
        <v>69</v>
      </c>
      <c r="E846" s="26"/>
      <c r="F846" s="41" t="s">
        <v>416</v>
      </c>
      <c r="G846" s="27" t="str">
        <f t="shared" si="76"/>
        <v/>
      </c>
      <c r="H846" s="28"/>
      <c r="I846" s="29"/>
      <c r="J846" s="152">
        <v>0</v>
      </c>
      <c r="L846" s="218"/>
      <c r="M846" s="41"/>
      <c r="N846" s="27" t="str">
        <f t="shared" si="77"/>
        <v/>
      </c>
      <c r="O846" s="28"/>
      <c r="P846" s="36" t="str">
        <f t="shared" si="78"/>
        <v/>
      </c>
      <c r="Q846" s="216" t="str">
        <f t="shared" si="79"/>
        <v/>
      </c>
      <c r="R846" s="216" t="str">
        <f t="shared" si="80"/>
        <v/>
      </c>
      <c r="S846" s="217" t="str">
        <f t="shared" si="81"/>
        <v/>
      </c>
    </row>
    <row r="847" spans="1:19" ht="15.75" hidden="1" thickBot="1" x14ac:dyDescent="0.3">
      <c r="A847" s="257"/>
      <c r="B847" s="260"/>
      <c r="C847" s="31"/>
      <c r="D847" s="31"/>
      <c r="E847" s="32"/>
      <c r="F847" s="42" t="s">
        <v>416</v>
      </c>
      <c r="G847" s="30" t="str">
        <f t="shared" si="76"/>
        <v/>
      </c>
      <c r="H847" s="34"/>
      <c r="I847" s="30"/>
      <c r="J847" s="152">
        <v>0</v>
      </c>
      <c r="L847" s="219"/>
      <c r="M847" s="42"/>
      <c r="N847" s="30" t="str">
        <f t="shared" si="77"/>
        <v/>
      </c>
      <c r="O847" s="34"/>
      <c r="P847" s="36" t="str">
        <f t="shared" si="78"/>
        <v/>
      </c>
      <c r="Q847" s="216" t="str">
        <f t="shared" si="79"/>
        <v/>
      </c>
      <c r="R847" s="216" t="str">
        <f t="shared" si="80"/>
        <v/>
      </c>
      <c r="S847" s="217" t="str">
        <f t="shared" si="81"/>
        <v/>
      </c>
    </row>
    <row r="848" spans="1:19" ht="15.75" hidden="1" thickBot="1" x14ac:dyDescent="0.3">
      <c r="A848" s="257"/>
      <c r="B848" s="260"/>
      <c r="C848" s="35" t="s">
        <v>2909</v>
      </c>
      <c r="D848" s="35" t="s">
        <v>583</v>
      </c>
      <c r="E848" s="36">
        <v>0.25</v>
      </c>
      <c r="F848" s="30">
        <v>25.060999999999996</v>
      </c>
      <c r="G848" s="33">
        <f t="shared" si="76"/>
        <v>6.2652499999999991</v>
      </c>
      <c r="H848" s="38">
        <f>SUM(G848:G849)</f>
        <v>6.2652499999999991</v>
      </c>
      <c r="I848" s="39"/>
      <c r="J848" s="152">
        <v>0</v>
      </c>
      <c r="L848" s="215">
        <v>0.25</v>
      </c>
      <c r="M848" s="30">
        <v>21.452215999999996</v>
      </c>
      <c r="N848" s="33">
        <f t="shared" si="77"/>
        <v>5.3630539999999991</v>
      </c>
      <c r="O848" s="38">
        <f>SUM(N848:N849)</f>
        <v>5.3630539999999991</v>
      </c>
      <c r="P848" s="36" t="str">
        <f t="shared" si="78"/>
        <v/>
      </c>
      <c r="Q848" s="216">
        <f t="shared" si="79"/>
        <v>0.14400000000000002</v>
      </c>
      <c r="R848" s="216">
        <f t="shared" si="80"/>
        <v>0.14400000000000002</v>
      </c>
      <c r="S848" s="217">
        <f t="shared" si="81"/>
        <v>0.14400000000000002</v>
      </c>
    </row>
    <row r="849" spans="1:19" ht="15.75" hidden="1" thickBot="1" x14ac:dyDescent="0.3">
      <c r="A849" s="257"/>
      <c r="B849" s="260"/>
      <c r="C849" s="35" t="s">
        <v>219</v>
      </c>
      <c r="D849" s="46" t="s">
        <v>69</v>
      </c>
      <c r="E849" s="36">
        <v>1.05</v>
      </c>
      <c r="F849" s="33" t="s">
        <v>416</v>
      </c>
      <c r="G849" s="33" t="str">
        <f t="shared" si="76"/>
        <v/>
      </c>
      <c r="H849" s="34"/>
      <c r="I849" s="30"/>
      <c r="J849" s="152">
        <v>0</v>
      </c>
      <c r="L849" s="215">
        <v>1.05</v>
      </c>
      <c r="M849" s="33"/>
      <c r="N849" s="33" t="str">
        <f t="shared" si="77"/>
        <v/>
      </c>
      <c r="O849" s="34"/>
      <c r="P849" s="36" t="str">
        <f t="shared" si="78"/>
        <v/>
      </c>
      <c r="Q849" s="216" t="str">
        <f t="shared" si="79"/>
        <v/>
      </c>
      <c r="R849" s="216" t="str">
        <f t="shared" si="80"/>
        <v/>
      </c>
      <c r="S849" s="217" t="str">
        <f t="shared" si="81"/>
        <v/>
      </c>
    </row>
    <row r="850" spans="1:19" ht="15.75" hidden="1" thickBot="1" x14ac:dyDescent="0.3">
      <c r="A850" s="258"/>
      <c r="B850" s="261"/>
      <c r="C850" s="35"/>
      <c r="D850" s="46"/>
      <c r="E850" s="36"/>
      <c r="F850" s="33" t="s">
        <v>416</v>
      </c>
      <c r="G850" s="33" t="str">
        <f t="shared" si="76"/>
        <v/>
      </c>
      <c r="H850" s="34"/>
      <c r="I850" s="30"/>
      <c r="J850" s="152">
        <v>0</v>
      </c>
      <c r="L850" s="215"/>
      <c r="M850" s="33"/>
      <c r="N850" s="33" t="str">
        <f t="shared" si="77"/>
        <v/>
      </c>
      <c r="O850" s="34"/>
      <c r="P850" s="36" t="str">
        <f t="shared" si="78"/>
        <v/>
      </c>
      <c r="Q850" s="216" t="str">
        <f t="shared" si="79"/>
        <v/>
      </c>
      <c r="R850" s="216" t="str">
        <f t="shared" si="80"/>
        <v/>
      </c>
      <c r="S850" s="217" t="str">
        <f t="shared" si="81"/>
        <v/>
      </c>
    </row>
    <row r="851" spans="1:19" ht="15.75" hidden="1" thickBot="1" x14ac:dyDescent="0.3">
      <c r="A851" s="256" t="s">
        <v>220</v>
      </c>
      <c r="B851" s="259" t="str">
        <f>INDEX(Orçamentária!A:B,MATCH(Composições!A851,Orçamentária!A:A,0),2)</f>
        <v>Cordão de massa de vidraceiro</v>
      </c>
      <c r="C851" s="40"/>
      <c r="D851" s="25" t="s">
        <v>69</v>
      </c>
      <c r="E851" s="26"/>
      <c r="F851" s="41" t="s">
        <v>416</v>
      </c>
      <c r="G851" s="27" t="str">
        <f t="shared" ref="G851:G914" si="82">IF(ISNUMBER(F851),E851*F851,"")</f>
        <v/>
      </c>
      <c r="H851" s="28"/>
      <c r="I851" s="29"/>
      <c r="J851" s="152">
        <v>0</v>
      </c>
      <c r="L851" s="218"/>
      <c r="M851" s="41"/>
      <c r="N851" s="27" t="str">
        <f t="shared" ref="N851:N914" si="83">IF(ISNUMBER(M851),L851*M851,"")</f>
        <v/>
      </c>
      <c r="O851" s="28"/>
      <c r="P851" s="36" t="str">
        <f t="shared" si="78"/>
        <v/>
      </c>
      <c r="Q851" s="216" t="str">
        <f t="shared" si="79"/>
        <v/>
      </c>
      <c r="R851" s="216" t="str">
        <f t="shared" si="80"/>
        <v/>
      </c>
      <c r="S851" s="217" t="str">
        <f t="shared" si="81"/>
        <v/>
      </c>
    </row>
    <row r="852" spans="1:19" ht="15.75" hidden="1" thickBot="1" x14ac:dyDescent="0.3">
      <c r="A852" s="257"/>
      <c r="B852" s="260"/>
      <c r="C852" s="31"/>
      <c r="D852" s="31"/>
      <c r="E852" s="32"/>
      <c r="F852" s="42" t="s">
        <v>416</v>
      </c>
      <c r="G852" s="30" t="str">
        <f t="shared" si="82"/>
        <v/>
      </c>
      <c r="H852" s="34"/>
      <c r="I852" s="30"/>
      <c r="J852" s="152">
        <v>0</v>
      </c>
      <c r="L852" s="219"/>
      <c r="M852" s="42"/>
      <c r="N852" s="30" t="str">
        <f t="shared" si="83"/>
        <v/>
      </c>
      <c r="O852" s="34"/>
      <c r="P852" s="36" t="str">
        <f t="shared" si="78"/>
        <v/>
      </c>
      <c r="Q852" s="216" t="str">
        <f t="shared" si="79"/>
        <v/>
      </c>
      <c r="R852" s="216" t="str">
        <f t="shared" si="80"/>
        <v/>
      </c>
      <c r="S852" s="217" t="str">
        <f t="shared" si="81"/>
        <v/>
      </c>
    </row>
    <row r="853" spans="1:19" ht="15.75" hidden="1" thickBot="1" x14ac:dyDescent="0.3">
      <c r="A853" s="257"/>
      <c r="B853" s="260"/>
      <c r="C853" s="35" t="s">
        <v>2909</v>
      </c>
      <c r="D853" s="35" t="s">
        <v>583</v>
      </c>
      <c r="E853" s="36">
        <v>0.5</v>
      </c>
      <c r="F853" s="30">
        <v>25.060999999999996</v>
      </c>
      <c r="G853" s="33">
        <f t="shared" si="82"/>
        <v>12.530499999999998</v>
      </c>
      <c r="H853" s="38">
        <f>SUM(G853:G855)</f>
        <v>20.248774999999998</v>
      </c>
      <c r="I853" s="39"/>
      <c r="J853" s="152">
        <v>0</v>
      </c>
      <c r="L853" s="215">
        <v>0.5</v>
      </c>
      <c r="M853" s="30">
        <v>21.452215999999996</v>
      </c>
      <c r="N853" s="33">
        <f t="shared" si="83"/>
        <v>10.726107999999998</v>
      </c>
      <c r="O853" s="38">
        <f>SUM(N853:N855)</f>
        <v>17.332951399999999</v>
      </c>
      <c r="P853" s="36" t="str">
        <f t="shared" si="78"/>
        <v/>
      </c>
      <c r="Q853" s="216">
        <f t="shared" si="79"/>
        <v>0.14400000000000002</v>
      </c>
      <c r="R853" s="216">
        <f t="shared" si="80"/>
        <v>0.14400000000000002</v>
      </c>
      <c r="S853" s="217">
        <f t="shared" si="81"/>
        <v>0.14400000000000002</v>
      </c>
    </row>
    <row r="854" spans="1:19" ht="15.75" hidden="1" thickBot="1" x14ac:dyDescent="0.3">
      <c r="A854" s="257"/>
      <c r="B854" s="260"/>
      <c r="C854" s="35" t="s">
        <v>584</v>
      </c>
      <c r="D854" s="35" t="s">
        <v>583</v>
      </c>
      <c r="E854" s="36">
        <f>E853/2</f>
        <v>0.25</v>
      </c>
      <c r="F854" s="33">
        <v>20.225499999999997</v>
      </c>
      <c r="G854" s="30">
        <f t="shared" si="82"/>
        <v>5.0563749999999992</v>
      </c>
      <c r="H854" s="34"/>
      <c r="I854" s="30"/>
      <c r="J854" s="152">
        <v>0</v>
      </c>
      <c r="L854" s="215">
        <v>0.25</v>
      </c>
      <c r="M854" s="33">
        <v>17.313027999999996</v>
      </c>
      <c r="N854" s="30">
        <f t="shared" si="83"/>
        <v>4.3282569999999989</v>
      </c>
      <c r="O854" s="34"/>
      <c r="P854" s="36" t="str">
        <f t="shared" si="78"/>
        <v/>
      </c>
      <c r="Q854" s="216">
        <f t="shared" si="79"/>
        <v>0.14400000000000013</v>
      </c>
      <c r="R854" s="216">
        <f t="shared" si="80"/>
        <v>0.14400000000000013</v>
      </c>
      <c r="S854" s="217" t="str">
        <f t="shared" si="81"/>
        <v/>
      </c>
    </row>
    <row r="855" spans="1:19" ht="15.75" hidden="1" thickBot="1" x14ac:dyDescent="0.3">
      <c r="A855" s="257"/>
      <c r="B855" s="260"/>
      <c r="C855" s="35" t="s">
        <v>8290</v>
      </c>
      <c r="D855" s="35" t="s">
        <v>773</v>
      </c>
      <c r="E855" s="36">
        <v>0.6</v>
      </c>
      <c r="F855" s="33">
        <v>4.4364999999999997</v>
      </c>
      <c r="G855" s="30">
        <f t="shared" si="82"/>
        <v>2.6618999999999997</v>
      </c>
      <c r="H855" s="34"/>
      <c r="I855" s="30"/>
      <c r="J855" s="152">
        <v>0</v>
      </c>
      <c r="L855" s="215">
        <v>0.6</v>
      </c>
      <c r="M855" s="33">
        <v>3.797644</v>
      </c>
      <c r="N855" s="30">
        <f t="shared" si="83"/>
        <v>2.2785864</v>
      </c>
      <c r="O855" s="34"/>
      <c r="P855" s="36" t="str">
        <f t="shared" si="78"/>
        <v/>
      </c>
      <c r="Q855" s="216">
        <f t="shared" si="79"/>
        <v>0.14399999999999991</v>
      </c>
      <c r="R855" s="216">
        <f t="shared" si="80"/>
        <v>0.14399999999999991</v>
      </c>
      <c r="S855" s="217" t="str">
        <f t="shared" si="81"/>
        <v/>
      </c>
    </row>
    <row r="856" spans="1:19" ht="15.75" hidden="1" thickBot="1" x14ac:dyDescent="0.3">
      <c r="A856" s="258"/>
      <c r="B856" s="261"/>
      <c r="C856" s="35"/>
      <c r="D856" s="35"/>
      <c r="E856" s="36"/>
      <c r="F856" s="30" t="s">
        <v>416</v>
      </c>
      <c r="G856" s="30" t="str">
        <f t="shared" si="82"/>
        <v/>
      </c>
      <c r="H856" s="34"/>
      <c r="I856" s="30"/>
      <c r="J856" s="152">
        <v>0</v>
      </c>
      <c r="L856" s="215"/>
      <c r="M856" s="30"/>
      <c r="N856" s="30" t="str">
        <f t="shared" si="83"/>
        <v/>
      </c>
      <c r="O856" s="34"/>
      <c r="P856" s="36" t="str">
        <f t="shared" si="78"/>
        <v/>
      </c>
      <c r="Q856" s="216" t="str">
        <f t="shared" si="79"/>
        <v/>
      </c>
      <c r="R856" s="216" t="str">
        <f t="shared" si="80"/>
        <v/>
      </c>
      <c r="S856" s="217" t="str">
        <f t="shared" si="81"/>
        <v/>
      </c>
    </row>
    <row r="857" spans="1:19" ht="15.75" hidden="1" thickBot="1" x14ac:dyDescent="0.3">
      <c r="A857" s="256" t="s">
        <v>221</v>
      </c>
      <c r="B857" s="259" t="str">
        <f>INDEX(Orçamentária!A:B,MATCH(Composições!A857,Orçamentária!A:A,0),2)</f>
        <v>Espelho cristal, e = 5 mm</v>
      </c>
      <c r="C857" s="40"/>
      <c r="D857" s="25" t="s">
        <v>70</v>
      </c>
      <c r="E857" s="26"/>
      <c r="F857" s="41" t="s">
        <v>416</v>
      </c>
      <c r="G857" s="27" t="str">
        <f t="shared" si="82"/>
        <v/>
      </c>
      <c r="H857" s="28"/>
      <c r="I857" s="29"/>
      <c r="J857" s="152">
        <v>0</v>
      </c>
      <c r="L857" s="218"/>
      <c r="M857" s="41"/>
      <c r="N857" s="27" t="str">
        <f t="shared" si="83"/>
        <v/>
      </c>
      <c r="O857" s="28"/>
      <c r="P857" s="36" t="str">
        <f t="shared" si="78"/>
        <v/>
      </c>
      <c r="Q857" s="216" t="str">
        <f t="shared" si="79"/>
        <v/>
      </c>
      <c r="R857" s="216" t="str">
        <f t="shared" si="80"/>
        <v/>
      </c>
      <c r="S857" s="217" t="str">
        <f t="shared" si="81"/>
        <v/>
      </c>
    </row>
    <row r="858" spans="1:19" ht="15.75" hidden="1" thickBot="1" x14ac:dyDescent="0.3">
      <c r="A858" s="262"/>
      <c r="B858" s="260"/>
      <c r="C858" s="31"/>
      <c r="D858" s="31"/>
      <c r="E858" s="32"/>
      <c r="F858" s="42" t="s">
        <v>416</v>
      </c>
      <c r="G858" s="30" t="str">
        <f t="shared" si="82"/>
        <v/>
      </c>
      <c r="H858" s="34"/>
      <c r="I858" s="30"/>
      <c r="J858" s="152">
        <v>0</v>
      </c>
      <c r="L858" s="219"/>
      <c r="M858" s="42"/>
      <c r="N858" s="30" t="str">
        <f t="shared" si="83"/>
        <v/>
      </c>
      <c r="O858" s="34"/>
      <c r="P858" s="36" t="str">
        <f t="shared" si="78"/>
        <v/>
      </c>
      <c r="Q858" s="216" t="str">
        <f t="shared" si="79"/>
        <v/>
      </c>
      <c r="R858" s="216" t="str">
        <f t="shared" si="80"/>
        <v/>
      </c>
      <c r="S858" s="217" t="str">
        <f t="shared" si="81"/>
        <v/>
      </c>
    </row>
    <row r="859" spans="1:19" ht="15.75" hidden="1" thickBot="1" x14ac:dyDescent="0.3">
      <c r="A859" s="262"/>
      <c r="B859" s="260"/>
      <c r="C859" s="35" t="s">
        <v>222</v>
      </c>
      <c r="D859" s="46" t="s">
        <v>70</v>
      </c>
      <c r="E859" s="36">
        <v>1</v>
      </c>
      <c r="F859" s="30">
        <v>0</v>
      </c>
      <c r="G859" s="33">
        <f t="shared" si="82"/>
        <v>0</v>
      </c>
      <c r="H859" s="38">
        <f>SUM(G859:G861)</f>
        <v>113.21624999999997</v>
      </c>
      <c r="I859" s="39"/>
      <c r="J859" s="152">
        <v>0</v>
      </c>
      <c r="L859" s="215">
        <v>1</v>
      </c>
      <c r="M859" s="30">
        <v>0</v>
      </c>
      <c r="N859" s="33">
        <f t="shared" si="83"/>
        <v>0</v>
      </c>
      <c r="O859" s="38">
        <f>SUM(N859:N861)</f>
        <v>96.913109999999989</v>
      </c>
      <c r="P859" s="36" t="str">
        <f t="shared" si="78"/>
        <v/>
      </c>
      <c r="Q859" s="216" t="e">
        <f t="shared" si="79"/>
        <v>#DIV/0!</v>
      </c>
      <c r="R859" s="216" t="e">
        <f t="shared" si="80"/>
        <v>#DIV/0!</v>
      </c>
      <c r="S859" s="217">
        <f t="shared" si="81"/>
        <v>0.14399999999999991</v>
      </c>
    </row>
    <row r="860" spans="1:19" ht="15.75" hidden="1" thickBot="1" x14ac:dyDescent="0.3">
      <c r="A860" s="262"/>
      <c r="B860" s="260"/>
      <c r="C860" s="35" t="s">
        <v>584</v>
      </c>
      <c r="D860" s="35" t="s">
        <v>583</v>
      </c>
      <c r="E860" s="36">
        <v>2.5</v>
      </c>
      <c r="F860" s="30">
        <v>20.225499999999997</v>
      </c>
      <c r="G860" s="33">
        <f t="shared" si="82"/>
        <v>50.563749999999992</v>
      </c>
      <c r="H860" s="34"/>
      <c r="I860" s="30"/>
      <c r="J860" s="152">
        <v>0</v>
      </c>
      <c r="L860" s="215">
        <v>2.5</v>
      </c>
      <c r="M860" s="30">
        <v>17.313027999999996</v>
      </c>
      <c r="N860" s="33">
        <f t="shared" si="83"/>
        <v>43.282569999999993</v>
      </c>
      <c r="O860" s="34"/>
      <c r="P860" s="36" t="str">
        <f t="shared" si="78"/>
        <v/>
      </c>
      <c r="Q860" s="216">
        <f t="shared" si="79"/>
        <v>0.14400000000000013</v>
      </c>
      <c r="R860" s="216">
        <f t="shared" si="80"/>
        <v>0.14400000000000002</v>
      </c>
      <c r="S860" s="217" t="str">
        <f t="shared" si="81"/>
        <v/>
      </c>
    </row>
    <row r="861" spans="1:19" ht="15.75" hidden="1" thickBot="1" x14ac:dyDescent="0.3">
      <c r="A861" s="262"/>
      <c r="B861" s="260"/>
      <c r="C861" s="35" t="s">
        <v>2909</v>
      </c>
      <c r="D861" s="35" t="s">
        <v>583</v>
      </c>
      <c r="E861" s="36">
        <v>2.5</v>
      </c>
      <c r="F861" s="30">
        <v>25.060999999999996</v>
      </c>
      <c r="G861" s="33">
        <f t="shared" si="82"/>
        <v>62.652499999999989</v>
      </c>
      <c r="H861" s="34"/>
      <c r="I861" s="30"/>
      <c r="J861" s="152">
        <v>0</v>
      </c>
      <c r="L861" s="215">
        <v>2.5</v>
      </c>
      <c r="M861" s="30">
        <v>21.452215999999996</v>
      </c>
      <c r="N861" s="33">
        <f t="shared" si="83"/>
        <v>53.630539999999989</v>
      </c>
      <c r="O861" s="34"/>
      <c r="P861" s="36" t="str">
        <f t="shared" si="78"/>
        <v/>
      </c>
      <c r="Q861" s="216">
        <f t="shared" si="79"/>
        <v>0.14400000000000002</v>
      </c>
      <c r="R861" s="216">
        <f t="shared" si="80"/>
        <v>0.14400000000000002</v>
      </c>
      <c r="S861" s="217" t="str">
        <f t="shared" si="81"/>
        <v/>
      </c>
    </row>
    <row r="862" spans="1:19" ht="15.75" hidden="1" thickBot="1" x14ac:dyDescent="0.3">
      <c r="A862" s="263"/>
      <c r="B862" s="261"/>
      <c r="C862" s="35"/>
      <c r="D862" s="35"/>
      <c r="E862" s="36"/>
      <c r="F862" s="30" t="s">
        <v>416</v>
      </c>
      <c r="G862" s="30" t="str">
        <f t="shared" si="82"/>
        <v/>
      </c>
      <c r="H862" s="34"/>
      <c r="I862" s="30"/>
      <c r="J862" s="152">
        <v>0</v>
      </c>
      <c r="L862" s="215"/>
      <c r="M862" s="30"/>
      <c r="N862" s="30" t="str">
        <f t="shared" si="83"/>
        <v/>
      </c>
      <c r="O862" s="34"/>
      <c r="P862" s="36" t="str">
        <f t="shared" si="78"/>
        <v/>
      </c>
      <c r="Q862" s="216" t="str">
        <f t="shared" si="79"/>
        <v/>
      </c>
      <c r="R862" s="216" t="str">
        <f t="shared" si="80"/>
        <v/>
      </c>
      <c r="S862" s="217" t="str">
        <f t="shared" si="81"/>
        <v/>
      </c>
    </row>
    <row r="863" spans="1:19" ht="15.75" hidden="1" thickBot="1" x14ac:dyDescent="0.3">
      <c r="A863" s="256" t="s">
        <v>223</v>
      </c>
      <c r="B863" s="259" t="str">
        <f>INDEX(Orçamentária!A:B,MATCH(Composições!A863,Orçamentária!A:A,0),2)</f>
        <v>Instalação de vidro reaproveitado</v>
      </c>
      <c r="C863" s="40"/>
      <c r="D863" s="25" t="s">
        <v>70</v>
      </c>
      <c r="E863" s="26"/>
      <c r="F863" s="41" t="s">
        <v>416</v>
      </c>
      <c r="G863" s="27" t="str">
        <f t="shared" si="82"/>
        <v/>
      </c>
      <c r="H863" s="28"/>
      <c r="I863" s="29"/>
      <c r="J863" s="152">
        <v>0</v>
      </c>
      <c r="L863" s="218"/>
      <c r="M863" s="41"/>
      <c r="N863" s="27" t="str">
        <f t="shared" si="83"/>
        <v/>
      </c>
      <c r="O863" s="28"/>
      <c r="P863" s="36" t="str">
        <f t="shared" si="78"/>
        <v/>
      </c>
      <c r="Q863" s="216" t="str">
        <f t="shared" si="79"/>
        <v/>
      </c>
      <c r="R863" s="216" t="str">
        <f t="shared" si="80"/>
        <v/>
      </c>
      <c r="S863" s="217" t="str">
        <f t="shared" si="81"/>
        <v/>
      </c>
    </row>
    <row r="864" spans="1:19" ht="15.75" hidden="1" thickBot="1" x14ac:dyDescent="0.3">
      <c r="A864" s="262"/>
      <c r="B864" s="260"/>
      <c r="C864" s="31"/>
      <c r="D864" s="31"/>
      <c r="E864" s="32"/>
      <c r="F864" s="42" t="s">
        <v>416</v>
      </c>
      <c r="G864" s="30" t="str">
        <f t="shared" si="82"/>
        <v/>
      </c>
      <c r="H864" s="34"/>
      <c r="I864" s="30"/>
      <c r="J864" s="152">
        <v>0</v>
      </c>
      <c r="L864" s="219"/>
      <c r="M864" s="42"/>
      <c r="N864" s="30" t="str">
        <f t="shared" si="83"/>
        <v/>
      </c>
      <c r="O864" s="34"/>
      <c r="P864" s="36" t="str">
        <f t="shared" si="78"/>
        <v/>
      </c>
      <c r="Q864" s="216" t="str">
        <f t="shared" si="79"/>
        <v/>
      </c>
      <c r="R864" s="216" t="str">
        <f t="shared" si="80"/>
        <v/>
      </c>
      <c r="S864" s="217" t="str">
        <f t="shared" si="81"/>
        <v/>
      </c>
    </row>
    <row r="865" spans="1:19" ht="15.75" hidden="1" thickBot="1" x14ac:dyDescent="0.3">
      <c r="A865" s="262"/>
      <c r="B865" s="260"/>
      <c r="C865" s="35" t="s">
        <v>2909</v>
      </c>
      <c r="D865" s="35" t="s">
        <v>583</v>
      </c>
      <c r="E865" s="36">
        <v>1</v>
      </c>
      <c r="F865" s="30">
        <v>25.060999999999996</v>
      </c>
      <c r="G865" s="33">
        <f t="shared" si="82"/>
        <v>25.060999999999996</v>
      </c>
      <c r="H865" s="38">
        <f>SUM(G865:G866)</f>
        <v>33.933999999999997</v>
      </c>
      <c r="I865" s="39"/>
      <c r="J865" s="152">
        <v>0</v>
      </c>
      <c r="L865" s="215">
        <v>1</v>
      </c>
      <c r="M865" s="30">
        <v>21.452215999999996</v>
      </c>
      <c r="N865" s="33">
        <f t="shared" si="83"/>
        <v>21.452215999999996</v>
      </c>
      <c r="O865" s="38">
        <f>SUM(N865:N866)</f>
        <v>29.047503999999996</v>
      </c>
      <c r="P865" s="36" t="str">
        <f t="shared" si="78"/>
        <v/>
      </c>
      <c r="Q865" s="216">
        <f t="shared" si="79"/>
        <v>0.14400000000000002</v>
      </c>
      <c r="R865" s="216">
        <f t="shared" si="80"/>
        <v>0.14400000000000002</v>
      </c>
      <c r="S865" s="217">
        <f t="shared" si="81"/>
        <v>0.14400000000000002</v>
      </c>
    </row>
    <row r="866" spans="1:19" ht="15.75" hidden="1" thickBot="1" x14ac:dyDescent="0.3">
      <c r="A866" s="262"/>
      <c r="B866" s="260"/>
      <c r="C866" s="35" t="s">
        <v>8290</v>
      </c>
      <c r="D866" s="35" t="s">
        <v>773</v>
      </c>
      <c r="E866" s="36">
        <v>2</v>
      </c>
      <c r="F866" s="33">
        <v>4.4364999999999997</v>
      </c>
      <c r="G866" s="33">
        <f t="shared" si="82"/>
        <v>8.8729999999999993</v>
      </c>
      <c r="H866" s="34"/>
      <c r="I866" s="30"/>
      <c r="J866" s="152">
        <v>0</v>
      </c>
      <c r="L866" s="215">
        <v>2</v>
      </c>
      <c r="M866" s="33">
        <v>3.797644</v>
      </c>
      <c r="N866" s="33">
        <f t="shared" si="83"/>
        <v>7.595288</v>
      </c>
      <c r="O866" s="34"/>
      <c r="P866" s="36" t="str">
        <f t="shared" si="78"/>
        <v/>
      </c>
      <c r="Q866" s="216">
        <f t="shared" si="79"/>
        <v>0.14399999999999991</v>
      </c>
      <c r="R866" s="216">
        <f t="shared" si="80"/>
        <v>0.14399999999999991</v>
      </c>
      <c r="S866" s="217" t="str">
        <f t="shared" si="81"/>
        <v/>
      </c>
    </row>
    <row r="867" spans="1:19" ht="15.75" hidden="1" thickBot="1" x14ac:dyDescent="0.3">
      <c r="A867" s="262"/>
      <c r="B867" s="260"/>
      <c r="C867" s="35"/>
      <c r="D867" s="46"/>
      <c r="E867" s="36"/>
      <c r="F867" s="33" t="s">
        <v>416</v>
      </c>
      <c r="G867" s="33" t="str">
        <f t="shared" si="82"/>
        <v/>
      </c>
      <c r="H867" s="34"/>
      <c r="I867" s="30"/>
      <c r="J867" s="152">
        <v>0</v>
      </c>
      <c r="L867" s="215"/>
      <c r="M867" s="33"/>
      <c r="N867" s="33" t="str">
        <f t="shared" si="83"/>
        <v/>
      </c>
      <c r="O867" s="34"/>
      <c r="P867" s="36" t="str">
        <f t="shared" si="78"/>
        <v/>
      </c>
      <c r="Q867" s="216" t="str">
        <f t="shared" si="79"/>
        <v/>
      </c>
      <c r="R867" s="216" t="str">
        <f t="shared" si="80"/>
        <v/>
      </c>
      <c r="S867" s="217" t="str">
        <f t="shared" si="81"/>
        <v/>
      </c>
    </row>
    <row r="868" spans="1:19" ht="15.75" hidden="1" thickBot="1" x14ac:dyDescent="0.3">
      <c r="A868" s="256" t="s">
        <v>224</v>
      </c>
      <c r="B868" s="259" t="str">
        <f>INDEX(Orçamentária!A:B,MATCH(Composições!A868,Orçamentária!A:A,0),2)</f>
        <v>Substituição da calafetação com selante</v>
      </c>
      <c r="C868" s="40"/>
      <c r="D868" s="25" t="s">
        <v>69</v>
      </c>
      <c r="E868" s="26"/>
      <c r="F868" s="41" t="s">
        <v>416</v>
      </c>
      <c r="G868" s="27" t="str">
        <f t="shared" si="82"/>
        <v/>
      </c>
      <c r="H868" s="28"/>
      <c r="I868" s="29"/>
      <c r="J868" s="152">
        <v>0</v>
      </c>
      <c r="L868" s="218"/>
      <c r="M868" s="41"/>
      <c r="N868" s="27" t="str">
        <f t="shared" si="83"/>
        <v/>
      </c>
      <c r="O868" s="28"/>
      <c r="P868" s="36" t="str">
        <f t="shared" si="78"/>
        <v/>
      </c>
      <c r="Q868" s="216" t="str">
        <f t="shared" si="79"/>
        <v/>
      </c>
      <c r="R868" s="216" t="str">
        <f t="shared" si="80"/>
        <v/>
      </c>
      <c r="S868" s="217" t="str">
        <f t="shared" si="81"/>
        <v/>
      </c>
    </row>
    <row r="869" spans="1:19" ht="15.75" hidden="1" thickBot="1" x14ac:dyDescent="0.3">
      <c r="A869" s="257"/>
      <c r="B869" s="260"/>
      <c r="C869" s="31"/>
      <c r="D869" s="31"/>
      <c r="E869" s="32"/>
      <c r="F869" s="42" t="s">
        <v>416</v>
      </c>
      <c r="G869" s="30" t="str">
        <f t="shared" si="82"/>
        <v/>
      </c>
      <c r="H869" s="34"/>
      <c r="I869" s="30"/>
      <c r="J869" s="152">
        <v>0</v>
      </c>
      <c r="L869" s="219"/>
      <c r="M869" s="42"/>
      <c r="N869" s="30" t="str">
        <f t="shared" si="83"/>
        <v/>
      </c>
      <c r="O869" s="34"/>
      <c r="P869" s="36" t="str">
        <f t="shared" si="78"/>
        <v/>
      </c>
      <c r="Q869" s="216" t="str">
        <f t="shared" si="79"/>
        <v/>
      </c>
      <c r="R869" s="216" t="str">
        <f t="shared" si="80"/>
        <v/>
      </c>
      <c r="S869" s="217" t="str">
        <f t="shared" si="81"/>
        <v/>
      </c>
    </row>
    <row r="870" spans="1:19" ht="15.75" hidden="1" thickBot="1" x14ac:dyDescent="0.3">
      <c r="A870" s="257"/>
      <c r="B870" s="260"/>
      <c r="C870" s="35" t="s">
        <v>2909</v>
      </c>
      <c r="D870" s="35" t="s">
        <v>583</v>
      </c>
      <c r="E870" s="36">
        <v>0.3</v>
      </c>
      <c r="F870" s="30">
        <v>25.060999999999996</v>
      </c>
      <c r="G870" s="30">
        <f t="shared" si="82"/>
        <v>7.5182999999999982</v>
      </c>
      <c r="H870" s="38">
        <f>SUM(G870:G872)</f>
        <v>22.293412499999995</v>
      </c>
      <c r="I870" s="39"/>
      <c r="J870" s="152">
        <v>0</v>
      </c>
      <c r="L870" s="215">
        <v>0.3</v>
      </c>
      <c r="M870" s="30">
        <v>21.452215999999996</v>
      </c>
      <c r="N870" s="30">
        <f t="shared" si="83"/>
        <v>6.4356647999999987</v>
      </c>
      <c r="O870" s="38">
        <f>SUM(N870:N872)</f>
        <v>19.083161099999998</v>
      </c>
      <c r="P870" s="36" t="str">
        <f t="shared" si="78"/>
        <v/>
      </c>
      <c r="Q870" s="216">
        <f t="shared" si="79"/>
        <v>0.14400000000000002</v>
      </c>
      <c r="R870" s="216">
        <f t="shared" si="80"/>
        <v>0.14400000000000002</v>
      </c>
      <c r="S870" s="217">
        <f t="shared" si="81"/>
        <v>0.14399999999999991</v>
      </c>
    </row>
    <row r="871" spans="1:19" ht="15.75" hidden="1" thickBot="1" x14ac:dyDescent="0.3">
      <c r="A871" s="257"/>
      <c r="B871" s="260"/>
      <c r="C871" s="35" t="s">
        <v>584</v>
      </c>
      <c r="D871" s="35" t="s">
        <v>583</v>
      </c>
      <c r="E871" s="36">
        <v>0.3</v>
      </c>
      <c r="F871" s="33">
        <v>20.225499999999997</v>
      </c>
      <c r="G871" s="30">
        <f t="shared" si="82"/>
        <v>6.0676499999999987</v>
      </c>
      <c r="H871" s="34"/>
      <c r="I871" s="30"/>
      <c r="J871" s="152">
        <v>0</v>
      </c>
      <c r="L871" s="215">
        <v>0.3</v>
      </c>
      <c r="M871" s="33">
        <v>17.313027999999996</v>
      </c>
      <c r="N871" s="30">
        <f t="shared" si="83"/>
        <v>5.1939083999999989</v>
      </c>
      <c r="O871" s="34"/>
      <c r="P871" s="36" t="str">
        <f t="shared" si="78"/>
        <v/>
      </c>
      <c r="Q871" s="216">
        <f t="shared" si="79"/>
        <v>0.14400000000000013</v>
      </c>
      <c r="R871" s="216">
        <f t="shared" si="80"/>
        <v>0.14400000000000002</v>
      </c>
      <c r="S871" s="217" t="str">
        <f t="shared" si="81"/>
        <v/>
      </c>
    </row>
    <row r="872" spans="1:19" ht="15.75" hidden="1" thickBot="1" x14ac:dyDescent="0.3">
      <c r="A872" s="257"/>
      <c r="B872" s="260"/>
      <c r="C872" s="35" t="s">
        <v>8373</v>
      </c>
      <c r="D872" s="35" t="s">
        <v>213</v>
      </c>
      <c r="E872" s="36">
        <f>ROUND(1/3,4)</f>
        <v>0.33329999999999999</v>
      </c>
      <c r="F872" s="33">
        <v>26.125</v>
      </c>
      <c r="G872" s="30">
        <f t="shared" si="82"/>
        <v>8.7074625000000001</v>
      </c>
      <c r="H872" s="34"/>
      <c r="I872" s="30"/>
      <c r="J872" s="152">
        <v>0</v>
      </c>
      <c r="L872" s="215">
        <v>0.33329999999999999</v>
      </c>
      <c r="M872" s="33">
        <v>22.363</v>
      </c>
      <c r="N872" s="30">
        <f t="shared" si="83"/>
        <v>7.4535878999999996</v>
      </c>
      <c r="O872" s="34"/>
      <c r="P872" s="36" t="str">
        <f t="shared" si="78"/>
        <v/>
      </c>
      <c r="Q872" s="216">
        <f t="shared" si="79"/>
        <v>0.14400000000000002</v>
      </c>
      <c r="R872" s="216">
        <f t="shared" si="80"/>
        <v>0.14400000000000002</v>
      </c>
      <c r="S872" s="217" t="str">
        <f t="shared" si="81"/>
        <v/>
      </c>
    </row>
    <row r="873" spans="1:19" ht="15.75" hidden="1" thickBot="1" x14ac:dyDescent="0.3">
      <c r="A873" s="257"/>
      <c r="B873" s="260"/>
      <c r="C873" s="35"/>
      <c r="D873" s="46"/>
      <c r="E873" s="36"/>
      <c r="F873" s="30" t="s">
        <v>416</v>
      </c>
      <c r="G873" s="30" t="str">
        <f t="shared" si="82"/>
        <v/>
      </c>
      <c r="H873" s="34"/>
      <c r="I873" s="30"/>
      <c r="J873" s="152">
        <v>0</v>
      </c>
      <c r="L873" s="215"/>
      <c r="M873" s="30"/>
      <c r="N873" s="30" t="str">
        <f t="shared" si="83"/>
        <v/>
      </c>
      <c r="O873" s="34"/>
      <c r="P873" s="36" t="str">
        <f t="shared" si="78"/>
        <v/>
      </c>
      <c r="Q873" s="216" t="str">
        <f t="shared" si="79"/>
        <v/>
      </c>
      <c r="R873" s="216" t="str">
        <f t="shared" si="80"/>
        <v/>
      </c>
      <c r="S873" s="217" t="str">
        <f t="shared" si="81"/>
        <v/>
      </c>
    </row>
    <row r="874" spans="1:19" ht="26.25" hidden="1" thickBot="1" x14ac:dyDescent="0.3">
      <c r="A874" s="257"/>
      <c r="B874" s="260"/>
      <c r="C874" s="57" t="s">
        <v>225</v>
      </c>
      <c r="D874" s="57"/>
      <c r="E874" s="58"/>
      <c r="F874" s="59" t="s">
        <v>416</v>
      </c>
      <c r="G874" s="57" t="str">
        <f t="shared" si="82"/>
        <v/>
      </c>
      <c r="H874" s="60"/>
      <c r="I874" s="57"/>
      <c r="J874" s="152">
        <v>0</v>
      </c>
      <c r="L874" s="221"/>
      <c r="M874" s="59"/>
      <c r="N874" s="57" t="str">
        <f t="shared" si="83"/>
        <v/>
      </c>
      <c r="O874" s="60"/>
      <c r="P874" s="36" t="str">
        <f t="shared" si="78"/>
        <v/>
      </c>
      <c r="Q874" s="216" t="str">
        <f t="shared" si="79"/>
        <v/>
      </c>
      <c r="R874" s="216" t="str">
        <f t="shared" si="80"/>
        <v/>
      </c>
      <c r="S874" s="217" t="str">
        <f t="shared" si="81"/>
        <v/>
      </c>
    </row>
    <row r="875" spans="1:19" ht="15.75" hidden="1" thickBot="1" x14ac:dyDescent="0.3">
      <c r="A875" s="258"/>
      <c r="B875" s="261"/>
      <c r="C875" s="35"/>
      <c r="D875" s="35"/>
      <c r="E875" s="36"/>
      <c r="F875" s="30" t="s">
        <v>416</v>
      </c>
      <c r="G875" s="30" t="str">
        <f t="shared" si="82"/>
        <v/>
      </c>
      <c r="H875" s="34"/>
      <c r="I875" s="30"/>
      <c r="J875" s="152">
        <v>0</v>
      </c>
      <c r="L875" s="215"/>
      <c r="M875" s="30"/>
      <c r="N875" s="30" t="str">
        <f t="shared" si="83"/>
        <v/>
      </c>
      <c r="O875" s="34"/>
      <c r="P875" s="36" t="str">
        <f t="shared" si="78"/>
        <v/>
      </c>
      <c r="Q875" s="216" t="str">
        <f t="shared" si="79"/>
        <v/>
      </c>
      <c r="R875" s="216" t="str">
        <f t="shared" si="80"/>
        <v/>
      </c>
      <c r="S875" s="217" t="str">
        <f t="shared" si="81"/>
        <v/>
      </c>
    </row>
    <row r="876" spans="1:19" ht="15.75" hidden="1" thickBot="1" x14ac:dyDescent="0.3">
      <c r="A876" s="256" t="s">
        <v>226</v>
      </c>
      <c r="B876" s="259" t="str">
        <f>INDEX(Orçamentária!A:B,MATCH(Composições!A876,Orçamentária!A:A,0),2)</f>
        <v>Vidro liso comum transparente 4 mm</v>
      </c>
      <c r="C876" s="40"/>
      <c r="D876" s="25" t="s">
        <v>70</v>
      </c>
      <c r="E876" s="26"/>
      <c r="F876" s="41" t="s">
        <v>416</v>
      </c>
      <c r="G876" s="27" t="str">
        <f t="shared" si="82"/>
        <v/>
      </c>
      <c r="H876" s="28"/>
      <c r="I876" s="29"/>
      <c r="J876" s="152">
        <v>0</v>
      </c>
      <c r="L876" s="218"/>
      <c r="M876" s="41"/>
      <c r="N876" s="27" t="str">
        <f t="shared" si="83"/>
        <v/>
      </c>
      <c r="O876" s="28"/>
      <c r="P876" s="36" t="str">
        <f t="shared" si="78"/>
        <v/>
      </c>
      <c r="Q876" s="216" t="str">
        <f t="shared" si="79"/>
        <v/>
      </c>
      <c r="R876" s="216" t="str">
        <f t="shared" si="80"/>
        <v/>
      </c>
      <c r="S876" s="217" t="str">
        <f t="shared" si="81"/>
        <v/>
      </c>
    </row>
    <row r="877" spans="1:19" ht="15.75" hidden="1" thickBot="1" x14ac:dyDescent="0.3">
      <c r="A877" s="257"/>
      <c r="B877" s="260"/>
      <c r="C877" s="31"/>
      <c r="D877" s="31"/>
      <c r="E877" s="32"/>
      <c r="F877" s="42" t="s">
        <v>416</v>
      </c>
      <c r="G877" s="30" t="str">
        <f t="shared" si="82"/>
        <v/>
      </c>
      <c r="H877" s="34"/>
      <c r="I877" s="30"/>
      <c r="J877" s="152">
        <v>0</v>
      </c>
      <c r="L877" s="219"/>
      <c r="M877" s="42"/>
      <c r="N877" s="30" t="str">
        <f t="shared" si="83"/>
        <v/>
      </c>
      <c r="O877" s="34"/>
      <c r="P877" s="36" t="str">
        <f t="shared" si="78"/>
        <v/>
      </c>
      <c r="Q877" s="216" t="str">
        <f t="shared" si="79"/>
        <v/>
      </c>
      <c r="R877" s="216" t="str">
        <f t="shared" si="80"/>
        <v/>
      </c>
      <c r="S877" s="217" t="str">
        <f t="shared" si="81"/>
        <v/>
      </c>
    </row>
    <row r="878" spans="1:19" ht="15.75" hidden="1" thickBot="1" x14ac:dyDescent="0.3">
      <c r="A878" s="257"/>
      <c r="B878" s="260"/>
      <c r="C878" s="35" t="s">
        <v>8505</v>
      </c>
      <c r="D878" s="35" t="s">
        <v>861</v>
      </c>
      <c r="E878" s="36">
        <v>1</v>
      </c>
      <c r="F878" s="30">
        <v>69.73</v>
      </c>
      <c r="G878" s="33">
        <f t="shared" si="82"/>
        <v>69.73</v>
      </c>
      <c r="H878" s="38">
        <f>SUM(G878:G882)</f>
        <v>114.182951</v>
      </c>
      <c r="I878" s="39"/>
      <c r="J878" s="152">
        <v>0</v>
      </c>
      <c r="L878" s="215">
        <v>1</v>
      </c>
      <c r="M878" s="30">
        <v>59.688880000000005</v>
      </c>
      <c r="N878" s="33">
        <f t="shared" si="83"/>
        <v>59.688880000000005</v>
      </c>
      <c r="O878" s="38">
        <f>SUM(N878:N882)</f>
        <v>97.740606056000004</v>
      </c>
      <c r="P878" s="36" t="str">
        <f t="shared" si="78"/>
        <v/>
      </c>
      <c r="Q878" s="216">
        <f t="shared" si="79"/>
        <v>0.14400000000000002</v>
      </c>
      <c r="R878" s="216">
        <f t="shared" si="80"/>
        <v>0.14400000000000002</v>
      </c>
      <c r="S878" s="217">
        <f t="shared" si="81"/>
        <v>0.14400000000000002</v>
      </c>
    </row>
    <row r="879" spans="1:19" ht="15.75" hidden="1" thickBot="1" x14ac:dyDescent="0.3">
      <c r="A879" s="257"/>
      <c r="B879" s="260"/>
      <c r="C879" s="35" t="s">
        <v>2937</v>
      </c>
      <c r="D879" s="35" t="s">
        <v>773</v>
      </c>
      <c r="E879" s="36">
        <v>3.3000000000000002E-2</v>
      </c>
      <c r="F879" s="33">
        <v>24.281999999999996</v>
      </c>
      <c r="G879" s="33">
        <f t="shared" si="82"/>
        <v>0.80130599999999996</v>
      </c>
      <c r="H879" s="34"/>
      <c r="I879" s="30"/>
      <c r="J879" s="152">
        <v>0</v>
      </c>
      <c r="L879" s="215">
        <v>3.3000000000000002E-2</v>
      </c>
      <c r="M879" s="33">
        <v>20.785391999999998</v>
      </c>
      <c r="N879" s="33">
        <f t="shared" si="83"/>
        <v>0.68591793599999995</v>
      </c>
      <c r="O879" s="34"/>
      <c r="P879" s="36" t="str">
        <f t="shared" si="78"/>
        <v/>
      </c>
      <c r="Q879" s="216">
        <f t="shared" si="79"/>
        <v>0.14399999999999991</v>
      </c>
      <c r="R879" s="216">
        <f t="shared" si="80"/>
        <v>0.14400000000000002</v>
      </c>
      <c r="S879" s="217" t="str">
        <f t="shared" si="81"/>
        <v/>
      </c>
    </row>
    <row r="880" spans="1:19" ht="15.75" hidden="1" thickBot="1" x14ac:dyDescent="0.3">
      <c r="A880" s="257"/>
      <c r="B880" s="260"/>
      <c r="C880" s="35" t="s">
        <v>8373</v>
      </c>
      <c r="D880" s="35" t="s">
        <v>213</v>
      </c>
      <c r="E880" s="36">
        <v>0.56499999999999995</v>
      </c>
      <c r="F880" s="33">
        <v>26.125</v>
      </c>
      <c r="G880" s="33">
        <f t="shared" si="82"/>
        <v>14.760624999999999</v>
      </c>
      <c r="H880" s="34"/>
      <c r="I880" s="30"/>
      <c r="J880" s="152">
        <v>0</v>
      </c>
      <c r="L880" s="215">
        <v>0.56499999999999995</v>
      </c>
      <c r="M880" s="33">
        <v>22.363</v>
      </c>
      <c r="N880" s="33">
        <f t="shared" si="83"/>
        <v>12.635094999999998</v>
      </c>
      <c r="O880" s="34"/>
      <c r="P880" s="36" t="str">
        <f t="shared" si="78"/>
        <v/>
      </c>
      <c r="Q880" s="216">
        <f t="shared" si="79"/>
        <v>0.14400000000000002</v>
      </c>
      <c r="R880" s="216">
        <f t="shared" si="80"/>
        <v>0.14400000000000013</v>
      </c>
      <c r="S880" s="217" t="str">
        <f t="shared" si="81"/>
        <v/>
      </c>
    </row>
    <row r="881" spans="1:19" ht="15.75" hidden="1" thickBot="1" x14ac:dyDescent="0.3">
      <c r="A881" s="257"/>
      <c r="B881" s="260"/>
      <c r="C881" s="35" t="s">
        <v>584</v>
      </c>
      <c r="D881" s="35" t="s">
        <v>583</v>
      </c>
      <c r="E881" s="36">
        <v>0.628</v>
      </c>
      <c r="F881" s="33">
        <v>20.225499999999997</v>
      </c>
      <c r="G881" s="33">
        <f t="shared" si="82"/>
        <v>12.701613999999998</v>
      </c>
      <c r="H881" s="34"/>
      <c r="I881" s="30"/>
      <c r="J881" s="152">
        <v>0</v>
      </c>
      <c r="L881" s="215">
        <v>0.628</v>
      </c>
      <c r="M881" s="33">
        <v>17.313027999999996</v>
      </c>
      <c r="N881" s="33">
        <f t="shared" si="83"/>
        <v>10.872581583999997</v>
      </c>
      <c r="O881" s="34"/>
      <c r="P881" s="36" t="str">
        <f t="shared" si="78"/>
        <v/>
      </c>
      <c r="Q881" s="216">
        <f t="shared" si="79"/>
        <v>0.14400000000000013</v>
      </c>
      <c r="R881" s="216">
        <f t="shared" si="80"/>
        <v>0.14400000000000002</v>
      </c>
      <c r="S881" s="217" t="str">
        <f t="shared" si="81"/>
        <v/>
      </c>
    </row>
    <row r="882" spans="1:19" ht="15.75" hidden="1" thickBot="1" x14ac:dyDescent="0.3">
      <c r="A882" s="257"/>
      <c r="B882" s="260"/>
      <c r="C882" s="35" t="s">
        <v>2909</v>
      </c>
      <c r="D882" s="35" t="s">
        <v>583</v>
      </c>
      <c r="E882" s="36">
        <v>0.64600000000000002</v>
      </c>
      <c r="F882" s="33">
        <v>25.060999999999996</v>
      </c>
      <c r="G882" s="33">
        <f t="shared" si="82"/>
        <v>16.189405999999998</v>
      </c>
      <c r="H882" s="34"/>
      <c r="I882" s="30"/>
      <c r="J882" s="152">
        <v>0</v>
      </c>
      <c r="L882" s="215">
        <v>0.64600000000000002</v>
      </c>
      <c r="M882" s="33">
        <v>21.452215999999996</v>
      </c>
      <c r="N882" s="33">
        <f t="shared" si="83"/>
        <v>13.858131535999998</v>
      </c>
      <c r="O882" s="34"/>
      <c r="P882" s="36" t="str">
        <f t="shared" si="78"/>
        <v/>
      </c>
      <c r="Q882" s="216">
        <f t="shared" si="79"/>
        <v>0.14400000000000002</v>
      </c>
      <c r="R882" s="216">
        <f t="shared" si="80"/>
        <v>0.14400000000000002</v>
      </c>
      <c r="S882" s="217" t="str">
        <f t="shared" si="81"/>
        <v/>
      </c>
    </row>
    <row r="883" spans="1:19" ht="15.75" hidden="1" thickBot="1" x14ac:dyDescent="0.3">
      <c r="A883" s="258"/>
      <c r="B883" s="261"/>
      <c r="C883" s="35"/>
      <c r="D883" s="35"/>
      <c r="E883" s="36"/>
      <c r="F883" s="30" t="s">
        <v>416</v>
      </c>
      <c r="G883" s="30" t="str">
        <f t="shared" si="82"/>
        <v/>
      </c>
      <c r="H883" s="34"/>
      <c r="I883" s="30"/>
      <c r="J883" s="152">
        <v>0</v>
      </c>
      <c r="L883" s="215"/>
      <c r="M883" s="30"/>
      <c r="N883" s="30" t="str">
        <f t="shared" si="83"/>
        <v/>
      </c>
      <c r="O883" s="34"/>
      <c r="P883" s="36" t="str">
        <f t="shared" si="78"/>
        <v/>
      </c>
      <c r="Q883" s="216" t="str">
        <f t="shared" si="79"/>
        <v/>
      </c>
      <c r="R883" s="216" t="str">
        <f t="shared" si="80"/>
        <v/>
      </c>
      <c r="S883" s="217" t="str">
        <f t="shared" si="81"/>
        <v/>
      </c>
    </row>
    <row r="884" spans="1:19" ht="15.75" hidden="1" thickBot="1" x14ac:dyDescent="0.3">
      <c r="A884" s="256" t="s">
        <v>227</v>
      </c>
      <c r="B884" s="259" t="str">
        <f>INDEX(Orçamentária!A:B,MATCH(Composições!A884,Orçamentária!A:A,0),2)</f>
        <v>Vidro liso comum transparente 6 mm</v>
      </c>
      <c r="C884" s="40"/>
      <c r="D884" s="25" t="s">
        <v>70</v>
      </c>
      <c r="E884" s="26"/>
      <c r="F884" s="41" t="s">
        <v>416</v>
      </c>
      <c r="G884" s="27" t="str">
        <f t="shared" si="82"/>
        <v/>
      </c>
      <c r="H884" s="28"/>
      <c r="I884" s="29"/>
      <c r="J884" s="152">
        <v>0</v>
      </c>
      <c r="L884" s="218"/>
      <c r="M884" s="41"/>
      <c r="N884" s="27" t="str">
        <f t="shared" si="83"/>
        <v/>
      </c>
      <c r="O884" s="28"/>
      <c r="P884" s="36" t="str">
        <f t="shared" si="78"/>
        <v/>
      </c>
      <c r="Q884" s="216" t="str">
        <f t="shared" si="79"/>
        <v/>
      </c>
      <c r="R884" s="216" t="str">
        <f t="shared" si="80"/>
        <v/>
      </c>
      <c r="S884" s="217" t="str">
        <f t="shared" si="81"/>
        <v/>
      </c>
    </row>
    <row r="885" spans="1:19" ht="15.75" hidden="1" thickBot="1" x14ac:dyDescent="0.3">
      <c r="A885" s="257"/>
      <c r="B885" s="260"/>
      <c r="C885" s="31"/>
      <c r="D885" s="31"/>
      <c r="E885" s="32"/>
      <c r="F885" s="42" t="s">
        <v>416</v>
      </c>
      <c r="G885" s="30" t="str">
        <f t="shared" si="82"/>
        <v/>
      </c>
      <c r="H885" s="34"/>
      <c r="I885" s="30"/>
      <c r="J885" s="152">
        <v>0</v>
      </c>
      <c r="L885" s="219"/>
      <c r="M885" s="42"/>
      <c r="N885" s="30" t="str">
        <f t="shared" si="83"/>
        <v/>
      </c>
      <c r="O885" s="34"/>
      <c r="P885" s="36" t="str">
        <f t="shared" si="78"/>
        <v/>
      </c>
      <c r="Q885" s="216" t="str">
        <f t="shared" si="79"/>
        <v/>
      </c>
      <c r="R885" s="216" t="str">
        <f t="shared" si="80"/>
        <v/>
      </c>
      <c r="S885" s="217" t="str">
        <f t="shared" si="81"/>
        <v/>
      </c>
    </row>
    <row r="886" spans="1:19" ht="15.75" hidden="1" thickBot="1" x14ac:dyDescent="0.3">
      <c r="A886" s="257"/>
      <c r="B886" s="260"/>
      <c r="C886" s="35" t="s">
        <v>228</v>
      </c>
      <c r="D886" s="35" t="s">
        <v>861</v>
      </c>
      <c r="E886" s="36">
        <v>1</v>
      </c>
      <c r="F886" s="30">
        <v>98.781000000000006</v>
      </c>
      <c r="G886" s="30">
        <f t="shared" si="82"/>
        <v>98.781000000000006</v>
      </c>
      <c r="H886" s="38">
        <f>SUM(G886:G890)</f>
        <v>126.23794749999999</v>
      </c>
      <c r="I886" s="39"/>
      <c r="J886" s="152">
        <v>0</v>
      </c>
      <c r="L886" s="215">
        <v>1</v>
      </c>
      <c r="M886" s="30">
        <v>84.556536000000008</v>
      </c>
      <c r="N886" s="30">
        <f t="shared" si="83"/>
        <v>84.556536000000008</v>
      </c>
      <c r="O886" s="38">
        <f>SUM(N886:N890)</f>
        <v>108.05968306000001</v>
      </c>
      <c r="P886" s="36" t="str">
        <f t="shared" si="78"/>
        <v/>
      </c>
      <c r="Q886" s="216">
        <f t="shared" si="79"/>
        <v>0.14400000000000002</v>
      </c>
      <c r="R886" s="216">
        <f t="shared" si="80"/>
        <v>0.14400000000000002</v>
      </c>
      <c r="S886" s="217">
        <f t="shared" si="81"/>
        <v>0.14399999999999979</v>
      </c>
    </row>
    <row r="887" spans="1:19" ht="15.75" hidden="1" thickBot="1" x14ac:dyDescent="0.3">
      <c r="A887" s="257"/>
      <c r="B887" s="260"/>
      <c r="C887" s="35" t="s">
        <v>2937</v>
      </c>
      <c r="D887" s="35" t="s">
        <v>773</v>
      </c>
      <c r="E887" s="36">
        <v>2.1000000000000001E-2</v>
      </c>
      <c r="F887" s="33">
        <v>24.281999999999996</v>
      </c>
      <c r="G887" s="30">
        <f t="shared" si="82"/>
        <v>0.50992199999999999</v>
      </c>
      <c r="H887" s="34"/>
      <c r="I887" s="30"/>
      <c r="J887" s="152">
        <v>0</v>
      </c>
      <c r="L887" s="215">
        <v>2.1000000000000001E-2</v>
      </c>
      <c r="M887" s="33">
        <v>20.785391999999998</v>
      </c>
      <c r="N887" s="30">
        <f t="shared" si="83"/>
        <v>0.43649323200000001</v>
      </c>
      <c r="O887" s="34"/>
      <c r="P887" s="36" t="str">
        <f t="shared" si="78"/>
        <v/>
      </c>
      <c r="Q887" s="216">
        <f t="shared" si="79"/>
        <v>0.14399999999999991</v>
      </c>
      <c r="R887" s="216">
        <f t="shared" si="80"/>
        <v>0.14399999999999991</v>
      </c>
      <c r="S887" s="217" t="str">
        <f t="shared" si="81"/>
        <v/>
      </c>
    </row>
    <row r="888" spans="1:19" ht="15.75" hidden="1" thickBot="1" x14ac:dyDescent="0.3">
      <c r="A888" s="257"/>
      <c r="B888" s="260"/>
      <c r="C888" s="35" t="s">
        <v>8373</v>
      </c>
      <c r="D888" s="35" t="s">
        <v>213</v>
      </c>
      <c r="E888" s="36">
        <v>0.35699999999999998</v>
      </c>
      <c r="F888" s="33">
        <v>26.125</v>
      </c>
      <c r="G888" s="30">
        <f t="shared" si="82"/>
        <v>9.3266249999999999</v>
      </c>
      <c r="H888" s="34"/>
      <c r="I888" s="30"/>
      <c r="J888" s="152">
        <v>0</v>
      </c>
      <c r="L888" s="215">
        <v>0.35699999999999998</v>
      </c>
      <c r="M888" s="33">
        <v>22.363</v>
      </c>
      <c r="N888" s="30">
        <f t="shared" si="83"/>
        <v>7.9835909999999997</v>
      </c>
      <c r="O888" s="34"/>
      <c r="P888" s="36" t="str">
        <f t="shared" si="78"/>
        <v/>
      </c>
      <c r="Q888" s="216">
        <f t="shared" si="79"/>
        <v>0.14400000000000002</v>
      </c>
      <c r="R888" s="216">
        <f t="shared" si="80"/>
        <v>0.14400000000000002</v>
      </c>
      <c r="S888" s="217" t="str">
        <f t="shared" si="81"/>
        <v/>
      </c>
    </row>
    <row r="889" spans="1:19" ht="15.75" hidden="1" thickBot="1" x14ac:dyDescent="0.3">
      <c r="A889" s="257"/>
      <c r="B889" s="260"/>
      <c r="C889" s="35" t="s">
        <v>584</v>
      </c>
      <c r="D889" s="35" t="s">
        <v>583</v>
      </c>
      <c r="E889" s="36">
        <v>0.38300000000000001</v>
      </c>
      <c r="F889" s="33">
        <v>20.225499999999997</v>
      </c>
      <c r="G889" s="30">
        <f t="shared" si="82"/>
        <v>7.7463664999999988</v>
      </c>
      <c r="H889" s="34"/>
      <c r="I889" s="30"/>
      <c r="J889" s="152">
        <v>0</v>
      </c>
      <c r="L889" s="215">
        <v>0.38300000000000001</v>
      </c>
      <c r="M889" s="33">
        <v>17.313027999999996</v>
      </c>
      <c r="N889" s="30">
        <f t="shared" si="83"/>
        <v>6.6308897239999984</v>
      </c>
      <c r="O889" s="34"/>
      <c r="P889" s="36" t="str">
        <f t="shared" si="78"/>
        <v/>
      </c>
      <c r="Q889" s="216">
        <f t="shared" si="79"/>
        <v>0.14400000000000013</v>
      </c>
      <c r="R889" s="216">
        <f t="shared" si="80"/>
        <v>0.14400000000000013</v>
      </c>
      <c r="S889" s="217" t="str">
        <f t="shared" si="81"/>
        <v/>
      </c>
    </row>
    <row r="890" spans="1:19" ht="15.75" hidden="1" thickBot="1" x14ac:dyDescent="0.3">
      <c r="A890" s="257"/>
      <c r="B890" s="260"/>
      <c r="C890" s="35" t="s">
        <v>2909</v>
      </c>
      <c r="D890" s="35" t="s">
        <v>583</v>
      </c>
      <c r="E890" s="36">
        <v>0.39400000000000002</v>
      </c>
      <c r="F890" s="33">
        <v>25.060999999999996</v>
      </c>
      <c r="G890" s="30">
        <f t="shared" si="82"/>
        <v>9.8740339999999982</v>
      </c>
      <c r="H890" s="34"/>
      <c r="I890" s="30"/>
      <c r="J890" s="152">
        <v>0</v>
      </c>
      <c r="L890" s="215">
        <v>0.39400000000000002</v>
      </c>
      <c r="M890" s="33">
        <v>21.452215999999996</v>
      </c>
      <c r="N890" s="30">
        <f t="shared" si="83"/>
        <v>8.4521731039999981</v>
      </c>
      <c r="O890" s="34"/>
      <c r="P890" s="36" t="str">
        <f t="shared" si="78"/>
        <v/>
      </c>
      <c r="Q890" s="216">
        <f t="shared" si="79"/>
        <v>0.14400000000000002</v>
      </c>
      <c r="R890" s="216">
        <f t="shared" si="80"/>
        <v>0.14400000000000002</v>
      </c>
      <c r="S890" s="217" t="str">
        <f t="shared" si="81"/>
        <v/>
      </c>
    </row>
    <row r="891" spans="1:19" ht="15.75" hidden="1" thickBot="1" x14ac:dyDescent="0.3">
      <c r="A891" s="258"/>
      <c r="B891" s="261"/>
      <c r="C891" s="35"/>
      <c r="D891" s="35"/>
      <c r="E891" s="36"/>
      <c r="F891" s="30" t="s">
        <v>416</v>
      </c>
      <c r="G891" s="30" t="str">
        <f t="shared" si="82"/>
        <v/>
      </c>
      <c r="H891" s="34"/>
      <c r="I891" s="30"/>
      <c r="J891" s="152">
        <v>0</v>
      </c>
      <c r="L891" s="215"/>
      <c r="M891" s="30"/>
      <c r="N891" s="30" t="str">
        <f t="shared" si="83"/>
        <v/>
      </c>
      <c r="O891" s="34"/>
      <c r="P891" s="36" t="str">
        <f t="shared" si="78"/>
        <v/>
      </c>
      <c r="Q891" s="216" t="str">
        <f t="shared" si="79"/>
        <v/>
      </c>
      <c r="R891" s="216" t="str">
        <f t="shared" si="80"/>
        <v/>
      </c>
      <c r="S891" s="217" t="str">
        <f t="shared" si="81"/>
        <v/>
      </c>
    </row>
    <row r="892" spans="1:19" ht="15.75" hidden="1" thickBot="1" x14ac:dyDescent="0.3">
      <c r="A892" s="256" t="s">
        <v>229</v>
      </c>
      <c r="B892" s="259" t="str">
        <f>INDEX(Orçamentária!A:B,MATCH(Composições!A892,Orçamentária!A:A,0),2)</f>
        <v>Instalação de painéis de vidro temperado reaproveitados</v>
      </c>
      <c r="C892" s="40"/>
      <c r="D892" s="25" t="s">
        <v>70</v>
      </c>
      <c r="E892" s="26"/>
      <c r="F892" s="41" t="s">
        <v>416</v>
      </c>
      <c r="G892" s="27" t="str">
        <f t="shared" si="82"/>
        <v/>
      </c>
      <c r="H892" s="28"/>
      <c r="I892" s="29"/>
      <c r="J892" s="152">
        <v>0</v>
      </c>
      <c r="L892" s="218"/>
      <c r="M892" s="41"/>
      <c r="N892" s="27" t="str">
        <f t="shared" si="83"/>
        <v/>
      </c>
      <c r="O892" s="28"/>
      <c r="P892" s="36" t="str">
        <f t="shared" si="78"/>
        <v/>
      </c>
      <c r="Q892" s="216" t="str">
        <f t="shared" si="79"/>
        <v/>
      </c>
      <c r="R892" s="216" t="str">
        <f t="shared" si="80"/>
        <v/>
      </c>
      <c r="S892" s="217" t="str">
        <f t="shared" si="81"/>
        <v/>
      </c>
    </row>
    <row r="893" spans="1:19" ht="15.75" hidden="1" thickBot="1" x14ac:dyDescent="0.3">
      <c r="A893" s="262"/>
      <c r="B893" s="260"/>
      <c r="C893" s="31"/>
      <c r="D893" s="31"/>
      <c r="E893" s="32"/>
      <c r="F893" s="42" t="s">
        <v>416</v>
      </c>
      <c r="G893" s="30" t="str">
        <f t="shared" si="82"/>
        <v/>
      </c>
      <c r="H893" s="34"/>
      <c r="I893" s="30"/>
      <c r="J893" s="152">
        <v>0</v>
      </c>
      <c r="L893" s="219"/>
      <c r="M893" s="42"/>
      <c r="N893" s="30" t="str">
        <f t="shared" si="83"/>
        <v/>
      </c>
      <c r="O893" s="34"/>
      <c r="P893" s="36" t="str">
        <f t="shared" si="78"/>
        <v/>
      </c>
      <c r="Q893" s="216" t="str">
        <f t="shared" si="79"/>
        <v/>
      </c>
      <c r="R893" s="216" t="str">
        <f t="shared" si="80"/>
        <v/>
      </c>
      <c r="S893" s="217" t="str">
        <f t="shared" si="81"/>
        <v/>
      </c>
    </row>
    <row r="894" spans="1:19" ht="15.75" hidden="1" thickBot="1" x14ac:dyDescent="0.3">
      <c r="A894" s="262"/>
      <c r="B894" s="260"/>
      <c r="C894" s="35" t="s">
        <v>2909</v>
      </c>
      <c r="D894" s="35" t="s">
        <v>583</v>
      </c>
      <c r="E894" s="36">
        <f>2.2/2</f>
        <v>1.1000000000000001</v>
      </c>
      <c r="F894" s="30">
        <v>25.060999999999996</v>
      </c>
      <c r="G894" s="33">
        <f t="shared" si="82"/>
        <v>27.5671</v>
      </c>
      <c r="H894" s="38">
        <f>SUM(G894:G895)</f>
        <v>49.815150000000003</v>
      </c>
      <c r="I894" s="39"/>
      <c r="J894" s="152">
        <v>0</v>
      </c>
      <c r="L894" s="215">
        <v>1.1000000000000001</v>
      </c>
      <c r="M894" s="30">
        <v>21.452215999999996</v>
      </c>
      <c r="N894" s="33">
        <f t="shared" si="83"/>
        <v>23.597437599999999</v>
      </c>
      <c r="O894" s="38">
        <f>SUM(N894:N895)</f>
        <v>42.641768399999997</v>
      </c>
      <c r="P894" s="36" t="str">
        <f t="shared" si="78"/>
        <v/>
      </c>
      <c r="Q894" s="216">
        <f t="shared" si="79"/>
        <v>0.14400000000000002</v>
      </c>
      <c r="R894" s="216">
        <f t="shared" si="80"/>
        <v>0.14400000000000002</v>
      </c>
      <c r="S894" s="217">
        <f t="shared" si="81"/>
        <v>0.14400000000000013</v>
      </c>
    </row>
    <row r="895" spans="1:19" ht="15.75" hidden="1" thickBot="1" x14ac:dyDescent="0.3">
      <c r="A895" s="262"/>
      <c r="B895" s="260"/>
      <c r="C895" s="35" t="s">
        <v>584</v>
      </c>
      <c r="D895" s="35" t="s">
        <v>583</v>
      </c>
      <c r="E895" s="36">
        <f>2.2/2</f>
        <v>1.1000000000000001</v>
      </c>
      <c r="F895" s="30">
        <v>20.225499999999997</v>
      </c>
      <c r="G895" s="33">
        <f t="shared" si="82"/>
        <v>22.248049999999999</v>
      </c>
      <c r="H895" s="34"/>
      <c r="I895" s="30"/>
      <c r="J895" s="152">
        <v>0</v>
      </c>
      <c r="L895" s="215">
        <v>1.1000000000000001</v>
      </c>
      <c r="M895" s="30">
        <v>17.313027999999996</v>
      </c>
      <c r="N895" s="33">
        <f t="shared" si="83"/>
        <v>19.044330799999997</v>
      </c>
      <c r="O895" s="34"/>
      <c r="P895" s="36" t="str">
        <f t="shared" si="78"/>
        <v/>
      </c>
      <c r="Q895" s="216">
        <f t="shared" si="79"/>
        <v>0.14400000000000013</v>
      </c>
      <c r="R895" s="216">
        <f t="shared" si="80"/>
        <v>0.14400000000000013</v>
      </c>
      <c r="S895" s="217" t="str">
        <f t="shared" si="81"/>
        <v/>
      </c>
    </row>
    <row r="896" spans="1:19" ht="15.75" hidden="1" thickBot="1" x14ac:dyDescent="0.3">
      <c r="A896" s="263"/>
      <c r="B896" s="261"/>
      <c r="C896" s="35"/>
      <c r="D896" s="35"/>
      <c r="E896" s="36"/>
      <c r="F896" s="30" t="s">
        <v>416</v>
      </c>
      <c r="G896" s="30" t="str">
        <f t="shared" si="82"/>
        <v/>
      </c>
      <c r="H896" s="34"/>
      <c r="I896" s="30"/>
      <c r="J896" s="152">
        <v>0</v>
      </c>
      <c r="L896" s="215"/>
      <c r="M896" s="30"/>
      <c r="N896" s="30" t="str">
        <f t="shared" si="83"/>
        <v/>
      </c>
      <c r="O896" s="34"/>
      <c r="P896" s="36" t="str">
        <f t="shared" si="78"/>
        <v/>
      </c>
      <c r="Q896" s="216" t="str">
        <f t="shared" si="79"/>
        <v/>
      </c>
      <c r="R896" s="216" t="str">
        <f t="shared" si="80"/>
        <v/>
      </c>
      <c r="S896" s="217" t="str">
        <f t="shared" si="81"/>
        <v/>
      </c>
    </row>
    <row r="897" spans="1:19" ht="15.75" hidden="1" thickBot="1" x14ac:dyDescent="0.3">
      <c r="A897" s="256" t="s">
        <v>230</v>
      </c>
      <c r="B897" s="259" t="str">
        <f>INDEX(Orçamentária!A:B,MATCH(Composições!A897,Orçamentária!A:A,0),2)</f>
        <v>Mola hidráulica de piso</v>
      </c>
      <c r="C897" s="40"/>
      <c r="D897" s="25" t="s">
        <v>16</v>
      </c>
      <c r="E897" s="26"/>
      <c r="F897" s="41" t="s">
        <v>416</v>
      </c>
      <c r="G897" s="27" t="str">
        <f t="shared" si="82"/>
        <v/>
      </c>
      <c r="H897" s="28"/>
      <c r="I897" s="29"/>
      <c r="J897" s="152">
        <v>0</v>
      </c>
      <c r="L897" s="218"/>
      <c r="M897" s="41"/>
      <c r="N897" s="27" t="str">
        <f t="shared" si="83"/>
        <v/>
      </c>
      <c r="O897" s="28"/>
      <c r="P897" s="36" t="str">
        <f t="shared" si="78"/>
        <v/>
      </c>
      <c r="Q897" s="216" t="str">
        <f t="shared" si="79"/>
        <v/>
      </c>
      <c r="R897" s="216" t="str">
        <f t="shared" si="80"/>
        <v/>
      </c>
      <c r="S897" s="217" t="str">
        <f t="shared" si="81"/>
        <v/>
      </c>
    </row>
    <row r="898" spans="1:19" ht="15.75" hidden="1" thickBot="1" x14ac:dyDescent="0.3">
      <c r="A898" s="262"/>
      <c r="B898" s="260"/>
      <c r="C898" s="31"/>
      <c r="D898" s="31"/>
      <c r="E898" s="32"/>
      <c r="F898" s="42" t="s">
        <v>416</v>
      </c>
      <c r="G898" s="30" t="str">
        <f t="shared" si="82"/>
        <v/>
      </c>
      <c r="H898" s="34"/>
      <c r="I898" s="30"/>
      <c r="J898" s="152">
        <v>0</v>
      </c>
      <c r="L898" s="219"/>
      <c r="M898" s="42"/>
      <c r="N898" s="30" t="str">
        <f t="shared" si="83"/>
        <v/>
      </c>
      <c r="O898" s="34"/>
      <c r="P898" s="36" t="str">
        <f t="shared" si="78"/>
        <v/>
      </c>
      <c r="Q898" s="216" t="str">
        <f t="shared" si="79"/>
        <v/>
      </c>
      <c r="R898" s="216" t="str">
        <f t="shared" si="80"/>
        <v/>
      </c>
      <c r="S898" s="217" t="str">
        <f t="shared" si="81"/>
        <v/>
      </c>
    </row>
    <row r="899" spans="1:19" ht="15.75" hidden="1" thickBot="1" x14ac:dyDescent="0.3">
      <c r="A899" s="262"/>
      <c r="B899" s="260"/>
      <c r="C899" s="35" t="s">
        <v>2909</v>
      </c>
      <c r="D899" s="35" t="s">
        <v>583</v>
      </c>
      <c r="E899" s="36">
        <v>1.8180000000000001</v>
      </c>
      <c r="F899" s="30">
        <v>25.060999999999996</v>
      </c>
      <c r="G899" s="33">
        <f t="shared" si="82"/>
        <v>45.560897999999995</v>
      </c>
      <c r="H899" s="38">
        <f>SUM(G899:G902)</f>
        <v>81.299356499999988</v>
      </c>
      <c r="I899" s="39"/>
      <c r="J899" s="152">
        <v>0</v>
      </c>
      <c r="L899" s="215">
        <v>1.8180000000000001</v>
      </c>
      <c r="M899" s="30">
        <v>21.452215999999996</v>
      </c>
      <c r="N899" s="33">
        <f t="shared" si="83"/>
        <v>39.000128687999997</v>
      </c>
      <c r="O899" s="38">
        <f>SUM(N899:N902)</f>
        <v>69.592249163999981</v>
      </c>
      <c r="P899" s="36" t="str">
        <f t="shared" si="78"/>
        <v/>
      </c>
      <c r="Q899" s="216">
        <f t="shared" si="79"/>
        <v>0.14400000000000002</v>
      </c>
      <c r="R899" s="216">
        <f t="shared" si="80"/>
        <v>0.14400000000000002</v>
      </c>
      <c r="S899" s="217">
        <f t="shared" si="81"/>
        <v>0.14400000000000013</v>
      </c>
    </row>
    <row r="900" spans="1:19" ht="15.75" hidden="1" thickBot="1" x14ac:dyDescent="0.3">
      <c r="A900" s="262"/>
      <c r="B900" s="260"/>
      <c r="C900" s="35" t="s">
        <v>584</v>
      </c>
      <c r="D900" s="35" t="s">
        <v>583</v>
      </c>
      <c r="E900" s="36">
        <v>1.7669999999999999</v>
      </c>
      <c r="F900" s="30">
        <v>20.225499999999997</v>
      </c>
      <c r="G900" s="33">
        <f t="shared" si="82"/>
        <v>35.738458499999993</v>
      </c>
      <c r="H900" s="44"/>
      <c r="I900" s="45"/>
      <c r="J900" s="152">
        <v>0</v>
      </c>
      <c r="L900" s="215">
        <v>1.7669999999999999</v>
      </c>
      <c r="M900" s="30">
        <v>17.313027999999996</v>
      </c>
      <c r="N900" s="33">
        <f t="shared" si="83"/>
        <v>30.592120475999991</v>
      </c>
      <c r="O900" s="44"/>
      <c r="P900" s="36" t="str">
        <f t="shared" si="78"/>
        <v/>
      </c>
      <c r="Q900" s="216">
        <f t="shared" si="79"/>
        <v>0.14400000000000013</v>
      </c>
      <c r="R900" s="216">
        <f t="shared" si="80"/>
        <v>0.14400000000000013</v>
      </c>
      <c r="S900" s="217" t="str">
        <f t="shared" si="81"/>
        <v/>
      </c>
    </row>
    <row r="901" spans="1:19" ht="39" hidden="1" thickBot="1" x14ac:dyDescent="0.3">
      <c r="A901" s="262"/>
      <c r="B901" s="260"/>
      <c r="C901" s="35" t="s">
        <v>5550</v>
      </c>
      <c r="D901" s="35" t="s">
        <v>16</v>
      </c>
      <c r="E901" s="36">
        <v>1</v>
      </c>
      <c r="F901" s="30" t="s">
        <v>416</v>
      </c>
      <c r="G901" s="30" t="str">
        <f t="shared" si="82"/>
        <v/>
      </c>
      <c r="H901" s="34"/>
      <c r="I901" s="30"/>
      <c r="J901" s="152">
        <v>0</v>
      </c>
      <c r="L901" s="215">
        <v>1</v>
      </c>
      <c r="M901" s="30"/>
      <c r="N901" s="30" t="str">
        <f t="shared" si="83"/>
        <v/>
      </c>
      <c r="O901" s="34"/>
      <c r="P901" s="36" t="str">
        <f t="shared" si="78"/>
        <v/>
      </c>
      <c r="Q901" s="216" t="str">
        <f t="shared" si="79"/>
        <v/>
      </c>
      <c r="R901" s="216" t="str">
        <f t="shared" si="80"/>
        <v/>
      </c>
      <c r="S901" s="217" t="str">
        <f t="shared" si="81"/>
        <v/>
      </c>
    </row>
    <row r="902" spans="1:19" ht="15.75" hidden="1" thickBot="1" x14ac:dyDescent="0.3">
      <c r="A902" s="262"/>
      <c r="B902" s="260"/>
      <c r="C902" s="35" t="s">
        <v>5551</v>
      </c>
      <c r="D902" s="35" t="s">
        <v>16</v>
      </c>
      <c r="E902" s="36">
        <v>1</v>
      </c>
      <c r="F902" s="30" t="s">
        <v>416</v>
      </c>
      <c r="G902" s="30" t="str">
        <f t="shared" si="82"/>
        <v/>
      </c>
      <c r="H902" s="34"/>
      <c r="I902" s="30"/>
      <c r="J902" s="152">
        <v>0</v>
      </c>
      <c r="L902" s="215">
        <v>1</v>
      </c>
      <c r="M902" s="30"/>
      <c r="N902" s="30" t="str">
        <f t="shared" si="83"/>
        <v/>
      </c>
      <c r="O902" s="34"/>
      <c r="P902" s="36" t="str">
        <f t="shared" si="78"/>
        <v/>
      </c>
      <c r="Q902" s="216" t="str">
        <f t="shared" si="79"/>
        <v/>
      </c>
      <c r="R902" s="216" t="str">
        <f t="shared" si="80"/>
        <v/>
      </c>
      <c r="S902" s="217" t="str">
        <f t="shared" si="81"/>
        <v/>
      </c>
    </row>
    <row r="903" spans="1:19" ht="15.75" hidden="1" thickBot="1" x14ac:dyDescent="0.3">
      <c r="A903" s="263"/>
      <c r="B903" s="261"/>
      <c r="C903" s="35"/>
      <c r="D903" s="35"/>
      <c r="E903" s="36"/>
      <c r="F903" s="30" t="s">
        <v>416</v>
      </c>
      <c r="G903" s="30" t="str">
        <f t="shared" si="82"/>
        <v/>
      </c>
      <c r="H903" s="34"/>
      <c r="I903" s="30"/>
      <c r="J903" s="152">
        <v>0</v>
      </c>
      <c r="L903" s="215"/>
      <c r="M903" s="30"/>
      <c r="N903" s="30" t="str">
        <f t="shared" si="83"/>
        <v/>
      </c>
      <c r="O903" s="34"/>
      <c r="P903" s="36" t="str">
        <f t="shared" si="78"/>
        <v/>
      </c>
      <c r="Q903" s="216" t="str">
        <f t="shared" si="79"/>
        <v/>
      </c>
      <c r="R903" s="216" t="str">
        <f t="shared" si="80"/>
        <v/>
      </c>
      <c r="S903" s="217" t="str">
        <f t="shared" si="81"/>
        <v/>
      </c>
    </row>
    <row r="904" spans="1:19" ht="15.75" hidden="1" thickBot="1" x14ac:dyDescent="0.3">
      <c r="A904" s="256" t="s">
        <v>231</v>
      </c>
      <c r="B904" s="259" t="str">
        <f>INDEX(Orçamentária!A:B,MATCH(Composições!A904,Orçamentária!A:A,0),2)</f>
        <v>Instalação de persianas reaproveitadas</v>
      </c>
      <c r="C904" s="40"/>
      <c r="D904" s="25" t="s">
        <v>69</v>
      </c>
      <c r="E904" s="26"/>
      <c r="F904" s="41" t="s">
        <v>416</v>
      </c>
      <c r="G904" s="27" t="str">
        <f t="shared" si="82"/>
        <v/>
      </c>
      <c r="H904" s="28"/>
      <c r="I904" s="29"/>
      <c r="J904" s="152">
        <v>0</v>
      </c>
      <c r="L904" s="218"/>
      <c r="M904" s="41"/>
      <c r="N904" s="27" t="str">
        <f t="shared" si="83"/>
        <v/>
      </c>
      <c r="O904" s="28"/>
      <c r="P904" s="36" t="str">
        <f t="shared" ref="P904:P967" si="84">IF(ISBLANK(L904),"",IF($E904&lt;&gt;L904,"SIM",""))</f>
        <v/>
      </c>
      <c r="Q904" s="216" t="str">
        <f t="shared" ref="Q904:Q967" si="85">IF(M904="","",1-M904/$F904)</f>
        <v/>
      </c>
      <c r="R904" s="216" t="str">
        <f t="shared" ref="R904:R967" si="86">IF(N904="","",1-N904/$G904)</f>
        <v/>
      </c>
      <c r="S904" s="217" t="str">
        <f t="shared" ref="S904:S967" si="87">IF(O904="","",1-O904/$H904)</f>
        <v/>
      </c>
    </row>
    <row r="905" spans="1:19" ht="15.75" hidden="1" thickBot="1" x14ac:dyDescent="0.3">
      <c r="A905" s="262"/>
      <c r="B905" s="260"/>
      <c r="C905" s="31"/>
      <c r="D905" s="31"/>
      <c r="E905" s="32"/>
      <c r="F905" s="42" t="s">
        <v>416</v>
      </c>
      <c r="G905" s="30" t="str">
        <f t="shared" si="82"/>
        <v/>
      </c>
      <c r="H905" s="34"/>
      <c r="I905" s="30"/>
      <c r="J905" s="152">
        <v>0</v>
      </c>
      <c r="L905" s="219"/>
      <c r="M905" s="42"/>
      <c r="N905" s="30" t="str">
        <f t="shared" si="83"/>
        <v/>
      </c>
      <c r="O905" s="34"/>
      <c r="P905" s="36" t="str">
        <f t="shared" si="84"/>
        <v/>
      </c>
      <c r="Q905" s="216" t="str">
        <f t="shared" si="85"/>
        <v/>
      </c>
      <c r="R905" s="216" t="str">
        <f t="shared" si="86"/>
        <v/>
      </c>
      <c r="S905" s="217" t="str">
        <f t="shared" si="87"/>
        <v/>
      </c>
    </row>
    <row r="906" spans="1:19" ht="15.75" hidden="1" thickBot="1" x14ac:dyDescent="0.3">
      <c r="A906" s="262"/>
      <c r="B906" s="260"/>
      <c r="C906" s="35" t="s">
        <v>1233</v>
      </c>
      <c r="D906" s="35" t="s">
        <v>583</v>
      </c>
      <c r="E906" s="36">
        <f>ROUND(1/3,4)</f>
        <v>0.33329999999999999</v>
      </c>
      <c r="F906" s="30">
        <v>21.318000000000001</v>
      </c>
      <c r="G906" s="33">
        <f t="shared" si="82"/>
        <v>7.1052894000000002</v>
      </c>
      <c r="H906" s="38">
        <f>SUM(G906:G906)</f>
        <v>7.1052894000000002</v>
      </c>
      <c r="I906" s="39"/>
      <c r="J906" s="152">
        <v>0</v>
      </c>
      <c r="L906" s="215">
        <v>0.33329999999999999</v>
      </c>
      <c r="M906" s="30">
        <v>18.248208000000002</v>
      </c>
      <c r="N906" s="33">
        <f t="shared" si="83"/>
        <v>6.0821277264000004</v>
      </c>
      <c r="O906" s="38">
        <f>SUM(N906:N906)</f>
        <v>6.0821277264000004</v>
      </c>
      <c r="P906" s="36" t="str">
        <f t="shared" si="84"/>
        <v/>
      </c>
      <c r="Q906" s="216">
        <f t="shared" si="85"/>
        <v>0.14400000000000002</v>
      </c>
      <c r="R906" s="216">
        <f t="shared" si="86"/>
        <v>0.14400000000000002</v>
      </c>
      <c r="S906" s="217">
        <f t="shared" si="87"/>
        <v>0.14400000000000002</v>
      </c>
    </row>
    <row r="907" spans="1:19" ht="15.75" hidden="1" thickBot="1" x14ac:dyDescent="0.3">
      <c r="A907" s="263"/>
      <c r="B907" s="261"/>
      <c r="C907" s="35"/>
      <c r="D907" s="35"/>
      <c r="E907" s="36"/>
      <c r="F907" s="30" t="s">
        <v>416</v>
      </c>
      <c r="G907" s="30" t="str">
        <f t="shared" si="82"/>
        <v/>
      </c>
      <c r="H907" s="34"/>
      <c r="I907" s="30"/>
      <c r="J907" s="152">
        <v>0</v>
      </c>
      <c r="L907" s="215"/>
      <c r="M907" s="30"/>
      <c r="N907" s="30" t="str">
        <f t="shared" si="83"/>
        <v/>
      </c>
      <c r="O907" s="34"/>
      <c r="P907" s="36" t="str">
        <f t="shared" si="84"/>
        <v/>
      </c>
      <c r="Q907" s="216" t="str">
        <f t="shared" si="85"/>
        <v/>
      </c>
      <c r="R907" s="216" t="str">
        <f t="shared" si="86"/>
        <v/>
      </c>
      <c r="S907" s="217" t="str">
        <f t="shared" si="87"/>
        <v/>
      </c>
    </row>
    <row r="908" spans="1:19" ht="15.75" hidden="1" thickBot="1" x14ac:dyDescent="0.3">
      <c r="A908" s="256" t="s">
        <v>232</v>
      </c>
      <c r="B908" s="259" t="str">
        <f>INDEX(Orçamentária!A:B,MATCH(Composições!A908,Orçamentária!A:A,0),2)</f>
        <v>Tubo de ligação para bacia sanitária</v>
      </c>
      <c r="C908" s="40"/>
      <c r="D908" s="25" t="s">
        <v>16</v>
      </c>
      <c r="E908" s="26"/>
      <c r="F908" s="41" t="s">
        <v>416</v>
      </c>
      <c r="G908" s="27" t="str">
        <f t="shared" si="82"/>
        <v/>
      </c>
      <c r="H908" s="28"/>
      <c r="I908" s="29"/>
      <c r="J908" s="152">
        <v>0</v>
      </c>
      <c r="L908" s="218"/>
      <c r="M908" s="41"/>
      <c r="N908" s="27" t="str">
        <f t="shared" si="83"/>
        <v/>
      </c>
      <c r="O908" s="28"/>
      <c r="P908" s="36" t="str">
        <f t="shared" si="84"/>
        <v/>
      </c>
      <c r="Q908" s="216" t="str">
        <f t="shared" si="85"/>
        <v/>
      </c>
      <c r="R908" s="216" t="str">
        <f t="shared" si="86"/>
        <v/>
      </c>
      <c r="S908" s="217" t="str">
        <f t="shared" si="87"/>
        <v/>
      </c>
    </row>
    <row r="909" spans="1:19" ht="15.75" hidden="1" thickBot="1" x14ac:dyDescent="0.3">
      <c r="A909" s="262"/>
      <c r="B909" s="260"/>
      <c r="C909" s="31"/>
      <c r="D909" s="31"/>
      <c r="E909" s="32"/>
      <c r="F909" s="42" t="s">
        <v>416</v>
      </c>
      <c r="G909" s="30" t="str">
        <f t="shared" si="82"/>
        <v/>
      </c>
      <c r="H909" s="34"/>
      <c r="I909" s="30"/>
      <c r="J909" s="152">
        <v>0</v>
      </c>
      <c r="L909" s="219"/>
      <c r="M909" s="42"/>
      <c r="N909" s="30" t="str">
        <f t="shared" si="83"/>
        <v/>
      </c>
      <c r="O909" s="34"/>
      <c r="P909" s="36" t="str">
        <f t="shared" si="84"/>
        <v/>
      </c>
      <c r="Q909" s="216" t="str">
        <f t="shared" si="85"/>
        <v/>
      </c>
      <c r="R909" s="216" t="str">
        <f t="shared" si="86"/>
        <v/>
      </c>
      <c r="S909" s="217" t="str">
        <f t="shared" si="87"/>
        <v/>
      </c>
    </row>
    <row r="910" spans="1:19" ht="26.25" hidden="1" thickBot="1" x14ac:dyDescent="0.3">
      <c r="A910" s="262"/>
      <c r="B910" s="260"/>
      <c r="C910" s="35" t="s">
        <v>825</v>
      </c>
      <c r="D910" s="35" t="s">
        <v>583</v>
      </c>
      <c r="E910" s="36">
        <v>0.2</v>
      </c>
      <c r="F910" s="30">
        <v>26.799499999999998</v>
      </c>
      <c r="G910" s="33">
        <f t="shared" si="82"/>
        <v>5.3598999999999997</v>
      </c>
      <c r="H910" s="38">
        <f>SUM(G910:G912)</f>
        <v>19.752400000000002</v>
      </c>
      <c r="I910" s="39"/>
      <c r="J910" s="152">
        <v>0</v>
      </c>
      <c r="L910" s="215">
        <v>0.2</v>
      </c>
      <c r="M910" s="30">
        <v>22.940372</v>
      </c>
      <c r="N910" s="33">
        <f t="shared" si="83"/>
        <v>4.5880744</v>
      </c>
      <c r="O910" s="38">
        <f>SUM(N910:N912)</f>
        <v>16.908054400000001</v>
      </c>
      <c r="P910" s="36" t="str">
        <f t="shared" si="84"/>
        <v/>
      </c>
      <c r="Q910" s="216">
        <f t="shared" si="85"/>
        <v>0.14399999999999991</v>
      </c>
      <c r="R910" s="216">
        <f t="shared" si="86"/>
        <v>0.14399999999999991</v>
      </c>
      <c r="S910" s="217">
        <f t="shared" si="87"/>
        <v>0.14400000000000002</v>
      </c>
    </row>
    <row r="911" spans="1:19" ht="26.25" hidden="1" thickBot="1" x14ac:dyDescent="0.3">
      <c r="A911" s="262"/>
      <c r="B911" s="260"/>
      <c r="C911" s="35" t="s">
        <v>7982</v>
      </c>
      <c r="D911" s="35" t="s">
        <v>213</v>
      </c>
      <c r="E911" s="36">
        <v>1</v>
      </c>
      <c r="F911" s="33">
        <v>14.3925</v>
      </c>
      <c r="G911" s="53">
        <f t="shared" si="82"/>
        <v>14.3925</v>
      </c>
      <c r="H911" s="34"/>
      <c r="I911" s="30"/>
      <c r="J911" s="152">
        <v>0</v>
      </c>
      <c r="L911" s="215">
        <v>1</v>
      </c>
      <c r="M911" s="33">
        <v>12.319980000000001</v>
      </c>
      <c r="N911" s="53">
        <f t="shared" si="83"/>
        <v>12.319980000000001</v>
      </c>
      <c r="O911" s="34"/>
      <c r="P911" s="36" t="str">
        <f t="shared" si="84"/>
        <v/>
      </c>
      <c r="Q911" s="216">
        <f t="shared" si="85"/>
        <v>0.14399999999999991</v>
      </c>
      <c r="R911" s="216">
        <f t="shared" si="86"/>
        <v>0.14399999999999991</v>
      </c>
      <c r="S911" s="217" t="str">
        <f t="shared" si="87"/>
        <v/>
      </c>
    </row>
    <row r="912" spans="1:19" ht="26.25" hidden="1" thickBot="1" x14ac:dyDescent="0.3">
      <c r="A912" s="262"/>
      <c r="B912" s="260"/>
      <c r="C912" s="35" t="s">
        <v>233</v>
      </c>
      <c r="D912" s="35" t="s">
        <v>16</v>
      </c>
      <c r="E912" s="36">
        <v>1</v>
      </c>
      <c r="F912" s="33" t="s">
        <v>416</v>
      </c>
      <c r="G912" s="30" t="str">
        <f t="shared" si="82"/>
        <v/>
      </c>
      <c r="H912" s="34"/>
      <c r="I912" s="30"/>
      <c r="J912" s="152">
        <v>0</v>
      </c>
      <c r="L912" s="215">
        <v>1</v>
      </c>
      <c r="M912" s="33"/>
      <c r="N912" s="30" t="str">
        <f t="shared" si="83"/>
        <v/>
      </c>
      <c r="O912" s="34"/>
      <c r="P912" s="36" t="str">
        <f t="shared" si="84"/>
        <v/>
      </c>
      <c r="Q912" s="216" t="str">
        <f t="shared" si="85"/>
        <v/>
      </c>
      <c r="R912" s="216" t="str">
        <f t="shared" si="86"/>
        <v/>
      </c>
      <c r="S912" s="217" t="str">
        <f t="shared" si="87"/>
        <v/>
      </c>
    </row>
    <row r="913" spans="1:19" ht="15.75" hidden="1" thickBot="1" x14ac:dyDescent="0.3">
      <c r="A913" s="263"/>
      <c r="B913" s="261"/>
      <c r="C913" s="35"/>
      <c r="D913" s="35"/>
      <c r="E913" s="36"/>
      <c r="F913" s="30" t="s">
        <v>416</v>
      </c>
      <c r="G913" s="30" t="str">
        <f t="shared" si="82"/>
        <v/>
      </c>
      <c r="H913" s="34"/>
      <c r="I913" s="30"/>
      <c r="J913" s="152">
        <v>0</v>
      </c>
      <c r="L913" s="215"/>
      <c r="M913" s="30"/>
      <c r="N913" s="30" t="str">
        <f t="shared" si="83"/>
        <v/>
      </c>
      <c r="O913" s="34"/>
      <c r="P913" s="36" t="str">
        <f t="shared" si="84"/>
        <v/>
      </c>
      <c r="Q913" s="216" t="str">
        <f t="shared" si="85"/>
        <v/>
      </c>
      <c r="R913" s="216" t="str">
        <f t="shared" si="86"/>
        <v/>
      </c>
      <c r="S913" s="217" t="str">
        <f t="shared" si="87"/>
        <v/>
      </c>
    </row>
    <row r="914" spans="1:19" ht="15.75" thickBot="1" x14ac:dyDescent="0.3">
      <c r="A914" s="256" t="s">
        <v>234</v>
      </c>
      <c r="B914" s="259" t="str">
        <f>INDEX(Orçamentária!A:B,MATCH(Composições!A914,Orçamentária!A:A,0),2)</f>
        <v>Tubo PVC esgoto ou aguas pluviais predial DN 100 mm</v>
      </c>
      <c r="C914" s="40"/>
      <c r="D914" s="25" t="s">
        <v>69</v>
      </c>
      <c r="E914" s="26"/>
      <c r="F914" s="41" t="s">
        <v>416</v>
      </c>
      <c r="G914" s="27" t="str">
        <f t="shared" si="82"/>
        <v/>
      </c>
      <c r="H914" s="28"/>
      <c r="I914" s="29"/>
      <c r="J914" s="152">
        <v>6</v>
      </c>
      <c r="L914" s="218"/>
      <c r="M914" s="41"/>
      <c r="N914" s="27" t="str">
        <f t="shared" si="83"/>
        <v/>
      </c>
      <c r="O914" s="28"/>
      <c r="P914" s="36" t="str">
        <f t="shared" si="84"/>
        <v/>
      </c>
      <c r="Q914" s="216" t="str">
        <f t="shared" si="85"/>
        <v/>
      </c>
      <c r="R914" s="216" t="str">
        <f t="shared" si="86"/>
        <v/>
      </c>
      <c r="S914" s="217" t="str">
        <f t="shared" si="87"/>
        <v/>
      </c>
    </row>
    <row r="915" spans="1:19" x14ac:dyDescent="0.25">
      <c r="A915" s="262"/>
      <c r="B915" s="260"/>
      <c r="C915" s="31"/>
      <c r="D915" s="31"/>
      <c r="E915" s="32"/>
      <c r="F915" s="42" t="s">
        <v>416</v>
      </c>
      <c r="G915" s="30" t="str">
        <f t="shared" ref="G915:G978" si="88">IF(ISNUMBER(F915),E915*F915,"")</f>
        <v/>
      </c>
      <c r="H915" s="34"/>
      <c r="I915" s="30"/>
      <c r="J915" s="152">
        <v>6</v>
      </c>
      <c r="L915" s="219"/>
      <c r="M915" s="42"/>
      <c r="N915" s="30" t="str">
        <f t="shared" ref="N915:N978" si="89">IF(ISNUMBER(M915),L915*M915,"")</f>
        <v/>
      </c>
      <c r="O915" s="34"/>
      <c r="P915" s="36" t="str">
        <f t="shared" si="84"/>
        <v/>
      </c>
      <c r="Q915" s="216" t="str">
        <f t="shared" si="85"/>
        <v/>
      </c>
      <c r="R915" s="216" t="str">
        <f t="shared" si="86"/>
        <v/>
      </c>
      <c r="S915" s="217" t="str">
        <f t="shared" si="87"/>
        <v/>
      </c>
    </row>
    <row r="916" spans="1:19" x14ac:dyDescent="0.25">
      <c r="A916" s="262"/>
      <c r="B916" s="260"/>
      <c r="C916" s="35" t="s">
        <v>7975</v>
      </c>
      <c r="D916" s="35" t="s">
        <v>213</v>
      </c>
      <c r="E916" s="36">
        <v>4.2900000000000001E-2</v>
      </c>
      <c r="F916" s="33">
        <v>66.36699999999999</v>
      </c>
      <c r="G916" s="33">
        <f t="shared" si="88"/>
        <v>2.8471442999999996</v>
      </c>
      <c r="H916" s="38">
        <f>SUM(G916:G921)</f>
        <v>58.468903299999994</v>
      </c>
      <c r="I916" s="39"/>
      <c r="J916" s="152">
        <v>6</v>
      </c>
      <c r="L916" s="215">
        <v>4.2900000000000001E-2</v>
      </c>
      <c r="M916" s="33">
        <v>56.810151999999988</v>
      </c>
      <c r="N916" s="33">
        <f t="shared" si="89"/>
        <v>2.4371555207999993</v>
      </c>
      <c r="O916" s="38">
        <f>SUM(N916:N921)</f>
        <v>50.049381224799994</v>
      </c>
      <c r="P916" s="36" t="str">
        <f t="shared" si="84"/>
        <v/>
      </c>
      <c r="Q916" s="216">
        <f t="shared" si="85"/>
        <v>0.14400000000000002</v>
      </c>
      <c r="R916" s="216">
        <f t="shared" si="86"/>
        <v>0.14400000000000013</v>
      </c>
      <c r="S916" s="217">
        <f t="shared" si="87"/>
        <v>0.14400000000000002</v>
      </c>
    </row>
    <row r="917" spans="1:19" ht="25.5" x14ac:dyDescent="0.25">
      <c r="A917" s="262"/>
      <c r="B917" s="260"/>
      <c r="C917" s="35" t="s">
        <v>8469</v>
      </c>
      <c r="D917" s="35" t="s">
        <v>385</v>
      </c>
      <c r="E917" s="36">
        <v>1.04</v>
      </c>
      <c r="F917" s="33">
        <v>27.587999999999997</v>
      </c>
      <c r="G917" s="33">
        <f t="shared" si="88"/>
        <v>28.691519999999997</v>
      </c>
      <c r="H917" s="44"/>
      <c r="I917" s="45"/>
      <c r="J917" s="152">
        <v>6</v>
      </c>
      <c r="L917" s="215">
        <v>1.04</v>
      </c>
      <c r="M917" s="33">
        <v>23.615327999999998</v>
      </c>
      <c r="N917" s="33">
        <f t="shared" si="89"/>
        <v>24.559941119999998</v>
      </c>
      <c r="O917" s="44"/>
      <c r="P917" s="36" t="str">
        <f t="shared" si="84"/>
        <v/>
      </c>
      <c r="Q917" s="216">
        <f t="shared" si="85"/>
        <v>0.14400000000000002</v>
      </c>
      <c r="R917" s="216">
        <f t="shared" si="86"/>
        <v>0.14400000000000002</v>
      </c>
      <c r="S917" s="217" t="str">
        <f t="shared" si="87"/>
        <v/>
      </c>
    </row>
    <row r="918" spans="1:19" ht="25.5" x14ac:dyDescent="0.25">
      <c r="A918" s="262"/>
      <c r="B918" s="260"/>
      <c r="C918" s="35" t="s">
        <v>8375</v>
      </c>
      <c r="D918" s="35" t="s">
        <v>213</v>
      </c>
      <c r="E918" s="36">
        <v>7.0099999999999996E-2</v>
      </c>
      <c r="F918" s="33">
        <v>75.192499999999995</v>
      </c>
      <c r="G918" s="33">
        <f t="shared" si="88"/>
        <v>5.2709942499999993</v>
      </c>
      <c r="H918" s="44"/>
      <c r="I918" s="45"/>
      <c r="J918" s="152">
        <v>6</v>
      </c>
      <c r="L918" s="215">
        <v>7.0099999999999996E-2</v>
      </c>
      <c r="M918" s="33">
        <v>64.364779999999996</v>
      </c>
      <c r="N918" s="33">
        <f t="shared" si="89"/>
        <v>4.5119710779999993</v>
      </c>
      <c r="O918" s="44"/>
      <c r="P918" s="36" t="str">
        <f t="shared" si="84"/>
        <v/>
      </c>
      <c r="Q918" s="216">
        <f t="shared" si="85"/>
        <v>0.14400000000000002</v>
      </c>
      <c r="R918" s="216">
        <f t="shared" si="86"/>
        <v>0.14400000000000002</v>
      </c>
      <c r="S918" s="217" t="str">
        <f t="shared" si="87"/>
        <v/>
      </c>
    </row>
    <row r="919" spans="1:19" x14ac:dyDescent="0.25">
      <c r="A919" s="262"/>
      <c r="B919" s="260"/>
      <c r="C919" s="35" t="s">
        <v>8220</v>
      </c>
      <c r="D919" s="35" t="s">
        <v>213</v>
      </c>
      <c r="E919" s="36">
        <v>0.14849999999999999</v>
      </c>
      <c r="F919" s="33">
        <v>2.1185</v>
      </c>
      <c r="G919" s="33">
        <f t="shared" si="88"/>
        <v>0.31459724999999999</v>
      </c>
      <c r="H919" s="44"/>
      <c r="I919" s="45"/>
      <c r="J919" s="152">
        <v>6</v>
      </c>
      <c r="L919" s="215">
        <v>0.14849999999999999</v>
      </c>
      <c r="M919" s="33">
        <v>1.813436</v>
      </c>
      <c r="N919" s="33">
        <f t="shared" si="89"/>
        <v>0.26929524599999999</v>
      </c>
      <c r="O919" s="44"/>
      <c r="P919" s="36" t="str">
        <f t="shared" si="84"/>
        <v/>
      </c>
      <c r="Q919" s="216">
        <f t="shared" si="85"/>
        <v>0.14400000000000002</v>
      </c>
      <c r="R919" s="216">
        <f t="shared" si="86"/>
        <v>0.14400000000000002</v>
      </c>
      <c r="S919" s="217" t="str">
        <f t="shared" si="87"/>
        <v/>
      </c>
    </row>
    <row r="920" spans="1:19" ht="25.5" x14ac:dyDescent="0.25">
      <c r="A920" s="262"/>
      <c r="B920" s="260"/>
      <c r="C920" s="35" t="s">
        <v>824</v>
      </c>
      <c r="D920" s="35" t="s">
        <v>583</v>
      </c>
      <c r="E920" s="36">
        <v>0.44500000000000001</v>
      </c>
      <c r="F920" s="30">
        <v>21.166</v>
      </c>
      <c r="G920" s="33">
        <f t="shared" si="88"/>
        <v>9.4188700000000001</v>
      </c>
      <c r="H920" s="44"/>
      <c r="I920" s="45"/>
      <c r="J920" s="152">
        <v>6</v>
      </c>
      <c r="L920" s="215">
        <v>0.44500000000000001</v>
      </c>
      <c r="M920" s="30">
        <v>18.118096000000001</v>
      </c>
      <c r="N920" s="33">
        <f t="shared" si="89"/>
        <v>8.0625527200000011</v>
      </c>
      <c r="O920" s="44"/>
      <c r="P920" s="36" t="str">
        <f t="shared" si="84"/>
        <v/>
      </c>
      <c r="Q920" s="216">
        <f t="shared" si="85"/>
        <v>0.14399999999999991</v>
      </c>
      <c r="R920" s="216">
        <f t="shared" si="86"/>
        <v>0.14399999999999991</v>
      </c>
      <c r="S920" s="217" t="str">
        <f t="shared" si="87"/>
        <v/>
      </c>
    </row>
    <row r="921" spans="1:19" ht="25.5" x14ac:dyDescent="0.25">
      <c r="A921" s="262"/>
      <c r="B921" s="260"/>
      <c r="C921" s="35" t="s">
        <v>825</v>
      </c>
      <c r="D921" s="35" t="s">
        <v>583</v>
      </c>
      <c r="E921" s="36">
        <v>0.44500000000000001</v>
      </c>
      <c r="F921" s="30">
        <v>26.799499999999998</v>
      </c>
      <c r="G921" s="33">
        <f t="shared" si="88"/>
        <v>11.925777499999999</v>
      </c>
      <c r="H921" s="44"/>
      <c r="I921" s="45"/>
      <c r="J921" s="152">
        <v>6</v>
      </c>
      <c r="L921" s="215">
        <v>0.44500000000000001</v>
      </c>
      <c r="M921" s="30">
        <v>22.940372</v>
      </c>
      <c r="N921" s="33">
        <f t="shared" si="89"/>
        <v>10.208465540000001</v>
      </c>
      <c r="O921" s="44"/>
      <c r="P921" s="36" t="str">
        <f t="shared" si="84"/>
        <v/>
      </c>
      <c r="Q921" s="216">
        <f t="shared" si="85"/>
        <v>0.14399999999999991</v>
      </c>
      <c r="R921" s="216">
        <f t="shared" si="86"/>
        <v>0.14399999999999991</v>
      </c>
      <c r="S921" s="217" t="str">
        <f t="shared" si="87"/>
        <v/>
      </c>
    </row>
    <row r="922" spans="1:19" ht="15.75" thickBot="1" x14ac:dyDescent="0.3">
      <c r="A922" s="263"/>
      <c r="B922" s="261"/>
      <c r="C922" s="35"/>
      <c r="D922" s="35"/>
      <c r="E922" s="36"/>
      <c r="F922" s="30" t="s">
        <v>416</v>
      </c>
      <c r="G922" s="30" t="str">
        <f t="shared" si="88"/>
        <v/>
      </c>
      <c r="H922" s="34"/>
      <c r="I922" s="30"/>
      <c r="J922" s="152">
        <v>6</v>
      </c>
      <c r="L922" s="215"/>
      <c r="M922" s="30"/>
      <c r="N922" s="30" t="str">
        <f t="shared" si="89"/>
        <v/>
      </c>
      <c r="O922" s="34"/>
      <c r="P922" s="36" t="str">
        <f t="shared" si="84"/>
        <v/>
      </c>
      <c r="Q922" s="216" t="str">
        <f t="shared" si="85"/>
        <v/>
      </c>
      <c r="R922" s="216" t="str">
        <f t="shared" si="86"/>
        <v/>
      </c>
      <c r="S922" s="217" t="str">
        <f t="shared" si="87"/>
        <v/>
      </c>
    </row>
    <row r="923" spans="1:19" ht="15.75" hidden="1" thickBot="1" x14ac:dyDescent="0.3">
      <c r="A923" s="256" t="s">
        <v>235</v>
      </c>
      <c r="B923" s="259" t="str">
        <f>INDEX(Orçamentária!A:B,MATCH(Composições!A923,Orçamentária!A:A,0),2)</f>
        <v>Tubo PVC esgoto ou aguas pluviais predial DN 40 mm</v>
      </c>
      <c r="C923" s="40"/>
      <c r="D923" s="25" t="s">
        <v>69</v>
      </c>
      <c r="E923" s="26"/>
      <c r="F923" s="41" t="s">
        <v>416</v>
      </c>
      <c r="G923" s="27" t="str">
        <f t="shared" si="88"/>
        <v/>
      </c>
      <c r="H923" s="28"/>
      <c r="I923" s="29"/>
      <c r="J923" s="152">
        <v>0</v>
      </c>
      <c r="L923" s="218"/>
      <c r="M923" s="41"/>
      <c r="N923" s="27" t="str">
        <f t="shared" si="89"/>
        <v/>
      </c>
      <c r="O923" s="28"/>
      <c r="P923" s="36" t="str">
        <f t="shared" si="84"/>
        <v/>
      </c>
      <c r="Q923" s="216" t="str">
        <f t="shared" si="85"/>
        <v/>
      </c>
      <c r="R923" s="216" t="str">
        <f t="shared" si="86"/>
        <v/>
      </c>
      <c r="S923" s="217" t="str">
        <f t="shared" si="87"/>
        <v/>
      </c>
    </row>
    <row r="924" spans="1:19" ht="15.75" hidden="1" thickBot="1" x14ac:dyDescent="0.3">
      <c r="A924" s="262"/>
      <c r="B924" s="260"/>
      <c r="C924" s="31"/>
      <c r="D924" s="31"/>
      <c r="E924" s="32"/>
      <c r="F924" s="42" t="s">
        <v>416</v>
      </c>
      <c r="G924" s="30" t="str">
        <f t="shared" si="88"/>
        <v/>
      </c>
      <c r="H924" s="34"/>
      <c r="I924" s="30"/>
      <c r="J924" s="152">
        <v>0</v>
      </c>
      <c r="L924" s="219"/>
      <c r="M924" s="42"/>
      <c r="N924" s="30" t="str">
        <f t="shared" si="89"/>
        <v/>
      </c>
      <c r="O924" s="34"/>
      <c r="P924" s="36" t="str">
        <f t="shared" si="84"/>
        <v/>
      </c>
      <c r="Q924" s="216" t="str">
        <f t="shared" si="85"/>
        <v/>
      </c>
      <c r="R924" s="216" t="str">
        <f t="shared" si="86"/>
        <v/>
      </c>
      <c r="S924" s="217" t="str">
        <f t="shared" si="87"/>
        <v/>
      </c>
    </row>
    <row r="925" spans="1:19" ht="26.25" hidden="1" thickBot="1" x14ac:dyDescent="0.3">
      <c r="A925" s="262"/>
      <c r="B925" s="260"/>
      <c r="C925" s="35" t="s">
        <v>8470</v>
      </c>
      <c r="D925" s="35" t="s">
        <v>385</v>
      </c>
      <c r="E925" s="36">
        <v>1.04</v>
      </c>
      <c r="F925" s="33">
        <v>8.9489999999999998</v>
      </c>
      <c r="G925" s="33">
        <f t="shared" si="88"/>
        <v>9.3069600000000001</v>
      </c>
      <c r="H925" s="38">
        <f>SUM(G925:G928)</f>
        <v>17.299652000000002</v>
      </c>
      <c r="I925" s="39"/>
      <c r="J925" s="152">
        <v>0</v>
      </c>
      <c r="L925" s="215">
        <v>1.04</v>
      </c>
      <c r="M925" s="33">
        <v>7.6603440000000003</v>
      </c>
      <c r="N925" s="33">
        <f t="shared" si="89"/>
        <v>7.9667577600000001</v>
      </c>
      <c r="O925" s="38">
        <f>SUM(N925:N928)</f>
        <v>14.808502112000001</v>
      </c>
      <c r="P925" s="36" t="str">
        <f t="shared" si="84"/>
        <v/>
      </c>
      <c r="Q925" s="216">
        <f t="shared" si="85"/>
        <v>0.14399999999999991</v>
      </c>
      <c r="R925" s="216">
        <f t="shared" si="86"/>
        <v>0.14400000000000002</v>
      </c>
      <c r="S925" s="217">
        <f t="shared" si="87"/>
        <v>0.14400000000000002</v>
      </c>
    </row>
    <row r="926" spans="1:19" ht="15.75" hidden="1" thickBot="1" x14ac:dyDescent="0.3">
      <c r="A926" s="262"/>
      <c r="B926" s="260"/>
      <c r="C926" s="35" t="s">
        <v>8220</v>
      </c>
      <c r="D926" s="35" t="s">
        <v>213</v>
      </c>
      <c r="E926" s="36">
        <v>3.6999999999999998E-2</v>
      </c>
      <c r="F926" s="33">
        <v>2.1185</v>
      </c>
      <c r="G926" s="33">
        <f t="shared" si="88"/>
        <v>7.8384499999999996E-2</v>
      </c>
      <c r="H926" s="34"/>
      <c r="I926" s="30"/>
      <c r="J926" s="152">
        <v>0</v>
      </c>
      <c r="L926" s="215">
        <v>3.6999999999999998E-2</v>
      </c>
      <c r="M926" s="33">
        <v>1.813436</v>
      </c>
      <c r="N926" s="33">
        <f t="shared" si="89"/>
        <v>6.7097132000000004E-2</v>
      </c>
      <c r="O926" s="34"/>
      <c r="P926" s="36" t="str">
        <f t="shared" si="84"/>
        <v/>
      </c>
      <c r="Q926" s="216">
        <f t="shared" si="85"/>
        <v>0.14400000000000002</v>
      </c>
      <c r="R926" s="216">
        <f t="shared" si="86"/>
        <v>0.14399999999999991</v>
      </c>
      <c r="S926" s="217" t="str">
        <f t="shared" si="87"/>
        <v/>
      </c>
    </row>
    <row r="927" spans="1:19" ht="26.25" hidden="1" thickBot="1" x14ac:dyDescent="0.3">
      <c r="A927" s="262"/>
      <c r="B927" s="260"/>
      <c r="C927" s="35" t="s">
        <v>824</v>
      </c>
      <c r="D927" s="35" t="s">
        <v>583</v>
      </c>
      <c r="E927" s="36">
        <v>0.16500000000000001</v>
      </c>
      <c r="F927" s="30">
        <v>21.166</v>
      </c>
      <c r="G927" s="33">
        <f t="shared" si="88"/>
        <v>3.4923900000000003</v>
      </c>
      <c r="H927" s="34"/>
      <c r="I927" s="30"/>
      <c r="J927" s="152">
        <v>0</v>
      </c>
      <c r="L927" s="215">
        <v>0.16500000000000001</v>
      </c>
      <c r="M927" s="30">
        <v>18.118096000000001</v>
      </c>
      <c r="N927" s="33">
        <f t="shared" si="89"/>
        <v>2.9894858400000004</v>
      </c>
      <c r="O927" s="34"/>
      <c r="P927" s="36" t="str">
        <f t="shared" si="84"/>
        <v/>
      </c>
      <c r="Q927" s="216">
        <f t="shared" si="85"/>
        <v>0.14399999999999991</v>
      </c>
      <c r="R927" s="216">
        <f t="shared" si="86"/>
        <v>0.14400000000000002</v>
      </c>
      <c r="S927" s="217" t="str">
        <f t="shared" si="87"/>
        <v/>
      </c>
    </row>
    <row r="928" spans="1:19" ht="26.25" hidden="1" thickBot="1" x14ac:dyDescent="0.3">
      <c r="A928" s="262"/>
      <c r="B928" s="260"/>
      <c r="C928" s="35" t="s">
        <v>825</v>
      </c>
      <c r="D928" s="35" t="s">
        <v>583</v>
      </c>
      <c r="E928" s="36">
        <v>0.16500000000000001</v>
      </c>
      <c r="F928" s="30">
        <v>26.799499999999998</v>
      </c>
      <c r="G928" s="33">
        <f t="shared" si="88"/>
        <v>4.4219175000000002</v>
      </c>
      <c r="H928" s="34"/>
      <c r="I928" s="30"/>
      <c r="J928" s="152">
        <v>0</v>
      </c>
      <c r="L928" s="215">
        <v>0.16500000000000001</v>
      </c>
      <c r="M928" s="30">
        <v>22.940372</v>
      </c>
      <c r="N928" s="33">
        <f t="shared" si="89"/>
        <v>3.7851613800000004</v>
      </c>
      <c r="O928" s="34"/>
      <c r="P928" s="36" t="str">
        <f t="shared" si="84"/>
        <v/>
      </c>
      <c r="Q928" s="216">
        <f t="shared" si="85"/>
        <v>0.14399999999999991</v>
      </c>
      <c r="R928" s="216">
        <f t="shared" si="86"/>
        <v>0.14399999999999991</v>
      </c>
      <c r="S928" s="217" t="str">
        <f t="shared" si="87"/>
        <v/>
      </c>
    </row>
    <row r="929" spans="1:19" ht="15.75" hidden="1" thickBot="1" x14ac:dyDescent="0.3">
      <c r="A929" s="263"/>
      <c r="B929" s="261"/>
      <c r="C929" s="35"/>
      <c r="D929" s="35"/>
      <c r="E929" s="36"/>
      <c r="F929" s="30" t="s">
        <v>416</v>
      </c>
      <c r="G929" s="30" t="str">
        <f t="shared" si="88"/>
        <v/>
      </c>
      <c r="H929" s="34"/>
      <c r="I929" s="30"/>
      <c r="J929" s="152">
        <v>0</v>
      </c>
      <c r="L929" s="215"/>
      <c r="M929" s="30"/>
      <c r="N929" s="30" t="str">
        <f t="shared" si="89"/>
        <v/>
      </c>
      <c r="O929" s="34"/>
      <c r="P929" s="36" t="str">
        <f t="shared" si="84"/>
        <v/>
      </c>
      <c r="Q929" s="216" t="str">
        <f t="shared" si="85"/>
        <v/>
      </c>
      <c r="R929" s="216" t="str">
        <f t="shared" si="86"/>
        <v/>
      </c>
      <c r="S929" s="217" t="str">
        <f t="shared" si="87"/>
        <v/>
      </c>
    </row>
    <row r="930" spans="1:19" ht="15.75" hidden="1" thickBot="1" x14ac:dyDescent="0.3">
      <c r="A930" s="256" t="s">
        <v>236</v>
      </c>
      <c r="B930" s="259" t="str">
        <f>INDEX(Orçamentária!A:B,MATCH(Composições!A930,Orçamentária!A:A,0),2)</f>
        <v>Tubo PVC esgoto ou aguas pluviais predial DN 50 mm</v>
      </c>
      <c r="C930" s="40"/>
      <c r="D930" s="25" t="s">
        <v>69</v>
      </c>
      <c r="E930" s="26"/>
      <c r="F930" s="41" t="s">
        <v>416</v>
      </c>
      <c r="G930" s="27" t="str">
        <f t="shared" si="88"/>
        <v/>
      </c>
      <c r="H930" s="28"/>
      <c r="I930" s="29"/>
      <c r="J930" s="152">
        <v>0</v>
      </c>
      <c r="L930" s="218"/>
      <c r="M930" s="41"/>
      <c r="N930" s="27" t="str">
        <f t="shared" si="89"/>
        <v/>
      </c>
      <c r="O930" s="28"/>
      <c r="P930" s="36" t="str">
        <f t="shared" si="84"/>
        <v/>
      </c>
      <c r="Q930" s="216" t="str">
        <f t="shared" si="85"/>
        <v/>
      </c>
      <c r="R930" s="216" t="str">
        <f t="shared" si="86"/>
        <v/>
      </c>
      <c r="S930" s="217" t="str">
        <f t="shared" si="87"/>
        <v/>
      </c>
    </row>
    <row r="931" spans="1:19" ht="15.75" hidden="1" thickBot="1" x14ac:dyDescent="0.3">
      <c r="A931" s="262"/>
      <c r="B931" s="260"/>
      <c r="C931" s="31"/>
      <c r="D931" s="31"/>
      <c r="E931" s="32"/>
      <c r="F931" s="42" t="s">
        <v>416</v>
      </c>
      <c r="G931" s="30" t="str">
        <f t="shared" si="88"/>
        <v/>
      </c>
      <c r="H931" s="34"/>
      <c r="I931" s="30"/>
      <c r="J931" s="152">
        <v>0</v>
      </c>
      <c r="L931" s="219"/>
      <c r="M931" s="42"/>
      <c r="N931" s="30" t="str">
        <f t="shared" si="89"/>
        <v/>
      </c>
      <c r="O931" s="34"/>
      <c r="P931" s="36" t="str">
        <f t="shared" si="84"/>
        <v/>
      </c>
      <c r="Q931" s="216" t="str">
        <f t="shared" si="85"/>
        <v/>
      </c>
      <c r="R931" s="216" t="str">
        <f t="shared" si="86"/>
        <v/>
      </c>
      <c r="S931" s="217" t="str">
        <f t="shared" si="87"/>
        <v/>
      </c>
    </row>
    <row r="932" spans="1:19" ht="15.75" hidden="1" thickBot="1" x14ac:dyDescent="0.3">
      <c r="A932" s="262"/>
      <c r="B932" s="260"/>
      <c r="C932" s="35" t="s">
        <v>7975</v>
      </c>
      <c r="D932" s="35" t="s">
        <v>213</v>
      </c>
      <c r="E932" s="36">
        <v>1.2800000000000001E-2</v>
      </c>
      <c r="F932" s="33">
        <v>66.36699999999999</v>
      </c>
      <c r="G932" s="33">
        <f t="shared" si="88"/>
        <v>0.84949759999999996</v>
      </c>
      <c r="H932" s="38">
        <f>SUM(G932:G937)</f>
        <v>25.552732349999999</v>
      </c>
      <c r="I932" s="39"/>
      <c r="J932" s="152">
        <v>0</v>
      </c>
      <c r="L932" s="215">
        <v>1.2800000000000001E-2</v>
      </c>
      <c r="M932" s="33">
        <v>56.810151999999988</v>
      </c>
      <c r="N932" s="33">
        <f t="shared" si="89"/>
        <v>0.72716994559999992</v>
      </c>
      <c r="O932" s="38">
        <f>SUM(N932:N937)</f>
        <v>21.873138891600004</v>
      </c>
      <c r="P932" s="36" t="str">
        <f t="shared" si="84"/>
        <v/>
      </c>
      <c r="Q932" s="216">
        <f t="shared" si="85"/>
        <v>0.14400000000000002</v>
      </c>
      <c r="R932" s="216">
        <f t="shared" si="86"/>
        <v>0.14400000000000002</v>
      </c>
      <c r="S932" s="217">
        <f t="shared" si="87"/>
        <v>0.14399999999999979</v>
      </c>
    </row>
    <row r="933" spans="1:19" ht="26.25" hidden="1" thickBot="1" x14ac:dyDescent="0.3">
      <c r="A933" s="262"/>
      <c r="B933" s="260"/>
      <c r="C933" s="35" t="s">
        <v>8471</v>
      </c>
      <c r="D933" s="35" t="s">
        <v>385</v>
      </c>
      <c r="E933" s="36">
        <v>1.04</v>
      </c>
      <c r="F933" s="33">
        <v>12.597</v>
      </c>
      <c r="G933" s="33">
        <f t="shared" si="88"/>
        <v>13.10088</v>
      </c>
      <c r="H933" s="34"/>
      <c r="I933" s="30"/>
      <c r="J933" s="152">
        <v>0</v>
      </c>
      <c r="L933" s="215">
        <v>1.04</v>
      </c>
      <c r="M933" s="33">
        <v>10.783032</v>
      </c>
      <c r="N933" s="33">
        <f t="shared" si="89"/>
        <v>11.214353280000001</v>
      </c>
      <c r="O933" s="34"/>
      <c r="P933" s="36" t="str">
        <f t="shared" si="84"/>
        <v/>
      </c>
      <c r="Q933" s="216">
        <f t="shared" si="85"/>
        <v>0.14399999999999991</v>
      </c>
      <c r="R933" s="216">
        <f t="shared" si="86"/>
        <v>0.14399999999999991</v>
      </c>
      <c r="S933" s="217" t="str">
        <f t="shared" si="87"/>
        <v/>
      </c>
    </row>
    <row r="934" spans="1:19" ht="26.25" hidden="1" thickBot="1" x14ac:dyDescent="0.3">
      <c r="A934" s="262"/>
      <c r="B934" s="260"/>
      <c r="C934" s="35" t="s">
        <v>8375</v>
      </c>
      <c r="D934" s="35" t="s">
        <v>213</v>
      </c>
      <c r="E934" s="36">
        <v>1.9300000000000001E-2</v>
      </c>
      <c r="F934" s="33">
        <v>75.192499999999995</v>
      </c>
      <c r="G934" s="33">
        <f t="shared" si="88"/>
        <v>1.45121525</v>
      </c>
      <c r="H934" s="34"/>
      <c r="I934" s="30"/>
      <c r="J934" s="152">
        <v>0</v>
      </c>
      <c r="L934" s="215">
        <v>1.9300000000000001E-2</v>
      </c>
      <c r="M934" s="33">
        <v>64.364779999999996</v>
      </c>
      <c r="N934" s="33">
        <f t="shared" si="89"/>
        <v>1.2422402539999999</v>
      </c>
      <c r="O934" s="34"/>
      <c r="P934" s="36" t="str">
        <f t="shared" si="84"/>
        <v/>
      </c>
      <c r="Q934" s="216">
        <f t="shared" si="85"/>
        <v>0.14400000000000002</v>
      </c>
      <c r="R934" s="216">
        <f t="shared" si="86"/>
        <v>0.14400000000000002</v>
      </c>
      <c r="S934" s="217" t="str">
        <f t="shared" si="87"/>
        <v/>
      </c>
    </row>
    <row r="935" spans="1:19" ht="15.75" hidden="1" thickBot="1" x14ac:dyDescent="0.3">
      <c r="A935" s="262"/>
      <c r="B935" s="260"/>
      <c r="C935" s="35" t="s">
        <v>8220</v>
      </c>
      <c r="D935" s="35" t="s">
        <v>213</v>
      </c>
      <c r="E935" s="36">
        <v>3.6999999999999998E-2</v>
      </c>
      <c r="F935" s="33">
        <v>2.1185</v>
      </c>
      <c r="G935" s="33">
        <f t="shared" si="88"/>
        <v>7.8384499999999996E-2</v>
      </c>
      <c r="H935" s="34"/>
      <c r="I935" s="30"/>
      <c r="J935" s="152">
        <v>0</v>
      </c>
      <c r="L935" s="215">
        <v>3.6999999999999998E-2</v>
      </c>
      <c r="M935" s="33">
        <v>1.813436</v>
      </c>
      <c r="N935" s="33">
        <f t="shared" si="89"/>
        <v>6.7097132000000004E-2</v>
      </c>
      <c r="O935" s="34"/>
      <c r="P935" s="36" t="str">
        <f t="shared" si="84"/>
        <v/>
      </c>
      <c r="Q935" s="216">
        <f t="shared" si="85"/>
        <v>0.14400000000000002</v>
      </c>
      <c r="R935" s="216">
        <f t="shared" si="86"/>
        <v>0.14399999999999991</v>
      </c>
      <c r="S935" s="217" t="str">
        <f t="shared" si="87"/>
        <v/>
      </c>
    </row>
    <row r="936" spans="1:19" ht="26.25" hidden="1" thickBot="1" x14ac:dyDescent="0.3">
      <c r="A936" s="262"/>
      <c r="B936" s="260"/>
      <c r="C936" s="35" t="s">
        <v>824</v>
      </c>
      <c r="D936" s="35" t="s">
        <v>583</v>
      </c>
      <c r="E936" s="36">
        <v>0.21</v>
      </c>
      <c r="F936" s="30">
        <v>21.166</v>
      </c>
      <c r="G936" s="33">
        <f t="shared" si="88"/>
        <v>4.4448600000000003</v>
      </c>
      <c r="H936" s="34"/>
      <c r="I936" s="30"/>
      <c r="J936" s="152">
        <v>0</v>
      </c>
      <c r="L936" s="215">
        <v>0.21</v>
      </c>
      <c r="M936" s="30">
        <v>18.118096000000001</v>
      </c>
      <c r="N936" s="33">
        <f t="shared" si="89"/>
        <v>3.8048001600000001</v>
      </c>
      <c r="O936" s="34"/>
      <c r="P936" s="36" t="str">
        <f t="shared" si="84"/>
        <v/>
      </c>
      <c r="Q936" s="216">
        <f t="shared" si="85"/>
        <v>0.14399999999999991</v>
      </c>
      <c r="R936" s="216">
        <f t="shared" si="86"/>
        <v>0.14400000000000002</v>
      </c>
      <c r="S936" s="217" t="str">
        <f t="shared" si="87"/>
        <v/>
      </c>
    </row>
    <row r="937" spans="1:19" ht="26.25" hidden="1" thickBot="1" x14ac:dyDescent="0.3">
      <c r="A937" s="262"/>
      <c r="B937" s="260"/>
      <c r="C937" s="35" t="s">
        <v>825</v>
      </c>
      <c r="D937" s="35" t="s">
        <v>583</v>
      </c>
      <c r="E937" s="36">
        <v>0.21</v>
      </c>
      <c r="F937" s="30">
        <v>26.799499999999998</v>
      </c>
      <c r="G937" s="33">
        <f t="shared" si="88"/>
        <v>5.6278949999999996</v>
      </c>
      <c r="H937" s="34"/>
      <c r="I937" s="30"/>
      <c r="J937" s="152">
        <v>0</v>
      </c>
      <c r="L937" s="215">
        <v>0.21</v>
      </c>
      <c r="M937" s="30">
        <v>22.940372</v>
      </c>
      <c r="N937" s="33">
        <f t="shared" si="89"/>
        <v>4.8174781199999996</v>
      </c>
      <c r="O937" s="34"/>
      <c r="P937" s="36" t="str">
        <f t="shared" si="84"/>
        <v/>
      </c>
      <c r="Q937" s="216">
        <f t="shared" si="85"/>
        <v>0.14399999999999991</v>
      </c>
      <c r="R937" s="216">
        <f t="shared" si="86"/>
        <v>0.14400000000000002</v>
      </c>
      <c r="S937" s="217" t="str">
        <f t="shared" si="87"/>
        <v/>
      </c>
    </row>
    <row r="938" spans="1:19" ht="15.75" hidden="1" thickBot="1" x14ac:dyDescent="0.3">
      <c r="A938" s="263"/>
      <c r="B938" s="261"/>
      <c r="C938" s="35"/>
      <c r="D938" s="35"/>
      <c r="E938" s="36"/>
      <c r="F938" s="30" t="s">
        <v>416</v>
      </c>
      <c r="G938" s="30" t="str">
        <f t="shared" si="88"/>
        <v/>
      </c>
      <c r="H938" s="34"/>
      <c r="I938" s="30"/>
      <c r="J938" s="152">
        <v>0</v>
      </c>
      <c r="L938" s="215"/>
      <c r="M938" s="30"/>
      <c r="N938" s="30" t="str">
        <f t="shared" si="89"/>
        <v/>
      </c>
      <c r="O938" s="34"/>
      <c r="P938" s="36" t="str">
        <f t="shared" si="84"/>
        <v/>
      </c>
      <c r="Q938" s="216" t="str">
        <f t="shared" si="85"/>
        <v/>
      </c>
      <c r="R938" s="216" t="str">
        <f t="shared" si="86"/>
        <v/>
      </c>
      <c r="S938" s="217" t="str">
        <f t="shared" si="87"/>
        <v/>
      </c>
    </row>
    <row r="939" spans="1:19" ht="15.75" hidden="1" thickBot="1" x14ac:dyDescent="0.3">
      <c r="A939" s="256" t="s">
        <v>237</v>
      </c>
      <c r="B939" s="259" t="str">
        <f>INDEX(Orçamentária!A:B,MATCH(Composições!A939,Orçamentária!A:A,0),2)</f>
        <v>Tubo PVC esgoto ou aguas pluviais predial DN 75 mm</v>
      </c>
      <c r="C939" s="40"/>
      <c r="D939" s="25" t="s">
        <v>69</v>
      </c>
      <c r="E939" s="26"/>
      <c r="F939" s="41" t="s">
        <v>416</v>
      </c>
      <c r="G939" s="27" t="str">
        <f t="shared" si="88"/>
        <v/>
      </c>
      <c r="H939" s="28"/>
      <c r="I939" s="29"/>
      <c r="J939" s="152">
        <v>0</v>
      </c>
      <c r="L939" s="218"/>
      <c r="M939" s="41"/>
      <c r="N939" s="27" t="str">
        <f t="shared" si="89"/>
        <v/>
      </c>
      <c r="O939" s="28"/>
      <c r="P939" s="36" t="str">
        <f t="shared" si="84"/>
        <v/>
      </c>
      <c r="Q939" s="216" t="str">
        <f t="shared" si="85"/>
        <v/>
      </c>
      <c r="R939" s="216" t="str">
        <f t="shared" si="86"/>
        <v/>
      </c>
      <c r="S939" s="217" t="str">
        <f t="shared" si="87"/>
        <v/>
      </c>
    </row>
    <row r="940" spans="1:19" ht="15.75" hidden="1" thickBot="1" x14ac:dyDescent="0.3">
      <c r="A940" s="262"/>
      <c r="B940" s="260"/>
      <c r="C940" s="31"/>
      <c r="D940" s="31"/>
      <c r="E940" s="32"/>
      <c r="F940" s="42" t="s">
        <v>416</v>
      </c>
      <c r="G940" s="30" t="str">
        <f t="shared" si="88"/>
        <v/>
      </c>
      <c r="H940" s="34"/>
      <c r="I940" s="30"/>
      <c r="J940" s="152">
        <v>0</v>
      </c>
      <c r="L940" s="219"/>
      <c r="M940" s="42"/>
      <c r="N940" s="30" t="str">
        <f t="shared" si="89"/>
        <v/>
      </c>
      <c r="O940" s="34"/>
      <c r="P940" s="36" t="str">
        <f t="shared" si="84"/>
        <v/>
      </c>
      <c r="Q940" s="216" t="str">
        <f t="shared" si="85"/>
        <v/>
      </c>
      <c r="R940" s="216" t="str">
        <f t="shared" si="86"/>
        <v/>
      </c>
      <c r="S940" s="217" t="str">
        <f t="shared" si="87"/>
        <v/>
      </c>
    </row>
    <row r="941" spans="1:19" ht="15.75" hidden="1" thickBot="1" x14ac:dyDescent="0.3">
      <c r="A941" s="262"/>
      <c r="B941" s="260"/>
      <c r="C941" s="35" t="s">
        <v>7975</v>
      </c>
      <c r="D941" s="35" t="s">
        <v>213</v>
      </c>
      <c r="E941" s="36">
        <v>2.93E-2</v>
      </c>
      <c r="F941" s="33">
        <v>66.36699999999999</v>
      </c>
      <c r="G941" s="33">
        <f t="shared" si="88"/>
        <v>1.9445530999999996</v>
      </c>
      <c r="H941" s="38">
        <f>SUM(G941:G946)</f>
        <v>44.945856599999999</v>
      </c>
      <c r="I941" s="39"/>
      <c r="J941" s="152">
        <v>0</v>
      </c>
      <c r="L941" s="215">
        <v>2.93E-2</v>
      </c>
      <c r="M941" s="33">
        <v>56.810151999999988</v>
      </c>
      <c r="N941" s="33">
        <f t="shared" si="89"/>
        <v>1.6645374535999997</v>
      </c>
      <c r="O941" s="38">
        <f>SUM(N941:N946)</f>
        <v>38.473653249600005</v>
      </c>
      <c r="P941" s="36" t="str">
        <f t="shared" si="84"/>
        <v/>
      </c>
      <c r="Q941" s="216">
        <f t="shared" si="85"/>
        <v>0.14400000000000002</v>
      </c>
      <c r="R941" s="216">
        <f t="shared" si="86"/>
        <v>0.14400000000000002</v>
      </c>
      <c r="S941" s="217">
        <f t="shared" si="87"/>
        <v>0.14399999999999991</v>
      </c>
    </row>
    <row r="942" spans="1:19" ht="26.25" hidden="1" thickBot="1" x14ac:dyDescent="0.3">
      <c r="A942" s="262"/>
      <c r="B942" s="260"/>
      <c r="C942" s="35" t="s">
        <v>8472</v>
      </c>
      <c r="D942" s="35" t="s">
        <v>385</v>
      </c>
      <c r="E942" s="36">
        <v>1.04</v>
      </c>
      <c r="F942" s="33">
        <v>22.8475</v>
      </c>
      <c r="G942" s="33">
        <f t="shared" si="88"/>
        <v>23.761400000000002</v>
      </c>
      <c r="H942" s="44"/>
      <c r="I942" s="45"/>
      <c r="J942" s="152">
        <v>0</v>
      </c>
      <c r="L942" s="215">
        <v>1.04</v>
      </c>
      <c r="M942" s="33">
        <v>19.557459999999999</v>
      </c>
      <c r="N942" s="33">
        <f t="shared" si="89"/>
        <v>20.339758400000001</v>
      </c>
      <c r="O942" s="44"/>
      <c r="P942" s="36" t="str">
        <f t="shared" si="84"/>
        <v/>
      </c>
      <c r="Q942" s="216">
        <f t="shared" si="85"/>
        <v>0.14400000000000002</v>
      </c>
      <c r="R942" s="216">
        <f t="shared" si="86"/>
        <v>0.14400000000000002</v>
      </c>
      <c r="S942" s="217" t="str">
        <f t="shared" si="87"/>
        <v/>
      </c>
    </row>
    <row r="943" spans="1:19" ht="26.25" hidden="1" thickBot="1" x14ac:dyDescent="0.3">
      <c r="A943" s="262"/>
      <c r="B943" s="260"/>
      <c r="C943" s="35" t="s">
        <v>8375</v>
      </c>
      <c r="D943" s="35" t="s">
        <v>213</v>
      </c>
      <c r="E943" s="36">
        <v>4.5499999999999999E-2</v>
      </c>
      <c r="F943" s="33">
        <v>75.192499999999995</v>
      </c>
      <c r="G943" s="33">
        <f t="shared" si="88"/>
        <v>3.4212587499999998</v>
      </c>
      <c r="H943" s="44"/>
      <c r="I943" s="45"/>
      <c r="J943" s="152">
        <v>0</v>
      </c>
      <c r="L943" s="215">
        <v>4.5499999999999999E-2</v>
      </c>
      <c r="M943" s="33">
        <v>64.364779999999996</v>
      </c>
      <c r="N943" s="33">
        <f t="shared" si="89"/>
        <v>2.9285974899999996</v>
      </c>
      <c r="O943" s="44"/>
      <c r="P943" s="36" t="str">
        <f t="shared" si="84"/>
        <v/>
      </c>
      <c r="Q943" s="216">
        <f t="shared" si="85"/>
        <v>0.14400000000000002</v>
      </c>
      <c r="R943" s="216">
        <f t="shared" si="86"/>
        <v>0.14400000000000002</v>
      </c>
      <c r="S943" s="217" t="str">
        <f t="shared" si="87"/>
        <v/>
      </c>
    </row>
    <row r="944" spans="1:19" ht="15.75" hidden="1" thickBot="1" x14ac:dyDescent="0.3">
      <c r="A944" s="262"/>
      <c r="B944" s="260"/>
      <c r="C944" s="35" t="s">
        <v>8220</v>
      </c>
      <c r="D944" s="35" t="s">
        <v>213</v>
      </c>
      <c r="E944" s="36">
        <v>0.1085</v>
      </c>
      <c r="F944" s="33">
        <v>2.1185</v>
      </c>
      <c r="G944" s="33">
        <f t="shared" si="88"/>
        <v>0.22985725000000001</v>
      </c>
      <c r="H944" s="44"/>
      <c r="I944" s="45"/>
      <c r="J944" s="152">
        <v>0</v>
      </c>
      <c r="L944" s="215">
        <v>0.1085</v>
      </c>
      <c r="M944" s="33">
        <v>1.813436</v>
      </c>
      <c r="N944" s="33">
        <f t="shared" si="89"/>
        <v>0.19675780600000001</v>
      </c>
      <c r="O944" s="44"/>
      <c r="P944" s="36" t="str">
        <f t="shared" si="84"/>
        <v/>
      </c>
      <c r="Q944" s="216">
        <f t="shared" si="85"/>
        <v>0.14400000000000002</v>
      </c>
      <c r="R944" s="216">
        <f t="shared" si="86"/>
        <v>0.14400000000000002</v>
      </c>
      <c r="S944" s="217" t="str">
        <f t="shared" si="87"/>
        <v/>
      </c>
    </row>
    <row r="945" spans="1:19" ht="26.25" hidden="1" thickBot="1" x14ac:dyDescent="0.3">
      <c r="A945" s="262"/>
      <c r="B945" s="260"/>
      <c r="C945" s="35" t="s">
        <v>824</v>
      </c>
      <c r="D945" s="35" t="s">
        <v>583</v>
      </c>
      <c r="E945" s="36">
        <v>0.32500000000000001</v>
      </c>
      <c r="F945" s="30">
        <v>21.166</v>
      </c>
      <c r="G945" s="33">
        <f t="shared" si="88"/>
        <v>6.8789500000000006</v>
      </c>
      <c r="H945" s="44"/>
      <c r="I945" s="45"/>
      <c r="J945" s="152">
        <v>0</v>
      </c>
      <c r="L945" s="215">
        <v>0.32500000000000001</v>
      </c>
      <c r="M945" s="30">
        <v>18.118096000000001</v>
      </c>
      <c r="N945" s="33">
        <f t="shared" si="89"/>
        <v>5.8883812000000004</v>
      </c>
      <c r="O945" s="44"/>
      <c r="P945" s="36" t="str">
        <f t="shared" si="84"/>
        <v/>
      </c>
      <c r="Q945" s="216">
        <f t="shared" si="85"/>
        <v>0.14399999999999991</v>
      </c>
      <c r="R945" s="216">
        <f t="shared" si="86"/>
        <v>0.14400000000000002</v>
      </c>
      <c r="S945" s="217" t="str">
        <f t="shared" si="87"/>
        <v/>
      </c>
    </row>
    <row r="946" spans="1:19" ht="26.25" hidden="1" thickBot="1" x14ac:dyDescent="0.3">
      <c r="A946" s="262"/>
      <c r="B946" s="260"/>
      <c r="C946" s="35" t="s">
        <v>825</v>
      </c>
      <c r="D946" s="35" t="s">
        <v>583</v>
      </c>
      <c r="E946" s="36">
        <v>0.32500000000000001</v>
      </c>
      <c r="F946" s="30">
        <v>26.799499999999998</v>
      </c>
      <c r="G946" s="33">
        <f t="shared" si="88"/>
        <v>8.709837499999999</v>
      </c>
      <c r="H946" s="44"/>
      <c r="I946" s="45"/>
      <c r="J946" s="152">
        <v>0</v>
      </c>
      <c r="L946" s="215">
        <v>0.32500000000000001</v>
      </c>
      <c r="M946" s="30">
        <v>22.940372</v>
      </c>
      <c r="N946" s="33">
        <f t="shared" si="89"/>
        <v>7.4556209000000004</v>
      </c>
      <c r="O946" s="44"/>
      <c r="P946" s="36" t="str">
        <f t="shared" si="84"/>
        <v/>
      </c>
      <c r="Q946" s="216">
        <f t="shared" si="85"/>
        <v>0.14399999999999991</v>
      </c>
      <c r="R946" s="216">
        <f t="shared" si="86"/>
        <v>0.14399999999999991</v>
      </c>
      <c r="S946" s="217" t="str">
        <f t="shared" si="87"/>
        <v/>
      </c>
    </row>
    <row r="947" spans="1:19" ht="15.75" hidden="1" thickBot="1" x14ac:dyDescent="0.3">
      <c r="A947" s="263"/>
      <c r="B947" s="261"/>
      <c r="C947" s="35"/>
      <c r="D947" s="35"/>
      <c r="E947" s="36"/>
      <c r="F947" s="30" t="s">
        <v>416</v>
      </c>
      <c r="G947" s="30" t="str">
        <f t="shared" si="88"/>
        <v/>
      </c>
      <c r="H947" s="34"/>
      <c r="I947" s="30"/>
      <c r="J947" s="152">
        <v>0</v>
      </c>
      <c r="L947" s="215"/>
      <c r="M947" s="30"/>
      <c r="N947" s="30" t="str">
        <f t="shared" si="89"/>
        <v/>
      </c>
      <c r="O947" s="34"/>
      <c r="P947" s="36" t="str">
        <f t="shared" si="84"/>
        <v/>
      </c>
      <c r="Q947" s="216" t="str">
        <f t="shared" si="85"/>
        <v/>
      </c>
      <c r="R947" s="216" t="str">
        <f t="shared" si="86"/>
        <v/>
      </c>
      <c r="S947" s="217" t="str">
        <f t="shared" si="87"/>
        <v/>
      </c>
    </row>
    <row r="948" spans="1:19" ht="15.75" thickBot="1" x14ac:dyDescent="0.3">
      <c r="A948" s="256" t="s">
        <v>238</v>
      </c>
      <c r="B948" s="259" t="str">
        <f>INDEX(Orçamentária!A:B,MATCH(Composições!A948,Orçamentária!A:A,0),2)</f>
        <v>Tubo PVC soldável água fria DN 25 mm</v>
      </c>
      <c r="C948" s="40"/>
      <c r="D948" s="25" t="s">
        <v>69</v>
      </c>
      <c r="E948" s="26"/>
      <c r="F948" s="41" t="s">
        <v>416</v>
      </c>
      <c r="G948" s="27" t="str">
        <f t="shared" si="88"/>
        <v/>
      </c>
      <c r="H948" s="28"/>
      <c r="I948" s="29"/>
      <c r="J948" s="152">
        <v>76</v>
      </c>
      <c r="L948" s="218"/>
      <c r="M948" s="41"/>
      <c r="N948" s="27" t="str">
        <f t="shared" si="89"/>
        <v/>
      </c>
      <c r="O948" s="28"/>
      <c r="P948" s="36" t="str">
        <f t="shared" si="84"/>
        <v/>
      </c>
      <c r="Q948" s="216" t="str">
        <f t="shared" si="85"/>
        <v/>
      </c>
      <c r="R948" s="216" t="str">
        <f t="shared" si="86"/>
        <v/>
      </c>
      <c r="S948" s="217" t="str">
        <f t="shared" si="87"/>
        <v/>
      </c>
    </row>
    <row r="949" spans="1:19" x14ac:dyDescent="0.25">
      <c r="A949" s="262"/>
      <c r="B949" s="260"/>
      <c r="C949" s="31"/>
      <c r="D949" s="31"/>
      <c r="E949" s="32"/>
      <c r="F949" s="42" t="s">
        <v>416</v>
      </c>
      <c r="G949" s="30" t="str">
        <f t="shared" si="88"/>
        <v/>
      </c>
      <c r="H949" s="34"/>
      <c r="I949" s="30"/>
      <c r="J949" s="152">
        <v>76</v>
      </c>
      <c r="L949" s="219"/>
      <c r="M949" s="42"/>
      <c r="N949" s="30" t="str">
        <f t="shared" si="89"/>
        <v/>
      </c>
      <c r="O949" s="34"/>
      <c r="P949" s="36" t="str">
        <f t="shared" si="84"/>
        <v/>
      </c>
      <c r="Q949" s="216" t="str">
        <f t="shared" si="85"/>
        <v/>
      </c>
      <c r="R949" s="216" t="str">
        <f t="shared" si="86"/>
        <v/>
      </c>
      <c r="S949" s="217" t="str">
        <f t="shared" si="87"/>
        <v/>
      </c>
    </row>
    <row r="950" spans="1:19" x14ac:dyDescent="0.25">
      <c r="A950" s="262"/>
      <c r="B950" s="260"/>
      <c r="C950" s="35" t="s">
        <v>8475</v>
      </c>
      <c r="D950" s="35" t="s">
        <v>385</v>
      </c>
      <c r="E950" s="36">
        <v>1.0609999999999999</v>
      </c>
      <c r="F950" s="33">
        <v>4.1040000000000001</v>
      </c>
      <c r="G950" s="33">
        <f t="shared" si="88"/>
        <v>4.3543440000000002</v>
      </c>
      <c r="H950" s="38">
        <f>SUM(G950:G952)</f>
        <v>5.1217920000000001</v>
      </c>
      <c r="I950" s="39"/>
      <c r="J950" s="152">
        <v>76</v>
      </c>
      <c r="L950" s="215">
        <v>1.0609999999999999</v>
      </c>
      <c r="M950" s="33">
        <v>3.5130240000000001</v>
      </c>
      <c r="N950" s="33">
        <f t="shared" si="89"/>
        <v>3.7273184640000001</v>
      </c>
      <c r="O950" s="38">
        <f>SUM(N950:N952)</f>
        <v>4.3842539519999999</v>
      </c>
      <c r="P950" s="36" t="str">
        <f t="shared" si="84"/>
        <v/>
      </c>
      <c r="Q950" s="216">
        <f t="shared" si="85"/>
        <v>0.14400000000000002</v>
      </c>
      <c r="R950" s="216">
        <f t="shared" si="86"/>
        <v>0.14400000000000002</v>
      </c>
      <c r="S950" s="217">
        <f t="shared" si="87"/>
        <v>0.14400000000000002</v>
      </c>
    </row>
    <row r="951" spans="1:19" ht="25.5" x14ac:dyDescent="0.25">
      <c r="A951" s="262"/>
      <c r="B951" s="260"/>
      <c r="C951" s="35" t="s">
        <v>824</v>
      </c>
      <c r="D951" s="35" t="s">
        <v>583</v>
      </c>
      <c r="E951" s="36">
        <v>1.6E-2</v>
      </c>
      <c r="F951" s="30">
        <v>21.166</v>
      </c>
      <c r="G951" s="33">
        <f t="shared" si="88"/>
        <v>0.33865600000000001</v>
      </c>
      <c r="H951" s="34"/>
      <c r="I951" s="30"/>
      <c r="J951" s="152">
        <v>76</v>
      </c>
      <c r="L951" s="215">
        <v>1.6E-2</v>
      </c>
      <c r="M951" s="30">
        <v>18.118096000000001</v>
      </c>
      <c r="N951" s="33">
        <f t="shared" si="89"/>
        <v>0.289889536</v>
      </c>
      <c r="O951" s="34"/>
      <c r="P951" s="36" t="str">
        <f t="shared" si="84"/>
        <v/>
      </c>
      <c r="Q951" s="216">
        <f t="shared" si="85"/>
        <v>0.14399999999999991</v>
      </c>
      <c r="R951" s="216">
        <f t="shared" si="86"/>
        <v>0.14400000000000002</v>
      </c>
      <c r="S951" s="217" t="str">
        <f t="shared" si="87"/>
        <v/>
      </c>
    </row>
    <row r="952" spans="1:19" ht="25.5" x14ac:dyDescent="0.25">
      <c r="A952" s="262"/>
      <c r="B952" s="260"/>
      <c r="C952" s="35" t="s">
        <v>825</v>
      </c>
      <c r="D952" s="35" t="s">
        <v>583</v>
      </c>
      <c r="E952" s="36">
        <v>1.6E-2</v>
      </c>
      <c r="F952" s="30">
        <v>26.799499999999998</v>
      </c>
      <c r="G952" s="33">
        <f t="shared" si="88"/>
        <v>0.42879200000000001</v>
      </c>
      <c r="H952" s="34"/>
      <c r="I952" s="30"/>
      <c r="J952" s="152">
        <v>76</v>
      </c>
      <c r="L952" s="215">
        <v>1.6E-2</v>
      </c>
      <c r="M952" s="30">
        <v>22.940372</v>
      </c>
      <c r="N952" s="33">
        <f t="shared" si="89"/>
        <v>0.36704595200000001</v>
      </c>
      <c r="O952" s="34"/>
      <c r="P952" s="36" t="str">
        <f t="shared" si="84"/>
        <v/>
      </c>
      <c r="Q952" s="216">
        <f t="shared" si="85"/>
        <v>0.14399999999999991</v>
      </c>
      <c r="R952" s="216">
        <f t="shared" si="86"/>
        <v>0.14400000000000002</v>
      </c>
      <c r="S952" s="217" t="str">
        <f t="shared" si="87"/>
        <v/>
      </c>
    </row>
    <row r="953" spans="1:19" ht="15.75" thickBot="1" x14ac:dyDescent="0.3">
      <c r="A953" s="263"/>
      <c r="B953" s="261"/>
      <c r="C953" s="35"/>
      <c r="D953" s="35"/>
      <c r="E953" s="36"/>
      <c r="F953" s="30" t="s">
        <v>416</v>
      </c>
      <c r="G953" s="30" t="str">
        <f t="shared" si="88"/>
        <v/>
      </c>
      <c r="H953" s="34"/>
      <c r="I953" s="30"/>
      <c r="J953" s="152">
        <v>76</v>
      </c>
      <c r="L953" s="215"/>
      <c r="M953" s="30"/>
      <c r="N953" s="30" t="str">
        <f t="shared" si="89"/>
        <v/>
      </c>
      <c r="O953" s="34"/>
      <c r="P953" s="36" t="str">
        <f t="shared" si="84"/>
        <v/>
      </c>
      <c r="Q953" s="216" t="str">
        <f t="shared" si="85"/>
        <v/>
      </c>
      <c r="R953" s="216" t="str">
        <f t="shared" si="86"/>
        <v/>
      </c>
      <c r="S953" s="217" t="str">
        <f t="shared" si="87"/>
        <v/>
      </c>
    </row>
    <row r="954" spans="1:19" ht="15.75" hidden="1" thickBot="1" x14ac:dyDescent="0.3">
      <c r="A954" s="256" t="s">
        <v>239</v>
      </c>
      <c r="B954" s="259" t="str">
        <f>INDEX(Orçamentária!A:B,MATCH(Composições!A954,Orçamentária!A:A,0),2)</f>
        <v>Tubo PVC soldável água fria DN 32 mm</v>
      </c>
      <c r="C954" s="40"/>
      <c r="D954" s="25" t="s">
        <v>69</v>
      </c>
      <c r="E954" s="26"/>
      <c r="F954" s="41" t="s">
        <v>416</v>
      </c>
      <c r="G954" s="27" t="str">
        <f t="shared" si="88"/>
        <v/>
      </c>
      <c r="H954" s="28"/>
      <c r="I954" s="29"/>
      <c r="J954" s="152">
        <v>0</v>
      </c>
      <c r="L954" s="218"/>
      <c r="M954" s="41"/>
      <c r="N954" s="27" t="str">
        <f t="shared" si="89"/>
        <v/>
      </c>
      <c r="O954" s="28"/>
      <c r="P954" s="36" t="str">
        <f t="shared" si="84"/>
        <v/>
      </c>
      <c r="Q954" s="216" t="str">
        <f t="shared" si="85"/>
        <v/>
      </c>
      <c r="R954" s="216" t="str">
        <f t="shared" si="86"/>
        <v/>
      </c>
      <c r="S954" s="217" t="str">
        <f t="shared" si="87"/>
        <v/>
      </c>
    </row>
    <row r="955" spans="1:19" ht="15.75" hidden="1" thickBot="1" x14ac:dyDescent="0.3">
      <c r="A955" s="262"/>
      <c r="B955" s="260"/>
      <c r="C955" s="31"/>
      <c r="D955" s="31"/>
      <c r="E955" s="32"/>
      <c r="F955" s="42" t="s">
        <v>416</v>
      </c>
      <c r="G955" s="30" t="str">
        <f t="shared" si="88"/>
        <v/>
      </c>
      <c r="H955" s="34"/>
      <c r="I955" s="30"/>
      <c r="J955" s="152">
        <v>0</v>
      </c>
      <c r="L955" s="219"/>
      <c r="M955" s="42"/>
      <c r="N955" s="30" t="str">
        <f t="shared" si="89"/>
        <v/>
      </c>
      <c r="O955" s="34"/>
      <c r="P955" s="36" t="str">
        <f t="shared" si="84"/>
        <v/>
      </c>
      <c r="Q955" s="216" t="str">
        <f t="shared" si="85"/>
        <v/>
      </c>
      <c r="R955" s="216" t="str">
        <f t="shared" si="86"/>
        <v/>
      </c>
      <c r="S955" s="217" t="str">
        <f t="shared" si="87"/>
        <v/>
      </c>
    </row>
    <row r="956" spans="1:19" ht="15.75" hidden="1" thickBot="1" x14ac:dyDescent="0.3">
      <c r="A956" s="262"/>
      <c r="B956" s="260"/>
      <c r="C956" s="35" t="s">
        <v>8476</v>
      </c>
      <c r="D956" s="35" t="s">
        <v>385</v>
      </c>
      <c r="E956" s="36">
        <v>1.0609999999999999</v>
      </c>
      <c r="F956" s="33">
        <v>8.8539999999999992</v>
      </c>
      <c r="G956" s="33">
        <f t="shared" si="88"/>
        <v>9.3940939999999991</v>
      </c>
      <c r="H956" s="38">
        <f>SUM(G956:G958)</f>
        <v>10.353403999999999</v>
      </c>
      <c r="I956" s="39"/>
      <c r="J956" s="152">
        <v>0</v>
      </c>
      <c r="L956" s="215">
        <v>1.0609999999999999</v>
      </c>
      <c r="M956" s="33">
        <v>7.5790239999999995</v>
      </c>
      <c r="N956" s="33">
        <f t="shared" si="89"/>
        <v>8.0413444639999998</v>
      </c>
      <c r="O956" s="38">
        <f>SUM(N956:N958)</f>
        <v>8.8625138239999988</v>
      </c>
      <c r="P956" s="36" t="str">
        <f t="shared" si="84"/>
        <v/>
      </c>
      <c r="Q956" s="216">
        <f t="shared" si="85"/>
        <v>0.14400000000000002</v>
      </c>
      <c r="R956" s="216">
        <f t="shared" si="86"/>
        <v>0.14399999999999991</v>
      </c>
      <c r="S956" s="217">
        <f t="shared" si="87"/>
        <v>0.14400000000000002</v>
      </c>
    </row>
    <row r="957" spans="1:19" ht="26.25" hidden="1" thickBot="1" x14ac:dyDescent="0.3">
      <c r="A957" s="262"/>
      <c r="B957" s="260"/>
      <c r="C957" s="35" t="s">
        <v>824</v>
      </c>
      <c r="D957" s="35" t="s">
        <v>583</v>
      </c>
      <c r="E957" s="36">
        <v>0.02</v>
      </c>
      <c r="F957" s="30">
        <v>21.166</v>
      </c>
      <c r="G957" s="33">
        <f t="shared" si="88"/>
        <v>0.42332000000000003</v>
      </c>
      <c r="H957" s="34"/>
      <c r="I957" s="30"/>
      <c r="J957" s="152">
        <v>0</v>
      </c>
      <c r="L957" s="215">
        <v>0.02</v>
      </c>
      <c r="M957" s="30">
        <v>18.118096000000001</v>
      </c>
      <c r="N957" s="33">
        <f t="shared" si="89"/>
        <v>0.36236192000000006</v>
      </c>
      <c r="O957" s="34"/>
      <c r="P957" s="36" t="str">
        <f t="shared" si="84"/>
        <v/>
      </c>
      <c r="Q957" s="216">
        <f t="shared" si="85"/>
        <v>0.14399999999999991</v>
      </c>
      <c r="R957" s="216">
        <f t="shared" si="86"/>
        <v>0.14399999999999991</v>
      </c>
      <c r="S957" s="217" t="str">
        <f t="shared" si="87"/>
        <v/>
      </c>
    </row>
    <row r="958" spans="1:19" ht="26.25" hidden="1" thickBot="1" x14ac:dyDescent="0.3">
      <c r="A958" s="262"/>
      <c r="B958" s="260"/>
      <c r="C958" s="35" t="s">
        <v>825</v>
      </c>
      <c r="D958" s="35" t="s">
        <v>583</v>
      </c>
      <c r="E958" s="36">
        <v>0.02</v>
      </c>
      <c r="F958" s="30">
        <v>26.799499999999998</v>
      </c>
      <c r="G958" s="33">
        <f t="shared" si="88"/>
        <v>0.53598999999999997</v>
      </c>
      <c r="H958" s="34"/>
      <c r="I958" s="30"/>
      <c r="J958" s="152">
        <v>0</v>
      </c>
      <c r="L958" s="215">
        <v>0.02</v>
      </c>
      <c r="M958" s="30">
        <v>22.940372</v>
      </c>
      <c r="N958" s="33">
        <f t="shared" si="89"/>
        <v>0.45880744000000001</v>
      </c>
      <c r="O958" s="34"/>
      <c r="P958" s="36" t="str">
        <f t="shared" si="84"/>
        <v/>
      </c>
      <c r="Q958" s="216">
        <f t="shared" si="85"/>
        <v>0.14399999999999991</v>
      </c>
      <c r="R958" s="216">
        <f t="shared" si="86"/>
        <v>0.14399999999999991</v>
      </c>
      <c r="S958" s="217" t="str">
        <f t="shared" si="87"/>
        <v/>
      </c>
    </row>
    <row r="959" spans="1:19" ht="15.75" hidden="1" thickBot="1" x14ac:dyDescent="0.3">
      <c r="A959" s="263"/>
      <c r="B959" s="261"/>
      <c r="C959" s="35"/>
      <c r="D959" s="35"/>
      <c r="E959" s="36"/>
      <c r="F959" s="30" t="s">
        <v>416</v>
      </c>
      <c r="G959" s="30" t="str">
        <f t="shared" si="88"/>
        <v/>
      </c>
      <c r="H959" s="34"/>
      <c r="I959" s="30"/>
      <c r="J959" s="152">
        <v>0</v>
      </c>
      <c r="L959" s="215"/>
      <c r="M959" s="30"/>
      <c r="N959" s="30" t="str">
        <f t="shared" si="89"/>
        <v/>
      </c>
      <c r="O959" s="34"/>
      <c r="P959" s="36" t="str">
        <f t="shared" si="84"/>
        <v/>
      </c>
      <c r="Q959" s="216" t="str">
        <f t="shared" si="85"/>
        <v/>
      </c>
      <c r="R959" s="216" t="str">
        <f t="shared" si="86"/>
        <v/>
      </c>
      <c r="S959" s="217" t="str">
        <f t="shared" si="87"/>
        <v/>
      </c>
    </row>
    <row r="960" spans="1:19" ht="15.75" hidden="1" thickBot="1" x14ac:dyDescent="0.3">
      <c r="A960" s="256" t="s">
        <v>240</v>
      </c>
      <c r="B960" s="259" t="str">
        <f>INDEX(Orçamentária!A:B,MATCH(Composições!A960,Orçamentária!A:A,0),2)</f>
        <v>Tubo PVC soldável água fria DN 40 mm</v>
      </c>
      <c r="C960" s="40"/>
      <c r="D960" s="25" t="s">
        <v>69</v>
      </c>
      <c r="E960" s="26"/>
      <c r="F960" s="41" t="s">
        <v>416</v>
      </c>
      <c r="G960" s="27" t="str">
        <f t="shared" si="88"/>
        <v/>
      </c>
      <c r="H960" s="28"/>
      <c r="I960" s="29"/>
      <c r="J960" s="152">
        <v>0</v>
      </c>
      <c r="L960" s="218"/>
      <c r="M960" s="41"/>
      <c r="N960" s="27" t="str">
        <f t="shared" si="89"/>
        <v/>
      </c>
      <c r="O960" s="28"/>
      <c r="P960" s="36" t="str">
        <f t="shared" si="84"/>
        <v/>
      </c>
      <c r="Q960" s="216" t="str">
        <f t="shared" si="85"/>
        <v/>
      </c>
      <c r="R960" s="216" t="str">
        <f t="shared" si="86"/>
        <v/>
      </c>
      <c r="S960" s="217" t="str">
        <f t="shared" si="87"/>
        <v/>
      </c>
    </row>
    <row r="961" spans="1:19" ht="15.75" hidden="1" thickBot="1" x14ac:dyDescent="0.3">
      <c r="A961" s="262"/>
      <c r="B961" s="260"/>
      <c r="C961" s="31"/>
      <c r="D961" s="31"/>
      <c r="E961" s="32"/>
      <c r="F961" s="42" t="s">
        <v>416</v>
      </c>
      <c r="G961" s="30" t="str">
        <f t="shared" si="88"/>
        <v/>
      </c>
      <c r="H961" s="34"/>
      <c r="I961" s="30"/>
      <c r="J961" s="152">
        <v>0</v>
      </c>
      <c r="L961" s="219"/>
      <c r="M961" s="42"/>
      <c r="N961" s="30" t="str">
        <f t="shared" si="89"/>
        <v/>
      </c>
      <c r="O961" s="34"/>
      <c r="P961" s="36" t="str">
        <f t="shared" si="84"/>
        <v/>
      </c>
      <c r="Q961" s="216" t="str">
        <f t="shared" si="85"/>
        <v/>
      </c>
      <c r="R961" s="216" t="str">
        <f t="shared" si="86"/>
        <v/>
      </c>
      <c r="S961" s="217" t="str">
        <f t="shared" si="87"/>
        <v/>
      </c>
    </row>
    <row r="962" spans="1:19" ht="15.75" hidden="1" thickBot="1" x14ac:dyDescent="0.3">
      <c r="A962" s="262"/>
      <c r="B962" s="260"/>
      <c r="C962" s="35" t="s">
        <v>8477</v>
      </c>
      <c r="D962" s="35" t="s">
        <v>385</v>
      </c>
      <c r="E962" s="36">
        <v>1.0609999999999999</v>
      </c>
      <c r="F962" s="33">
        <v>13.907999999999999</v>
      </c>
      <c r="G962" s="33">
        <f t="shared" si="88"/>
        <v>14.756387999999999</v>
      </c>
      <c r="H962" s="38">
        <f>SUM(G962:G965)</f>
        <v>15.924507999999999</v>
      </c>
      <c r="I962" s="39"/>
      <c r="J962" s="152">
        <v>0</v>
      </c>
      <c r="L962" s="215">
        <v>1.0609999999999999</v>
      </c>
      <c r="M962" s="33">
        <v>11.905248</v>
      </c>
      <c r="N962" s="33">
        <f t="shared" si="89"/>
        <v>12.631468128</v>
      </c>
      <c r="O962" s="38">
        <f>SUM(N962:N965)</f>
        <v>13.631378848000001</v>
      </c>
      <c r="P962" s="36" t="str">
        <f t="shared" si="84"/>
        <v/>
      </c>
      <c r="Q962" s="216">
        <f t="shared" si="85"/>
        <v>0.14399999999999991</v>
      </c>
      <c r="R962" s="216">
        <f t="shared" si="86"/>
        <v>0.14400000000000002</v>
      </c>
      <c r="S962" s="217">
        <f t="shared" si="87"/>
        <v>0.14399999999999991</v>
      </c>
    </row>
    <row r="963" spans="1:19" ht="15.75" hidden="1" thickBot="1" x14ac:dyDescent="0.3">
      <c r="A963" s="262"/>
      <c r="B963" s="260"/>
      <c r="C963" s="35" t="s">
        <v>8220</v>
      </c>
      <c r="D963" s="35" t="s">
        <v>213</v>
      </c>
      <c r="E963" s="36">
        <v>8.0000000000000002E-3</v>
      </c>
      <c r="F963" s="33">
        <v>2.1185</v>
      </c>
      <c r="G963" s="33">
        <f t="shared" si="88"/>
        <v>1.6948000000000001E-2</v>
      </c>
      <c r="H963" s="34"/>
      <c r="I963" s="30"/>
      <c r="J963" s="152">
        <v>0</v>
      </c>
      <c r="L963" s="215">
        <v>8.0000000000000002E-3</v>
      </c>
      <c r="M963" s="33">
        <v>1.813436</v>
      </c>
      <c r="N963" s="33">
        <f t="shared" si="89"/>
        <v>1.4507488000000001E-2</v>
      </c>
      <c r="O963" s="34"/>
      <c r="P963" s="36" t="str">
        <f t="shared" si="84"/>
        <v/>
      </c>
      <c r="Q963" s="216">
        <f t="shared" si="85"/>
        <v>0.14400000000000002</v>
      </c>
      <c r="R963" s="216">
        <f t="shared" si="86"/>
        <v>0.14400000000000002</v>
      </c>
      <c r="S963" s="217" t="str">
        <f t="shared" si="87"/>
        <v/>
      </c>
    </row>
    <row r="964" spans="1:19" ht="26.25" hidden="1" thickBot="1" x14ac:dyDescent="0.3">
      <c r="A964" s="262"/>
      <c r="B964" s="260"/>
      <c r="C964" s="35" t="s">
        <v>824</v>
      </c>
      <c r="D964" s="35" t="s">
        <v>583</v>
      </c>
      <c r="E964" s="36">
        <v>2.4E-2</v>
      </c>
      <c r="F964" s="30">
        <v>21.166</v>
      </c>
      <c r="G964" s="33">
        <f t="shared" si="88"/>
        <v>0.50798399999999999</v>
      </c>
      <c r="H964" s="34"/>
      <c r="I964" s="30"/>
      <c r="J964" s="152">
        <v>0</v>
      </c>
      <c r="L964" s="215">
        <v>2.4E-2</v>
      </c>
      <c r="M964" s="30">
        <v>18.118096000000001</v>
      </c>
      <c r="N964" s="33">
        <f t="shared" si="89"/>
        <v>0.43483430400000006</v>
      </c>
      <c r="O964" s="34"/>
      <c r="P964" s="36" t="str">
        <f t="shared" si="84"/>
        <v/>
      </c>
      <c r="Q964" s="216">
        <f t="shared" si="85"/>
        <v>0.14399999999999991</v>
      </c>
      <c r="R964" s="216">
        <f t="shared" si="86"/>
        <v>0.14399999999999991</v>
      </c>
      <c r="S964" s="217" t="str">
        <f t="shared" si="87"/>
        <v/>
      </c>
    </row>
    <row r="965" spans="1:19" ht="26.25" hidden="1" thickBot="1" x14ac:dyDescent="0.3">
      <c r="A965" s="262"/>
      <c r="B965" s="260"/>
      <c r="C965" s="35" t="s">
        <v>825</v>
      </c>
      <c r="D965" s="35" t="s">
        <v>583</v>
      </c>
      <c r="E965" s="36">
        <v>2.4E-2</v>
      </c>
      <c r="F965" s="30">
        <v>26.799499999999998</v>
      </c>
      <c r="G965" s="33">
        <f t="shared" si="88"/>
        <v>0.64318799999999998</v>
      </c>
      <c r="H965" s="34"/>
      <c r="I965" s="30"/>
      <c r="J965" s="152">
        <v>0</v>
      </c>
      <c r="L965" s="215">
        <v>2.4E-2</v>
      </c>
      <c r="M965" s="30">
        <v>22.940372</v>
      </c>
      <c r="N965" s="33">
        <f t="shared" si="89"/>
        <v>0.55056892800000001</v>
      </c>
      <c r="O965" s="34"/>
      <c r="P965" s="36" t="str">
        <f t="shared" si="84"/>
        <v/>
      </c>
      <c r="Q965" s="216">
        <f t="shared" si="85"/>
        <v>0.14399999999999991</v>
      </c>
      <c r="R965" s="216">
        <f t="shared" si="86"/>
        <v>0.14399999999999991</v>
      </c>
      <c r="S965" s="217" t="str">
        <f t="shared" si="87"/>
        <v/>
      </c>
    </row>
    <row r="966" spans="1:19" ht="15.75" hidden="1" thickBot="1" x14ac:dyDescent="0.3">
      <c r="A966" s="263"/>
      <c r="B966" s="261"/>
      <c r="C966" s="35"/>
      <c r="D966" s="35"/>
      <c r="E966" s="36"/>
      <c r="F966" s="30" t="s">
        <v>416</v>
      </c>
      <c r="G966" s="30" t="str">
        <f t="shared" si="88"/>
        <v/>
      </c>
      <c r="H966" s="34"/>
      <c r="I966" s="30"/>
      <c r="J966" s="152">
        <v>0</v>
      </c>
      <c r="L966" s="215"/>
      <c r="M966" s="30"/>
      <c r="N966" s="30" t="str">
        <f t="shared" si="89"/>
        <v/>
      </c>
      <c r="O966" s="34"/>
      <c r="P966" s="36" t="str">
        <f t="shared" si="84"/>
        <v/>
      </c>
      <c r="Q966" s="216" t="str">
        <f t="shared" si="85"/>
        <v/>
      </c>
      <c r="R966" s="216" t="str">
        <f t="shared" si="86"/>
        <v/>
      </c>
      <c r="S966" s="217" t="str">
        <f t="shared" si="87"/>
        <v/>
      </c>
    </row>
    <row r="967" spans="1:19" ht="15.75" hidden="1" thickBot="1" x14ac:dyDescent="0.3">
      <c r="A967" s="256" t="s">
        <v>241</v>
      </c>
      <c r="B967" s="259" t="str">
        <f>INDEX(Orçamentária!A:B,MATCH(Composições!A967,Orçamentária!A:A,0),2)</f>
        <v>Tubo PVC soldável água fria DN 50 mm</v>
      </c>
      <c r="C967" s="40"/>
      <c r="D967" s="25" t="s">
        <v>69</v>
      </c>
      <c r="E967" s="26"/>
      <c r="F967" s="41" t="s">
        <v>416</v>
      </c>
      <c r="G967" s="27" t="str">
        <f t="shared" si="88"/>
        <v/>
      </c>
      <c r="H967" s="28"/>
      <c r="I967" s="29"/>
      <c r="J967" s="152">
        <v>0</v>
      </c>
      <c r="L967" s="218"/>
      <c r="M967" s="41"/>
      <c r="N967" s="27" t="str">
        <f t="shared" si="89"/>
        <v/>
      </c>
      <c r="O967" s="28"/>
      <c r="P967" s="36" t="str">
        <f t="shared" si="84"/>
        <v/>
      </c>
      <c r="Q967" s="216" t="str">
        <f t="shared" si="85"/>
        <v/>
      </c>
      <c r="R967" s="216" t="str">
        <f t="shared" si="86"/>
        <v/>
      </c>
      <c r="S967" s="217" t="str">
        <f t="shared" si="87"/>
        <v/>
      </c>
    </row>
    <row r="968" spans="1:19" ht="15.75" hidden="1" thickBot="1" x14ac:dyDescent="0.3">
      <c r="A968" s="262"/>
      <c r="B968" s="260"/>
      <c r="C968" s="31"/>
      <c r="D968" s="31"/>
      <c r="E968" s="32"/>
      <c r="F968" s="42" t="s">
        <v>416</v>
      </c>
      <c r="G968" s="30" t="str">
        <f t="shared" si="88"/>
        <v/>
      </c>
      <c r="H968" s="34"/>
      <c r="I968" s="30"/>
      <c r="J968" s="152">
        <v>0</v>
      </c>
      <c r="L968" s="219"/>
      <c r="M968" s="42"/>
      <c r="N968" s="30" t="str">
        <f t="shared" si="89"/>
        <v/>
      </c>
      <c r="O968" s="34"/>
      <c r="P968" s="36" t="str">
        <f t="shared" ref="P968:P1031" si="90">IF(ISBLANK(L968),"",IF($E968&lt;&gt;L968,"SIM",""))</f>
        <v/>
      </c>
      <c r="Q968" s="216" t="str">
        <f t="shared" ref="Q968:Q1031" si="91">IF(M968="","",1-M968/$F968)</f>
        <v/>
      </c>
      <c r="R968" s="216" t="str">
        <f t="shared" ref="R968:R1031" si="92">IF(N968="","",1-N968/$G968)</f>
        <v/>
      </c>
      <c r="S968" s="217" t="str">
        <f t="shared" ref="S968:S1031" si="93">IF(O968="","",1-O968/$H968)</f>
        <v/>
      </c>
    </row>
    <row r="969" spans="1:19" ht="15.75" hidden="1" thickBot="1" x14ac:dyDescent="0.3">
      <c r="A969" s="262"/>
      <c r="B969" s="260"/>
      <c r="C969" s="35" t="s">
        <v>8478</v>
      </c>
      <c r="D969" s="35" t="s">
        <v>385</v>
      </c>
      <c r="E969" s="36">
        <v>1.0609999999999999</v>
      </c>
      <c r="F969" s="33">
        <v>15.256999999999998</v>
      </c>
      <c r="G969" s="33">
        <f t="shared" si="88"/>
        <v>16.187676999999997</v>
      </c>
      <c r="H969" s="38">
        <f>SUM(G969:G972)</f>
        <v>17.599861499999999</v>
      </c>
      <c r="I969" s="39"/>
      <c r="J969" s="152">
        <v>0</v>
      </c>
      <c r="L969" s="215">
        <v>1.0609999999999999</v>
      </c>
      <c r="M969" s="33">
        <v>13.059991999999998</v>
      </c>
      <c r="N969" s="33">
        <f t="shared" si="89"/>
        <v>13.856651511999997</v>
      </c>
      <c r="O969" s="38">
        <f>SUM(N969:N972)</f>
        <v>15.065481443999998</v>
      </c>
      <c r="P969" s="36" t="str">
        <f t="shared" si="90"/>
        <v/>
      </c>
      <c r="Q969" s="216">
        <f t="shared" si="91"/>
        <v>0.14400000000000002</v>
      </c>
      <c r="R969" s="216">
        <f t="shared" si="92"/>
        <v>0.14400000000000002</v>
      </c>
      <c r="S969" s="217">
        <f t="shared" si="93"/>
        <v>0.14400000000000013</v>
      </c>
    </row>
    <row r="970" spans="1:19" ht="15.75" hidden="1" thickBot="1" x14ac:dyDescent="0.3">
      <c r="A970" s="262"/>
      <c r="B970" s="260"/>
      <c r="C970" s="35" t="s">
        <v>8220</v>
      </c>
      <c r="D970" s="35" t="s">
        <v>213</v>
      </c>
      <c r="E970" s="36">
        <v>0.01</v>
      </c>
      <c r="F970" s="33">
        <v>2.1185</v>
      </c>
      <c r="G970" s="33">
        <f t="shared" si="88"/>
        <v>2.1185000000000002E-2</v>
      </c>
      <c r="H970" s="34"/>
      <c r="I970" s="30"/>
      <c r="J970" s="152">
        <v>0</v>
      </c>
      <c r="L970" s="215">
        <v>0.01</v>
      </c>
      <c r="M970" s="33">
        <v>1.813436</v>
      </c>
      <c r="N970" s="33">
        <f t="shared" si="89"/>
        <v>1.8134360000000002E-2</v>
      </c>
      <c r="O970" s="34"/>
      <c r="P970" s="36" t="str">
        <f t="shared" si="90"/>
        <v/>
      </c>
      <c r="Q970" s="216">
        <f t="shared" si="91"/>
        <v>0.14400000000000002</v>
      </c>
      <c r="R970" s="216">
        <f t="shared" si="92"/>
        <v>0.14400000000000002</v>
      </c>
      <c r="S970" s="217" t="str">
        <f t="shared" si="93"/>
        <v/>
      </c>
    </row>
    <row r="971" spans="1:19" ht="26.25" hidden="1" thickBot="1" x14ac:dyDescent="0.3">
      <c r="A971" s="262"/>
      <c r="B971" s="260"/>
      <c r="C971" s="35" t="s">
        <v>824</v>
      </c>
      <c r="D971" s="35" t="s">
        <v>583</v>
      </c>
      <c r="E971" s="36">
        <v>2.9000000000000001E-2</v>
      </c>
      <c r="F971" s="30">
        <v>21.166</v>
      </c>
      <c r="G971" s="33">
        <f t="shared" si="88"/>
        <v>0.61381400000000008</v>
      </c>
      <c r="H971" s="34"/>
      <c r="I971" s="30"/>
      <c r="J971" s="152">
        <v>0</v>
      </c>
      <c r="L971" s="215">
        <v>2.9000000000000001E-2</v>
      </c>
      <c r="M971" s="30">
        <v>18.118096000000001</v>
      </c>
      <c r="N971" s="33">
        <f t="shared" si="89"/>
        <v>0.52542478400000003</v>
      </c>
      <c r="O971" s="34"/>
      <c r="P971" s="36" t="str">
        <f t="shared" si="90"/>
        <v/>
      </c>
      <c r="Q971" s="216">
        <f t="shared" si="91"/>
        <v>0.14399999999999991</v>
      </c>
      <c r="R971" s="216">
        <f t="shared" si="92"/>
        <v>0.14400000000000002</v>
      </c>
      <c r="S971" s="217" t="str">
        <f t="shared" si="93"/>
        <v/>
      </c>
    </row>
    <row r="972" spans="1:19" ht="26.25" hidden="1" thickBot="1" x14ac:dyDescent="0.3">
      <c r="A972" s="262"/>
      <c r="B972" s="260"/>
      <c r="C972" s="35" t="s">
        <v>825</v>
      </c>
      <c r="D972" s="35" t="s">
        <v>583</v>
      </c>
      <c r="E972" s="36">
        <v>2.9000000000000001E-2</v>
      </c>
      <c r="F972" s="30">
        <v>26.799499999999998</v>
      </c>
      <c r="G972" s="33">
        <f t="shared" si="88"/>
        <v>0.77718549999999997</v>
      </c>
      <c r="H972" s="34"/>
      <c r="I972" s="30"/>
      <c r="J972" s="152">
        <v>0</v>
      </c>
      <c r="L972" s="215">
        <v>2.9000000000000001E-2</v>
      </c>
      <c r="M972" s="30">
        <v>22.940372</v>
      </c>
      <c r="N972" s="33">
        <f t="shared" si="89"/>
        <v>0.66527078800000006</v>
      </c>
      <c r="O972" s="34"/>
      <c r="P972" s="36" t="str">
        <f t="shared" si="90"/>
        <v/>
      </c>
      <c r="Q972" s="216">
        <f t="shared" si="91"/>
        <v>0.14399999999999991</v>
      </c>
      <c r="R972" s="216">
        <f t="shared" si="92"/>
        <v>0.14399999999999991</v>
      </c>
      <c r="S972" s="217" t="str">
        <f t="shared" si="93"/>
        <v/>
      </c>
    </row>
    <row r="973" spans="1:19" ht="15.75" hidden="1" thickBot="1" x14ac:dyDescent="0.3">
      <c r="A973" s="263"/>
      <c r="B973" s="261"/>
      <c r="C973" s="35"/>
      <c r="D973" s="35"/>
      <c r="E973" s="36"/>
      <c r="F973" s="30" t="s">
        <v>416</v>
      </c>
      <c r="G973" s="30" t="str">
        <f t="shared" si="88"/>
        <v/>
      </c>
      <c r="H973" s="34"/>
      <c r="I973" s="30"/>
      <c r="J973" s="152">
        <v>0</v>
      </c>
      <c r="L973" s="215"/>
      <c r="M973" s="30"/>
      <c r="N973" s="30" t="str">
        <f t="shared" si="89"/>
        <v/>
      </c>
      <c r="O973" s="34"/>
      <c r="P973" s="36" t="str">
        <f t="shared" si="90"/>
        <v/>
      </c>
      <c r="Q973" s="216" t="str">
        <f t="shared" si="91"/>
        <v/>
      </c>
      <c r="R973" s="216" t="str">
        <f t="shared" si="92"/>
        <v/>
      </c>
      <c r="S973" s="217" t="str">
        <f t="shared" si="93"/>
        <v/>
      </c>
    </row>
    <row r="974" spans="1:19" ht="15.75" hidden="1" thickBot="1" x14ac:dyDescent="0.3">
      <c r="A974" s="256" t="s">
        <v>242</v>
      </c>
      <c r="B974" s="259" t="str">
        <f>INDEX(Orçamentária!A:B,MATCH(Composições!A974,Orçamentária!A:A,0),2)</f>
        <v>Base registro gaveta 3/4"</v>
      </c>
      <c r="C974" s="40"/>
      <c r="D974" s="25" t="s">
        <v>16</v>
      </c>
      <c r="E974" s="26"/>
      <c r="F974" s="41" t="s">
        <v>416</v>
      </c>
      <c r="G974" s="27" t="str">
        <f t="shared" si="88"/>
        <v/>
      </c>
      <c r="H974" s="28"/>
      <c r="I974" s="29"/>
      <c r="J974" s="152">
        <v>0</v>
      </c>
      <c r="L974" s="218"/>
      <c r="M974" s="41"/>
      <c r="N974" s="27" t="str">
        <f t="shared" si="89"/>
        <v/>
      </c>
      <c r="O974" s="28"/>
      <c r="P974" s="36" t="str">
        <f t="shared" si="90"/>
        <v/>
      </c>
      <c r="Q974" s="216" t="str">
        <f t="shared" si="91"/>
        <v/>
      </c>
      <c r="R974" s="216" t="str">
        <f t="shared" si="92"/>
        <v/>
      </c>
      <c r="S974" s="217" t="str">
        <f t="shared" si="93"/>
        <v/>
      </c>
    </row>
    <row r="975" spans="1:19" ht="15.75" hidden="1" thickBot="1" x14ac:dyDescent="0.3">
      <c r="A975" s="262"/>
      <c r="B975" s="260"/>
      <c r="C975" s="31"/>
      <c r="D975" s="31"/>
      <c r="E975" s="32"/>
      <c r="F975" s="42" t="s">
        <v>416</v>
      </c>
      <c r="G975" s="30" t="str">
        <f t="shared" si="88"/>
        <v/>
      </c>
      <c r="H975" s="34"/>
      <c r="I975" s="30"/>
      <c r="J975" s="152">
        <v>0</v>
      </c>
      <c r="L975" s="219"/>
      <c r="M975" s="42"/>
      <c r="N975" s="30" t="str">
        <f t="shared" si="89"/>
        <v/>
      </c>
      <c r="O975" s="34"/>
      <c r="P975" s="36" t="str">
        <f t="shared" si="90"/>
        <v/>
      </c>
      <c r="Q975" s="216" t="str">
        <f t="shared" si="91"/>
        <v/>
      </c>
      <c r="R975" s="216" t="str">
        <f t="shared" si="92"/>
        <v/>
      </c>
      <c r="S975" s="217" t="str">
        <f t="shared" si="93"/>
        <v/>
      </c>
    </row>
    <row r="976" spans="1:19" ht="26.25" hidden="1" thickBot="1" x14ac:dyDescent="0.3">
      <c r="A976" s="262"/>
      <c r="B976" s="260"/>
      <c r="C976" s="35" t="s">
        <v>243</v>
      </c>
      <c r="D976" s="46" t="s">
        <v>107</v>
      </c>
      <c r="E976" s="36">
        <v>1</v>
      </c>
      <c r="F976" s="33" t="s">
        <v>416</v>
      </c>
      <c r="G976" s="33" t="str">
        <f t="shared" si="88"/>
        <v/>
      </c>
      <c r="H976" s="38">
        <f>SUM(G976:G979)</f>
        <v>10.767765499999999</v>
      </c>
      <c r="I976" s="39"/>
      <c r="J976" s="152">
        <v>0</v>
      </c>
      <c r="L976" s="215">
        <v>1</v>
      </c>
      <c r="M976" s="33"/>
      <c r="N976" s="33" t="str">
        <f t="shared" si="89"/>
        <v/>
      </c>
      <c r="O976" s="38">
        <f>SUM(N976:N979)</f>
        <v>9.2172072679999992</v>
      </c>
      <c r="P976" s="36" t="str">
        <f t="shared" si="90"/>
        <v/>
      </c>
      <c r="Q976" s="216" t="str">
        <f t="shared" si="91"/>
        <v/>
      </c>
      <c r="R976" s="216" t="str">
        <f t="shared" si="92"/>
        <v/>
      </c>
      <c r="S976" s="217">
        <f t="shared" si="93"/>
        <v>0.14400000000000002</v>
      </c>
    </row>
    <row r="977" spans="1:19" ht="15.75" hidden="1" thickBot="1" x14ac:dyDescent="0.3">
      <c r="A977" s="262"/>
      <c r="B977" s="260"/>
      <c r="C977" s="35" t="s">
        <v>244</v>
      </c>
      <c r="D977" s="35" t="s">
        <v>213</v>
      </c>
      <c r="E977" s="36">
        <v>1.06E-2</v>
      </c>
      <c r="F977" s="33">
        <v>14.8865</v>
      </c>
      <c r="G977" s="33">
        <f t="shared" si="88"/>
        <v>0.15779689999999999</v>
      </c>
      <c r="H977" s="34"/>
      <c r="I977" s="30"/>
      <c r="J977" s="152">
        <v>0</v>
      </c>
      <c r="L977" s="215">
        <v>1.06E-2</v>
      </c>
      <c r="M977" s="33">
        <v>12.742844</v>
      </c>
      <c r="N977" s="33">
        <f t="shared" si="89"/>
        <v>0.13507414640000001</v>
      </c>
      <c r="O977" s="34"/>
      <c r="P977" s="36" t="str">
        <f t="shared" si="90"/>
        <v/>
      </c>
      <c r="Q977" s="216">
        <f t="shared" si="91"/>
        <v>0.14400000000000002</v>
      </c>
      <c r="R977" s="216">
        <f t="shared" si="92"/>
        <v>0.14399999999999991</v>
      </c>
      <c r="S977" s="217" t="str">
        <f t="shared" si="93"/>
        <v/>
      </c>
    </row>
    <row r="978" spans="1:19" ht="26.25" hidden="1" thickBot="1" x14ac:dyDescent="0.3">
      <c r="A978" s="262"/>
      <c r="B978" s="260"/>
      <c r="C978" s="35" t="s">
        <v>825</v>
      </c>
      <c r="D978" s="35" t="s">
        <v>583</v>
      </c>
      <c r="E978" s="36">
        <v>0.22120000000000001</v>
      </c>
      <c r="F978" s="30">
        <v>26.799499999999998</v>
      </c>
      <c r="G978" s="33">
        <f t="shared" si="88"/>
        <v>5.9280493999999999</v>
      </c>
      <c r="H978" s="34"/>
      <c r="I978" s="30"/>
      <c r="J978" s="152">
        <v>0</v>
      </c>
      <c r="L978" s="215">
        <v>0.22120000000000001</v>
      </c>
      <c r="M978" s="30">
        <v>22.940372</v>
      </c>
      <c r="N978" s="33">
        <f t="shared" si="89"/>
        <v>5.0744102864</v>
      </c>
      <c r="O978" s="34"/>
      <c r="P978" s="36" t="str">
        <f t="shared" si="90"/>
        <v/>
      </c>
      <c r="Q978" s="216">
        <f t="shared" si="91"/>
        <v>0.14399999999999991</v>
      </c>
      <c r="R978" s="216">
        <f t="shared" si="92"/>
        <v>0.14400000000000002</v>
      </c>
      <c r="S978" s="217" t="str">
        <f t="shared" si="93"/>
        <v/>
      </c>
    </row>
    <row r="979" spans="1:19" ht="26.25" hidden="1" thickBot="1" x14ac:dyDescent="0.3">
      <c r="A979" s="262"/>
      <c r="B979" s="260"/>
      <c r="C979" s="35" t="s">
        <v>824</v>
      </c>
      <c r="D979" s="35" t="s">
        <v>583</v>
      </c>
      <c r="E979" s="36">
        <v>0.22120000000000001</v>
      </c>
      <c r="F979" s="30">
        <v>21.166</v>
      </c>
      <c r="G979" s="33">
        <f t="shared" ref="G979:G1042" si="94">IF(ISNUMBER(F979),E979*F979,"")</f>
        <v>4.6819192000000003</v>
      </c>
      <c r="H979" s="34"/>
      <c r="I979" s="30"/>
      <c r="J979" s="152">
        <v>0</v>
      </c>
      <c r="L979" s="215">
        <v>0.22120000000000001</v>
      </c>
      <c r="M979" s="30">
        <v>18.118096000000001</v>
      </c>
      <c r="N979" s="33">
        <f t="shared" ref="N979:N1042" si="95">IF(ISNUMBER(M979),L979*M979,"")</f>
        <v>4.0077228352000001</v>
      </c>
      <c r="O979" s="34"/>
      <c r="P979" s="36" t="str">
        <f t="shared" si="90"/>
        <v/>
      </c>
      <c r="Q979" s="216">
        <f t="shared" si="91"/>
        <v>0.14399999999999991</v>
      </c>
      <c r="R979" s="216">
        <f t="shared" si="92"/>
        <v>0.14400000000000002</v>
      </c>
      <c r="S979" s="217" t="str">
        <f t="shared" si="93"/>
        <v/>
      </c>
    </row>
    <row r="980" spans="1:19" ht="15.75" hidden="1" thickBot="1" x14ac:dyDescent="0.3">
      <c r="A980" s="263"/>
      <c r="B980" s="261"/>
      <c r="C980" s="35"/>
      <c r="D980" s="35"/>
      <c r="E980" s="36"/>
      <c r="F980" s="30" t="s">
        <v>416</v>
      </c>
      <c r="G980" s="30" t="str">
        <f t="shared" si="94"/>
        <v/>
      </c>
      <c r="H980" s="34"/>
      <c r="I980" s="30"/>
      <c r="J980" s="152">
        <v>0</v>
      </c>
      <c r="L980" s="215"/>
      <c r="M980" s="30"/>
      <c r="N980" s="30" t="str">
        <f t="shared" si="95"/>
        <v/>
      </c>
      <c r="O980" s="34"/>
      <c r="P980" s="36" t="str">
        <f t="shared" si="90"/>
        <v/>
      </c>
      <c r="Q980" s="216" t="str">
        <f t="shared" si="91"/>
        <v/>
      </c>
      <c r="R980" s="216" t="str">
        <f t="shared" si="92"/>
        <v/>
      </c>
      <c r="S980" s="217" t="str">
        <f t="shared" si="93"/>
        <v/>
      </c>
    </row>
    <row r="981" spans="1:19" ht="15.75" hidden="1" thickBot="1" x14ac:dyDescent="0.3">
      <c r="A981" s="256" t="s">
        <v>245</v>
      </c>
      <c r="B981" s="259" t="str">
        <f>INDEX(Orçamentária!A:B,MATCH(Composições!A981,Orçamentária!A:A,0),2)</f>
        <v>Caixa sifonada de PVC DN 150 mm</v>
      </c>
      <c r="C981" s="40"/>
      <c r="D981" s="25" t="s">
        <v>16</v>
      </c>
      <c r="E981" s="26"/>
      <c r="F981" s="41" t="s">
        <v>416</v>
      </c>
      <c r="G981" s="27" t="str">
        <f t="shared" si="94"/>
        <v/>
      </c>
      <c r="H981" s="28"/>
      <c r="I981" s="29"/>
      <c r="J981" s="152">
        <v>0</v>
      </c>
      <c r="L981" s="218"/>
      <c r="M981" s="41"/>
      <c r="N981" s="27" t="str">
        <f t="shared" si="95"/>
        <v/>
      </c>
      <c r="O981" s="28"/>
      <c r="P981" s="36" t="str">
        <f t="shared" si="90"/>
        <v/>
      </c>
      <c r="Q981" s="216" t="str">
        <f t="shared" si="91"/>
        <v/>
      </c>
      <c r="R981" s="216" t="str">
        <f t="shared" si="92"/>
        <v/>
      </c>
      <c r="S981" s="217" t="str">
        <f t="shared" si="93"/>
        <v/>
      </c>
    </row>
    <row r="982" spans="1:19" ht="15.75" hidden="1" thickBot="1" x14ac:dyDescent="0.3">
      <c r="A982" s="262"/>
      <c r="B982" s="260"/>
      <c r="C982" s="31"/>
      <c r="D982" s="31"/>
      <c r="E982" s="32"/>
      <c r="F982" s="42" t="s">
        <v>416</v>
      </c>
      <c r="G982" s="30" t="str">
        <f t="shared" si="94"/>
        <v/>
      </c>
      <c r="H982" s="34"/>
      <c r="I982" s="30"/>
      <c r="J982" s="152">
        <v>0</v>
      </c>
      <c r="L982" s="219"/>
      <c r="M982" s="42"/>
      <c r="N982" s="30" t="str">
        <f t="shared" si="95"/>
        <v/>
      </c>
      <c r="O982" s="34"/>
      <c r="P982" s="36" t="str">
        <f t="shared" si="90"/>
        <v/>
      </c>
      <c r="Q982" s="216" t="str">
        <f t="shared" si="91"/>
        <v/>
      </c>
      <c r="R982" s="216" t="str">
        <f t="shared" si="92"/>
        <v/>
      </c>
      <c r="S982" s="217" t="str">
        <f t="shared" si="93"/>
        <v/>
      </c>
    </row>
    <row r="983" spans="1:19" ht="26.25" hidden="1" thickBot="1" x14ac:dyDescent="0.3">
      <c r="A983" s="262"/>
      <c r="B983" s="260"/>
      <c r="C983" s="35" t="s">
        <v>824</v>
      </c>
      <c r="D983" s="35" t="s">
        <v>583</v>
      </c>
      <c r="E983" s="36">
        <v>0.38</v>
      </c>
      <c r="F983" s="30">
        <v>21.166</v>
      </c>
      <c r="G983" s="33">
        <f t="shared" si="94"/>
        <v>8.0430799999999998</v>
      </c>
      <c r="H983" s="38">
        <f>SUM(G983:G990)</f>
        <v>109.89886235</v>
      </c>
      <c r="I983" s="39"/>
      <c r="J983" s="152">
        <v>0</v>
      </c>
      <c r="L983" s="215">
        <v>0.38</v>
      </c>
      <c r="M983" s="30">
        <v>18.118096000000001</v>
      </c>
      <c r="N983" s="33">
        <f t="shared" si="95"/>
        <v>6.8848764800000009</v>
      </c>
      <c r="O983" s="38">
        <f>SUM(N983:N990)</f>
        <v>94.073426171600019</v>
      </c>
      <c r="P983" s="36" t="str">
        <f t="shared" si="90"/>
        <v/>
      </c>
      <c r="Q983" s="216">
        <f t="shared" si="91"/>
        <v>0.14399999999999991</v>
      </c>
      <c r="R983" s="216">
        <f t="shared" si="92"/>
        <v>0.14399999999999991</v>
      </c>
      <c r="S983" s="217">
        <f t="shared" si="93"/>
        <v>0.14399999999999979</v>
      </c>
    </row>
    <row r="984" spans="1:19" ht="26.25" hidden="1" thickBot="1" x14ac:dyDescent="0.3">
      <c r="A984" s="262"/>
      <c r="B984" s="260"/>
      <c r="C984" s="35" t="s">
        <v>825</v>
      </c>
      <c r="D984" s="35" t="s">
        <v>583</v>
      </c>
      <c r="E984" s="36">
        <v>0.38</v>
      </c>
      <c r="F984" s="30">
        <v>26.799499999999998</v>
      </c>
      <c r="G984" s="33">
        <f t="shared" si="94"/>
        <v>10.183809999999999</v>
      </c>
      <c r="H984" s="34"/>
      <c r="I984" s="30"/>
      <c r="J984" s="152">
        <v>0</v>
      </c>
      <c r="L984" s="215">
        <v>0.38</v>
      </c>
      <c r="M984" s="30">
        <v>22.940372</v>
      </c>
      <c r="N984" s="33">
        <f t="shared" si="95"/>
        <v>8.7173413600000007</v>
      </c>
      <c r="O984" s="34"/>
      <c r="P984" s="36" t="str">
        <f t="shared" si="90"/>
        <v/>
      </c>
      <c r="Q984" s="216">
        <f t="shared" si="91"/>
        <v>0.14399999999999991</v>
      </c>
      <c r="R984" s="216">
        <f t="shared" si="92"/>
        <v>0.14399999999999991</v>
      </c>
      <c r="S984" s="217" t="str">
        <f t="shared" si="93"/>
        <v/>
      </c>
    </row>
    <row r="985" spans="1:19" ht="15.75" hidden="1" thickBot="1" x14ac:dyDescent="0.3">
      <c r="A985" s="262"/>
      <c r="B985" s="260"/>
      <c r="C985" s="35" t="s">
        <v>7975</v>
      </c>
      <c r="D985" s="35" t="s">
        <v>213</v>
      </c>
      <c r="E985" s="36">
        <v>1.4800000000000001E-2</v>
      </c>
      <c r="F985" s="33">
        <v>66.36699999999999</v>
      </c>
      <c r="G985" s="33">
        <f t="shared" si="94"/>
        <v>0.98223159999999987</v>
      </c>
      <c r="H985" s="34"/>
      <c r="I985" s="30"/>
      <c r="J985" s="152">
        <v>0</v>
      </c>
      <c r="L985" s="215">
        <v>1.4800000000000001E-2</v>
      </c>
      <c r="M985" s="33">
        <v>56.810151999999988</v>
      </c>
      <c r="N985" s="33">
        <f t="shared" si="95"/>
        <v>0.84079024959999982</v>
      </c>
      <c r="O985" s="34"/>
      <c r="P985" s="36" t="str">
        <f t="shared" si="90"/>
        <v/>
      </c>
      <c r="Q985" s="216">
        <f t="shared" si="91"/>
        <v>0.14400000000000002</v>
      </c>
      <c r="R985" s="216">
        <f t="shared" si="92"/>
        <v>0.14400000000000013</v>
      </c>
      <c r="S985" s="217" t="str">
        <f t="shared" si="93"/>
        <v/>
      </c>
    </row>
    <row r="986" spans="1:19" ht="26.25" hidden="1" thickBot="1" x14ac:dyDescent="0.3">
      <c r="A986" s="262"/>
      <c r="B986" s="260"/>
      <c r="C986" s="35" t="s">
        <v>7981</v>
      </c>
      <c r="D986" s="35" t="s">
        <v>213</v>
      </c>
      <c r="E986" s="36">
        <v>1</v>
      </c>
      <c r="F986" s="33">
        <v>2.3654999999999999</v>
      </c>
      <c r="G986" s="33">
        <f t="shared" si="94"/>
        <v>2.3654999999999999</v>
      </c>
      <c r="H986" s="34"/>
      <c r="I986" s="30"/>
      <c r="J986" s="152">
        <v>0</v>
      </c>
      <c r="L986" s="215">
        <v>1</v>
      </c>
      <c r="M986" s="33">
        <v>2.0248680000000001</v>
      </c>
      <c r="N986" s="33">
        <f t="shared" si="95"/>
        <v>2.0248680000000001</v>
      </c>
      <c r="O986" s="34"/>
      <c r="P986" s="36" t="str">
        <f t="shared" si="90"/>
        <v/>
      </c>
      <c r="Q986" s="216">
        <f t="shared" si="91"/>
        <v>0.14399999999999991</v>
      </c>
      <c r="R986" s="216">
        <f t="shared" si="92"/>
        <v>0.14399999999999991</v>
      </c>
      <c r="S986" s="217" t="str">
        <f t="shared" si="93"/>
        <v/>
      </c>
    </row>
    <row r="987" spans="1:19" ht="15.75" hidden="1" thickBot="1" x14ac:dyDescent="0.3">
      <c r="A987" s="262"/>
      <c r="B987" s="260"/>
      <c r="C987" s="35" t="s">
        <v>8220</v>
      </c>
      <c r="D987" s="35" t="s">
        <v>213</v>
      </c>
      <c r="E987" s="36">
        <v>5.7000000000000002E-2</v>
      </c>
      <c r="F987" s="33">
        <v>2.1185</v>
      </c>
      <c r="G987" s="33">
        <f t="shared" si="94"/>
        <v>0.1207545</v>
      </c>
      <c r="H987" s="34"/>
      <c r="I987" s="30"/>
      <c r="J987" s="152">
        <v>0</v>
      </c>
      <c r="L987" s="215">
        <v>5.7000000000000002E-2</v>
      </c>
      <c r="M987" s="33">
        <v>1.813436</v>
      </c>
      <c r="N987" s="33">
        <f t="shared" si="95"/>
        <v>0.10336585200000001</v>
      </c>
      <c r="O987" s="34"/>
      <c r="P987" s="36" t="str">
        <f t="shared" si="90"/>
        <v/>
      </c>
      <c r="Q987" s="216">
        <f t="shared" si="91"/>
        <v>0.14400000000000002</v>
      </c>
      <c r="R987" s="216">
        <f t="shared" si="92"/>
        <v>0.14399999999999991</v>
      </c>
      <c r="S987" s="217" t="str">
        <f t="shared" si="93"/>
        <v/>
      </c>
    </row>
    <row r="988" spans="1:19" ht="26.25" hidden="1" thickBot="1" x14ac:dyDescent="0.3">
      <c r="A988" s="262"/>
      <c r="B988" s="260"/>
      <c r="C988" s="35" t="s">
        <v>8038</v>
      </c>
      <c r="D988" s="35" t="s">
        <v>213</v>
      </c>
      <c r="E988" s="36">
        <v>1</v>
      </c>
      <c r="F988" s="33">
        <v>85.69</v>
      </c>
      <c r="G988" s="33">
        <f t="shared" si="94"/>
        <v>85.69</v>
      </c>
      <c r="H988" s="34"/>
      <c r="I988" s="30"/>
      <c r="J988" s="152">
        <v>0</v>
      </c>
      <c r="L988" s="215">
        <v>1</v>
      </c>
      <c r="M988" s="33">
        <v>73.350639999999999</v>
      </c>
      <c r="N988" s="33">
        <f t="shared" si="95"/>
        <v>73.350639999999999</v>
      </c>
      <c r="O988" s="34"/>
      <c r="P988" s="36" t="str">
        <f t="shared" si="90"/>
        <v/>
      </c>
      <c r="Q988" s="216">
        <f t="shared" si="91"/>
        <v>0.14400000000000002</v>
      </c>
      <c r="R988" s="216">
        <f t="shared" si="92"/>
        <v>0.14400000000000002</v>
      </c>
      <c r="S988" s="217" t="str">
        <f t="shared" si="93"/>
        <v/>
      </c>
    </row>
    <row r="989" spans="1:19" ht="39" hidden="1" thickBot="1" x14ac:dyDescent="0.3">
      <c r="A989" s="262"/>
      <c r="B989" s="260"/>
      <c r="C989" s="35" t="s">
        <v>8310</v>
      </c>
      <c r="D989" s="35" t="s">
        <v>213</v>
      </c>
      <c r="E989" s="36">
        <v>0.03</v>
      </c>
      <c r="F989" s="33">
        <v>27.388499999999997</v>
      </c>
      <c r="G989" s="33">
        <f t="shared" si="94"/>
        <v>0.82165499999999991</v>
      </c>
      <c r="H989" s="34"/>
      <c r="I989" s="30"/>
      <c r="J989" s="152">
        <v>0</v>
      </c>
      <c r="L989" s="215">
        <v>0.03</v>
      </c>
      <c r="M989" s="33">
        <v>23.444555999999999</v>
      </c>
      <c r="N989" s="33">
        <f t="shared" si="95"/>
        <v>0.70333667999999994</v>
      </c>
      <c r="O989" s="34"/>
      <c r="P989" s="36" t="str">
        <f t="shared" si="90"/>
        <v/>
      </c>
      <c r="Q989" s="216">
        <f t="shared" si="91"/>
        <v>0.14399999999999991</v>
      </c>
      <c r="R989" s="216">
        <f t="shared" si="92"/>
        <v>0.14400000000000002</v>
      </c>
      <c r="S989" s="217" t="str">
        <f t="shared" si="93"/>
        <v/>
      </c>
    </row>
    <row r="990" spans="1:19" ht="26.25" hidden="1" thickBot="1" x14ac:dyDescent="0.3">
      <c r="A990" s="262"/>
      <c r="B990" s="260"/>
      <c r="C990" s="35" t="s">
        <v>8375</v>
      </c>
      <c r="D990" s="35" t="s">
        <v>213</v>
      </c>
      <c r="E990" s="36">
        <v>2.2499999999999999E-2</v>
      </c>
      <c r="F990" s="33">
        <v>75.192499999999995</v>
      </c>
      <c r="G990" s="33">
        <f t="shared" si="94"/>
        <v>1.6918312499999999</v>
      </c>
      <c r="H990" s="34"/>
      <c r="I990" s="30"/>
      <c r="J990" s="152">
        <v>0</v>
      </c>
      <c r="L990" s="215">
        <v>2.2499999999999999E-2</v>
      </c>
      <c r="M990" s="33">
        <v>64.364779999999996</v>
      </c>
      <c r="N990" s="33">
        <f t="shared" si="95"/>
        <v>1.4482075499999998</v>
      </c>
      <c r="O990" s="34"/>
      <c r="P990" s="36" t="str">
        <f t="shared" si="90"/>
        <v/>
      </c>
      <c r="Q990" s="216">
        <f t="shared" si="91"/>
        <v>0.14400000000000002</v>
      </c>
      <c r="R990" s="216">
        <f t="shared" si="92"/>
        <v>0.14400000000000013</v>
      </c>
      <c r="S990" s="217" t="str">
        <f t="shared" si="93"/>
        <v/>
      </c>
    </row>
    <row r="991" spans="1:19" ht="15.75" hidden="1" thickBot="1" x14ac:dyDescent="0.3">
      <c r="A991" s="263"/>
      <c r="B991" s="261"/>
      <c r="C991" s="35"/>
      <c r="D991" s="35"/>
      <c r="E991" s="36"/>
      <c r="F991" s="30" t="s">
        <v>416</v>
      </c>
      <c r="G991" s="30" t="str">
        <f t="shared" si="94"/>
        <v/>
      </c>
      <c r="H991" s="34"/>
      <c r="I991" s="30"/>
      <c r="J991" s="152">
        <v>0</v>
      </c>
      <c r="L991" s="215"/>
      <c r="M991" s="30"/>
      <c r="N991" s="30" t="str">
        <f t="shared" si="95"/>
        <v/>
      </c>
      <c r="O991" s="34"/>
      <c r="P991" s="36" t="str">
        <f t="shared" si="90"/>
        <v/>
      </c>
      <c r="Q991" s="216" t="str">
        <f t="shared" si="91"/>
        <v/>
      </c>
      <c r="R991" s="216" t="str">
        <f t="shared" si="92"/>
        <v/>
      </c>
      <c r="S991" s="217" t="str">
        <f t="shared" si="93"/>
        <v/>
      </c>
    </row>
    <row r="992" spans="1:19" ht="15.75" hidden="1" thickBot="1" x14ac:dyDescent="0.3">
      <c r="A992" s="256" t="s">
        <v>246</v>
      </c>
      <c r="B992" s="259" t="str">
        <f>INDEX(Orçamentária!A:B,MATCH(Composições!A992,Orçamentária!A:A,0),2)</f>
        <v>Caixa sifonada de PVC DN 250 mm</v>
      </c>
      <c r="C992" s="40"/>
      <c r="D992" s="25" t="s">
        <v>16</v>
      </c>
      <c r="E992" s="26"/>
      <c r="F992" s="41" t="s">
        <v>416</v>
      </c>
      <c r="G992" s="27" t="str">
        <f t="shared" si="94"/>
        <v/>
      </c>
      <c r="H992" s="28"/>
      <c r="I992" s="29"/>
      <c r="J992" s="152">
        <v>0</v>
      </c>
      <c r="L992" s="218"/>
      <c r="M992" s="41"/>
      <c r="N992" s="27" t="str">
        <f t="shared" si="95"/>
        <v/>
      </c>
      <c r="O992" s="28"/>
      <c r="P992" s="36" t="str">
        <f t="shared" si="90"/>
        <v/>
      </c>
      <c r="Q992" s="216" t="str">
        <f t="shared" si="91"/>
        <v/>
      </c>
      <c r="R992" s="216" t="str">
        <f t="shared" si="92"/>
        <v/>
      </c>
      <c r="S992" s="217" t="str">
        <f t="shared" si="93"/>
        <v/>
      </c>
    </row>
    <row r="993" spans="1:19" ht="15.75" hidden="1" thickBot="1" x14ac:dyDescent="0.3">
      <c r="A993" s="262"/>
      <c r="B993" s="260"/>
      <c r="C993" s="31"/>
      <c r="D993" s="31"/>
      <c r="E993" s="32"/>
      <c r="F993" s="42" t="s">
        <v>416</v>
      </c>
      <c r="G993" s="30" t="str">
        <f t="shared" si="94"/>
        <v/>
      </c>
      <c r="H993" s="34"/>
      <c r="I993" s="30"/>
      <c r="J993" s="152">
        <v>0</v>
      </c>
      <c r="L993" s="219"/>
      <c r="M993" s="42"/>
      <c r="N993" s="30" t="str">
        <f t="shared" si="95"/>
        <v/>
      </c>
      <c r="O993" s="34"/>
      <c r="P993" s="36" t="str">
        <f t="shared" si="90"/>
        <v/>
      </c>
      <c r="Q993" s="216" t="str">
        <f t="shared" si="91"/>
        <v/>
      </c>
      <c r="R993" s="216" t="str">
        <f t="shared" si="92"/>
        <v/>
      </c>
      <c r="S993" s="217" t="str">
        <f t="shared" si="93"/>
        <v/>
      </c>
    </row>
    <row r="994" spans="1:19" ht="26.25" hidden="1" thickBot="1" x14ac:dyDescent="0.3">
      <c r="A994" s="262"/>
      <c r="B994" s="260"/>
      <c r="C994" s="35" t="s">
        <v>824</v>
      </c>
      <c r="D994" s="35" t="s">
        <v>583</v>
      </c>
      <c r="E994" s="36">
        <v>0.38</v>
      </c>
      <c r="F994" s="30">
        <v>21.166</v>
      </c>
      <c r="G994" s="30">
        <f t="shared" si="94"/>
        <v>8.0430799999999998</v>
      </c>
      <c r="H994" s="38">
        <f>SUM(G994:G1001)</f>
        <v>149.98886235000001</v>
      </c>
      <c r="I994" s="39"/>
      <c r="J994" s="152">
        <v>0</v>
      </c>
      <c r="L994" s="215">
        <v>0.38</v>
      </c>
      <c r="M994" s="30">
        <v>18.118096000000001</v>
      </c>
      <c r="N994" s="30">
        <f t="shared" si="95"/>
        <v>6.8848764800000009</v>
      </c>
      <c r="O994" s="38">
        <f>SUM(N994:N1001)</f>
        <v>128.39046617160002</v>
      </c>
      <c r="P994" s="36" t="str">
        <f t="shared" si="90"/>
        <v/>
      </c>
      <c r="Q994" s="216">
        <f t="shared" si="91"/>
        <v>0.14399999999999991</v>
      </c>
      <c r="R994" s="216">
        <f t="shared" si="92"/>
        <v>0.14399999999999991</v>
      </c>
      <c r="S994" s="217">
        <f t="shared" si="93"/>
        <v>0.14399999999999991</v>
      </c>
    </row>
    <row r="995" spans="1:19" ht="26.25" hidden="1" thickBot="1" x14ac:dyDescent="0.3">
      <c r="A995" s="262"/>
      <c r="B995" s="260"/>
      <c r="C995" s="35" t="s">
        <v>825</v>
      </c>
      <c r="D995" s="35" t="s">
        <v>583</v>
      </c>
      <c r="E995" s="36">
        <v>0.38</v>
      </c>
      <c r="F995" s="30">
        <v>26.799499999999998</v>
      </c>
      <c r="G995" s="30">
        <f t="shared" si="94"/>
        <v>10.183809999999999</v>
      </c>
      <c r="H995" s="34"/>
      <c r="I995" s="30"/>
      <c r="J995" s="152">
        <v>0</v>
      </c>
      <c r="L995" s="215">
        <v>0.38</v>
      </c>
      <c r="M995" s="30">
        <v>22.940372</v>
      </c>
      <c r="N995" s="30">
        <f t="shared" si="95"/>
        <v>8.7173413600000007</v>
      </c>
      <c r="O995" s="34"/>
      <c r="P995" s="36" t="str">
        <f t="shared" si="90"/>
        <v/>
      </c>
      <c r="Q995" s="216">
        <f t="shared" si="91"/>
        <v>0.14399999999999991</v>
      </c>
      <c r="R995" s="216">
        <f t="shared" si="92"/>
        <v>0.14399999999999991</v>
      </c>
      <c r="S995" s="217" t="str">
        <f t="shared" si="93"/>
        <v/>
      </c>
    </row>
    <row r="996" spans="1:19" ht="15.75" hidden="1" thickBot="1" x14ac:dyDescent="0.3">
      <c r="A996" s="262"/>
      <c r="B996" s="260"/>
      <c r="C996" s="35" t="s">
        <v>7975</v>
      </c>
      <c r="D996" s="35" t="s">
        <v>213</v>
      </c>
      <c r="E996" s="36">
        <v>1.4800000000000001E-2</v>
      </c>
      <c r="F996" s="33">
        <v>66.36699999999999</v>
      </c>
      <c r="G996" s="30">
        <f t="shared" si="94"/>
        <v>0.98223159999999987</v>
      </c>
      <c r="H996" s="34"/>
      <c r="I996" s="30"/>
      <c r="J996" s="152">
        <v>0</v>
      </c>
      <c r="L996" s="215">
        <v>1.4800000000000001E-2</v>
      </c>
      <c r="M996" s="33">
        <v>56.810151999999988</v>
      </c>
      <c r="N996" s="30">
        <f t="shared" si="95"/>
        <v>0.84079024959999982</v>
      </c>
      <c r="O996" s="34"/>
      <c r="P996" s="36" t="str">
        <f t="shared" si="90"/>
        <v/>
      </c>
      <c r="Q996" s="216">
        <f t="shared" si="91"/>
        <v>0.14400000000000002</v>
      </c>
      <c r="R996" s="216">
        <f t="shared" si="92"/>
        <v>0.14400000000000013</v>
      </c>
      <c r="S996" s="217" t="str">
        <f t="shared" si="93"/>
        <v/>
      </c>
    </row>
    <row r="997" spans="1:19" ht="26.25" hidden="1" thickBot="1" x14ac:dyDescent="0.3">
      <c r="A997" s="262"/>
      <c r="B997" s="260"/>
      <c r="C997" s="35" t="s">
        <v>7981</v>
      </c>
      <c r="D997" s="35" t="s">
        <v>213</v>
      </c>
      <c r="E997" s="36">
        <v>1</v>
      </c>
      <c r="F997" s="33">
        <v>2.3654999999999999</v>
      </c>
      <c r="G997" s="30">
        <f t="shared" si="94"/>
        <v>2.3654999999999999</v>
      </c>
      <c r="H997" s="34"/>
      <c r="I997" s="30"/>
      <c r="J997" s="152">
        <v>0</v>
      </c>
      <c r="L997" s="215">
        <v>1</v>
      </c>
      <c r="M997" s="33">
        <v>2.0248680000000001</v>
      </c>
      <c r="N997" s="30">
        <f t="shared" si="95"/>
        <v>2.0248680000000001</v>
      </c>
      <c r="O997" s="34"/>
      <c r="P997" s="36" t="str">
        <f t="shared" si="90"/>
        <v/>
      </c>
      <c r="Q997" s="216">
        <f t="shared" si="91"/>
        <v>0.14399999999999991</v>
      </c>
      <c r="R997" s="216">
        <f t="shared" si="92"/>
        <v>0.14399999999999991</v>
      </c>
      <c r="S997" s="217" t="str">
        <f t="shared" si="93"/>
        <v/>
      </c>
    </row>
    <row r="998" spans="1:19" ht="15.75" hidden="1" thickBot="1" x14ac:dyDescent="0.3">
      <c r="A998" s="262"/>
      <c r="B998" s="260"/>
      <c r="C998" s="35" t="s">
        <v>8220</v>
      </c>
      <c r="D998" s="35" t="s">
        <v>213</v>
      </c>
      <c r="E998" s="36">
        <v>5.7000000000000002E-2</v>
      </c>
      <c r="F998" s="33">
        <v>2.1185</v>
      </c>
      <c r="G998" s="30">
        <f t="shared" si="94"/>
        <v>0.1207545</v>
      </c>
      <c r="H998" s="34"/>
      <c r="I998" s="30"/>
      <c r="J998" s="152">
        <v>0</v>
      </c>
      <c r="L998" s="215">
        <v>5.7000000000000002E-2</v>
      </c>
      <c r="M998" s="33">
        <v>1.813436</v>
      </c>
      <c r="N998" s="30">
        <f t="shared" si="95"/>
        <v>0.10336585200000001</v>
      </c>
      <c r="O998" s="34"/>
      <c r="P998" s="36" t="str">
        <f t="shared" si="90"/>
        <v/>
      </c>
      <c r="Q998" s="216">
        <f t="shared" si="91"/>
        <v>0.14400000000000002</v>
      </c>
      <c r="R998" s="216">
        <f t="shared" si="92"/>
        <v>0.14399999999999991</v>
      </c>
      <c r="S998" s="217" t="str">
        <f t="shared" si="93"/>
        <v/>
      </c>
    </row>
    <row r="999" spans="1:19" ht="26.25" hidden="1" thickBot="1" x14ac:dyDescent="0.3">
      <c r="A999" s="262"/>
      <c r="B999" s="260"/>
      <c r="C999" s="35" t="s">
        <v>8037</v>
      </c>
      <c r="D999" s="35" t="s">
        <v>213</v>
      </c>
      <c r="E999" s="36">
        <v>1</v>
      </c>
      <c r="F999" s="33">
        <v>125.78</v>
      </c>
      <c r="G999" s="30">
        <f t="shared" si="94"/>
        <v>125.78</v>
      </c>
      <c r="H999" s="34"/>
      <c r="I999" s="30"/>
      <c r="J999" s="152">
        <v>0</v>
      </c>
      <c r="L999" s="215">
        <v>1</v>
      </c>
      <c r="M999" s="33">
        <v>107.66768</v>
      </c>
      <c r="N999" s="30">
        <f t="shared" si="95"/>
        <v>107.66768</v>
      </c>
      <c r="O999" s="34"/>
      <c r="P999" s="36" t="str">
        <f t="shared" si="90"/>
        <v/>
      </c>
      <c r="Q999" s="216">
        <f t="shared" si="91"/>
        <v>0.14400000000000002</v>
      </c>
      <c r="R999" s="216">
        <f t="shared" si="92"/>
        <v>0.14400000000000002</v>
      </c>
      <c r="S999" s="217" t="str">
        <f t="shared" si="93"/>
        <v/>
      </c>
    </row>
    <row r="1000" spans="1:19" ht="39" hidden="1" thickBot="1" x14ac:dyDescent="0.3">
      <c r="A1000" s="262"/>
      <c r="B1000" s="260"/>
      <c r="C1000" s="35" t="s">
        <v>8310</v>
      </c>
      <c r="D1000" s="35" t="s">
        <v>213</v>
      </c>
      <c r="E1000" s="36">
        <v>0.03</v>
      </c>
      <c r="F1000" s="33">
        <v>27.388499999999997</v>
      </c>
      <c r="G1000" s="30">
        <f t="shared" si="94"/>
        <v>0.82165499999999991</v>
      </c>
      <c r="H1000" s="34"/>
      <c r="I1000" s="30"/>
      <c r="J1000" s="152">
        <v>0</v>
      </c>
      <c r="L1000" s="215">
        <v>0.03</v>
      </c>
      <c r="M1000" s="33">
        <v>23.444555999999999</v>
      </c>
      <c r="N1000" s="30">
        <f t="shared" si="95"/>
        <v>0.70333667999999994</v>
      </c>
      <c r="O1000" s="34"/>
      <c r="P1000" s="36" t="str">
        <f t="shared" si="90"/>
        <v/>
      </c>
      <c r="Q1000" s="216">
        <f t="shared" si="91"/>
        <v>0.14399999999999991</v>
      </c>
      <c r="R1000" s="216">
        <f t="shared" si="92"/>
        <v>0.14400000000000002</v>
      </c>
      <c r="S1000" s="217" t="str">
        <f t="shared" si="93"/>
        <v/>
      </c>
    </row>
    <row r="1001" spans="1:19" ht="26.25" hidden="1" thickBot="1" x14ac:dyDescent="0.3">
      <c r="A1001" s="262"/>
      <c r="B1001" s="260"/>
      <c r="C1001" s="35" t="s">
        <v>8375</v>
      </c>
      <c r="D1001" s="35" t="s">
        <v>213</v>
      </c>
      <c r="E1001" s="36">
        <v>2.2499999999999999E-2</v>
      </c>
      <c r="F1001" s="33">
        <v>75.192499999999995</v>
      </c>
      <c r="G1001" s="30">
        <f t="shared" si="94"/>
        <v>1.6918312499999999</v>
      </c>
      <c r="H1001" s="34"/>
      <c r="I1001" s="30"/>
      <c r="J1001" s="152">
        <v>0</v>
      </c>
      <c r="L1001" s="215">
        <v>2.2499999999999999E-2</v>
      </c>
      <c r="M1001" s="33">
        <v>64.364779999999996</v>
      </c>
      <c r="N1001" s="30">
        <f t="shared" si="95"/>
        <v>1.4482075499999998</v>
      </c>
      <c r="O1001" s="34"/>
      <c r="P1001" s="36" t="str">
        <f t="shared" si="90"/>
        <v/>
      </c>
      <c r="Q1001" s="216">
        <f t="shared" si="91"/>
        <v>0.14400000000000002</v>
      </c>
      <c r="R1001" s="216">
        <f t="shared" si="92"/>
        <v>0.14400000000000013</v>
      </c>
      <c r="S1001" s="217" t="str">
        <f t="shared" si="93"/>
        <v/>
      </c>
    </row>
    <row r="1002" spans="1:19" ht="15.75" hidden="1" thickBot="1" x14ac:dyDescent="0.3">
      <c r="A1002" s="263"/>
      <c r="B1002" s="261"/>
      <c r="C1002" s="35"/>
      <c r="D1002" s="35"/>
      <c r="E1002" s="36"/>
      <c r="F1002" s="30" t="s">
        <v>416</v>
      </c>
      <c r="G1002" s="30" t="str">
        <f t="shared" si="94"/>
        <v/>
      </c>
      <c r="H1002" s="34"/>
      <c r="I1002" s="30"/>
      <c r="J1002" s="152">
        <v>0</v>
      </c>
      <c r="L1002" s="215"/>
      <c r="M1002" s="30"/>
      <c r="N1002" s="30" t="str">
        <f t="shared" si="95"/>
        <v/>
      </c>
      <c r="O1002" s="34"/>
      <c r="P1002" s="36" t="str">
        <f t="shared" si="90"/>
        <v/>
      </c>
      <c r="Q1002" s="216" t="str">
        <f t="shared" si="91"/>
        <v/>
      </c>
      <c r="R1002" s="216" t="str">
        <f t="shared" si="92"/>
        <v/>
      </c>
      <c r="S1002" s="217" t="str">
        <f t="shared" si="93"/>
        <v/>
      </c>
    </row>
    <row r="1003" spans="1:19" ht="15.75" hidden="1" thickBot="1" x14ac:dyDescent="0.3">
      <c r="A1003" s="256" t="s">
        <v>247</v>
      </c>
      <c r="B1003" s="259" t="str">
        <f>INDEX(Orçamentária!A:B,MATCH(Composições!A1003,Orçamentária!A:A,0),2)</f>
        <v>Grelha quadrada para ralo 10 x 10 cm</v>
      </c>
      <c r="C1003" s="40"/>
      <c r="D1003" s="25" t="s">
        <v>16</v>
      </c>
      <c r="E1003" s="26"/>
      <c r="F1003" s="41" t="s">
        <v>416</v>
      </c>
      <c r="G1003" s="27" t="str">
        <f t="shared" si="94"/>
        <v/>
      </c>
      <c r="H1003" s="28"/>
      <c r="I1003" s="29"/>
      <c r="J1003" s="152">
        <v>0</v>
      </c>
      <c r="L1003" s="218"/>
      <c r="M1003" s="41"/>
      <c r="N1003" s="27" t="str">
        <f t="shared" si="95"/>
        <v/>
      </c>
      <c r="O1003" s="28"/>
      <c r="P1003" s="36" t="str">
        <f t="shared" si="90"/>
        <v/>
      </c>
      <c r="Q1003" s="216" t="str">
        <f t="shared" si="91"/>
        <v/>
      </c>
      <c r="R1003" s="216" t="str">
        <f t="shared" si="92"/>
        <v/>
      </c>
      <c r="S1003" s="217" t="str">
        <f t="shared" si="93"/>
        <v/>
      </c>
    </row>
    <row r="1004" spans="1:19" ht="15.75" hidden="1" thickBot="1" x14ac:dyDescent="0.3">
      <c r="A1004" s="262"/>
      <c r="B1004" s="260"/>
      <c r="C1004" s="31"/>
      <c r="D1004" s="31"/>
      <c r="E1004" s="32"/>
      <c r="F1004" s="42" t="s">
        <v>416</v>
      </c>
      <c r="G1004" s="30" t="str">
        <f t="shared" si="94"/>
        <v/>
      </c>
      <c r="H1004" s="34"/>
      <c r="I1004" s="30"/>
      <c r="J1004" s="152">
        <v>0</v>
      </c>
      <c r="L1004" s="219"/>
      <c r="M1004" s="42"/>
      <c r="N1004" s="30" t="str">
        <f t="shared" si="95"/>
        <v/>
      </c>
      <c r="O1004" s="34"/>
      <c r="P1004" s="36" t="str">
        <f t="shared" si="90"/>
        <v/>
      </c>
      <c r="Q1004" s="216" t="str">
        <f t="shared" si="91"/>
        <v/>
      </c>
      <c r="R1004" s="216" t="str">
        <f t="shared" si="92"/>
        <v/>
      </c>
      <c r="S1004" s="217" t="str">
        <f t="shared" si="93"/>
        <v/>
      </c>
    </row>
    <row r="1005" spans="1:19" ht="26.25" hidden="1" thickBot="1" x14ac:dyDescent="0.3">
      <c r="A1005" s="262"/>
      <c r="B1005" s="260"/>
      <c r="C1005" s="35" t="s">
        <v>248</v>
      </c>
      <c r="D1005" s="46" t="s">
        <v>107</v>
      </c>
      <c r="E1005" s="36">
        <v>1</v>
      </c>
      <c r="F1005" s="33" t="s">
        <v>416</v>
      </c>
      <c r="G1005" s="33" t="str">
        <f t="shared" si="94"/>
        <v/>
      </c>
      <c r="H1005" s="38">
        <f>SUM(G1005:G1006)</f>
        <v>3.0338249999999993</v>
      </c>
      <c r="I1005" s="39"/>
      <c r="J1005" s="152">
        <v>0</v>
      </c>
      <c r="L1005" s="215">
        <v>1</v>
      </c>
      <c r="M1005" s="33"/>
      <c r="N1005" s="33" t="str">
        <f t="shared" si="95"/>
        <v/>
      </c>
      <c r="O1005" s="38">
        <f>SUM(N1005:N1006)</f>
        <v>2.5969541999999994</v>
      </c>
      <c r="P1005" s="36" t="str">
        <f t="shared" si="90"/>
        <v/>
      </c>
      <c r="Q1005" s="216" t="str">
        <f t="shared" si="91"/>
        <v/>
      </c>
      <c r="R1005" s="216" t="str">
        <f t="shared" si="92"/>
        <v/>
      </c>
      <c r="S1005" s="217">
        <f t="shared" si="93"/>
        <v>0.14400000000000002</v>
      </c>
    </row>
    <row r="1006" spans="1:19" ht="15.75" hidden="1" thickBot="1" x14ac:dyDescent="0.3">
      <c r="A1006" s="262"/>
      <c r="B1006" s="260"/>
      <c r="C1006" s="35" t="s">
        <v>584</v>
      </c>
      <c r="D1006" s="35" t="s">
        <v>583</v>
      </c>
      <c r="E1006" s="36">
        <v>0.15</v>
      </c>
      <c r="F1006" s="30">
        <v>20.225499999999997</v>
      </c>
      <c r="G1006" s="33">
        <f t="shared" si="94"/>
        <v>3.0338249999999993</v>
      </c>
      <c r="H1006" s="34"/>
      <c r="I1006" s="30"/>
      <c r="J1006" s="152">
        <v>0</v>
      </c>
      <c r="L1006" s="215">
        <v>0.15</v>
      </c>
      <c r="M1006" s="30">
        <v>17.313027999999996</v>
      </c>
      <c r="N1006" s="33">
        <f t="shared" si="95"/>
        <v>2.5969541999999994</v>
      </c>
      <c r="O1006" s="34"/>
      <c r="P1006" s="36" t="str">
        <f t="shared" si="90"/>
        <v/>
      </c>
      <c r="Q1006" s="216">
        <f t="shared" si="91"/>
        <v>0.14400000000000013</v>
      </c>
      <c r="R1006" s="216">
        <f t="shared" si="92"/>
        <v>0.14400000000000002</v>
      </c>
      <c r="S1006" s="217" t="str">
        <f t="shared" si="93"/>
        <v/>
      </c>
    </row>
    <row r="1007" spans="1:19" ht="15.75" hidden="1" thickBot="1" x14ac:dyDescent="0.3">
      <c r="A1007" s="263"/>
      <c r="B1007" s="261"/>
      <c r="C1007" s="35"/>
      <c r="D1007" s="35"/>
      <c r="E1007" s="36"/>
      <c r="F1007" s="30" t="s">
        <v>416</v>
      </c>
      <c r="G1007" s="30" t="str">
        <f t="shared" si="94"/>
        <v/>
      </c>
      <c r="H1007" s="34"/>
      <c r="I1007" s="30"/>
      <c r="J1007" s="152">
        <v>0</v>
      </c>
      <c r="L1007" s="215"/>
      <c r="M1007" s="30"/>
      <c r="N1007" s="30" t="str">
        <f t="shared" si="95"/>
        <v/>
      </c>
      <c r="O1007" s="34"/>
      <c r="P1007" s="36" t="str">
        <f t="shared" si="90"/>
        <v/>
      </c>
      <c r="Q1007" s="216" t="str">
        <f t="shared" si="91"/>
        <v/>
      </c>
      <c r="R1007" s="216" t="str">
        <f t="shared" si="92"/>
        <v/>
      </c>
      <c r="S1007" s="217" t="str">
        <f t="shared" si="93"/>
        <v/>
      </c>
    </row>
    <row r="1008" spans="1:19" ht="15.75" hidden="1" thickBot="1" x14ac:dyDescent="0.3">
      <c r="A1008" s="256" t="s">
        <v>249</v>
      </c>
      <c r="B1008" s="259" t="str">
        <f>INDEX(Orçamentária!A:B,MATCH(Composições!A1008,Orçamentária!A:A,0),2)</f>
        <v>Grelha quadrada para ralo 15 x 15 cm</v>
      </c>
      <c r="C1008" s="40"/>
      <c r="D1008" s="25" t="s">
        <v>16</v>
      </c>
      <c r="E1008" s="26"/>
      <c r="F1008" s="41" t="s">
        <v>416</v>
      </c>
      <c r="G1008" s="27" t="str">
        <f t="shared" si="94"/>
        <v/>
      </c>
      <c r="H1008" s="28"/>
      <c r="I1008" s="29"/>
      <c r="J1008" s="152">
        <v>0</v>
      </c>
      <c r="L1008" s="218"/>
      <c r="M1008" s="41"/>
      <c r="N1008" s="27" t="str">
        <f t="shared" si="95"/>
        <v/>
      </c>
      <c r="O1008" s="28"/>
      <c r="P1008" s="36" t="str">
        <f t="shared" si="90"/>
        <v/>
      </c>
      <c r="Q1008" s="216" t="str">
        <f t="shared" si="91"/>
        <v/>
      </c>
      <c r="R1008" s="216" t="str">
        <f t="shared" si="92"/>
        <v/>
      </c>
      <c r="S1008" s="217" t="str">
        <f t="shared" si="93"/>
        <v/>
      </c>
    </row>
    <row r="1009" spans="1:19" ht="15.75" hidden="1" thickBot="1" x14ac:dyDescent="0.3">
      <c r="A1009" s="262"/>
      <c r="B1009" s="260"/>
      <c r="C1009" s="31"/>
      <c r="D1009" s="31"/>
      <c r="E1009" s="32"/>
      <c r="F1009" s="42" t="s">
        <v>416</v>
      </c>
      <c r="G1009" s="30" t="str">
        <f t="shared" si="94"/>
        <v/>
      </c>
      <c r="H1009" s="34"/>
      <c r="I1009" s="30"/>
      <c r="J1009" s="152">
        <v>0</v>
      </c>
      <c r="L1009" s="219"/>
      <c r="M1009" s="42"/>
      <c r="N1009" s="30" t="str">
        <f t="shared" si="95"/>
        <v/>
      </c>
      <c r="O1009" s="34"/>
      <c r="P1009" s="36" t="str">
        <f t="shared" si="90"/>
        <v/>
      </c>
      <c r="Q1009" s="216" t="str">
        <f t="shared" si="91"/>
        <v/>
      </c>
      <c r="R1009" s="216" t="str">
        <f t="shared" si="92"/>
        <v/>
      </c>
      <c r="S1009" s="217" t="str">
        <f t="shared" si="93"/>
        <v/>
      </c>
    </row>
    <row r="1010" spans="1:19" ht="26.25" hidden="1" thickBot="1" x14ac:dyDescent="0.3">
      <c r="A1010" s="262"/>
      <c r="B1010" s="260"/>
      <c r="C1010" s="35" t="s">
        <v>250</v>
      </c>
      <c r="D1010" s="46" t="s">
        <v>107</v>
      </c>
      <c r="E1010" s="36">
        <v>1</v>
      </c>
      <c r="F1010" s="33" t="s">
        <v>416</v>
      </c>
      <c r="G1010" s="33" t="str">
        <f t="shared" si="94"/>
        <v/>
      </c>
      <c r="H1010" s="38">
        <f>SUM(G1010:G1011)</f>
        <v>3.0338249999999993</v>
      </c>
      <c r="I1010" s="39"/>
      <c r="J1010" s="152">
        <v>0</v>
      </c>
      <c r="L1010" s="215">
        <v>1</v>
      </c>
      <c r="M1010" s="33"/>
      <c r="N1010" s="33" t="str">
        <f t="shared" si="95"/>
        <v/>
      </c>
      <c r="O1010" s="38">
        <f>SUM(N1010:N1011)</f>
        <v>2.5969541999999994</v>
      </c>
      <c r="P1010" s="36" t="str">
        <f t="shared" si="90"/>
        <v/>
      </c>
      <c r="Q1010" s="216" t="str">
        <f t="shared" si="91"/>
        <v/>
      </c>
      <c r="R1010" s="216" t="str">
        <f t="shared" si="92"/>
        <v/>
      </c>
      <c r="S1010" s="217">
        <f t="shared" si="93"/>
        <v>0.14400000000000002</v>
      </c>
    </row>
    <row r="1011" spans="1:19" ht="15.75" hidden="1" thickBot="1" x14ac:dyDescent="0.3">
      <c r="A1011" s="262"/>
      <c r="B1011" s="260"/>
      <c r="C1011" s="35" t="s">
        <v>584</v>
      </c>
      <c r="D1011" s="35" t="s">
        <v>583</v>
      </c>
      <c r="E1011" s="36">
        <v>0.15</v>
      </c>
      <c r="F1011" s="30">
        <v>20.225499999999997</v>
      </c>
      <c r="G1011" s="33">
        <f t="shared" si="94"/>
        <v>3.0338249999999993</v>
      </c>
      <c r="H1011" s="34"/>
      <c r="I1011" s="30"/>
      <c r="J1011" s="152">
        <v>0</v>
      </c>
      <c r="L1011" s="215">
        <v>0.15</v>
      </c>
      <c r="M1011" s="30">
        <v>17.313027999999996</v>
      </c>
      <c r="N1011" s="33">
        <f t="shared" si="95"/>
        <v>2.5969541999999994</v>
      </c>
      <c r="O1011" s="34"/>
      <c r="P1011" s="36" t="str">
        <f t="shared" si="90"/>
        <v/>
      </c>
      <c r="Q1011" s="216">
        <f t="shared" si="91"/>
        <v>0.14400000000000013</v>
      </c>
      <c r="R1011" s="216">
        <f t="shared" si="92"/>
        <v>0.14400000000000002</v>
      </c>
      <c r="S1011" s="217" t="str">
        <f t="shared" si="93"/>
        <v/>
      </c>
    </row>
    <row r="1012" spans="1:19" ht="15.75" hidden="1" thickBot="1" x14ac:dyDescent="0.3">
      <c r="A1012" s="263"/>
      <c r="B1012" s="261"/>
      <c r="C1012" s="35"/>
      <c r="D1012" s="35"/>
      <c r="E1012" s="36"/>
      <c r="F1012" s="30" t="s">
        <v>416</v>
      </c>
      <c r="G1012" s="30" t="str">
        <f t="shared" si="94"/>
        <v/>
      </c>
      <c r="H1012" s="34"/>
      <c r="I1012" s="30"/>
      <c r="J1012" s="152">
        <v>0</v>
      </c>
      <c r="L1012" s="215"/>
      <c r="M1012" s="30"/>
      <c r="N1012" s="30" t="str">
        <f t="shared" si="95"/>
        <v/>
      </c>
      <c r="O1012" s="34"/>
      <c r="P1012" s="36" t="str">
        <f t="shared" si="90"/>
        <v/>
      </c>
      <c r="Q1012" s="216" t="str">
        <f t="shared" si="91"/>
        <v/>
      </c>
      <c r="R1012" s="216" t="str">
        <f t="shared" si="92"/>
        <v/>
      </c>
      <c r="S1012" s="217" t="str">
        <f t="shared" si="93"/>
        <v/>
      </c>
    </row>
    <row r="1013" spans="1:19" ht="15.75" hidden="1" thickBot="1" x14ac:dyDescent="0.3">
      <c r="A1013" s="256" t="s">
        <v>251</v>
      </c>
      <c r="B1013" s="259" t="str">
        <f>INDEX(Orçamentária!A:B,MATCH(Composições!A1013,Orçamentária!A:A,0),2)</f>
        <v>Ralo seco PVC DN 100 x 40 mm</v>
      </c>
      <c r="C1013" s="40"/>
      <c r="D1013" s="25" t="s">
        <v>16</v>
      </c>
      <c r="E1013" s="26"/>
      <c r="F1013" s="41" t="s">
        <v>416</v>
      </c>
      <c r="G1013" s="27" t="str">
        <f t="shared" si="94"/>
        <v/>
      </c>
      <c r="H1013" s="28"/>
      <c r="I1013" s="29"/>
      <c r="J1013" s="152">
        <v>0</v>
      </c>
      <c r="L1013" s="218"/>
      <c r="M1013" s="41"/>
      <c r="N1013" s="27" t="str">
        <f t="shared" si="95"/>
        <v/>
      </c>
      <c r="O1013" s="28"/>
      <c r="P1013" s="36" t="str">
        <f t="shared" si="90"/>
        <v/>
      </c>
      <c r="Q1013" s="216" t="str">
        <f t="shared" si="91"/>
        <v/>
      </c>
      <c r="R1013" s="216" t="str">
        <f t="shared" si="92"/>
        <v/>
      </c>
      <c r="S1013" s="217" t="str">
        <f t="shared" si="93"/>
        <v/>
      </c>
    </row>
    <row r="1014" spans="1:19" ht="15.75" hidden="1" thickBot="1" x14ac:dyDescent="0.3">
      <c r="A1014" s="262"/>
      <c r="B1014" s="260"/>
      <c r="C1014" s="31"/>
      <c r="D1014" s="31"/>
      <c r="E1014" s="32"/>
      <c r="F1014" s="42" t="s">
        <v>416</v>
      </c>
      <c r="G1014" s="30" t="str">
        <f t="shared" si="94"/>
        <v/>
      </c>
      <c r="H1014" s="34"/>
      <c r="I1014" s="30"/>
      <c r="J1014" s="152">
        <v>0</v>
      </c>
      <c r="L1014" s="219"/>
      <c r="M1014" s="42"/>
      <c r="N1014" s="30" t="str">
        <f t="shared" si="95"/>
        <v/>
      </c>
      <c r="O1014" s="34"/>
      <c r="P1014" s="36" t="str">
        <f t="shared" si="90"/>
        <v/>
      </c>
      <c r="Q1014" s="216" t="str">
        <f t="shared" si="91"/>
        <v/>
      </c>
      <c r="R1014" s="216" t="str">
        <f t="shared" si="92"/>
        <v/>
      </c>
      <c r="S1014" s="217" t="str">
        <f t="shared" si="93"/>
        <v/>
      </c>
    </row>
    <row r="1015" spans="1:19" ht="26.25" hidden="1" thickBot="1" x14ac:dyDescent="0.3">
      <c r="A1015" s="262"/>
      <c r="B1015" s="260"/>
      <c r="C1015" s="35" t="s">
        <v>824</v>
      </c>
      <c r="D1015" s="35" t="s">
        <v>583</v>
      </c>
      <c r="E1015" s="36">
        <v>7.0000000000000007E-2</v>
      </c>
      <c r="F1015" s="30">
        <v>21.166</v>
      </c>
      <c r="G1015" s="33">
        <f t="shared" si="94"/>
        <v>1.4816200000000002</v>
      </c>
      <c r="H1015" s="38">
        <f>SUM(G1015:G1020)</f>
        <v>16.062741549999998</v>
      </c>
      <c r="I1015" s="39"/>
      <c r="J1015" s="152">
        <v>0</v>
      </c>
      <c r="L1015" s="215">
        <v>7.0000000000000007E-2</v>
      </c>
      <c r="M1015" s="30">
        <v>18.118096000000001</v>
      </c>
      <c r="N1015" s="33">
        <f t="shared" si="95"/>
        <v>1.2682667200000002</v>
      </c>
      <c r="O1015" s="38">
        <f>SUM(N1015:N1020)</f>
        <v>13.749706766799999</v>
      </c>
      <c r="P1015" s="36" t="str">
        <f t="shared" si="90"/>
        <v/>
      </c>
      <c r="Q1015" s="216">
        <f t="shared" si="91"/>
        <v>0.14399999999999991</v>
      </c>
      <c r="R1015" s="216">
        <f t="shared" si="92"/>
        <v>0.14400000000000002</v>
      </c>
      <c r="S1015" s="217">
        <f t="shared" si="93"/>
        <v>0.14399999999999991</v>
      </c>
    </row>
    <row r="1016" spans="1:19" ht="26.25" hidden="1" thickBot="1" x14ac:dyDescent="0.3">
      <c r="A1016" s="262"/>
      <c r="B1016" s="260"/>
      <c r="C1016" s="35" t="s">
        <v>825</v>
      </c>
      <c r="D1016" s="35" t="s">
        <v>583</v>
      </c>
      <c r="E1016" s="36">
        <v>7.0000000000000007E-2</v>
      </c>
      <c r="F1016" s="30">
        <v>26.799499999999998</v>
      </c>
      <c r="G1016" s="33">
        <f t="shared" si="94"/>
        <v>1.8759650000000001</v>
      </c>
      <c r="H1016" s="34"/>
      <c r="I1016" s="30"/>
      <c r="J1016" s="152">
        <v>0</v>
      </c>
      <c r="L1016" s="215">
        <v>7.0000000000000007E-2</v>
      </c>
      <c r="M1016" s="30">
        <v>22.940372</v>
      </c>
      <c r="N1016" s="33">
        <f t="shared" si="95"/>
        <v>1.6058260400000002</v>
      </c>
      <c r="O1016" s="34"/>
      <c r="P1016" s="36" t="str">
        <f t="shared" si="90"/>
        <v/>
      </c>
      <c r="Q1016" s="216">
        <f t="shared" si="91"/>
        <v>0.14399999999999991</v>
      </c>
      <c r="R1016" s="216">
        <f t="shared" si="92"/>
        <v>0.14399999999999991</v>
      </c>
      <c r="S1016" s="217" t="str">
        <f t="shared" si="93"/>
        <v/>
      </c>
    </row>
    <row r="1017" spans="1:19" ht="15.75" hidden="1" thickBot="1" x14ac:dyDescent="0.3">
      <c r="A1017" s="262"/>
      <c r="B1017" s="260"/>
      <c r="C1017" s="35" t="s">
        <v>7975</v>
      </c>
      <c r="D1017" s="35" t="s">
        <v>213</v>
      </c>
      <c r="E1017" s="36">
        <v>4.8999999999999998E-3</v>
      </c>
      <c r="F1017" s="33">
        <v>66.36699999999999</v>
      </c>
      <c r="G1017" s="33">
        <f t="shared" si="94"/>
        <v>0.32519829999999994</v>
      </c>
      <c r="H1017" s="34"/>
      <c r="I1017" s="30"/>
      <c r="J1017" s="152">
        <v>0</v>
      </c>
      <c r="L1017" s="215">
        <v>4.8999999999999998E-3</v>
      </c>
      <c r="M1017" s="33">
        <v>56.810151999999988</v>
      </c>
      <c r="N1017" s="33">
        <f t="shared" si="95"/>
        <v>0.27836974479999993</v>
      </c>
      <c r="O1017" s="34"/>
      <c r="P1017" s="36" t="str">
        <f t="shared" si="90"/>
        <v/>
      </c>
      <c r="Q1017" s="216">
        <f t="shared" si="91"/>
        <v>0.14400000000000002</v>
      </c>
      <c r="R1017" s="216">
        <f t="shared" si="92"/>
        <v>0.14400000000000002</v>
      </c>
      <c r="S1017" s="217" t="str">
        <f t="shared" si="93"/>
        <v/>
      </c>
    </row>
    <row r="1018" spans="1:19" ht="15.75" hidden="1" thickBot="1" x14ac:dyDescent="0.3">
      <c r="A1018" s="262"/>
      <c r="B1018" s="260"/>
      <c r="C1018" s="35" t="s">
        <v>8220</v>
      </c>
      <c r="D1018" s="35" t="s">
        <v>213</v>
      </c>
      <c r="E1018" s="36">
        <v>1.7000000000000001E-2</v>
      </c>
      <c r="F1018" s="33">
        <v>2.1185</v>
      </c>
      <c r="G1018" s="33">
        <f t="shared" si="94"/>
        <v>3.6014500000000005E-2</v>
      </c>
      <c r="H1018" s="34"/>
      <c r="I1018" s="30"/>
      <c r="J1018" s="152">
        <v>0</v>
      </c>
      <c r="L1018" s="215">
        <v>1.7000000000000001E-2</v>
      </c>
      <c r="M1018" s="33">
        <v>1.813436</v>
      </c>
      <c r="N1018" s="33">
        <f t="shared" si="95"/>
        <v>3.0828412000000003E-2</v>
      </c>
      <c r="O1018" s="34"/>
      <c r="P1018" s="36" t="str">
        <f t="shared" si="90"/>
        <v/>
      </c>
      <c r="Q1018" s="216">
        <f t="shared" si="91"/>
        <v>0.14400000000000002</v>
      </c>
      <c r="R1018" s="216">
        <f t="shared" si="92"/>
        <v>0.14400000000000002</v>
      </c>
      <c r="S1018" s="217" t="str">
        <f t="shared" si="93"/>
        <v/>
      </c>
    </row>
    <row r="1019" spans="1:19" ht="26.25" hidden="1" thickBot="1" x14ac:dyDescent="0.3">
      <c r="A1019" s="262"/>
      <c r="B1019" s="260"/>
      <c r="C1019" s="35" t="s">
        <v>8520</v>
      </c>
      <c r="D1019" s="35" t="s">
        <v>213</v>
      </c>
      <c r="E1019" s="36">
        <v>1</v>
      </c>
      <c r="F1019" s="33">
        <v>11.78</v>
      </c>
      <c r="G1019" s="33">
        <f t="shared" si="94"/>
        <v>11.78</v>
      </c>
      <c r="H1019" s="34"/>
      <c r="I1019" s="30"/>
      <c r="J1019" s="152">
        <v>0</v>
      </c>
      <c r="L1019" s="215">
        <v>1</v>
      </c>
      <c r="M1019" s="33">
        <v>10.083679999999999</v>
      </c>
      <c r="N1019" s="33">
        <f t="shared" si="95"/>
        <v>10.083679999999999</v>
      </c>
      <c r="O1019" s="34"/>
      <c r="P1019" s="36" t="str">
        <f t="shared" si="90"/>
        <v/>
      </c>
      <c r="Q1019" s="216">
        <f t="shared" si="91"/>
        <v>0.14400000000000002</v>
      </c>
      <c r="R1019" s="216">
        <f t="shared" si="92"/>
        <v>0.14400000000000002</v>
      </c>
      <c r="S1019" s="217" t="str">
        <f t="shared" si="93"/>
        <v/>
      </c>
    </row>
    <row r="1020" spans="1:19" ht="26.25" hidden="1" thickBot="1" x14ac:dyDescent="0.3">
      <c r="A1020" s="262"/>
      <c r="B1020" s="260"/>
      <c r="C1020" s="35" t="s">
        <v>8375</v>
      </c>
      <c r="D1020" s="35" t="s">
        <v>213</v>
      </c>
      <c r="E1020" s="36">
        <v>7.4999999999999997E-3</v>
      </c>
      <c r="F1020" s="33">
        <v>75.192499999999995</v>
      </c>
      <c r="G1020" s="33">
        <f t="shared" si="94"/>
        <v>0.56394374999999997</v>
      </c>
      <c r="H1020" s="34"/>
      <c r="I1020" s="30"/>
      <c r="J1020" s="152">
        <v>0</v>
      </c>
      <c r="L1020" s="215">
        <v>7.4999999999999997E-3</v>
      </c>
      <c r="M1020" s="33">
        <v>64.364779999999996</v>
      </c>
      <c r="N1020" s="33">
        <f t="shared" si="95"/>
        <v>0.48273584999999997</v>
      </c>
      <c r="O1020" s="34"/>
      <c r="P1020" s="36" t="str">
        <f t="shared" si="90"/>
        <v/>
      </c>
      <c r="Q1020" s="216">
        <f t="shared" si="91"/>
        <v>0.14400000000000002</v>
      </c>
      <c r="R1020" s="216">
        <f t="shared" si="92"/>
        <v>0.14400000000000002</v>
      </c>
      <c r="S1020" s="217" t="str">
        <f t="shared" si="93"/>
        <v/>
      </c>
    </row>
    <row r="1021" spans="1:19" ht="15.75" hidden="1" thickBot="1" x14ac:dyDescent="0.3">
      <c r="A1021" s="263"/>
      <c r="B1021" s="261"/>
      <c r="C1021" s="35"/>
      <c r="D1021" s="35"/>
      <c r="E1021" s="36"/>
      <c r="F1021" s="30" t="s">
        <v>416</v>
      </c>
      <c r="G1021" s="30" t="str">
        <f t="shared" si="94"/>
        <v/>
      </c>
      <c r="H1021" s="34"/>
      <c r="I1021" s="30"/>
      <c r="J1021" s="152">
        <v>0</v>
      </c>
      <c r="L1021" s="215"/>
      <c r="M1021" s="30"/>
      <c r="N1021" s="30" t="str">
        <f t="shared" si="95"/>
        <v/>
      </c>
      <c r="O1021" s="34"/>
      <c r="P1021" s="36" t="str">
        <f t="shared" si="90"/>
        <v/>
      </c>
      <c r="Q1021" s="216" t="str">
        <f t="shared" si="91"/>
        <v/>
      </c>
      <c r="R1021" s="216" t="str">
        <f t="shared" si="92"/>
        <v/>
      </c>
      <c r="S1021" s="217" t="str">
        <f t="shared" si="93"/>
        <v/>
      </c>
    </row>
    <row r="1022" spans="1:19" ht="15.75" hidden="1" thickBot="1" x14ac:dyDescent="0.3">
      <c r="A1022" s="256" t="s">
        <v>252</v>
      </c>
      <c r="B1022" s="259" t="str">
        <f>INDEX(Orçamentária!A:B,MATCH(Composições!A1022,Orçamentária!A:A,0),2)</f>
        <v>Assento para bacia convencional</v>
      </c>
      <c r="C1022" s="40"/>
      <c r="D1022" s="25" t="s">
        <v>16</v>
      </c>
      <c r="E1022" s="26"/>
      <c r="F1022" s="41" t="s">
        <v>416</v>
      </c>
      <c r="G1022" s="27" t="str">
        <f t="shared" si="94"/>
        <v/>
      </c>
      <c r="H1022" s="28"/>
      <c r="I1022" s="29"/>
      <c r="J1022" s="152">
        <v>0</v>
      </c>
      <c r="L1022" s="218"/>
      <c r="M1022" s="41"/>
      <c r="N1022" s="27" t="str">
        <f t="shared" si="95"/>
        <v/>
      </c>
      <c r="O1022" s="28"/>
      <c r="P1022" s="36" t="str">
        <f t="shared" si="90"/>
        <v/>
      </c>
      <c r="Q1022" s="216" t="str">
        <f t="shared" si="91"/>
        <v/>
      </c>
      <c r="R1022" s="216" t="str">
        <f t="shared" si="92"/>
        <v/>
      </c>
      <c r="S1022" s="217" t="str">
        <f t="shared" si="93"/>
        <v/>
      </c>
    </row>
    <row r="1023" spans="1:19" ht="15.75" hidden="1" thickBot="1" x14ac:dyDescent="0.3">
      <c r="A1023" s="262"/>
      <c r="B1023" s="260"/>
      <c r="C1023" s="31"/>
      <c r="D1023" s="31"/>
      <c r="E1023" s="32"/>
      <c r="F1023" s="42" t="s">
        <v>416</v>
      </c>
      <c r="G1023" s="30" t="str">
        <f t="shared" si="94"/>
        <v/>
      </c>
      <c r="H1023" s="34"/>
      <c r="I1023" s="30"/>
      <c r="J1023" s="152">
        <v>0</v>
      </c>
      <c r="L1023" s="219"/>
      <c r="M1023" s="42"/>
      <c r="N1023" s="30" t="str">
        <f t="shared" si="95"/>
        <v/>
      </c>
      <c r="O1023" s="34"/>
      <c r="P1023" s="36" t="str">
        <f t="shared" si="90"/>
        <v/>
      </c>
      <c r="Q1023" s="216" t="str">
        <f t="shared" si="91"/>
        <v/>
      </c>
      <c r="R1023" s="216" t="str">
        <f t="shared" si="92"/>
        <v/>
      </c>
      <c r="S1023" s="217" t="str">
        <f t="shared" si="93"/>
        <v/>
      </c>
    </row>
    <row r="1024" spans="1:19" ht="26.25" hidden="1" thickBot="1" x14ac:dyDescent="0.3">
      <c r="A1024" s="262"/>
      <c r="B1024" s="260"/>
      <c r="C1024" s="35" t="s">
        <v>253</v>
      </c>
      <c r="D1024" s="46" t="s">
        <v>107</v>
      </c>
      <c r="E1024" s="36">
        <v>1</v>
      </c>
      <c r="F1024" s="33" t="s">
        <v>416</v>
      </c>
      <c r="G1024" s="33" t="str">
        <f t="shared" si="94"/>
        <v/>
      </c>
      <c r="H1024" s="38">
        <f>SUM(G1024:G1025)</f>
        <v>2.0225499999999998</v>
      </c>
      <c r="I1024" s="39"/>
      <c r="J1024" s="152">
        <v>0</v>
      </c>
      <c r="L1024" s="215">
        <v>1</v>
      </c>
      <c r="M1024" s="33"/>
      <c r="N1024" s="33" t="str">
        <f t="shared" si="95"/>
        <v/>
      </c>
      <c r="O1024" s="38">
        <f>SUM(N1024:N1025)</f>
        <v>1.7313027999999997</v>
      </c>
      <c r="P1024" s="36" t="str">
        <f t="shared" si="90"/>
        <v/>
      </c>
      <c r="Q1024" s="216" t="str">
        <f t="shared" si="91"/>
        <v/>
      </c>
      <c r="R1024" s="216" t="str">
        <f t="shared" si="92"/>
        <v/>
      </c>
      <c r="S1024" s="217">
        <f t="shared" si="93"/>
        <v>0.14400000000000013</v>
      </c>
    </row>
    <row r="1025" spans="1:19" ht="15.75" hidden="1" thickBot="1" x14ac:dyDescent="0.3">
      <c r="A1025" s="262"/>
      <c r="B1025" s="260"/>
      <c r="C1025" s="35" t="s">
        <v>584</v>
      </c>
      <c r="D1025" s="35" t="s">
        <v>583</v>
      </c>
      <c r="E1025" s="36">
        <v>0.1</v>
      </c>
      <c r="F1025" s="30">
        <v>20.225499999999997</v>
      </c>
      <c r="G1025" s="33">
        <f t="shared" si="94"/>
        <v>2.0225499999999998</v>
      </c>
      <c r="H1025" s="34"/>
      <c r="I1025" s="30"/>
      <c r="J1025" s="152">
        <v>0</v>
      </c>
      <c r="L1025" s="215">
        <v>0.1</v>
      </c>
      <c r="M1025" s="30">
        <v>17.313027999999996</v>
      </c>
      <c r="N1025" s="33">
        <f t="shared" si="95"/>
        <v>1.7313027999999997</v>
      </c>
      <c r="O1025" s="34"/>
      <c r="P1025" s="36" t="str">
        <f t="shared" si="90"/>
        <v/>
      </c>
      <c r="Q1025" s="216">
        <f t="shared" si="91"/>
        <v>0.14400000000000013</v>
      </c>
      <c r="R1025" s="216">
        <f t="shared" si="92"/>
        <v>0.14400000000000013</v>
      </c>
      <c r="S1025" s="217" t="str">
        <f t="shared" si="93"/>
        <v/>
      </c>
    </row>
    <row r="1026" spans="1:19" ht="15.75" hidden="1" thickBot="1" x14ac:dyDescent="0.3">
      <c r="A1026" s="263"/>
      <c r="B1026" s="261"/>
      <c r="C1026" s="35"/>
      <c r="D1026" s="35"/>
      <c r="E1026" s="36"/>
      <c r="F1026" s="30" t="s">
        <v>416</v>
      </c>
      <c r="G1026" s="30" t="str">
        <f t="shared" si="94"/>
        <v/>
      </c>
      <c r="H1026" s="34"/>
      <c r="I1026" s="30"/>
      <c r="J1026" s="152">
        <v>0</v>
      </c>
      <c r="L1026" s="215"/>
      <c r="M1026" s="30"/>
      <c r="N1026" s="30" t="str">
        <f t="shared" si="95"/>
        <v/>
      </c>
      <c r="O1026" s="34"/>
      <c r="P1026" s="36" t="str">
        <f t="shared" si="90"/>
        <v/>
      </c>
      <c r="Q1026" s="216" t="str">
        <f t="shared" si="91"/>
        <v/>
      </c>
      <c r="R1026" s="216" t="str">
        <f t="shared" si="92"/>
        <v/>
      </c>
      <c r="S1026" s="217" t="str">
        <f t="shared" si="93"/>
        <v/>
      </c>
    </row>
    <row r="1027" spans="1:19" ht="15.75" hidden="1" thickBot="1" x14ac:dyDescent="0.3">
      <c r="A1027" s="256" t="s">
        <v>254</v>
      </c>
      <c r="B1027" s="259" t="str">
        <f>INDEX(Orçamentária!A:B,MATCH(Composições!A1027,Orçamentária!A:A,0),2)</f>
        <v>Bacia convencional – Linha Administrativa</v>
      </c>
      <c r="C1027" s="40"/>
      <c r="D1027" s="25" t="s">
        <v>16</v>
      </c>
      <c r="E1027" s="26"/>
      <c r="F1027" s="41" t="s">
        <v>416</v>
      </c>
      <c r="G1027" s="27" t="str">
        <f t="shared" si="94"/>
        <v/>
      </c>
      <c r="H1027" s="28"/>
      <c r="I1027" s="29"/>
      <c r="J1027" s="152">
        <v>0</v>
      </c>
      <c r="L1027" s="218"/>
      <c r="M1027" s="41"/>
      <c r="N1027" s="27" t="str">
        <f t="shared" si="95"/>
        <v/>
      </c>
      <c r="O1027" s="28"/>
      <c r="P1027" s="36" t="str">
        <f t="shared" si="90"/>
        <v/>
      </c>
      <c r="Q1027" s="216" t="str">
        <f t="shared" si="91"/>
        <v/>
      </c>
      <c r="R1027" s="216" t="str">
        <f t="shared" si="92"/>
        <v/>
      </c>
      <c r="S1027" s="217" t="str">
        <f t="shared" si="93"/>
        <v/>
      </c>
    </row>
    <row r="1028" spans="1:19" ht="15.75" hidden="1" thickBot="1" x14ac:dyDescent="0.3">
      <c r="A1028" s="262"/>
      <c r="B1028" s="260"/>
      <c r="C1028" s="31"/>
      <c r="D1028" s="31"/>
      <c r="E1028" s="32"/>
      <c r="F1028" s="42" t="s">
        <v>416</v>
      </c>
      <c r="G1028" s="30" t="str">
        <f t="shared" si="94"/>
        <v/>
      </c>
      <c r="H1028" s="34"/>
      <c r="I1028" s="30"/>
      <c r="J1028" s="152">
        <v>0</v>
      </c>
      <c r="L1028" s="219"/>
      <c r="M1028" s="42"/>
      <c r="N1028" s="30" t="str">
        <f t="shared" si="95"/>
        <v/>
      </c>
      <c r="O1028" s="34"/>
      <c r="P1028" s="36" t="str">
        <f t="shared" si="90"/>
        <v/>
      </c>
      <c r="Q1028" s="216" t="str">
        <f t="shared" si="91"/>
        <v/>
      </c>
      <c r="R1028" s="216" t="str">
        <f t="shared" si="92"/>
        <v/>
      </c>
      <c r="S1028" s="217" t="str">
        <f t="shared" si="93"/>
        <v/>
      </c>
    </row>
    <row r="1029" spans="1:19" ht="26.25" hidden="1" thickBot="1" x14ac:dyDescent="0.3">
      <c r="A1029" s="262"/>
      <c r="B1029" s="260"/>
      <c r="C1029" s="35" t="s">
        <v>7995</v>
      </c>
      <c r="D1029" s="35" t="s">
        <v>213</v>
      </c>
      <c r="E1029" s="36">
        <v>1</v>
      </c>
      <c r="F1029" s="33">
        <v>181.0985</v>
      </c>
      <c r="G1029" s="33">
        <f t="shared" si="94"/>
        <v>181.0985</v>
      </c>
      <c r="H1029" s="38">
        <f>SUM(G1029:G1035)</f>
        <v>267.89069949999998</v>
      </c>
      <c r="I1029" s="39"/>
      <c r="J1029" s="152">
        <v>0</v>
      </c>
      <c r="L1029" s="215">
        <v>1</v>
      </c>
      <c r="M1029" s="33">
        <v>155.02031600000001</v>
      </c>
      <c r="N1029" s="33">
        <f t="shared" si="95"/>
        <v>155.02031600000001</v>
      </c>
      <c r="O1029" s="38">
        <f>SUM(N1029:N1035)</f>
        <v>229.31443877199999</v>
      </c>
      <c r="P1029" s="36" t="str">
        <f t="shared" si="90"/>
        <v/>
      </c>
      <c r="Q1029" s="216">
        <f t="shared" si="91"/>
        <v>0.14399999999999991</v>
      </c>
      <c r="R1029" s="216">
        <f t="shared" si="92"/>
        <v>0.14399999999999991</v>
      </c>
      <c r="S1029" s="217">
        <f t="shared" si="93"/>
        <v>0.14400000000000002</v>
      </c>
    </row>
    <row r="1030" spans="1:19" ht="26.25" hidden="1" thickBot="1" x14ac:dyDescent="0.3">
      <c r="A1030" s="262"/>
      <c r="B1030" s="260"/>
      <c r="C1030" s="35" t="s">
        <v>233</v>
      </c>
      <c r="D1030" s="35" t="s">
        <v>16</v>
      </c>
      <c r="E1030" s="36">
        <v>1</v>
      </c>
      <c r="F1030" s="33" t="s">
        <v>416</v>
      </c>
      <c r="G1030" s="33" t="str">
        <f t="shared" si="94"/>
        <v/>
      </c>
      <c r="H1030" s="34"/>
      <c r="I1030" s="30"/>
      <c r="J1030" s="152">
        <v>0</v>
      </c>
      <c r="L1030" s="215">
        <v>1</v>
      </c>
      <c r="M1030" s="33"/>
      <c r="N1030" s="33" t="str">
        <f t="shared" si="95"/>
        <v/>
      </c>
      <c r="O1030" s="34"/>
      <c r="P1030" s="36" t="str">
        <f t="shared" si="90"/>
        <v/>
      </c>
      <c r="Q1030" s="216" t="str">
        <f t="shared" si="91"/>
        <v/>
      </c>
      <c r="R1030" s="216" t="str">
        <f t="shared" si="92"/>
        <v/>
      </c>
      <c r="S1030" s="217" t="str">
        <f t="shared" si="93"/>
        <v/>
      </c>
    </row>
    <row r="1031" spans="1:19" ht="39" hidden="1" thickBot="1" x14ac:dyDescent="0.3">
      <c r="A1031" s="262"/>
      <c r="B1031" s="260"/>
      <c r="C1031" s="35" t="s">
        <v>8308</v>
      </c>
      <c r="D1031" s="35" t="s">
        <v>213</v>
      </c>
      <c r="E1031" s="36">
        <v>2</v>
      </c>
      <c r="F1031" s="33">
        <v>22.799999999999997</v>
      </c>
      <c r="G1031" s="33">
        <f t="shared" si="94"/>
        <v>45.599999999999994</v>
      </c>
      <c r="H1031" s="34"/>
      <c r="I1031" s="30"/>
      <c r="J1031" s="152">
        <v>0</v>
      </c>
      <c r="L1031" s="215">
        <v>2</v>
      </c>
      <c r="M1031" s="33">
        <v>19.516799999999996</v>
      </c>
      <c r="N1031" s="33">
        <f t="shared" si="95"/>
        <v>39.033599999999993</v>
      </c>
      <c r="O1031" s="34"/>
      <c r="P1031" s="36" t="str">
        <f t="shared" si="90"/>
        <v/>
      </c>
      <c r="Q1031" s="216">
        <f t="shared" si="91"/>
        <v>0.14400000000000002</v>
      </c>
      <c r="R1031" s="216">
        <f t="shared" si="92"/>
        <v>0.14400000000000002</v>
      </c>
      <c r="S1031" s="217" t="str">
        <f t="shared" si="93"/>
        <v/>
      </c>
    </row>
    <row r="1032" spans="1:19" ht="26.25" hidden="1" thickBot="1" x14ac:dyDescent="0.3">
      <c r="A1032" s="262"/>
      <c r="B1032" s="260"/>
      <c r="C1032" s="35" t="s">
        <v>7982</v>
      </c>
      <c r="D1032" s="35" t="s">
        <v>213</v>
      </c>
      <c r="E1032" s="36">
        <v>1</v>
      </c>
      <c r="F1032" s="33">
        <v>14.3925</v>
      </c>
      <c r="G1032" s="53">
        <f t="shared" si="94"/>
        <v>14.3925</v>
      </c>
      <c r="H1032" s="34"/>
      <c r="I1032" s="30"/>
      <c r="J1032" s="152">
        <v>0</v>
      </c>
      <c r="L1032" s="215">
        <v>1</v>
      </c>
      <c r="M1032" s="33">
        <v>12.319980000000001</v>
      </c>
      <c r="N1032" s="53">
        <f t="shared" si="95"/>
        <v>12.319980000000001</v>
      </c>
      <c r="O1032" s="34"/>
      <c r="P1032" s="36" t="str">
        <f t="shared" ref="P1032:P1095" si="96">IF(ISBLANK(L1032),"",IF($E1032&lt;&gt;L1032,"SIM",""))</f>
        <v/>
      </c>
      <c r="Q1032" s="216">
        <f t="shared" ref="Q1032:Q1095" si="97">IF(M1032="","",1-M1032/$F1032)</f>
        <v>0.14399999999999991</v>
      </c>
      <c r="R1032" s="216">
        <f t="shared" ref="R1032:R1095" si="98">IF(N1032="","",1-N1032/$G1032)</f>
        <v>0.14399999999999991</v>
      </c>
      <c r="S1032" s="217" t="str">
        <f t="shared" ref="S1032:S1095" si="99">IF(O1032="","",1-O1032/$H1032)</f>
        <v/>
      </c>
    </row>
    <row r="1033" spans="1:19" ht="15.75" hidden="1" thickBot="1" x14ac:dyDescent="0.3">
      <c r="A1033" s="262"/>
      <c r="B1033" s="260"/>
      <c r="C1033" s="35" t="s">
        <v>3061</v>
      </c>
      <c r="D1033" s="35" t="s">
        <v>773</v>
      </c>
      <c r="E1033" s="36">
        <v>8.8099999999999998E-2</v>
      </c>
      <c r="F1033" s="33">
        <v>72.836500000000001</v>
      </c>
      <c r="G1033" s="33">
        <f t="shared" si="94"/>
        <v>6.4168956499999998</v>
      </c>
      <c r="H1033" s="34"/>
      <c r="I1033" s="30"/>
      <c r="J1033" s="152">
        <v>0</v>
      </c>
      <c r="L1033" s="215">
        <v>8.8099999999999998E-2</v>
      </c>
      <c r="M1033" s="33">
        <v>62.348044000000002</v>
      </c>
      <c r="N1033" s="33">
        <f t="shared" si="95"/>
        <v>5.4928626763999997</v>
      </c>
      <c r="O1033" s="34"/>
      <c r="P1033" s="36" t="str">
        <f t="shared" si="96"/>
        <v/>
      </c>
      <c r="Q1033" s="216">
        <f t="shared" si="97"/>
        <v>0.14400000000000002</v>
      </c>
      <c r="R1033" s="216">
        <f t="shared" si="98"/>
        <v>0.14400000000000002</v>
      </c>
      <c r="S1033" s="217" t="str">
        <f t="shared" si="99"/>
        <v/>
      </c>
    </row>
    <row r="1034" spans="1:19" ht="26.25" hidden="1" thickBot="1" x14ac:dyDescent="0.3">
      <c r="A1034" s="262"/>
      <c r="B1034" s="260"/>
      <c r="C1034" s="35" t="s">
        <v>825</v>
      </c>
      <c r="D1034" s="35" t="s">
        <v>583</v>
      </c>
      <c r="E1034" s="36">
        <v>0.49680000000000002</v>
      </c>
      <c r="F1034" s="30">
        <v>26.799499999999998</v>
      </c>
      <c r="G1034" s="33">
        <f t="shared" si="94"/>
        <v>13.3139916</v>
      </c>
      <c r="H1034" s="34"/>
      <c r="I1034" s="30"/>
      <c r="J1034" s="152">
        <v>0</v>
      </c>
      <c r="L1034" s="215">
        <v>0.49680000000000002</v>
      </c>
      <c r="M1034" s="30">
        <v>22.940372</v>
      </c>
      <c r="N1034" s="33">
        <f t="shared" si="95"/>
        <v>11.3967768096</v>
      </c>
      <c r="O1034" s="34"/>
      <c r="P1034" s="36" t="str">
        <f t="shared" si="96"/>
        <v/>
      </c>
      <c r="Q1034" s="216">
        <f t="shared" si="97"/>
        <v>0.14399999999999991</v>
      </c>
      <c r="R1034" s="216">
        <f t="shared" si="98"/>
        <v>0.14399999999999991</v>
      </c>
      <c r="S1034" s="217" t="str">
        <f t="shared" si="99"/>
        <v/>
      </c>
    </row>
    <row r="1035" spans="1:19" ht="15.75" hidden="1" thickBot="1" x14ac:dyDescent="0.3">
      <c r="A1035" s="262"/>
      <c r="B1035" s="260"/>
      <c r="C1035" s="35" t="s">
        <v>584</v>
      </c>
      <c r="D1035" s="35" t="s">
        <v>583</v>
      </c>
      <c r="E1035" s="36">
        <v>0.34949999999999998</v>
      </c>
      <c r="F1035" s="30">
        <v>20.225499999999997</v>
      </c>
      <c r="G1035" s="33">
        <f t="shared" si="94"/>
        <v>7.0688122499999988</v>
      </c>
      <c r="H1035" s="34"/>
      <c r="I1035" s="30"/>
      <c r="J1035" s="152">
        <v>0</v>
      </c>
      <c r="L1035" s="215">
        <v>0.34949999999999998</v>
      </c>
      <c r="M1035" s="30">
        <v>17.313027999999996</v>
      </c>
      <c r="N1035" s="33">
        <f t="shared" si="95"/>
        <v>6.0509032859999978</v>
      </c>
      <c r="O1035" s="34"/>
      <c r="P1035" s="36" t="str">
        <f t="shared" si="96"/>
        <v/>
      </c>
      <c r="Q1035" s="216">
        <f t="shared" si="97"/>
        <v>0.14400000000000013</v>
      </c>
      <c r="R1035" s="216">
        <f t="shared" si="98"/>
        <v>0.14400000000000013</v>
      </c>
      <c r="S1035" s="217" t="str">
        <f t="shared" si="99"/>
        <v/>
      </c>
    </row>
    <row r="1036" spans="1:19" ht="15.75" hidden="1" thickBot="1" x14ac:dyDescent="0.3">
      <c r="A1036" s="263"/>
      <c r="B1036" s="261"/>
      <c r="C1036" s="35"/>
      <c r="D1036" s="35"/>
      <c r="E1036" s="36"/>
      <c r="F1036" s="30" t="s">
        <v>416</v>
      </c>
      <c r="G1036" s="30" t="str">
        <f t="shared" si="94"/>
        <v/>
      </c>
      <c r="H1036" s="34"/>
      <c r="I1036" s="30"/>
      <c r="J1036" s="152">
        <v>0</v>
      </c>
      <c r="L1036" s="215"/>
      <c r="M1036" s="30"/>
      <c r="N1036" s="30" t="str">
        <f t="shared" si="95"/>
        <v/>
      </c>
      <c r="O1036" s="34"/>
      <c r="P1036" s="36" t="str">
        <f t="shared" si="96"/>
        <v/>
      </c>
      <c r="Q1036" s="216" t="str">
        <f t="shared" si="97"/>
        <v/>
      </c>
      <c r="R1036" s="216" t="str">
        <f t="shared" si="98"/>
        <v/>
      </c>
      <c r="S1036" s="217" t="str">
        <f t="shared" si="99"/>
        <v/>
      </c>
    </row>
    <row r="1037" spans="1:19" ht="15.75" hidden="1" thickBot="1" x14ac:dyDescent="0.3">
      <c r="A1037" s="256" t="s">
        <v>255</v>
      </c>
      <c r="B1037" s="259" t="str">
        <f>INDEX(Orçamentária!A:B,MATCH(Composições!A1037,Orçamentária!A:A,0),2)</f>
        <v>Bacia convencional com saída horizontal</v>
      </c>
      <c r="C1037" s="40"/>
      <c r="D1037" s="25" t="s">
        <v>16</v>
      </c>
      <c r="E1037" s="26"/>
      <c r="F1037" s="41" t="s">
        <v>416</v>
      </c>
      <c r="G1037" s="27" t="str">
        <f t="shared" si="94"/>
        <v/>
      </c>
      <c r="H1037" s="28"/>
      <c r="I1037" s="29"/>
      <c r="J1037" s="152">
        <v>0</v>
      </c>
      <c r="L1037" s="218"/>
      <c r="M1037" s="41"/>
      <c r="N1037" s="27" t="str">
        <f t="shared" si="95"/>
        <v/>
      </c>
      <c r="O1037" s="28"/>
      <c r="P1037" s="36" t="str">
        <f t="shared" si="96"/>
        <v/>
      </c>
      <c r="Q1037" s="216" t="str">
        <f t="shared" si="97"/>
        <v/>
      </c>
      <c r="R1037" s="216" t="str">
        <f t="shared" si="98"/>
        <v/>
      </c>
      <c r="S1037" s="217" t="str">
        <f t="shared" si="99"/>
        <v/>
      </c>
    </row>
    <row r="1038" spans="1:19" ht="15.75" hidden="1" thickBot="1" x14ac:dyDescent="0.3">
      <c r="A1038" s="262"/>
      <c r="B1038" s="260"/>
      <c r="C1038" s="31"/>
      <c r="D1038" s="31"/>
      <c r="E1038" s="32"/>
      <c r="F1038" s="42" t="s">
        <v>416</v>
      </c>
      <c r="G1038" s="30" t="str">
        <f t="shared" si="94"/>
        <v/>
      </c>
      <c r="H1038" s="34"/>
      <c r="I1038" s="30"/>
      <c r="J1038" s="152">
        <v>0</v>
      </c>
      <c r="L1038" s="219"/>
      <c r="M1038" s="42"/>
      <c r="N1038" s="30" t="str">
        <f t="shared" si="95"/>
        <v/>
      </c>
      <c r="O1038" s="34"/>
      <c r="P1038" s="36" t="str">
        <f t="shared" si="96"/>
        <v/>
      </c>
      <c r="Q1038" s="216" t="str">
        <f t="shared" si="97"/>
        <v/>
      </c>
      <c r="R1038" s="216" t="str">
        <f t="shared" si="98"/>
        <v/>
      </c>
      <c r="S1038" s="217" t="str">
        <f t="shared" si="99"/>
        <v/>
      </c>
    </row>
    <row r="1039" spans="1:19" ht="26.25" hidden="1" thickBot="1" x14ac:dyDescent="0.3">
      <c r="A1039" s="262"/>
      <c r="B1039" s="260"/>
      <c r="C1039" s="35" t="s">
        <v>256</v>
      </c>
      <c r="D1039" s="46" t="s">
        <v>107</v>
      </c>
      <c r="E1039" s="36">
        <v>1</v>
      </c>
      <c r="F1039" s="33" t="s">
        <v>416</v>
      </c>
      <c r="G1039" s="33" t="str">
        <f t="shared" si="94"/>
        <v/>
      </c>
      <c r="H1039" s="38">
        <f>SUM(G1039:G1044)</f>
        <v>86.792199499999981</v>
      </c>
      <c r="I1039" s="39"/>
      <c r="J1039" s="152">
        <v>0</v>
      </c>
      <c r="L1039" s="215">
        <v>1</v>
      </c>
      <c r="M1039" s="33"/>
      <c r="N1039" s="33" t="str">
        <f t="shared" si="95"/>
        <v/>
      </c>
      <c r="O1039" s="38">
        <f>SUM(N1039:N1044)</f>
        <v>74.294122771999994</v>
      </c>
      <c r="P1039" s="36" t="str">
        <f t="shared" si="96"/>
        <v/>
      </c>
      <c r="Q1039" s="216" t="str">
        <f t="shared" si="97"/>
        <v/>
      </c>
      <c r="R1039" s="216" t="str">
        <f t="shared" si="98"/>
        <v/>
      </c>
      <c r="S1039" s="217">
        <f t="shared" si="99"/>
        <v>0.14399999999999991</v>
      </c>
    </row>
    <row r="1040" spans="1:19" ht="39" hidden="1" thickBot="1" x14ac:dyDescent="0.3">
      <c r="A1040" s="262"/>
      <c r="B1040" s="260"/>
      <c r="C1040" s="35" t="s">
        <v>8308</v>
      </c>
      <c r="D1040" s="35" t="s">
        <v>213</v>
      </c>
      <c r="E1040" s="36">
        <v>2</v>
      </c>
      <c r="F1040" s="33">
        <v>22.799999999999997</v>
      </c>
      <c r="G1040" s="33">
        <f t="shared" si="94"/>
        <v>45.599999999999994</v>
      </c>
      <c r="H1040" s="34"/>
      <c r="I1040" s="30"/>
      <c r="J1040" s="152">
        <v>0</v>
      </c>
      <c r="L1040" s="215">
        <v>2</v>
      </c>
      <c r="M1040" s="33">
        <v>19.516799999999996</v>
      </c>
      <c r="N1040" s="33">
        <f t="shared" si="95"/>
        <v>39.033599999999993</v>
      </c>
      <c r="O1040" s="34"/>
      <c r="P1040" s="36" t="str">
        <f t="shared" si="96"/>
        <v/>
      </c>
      <c r="Q1040" s="216">
        <f t="shared" si="97"/>
        <v>0.14400000000000002</v>
      </c>
      <c r="R1040" s="216">
        <f t="shared" si="98"/>
        <v>0.14400000000000002</v>
      </c>
      <c r="S1040" s="217" t="str">
        <f t="shared" si="99"/>
        <v/>
      </c>
    </row>
    <row r="1041" spans="1:19" ht="26.25" hidden="1" thickBot="1" x14ac:dyDescent="0.3">
      <c r="A1041" s="262"/>
      <c r="B1041" s="260"/>
      <c r="C1041" s="35" t="s">
        <v>7982</v>
      </c>
      <c r="D1041" s="35" t="s">
        <v>213</v>
      </c>
      <c r="E1041" s="36">
        <v>1</v>
      </c>
      <c r="F1041" s="33">
        <v>14.3925</v>
      </c>
      <c r="G1041" s="53">
        <f t="shared" si="94"/>
        <v>14.3925</v>
      </c>
      <c r="H1041" s="34"/>
      <c r="I1041" s="30"/>
      <c r="J1041" s="152">
        <v>0</v>
      </c>
      <c r="L1041" s="215">
        <v>1</v>
      </c>
      <c r="M1041" s="33">
        <v>12.319980000000001</v>
      </c>
      <c r="N1041" s="53">
        <f t="shared" si="95"/>
        <v>12.319980000000001</v>
      </c>
      <c r="O1041" s="34"/>
      <c r="P1041" s="36" t="str">
        <f t="shared" si="96"/>
        <v/>
      </c>
      <c r="Q1041" s="216">
        <f t="shared" si="97"/>
        <v>0.14399999999999991</v>
      </c>
      <c r="R1041" s="216">
        <f t="shared" si="98"/>
        <v>0.14399999999999991</v>
      </c>
      <c r="S1041" s="217" t="str">
        <f t="shared" si="99"/>
        <v/>
      </c>
    </row>
    <row r="1042" spans="1:19" ht="15.75" hidden="1" thickBot="1" x14ac:dyDescent="0.3">
      <c r="A1042" s="262"/>
      <c r="B1042" s="260"/>
      <c r="C1042" s="35" t="s">
        <v>3061</v>
      </c>
      <c r="D1042" s="35" t="s">
        <v>773</v>
      </c>
      <c r="E1042" s="36">
        <v>8.8099999999999998E-2</v>
      </c>
      <c r="F1042" s="33">
        <v>72.836500000000001</v>
      </c>
      <c r="G1042" s="33">
        <f t="shared" si="94"/>
        <v>6.4168956499999998</v>
      </c>
      <c r="H1042" s="34"/>
      <c r="I1042" s="30"/>
      <c r="J1042" s="152">
        <v>0</v>
      </c>
      <c r="L1042" s="215">
        <v>8.8099999999999998E-2</v>
      </c>
      <c r="M1042" s="33">
        <v>62.348044000000002</v>
      </c>
      <c r="N1042" s="33">
        <f t="shared" si="95"/>
        <v>5.4928626763999997</v>
      </c>
      <c r="O1042" s="34"/>
      <c r="P1042" s="36" t="str">
        <f t="shared" si="96"/>
        <v/>
      </c>
      <c r="Q1042" s="216">
        <f t="shared" si="97"/>
        <v>0.14400000000000002</v>
      </c>
      <c r="R1042" s="216">
        <f t="shared" si="98"/>
        <v>0.14400000000000002</v>
      </c>
      <c r="S1042" s="217" t="str">
        <f t="shared" si="99"/>
        <v/>
      </c>
    </row>
    <row r="1043" spans="1:19" ht="26.25" hidden="1" thickBot="1" x14ac:dyDescent="0.3">
      <c r="A1043" s="262"/>
      <c r="B1043" s="260"/>
      <c r="C1043" s="35" t="s">
        <v>825</v>
      </c>
      <c r="D1043" s="35" t="s">
        <v>583</v>
      </c>
      <c r="E1043" s="36">
        <v>0.49680000000000002</v>
      </c>
      <c r="F1043" s="30">
        <v>26.799499999999998</v>
      </c>
      <c r="G1043" s="33">
        <f t="shared" ref="G1043:G1106" si="100">IF(ISNUMBER(F1043),E1043*F1043,"")</f>
        <v>13.3139916</v>
      </c>
      <c r="H1043" s="34"/>
      <c r="I1043" s="30"/>
      <c r="J1043" s="152">
        <v>0</v>
      </c>
      <c r="L1043" s="215">
        <v>0.49680000000000002</v>
      </c>
      <c r="M1043" s="30">
        <v>22.940372</v>
      </c>
      <c r="N1043" s="33">
        <f t="shared" ref="N1043:N1106" si="101">IF(ISNUMBER(M1043),L1043*M1043,"")</f>
        <v>11.3967768096</v>
      </c>
      <c r="O1043" s="34"/>
      <c r="P1043" s="36" t="str">
        <f t="shared" si="96"/>
        <v/>
      </c>
      <c r="Q1043" s="216">
        <f t="shared" si="97"/>
        <v>0.14399999999999991</v>
      </c>
      <c r="R1043" s="216">
        <f t="shared" si="98"/>
        <v>0.14399999999999991</v>
      </c>
      <c r="S1043" s="217" t="str">
        <f t="shared" si="99"/>
        <v/>
      </c>
    </row>
    <row r="1044" spans="1:19" ht="15.75" hidden="1" thickBot="1" x14ac:dyDescent="0.3">
      <c r="A1044" s="262"/>
      <c r="B1044" s="260"/>
      <c r="C1044" s="35" t="s">
        <v>584</v>
      </c>
      <c r="D1044" s="35" t="s">
        <v>583</v>
      </c>
      <c r="E1044" s="36">
        <v>0.34949999999999998</v>
      </c>
      <c r="F1044" s="30">
        <v>20.225499999999997</v>
      </c>
      <c r="G1044" s="33">
        <f t="shared" si="100"/>
        <v>7.0688122499999988</v>
      </c>
      <c r="H1044" s="34"/>
      <c r="I1044" s="30"/>
      <c r="J1044" s="152">
        <v>0</v>
      </c>
      <c r="L1044" s="215">
        <v>0.34949999999999998</v>
      </c>
      <c r="M1044" s="30">
        <v>17.313027999999996</v>
      </c>
      <c r="N1044" s="33">
        <f t="shared" si="101"/>
        <v>6.0509032859999978</v>
      </c>
      <c r="O1044" s="34"/>
      <c r="P1044" s="36" t="str">
        <f t="shared" si="96"/>
        <v/>
      </c>
      <c r="Q1044" s="216">
        <f t="shared" si="97"/>
        <v>0.14400000000000013</v>
      </c>
      <c r="R1044" s="216">
        <f t="shared" si="98"/>
        <v>0.14400000000000013</v>
      </c>
      <c r="S1044" s="217" t="str">
        <f t="shared" si="99"/>
        <v/>
      </c>
    </row>
    <row r="1045" spans="1:19" ht="15.75" hidden="1" thickBot="1" x14ac:dyDescent="0.3">
      <c r="A1045" s="263"/>
      <c r="B1045" s="261"/>
      <c r="C1045" s="35"/>
      <c r="D1045" s="35"/>
      <c r="E1045" s="36"/>
      <c r="F1045" s="30" t="s">
        <v>416</v>
      </c>
      <c r="G1045" s="30" t="str">
        <f t="shared" si="100"/>
        <v/>
      </c>
      <c r="H1045" s="34"/>
      <c r="I1045" s="30"/>
      <c r="J1045" s="152">
        <v>0</v>
      </c>
      <c r="L1045" s="215"/>
      <c r="M1045" s="30"/>
      <c r="N1045" s="30" t="str">
        <f t="shared" si="101"/>
        <v/>
      </c>
      <c r="O1045" s="34"/>
      <c r="P1045" s="36" t="str">
        <f t="shared" si="96"/>
        <v/>
      </c>
      <c r="Q1045" s="216" t="str">
        <f t="shared" si="97"/>
        <v/>
      </c>
      <c r="R1045" s="216" t="str">
        <f t="shared" si="98"/>
        <v/>
      </c>
      <c r="S1045" s="217" t="str">
        <f t="shared" si="99"/>
        <v/>
      </c>
    </row>
    <row r="1046" spans="1:19" ht="15.75" hidden="1" thickBot="1" x14ac:dyDescent="0.3">
      <c r="A1046" s="256" t="s">
        <v>257</v>
      </c>
      <c r="B1046" s="259" t="str">
        <f>INDEX(Orçamentária!A:B,MATCH(Composições!A1046,Orçamentária!A:A,0),2)</f>
        <v>Cuba oval de embutir</v>
      </c>
      <c r="C1046" s="40"/>
      <c r="D1046" s="25" t="s">
        <v>16</v>
      </c>
      <c r="E1046" s="26"/>
      <c r="F1046" s="41" t="s">
        <v>416</v>
      </c>
      <c r="G1046" s="27" t="str">
        <f t="shared" si="100"/>
        <v/>
      </c>
      <c r="H1046" s="28"/>
      <c r="I1046" s="29"/>
      <c r="J1046" s="152">
        <v>0</v>
      </c>
      <c r="L1046" s="218"/>
      <c r="M1046" s="41"/>
      <c r="N1046" s="27" t="str">
        <f t="shared" si="101"/>
        <v/>
      </c>
      <c r="O1046" s="28"/>
      <c r="P1046" s="36" t="str">
        <f t="shared" si="96"/>
        <v/>
      </c>
      <c r="Q1046" s="216" t="str">
        <f t="shared" si="97"/>
        <v/>
      </c>
      <c r="R1046" s="216" t="str">
        <f t="shared" si="98"/>
        <v/>
      </c>
      <c r="S1046" s="217" t="str">
        <f t="shared" si="99"/>
        <v/>
      </c>
    </row>
    <row r="1047" spans="1:19" ht="15.75" hidden="1" thickBot="1" x14ac:dyDescent="0.3">
      <c r="A1047" s="262"/>
      <c r="B1047" s="260"/>
      <c r="C1047" s="31"/>
      <c r="D1047" s="31"/>
      <c r="E1047" s="32"/>
      <c r="F1047" s="42" t="s">
        <v>416</v>
      </c>
      <c r="G1047" s="30" t="str">
        <f t="shared" si="100"/>
        <v/>
      </c>
      <c r="H1047" s="34"/>
      <c r="I1047" s="30"/>
      <c r="J1047" s="152">
        <v>0</v>
      </c>
      <c r="L1047" s="219"/>
      <c r="M1047" s="42"/>
      <c r="N1047" s="30" t="str">
        <f t="shared" si="101"/>
        <v/>
      </c>
      <c r="O1047" s="34"/>
      <c r="P1047" s="36" t="str">
        <f t="shared" si="96"/>
        <v/>
      </c>
      <c r="Q1047" s="216" t="str">
        <f t="shared" si="97"/>
        <v/>
      </c>
      <c r="R1047" s="216" t="str">
        <f t="shared" si="98"/>
        <v/>
      </c>
      <c r="S1047" s="217" t="str">
        <f t="shared" si="99"/>
        <v/>
      </c>
    </row>
    <row r="1048" spans="1:19" ht="15.75" hidden="1" thickBot="1" x14ac:dyDescent="0.3">
      <c r="A1048" s="262"/>
      <c r="B1048" s="260"/>
      <c r="C1048" s="35" t="s">
        <v>258</v>
      </c>
      <c r="D1048" s="46" t="s">
        <v>107</v>
      </c>
      <c r="E1048" s="36">
        <v>1</v>
      </c>
      <c r="F1048" s="33" t="s">
        <v>416</v>
      </c>
      <c r="G1048" s="33" t="str">
        <f t="shared" si="100"/>
        <v/>
      </c>
      <c r="H1048" s="38">
        <f>SUM(G1048:G1051)</f>
        <v>48.7234385</v>
      </c>
      <c r="I1048" s="39"/>
      <c r="J1048" s="152">
        <v>0</v>
      </c>
      <c r="L1048" s="215">
        <v>1</v>
      </c>
      <c r="M1048" s="33"/>
      <c r="N1048" s="33" t="str">
        <f t="shared" si="101"/>
        <v/>
      </c>
      <c r="O1048" s="38">
        <f>SUM(N1048:N1051)</f>
        <v>41.707263355999999</v>
      </c>
      <c r="P1048" s="36" t="str">
        <f t="shared" si="96"/>
        <v/>
      </c>
      <c r="Q1048" s="216" t="str">
        <f t="shared" si="97"/>
        <v/>
      </c>
      <c r="R1048" s="216" t="str">
        <f t="shared" si="98"/>
        <v/>
      </c>
      <c r="S1048" s="217">
        <f t="shared" si="99"/>
        <v>0.14400000000000002</v>
      </c>
    </row>
    <row r="1049" spans="1:19" ht="15.75" hidden="1" thickBot="1" x14ac:dyDescent="0.3">
      <c r="A1049" s="262"/>
      <c r="B1049" s="260"/>
      <c r="C1049" s="35" t="s">
        <v>2934</v>
      </c>
      <c r="D1049" s="35" t="s">
        <v>773</v>
      </c>
      <c r="E1049" s="36">
        <v>0.52710000000000001</v>
      </c>
      <c r="F1049" s="33">
        <v>38.826499999999996</v>
      </c>
      <c r="G1049" s="33">
        <f t="shared" si="100"/>
        <v>20.465448149999997</v>
      </c>
      <c r="H1049" s="34"/>
      <c r="I1049" s="30"/>
      <c r="J1049" s="152">
        <v>0</v>
      </c>
      <c r="L1049" s="215">
        <v>0.52710000000000001</v>
      </c>
      <c r="M1049" s="33">
        <v>33.235484</v>
      </c>
      <c r="N1049" s="33">
        <f t="shared" si="101"/>
        <v>17.5184236164</v>
      </c>
      <c r="O1049" s="34"/>
      <c r="P1049" s="36" t="str">
        <f t="shared" si="96"/>
        <v/>
      </c>
      <c r="Q1049" s="216">
        <f t="shared" si="97"/>
        <v>0.14399999999999991</v>
      </c>
      <c r="R1049" s="216">
        <f t="shared" si="98"/>
        <v>0.14399999999999991</v>
      </c>
      <c r="S1049" s="217" t="str">
        <f t="shared" si="99"/>
        <v/>
      </c>
    </row>
    <row r="1050" spans="1:19" ht="15.75" hidden="1" thickBot="1" x14ac:dyDescent="0.3">
      <c r="A1050" s="262"/>
      <c r="B1050" s="260"/>
      <c r="C1050" s="35" t="s">
        <v>584</v>
      </c>
      <c r="D1050" s="35" t="s">
        <v>583</v>
      </c>
      <c r="E1050" s="36">
        <v>0.26650000000000001</v>
      </c>
      <c r="F1050" s="30">
        <v>20.225499999999997</v>
      </c>
      <c r="G1050" s="33">
        <f t="shared" si="100"/>
        <v>5.3900957499999995</v>
      </c>
      <c r="H1050" s="34"/>
      <c r="I1050" s="30"/>
      <c r="J1050" s="152">
        <v>0</v>
      </c>
      <c r="L1050" s="215">
        <v>0.26650000000000001</v>
      </c>
      <c r="M1050" s="30">
        <v>17.313027999999996</v>
      </c>
      <c r="N1050" s="33">
        <f t="shared" si="101"/>
        <v>4.6139219619999992</v>
      </c>
      <c r="O1050" s="34"/>
      <c r="P1050" s="36" t="str">
        <f t="shared" si="96"/>
        <v/>
      </c>
      <c r="Q1050" s="216">
        <f t="shared" si="97"/>
        <v>0.14400000000000013</v>
      </c>
      <c r="R1050" s="216">
        <f t="shared" si="98"/>
        <v>0.14400000000000013</v>
      </c>
      <c r="S1050" s="217" t="str">
        <f t="shared" si="99"/>
        <v/>
      </c>
    </row>
    <row r="1051" spans="1:19" ht="15.75" hidden="1" thickBot="1" x14ac:dyDescent="0.3">
      <c r="A1051" s="262"/>
      <c r="B1051" s="260"/>
      <c r="C1051" s="35" t="s">
        <v>2906</v>
      </c>
      <c r="D1051" s="35" t="s">
        <v>583</v>
      </c>
      <c r="E1051" s="36">
        <v>0.8458</v>
      </c>
      <c r="F1051" s="30">
        <v>27.036999999999999</v>
      </c>
      <c r="G1051" s="33">
        <f t="shared" si="100"/>
        <v>22.8678946</v>
      </c>
      <c r="H1051" s="34"/>
      <c r="I1051" s="30"/>
      <c r="J1051" s="152">
        <v>0</v>
      </c>
      <c r="L1051" s="215">
        <v>0.8458</v>
      </c>
      <c r="M1051" s="30">
        <v>23.143671999999999</v>
      </c>
      <c r="N1051" s="33">
        <f t="shared" si="101"/>
        <v>19.5749177776</v>
      </c>
      <c r="O1051" s="34"/>
      <c r="P1051" s="36" t="str">
        <f t="shared" si="96"/>
        <v/>
      </c>
      <c r="Q1051" s="216">
        <f t="shared" si="97"/>
        <v>0.14400000000000002</v>
      </c>
      <c r="R1051" s="216">
        <f t="shared" si="98"/>
        <v>0.14400000000000002</v>
      </c>
      <c r="S1051" s="217" t="str">
        <f t="shared" si="99"/>
        <v/>
      </c>
    </row>
    <row r="1052" spans="1:19" ht="15.75" hidden="1" thickBot="1" x14ac:dyDescent="0.3">
      <c r="A1052" s="263"/>
      <c r="B1052" s="261"/>
      <c r="C1052" s="35"/>
      <c r="D1052" s="35"/>
      <c r="E1052" s="36"/>
      <c r="F1052" s="30" t="s">
        <v>416</v>
      </c>
      <c r="G1052" s="30" t="str">
        <f t="shared" si="100"/>
        <v/>
      </c>
      <c r="H1052" s="34"/>
      <c r="I1052" s="30"/>
      <c r="J1052" s="152">
        <v>0</v>
      </c>
      <c r="L1052" s="215"/>
      <c r="M1052" s="30"/>
      <c r="N1052" s="30" t="str">
        <f t="shared" si="101"/>
        <v/>
      </c>
      <c r="O1052" s="34"/>
      <c r="P1052" s="36" t="str">
        <f t="shared" si="96"/>
        <v/>
      </c>
      <c r="Q1052" s="216" t="str">
        <f t="shared" si="97"/>
        <v/>
      </c>
      <c r="R1052" s="216" t="str">
        <f t="shared" si="98"/>
        <v/>
      </c>
      <c r="S1052" s="217" t="str">
        <f t="shared" si="99"/>
        <v/>
      </c>
    </row>
    <row r="1053" spans="1:19" ht="15.75" hidden="1" thickBot="1" x14ac:dyDescent="0.3">
      <c r="A1053" s="256" t="s">
        <v>259</v>
      </c>
      <c r="B1053" s="259" t="str">
        <f>INDEX(Orçamentária!A:B,MATCH(Composições!A1053,Orçamentária!A:A,0),2)</f>
        <v>Cuba retangular em aço inox</v>
      </c>
      <c r="C1053" s="40"/>
      <c r="D1053" s="25" t="s">
        <v>16</v>
      </c>
      <c r="E1053" s="26"/>
      <c r="F1053" s="41" t="s">
        <v>416</v>
      </c>
      <c r="G1053" s="27" t="str">
        <f t="shared" si="100"/>
        <v/>
      </c>
      <c r="H1053" s="28"/>
      <c r="I1053" s="29"/>
      <c r="J1053" s="152">
        <v>0</v>
      </c>
      <c r="L1053" s="218"/>
      <c r="M1053" s="41"/>
      <c r="N1053" s="27" t="str">
        <f t="shared" si="101"/>
        <v/>
      </c>
      <c r="O1053" s="28"/>
      <c r="P1053" s="36" t="str">
        <f t="shared" si="96"/>
        <v/>
      </c>
      <c r="Q1053" s="216" t="str">
        <f t="shared" si="97"/>
        <v/>
      </c>
      <c r="R1053" s="216" t="str">
        <f t="shared" si="98"/>
        <v/>
      </c>
      <c r="S1053" s="217" t="str">
        <f t="shared" si="99"/>
        <v/>
      </c>
    </row>
    <row r="1054" spans="1:19" ht="15.75" hidden="1" thickBot="1" x14ac:dyDescent="0.3">
      <c r="A1054" s="262"/>
      <c r="B1054" s="260"/>
      <c r="C1054" s="31"/>
      <c r="D1054" s="31"/>
      <c r="E1054" s="32"/>
      <c r="F1054" s="42" t="s">
        <v>416</v>
      </c>
      <c r="G1054" s="30" t="str">
        <f t="shared" si="100"/>
        <v/>
      </c>
      <c r="H1054" s="34"/>
      <c r="I1054" s="30"/>
      <c r="J1054" s="152">
        <v>0</v>
      </c>
      <c r="L1054" s="219"/>
      <c r="M1054" s="42"/>
      <c r="N1054" s="30" t="str">
        <f t="shared" si="101"/>
        <v/>
      </c>
      <c r="O1054" s="34"/>
      <c r="P1054" s="36" t="str">
        <f t="shared" si="96"/>
        <v/>
      </c>
      <c r="Q1054" s="216" t="str">
        <f t="shared" si="97"/>
        <v/>
      </c>
      <c r="R1054" s="216" t="str">
        <f t="shared" si="98"/>
        <v/>
      </c>
      <c r="S1054" s="217" t="str">
        <f t="shared" si="99"/>
        <v/>
      </c>
    </row>
    <row r="1055" spans="1:19" ht="39" hidden="1" thickBot="1" x14ac:dyDescent="0.3">
      <c r="A1055" s="262"/>
      <c r="B1055" s="260"/>
      <c r="C1055" s="35" t="s">
        <v>260</v>
      </c>
      <c r="D1055" s="46" t="s">
        <v>107</v>
      </c>
      <c r="E1055" s="36">
        <v>1</v>
      </c>
      <c r="F1055" s="33" t="s">
        <v>416</v>
      </c>
      <c r="G1055" s="33" t="str">
        <f t="shared" si="100"/>
        <v/>
      </c>
      <c r="H1055" s="38">
        <f>SUM(G1055:G1058)</f>
        <v>27.496380099999996</v>
      </c>
      <c r="I1055" s="39"/>
      <c r="J1055" s="152">
        <v>0</v>
      </c>
      <c r="L1055" s="215">
        <v>1</v>
      </c>
      <c r="M1055" s="33"/>
      <c r="N1055" s="33" t="str">
        <f t="shared" si="101"/>
        <v/>
      </c>
      <c r="O1055" s="38">
        <f>SUM(N1055:N1058)</f>
        <v>23.536901365599995</v>
      </c>
      <c r="P1055" s="36" t="str">
        <f t="shared" si="96"/>
        <v/>
      </c>
      <c r="Q1055" s="216" t="str">
        <f t="shared" si="97"/>
        <v/>
      </c>
      <c r="R1055" s="216" t="str">
        <f t="shared" si="98"/>
        <v/>
      </c>
      <c r="S1055" s="217">
        <f t="shared" si="99"/>
        <v>0.14400000000000002</v>
      </c>
    </row>
    <row r="1056" spans="1:19" ht="15.75" hidden="1" thickBot="1" x14ac:dyDescent="0.3">
      <c r="A1056" s="262"/>
      <c r="B1056" s="260"/>
      <c r="C1056" s="35" t="s">
        <v>2934</v>
      </c>
      <c r="D1056" s="35" t="s">
        <v>773</v>
      </c>
      <c r="E1056" s="36">
        <v>0.2974</v>
      </c>
      <c r="F1056" s="33">
        <v>38.826499999999996</v>
      </c>
      <c r="G1056" s="33">
        <f t="shared" si="100"/>
        <v>11.547001099999999</v>
      </c>
      <c r="H1056" s="34"/>
      <c r="I1056" s="30"/>
      <c r="J1056" s="152">
        <v>0</v>
      </c>
      <c r="L1056" s="215">
        <v>0.2974</v>
      </c>
      <c r="M1056" s="33">
        <v>33.235484</v>
      </c>
      <c r="N1056" s="33">
        <f t="shared" si="101"/>
        <v>9.8842329416000005</v>
      </c>
      <c r="O1056" s="34"/>
      <c r="P1056" s="36" t="str">
        <f t="shared" si="96"/>
        <v/>
      </c>
      <c r="Q1056" s="216">
        <f t="shared" si="97"/>
        <v>0.14399999999999991</v>
      </c>
      <c r="R1056" s="216">
        <f t="shared" si="98"/>
        <v>0.14399999999999991</v>
      </c>
      <c r="S1056" s="217" t="str">
        <f t="shared" si="99"/>
        <v/>
      </c>
    </row>
    <row r="1057" spans="1:19" ht="15.75" hidden="1" thickBot="1" x14ac:dyDescent="0.3">
      <c r="A1057" s="262"/>
      <c r="B1057" s="260"/>
      <c r="C1057" s="35" t="s">
        <v>2906</v>
      </c>
      <c r="D1057" s="35" t="s">
        <v>583</v>
      </c>
      <c r="E1057" s="36">
        <v>0.47739999999999999</v>
      </c>
      <c r="F1057" s="30">
        <v>27.036999999999999</v>
      </c>
      <c r="G1057" s="33">
        <f t="shared" si="100"/>
        <v>12.907463799999999</v>
      </c>
      <c r="H1057" s="34"/>
      <c r="I1057" s="30"/>
      <c r="J1057" s="152">
        <v>0</v>
      </c>
      <c r="L1057" s="215">
        <v>0.47739999999999999</v>
      </c>
      <c r="M1057" s="30">
        <v>23.143671999999999</v>
      </c>
      <c r="N1057" s="33">
        <f t="shared" si="101"/>
        <v>11.048789012799999</v>
      </c>
      <c r="O1057" s="34"/>
      <c r="P1057" s="36" t="str">
        <f t="shared" si="96"/>
        <v/>
      </c>
      <c r="Q1057" s="216">
        <f t="shared" si="97"/>
        <v>0.14400000000000002</v>
      </c>
      <c r="R1057" s="216">
        <f t="shared" si="98"/>
        <v>0.14400000000000002</v>
      </c>
      <c r="S1057" s="217" t="str">
        <f t="shared" si="99"/>
        <v/>
      </c>
    </row>
    <row r="1058" spans="1:19" ht="15.75" hidden="1" thickBot="1" x14ac:dyDescent="0.3">
      <c r="A1058" s="262"/>
      <c r="B1058" s="260"/>
      <c r="C1058" s="35" t="s">
        <v>584</v>
      </c>
      <c r="D1058" s="35" t="s">
        <v>583</v>
      </c>
      <c r="E1058" s="36">
        <v>0.15040000000000001</v>
      </c>
      <c r="F1058" s="30">
        <v>20.225499999999997</v>
      </c>
      <c r="G1058" s="33">
        <f t="shared" si="100"/>
        <v>3.0419151999999996</v>
      </c>
      <c r="H1058" s="34"/>
      <c r="I1058" s="30"/>
      <c r="J1058" s="152">
        <v>0</v>
      </c>
      <c r="L1058" s="215">
        <v>0.15040000000000001</v>
      </c>
      <c r="M1058" s="30">
        <v>17.313027999999996</v>
      </c>
      <c r="N1058" s="33">
        <f t="shared" si="101"/>
        <v>2.6038794111999994</v>
      </c>
      <c r="O1058" s="34"/>
      <c r="P1058" s="36" t="str">
        <f t="shared" si="96"/>
        <v/>
      </c>
      <c r="Q1058" s="216">
        <f t="shared" si="97"/>
        <v>0.14400000000000013</v>
      </c>
      <c r="R1058" s="216">
        <f t="shared" si="98"/>
        <v>0.14400000000000002</v>
      </c>
      <c r="S1058" s="217" t="str">
        <f t="shared" si="99"/>
        <v/>
      </c>
    </row>
    <row r="1059" spans="1:19" ht="15.75" hidden="1" thickBot="1" x14ac:dyDescent="0.3">
      <c r="A1059" s="263"/>
      <c r="B1059" s="261"/>
      <c r="C1059" s="35"/>
      <c r="D1059" s="35"/>
      <c r="E1059" s="36"/>
      <c r="F1059" s="30" t="s">
        <v>416</v>
      </c>
      <c r="G1059" s="30" t="str">
        <f t="shared" si="100"/>
        <v/>
      </c>
      <c r="H1059" s="34"/>
      <c r="I1059" s="30"/>
      <c r="J1059" s="152">
        <v>0</v>
      </c>
      <c r="L1059" s="215"/>
      <c r="M1059" s="30"/>
      <c r="N1059" s="30" t="str">
        <f t="shared" si="101"/>
        <v/>
      </c>
      <c r="O1059" s="34"/>
      <c r="P1059" s="36" t="str">
        <f t="shared" si="96"/>
        <v/>
      </c>
      <c r="Q1059" s="216" t="str">
        <f t="shared" si="97"/>
        <v/>
      </c>
      <c r="R1059" s="216" t="str">
        <f t="shared" si="98"/>
        <v/>
      </c>
      <c r="S1059" s="217" t="str">
        <f t="shared" si="99"/>
        <v/>
      </c>
    </row>
    <row r="1060" spans="1:19" ht="15.75" hidden="1" thickBot="1" x14ac:dyDescent="0.3">
      <c r="A1060" s="256" t="s">
        <v>261</v>
      </c>
      <c r="B1060" s="259" t="str">
        <f>INDEX(Orçamentária!A:B,MATCH(Composições!A1060,Orçamentária!A:A,0),2)</f>
        <v>Cuba semiencaixe quadrada com mesa</v>
      </c>
      <c r="C1060" s="40"/>
      <c r="D1060" s="25" t="s">
        <v>16</v>
      </c>
      <c r="E1060" s="26"/>
      <c r="F1060" s="41" t="s">
        <v>416</v>
      </c>
      <c r="G1060" s="27" t="str">
        <f t="shared" si="100"/>
        <v/>
      </c>
      <c r="H1060" s="28"/>
      <c r="I1060" s="29"/>
      <c r="J1060" s="152">
        <v>0</v>
      </c>
      <c r="L1060" s="218"/>
      <c r="M1060" s="41"/>
      <c r="N1060" s="27" t="str">
        <f t="shared" si="101"/>
        <v/>
      </c>
      <c r="O1060" s="28"/>
      <c r="P1060" s="36" t="str">
        <f t="shared" si="96"/>
        <v/>
      </c>
      <c r="Q1060" s="216" t="str">
        <f t="shared" si="97"/>
        <v/>
      </c>
      <c r="R1060" s="216" t="str">
        <f t="shared" si="98"/>
        <v/>
      </c>
      <c r="S1060" s="217" t="str">
        <f t="shared" si="99"/>
        <v/>
      </c>
    </row>
    <row r="1061" spans="1:19" ht="15.75" hidden="1" thickBot="1" x14ac:dyDescent="0.3">
      <c r="A1061" s="262"/>
      <c r="B1061" s="260"/>
      <c r="C1061" s="31"/>
      <c r="D1061" s="31"/>
      <c r="E1061" s="32"/>
      <c r="F1061" s="42" t="s">
        <v>416</v>
      </c>
      <c r="G1061" s="30" t="str">
        <f t="shared" si="100"/>
        <v/>
      </c>
      <c r="H1061" s="34"/>
      <c r="I1061" s="30"/>
      <c r="J1061" s="152">
        <v>0</v>
      </c>
      <c r="L1061" s="219"/>
      <c r="M1061" s="42"/>
      <c r="N1061" s="30" t="str">
        <f t="shared" si="101"/>
        <v/>
      </c>
      <c r="O1061" s="34"/>
      <c r="P1061" s="36" t="str">
        <f t="shared" si="96"/>
        <v/>
      </c>
      <c r="Q1061" s="216" t="str">
        <f t="shared" si="97"/>
        <v/>
      </c>
      <c r="R1061" s="216" t="str">
        <f t="shared" si="98"/>
        <v/>
      </c>
      <c r="S1061" s="217" t="str">
        <f t="shared" si="99"/>
        <v/>
      </c>
    </row>
    <row r="1062" spans="1:19" ht="15.75" hidden="1" thickBot="1" x14ac:dyDescent="0.3">
      <c r="A1062" s="262"/>
      <c r="B1062" s="260"/>
      <c r="C1062" s="35" t="s">
        <v>262</v>
      </c>
      <c r="D1062" s="46" t="s">
        <v>107</v>
      </c>
      <c r="E1062" s="36">
        <v>1</v>
      </c>
      <c r="F1062" s="33" t="s">
        <v>416</v>
      </c>
      <c r="G1062" s="33" t="str">
        <f t="shared" si="100"/>
        <v/>
      </c>
      <c r="H1062" s="38">
        <f>SUM(G1062:G1065)</f>
        <v>48.7234385</v>
      </c>
      <c r="I1062" s="39"/>
      <c r="J1062" s="152">
        <v>0</v>
      </c>
      <c r="L1062" s="215">
        <v>1</v>
      </c>
      <c r="M1062" s="33"/>
      <c r="N1062" s="33" t="str">
        <f t="shared" si="101"/>
        <v/>
      </c>
      <c r="O1062" s="38">
        <f>SUM(N1062:N1065)</f>
        <v>41.707263355999999</v>
      </c>
      <c r="P1062" s="36" t="str">
        <f t="shared" si="96"/>
        <v/>
      </c>
      <c r="Q1062" s="216" t="str">
        <f t="shared" si="97"/>
        <v/>
      </c>
      <c r="R1062" s="216" t="str">
        <f t="shared" si="98"/>
        <v/>
      </c>
      <c r="S1062" s="217">
        <f t="shared" si="99"/>
        <v>0.14400000000000002</v>
      </c>
    </row>
    <row r="1063" spans="1:19" ht="15.75" hidden="1" thickBot="1" x14ac:dyDescent="0.3">
      <c r="A1063" s="262"/>
      <c r="B1063" s="260"/>
      <c r="C1063" s="35" t="s">
        <v>2934</v>
      </c>
      <c r="D1063" s="35" t="s">
        <v>773</v>
      </c>
      <c r="E1063" s="36">
        <v>0.52710000000000001</v>
      </c>
      <c r="F1063" s="33">
        <v>38.826499999999996</v>
      </c>
      <c r="G1063" s="33">
        <f t="shared" si="100"/>
        <v>20.465448149999997</v>
      </c>
      <c r="H1063" s="34"/>
      <c r="I1063" s="30"/>
      <c r="J1063" s="152">
        <v>0</v>
      </c>
      <c r="L1063" s="215">
        <v>0.52710000000000001</v>
      </c>
      <c r="M1063" s="33">
        <v>33.235484</v>
      </c>
      <c r="N1063" s="33">
        <f t="shared" si="101"/>
        <v>17.5184236164</v>
      </c>
      <c r="O1063" s="34"/>
      <c r="P1063" s="36" t="str">
        <f t="shared" si="96"/>
        <v/>
      </c>
      <c r="Q1063" s="216">
        <f t="shared" si="97"/>
        <v>0.14399999999999991</v>
      </c>
      <c r="R1063" s="216">
        <f t="shared" si="98"/>
        <v>0.14399999999999991</v>
      </c>
      <c r="S1063" s="217" t="str">
        <f t="shared" si="99"/>
        <v/>
      </c>
    </row>
    <row r="1064" spans="1:19" ht="15.75" hidden="1" thickBot="1" x14ac:dyDescent="0.3">
      <c r="A1064" s="262"/>
      <c r="B1064" s="260"/>
      <c r="C1064" s="35" t="s">
        <v>584</v>
      </c>
      <c r="D1064" s="35" t="s">
        <v>583</v>
      </c>
      <c r="E1064" s="36">
        <v>0.26650000000000001</v>
      </c>
      <c r="F1064" s="30">
        <v>20.225499999999997</v>
      </c>
      <c r="G1064" s="33">
        <f t="shared" si="100"/>
        <v>5.3900957499999995</v>
      </c>
      <c r="H1064" s="34"/>
      <c r="I1064" s="30"/>
      <c r="J1064" s="152">
        <v>0</v>
      </c>
      <c r="L1064" s="215">
        <v>0.26650000000000001</v>
      </c>
      <c r="M1064" s="30">
        <v>17.313027999999996</v>
      </c>
      <c r="N1064" s="33">
        <f t="shared" si="101"/>
        <v>4.6139219619999992</v>
      </c>
      <c r="O1064" s="34"/>
      <c r="P1064" s="36" t="str">
        <f t="shared" si="96"/>
        <v/>
      </c>
      <c r="Q1064" s="216">
        <f t="shared" si="97"/>
        <v>0.14400000000000013</v>
      </c>
      <c r="R1064" s="216">
        <f t="shared" si="98"/>
        <v>0.14400000000000013</v>
      </c>
      <c r="S1064" s="217" t="str">
        <f t="shared" si="99"/>
        <v/>
      </c>
    </row>
    <row r="1065" spans="1:19" ht="15.75" hidden="1" thickBot="1" x14ac:dyDescent="0.3">
      <c r="A1065" s="262"/>
      <c r="B1065" s="260"/>
      <c r="C1065" s="35" t="s">
        <v>2906</v>
      </c>
      <c r="D1065" s="35" t="s">
        <v>583</v>
      </c>
      <c r="E1065" s="36">
        <v>0.8458</v>
      </c>
      <c r="F1065" s="30">
        <v>27.036999999999999</v>
      </c>
      <c r="G1065" s="33">
        <f t="shared" si="100"/>
        <v>22.8678946</v>
      </c>
      <c r="H1065" s="34"/>
      <c r="I1065" s="30"/>
      <c r="J1065" s="152">
        <v>0</v>
      </c>
      <c r="L1065" s="215">
        <v>0.8458</v>
      </c>
      <c r="M1065" s="30">
        <v>23.143671999999999</v>
      </c>
      <c r="N1065" s="33">
        <f t="shared" si="101"/>
        <v>19.5749177776</v>
      </c>
      <c r="O1065" s="34"/>
      <c r="P1065" s="36" t="str">
        <f t="shared" si="96"/>
        <v/>
      </c>
      <c r="Q1065" s="216">
        <f t="shared" si="97"/>
        <v>0.14400000000000002</v>
      </c>
      <c r="R1065" s="216">
        <f t="shared" si="98"/>
        <v>0.14400000000000002</v>
      </c>
      <c r="S1065" s="217" t="str">
        <f t="shared" si="99"/>
        <v/>
      </c>
    </row>
    <row r="1066" spans="1:19" ht="15.75" hidden="1" thickBot="1" x14ac:dyDescent="0.3">
      <c r="A1066" s="263"/>
      <c r="B1066" s="261"/>
      <c r="C1066" s="35"/>
      <c r="D1066" s="35"/>
      <c r="E1066" s="36"/>
      <c r="F1066" s="30" t="s">
        <v>416</v>
      </c>
      <c r="G1066" s="30" t="str">
        <f t="shared" si="100"/>
        <v/>
      </c>
      <c r="H1066" s="34"/>
      <c r="I1066" s="30"/>
      <c r="J1066" s="152">
        <v>0</v>
      </c>
      <c r="L1066" s="215"/>
      <c r="M1066" s="30"/>
      <c r="N1066" s="30" t="str">
        <f t="shared" si="101"/>
        <v/>
      </c>
      <c r="O1066" s="34"/>
      <c r="P1066" s="36" t="str">
        <f t="shared" si="96"/>
        <v/>
      </c>
      <c r="Q1066" s="216" t="str">
        <f t="shared" si="97"/>
        <v/>
      </c>
      <c r="R1066" s="216" t="str">
        <f t="shared" si="98"/>
        <v/>
      </c>
      <c r="S1066" s="217" t="str">
        <f t="shared" si="99"/>
        <v/>
      </c>
    </row>
    <row r="1067" spans="1:19" ht="15.75" hidden="1" thickBot="1" x14ac:dyDescent="0.3">
      <c r="A1067" s="256" t="s">
        <v>263</v>
      </c>
      <c r="B1067" s="259" t="str">
        <f>INDEX(Orçamentária!A:B,MATCH(Composições!A1067,Orçamentária!A:A,0),2)</f>
        <v>Instalação de lavatório reaproveitado</v>
      </c>
      <c r="C1067" s="40"/>
      <c r="D1067" s="25" t="s">
        <v>16</v>
      </c>
      <c r="E1067" s="26"/>
      <c r="F1067" s="41" t="s">
        <v>416</v>
      </c>
      <c r="G1067" s="27" t="str">
        <f t="shared" si="100"/>
        <v/>
      </c>
      <c r="H1067" s="28"/>
      <c r="I1067" s="29"/>
      <c r="J1067" s="152">
        <v>0</v>
      </c>
      <c r="L1067" s="218"/>
      <c r="M1067" s="41"/>
      <c r="N1067" s="27" t="str">
        <f t="shared" si="101"/>
        <v/>
      </c>
      <c r="O1067" s="28"/>
      <c r="P1067" s="36" t="str">
        <f t="shared" si="96"/>
        <v/>
      </c>
      <c r="Q1067" s="216" t="str">
        <f t="shared" si="97"/>
        <v/>
      </c>
      <c r="R1067" s="216" t="str">
        <f t="shared" si="98"/>
        <v/>
      </c>
      <c r="S1067" s="217" t="str">
        <f t="shared" si="99"/>
        <v/>
      </c>
    </row>
    <row r="1068" spans="1:19" ht="15.75" hidden="1" thickBot="1" x14ac:dyDescent="0.3">
      <c r="A1068" s="262"/>
      <c r="B1068" s="260"/>
      <c r="C1068" s="31"/>
      <c r="D1068" s="31"/>
      <c r="E1068" s="32"/>
      <c r="F1068" s="42" t="s">
        <v>416</v>
      </c>
      <c r="G1068" s="30" t="str">
        <f t="shared" si="100"/>
        <v/>
      </c>
      <c r="H1068" s="34"/>
      <c r="I1068" s="30"/>
      <c r="J1068" s="152">
        <v>0</v>
      </c>
      <c r="L1068" s="219"/>
      <c r="M1068" s="42"/>
      <c r="N1068" s="30" t="str">
        <f t="shared" si="101"/>
        <v/>
      </c>
      <c r="O1068" s="34"/>
      <c r="P1068" s="36" t="str">
        <f t="shared" si="96"/>
        <v/>
      </c>
      <c r="Q1068" s="216" t="str">
        <f t="shared" si="97"/>
        <v/>
      </c>
      <c r="R1068" s="216" t="str">
        <f t="shared" si="98"/>
        <v/>
      </c>
      <c r="S1068" s="217" t="str">
        <f t="shared" si="99"/>
        <v/>
      </c>
    </row>
    <row r="1069" spans="1:19" ht="39" hidden="1" thickBot="1" x14ac:dyDescent="0.3">
      <c r="A1069" s="262"/>
      <c r="B1069" s="260"/>
      <c r="C1069" s="35" t="s">
        <v>8309</v>
      </c>
      <c r="D1069" s="35" t="s">
        <v>213</v>
      </c>
      <c r="E1069" s="36">
        <v>2</v>
      </c>
      <c r="F1069" s="33">
        <v>16.900499999999997</v>
      </c>
      <c r="G1069" s="33">
        <f t="shared" si="100"/>
        <v>33.800999999999995</v>
      </c>
      <c r="H1069" s="38">
        <f>SUM(G1069:G1072)</f>
        <v>50.201165399999994</v>
      </c>
      <c r="I1069" s="39"/>
      <c r="J1069" s="152">
        <v>0</v>
      </c>
      <c r="L1069" s="215">
        <v>2</v>
      </c>
      <c r="M1069" s="33">
        <v>14.466827999999998</v>
      </c>
      <c r="N1069" s="33">
        <f t="shared" si="101"/>
        <v>28.933655999999996</v>
      </c>
      <c r="O1069" s="38">
        <f>SUM(N1069:N1072)</f>
        <v>42.972197582399993</v>
      </c>
      <c r="P1069" s="36" t="str">
        <f t="shared" si="96"/>
        <v/>
      </c>
      <c r="Q1069" s="216">
        <f t="shared" si="97"/>
        <v>0.14400000000000002</v>
      </c>
      <c r="R1069" s="216">
        <f t="shared" si="98"/>
        <v>0.14400000000000002</v>
      </c>
      <c r="S1069" s="217">
        <f t="shared" si="99"/>
        <v>0.14400000000000002</v>
      </c>
    </row>
    <row r="1070" spans="1:19" ht="15.75" hidden="1" thickBot="1" x14ac:dyDescent="0.3">
      <c r="A1070" s="262"/>
      <c r="B1070" s="260"/>
      <c r="C1070" s="35" t="s">
        <v>3061</v>
      </c>
      <c r="D1070" s="35" t="s">
        <v>773</v>
      </c>
      <c r="E1070" s="36">
        <v>3.04E-2</v>
      </c>
      <c r="F1070" s="33">
        <v>72.836500000000001</v>
      </c>
      <c r="G1070" s="33">
        <f t="shared" si="100"/>
        <v>2.2142295999999999</v>
      </c>
      <c r="H1070" s="34"/>
      <c r="I1070" s="30"/>
      <c r="J1070" s="152">
        <v>0</v>
      </c>
      <c r="L1070" s="215">
        <v>3.04E-2</v>
      </c>
      <c r="M1070" s="33">
        <v>62.348044000000002</v>
      </c>
      <c r="N1070" s="33">
        <f t="shared" si="101"/>
        <v>1.8953805376000001</v>
      </c>
      <c r="O1070" s="34"/>
      <c r="P1070" s="36" t="str">
        <f t="shared" si="96"/>
        <v/>
      </c>
      <c r="Q1070" s="216">
        <f t="shared" si="97"/>
        <v>0.14400000000000002</v>
      </c>
      <c r="R1070" s="216">
        <f t="shared" si="98"/>
        <v>0.14399999999999991</v>
      </c>
      <c r="S1070" s="217" t="str">
        <f t="shared" si="99"/>
        <v/>
      </c>
    </row>
    <row r="1071" spans="1:19" ht="26.25" hidden="1" thickBot="1" x14ac:dyDescent="0.3">
      <c r="A1071" s="262"/>
      <c r="B1071" s="260"/>
      <c r="C1071" s="35" t="s">
        <v>825</v>
      </c>
      <c r="D1071" s="35" t="s">
        <v>583</v>
      </c>
      <c r="E1071" s="36">
        <v>0.38700000000000001</v>
      </c>
      <c r="F1071" s="30">
        <v>26.799499999999998</v>
      </c>
      <c r="G1071" s="33">
        <f t="shared" si="100"/>
        <v>10.371406499999999</v>
      </c>
      <c r="H1071" s="34"/>
      <c r="I1071" s="30"/>
      <c r="J1071" s="152">
        <v>0</v>
      </c>
      <c r="L1071" s="215">
        <v>0.38700000000000001</v>
      </c>
      <c r="M1071" s="30">
        <v>22.940372</v>
      </c>
      <c r="N1071" s="33">
        <f t="shared" si="101"/>
        <v>8.8779239640000007</v>
      </c>
      <c r="O1071" s="34"/>
      <c r="P1071" s="36" t="str">
        <f t="shared" si="96"/>
        <v/>
      </c>
      <c r="Q1071" s="216">
        <f t="shared" si="97"/>
        <v>0.14399999999999991</v>
      </c>
      <c r="R1071" s="216">
        <f t="shared" si="98"/>
        <v>0.14399999999999991</v>
      </c>
      <c r="S1071" s="217" t="str">
        <f t="shared" si="99"/>
        <v/>
      </c>
    </row>
    <row r="1072" spans="1:19" ht="15.75" hidden="1" thickBot="1" x14ac:dyDescent="0.3">
      <c r="A1072" s="262"/>
      <c r="B1072" s="260"/>
      <c r="C1072" s="35" t="s">
        <v>584</v>
      </c>
      <c r="D1072" s="35" t="s">
        <v>583</v>
      </c>
      <c r="E1072" s="36">
        <v>0.18859999999999999</v>
      </c>
      <c r="F1072" s="30">
        <v>20.225499999999997</v>
      </c>
      <c r="G1072" s="33">
        <f t="shared" si="100"/>
        <v>3.8145292999999993</v>
      </c>
      <c r="H1072" s="34"/>
      <c r="I1072" s="30"/>
      <c r="J1072" s="152">
        <v>0</v>
      </c>
      <c r="L1072" s="215">
        <v>0.18859999999999999</v>
      </c>
      <c r="M1072" s="30">
        <v>17.313027999999996</v>
      </c>
      <c r="N1072" s="33">
        <f t="shared" si="101"/>
        <v>3.2652370807999991</v>
      </c>
      <c r="O1072" s="34"/>
      <c r="P1072" s="36" t="str">
        <f t="shared" si="96"/>
        <v/>
      </c>
      <c r="Q1072" s="216">
        <f t="shared" si="97"/>
        <v>0.14400000000000013</v>
      </c>
      <c r="R1072" s="216">
        <f t="shared" si="98"/>
        <v>0.14400000000000013</v>
      </c>
      <c r="S1072" s="217" t="str">
        <f t="shared" si="99"/>
        <v/>
      </c>
    </row>
    <row r="1073" spans="1:19" ht="15.75" hidden="1" thickBot="1" x14ac:dyDescent="0.3">
      <c r="A1073" s="262"/>
      <c r="B1073" s="260"/>
      <c r="C1073" s="35"/>
      <c r="D1073" s="46"/>
      <c r="E1073" s="36"/>
      <c r="F1073" s="33" t="s">
        <v>416</v>
      </c>
      <c r="G1073" s="33" t="str">
        <f t="shared" si="100"/>
        <v/>
      </c>
      <c r="H1073" s="34"/>
      <c r="I1073" s="30"/>
      <c r="J1073" s="152">
        <v>0</v>
      </c>
      <c r="L1073" s="215"/>
      <c r="M1073" s="33"/>
      <c r="N1073" s="33" t="str">
        <f t="shared" si="101"/>
        <v/>
      </c>
      <c r="O1073" s="34"/>
      <c r="P1073" s="36" t="str">
        <f t="shared" si="96"/>
        <v/>
      </c>
      <c r="Q1073" s="216" t="str">
        <f t="shared" si="97"/>
        <v/>
      </c>
      <c r="R1073" s="216" t="str">
        <f t="shared" si="98"/>
        <v/>
      </c>
      <c r="S1073" s="217" t="str">
        <f t="shared" si="99"/>
        <v/>
      </c>
    </row>
    <row r="1074" spans="1:19" ht="15.75" hidden="1" thickBot="1" x14ac:dyDescent="0.3">
      <c r="A1074" s="256" t="s">
        <v>264</v>
      </c>
      <c r="B1074" s="259" t="str">
        <f>INDEX(Orçamentária!A:B,MATCH(Composições!A1074,Orçamentária!A:A,0),2)</f>
        <v>Instalação de mictório reaproveitado</v>
      </c>
      <c r="C1074" s="40"/>
      <c r="D1074" s="25" t="s">
        <v>16</v>
      </c>
      <c r="E1074" s="26"/>
      <c r="F1074" s="41" t="s">
        <v>416</v>
      </c>
      <c r="G1074" s="27" t="str">
        <f t="shared" si="100"/>
        <v/>
      </c>
      <c r="H1074" s="28"/>
      <c r="I1074" s="29"/>
      <c r="J1074" s="152">
        <v>0</v>
      </c>
      <c r="L1074" s="218"/>
      <c r="M1074" s="41"/>
      <c r="N1074" s="27" t="str">
        <f t="shared" si="101"/>
        <v/>
      </c>
      <c r="O1074" s="28"/>
      <c r="P1074" s="36" t="str">
        <f t="shared" si="96"/>
        <v/>
      </c>
      <c r="Q1074" s="216" t="str">
        <f t="shared" si="97"/>
        <v/>
      </c>
      <c r="R1074" s="216" t="str">
        <f t="shared" si="98"/>
        <v/>
      </c>
      <c r="S1074" s="217" t="str">
        <f t="shared" si="99"/>
        <v/>
      </c>
    </row>
    <row r="1075" spans="1:19" ht="15.75" hidden="1" thickBot="1" x14ac:dyDescent="0.3">
      <c r="A1075" s="262"/>
      <c r="B1075" s="260"/>
      <c r="C1075" s="31"/>
      <c r="D1075" s="31"/>
      <c r="E1075" s="32"/>
      <c r="F1075" s="42" t="s">
        <v>416</v>
      </c>
      <c r="G1075" s="30" t="str">
        <f t="shared" si="100"/>
        <v/>
      </c>
      <c r="H1075" s="34"/>
      <c r="I1075" s="30"/>
      <c r="J1075" s="152">
        <v>0</v>
      </c>
      <c r="L1075" s="219"/>
      <c r="M1075" s="42"/>
      <c r="N1075" s="30" t="str">
        <f t="shared" si="101"/>
        <v/>
      </c>
      <c r="O1075" s="34"/>
      <c r="P1075" s="36" t="str">
        <f t="shared" si="96"/>
        <v/>
      </c>
      <c r="Q1075" s="216" t="str">
        <f t="shared" si="97"/>
        <v/>
      </c>
      <c r="R1075" s="216" t="str">
        <f t="shared" si="98"/>
        <v/>
      </c>
      <c r="S1075" s="217" t="str">
        <f t="shared" si="99"/>
        <v/>
      </c>
    </row>
    <row r="1076" spans="1:19" ht="39" hidden="1" thickBot="1" x14ac:dyDescent="0.3">
      <c r="A1076" s="262"/>
      <c r="B1076" s="260"/>
      <c r="C1076" s="35" t="s">
        <v>8309</v>
      </c>
      <c r="D1076" s="35" t="s">
        <v>213</v>
      </c>
      <c r="E1076" s="36">
        <v>2</v>
      </c>
      <c r="F1076" s="33">
        <v>16.900499999999997</v>
      </c>
      <c r="G1076" s="30">
        <f t="shared" si="100"/>
        <v>33.800999999999995</v>
      </c>
      <c r="H1076" s="38">
        <f>SUM(G1076:G1079)</f>
        <v>50.684570999999991</v>
      </c>
      <c r="I1076" s="39"/>
      <c r="J1076" s="152">
        <v>0</v>
      </c>
      <c r="L1076" s="215">
        <v>2</v>
      </c>
      <c r="M1076" s="33">
        <v>14.466827999999998</v>
      </c>
      <c r="N1076" s="30">
        <f t="shared" si="101"/>
        <v>28.933655999999996</v>
      </c>
      <c r="O1076" s="38">
        <f>SUM(N1076:N1079)</f>
        <v>43.385992775999995</v>
      </c>
      <c r="P1076" s="36" t="str">
        <f t="shared" si="96"/>
        <v/>
      </c>
      <c r="Q1076" s="216">
        <f t="shared" si="97"/>
        <v>0.14400000000000002</v>
      </c>
      <c r="R1076" s="216">
        <f t="shared" si="98"/>
        <v>0.14400000000000002</v>
      </c>
      <c r="S1076" s="217">
        <f t="shared" si="99"/>
        <v>0.14399999999999991</v>
      </c>
    </row>
    <row r="1077" spans="1:19" ht="15.75" hidden="1" thickBot="1" x14ac:dyDescent="0.3">
      <c r="A1077" s="262"/>
      <c r="B1077" s="260"/>
      <c r="C1077" s="35" t="s">
        <v>8171</v>
      </c>
      <c r="D1077" s="35" t="s">
        <v>213</v>
      </c>
      <c r="E1077" s="36">
        <v>3.6499999999999998E-2</v>
      </c>
      <c r="F1077" s="33">
        <v>4.0374999999999996</v>
      </c>
      <c r="G1077" s="30">
        <f t="shared" si="100"/>
        <v>0.14736874999999997</v>
      </c>
      <c r="H1077" s="34"/>
      <c r="I1077" s="30"/>
      <c r="J1077" s="152">
        <v>0</v>
      </c>
      <c r="L1077" s="215">
        <v>3.6499999999999998E-2</v>
      </c>
      <c r="M1077" s="33">
        <v>3.4560999999999997</v>
      </c>
      <c r="N1077" s="30">
        <f t="shared" si="101"/>
        <v>0.12614764999999997</v>
      </c>
      <c r="O1077" s="34"/>
      <c r="P1077" s="36" t="str">
        <f t="shared" si="96"/>
        <v/>
      </c>
      <c r="Q1077" s="216">
        <f t="shared" si="97"/>
        <v>0.14400000000000002</v>
      </c>
      <c r="R1077" s="216">
        <f t="shared" si="98"/>
        <v>0.14400000000000002</v>
      </c>
      <c r="S1077" s="217" t="str">
        <f t="shared" si="99"/>
        <v/>
      </c>
    </row>
    <row r="1078" spans="1:19" ht="15.75" hidden="1" thickBot="1" x14ac:dyDescent="0.3">
      <c r="A1078" s="262"/>
      <c r="B1078" s="260"/>
      <c r="C1078" s="35" t="s">
        <v>584</v>
      </c>
      <c r="D1078" s="35" t="s">
        <v>583</v>
      </c>
      <c r="E1078" s="36">
        <f>ROUND(0.3179/2,4)</f>
        <v>0.159</v>
      </c>
      <c r="F1078" s="30">
        <v>20.225499999999997</v>
      </c>
      <c r="G1078" s="33">
        <f t="shared" si="100"/>
        <v>3.2158544999999994</v>
      </c>
      <c r="H1078" s="34"/>
      <c r="I1078" s="30"/>
      <c r="J1078" s="152">
        <v>0</v>
      </c>
      <c r="L1078" s="215">
        <v>0.159</v>
      </c>
      <c r="M1078" s="30">
        <v>17.313027999999996</v>
      </c>
      <c r="N1078" s="33">
        <f t="shared" si="101"/>
        <v>2.7527714519999993</v>
      </c>
      <c r="O1078" s="34"/>
      <c r="P1078" s="36" t="str">
        <f t="shared" si="96"/>
        <v/>
      </c>
      <c r="Q1078" s="216">
        <f t="shared" si="97"/>
        <v>0.14400000000000013</v>
      </c>
      <c r="R1078" s="216">
        <f t="shared" si="98"/>
        <v>0.14400000000000002</v>
      </c>
      <c r="S1078" s="217" t="str">
        <f t="shared" si="99"/>
        <v/>
      </c>
    </row>
    <row r="1079" spans="1:19" ht="26.25" hidden="1" thickBot="1" x14ac:dyDescent="0.3">
      <c r="A1079" s="262"/>
      <c r="B1079" s="260"/>
      <c r="C1079" s="35" t="s">
        <v>825</v>
      </c>
      <c r="D1079" s="35" t="s">
        <v>583</v>
      </c>
      <c r="E1079" s="36">
        <f>1.009/2</f>
        <v>0.50449999999999995</v>
      </c>
      <c r="F1079" s="30">
        <v>26.799499999999998</v>
      </c>
      <c r="G1079" s="33">
        <f t="shared" si="100"/>
        <v>13.520347749999997</v>
      </c>
      <c r="H1079" s="34"/>
      <c r="I1079" s="30"/>
      <c r="J1079" s="152">
        <v>0</v>
      </c>
      <c r="L1079" s="215">
        <v>0.50449999999999995</v>
      </c>
      <c r="M1079" s="30">
        <v>22.940372</v>
      </c>
      <c r="N1079" s="33">
        <f t="shared" si="101"/>
        <v>11.573417673999998</v>
      </c>
      <c r="O1079" s="34"/>
      <c r="P1079" s="36" t="str">
        <f t="shared" si="96"/>
        <v/>
      </c>
      <c r="Q1079" s="216">
        <f t="shared" si="97"/>
        <v>0.14399999999999991</v>
      </c>
      <c r="R1079" s="216">
        <f t="shared" si="98"/>
        <v>0.14400000000000002</v>
      </c>
      <c r="S1079" s="217" t="str">
        <f t="shared" si="99"/>
        <v/>
      </c>
    </row>
    <row r="1080" spans="1:19" ht="15.75" hidden="1" thickBot="1" x14ac:dyDescent="0.3">
      <c r="A1080" s="262"/>
      <c r="B1080" s="260"/>
      <c r="C1080" s="35"/>
      <c r="D1080" s="46"/>
      <c r="E1080" s="36"/>
      <c r="F1080" s="33" t="s">
        <v>416</v>
      </c>
      <c r="G1080" s="33" t="str">
        <f t="shared" si="100"/>
        <v/>
      </c>
      <c r="H1080" s="34"/>
      <c r="I1080" s="30"/>
      <c r="J1080" s="152">
        <v>0</v>
      </c>
      <c r="L1080" s="215"/>
      <c r="M1080" s="33"/>
      <c r="N1080" s="33" t="str">
        <f t="shared" si="101"/>
        <v/>
      </c>
      <c r="O1080" s="34"/>
      <c r="P1080" s="36" t="str">
        <f t="shared" si="96"/>
        <v/>
      </c>
      <c r="Q1080" s="216" t="str">
        <f t="shared" si="97"/>
        <v/>
      </c>
      <c r="R1080" s="216" t="str">
        <f t="shared" si="98"/>
        <v/>
      </c>
      <c r="S1080" s="217" t="str">
        <f t="shared" si="99"/>
        <v/>
      </c>
    </row>
    <row r="1081" spans="1:19" ht="26.25" hidden="1" thickBot="1" x14ac:dyDescent="0.3">
      <c r="A1081" s="262"/>
      <c r="B1081" s="260"/>
      <c r="C1081" s="51" t="s">
        <v>265</v>
      </c>
      <c r="D1081" s="46"/>
      <c r="E1081" s="36"/>
      <c r="F1081" s="33" t="s">
        <v>416</v>
      </c>
      <c r="G1081" s="33" t="str">
        <f t="shared" si="100"/>
        <v/>
      </c>
      <c r="H1081" s="34"/>
      <c r="I1081" s="30"/>
      <c r="J1081" s="152">
        <v>0</v>
      </c>
      <c r="L1081" s="215"/>
      <c r="M1081" s="33"/>
      <c r="N1081" s="33" t="str">
        <f t="shared" si="101"/>
        <v/>
      </c>
      <c r="O1081" s="34"/>
      <c r="P1081" s="36" t="str">
        <f t="shared" si="96"/>
        <v/>
      </c>
      <c r="Q1081" s="216" t="str">
        <f t="shared" si="97"/>
        <v/>
      </c>
      <c r="R1081" s="216" t="str">
        <f t="shared" si="98"/>
        <v/>
      </c>
      <c r="S1081" s="217" t="str">
        <f t="shared" si="99"/>
        <v/>
      </c>
    </row>
    <row r="1082" spans="1:19" ht="15.75" hidden="1" thickBot="1" x14ac:dyDescent="0.3">
      <c r="A1082" s="262"/>
      <c r="B1082" s="260"/>
      <c r="C1082" s="35"/>
      <c r="D1082" s="35"/>
      <c r="E1082" s="36"/>
      <c r="F1082" s="33" t="s">
        <v>416</v>
      </c>
      <c r="G1082" s="33" t="str">
        <f t="shared" si="100"/>
        <v/>
      </c>
      <c r="H1082" s="34"/>
      <c r="I1082" s="30"/>
      <c r="J1082" s="152">
        <v>0</v>
      </c>
      <c r="L1082" s="215"/>
      <c r="M1082" s="33"/>
      <c r="N1082" s="33" t="str">
        <f t="shared" si="101"/>
        <v/>
      </c>
      <c r="O1082" s="34"/>
      <c r="P1082" s="36" t="str">
        <f t="shared" si="96"/>
        <v/>
      </c>
      <c r="Q1082" s="216" t="str">
        <f t="shared" si="97"/>
        <v/>
      </c>
      <c r="R1082" s="216" t="str">
        <f t="shared" si="98"/>
        <v/>
      </c>
      <c r="S1082" s="217" t="str">
        <f t="shared" si="99"/>
        <v/>
      </c>
    </row>
    <row r="1083" spans="1:19" ht="15.75" hidden="1" thickBot="1" x14ac:dyDescent="0.3">
      <c r="A1083" s="256" t="s">
        <v>266</v>
      </c>
      <c r="B1083" s="259" t="str">
        <f>INDEX(Orçamentária!A:B,MATCH(Composições!A1083,Orçamentária!A:A,0),2)</f>
        <v>Instalação de vaso sanitário reaproveitado</v>
      </c>
      <c r="C1083" s="40"/>
      <c r="D1083" s="25" t="s">
        <v>16</v>
      </c>
      <c r="E1083" s="26"/>
      <c r="F1083" s="41" t="s">
        <v>416</v>
      </c>
      <c r="G1083" s="27" t="str">
        <f t="shared" si="100"/>
        <v/>
      </c>
      <c r="H1083" s="28"/>
      <c r="I1083" s="29"/>
      <c r="J1083" s="152">
        <v>0</v>
      </c>
      <c r="L1083" s="218"/>
      <c r="M1083" s="41"/>
      <c r="N1083" s="27" t="str">
        <f t="shared" si="101"/>
        <v/>
      </c>
      <c r="O1083" s="28"/>
      <c r="P1083" s="36" t="str">
        <f t="shared" si="96"/>
        <v/>
      </c>
      <c r="Q1083" s="216" t="str">
        <f t="shared" si="97"/>
        <v/>
      </c>
      <c r="R1083" s="216" t="str">
        <f t="shared" si="98"/>
        <v/>
      </c>
      <c r="S1083" s="217" t="str">
        <f t="shared" si="99"/>
        <v/>
      </c>
    </row>
    <row r="1084" spans="1:19" ht="15.75" hidden="1" thickBot="1" x14ac:dyDescent="0.3">
      <c r="A1084" s="262"/>
      <c r="B1084" s="260"/>
      <c r="C1084" s="31"/>
      <c r="D1084" s="31"/>
      <c r="E1084" s="32"/>
      <c r="F1084" s="42" t="s">
        <v>416</v>
      </c>
      <c r="G1084" s="30" t="str">
        <f t="shared" si="100"/>
        <v/>
      </c>
      <c r="H1084" s="34"/>
      <c r="I1084" s="30"/>
      <c r="J1084" s="152">
        <v>0</v>
      </c>
      <c r="L1084" s="219"/>
      <c r="M1084" s="42"/>
      <c r="N1084" s="30" t="str">
        <f t="shared" si="101"/>
        <v/>
      </c>
      <c r="O1084" s="34"/>
      <c r="P1084" s="36" t="str">
        <f t="shared" si="96"/>
        <v/>
      </c>
      <c r="Q1084" s="216" t="str">
        <f t="shared" si="97"/>
        <v/>
      </c>
      <c r="R1084" s="216" t="str">
        <f t="shared" si="98"/>
        <v/>
      </c>
      <c r="S1084" s="217" t="str">
        <f t="shared" si="99"/>
        <v/>
      </c>
    </row>
    <row r="1085" spans="1:19" ht="39" hidden="1" thickBot="1" x14ac:dyDescent="0.3">
      <c r="A1085" s="262"/>
      <c r="B1085" s="260"/>
      <c r="C1085" s="35" t="s">
        <v>8308</v>
      </c>
      <c r="D1085" s="35" t="s">
        <v>213</v>
      </c>
      <c r="E1085" s="36">
        <v>2</v>
      </c>
      <c r="F1085" s="33">
        <v>22.799999999999997</v>
      </c>
      <c r="G1085" s="33">
        <f t="shared" si="100"/>
        <v>45.599999999999994</v>
      </c>
      <c r="H1085" s="38">
        <f>SUM(G1085:G1089)</f>
        <v>86.792199499999981</v>
      </c>
      <c r="I1085" s="39"/>
      <c r="J1085" s="152">
        <v>0</v>
      </c>
      <c r="L1085" s="215">
        <v>2</v>
      </c>
      <c r="M1085" s="33">
        <v>19.516799999999996</v>
      </c>
      <c r="N1085" s="33">
        <f t="shared" si="101"/>
        <v>39.033599999999993</v>
      </c>
      <c r="O1085" s="38">
        <f>SUM(N1085:N1089)</f>
        <v>74.294122771999994</v>
      </c>
      <c r="P1085" s="36" t="str">
        <f t="shared" si="96"/>
        <v/>
      </c>
      <c r="Q1085" s="216">
        <f t="shared" si="97"/>
        <v>0.14400000000000002</v>
      </c>
      <c r="R1085" s="216">
        <f t="shared" si="98"/>
        <v>0.14400000000000002</v>
      </c>
      <c r="S1085" s="217">
        <f t="shared" si="99"/>
        <v>0.14399999999999991</v>
      </c>
    </row>
    <row r="1086" spans="1:19" ht="26.25" hidden="1" thickBot="1" x14ac:dyDescent="0.3">
      <c r="A1086" s="262"/>
      <c r="B1086" s="260"/>
      <c r="C1086" s="35" t="s">
        <v>7982</v>
      </c>
      <c r="D1086" s="35" t="s">
        <v>213</v>
      </c>
      <c r="E1086" s="36">
        <v>1</v>
      </c>
      <c r="F1086" s="33">
        <v>14.3925</v>
      </c>
      <c r="G1086" s="53">
        <f t="shared" si="100"/>
        <v>14.3925</v>
      </c>
      <c r="H1086" s="34"/>
      <c r="I1086" s="30"/>
      <c r="J1086" s="152">
        <v>0</v>
      </c>
      <c r="L1086" s="215">
        <v>1</v>
      </c>
      <c r="M1086" s="33">
        <v>12.319980000000001</v>
      </c>
      <c r="N1086" s="53">
        <f t="shared" si="101"/>
        <v>12.319980000000001</v>
      </c>
      <c r="O1086" s="34"/>
      <c r="P1086" s="36" t="str">
        <f t="shared" si="96"/>
        <v/>
      </c>
      <c r="Q1086" s="216">
        <f t="shared" si="97"/>
        <v>0.14399999999999991</v>
      </c>
      <c r="R1086" s="216">
        <f t="shared" si="98"/>
        <v>0.14399999999999991</v>
      </c>
      <c r="S1086" s="217" t="str">
        <f t="shared" si="99"/>
        <v/>
      </c>
    </row>
    <row r="1087" spans="1:19" ht="15.75" hidden="1" thickBot="1" x14ac:dyDescent="0.3">
      <c r="A1087" s="262"/>
      <c r="B1087" s="260"/>
      <c r="C1087" s="35" t="s">
        <v>3061</v>
      </c>
      <c r="D1087" s="35" t="s">
        <v>773</v>
      </c>
      <c r="E1087" s="36">
        <v>8.8099999999999998E-2</v>
      </c>
      <c r="F1087" s="33">
        <v>72.836500000000001</v>
      </c>
      <c r="G1087" s="33">
        <f t="shared" si="100"/>
        <v>6.4168956499999998</v>
      </c>
      <c r="H1087" s="34"/>
      <c r="I1087" s="30"/>
      <c r="J1087" s="152">
        <v>0</v>
      </c>
      <c r="L1087" s="215">
        <v>8.8099999999999998E-2</v>
      </c>
      <c r="M1087" s="33">
        <v>62.348044000000002</v>
      </c>
      <c r="N1087" s="33">
        <f t="shared" si="101"/>
        <v>5.4928626763999997</v>
      </c>
      <c r="O1087" s="34"/>
      <c r="P1087" s="36" t="str">
        <f t="shared" si="96"/>
        <v/>
      </c>
      <c r="Q1087" s="216">
        <f t="shared" si="97"/>
        <v>0.14400000000000002</v>
      </c>
      <c r="R1087" s="216">
        <f t="shared" si="98"/>
        <v>0.14400000000000002</v>
      </c>
      <c r="S1087" s="217" t="str">
        <f t="shared" si="99"/>
        <v/>
      </c>
    </row>
    <row r="1088" spans="1:19" ht="26.25" hidden="1" thickBot="1" x14ac:dyDescent="0.3">
      <c r="A1088" s="262"/>
      <c r="B1088" s="260"/>
      <c r="C1088" s="35" t="s">
        <v>825</v>
      </c>
      <c r="D1088" s="35" t="s">
        <v>583</v>
      </c>
      <c r="E1088" s="36">
        <v>0.49680000000000002</v>
      </c>
      <c r="F1088" s="30">
        <v>26.799499999999998</v>
      </c>
      <c r="G1088" s="33">
        <f t="shared" si="100"/>
        <v>13.3139916</v>
      </c>
      <c r="H1088" s="34"/>
      <c r="I1088" s="30"/>
      <c r="J1088" s="152">
        <v>0</v>
      </c>
      <c r="L1088" s="215">
        <v>0.49680000000000002</v>
      </c>
      <c r="M1088" s="30">
        <v>22.940372</v>
      </c>
      <c r="N1088" s="33">
        <f t="shared" si="101"/>
        <v>11.3967768096</v>
      </c>
      <c r="O1088" s="34"/>
      <c r="P1088" s="36" t="str">
        <f t="shared" si="96"/>
        <v/>
      </c>
      <c r="Q1088" s="216">
        <f t="shared" si="97"/>
        <v>0.14399999999999991</v>
      </c>
      <c r="R1088" s="216">
        <f t="shared" si="98"/>
        <v>0.14399999999999991</v>
      </c>
      <c r="S1088" s="217" t="str">
        <f t="shared" si="99"/>
        <v/>
      </c>
    </row>
    <row r="1089" spans="1:19" ht="15.75" hidden="1" thickBot="1" x14ac:dyDescent="0.3">
      <c r="A1089" s="262"/>
      <c r="B1089" s="260"/>
      <c r="C1089" s="35" t="s">
        <v>584</v>
      </c>
      <c r="D1089" s="35" t="s">
        <v>583</v>
      </c>
      <c r="E1089" s="36">
        <v>0.34949999999999998</v>
      </c>
      <c r="F1089" s="30">
        <v>20.225499999999997</v>
      </c>
      <c r="G1089" s="33">
        <f t="shared" si="100"/>
        <v>7.0688122499999988</v>
      </c>
      <c r="H1089" s="34"/>
      <c r="I1089" s="30"/>
      <c r="J1089" s="152">
        <v>0</v>
      </c>
      <c r="L1089" s="215">
        <v>0.34949999999999998</v>
      </c>
      <c r="M1089" s="30">
        <v>17.313027999999996</v>
      </c>
      <c r="N1089" s="33">
        <f t="shared" si="101"/>
        <v>6.0509032859999978</v>
      </c>
      <c r="O1089" s="34"/>
      <c r="P1089" s="36" t="str">
        <f t="shared" si="96"/>
        <v/>
      </c>
      <c r="Q1089" s="216">
        <f t="shared" si="97"/>
        <v>0.14400000000000013</v>
      </c>
      <c r="R1089" s="216">
        <f t="shared" si="98"/>
        <v>0.14400000000000013</v>
      </c>
      <c r="S1089" s="217" t="str">
        <f t="shared" si="99"/>
        <v/>
      </c>
    </row>
    <row r="1090" spans="1:19" ht="15.75" hidden="1" thickBot="1" x14ac:dyDescent="0.3">
      <c r="A1090" s="262"/>
      <c r="B1090" s="260"/>
      <c r="C1090" s="35"/>
      <c r="D1090" s="35"/>
      <c r="E1090" s="36"/>
      <c r="F1090" s="30" t="s">
        <v>416</v>
      </c>
      <c r="G1090" s="33" t="str">
        <f t="shared" si="100"/>
        <v/>
      </c>
      <c r="H1090" s="34"/>
      <c r="I1090" s="30"/>
      <c r="J1090" s="152">
        <v>0</v>
      </c>
      <c r="L1090" s="215"/>
      <c r="M1090" s="30"/>
      <c r="N1090" s="33" t="str">
        <f t="shared" si="101"/>
        <v/>
      </c>
      <c r="O1090" s="34"/>
      <c r="P1090" s="36" t="str">
        <f t="shared" si="96"/>
        <v/>
      </c>
      <c r="Q1090" s="216" t="str">
        <f t="shared" si="97"/>
        <v/>
      </c>
      <c r="R1090" s="216" t="str">
        <f t="shared" si="98"/>
        <v/>
      </c>
      <c r="S1090" s="217" t="str">
        <f t="shared" si="99"/>
        <v/>
      </c>
    </row>
    <row r="1091" spans="1:19" ht="15.75" hidden="1" thickBot="1" x14ac:dyDescent="0.3">
      <c r="A1091" s="256" t="s">
        <v>267</v>
      </c>
      <c r="B1091" s="259" t="str">
        <f>INDEX(Orçamentária!A:B,MATCH(Composições!A1091,Orçamentária!A:A,0),2)</f>
        <v>Lavatório suspenso</v>
      </c>
      <c r="C1091" s="40"/>
      <c r="D1091" s="25" t="s">
        <v>16</v>
      </c>
      <c r="E1091" s="26"/>
      <c r="F1091" s="41" t="s">
        <v>416</v>
      </c>
      <c r="G1091" s="27" t="str">
        <f t="shared" si="100"/>
        <v/>
      </c>
      <c r="H1091" s="28"/>
      <c r="I1091" s="29"/>
      <c r="J1091" s="152">
        <v>0</v>
      </c>
      <c r="L1091" s="218"/>
      <c r="M1091" s="41"/>
      <c r="N1091" s="27" t="str">
        <f t="shared" si="101"/>
        <v/>
      </c>
      <c r="O1091" s="28"/>
      <c r="P1091" s="36" t="str">
        <f t="shared" si="96"/>
        <v/>
      </c>
      <c r="Q1091" s="216" t="str">
        <f t="shared" si="97"/>
        <v/>
      </c>
      <c r="R1091" s="216" t="str">
        <f t="shared" si="98"/>
        <v/>
      </c>
      <c r="S1091" s="217" t="str">
        <f t="shared" si="99"/>
        <v/>
      </c>
    </row>
    <row r="1092" spans="1:19" ht="15.75" hidden="1" thickBot="1" x14ac:dyDescent="0.3">
      <c r="A1092" s="262"/>
      <c r="B1092" s="260"/>
      <c r="C1092" s="31"/>
      <c r="D1092" s="31"/>
      <c r="E1092" s="32"/>
      <c r="F1092" s="42" t="s">
        <v>416</v>
      </c>
      <c r="G1092" s="30" t="str">
        <f t="shared" si="100"/>
        <v/>
      </c>
      <c r="H1092" s="34"/>
      <c r="I1092" s="30"/>
      <c r="J1092" s="152">
        <v>0</v>
      </c>
      <c r="L1092" s="219"/>
      <c r="M1092" s="42"/>
      <c r="N1092" s="30" t="str">
        <f t="shared" si="101"/>
        <v/>
      </c>
      <c r="O1092" s="34"/>
      <c r="P1092" s="36" t="str">
        <f t="shared" si="96"/>
        <v/>
      </c>
      <c r="Q1092" s="216" t="str">
        <f t="shared" si="97"/>
        <v/>
      </c>
      <c r="R1092" s="216" t="str">
        <f t="shared" si="98"/>
        <v/>
      </c>
      <c r="S1092" s="217" t="str">
        <f t="shared" si="99"/>
        <v/>
      </c>
    </row>
    <row r="1093" spans="1:19" ht="26.25" hidden="1" thickBot="1" x14ac:dyDescent="0.3">
      <c r="A1093" s="262"/>
      <c r="B1093" s="260"/>
      <c r="C1093" s="35" t="s">
        <v>8219</v>
      </c>
      <c r="D1093" s="35" t="s">
        <v>213</v>
      </c>
      <c r="E1093" s="36">
        <v>1</v>
      </c>
      <c r="F1093" s="33">
        <v>81.984999999999999</v>
      </c>
      <c r="G1093" s="33">
        <f t="shared" si="100"/>
        <v>81.984999999999999</v>
      </c>
      <c r="H1093" s="38">
        <f>SUM(G1093:G1097)</f>
        <v>132.18616539999999</v>
      </c>
      <c r="I1093" s="39"/>
      <c r="J1093" s="152">
        <v>0</v>
      </c>
      <c r="L1093" s="215">
        <v>1</v>
      </c>
      <c r="M1093" s="33">
        <v>70.179159999999996</v>
      </c>
      <c r="N1093" s="33">
        <f t="shared" si="101"/>
        <v>70.179159999999996</v>
      </c>
      <c r="O1093" s="38">
        <f>SUM(N1093:N1097)</f>
        <v>113.15135758240001</v>
      </c>
      <c r="P1093" s="36" t="str">
        <f t="shared" si="96"/>
        <v/>
      </c>
      <c r="Q1093" s="216">
        <f t="shared" si="97"/>
        <v>0.14400000000000002</v>
      </c>
      <c r="R1093" s="216">
        <f t="shared" si="98"/>
        <v>0.14400000000000002</v>
      </c>
      <c r="S1093" s="217">
        <f t="shared" si="99"/>
        <v>0.14399999999999991</v>
      </c>
    </row>
    <row r="1094" spans="1:19" ht="39" hidden="1" thickBot="1" x14ac:dyDescent="0.3">
      <c r="A1094" s="262"/>
      <c r="B1094" s="260"/>
      <c r="C1094" s="35" t="s">
        <v>8309</v>
      </c>
      <c r="D1094" s="35" t="s">
        <v>213</v>
      </c>
      <c r="E1094" s="36">
        <v>2</v>
      </c>
      <c r="F1094" s="33">
        <v>16.900499999999997</v>
      </c>
      <c r="G1094" s="33">
        <f t="shared" si="100"/>
        <v>33.800999999999995</v>
      </c>
      <c r="H1094" s="34"/>
      <c r="I1094" s="30"/>
      <c r="J1094" s="152">
        <v>0</v>
      </c>
      <c r="L1094" s="215">
        <v>2</v>
      </c>
      <c r="M1094" s="33">
        <v>14.466827999999998</v>
      </c>
      <c r="N1094" s="33">
        <f t="shared" si="101"/>
        <v>28.933655999999996</v>
      </c>
      <c r="O1094" s="34"/>
      <c r="P1094" s="36" t="str">
        <f t="shared" si="96"/>
        <v/>
      </c>
      <c r="Q1094" s="216">
        <f t="shared" si="97"/>
        <v>0.14400000000000002</v>
      </c>
      <c r="R1094" s="216">
        <f t="shared" si="98"/>
        <v>0.14400000000000002</v>
      </c>
      <c r="S1094" s="217" t="str">
        <f t="shared" si="99"/>
        <v/>
      </c>
    </row>
    <row r="1095" spans="1:19" ht="15.75" hidden="1" thickBot="1" x14ac:dyDescent="0.3">
      <c r="A1095" s="262"/>
      <c r="B1095" s="260"/>
      <c r="C1095" s="35" t="s">
        <v>3061</v>
      </c>
      <c r="D1095" s="35" t="s">
        <v>773</v>
      </c>
      <c r="E1095" s="36">
        <v>3.04E-2</v>
      </c>
      <c r="F1095" s="33">
        <v>72.836500000000001</v>
      </c>
      <c r="G1095" s="33">
        <f t="shared" si="100"/>
        <v>2.2142295999999999</v>
      </c>
      <c r="H1095" s="34"/>
      <c r="I1095" s="30"/>
      <c r="J1095" s="152">
        <v>0</v>
      </c>
      <c r="L1095" s="215">
        <v>3.04E-2</v>
      </c>
      <c r="M1095" s="33">
        <v>62.348044000000002</v>
      </c>
      <c r="N1095" s="33">
        <f t="shared" si="101"/>
        <v>1.8953805376000001</v>
      </c>
      <c r="O1095" s="34"/>
      <c r="P1095" s="36" t="str">
        <f t="shared" si="96"/>
        <v/>
      </c>
      <c r="Q1095" s="216">
        <f t="shared" si="97"/>
        <v>0.14400000000000002</v>
      </c>
      <c r="R1095" s="216">
        <f t="shared" si="98"/>
        <v>0.14399999999999991</v>
      </c>
      <c r="S1095" s="217" t="str">
        <f t="shared" si="99"/>
        <v/>
      </c>
    </row>
    <row r="1096" spans="1:19" ht="26.25" hidden="1" thickBot="1" x14ac:dyDescent="0.3">
      <c r="A1096" s="262"/>
      <c r="B1096" s="260"/>
      <c r="C1096" s="35" t="s">
        <v>825</v>
      </c>
      <c r="D1096" s="35" t="s">
        <v>583</v>
      </c>
      <c r="E1096" s="36">
        <v>0.38700000000000001</v>
      </c>
      <c r="F1096" s="30">
        <v>26.799499999999998</v>
      </c>
      <c r="G1096" s="33">
        <f t="shared" si="100"/>
        <v>10.371406499999999</v>
      </c>
      <c r="H1096" s="34"/>
      <c r="I1096" s="30"/>
      <c r="J1096" s="152">
        <v>0</v>
      </c>
      <c r="L1096" s="215">
        <v>0.38700000000000001</v>
      </c>
      <c r="M1096" s="30">
        <v>22.940372</v>
      </c>
      <c r="N1096" s="33">
        <f t="shared" si="101"/>
        <v>8.8779239640000007</v>
      </c>
      <c r="O1096" s="34"/>
      <c r="P1096" s="36" t="str">
        <f t="shared" ref="P1096:P1159" si="102">IF(ISBLANK(L1096),"",IF($E1096&lt;&gt;L1096,"SIM",""))</f>
        <v/>
      </c>
      <c r="Q1096" s="216">
        <f t="shared" ref="Q1096:Q1159" si="103">IF(M1096="","",1-M1096/$F1096)</f>
        <v>0.14399999999999991</v>
      </c>
      <c r="R1096" s="216">
        <f t="shared" ref="R1096:R1159" si="104">IF(N1096="","",1-N1096/$G1096)</f>
        <v>0.14399999999999991</v>
      </c>
      <c r="S1096" s="217" t="str">
        <f t="shared" ref="S1096:S1159" si="105">IF(O1096="","",1-O1096/$H1096)</f>
        <v/>
      </c>
    </row>
    <row r="1097" spans="1:19" ht="15.75" hidden="1" thickBot="1" x14ac:dyDescent="0.3">
      <c r="A1097" s="262"/>
      <c r="B1097" s="260"/>
      <c r="C1097" s="35" t="s">
        <v>584</v>
      </c>
      <c r="D1097" s="35" t="s">
        <v>583</v>
      </c>
      <c r="E1097" s="36">
        <v>0.18859999999999999</v>
      </c>
      <c r="F1097" s="30">
        <v>20.225499999999997</v>
      </c>
      <c r="G1097" s="33">
        <f t="shared" si="100"/>
        <v>3.8145292999999993</v>
      </c>
      <c r="H1097" s="34"/>
      <c r="I1097" s="30"/>
      <c r="J1097" s="152">
        <v>0</v>
      </c>
      <c r="L1097" s="215">
        <v>0.18859999999999999</v>
      </c>
      <c r="M1097" s="30">
        <v>17.313027999999996</v>
      </c>
      <c r="N1097" s="33">
        <f t="shared" si="101"/>
        <v>3.2652370807999991</v>
      </c>
      <c r="O1097" s="34"/>
      <c r="P1097" s="36" t="str">
        <f t="shared" si="102"/>
        <v/>
      </c>
      <c r="Q1097" s="216">
        <f t="shared" si="103"/>
        <v>0.14400000000000013</v>
      </c>
      <c r="R1097" s="216">
        <f t="shared" si="104"/>
        <v>0.14400000000000013</v>
      </c>
      <c r="S1097" s="217" t="str">
        <f t="shared" si="105"/>
        <v/>
      </c>
    </row>
    <row r="1098" spans="1:19" ht="15.75" hidden="1" thickBot="1" x14ac:dyDescent="0.3">
      <c r="A1098" s="263"/>
      <c r="B1098" s="261"/>
      <c r="C1098" s="35"/>
      <c r="D1098" s="35"/>
      <c r="E1098" s="36"/>
      <c r="F1098" s="30" t="s">
        <v>416</v>
      </c>
      <c r="G1098" s="30" t="str">
        <f t="shared" si="100"/>
        <v/>
      </c>
      <c r="H1098" s="34"/>
      <c r="I1098" s="30"/>
      <c r="J1098" s="152">
        <v>0</v>
      </c>
      <c r="L1098" s="215"/>
      <c r="M1098" s="30"/>
      <c r="N1098" s="30" t="str">
        <f t="shared" si="101"/>
        <v/>
      </c>
      <c r="O1098" s="34"/>
      <c r="P1098" s="36" t="str">
        <f t="shared" si="102"/>
        <v/>
      </c>
      <c r="Q1098" s="216" t="str">
        <f t="shared" si="103"/>
        <v/>
      </c>
      <c r="R1098" s="216" t="str">
        <f t="shared" si="104"/>
        <v/>
      </c>
      <c r="S1098" s="217" t="str">
        <f t="shared" si="105"/>
        <v/>
      </c>
    </row>
    <row r="1099" spans="1:19" ht="15.75" hidden="1" thickBot="1" x14ac:dyDescent="0.3">
      <c r="A1099" s="256" t="s">
        <v>268</v>
      </c>
      <c r="B1099" s="259" t="str">
        <f>INDEX(Orçamentária!A:B,MATCH(Composições!A1099,Orçamentária!A:A,0),2)</f>
        <v>Mictório – Linha Administrativa</v>
      </c>
      <c r="C1099" s="40"/>
      <c r="D1099" s="25" t="s">
        <v>16</v>
      </c>
      <c r="E1099" s="26"/>
      <c r="F1099" s="41" t="s">
        <v>416</v>
      </c>
      <c r="G1099" s="27" t="str">
        <f t="shared" si="100"/>
        <v/>
      </c>
      <c r="H1099" s="28"/>
      <c r="I1099" s="29"/>
      <c r="J1099" s="152">
        <v>0</v>
      </c>
      <c r="L1099" s="218"/>
      <c r="M1099" s="41"/>
      <c r="N1099" s="27" t="str">
        <f t="shared" si="101"/>
        <v/>
      </c>
      <c r="O1099" s="28"/>
      <c r="P1099" s="36" t="str">
        <f t="shared" si="102"/>
        <v/>
      </c>
      <c r="Q1099" s="216" t="str">
        <f t="shared" si="103"/>
        <v/>
      </c>
      <c r="R1099" s="216" t="str">
        <f t="shared" si="104"/>
        <v/>
      </c>
      <c r="S1099" s="217" t="str">
        <f t="shared" si="105"/>
        <v/>
      </c>
    </row>
    <row r="1100" spans="1:19" ht="15.75" hidden="1" thickBot="1" x14ac:dyDescent="0.3">
      <c r="A1100" s="262"/>
      <c r="B1100" s="260"/>
      <c r="C1100" s="31"/>
      <c r="D1100" s="31"/>
      <c r="E1100" s="32"/>
      <c r="F1100" s="42" t="s">
        <v>416</v>
      </c>
      <c r="G1100" s="30" t="str">
        <f t="shared" si="100"/>
        <v/>
      </c>
      <c r="H1100" s="34"/>
      <c r="I1100" s="30"/>
      <c r="J1100" s="152">
        <v>0</v>
      </c>
      <c r="L1100" s="219"/>
      <c r="M1100" s="42"/>
      <c r="N1100" s="30" t="str">
        <f t="shared" si="101"/>
        <v/>
      </c>
      <c r="O1100" s="34"/>
      <c r="P1100" s="36" t="str">
        <f t="shared" si="102"/>
        <v/>
      </c>
      <c r="Q1100" s="216" t="str">
        <f t="shared" si="103"/>
        <v/>
      </c>
      <c r="R1100" s="216" t="str">
        <f t="shared" si="104"/>
        <v/>
      </c>
      <c r="S1100" s="217" t="str">
        <f t="shared" si="105"/>
        <v/>
      </c>
    </row>
    <row r="1101" spans="1:19" ht="26.25" hidden="1" thickBot="1" x14ac:dyDescent="0.3">
      <c r="A1101" s="262"/>
      <c r="B1101" s="260"/>
      <c r="C1101" s="35" t="s">
        <v>8295</v>
      </c>
      <c r="D1101" s="35" t="s">
        <v>213</v>
      </c>
      <c r="E1101" s="36">
        <v>1</v>
      </c>
      <c r="F1101" s="33">
        <v>315.30499999999995</v>
      </c>
      <c r="G1101" s="33">
        <f t="shared" si="100"/>
        <v>315.30499999999995</v>
      </c>
      <c r="H1101" s="38">
        <f>SUM(G1101:G1105)</f>
        <v>365.9895709999999</v>
      </c>
      <c r="I1101" s="39"/>
      <c r="J1101" s="152">
        <v>0</v>
      </c>
      <c r="L1101" s="215">
        <v>1</v>
      </c>
      <c r="M1101" s="33">
        <v>269.90107999999998</v>
      </c>
      <c r="N1101" s="33">
        <f t="shared" si="101"/>
        <v>269.90107999999998</v>
      </c>
      <c r="O1101" s="38">
        <f>SUM(N1101:N1105)</f>
        <v>313.28707277599995</v>
      </c>
      <c r="P1101" s="36" t="str">
        <f t="shared" si="102"/>
        <v/>
      </c>
      <c r="Q1101" s="216">
        <f t="shared" si="103"/>
        <v>0.14399999999999991</v>
      </c>
      <c r="R1101" s="216">
        <f t="shared" si="104"/>
        <v>0.14399999999999991</v>
      </c>
      <c r="S1101" s="217">
        <f t="shared" si="105"/>
        <v>0.14399999999999991</v>
      </c>
    </row>
    <row r="1102" spans="1:19" ht="39" hidden="1" thickBot="1" x14ac:dyDescent="0.3">
      <c r="A1102" s="262"/>
      <c r="B1102" s="260"/>
      <c r="C1102" s="35" t="s">
        <v>8309</v>
      </c>
      <c r="D1102" s="35" t="s">
        <v>213</v>
      </c>
      <c r="E1102" s="36">
        <v>2</v>
      </c>
      <c r="F1102" s="33">
        <v>16.900499999999997</v>
      </c>
      <c r="G1102" s="30">
        <f t="shared" si="100"/>
        <v>33.800999999999995</v>
      </c>
      <c r="H1102" s="34"/>
      <c r="I1102" s="30"/>
      <c r="J1102" s="152">
        <v>0</v>
      </c>
      <c r="L1102" s="215">
        <v>2</v>
      </c>
      <c r="M1102" s="33">
        <v>14.466827999999998</v>
      </c>
      <c r="N1102" s="30">
        <f t="shared" si="101"/>
        <v>28.933655999999996</v>
      </c>
      <c r="O1102" s="34"/>
      <c r="P1102" s="36" t="str">
        <f t="shared" si="102"/>
        <v/>
      </c>
      <c r="Q1102" s="216">
        <f t="shared" si="103"/>
        <v>0.14400000000000002</v>
      </c>
      <c r="R1102" s="216">
        <f t="shared" si="104"/>
        <v>0.14400000000000002</v>
      </c>
      <c r="S1102" s="217" t="str">
        <f t="shared" si="105"/>
        <v/>
      </c>
    </row>
    <row r="1103" spans="1:19" ht="15.75" hidden="1" thickBot="1" x14ac:dyDescent="0.3">
      <c r="A1103" s="262"/>
      <c r="B1103" s="260"/>
      <c r="C1103" s="35" t="s">
        <v>8171</v>
      </c>
      <c r="D1103" s="35" t="s">
        <v>213</v>
      </c>
      <c r="E1103" s="36">
        <v>3.6499999999999998E-2</v>
      </c>
      <c r="F1103" s="33">
        <v>4.0374999999999996</v>
      </c>
      <c r="G1103" s="30">
        <f t="shared" si="100"/>
        <v>0.14736874999999997</v>
      </c>
      <c r="H1103" s="34"/>
      <c r="I1103" s="30"/>
      <c r="J1103" s="152">
        <v>0</v>
      </c>
      <c r="L1103" s="215">
        <v>3.6499999999999998E-2</v>
      </c>
      <c r="M1103" s="33">
        <v>3.4560999999999997</v>
      </c>
      <c r="N1103" s="30">
        <f t="shared" si="101"/>
        <v>0.12614764999999997</v>
      </c>
      <c r="O1103" s="34"/>
      <c r="P1103" s="36" t="str">
        <f t="shared" si="102"/>
        <v/>
      </c>
      <c r="Q1103" s="216">
        <f t="shared" si="103"/>
        <v>0.14400000000000002</v>
      </c>
      <c r="R1103" s="216">
        <f t="shared" si="104"/>
        <v>0.14400000000000002</v>
      </c>
      <c r="S1103" s="217" t="str">
        <f t="shared" si="105"/>
        <v/>
      </c>
    </row>
    <row r="1104" spans="1:19" ht="15.75" hidden="1" thickBot="1" x14ac:dyDescent="0.3">
      <c r="A1104" s="262"/>
      <c r="B1104" s="260"/>
      <c r="C1104" s="35" t="s">
        <v>584</v>
      </c>
      <c r="D1104" s="35" t="s">
        <v>583</v>
      </c>
      <c r="E1104" s="36">
        <f>ROUND(0.3179/2,4)</f>
        <v>0.159</v>
      </c>
      <c r="F1104" s="30">
        <v>20.225499999999997</v>
      </c>
      <c r="G1104" s="33">
        <f t="shared" si="100"/>
        <v>3.2158544999999994</v>
      </c>
      <c r="H1104" s="34"/>
      <c r="I1104" s="30"/>
      <c r="J1104" s="152">
        <v>0</v>
      </c>
      <c r="L1104" s="215">
        <v>0.159</v>
      </c>
      <c r="M1104" s="30">
        <v>17.313027999999996</v>
      </c>
      <c r="N1104" s="33">
        <f t="shared" si="101"/>
        <v>2.7527714519999993</v>
      </c>
      <c r="O1104" s="34"/>
      <c r="P1104" s="36" t="str">
        <f t="shared" si="102"/>
        <v/>
      </c>
      <c r="Q1104" s="216">
        <f t="shared" si="103"/>
        <v>0.14400000000000013</v>
      </c>
      <c r="R1104" s="216">
        <f t="shared" si="104"/>
        <v>0.14400000000000002</v>
      </c>
      <c r="S1104" s="217" t="str">
        <f t="shared" si="105"/>
        <v/>
      </c>
    </row>
    <row r="1105" spans="1:19" ht="26.25" hidden="1" thickBot="1" x14ac:dyDescent="0.3">
      <c r="A1105" s="262"/>
      <c r="B1105" s="260"/>
      <c r="C1105" s="35" t="s">
        <v>825</v>
      </c>
      <c r="D1105" s="35" t="s">
        <v>583</v>
      </c>
      <c r="E1105" s="36">
        <f>1.009/2</f>
        <v>0.50449999999999995</v>
      </c>
      <c r="F1105" s="30">
        <v>26.799499999999998</v>
      </c>
      <c r="G1105" s="33">
        <f t="shared" si="100"/>
        <v>13.520347749999997</v>
      </c>
      <c r="H1105" s="34"/>
      <c r="I1105" s="30"/>
      <c r="J1105" s="152">
        <v>0</v>
      </c>
      <c r="L1105" s="215">
        <v>0.50449999999999995</v>
      </c>
      <c r="M1105" s="30">
        <v>22.940372</v>
      </c>
      <c r="N1105" s="33">
        <f t="shared" si="101"/>
        <v>11.573417673999998</v>
      </c>
      <c r="O1105" s="34"/>
      <c r="P1105" s="36" t="str">
        <f t="shared" si="102"/>
        <v/>
      </c>
      <c r="Q1105" s="216">
        <f t="shared" si="103"/>
        <v>0.14399999999999991</v>
      </c>
      <c r="R1105" s="216">
        <f t="shared" si="104"/>
        <v>0.14400000000000002</v>
      </c>
      <c r="S1105" s="217" t="str">
        <f t="shared" si="105"/>
        <v/>
      </c>
    </row>
    <row r="1106" spans="1:19" ht="15.75" hidden="1" thickBot="1" x14ac:dyDescent="0.3">
      <c r="A1106" s="262"/>
      <c r="B1106" s="260"/>
      <c r="C1106" s="35"/>
      <c r="D1106" s="46"/>
      <c r="E1106" s="36"/>
      <c r="F1106" s="33" t="s">
        <v>416</v>
      </c>
      <c r="G1106" s="33" t="str">
        <f t="shared" si="100"/>
        <v/>
      </c>
      <c r="H1106" s="34"/>
      <c r="I1106" s="30"/>
      <c r="J1106" s="152">
        <v>0</v>
      </c>
      <c r="L1106" s="215"/>
      <c r="M1106" s="33"/>
      <c r="N1106" s="33" t="str">
        <f t="shared" si="101"/>
        <v/>
      </c>
      <c r="O1106" s="34"/>
      <c r="P1106" s="36" t="str">
        <f t="shared" si="102"/>
        <v/>
      </c>
      <c r="Q1106" s="216" t="str">
        <f t="shared" si="103"/>
        <v/>
      </c>
      <c r="R1106" s="216" t="str">
        <f t="shared" si="104"/>
        <v/>
      </c>
      <c r="S1106" s="217" t="str">
        <f t="shared" si="105"/>
        <v/>
      </c>
    </row>
    <row r="1107" spans="1:19" ht="26.25" hidden="1" thickBot="1" x14ac:dyDescent="0.3">
      <c r="A1107" s="262"/>
      <c r="B1107" s="260"/>
      <c r="C1107" s="51" t="s">
        <v>265</v>
      </c>
      <c r="D1107" s="46"/>
      <c r="E1107" s="36"/>
      <c r="F1107" s="33" t="s">
        <v>416</v>
      </c>
      <c r="G1107" s="33" t="str">
        <f t="shared" ref="G1107:G1170" si="106">IF(ISNUMBER(F1107),E1107*F1107,"")</f>
        <v/>
      </c>
      <c r="H1107" s="34"/>
      <c r="I1107" s="30"/>
      <c r="J1107" s="152">
        <v>0</v>
      </c>
      <c r="L1107" s="215"/>
      <c r="M1107" s="33"/>
      <c r="N1107" s="33" t="str">
        <f t="shared" ref="N1107:N1170" si="107">IF(ISNUMBER(M1107),L1107*M1107,"")</f>
        <v/>
      </c>
      <c r="O1107" s="34"/>
      <c r="P1107" s="36" t="str">
        <f t="shared" si="102"/>
        <v/>
      </c>
      <c r="Q1107" s="216" t="str">
        <f t="shared" si="103"/>
        <v/>
      </c>
      <c r="R1107" s="216" t="str">
        <f t="shared" si="104"/>
        <v/>
      </c>
      <c r="S1107" s="217" t="str">
        <f t="shared" si="105"/>
        <v/>
      </c>
    </row>
    <row r="1108" spans="1:19" ht="15.75" hidden="1" thickBot="1" x14ac:dyDescent="0.3">
      <c r="A1108" s="262"/>
      <c r="B1108" s="260"/>
      <c r="C1108" s="35"/>
      <c r="D1108" s="46"/>
      <c r="E1108" s="36"/>
      <c r="F1108" s="33" t="s">
        <v>416</v>
      </c>
      <c r="G1108" s="33" t="str">
        <f t="shared" si="106"/>
        <v/>
      </c>
      <c r="H1108" s="34"/>
      <c r="I1108" s="30"/>
      <c r="J1108" s="152">
        <v>0</v>
      </c>
      <c r="L1108" s="215"/>
      <c r="M1108" s="33"/>
      <c r="N1108" s="33" t="str">
        <f t="shared" si="107"/>
        <v/>
      </c>
      <c r="O1108" s="34"/>
      <c r="P1108" s="36" t="str">
        <f t="shared" si="102"/>
        <v/>
      </c>
      <c r="Q1108" s="216" t="str">
        <f t="shared" si="103"/>
        <v/>
      </c>
      <c r="R1108" s="216" t="str">
        <f t="shared" si="104"/>
        <v/>
      </c>
      <c r="S1108" s="217" t="str">
        <f t="shared" si="105"/>
        <v/>
      </c>
    </row>
    <row r="1109" spans="1:19" ht="15.75" hidden="1" thickBot="1" x14ac:dyDescent="0.3">
      <c r="A1109" s="256" t="s">
        <v>269</v>
      </c>
      <c r="B1109" s="259" t="str">
        <f>INDEX(Orçamentária!A:B,MATCH(Composições!A1109,Orçamentária!A:A,0),2)</f>
        <v>Tanque 38 litros</v>
      </c>
      <c r="C1109" s="40"/>
      <c r="D1109" s="25" t="s">
        <v>16</v>
      </c>
      <c r="E1109" s="26"/>
      <c r="F1109" s="41" t="s">
        <v>416</v>
      </c>
      <c r="G1109" s="27" t="str">
        <f t="shared" si="106"/>
        <v/>
      </c>
      <c r="H1109" s="28"/>
      <c r="I1109" s="29"/>
      <c r="J1109" s="152">
        <v>0</v>
      </c>
      <c r="L1109" s="218"/>
      <c r="M1109" s="41"/>
      <c r="N1109" s="27" t="str">
        <f t="shared" si="107"/>
        <v/>
      </c>
      <c r="O1109" s="28"/>
      <c r="P1109" s="36" t="str">
        <f t="shared" si="102"/>
        <v/>
      </c>
      <c r="Q1109" s="216" t="str">
        <f t="shared" si="103"/>
        <v/>
      </c>
      <c r="R1109" s="216" t="str">
        <f t="shared" si="104"/>
        <v/>
      </c>
      <c r="S1109" s="217" t="str">
        <f t="shared" si="105"/>
        <v/>
      </c>
    </row>
    <row r="1110" spans="1:19" ht="15.75" hidden="1" thickBot="1" x14ac:dyDescent="0.3">
      <c r="A1110" s="262"/>
      <c r="B1110" s="260"/>
      <c r="C1110" s="31"/>
      <c r="D1110" s="31"/>
      <c r="E1110" s="32"/>
      <c r="F1110" s="42" t="s">
        <v>416</v>
      </c>
      <c r="G1110" s="30" t="str">
        <f t="shared" si="106"/>
        <v/>
      </c>
      <c r="H1110" s="34"/>
      <c r="I1110" s="30"/>
      <c r="J1110" s="152">
        <v>0</v>
      </c>
      <c r="L1110" s="219"/>
      <c r="M1110" s="42"/>
      <c r="N1110" s="30" t="str">
        <f t="shared" si="107"/>
        <v/>
      </c>
      <c r="O1110" s="34"/>
      <c r="P1110" s="36" t="str">
        <f t="shared" si="102"/>
        <v/>
      </c>
      <c r="Q1110" s="216" t="str">
        <f t="shared" si="103"/>
        <v/>
      </c>
      <c r="R1110" s="216" t="str">
        <f t="shared" si="104"/>
        <v/>
      </c>
      <c r="S1110" s="217" t="str">
        <f t="shared" si="105"/>
        <v/>
      </c>
    </row>
    <row r="1111" spans="1:19" ht="26.25" hidden="1" thickBot="1" x14ac:dyDescent="0.3">
      <c r="A1111" s="262"/>
      <c r="B1111" s="260"/>
      <c r="C1111" s="35" t="s">
        <v>270</v>
      </c>
      <c r="D1111" s="46" t="s">
        <v>107</v>
      </c>
      <c r="E1111" s="36">
        <v>1</v>
      </c>
      <c r="F1111" s="33" t="s">
        <v>416</v>
      </c>
      <c r="G1111" s="33" t="str">
        <f t="shared" si="106"/>
        <v/>
      </c>
      <c r="H1111" s="38">
        <f>SUM(G1111:G1115)</f>
        <v>99.457599499999986</v>
      </c>
      <c r="I1111" s="39"/>
      <c r="J1111" s="152">
        <v>0</v>
      </c>
      <c r="L1111" s="215">
        <v>1</v>
      </c>
      <c r="M1111" s="33"/>
      <c r="N1111" s="33" t="str">
        <f t="shared" si="107"/>
        <v/>
      </c>
      <c r="O1111" s="38">
        <f>SUM(N1111:N1115)</f>
        <v>85.135705172000002</v>
      </c>
      <c r="P1111" s="36" t="str">
        <f t="shared" si="102"/>
        <v/>
      </c>
      <c r="Q1111" s="216" t="str">
        <f t="shared" si="103"/>
        <v/>
      </c>
      <c r="R1111" s="216" t="str">
        <f t="shared" si="104"/>
        <v/>
      </c>
      <c r="S1111" s="217">
        <f t="shared" si="105"/>
        <v>0.14399999999999991</v>
      </c>
    </row>
    <row r="1112" spans="1:19" ht="39" hidden="1" thickBot="1" x14ac:dyDescent="0.3">
      <c r="A1112" s="262"/>
      <c r="B1112" s="260"/>
      <c r="C1112" s="35" t="s">
        <v>8309</v>
      </c>
      <c r="D1112" s="35" t="s">
        <v>213</v>
      </c>
      <c r="E1112" s="36">
        <v>4</v>
      </c>
      <c r="F1112" s="33">
        <v>16.900499999999997</v>
      </c>
      <c r="G1112" s="33">
        <f t="shared" si="106"/>
        <v>67.60199999999999</v>
      </c>
      <c r="H1112" s="34"/>
      <c r="I1112" s="30"/>
      <c r="J1112" s="152">
        <v>0</v>
      </c>
      <c r="L1112" s="215">
        <v>4</v>
      </c>
      <c r="M1112" s="33">
        <v>14.466827999999998</v>
      </c>
      <c r="N1112" s="33">
        <f t="shared" si="107"/>
        <v>57.867311999999991</v>
      </c>
      <c r="O1112" s="34"/>
      <c r="P1112" s="36" t="str">
        <f t="shared" si="102"/>
        <v/>
      </c>
      <c r="Q1112" s="216">
        <f t="shared" si="103"/>
        <v>0.14400000000000002</v>
      </c>
      <c r="R1112" s="216">
        <f t="shared" si="104"/>
        <v>0.14400000000000002</v>
      </c>
      <c r="S1112" s="217" t="str">
        <f t="shared" si="105"/>
        <v/>
      </c>
    </row>
    <row r="1113" spans="1:19" ht="15.75" hidden="1" thickBot="1" x14ac:dyDescent="0.3">
      <c r="A1113" s="262"/>
      <c r="B1113" s="260"/>
      <c r="C1113" s="35" t="s">
        <v>3061</v>
      </c>
      <c r="D1113" s="35" t="s">
        <v>773</v>
      </c>
      <c r="E1113" s="36">
        <v>3.9E-2</v>
      </c>
      <c r="F1113" s="33">
        <v>72.836500000000001</v>
      </c>
      <c r="G1113" s="33">
        <f t="shared" si="106"/>
        <v>2.8406235</v>
      </c>
      <c r="H1113" s="34"/>
      <c r="I1113" s="30"/>
      <c r="J1113" s="152">
        <v>0</v>
      </c>
      <c r="L1113" s="215">
        <v>3.9E-2</v>
      </c>
      <c r="M1113" s="33">
        <v>62.348044000000002</v>
      </c>
      <c r="N1113" s="33">
        <f t="shared" si="107"/>
        <v>2.4315737159999999</v>
      </c>
      <c r="O1113" s="34"/>
      <c r="P1113" s="36" t="str">
        <f t="shared" si="102"/>
        <v/>
      </c>
      <c r="Q1113" s="216">
        <f t="shared" si="103"/>
        <v>0.14400000000000002</v>
      </c>
      <c r="R1113" s="216">
        <f t="shared" si="104"/>
        <v>0.14400000000000002</v>
      </c>
      <c r="S1113" s="217" t="str">
        <f t="shared" si="105"/>
        <v/>
      </c>
    </row>
    <row r="1114" spans="1:19" ht="26.25" hidden="1" thickBot="1" x14ac:dyDescent="0.3">
      <c r="A1114" s="262"/>
      <c r="B1114" s="260"/>
      <c r="C1114" s="35" t="s">
        <v>825</v>
      </c>
      <c r="D1114" s="35" t="s">
        <v>583</v>
      </c>
      <c r="E1114" s="36">
        <v>0.8226</v>
      </c>
      <c r="F1114" s="30">
        <v>26.799499999999998</v>
      </c>
      <c r="G1114" s="33">
        <f t="shared" si="106"/>
        <v>22.045268699999998</v>
      </c>
      <c r="H1114" s="34"/>
      <c r="I1114" s="30"/>
      <c r="J1114" s="152">
        <v>0</v>
      </c>
      <c r="L1114" s="215">
        <v>0.8226</v>
      </c>
      <c r="M1114" s="30">
        <v>22.940372</v>
      </c>
      <c r="N1114" s="33">
        <f t="shared" si="107"/>
        <v>18.870750007200002</v>
      </c>
      <c r="O1114" s="34"/>
      <c r="P1114" s="36" t="str">
        <f t="shared" si="102"/>
        <v/>
      </c>
      <c r="Q1114" s="216">
        <f t="shared" si="103"/>
        <v>0.14399999999999991</v>
      </c>
      <c r="R1114" s="216">
        <f t="shared" si="104"/>
        <v>0.14399999999999979</v>
      </c>
      <c r="S1114" s="217" t="str">
        <f t="shared" si="105"/>
        <v/>
      </c>
    </row>
    <row r="1115" spans="1:19" ht="15.75" hidden="1" thickBot="1" x14ac:dyDescent="0.3">
      <c r="A1115" s="262"/>
      <c r="B1115" s="260"/>
      <c r="C1115" s="35" t="s">
        <v>584</v>
      </c>
      <c r="D1115" s="35" t="s">
        <v>583</v>
      </c>
      <c r="E1115" s="36">
        <v>0.34460000000000002</v>
      </c>
      <c r="F1115" s="30">
        <v>20.225499999999997</v>
      </c>
      <c r="G1115" s="33">
        <f t="shared" si="106"/>
        <v>6.9697072999999996</v>
      </c>
      <c r="H1115" s="34"/>
      <c r="I1115" s="30"/>
      <c r="J1115" s="152">
        <v>0</v>
      </c>
      <c r="L1115" s="215">
        <v>0.34460000000000002</v>
      </c>
      <c r="M1115" s="30">
        <v>17.313027999999996</v>
      </c>
      <c r="N1115" s="33">
        <f t="shared" si="107"/>
        <v>5.966069448799999</v>
      </c>
      <c r="O1115" s="34"/>
      <c r="P1115" s="36" t="str">
        <f t="shared" si="102"/>
        <v/>
      </c>
      <c r="Q1115" s="216">
        <f t="shared" si="103"/>
        <v>0.14400000000000013</v>
      </c>
      <c r="R1115" s="216">
        <f t="shared" si="104"/>
        <v>0.14400000000000013</v>
      </c>
      <c r="S1115" s="217" t="str">
        <f t="shared" si="105"/>
        <v/>
      </c>
    </row>
    <row r="1116" spans="1:19" ht="15.75" hidden="1" thickBot="1" x14ac:dyDescent="0.3">
      <c r="A1116" s="263"/>
      <c r="B1116" s="261"/>
      <c r="C1116" s="35"/>
      <c r="D1116" s="35"/>
      <c r="E1116" s="36"/>
      <c r="F1116" s="30" t="s">
        <v>416</v>
      </c>
      <c r="G1116" s="30" t="str">
        <f t="shared" si="106"/>
        <v/>
      </c>
      <c r="H1116" s="34"/>
      <c r="I1116" s="30"/>
      <c r="J1116" s="152">
        <v>0</v>
      </c>
      <c r="L1116" s="215"/>
      <c r="M1116" s="30"/>
      <c r="N1116" s="30" t="str">
        <f t="shared" si="107"/>
        <v/>
      </c>
      <c r="O1116" s="34"/>
      <c r="P1116" s="36" t="str">
        <f t="shared" si="102"/>
        <v/>
      </c>
      <c r="Q1116" s="216" t="str">
        <f t="shared" si="103"/>
        <v/>
      </c>
      <c r="R1116" s="216" t="str">
        <f t="shared" si="104"/>
        <v/>
      </c>
      <c r="S1116" s="217" t="str">
        <f t="shared" si="105"/>
        <v/>
      </c>
    </row>
    <row r="1117" spans="1:19" ht="15.75" hidden="1" thickBot="1" x14ac:dyDescent="0.3">
      <c r="A1117" s="256" t="s">
        <v>271</v>
      </c>
      <c r="B1117" s="259" t="str">
        <f>INDEX(Orçamentária!A:B,MATCH(Composições!A1117,Orçamentária!A:A,0),2)</f>
        <v>Acabamento para registro GD</v>
      </c>
      <c r="C1117" s="40"/>
      <c r="D1117" s="25" t="s">
        <v>16</v>
      </c>
      <c r="E1117" s="26"/>
      <c r="F1117" s="41" t="s">
        <v>416</v>
      </c>
      <c r="G1117" s="27" t="str">
        <f t="shared" si="106"/>
        <v/>
      </c>
      <c r="H1117" s="28"/>
      <c r="I1117" s="29"/>
      <c r="J1117" s="152">
        <v>0</v>
      </c>
      <c r="L1117" s="218"/>
      <c r="M1117" s="41"/>
      <c r="N1117" s="27" t="str">
        <f t="shared" si="107"/>
        <v/>
      </c>
      <c r="O1117" s="28"/>
      <c r="P1117" s="36" t="str">
        <f t="shared" si="102"/>
        <v/>
      </c>
      <c r="Q1117" s="216" t="str">
        <f t="shared" si="103"/>
        <v/>
      </c>
      <c r="R1117" s="216" t="str">
        <f t="shared" si="104"/>
        <v/>
      </c>
      <c r="S1117" s="217" t="str">
        <f t="shared" si="105"/>
        <v/>
      </c>
    </row>
    <row r="1118" spans="1:19" ht="15.75" hidden="1" thickBot="1" x14ac:dyDescent="0.3">
      <c r="A1118" s="262"/>
      <c r="B1118" s="260"/>
      <c r="C1118" s="31"/>
      <c r="D1118" s="31"/>
      <c r="E1118" s="32"/>
      <c r="F1118" s="42" t="s">
        <v>416</v>
      </c>
      <c r="G1118" s="30" t="str">
        <f t="shared" si="106"/>
        <v/>
      </c>
      <c r="H1118" s="34"/>
      <c r="I1118" s="30"/>
      <c r="J1118" s="152">
        <v>0</v>
      </c>
      <c r="L1118" s="219"/>
      <c r="M1118" s="42"/>
      <c r="N1118" s="30" t="str">
        <f t="shared" si="107"/>
        <v/>
      </c>
      <c r="O1118" s="34"/>
      <c r="P1118" s="36" t="str">
        <f t="shared" si="102"/>
        <v/>
      </c>
      <c r="Q1118" s="216" t="str">
        <f t="shared" si="103"/>
        <v/>
      </c>
      <c r="R1118" s="216" t="str">
        <f t="shared" si="104"/>
        <v/>
      </c>
      <c r="S1118" s="217" t="str">
        <f t="shared" si="105"/>
        <v/>
      </c>
    </row>
    <row r="1119" spans="1:19" ht="26.25" hidden="1" thickBot="1" x14ac:dyDescent="0.3">
      <c r="A1119" s="262"/>
      <c r="B1119" s="260"/>
      <c r="C1119" s="35" t="s">
        <v>272</v>
      </c>
      <c r="D1119" s="46" t="s">
        <v>107</v>
      </c>
      <c r="E1119" s="36">
        <v>1</v>
      </c>
      <c r="F1119" s="33" t="s">
        <v>416</v>
      </c>
      <c r="G1119" s="33" t="str">
        <f t="shared" si="106"/>
        <v/>
      </c>
      <c r="H1119" s="38">
        <f>SUM(G1119:G1120)</f>
        <v>2.1439599999999999</v>
      </c>
      <c r="I1119" s="39"/>
      <c r="J1119" s="152">
        <v>0</v>
      </c>
      <c r="L1119" s="215">
        <v>1</v>
      </c>
      <c r="M1119" s="33"/>
      <c r="N1119" s="33" t="str">
        <f t="shared" si="107"/>
        <v/>
      </c>
      <c r="O1119" s="38">
        <f>SUM(N1119:N1120)</f>
        <v>1.83522976</v>
      </c>
      <c r="P1119" s="36" t="str">
        <f t="shared" si="102"/>
        <v/>
      </c>
      <c r="Q1119" s="216" t="str">
        <f t="shared" si="103"/>
        <v/>
      </c>
      <c r="R1119" s="216" t="str">
        <f t="shared" si="104"/>
        <v/>
      </c>
      <c r="S1119" s="217">
        <f t="shared" si="105"/>
        <v>0.14399999999999991</v>
      </c>
    </row>
    <row r="1120" spans="1:19" ht="26.25" hidden="1" thickBot="1" x14ac:dyDescent="0.3">
      <c r="A1120" s="262"/>
      <c r="B1120" s="260"/>
      <c r="C1120" s="35" t="s">
        <v>825</v>
      </c>
      <c r="D1120" s="35" t="s">
        <v>583</v>
      </c>
      <c r="E1120" s="36">
        <v>0.08</v>
      </c>
      <c r="F1120" s="30">
        <v>26.799499999999998</v>
      </c>
      <c r="G1120" s="33">
        <f t="shared" si="106"/>
        <v>2.1439599999999999</v>
      </c>
      <c r="H1120" s="34"/>
      <c r="I1120" s="30"/>
      <c r="J1120" s="152">
        <v>0</v>
      </c>
      <c r="L1120" s="215">
        <v>0.08</v>
      </c>
      <c r="M1120" s="30">
        <v>22.940372</v>
      </c>
      <c r="N1120" s="33">
        <f t="shared" si="107"/>
        <v>1.83522976</v>
      </c>
      <c r="O1120" s="34"/>
      <c r="P1120" s="36" t="str">
        <f t="shared" si="102"/>
        <v/>
      </c>
      <c r="Q1120" s="216">
        <f t="shared" si="103"/>
        <v>0.14399999999999991</v>
      </c>
      <c r="R1120" s="216">
        <f t="shared" si="104"/>
        <v>0.14399999999999991</v>
      </c>
      <c r="S1120" s="217" t="str">
        <f t="shared" si="105"/>
        <v/>
      </c>
    </row>
    <row r="1121" spans="1:19" ht="15.75" hidden="1" thickBot="1" x14ac:dyDescent="0.3">
      <c r="A1121" s="263"/>
      <c r="B1121" s="261"/>
      <c r="C1121" s="51"/>
      <c r="D1121" s="35"/>
      <c r="E1121" s="36"/>
      <c r="F1121" s="30" t="s">
        <v>416</v>
      </c>
      <c r="G1121" s="30" t="str">
        <f t="shared" si="106"/>
        <v/>
      </c>
      <c r="H1121" s="34"/>
      <c r="I1121" s="30"/>
      <c r="J1121" s="152">
        <v>0</v>
      </c>
      <c r="L1121" s="215"/>
      <c r="M1121" s="30"/>
      <c r="N1121" s="30" t="str">
        <f t="shared" si="107"/>
        <v/>
      </c>
      <c r="O1121" s="34"/>
      <c r="P1121" s="36" t="str">
        <f t="shared" si="102"/>
        <v/>
      </c>
      <c r="Q1121" s="216" t="str">
        <f t="shared" si="103"/>
        <v/>
      </c>
      <c r="R1121" s="216" t="str">
        <f t="shared" si="104"/>
        <v/>
      </c>
      <c r="S1121" s="217" t="str">
        <f t="shared" si="105"/>
        <v/>
      </c>
    </row>
    <row r="1122" spans="1:19" ht="15.75" hidden="1" thickBot="1" x14ac:dyDescent="0.3">
      <c r="A1122" s="256" t="s">
        <v>273</v>
      </c>
      <c r="B1122" s="259" t="str">
        <f>INDEX(Orçamentária!A:B,MATCH(Composições!A1122,Orçamentária!A:A,0),2)</f>
        <v>Acabamento para registro PQ</v>
      </c>
      <c r="C1122" s="40"/>
      <c r="D1122" s="25" t="s">
        <v>16</v>
      </c>
      <c r="E1122" s="26"/>
      <c r="F1122" s="41" t="s">
        <v>416</v>
      </c>
      <c r="G1122" s="27" t="str">
        <f t="shared" si="106"/>
        <v/>
      </c>
      <c r="H1122" s="28"/>
      <c r="I1122" s="29"/>
      <c r="J1122" s="152">
        <v>0</v>
      </c>
      <c r="L1122" s="218"/>
      <c r="M1122" s="41"/>
      <c r="N1122" s="27" t="str">
        <f t="shared" si="107"/>
        <v/>
      </c>
      <c r="O1122" s="28"/>
      <c r="P1122" s="36" t="str">
        <f t="shared" si="102"/>
        <v/>
      </c>
      <c r="Q1122" s="216" t="str">
        <f t="shared" si="103"/>
        <v/>
      </c>
      <c r="R1122" s="216" t="str">
        <f t="shared" si="104"/>
        <v/>
      </c>
      <c r="S1122" s="217" t="str">
        <f t="shared" si="105"/>
        <v/>
      </c>
    </row>
    <row r="1123" spans="1:19" ht="15.75" hidden="1" thickBot="1" x14ac:dyDescent="0.3">
      <c r="A1123" s="262"/>
      <c r="B1123" s="260"/>
      <c r="C1123" s="31"/>
      <c r="D1123" s="31"/>
      <c r="E1123" s="32"/>
      <c r="F1123" s="42" t="s">
        <v>416</v>
      </c>
      <c r="G1123" s="30" t="str">
        <f t="shared" si="106"/>
        <v/>
      </c>
      <c r="H1123" s="34"/>
      <c r="I1123" s="30"/>
      <c r="J1123" s="152">
        <v>0</v>
      </c>
      <c r="L1123" s="219"/>
      <c r="M1123" s="42"/>
      <c r="N1123" s="30" t="str">
        <f t="shared" si="107"/>
        <v/>
      </c>
      <c r="O1123" s="34"/>
      <c r="P1123" s="36" t="str">
        <f t="shared" si="102"/>
        <v/>
      </c>
      <c r="Q1123" s="216" t="str">
        <f t="shared" si="103"/>
        <v/>
      </c>
      <c r="R1123" s="216" t="str">
        <f t="shared" si="104"/>
        <v/>
      </c>
      <c r="S1123" s="217" t="str">
        <f t="shared" si="105"/>
        <v/>
      </c>
    </row>
    <row r="1124" spans="1:19" ht="26.25" hidden="1" thickBot="1" x14ac:dyDescent="0.3">
      <c r="A1124" s="262"/>
      <c r="B1124" s="260"/>
      <c r="C1124" s="35" t="s">
        <v>274</v>
      </c>
      <c r="D1124" s="46" t="s">
        <v>107</v>
      </c>
      <c r="E1124" s="36">
        <v>1</v>
      </c>
      <c r="F1124" s="33" t="s">
        <v>416</v>
      </c>
      <c r="G1124" s="33" t="str">
        <f t="shared" si="106"/>
        <v/>
      </c>
      <c r="H1124" s="38">
        <f>SUM(G1124:G1125)</f>
        <v>2.1439599999999999</v>
      </c>
      <c r="I1124" s="39"/>
      <c r="J1124" s="152">
        <v>0</v>
      </c>
      <c r="L1124" s="215">
        <v>1</v>
      </c>
      <c r="M1124" s="33"/>
      <c r="N1124" s="33" t="str">
        <f t="shared" si="107"/>
        <v/>
      </c>
      <c r="O1124" s="38">
        <f>SUM(N1124:N1125)</f>
        <v>1.83522976</v>
      </c>
      <c r="P1124" s="36" t="str">
        <f t="shared" si="102"/>
        <v/>
      </c>
      <c r="Q1124" s="216" t="str">
        <f t="shared" si="103"/>
        <v/>
      </c>
      <c r="R1124" s="216" t="str">
        <f t="shared" si="104"/>
        <v/>
      </c>
      <c r="S1124" s="217">
        <f t="shared" si="105"/>
        <v>0.14399999999999991</v>
      </c>
    </row>
    <row r="1125" spans="1:19" ht="26.25" hidden="1" thickBot="1" x14ac:dyDescent="0.3">
      <c r="A1125" s="262"/>
      <c r="B1125" s="260"/>
      <c r="C1125" s="35" t="s">
        <v>825</v>
      </c>
      <c r="D1125" s="35" t="s">
        <v>583</v>
      </c>
      <c r="E1125" s="36">
        <v>0.08</v>
      </c>
      <c r="F1125" s="30">
        <v>26.799499999999998</v>
      </c>
      <c r="G1125" s="33">
        <f t="shared" si="106"/>
        <v>2.1439599999999999</v>
      </c>
      <c r="H1125" s="34"/>
      <c r="I1125" s="30"/>
      <c r="J1125" s="152">
        <v>0</v>
      </c>
      <c r="L1125" s="215">
        <v>0.08</v>
      </c>
      <c r="M1125" s="30">
        <v>22.940372</v>
      </c>
      <c r="N1125" s="33">
        <f t="shared" si="107"/>
        <v>1.83522976</v>
      </c>
      <c r="O1125" s="34"/>
      <c r="P1125" s="36" t="str">
        <f t="shared" si="102"/>
        <v/>
      </c>
      <c r="Q1125" s="216">
        <f t="shared" si="103"/>
        <v>0.14399999999999991</v>
      </c>
      <c r="R1125" s="216">
        <f t="shared" si="104"/>
        <v>0.14399999999999991</v>
      </c>
      <c r="S1125" s="217" t="str">
        <f t="shared" si="105"/>
        <v/>
      </c>
    </row>
    <row r="1126" spans="1:19" ht="15.75" hidden="1" thickBot="1" x14ac:dyDescent="0.3">
      <c r="A1126" s="263"/>
      <c r="B1126" s="261"/>
      <c r="C1126" s="35"/>
      <c r="D1126" s="35"/>
      <c r="E1126" s="36"/>
      <c r="F1126" s="30" t="s">
        <v>416</v>
      </c>
      <c r="G1126" s="30" t="str">
        <f t="shared" si="106"/>
        <v/>
      </c>
      <c r="H1126" s="34"/>
      <c r="I1126" s="30"/>
      <c r="J1126" s="152">
        <v>0</v>
      </c>
      <c r="L1126" s="215"/>
      <c r="M1126" s="30"/>
      <c r="N1126" s="30" t="str">
        <f t="shared" si="107"/>
        <v/>
      </c>
      <c r="O1126" s="34"/>
      <c r="P1126" s="36" t="str">
        <f t="shared" si="102"/>
        <v/>
      </c>
      <c r="Q1126" s="216" t="str">
        <f t="shared" si="103"/>
        <v/>
      </c>
      <c r="R1126" s="216" t="str">
        <f t="shared" si="104"/>
        <v/>
      </c>
      <c r="S1126" s="217" t="str">
        <f t="shared" si="105"/>
        <v/>
      </c>
    </row>
    <row r="1127" spans="1:19" ht="15.75" hidden="1" thickBot="1" x14ac:dyDescent="0.3">
      <c r="A1127" s="256" t="s">
        <v>275</v>
      </c>
      <c r="B1127" s="259" t="str">
        <f>INDEX(Orçamentária!A:B,MATCH(Composições!A1127,Orçamentária!A:A,0),2)</f>
        <v>Ducha higiênica</v>
      </c>
      <c r="C1127" s="40"/>
      <c r="D1127" s="25" t="s">
        <v>16</v>
      </c>
      <c r="E1127" s="26"/>
      <c r="F1127" s="41" t="s">
        <v>416</v>
      </c>
      <c r="G1127" s="27" t="str">
        <f t="shared" si="106"/>
        <v/>
      </c>
      <c r="H1127" s="28"/>
      <c r="I1127" s="29"/>
      <c r="J1127" s="152">
        <v>0</v>
      </c>
      <c r="L1127" s="218"/>
      <c r="M1127" s="41"/>
      <c r="N1127" s="27" t="str">
        <f t="shared" si="107"/>
        <v/>
      </c>
      <c r="O1127" s="28"/>
      <c r="P1127" s="36" t="str">
        <f t="shared" si="102"/>
        <v/>
      </c>
      <c r="Q1127" s="216" t="str">
        <f t="shared" si="103"/>
        <v/>
      </c>
      <c r="R1127" s="216" t="str">
        <f t="shared" si="104"/>
        <v/>
      </c>
      <c r="S1127" s="217" t="str">
        <f t="shared" si="105"/>
        <v/>
      </c>
    </row>
    <row r="1128" spans="1:19" ht="15.75" hidden="1" thickBot="1" x14ac:dyDescent="0.3">
      <c r="A1128" s="262"/>
      <c r="B1128" s="260"/>
      <c r="C1128" s="31"/>
      <c r="D1128" s="31"/>
      <c r="E1128" s="32"/>
      <c r="F1128" s="42" t="s">
        <v>416</v>
      </c>
      <c r="G1128" s="30" t="str">
        <f t="shared" si="106"/>
        <v/>
      </c>
      <c r="H1128" s="34"/>
      <c r="I1128" s="30"/>
      <c r="J1128" s="152">
        <v>0</v>
      </c>
      <c r="L1128" s="219"/>
      <c r="M1128" s="42"/>
      <c r="N1128" s="30" t="str">
        <f t="shared" si="107"/>
        <v/>
      </c>
      <c r="O1128" s="34"/>
      <c r="P1128" s="36" t="str">
        <f t="shared" si="102"/>
        <v/>
      </c>
      <c r="Q1128" s="216" t="str">
        <f t="shared" si="103"/>
        <v/>
      </c>
      <c r="R1128" s="216" t="str">
        <f t="shared" si="104"/>
        <v/>
      </c>
      <c r="S1128" s="217" t="str">
        <f t="shared" si="105"/>
        <v/>
      </c>
    </row>
    <row r="1129" spans="1:19" ht="26.25" hidden="1" thickBot="1" x14ac:dyDescent="0.3">
      <c r="A1129" s="262"/>
      <c r="B1129" s="260"/>
      <c r="C1129" s="35" t="s">
        <v>276</v>
      </c>
      <c r="D1129" s="46" t="s">
        <v>107</v>
      </c>
      <c r="E1129" s="36">
        <v>1</v>
      </c>
      <c r="F1129" s="33" t="s">
        <v>416</v>
      </c>
      <c r="G1129" s="33" t="str">
        <f t="shared" si="106"/>
        <v/>
      </c>
      <c r="H1129" s="38">
        <f>SUM(G1129:G1131)</f>
        <v>23.982749999999999</v>
      </c>
      <c r="I1129" s="39"/>
      <c r="J1129" s="152">
        <v>0</v>
      </c>
      <c r="L1129" s="215">
        <v>1</v>
      </c>
      <c r="M1129" s="33"/>
      <c r="N1129" s="33" t="str">
        <f t="shared" si="107"/>
        <v/>
      </c>
      <c r="O1129" s="38">
        <f>SUM(N1129:N1131)</f>
        <v>20.529234000000002</v>
      </c>
      <c r="P1129" s="36" t="str">
        <f t="shared" si="102"/>
        <v/>
      </c>
      <c r="Q1129" s="216" t="str">
        <f t="shared" si="103"/>
        <v/>
      </c>
      <c r="R1129" s="216" t="str">
        <f t="shared" si="104"/>
        <v/>
      </c>
      <c r="S1129" s="217">
        <f t="shared" si="105"/>
        <v>0.14399999999999991</v>
      </c>
    </row>
    <row r="1130" spans="1:19" ht="26.25" hidden="1" thickBot="1" x14ac:dyDescent="0.3">
      <c r="A1130" s="262"/>
      <c r="B1130" s="260"/>
      <c r="C1130" s="35" t="s">
        <v>825</v>
      </c>
      <c r="D1130" s="35" t="s">
        <v>583</v>
      </c>
      <c r="E1130" s="36">
        <v>0.5</v>
      </c>
      <c r="F1130" s="30">
        <v>26.799499999999998</v>
      </c>
      <c r="G1130" s="33">
        <f t="shared" si="106"/>
        <v>13.399749999999999</v>
      </c>
      <c r="H1130" s="34"/>
      <c r="I1130" s="30"/>
      <c r="J1130" s="152">
        <v>0</v>
      </c>
      <c r="L1130" s="215">
        <v>0.5</v>
      </c>
      <c r="M1130" s="30">
        <v>22.940372</v>
      </c>
      <c r="N1130" s="33">
        <f t="shared" si="107"/>
        <v>11.470186</v>
      </c>
      <c r="O1130" s="34"/>
      <c r="P1130" s="36" t="str">
        <f t="shared" si="102"/>
        <v/>
      </c>
      <c r="Q1130" s="216">
        <f t="shared" si="103"/>
        <v>0.14399999999999991</v>
      </c>
      <c r="R1130" s="216">
        <f t="shared" si="104"/>
        <v>0.14399999999999991</v>
      </c>
      <c r="S1130" s="217" t="str">
        <f t="shared" si="105"/>
        <v/>
      </c>
    </row>
    <row r="1131" spans="1:19" ht="26.25" hidden="1" thickBot="1" x14ac:dyDescent="0.3">
      <c r="A1131" s="262"/>
      <c r="B1131" s="260"/>
      <c r="C1131" s="35" t="s">
        <v>824</v>
      </c>
      <c r="D1131" s="35" t="s">
        <v>583</v>
      </c>
      <c r="E1131" s="36">
        <v>0.5</v>
      </c>
      <c r="F1131" s="30">
        <v>21.166</v>
      </c>
      <c r="G1131" s="33">
        <f t="shared" si="106"/>
        <v>10.583</v>
      </c>
      <c r="H1131" s="34"/>
      <c r="I1131" s="30"/>
      <c r="J1131" s="152">
        <v>0</v>
      </c>
      <c r="L1131" s="215">
        <v>0.5</v>
      </c>
      <c r="M1131" s="30">
        <v>18.118096000000001</v>
      </c>
      <c r="N1131" s="33">
        <f t="shared" si="107"/>
        <v>9.0590480000000007</v>
      </c>
      <c r="O1131" s="34"/>
      <c r="P1131" s="36" t="str">
        <f t="shared" si="102"/>
        <v/>
      </c>
      <c r="Q1131" s="216">
        <f t="shared" si="103"/>
        <v>0.14399999999999991</v>
      </c>
      <c r="R1131" s="216">
        <f t="shared" si="104"/>
        <v>0.14399999999999991</v>
      </c>
      <c r="S1131" s="217" t="str">
        <f t="shared" si="105"/>
        <v/>
      </c>
    </row>
    <row r="1132" spans="1:19" ht="15.75" hidden="1" thickBot="1" x14ac:dyDescent="0.3">
      <c r="A1132" s="263"/>
      <c r="B1132" s="261"/>
      <c r="C1132" s="35"/>
      <c r="D1132" s="35"/>
      <c r="E1132" s="36"/>
      <c r="F1132" s="30" t="s">
        <v>416</v>
      </c>
      <c r="G1132" s="30" t="str">
        <f t="shared" si="106"/>
        <v/>
      </c>
      <c r="H1132" s="34"/>
      <c r="I1132" s="30"/>
      <c r="J1132" s="152">
        <v>0</v>
      </c>
      <c r="L1132" s="215"/>
      <c r="M1132" s="30"/>
      <c r="N1132" s="30" t="str">
        <f t="shared" si="107"/>
        <v/>
      </c>
      <c r="O1132" s="34"/>
      <c r="P1132" s="36" t="str">
        <f t="shared" si="102"/>
        <v/>
      </c>
      <c r="Q1132" s="216" t="str">
        <f t="shared" si="103"/>
        <v/>
      </c>
      <c r="R1132" s="216" t="str">
        <f t="shared" si="104"/>
        <v/>
      </c>
      <c r="S1132" s="217" t="str">
        <f t="shared" si="105"/>
        <v/>
      </c>
    </row>
    <row r="1133" spans="1:19" ht="15.75" hidden="1" thickBot="1" x14ac:dyDescent="0.3">
      <c r="A1133" s="256" t="s">
        <v>277</v>
      </c>
      <c r="B1133" s="259" t="str">
        <f>INDEX(Orçamentária!A:B,MATCH(Composições!A1133,Orçamentária!A:A,0),2)</f>
        <v>Instalação de metais e acessórios reaproveitados</v>
      </c>
      <c r="C1133" s="40"/>
      <c r="D1133" s="25" t="s">
        <v>16</v>
      </c>
      <c r="E1133" s="26"/>
      <c r="F1133" s="41" t="s">
        <v>416</v>
      </c>
      <c r="G1133" s="27" t="str">
        <f t="shared" si="106"/>
        <v/>
      </c>
      <c r="H1133" s="28"/>
      <c r="I1133" s="29"/>
      <c r="J1133" s="152">
        <v>0</v>
      </c>
      <c r="L1133" s="218"/>
      <c r="M1133" s="41"/>
      <c r="N1133" s="27" t="str">
        <f t="shared" si="107"/>
        <v/>
      </c>
      <c r="O1133" s="28"/>
      <c r="P1133" s="36" t="str">
        <f t="shared" si="102"/>
        <v/>
      </c>
      <c r="Q1133" s="216" t="str">
        <f t="shared" si="103"/>
        <v/>
      </c>
      <c r="R1133" s="216" t="str">
        <f t="shared" si="104"/>
        <v/>
      </c>
      <c r="S1133" s="217" t="str">
        <f t="shared" si="105"/>
        <v/>
      </c>
    </row>
    <row r="1134" spans="1:19" ht="15.75" hidden="1" thickBot="1" x14ac:dyDescent="0.3">
      <c r="A1134" s="262"/>
      <c r="B1134" s="260"/>
      <c r="C1134" s="31"/>
      <c r="D1134" s="31"/>
      <c r="E1134" s="32"/>
      <c r="F1134" s="42" t="s">
        <v>416</v>
      </c>
      <c r="G1134" s="30" t="str">
        <f t="shared" si="106"/>
        <v/>
      </c>
      <c r="H1134" s="34"/>
      <c r="I1134" s="30"/>
      <c r="J1134" s="152">
        <v>0</v>
      </c>
      <c r="L1134" s="219"/>
      <c r="M1134" s="42"/>
      <c r="N1134" s="30" t="str">
        <f t="shared" si="107"/>
        <v/>
      </c>
      <c r="O1134" s="34"/>
      <c r="P1134" s="36" t="str">
        <f t="shared" si="102"/>
        <v/>
      </c>
      <c r="Q1134" s="216" t="str">
        <f t="shared" si="103"/>
        <v/>
      </c>
      <c r="R1134" s="216" t="str">
        <f t="shared" si="104"/>
        <v/>
      </c>
      <c r="S1134" s="217" t="str">
        <f t="shared" si="105"/>
        <v/>
      </c>
    </row>
    <row r="1135" spans="1:19" ht="26.25" hidden="1" thickBot="1" x14ac:dyDescent="0.3">
      <c r="A1135" s="262"/>
      <c r="B1135" s="260"/>
      <c r="C1135" s="35" t="s">
        <v>825</v>
      </c>
      <c r="D1135" s="35" t="s">
        <v>583</v>
      </c>
      <c r="E1135" s="36">
        <v>0.16209999999999999</v>
      </c>
      <c r="F1135" s="30">
        <v>26.799499999999998</v>
      </c>
      <c r="G1135" s="33">
        <f t="shared" si="106"/>
        <v>4.34419895</v>
      </c>
      <c r="H1135" s="38">
        <f>SUM(G1135:G1136)</f>
        <v>4.8246671499999998</v>
      </c>
      <c r="I1135" s="39"/>
      <c r="J1135" s="152">
        <v>0</v>
      </c>
      <c r="L1135" s="215">
        <v>0.16209999999999999</v>
      </c>
      <c r="M1135" s="30">
        <v>22.940372</v>
      </c>
      <c r="N1135" s="33">
        <f t="shared" si="107"/>
        <v>3.7186343011999998</v>
      </c>
      <c r="O1135" s="38">
        <f>SUM(N1135:N1136)</f>
        <v>4.1299150804</v>
      </c>
      <c r="P1135" s="36" t="str">
        <f t="shared" si="102"/>
        <v/>
      </c>
      <c r="Q1135" s="216">
        <f t="shared" si="103"/>
        <v>0.14399999999999991</v>
      </c>
      <c r="R1135" s="216">
        <f t="shared" si="104"/>
        <v>0.14400000000000002</v>
      </c>
      <c r="S1135" s="217">
        <f t="shared" si="105"/>
        <v>0.14400000000000002</v>
      </c>
    </row>
    <row r="1136" spans="1:19" ht="26.25" hidden="1" thickBot="1" x14ac:dyDescent="0.3">
      <c r="A1136" s="262"/>
      <c r="B1136" s="260"/>
      <c r="C1136" s="35" t="s">
        <v>824</v>
      </c>
      <c r="D1136" s="35" t="s">
        <v>583</v>
      </c>
      <c r="E1136" s="36">
        <v>2.2700000000000001E-2</v>
      </c>
      <c r="F1136" s="30">
        <v>21.166</v>
      </c>
      <c r="G1136" s="33">
        <f t="shared" si="106"/>
        <v>0.48046820000000001</v>
      </c>
      <c r="H1136" s="44"/>
      <c r="I1136" s="45"/>
      <c r="J1136" s="152">
        <v>0</v>
      </c>
      <c r="L1136" s="215">
        <v>2.2700000000000001E-2</v>
      </c>
      <c r="M1136" s="30">
        <v>18.118096000000001</v>
      </c>
      <c r="N1136" s="33">
        <f t="shared" si="107"/>
        <v>0.41128077920000006</v>
      </c>
      <c r="O1136" s="44"/>
      <c r="P1136" s="36" t="str">
        <f t="shared" si="102"/>
        <v/>
      </c>
      <c r="Q1136" s="216">
        <f t="shared" si="103"/>
        <v>0.14399999999999991</v>
      </c>
      <c r="R1136" s="216">
        <f t="shared" si="104"/>
        <v>0.14399999999999991</v>
      </c>
      <c r="S1136" s="217" t="str">
        <f t="shared" si="105"/>
        <v/>
      </c>
    </row>
    <row r="1137" spans="1:19" ht="15.75" hidden="1" thickBot="1" x14ac:dyDescent="0.3">
      <c r="A1137" s="263"/>
      <c r="B1137" s="261"/>
      <c r="C1137" s="35"/>
      <c r="D1137" s="35"/>
      <c r="E1137" s="36"/>
      <c r="F1137" s="30" t="s">
        <v>416</v>
      </c>
      <c r="G1137" s="30" t="str">
        <f t="shared" si="106"/>
        <v/>
      </c>
      <c r="H1137" s="34"/>
      <c r="I1137" s="30"/>
      <c r="J1137" s="152">
        <v>0</v>
      </c>
      <c r="L1137" s="215"/>
      <c r="M1137" s="30"/>
      <c r="N1137" s="30" t="str">
        <f t="shared" si="107"/>
        <v/>
      </c>
      <c r="O1137" s="34"/>
      <c r="P1137" s="36" t="str">
        <f t="shared" si="102"/>
        <v/>
      </c>
      <c r="Q1137" s="216" t="str">
        <f t="shared" si="103"/>
        <v/>
      </c>
      <c r="R1137" s="216" t="str">
        <f t="shared" si="104"/>
        <v/>
      </c>
      <c r="S1137" s="217" t="str">
        <f t="shared" si="105"/>
        <v/>
      </c>
    </row>
    <row r="1138" spans="1:19" ht="15.75" hidden="1" thickBot="1" x14ac:dyDescent="0.3">
      <c r="A1138" s="256" t="s">
        <v>278</v>
      </c>
      <c r="B1138" s="259" t="str">
        <f>INDEX(Orçamentária!A:B,MATCH(Composições!A1138,Orçamentária!A:A,0),2)</f>
        <v>Ligação flexível 1/2” x 40 cm</v>
      </c>
      <c r="C1138" s="40"/>
      <c r="D1138" s="25" t="s">
        <v>16</v>
      </c>
      <c r="E1138" s="26"/>
      <c r="F1138" s="41" t="s">
        <v>416</v>
      </c>
      <c r="G1138" s="27" t="str">
        <f t="shared" si="106"/>
        <v/>
      </c>
      <c r="H1138" s="28"/>
      <c r="I1138" s="29"/>
      <c r="J1138" s="152">
        <v>0</v>
      </c>
      <c r="L1138" s="218"/>
      <c r="M1138" s="41"/>
      <c r="N1138" s="27" t="str">
        <f t="shared" si="107"/>
        <v/>
      </c>
      <c r="O1138" s="28"/>
      <c r="P1138" s="36" t="str">
        <f t="shared" si="102"/>
        <v/>
      </c>
      <c r="Q1138" s="216" t="str">
        <f t="shared" si="103"/>
        <v/>
      </c>
      <c r="R1138" s="216" t="str">
        <f t="shared" si="104"/>
        <v/>
      </c>
      <c r="S1138" s="217" t="str">
        <f t="shared" si="105"/>
        <v/>
      </c>
    </row>
    <row r="1139" spans="1:19" ht="15.75" hidden="1" thickBot="1" x14ac:dyDescent="0.3">
      <c r="A1139" s="262"/>
      <c r="B1139" s="260"/>
      <c r="C1139" s="31"/>
      <c r="D1139" s="31"/>
      <c r="E1139" s="32"/>
      <c r="F1139" s="42" t="s">
        <v>416</v>
      </c>
      <c r="G1139" s="30" t="str">
        <f t="shared" si="106"/>
        <v/>
      </c>
      <c r="H1139" s="34"/>
      <c r="I1139" s="30"/>
      <c r="J1139" s="152">
        <v>0</v>
      </c>
      <c r="L1139" s="219"/>
      <c r="M1139" s="42"/>
      <c r="N1139" s="30" t="str">
        <f t="shared" si="107"/>
        <v/>
      </c>
      <c r="O1139" s="34"/>
      <c r="P1139" s="36" t="str">
        <f t="shared" si="102"/>
        <v/>
      </c>
      <c r="Q1139" s="216" t="str">
        <f t="shared" si="103"/>
        <v/>
      </c>
      <c r="R1139" s="216" t="str">
        <f t="shared" si="104"/>
        <v/>
      </c>
      <c r="S1139" s="217" t="str">
        <f t="shared" si="105"/>
        <v/>
      </c>
    </row>
    <row r="1140" spans="1:19" ht="15.75" hidden="1" thickBot="1" x14ac:dyDescent="0.3">
      <c r="A1140" s="262"/>
      <c r="B1140" s="260"/>
      <c r="C1140" s="35" t="s">
        <v>8154</v>
      </c>
      <c r="D1140" s="35" t="s">
        <v>213</v>
      </c>
      <c r="E1140" s="36">
        <v>1</v>
      </c>
      <c r="F1140" s="33">
        <v>37.325499999999998</v>
      </c>
      <c r="G1140" s="33">
        <f t="shared" si="106"/>
        <v>37.325499999999998</v>
      </c>
      <c r="H1140" s="38">
        <f>SUM(G1140:G1143)</f>
        <v>42.427356249999995</v>
      </c>
      <c r="I1140" s="39"/>
      <c r="J1140" s="152">
        <v>0</v>
      </c>
      <c r="L1140" s="215">
        <v>1</v>
      </c>
      <c r="M1140" s="33">
        <v>31.950627999999998</v>
      </c>
      <c r="N1140" s="33">
        <f t="shared" si="107"/>
        <v>31.950627999999998</v>
      </c>
      <c r="O1140" s="38">
        <f>SUM(N1140:N1143)</f>
        <v>36.317816949999994</v>
      </c>
      <c r="P1140" s="36" t="str">
        <f t="shared" si="102"/>
        <v/>
      </c>
      <c r="Q1140" s="216">
        <f t="shared" si="103"/>
        <v>0.14400000000000002</v>
      </c>
      <c r="R1140" s="216">
        <f t="shared" si="104"/>
        <v>0.14400000000000002</v>
      </c>
      <c r="S1140" s="217">
        <f t="shared" si="105"/>
        <v>0.14400000000000002</v>
      </c>
    </row>
    <row r="1141" spans="1:19" ht="15.75" hidden="1" thickBot="1" x14ac:dyDescent="0.3">
      <c r="A1141" s="262"/>
      <c r="B1141" s="260"/>
      <c r="C1141" s="35" t="s">
        <v>8171</v>
      </c>
      <c r="D1141" s="35" t="s">
        <v>213</v>
      </c>
      <c r="E1141" s="36">
        <v>1.7500000000000002E-2</v>
      </c>
      <c r="F1141" s="33">
        <v>4.0374999999999996</v>
      </c>
      <c r="G1141" s="33">
        <f t="shared" si="106"/>
        <v>7.0656250000000004E-2</v>
      </c>
      <c r="H1141" s="34"/>
      <c r="I1141" s="30"/>
      <c r="J1141" s="152">
        <v>0</v>
      </c>
      <c r="L1141" s="215">
        <v>1.7500000000000002E-2</v>
      </c>
      <c r="M1141" s="33">
        <v>3.4560999999999997</v>
      </c>
      <c r="N1141" s="33">
        <f t="shared" si="107"/>
        <v>6.0481750000000001E-2</v>
      </c>
      <c r="O1141" s="34"/>
      <c r="P1141" s="36" t="str">
        <f t="shared" si="102"/>
        <v/>
      </c>
      <c r="Q1141" s="216">
        <f t="shared" si="103"/>
        <v>0.14400000000000002</v>
      </c>
      <c r="R1141" s="216">
        <f t="shared" si="104"/>
        <v>0.14400000000000002</v>
      </c>
      <c r="S1141" s="217" t="str">
        <f t="shared" si="105"/>
        <v/>
      </c>
    </row>
    <row r="1142" spans="1:19" ht="26.25" hidden="1" thickBot="1" x14ac:dyDescent="0.3">
      <c r="A1142" s="262"/>
      <c r="B1142" s="260"/>
      <c r="C1142" s="35" t="s">
        <v>825</v>
      </c>
      <c r="D1142" s="35" t="s">
        <v>583</v>
      </c>
      <c r="E1142" s="36">
        <v>0.15</v>
      </c>
      <c r="F1142" s="30">
        <v>26.799499999999998</v>
      </c>
      <c r="G1142" s="33">
        <f t="shared" si="106"/>
        <v>4.0199249999999997</v>
      </c>
      <c r="H1142" s="34"/>
      <c r="I1142" s="30"/>
      <c r="J1142" s="152">
        <v>0</v>
      </c>
      <c r="L1142" s="215">
        <v>0.15</v>
      </c>
      <c r="M1142" s="30">
        <v>22.940372</v>
      </c>
      <c r="N1142" s="33">
        <f t="shared" si="107"/>
        <v>3.4410558</v>
      </c>
      <c r="O1142" s="34"/>
      <c r="P1142" s="36" t="str">
        <f t="shared" si="102"/>
        <v/>
      </c>
      <c r="Q1142" s="216">
        <f t="shared" si="103"/>
        <v>0.14399999999999991</v>
      </c>
      <c r="R1142" s="216">
        <f t="shared" si="104"/>
        <v>0.14399999999999991</v>
      </c>
      <c r="S1142" s="217" t="str">
        <f t="shared" si="105"/>
        <v/>
      </c>
    </row>
    <row r="1143" spans="1:19" ht="15.75" hidden="1" thickBot="1" x14ac:dyDescent="0.3">
      <c r="A1143" s="262"/>
      <c r="B1143" s="260"/>
      <c r="C1143" s="35" t="s">
        <v>584</v>
      </c>
      <c r="D1143" s="35" t="s">
        <v>583</v>
      </c>
      <c r="E1143" s="36">
        <v>0.05</v>
      </c>
      <c r="F1143" s="30">
        <v>20.225499999999997</v>
      </c>
      <c r="G1143" s="33">
        <f t="shared" si="106"/>
        <v>1.0112749999999999</v>
      </c>
      <c r="H1143" s="34"/>
      <c r="I1143" s="30"/>
      <c r="J1143" s="152">
        <v>0</v>
      </c>
      <c r="L1143" s="215">
        <v>0.05</v>
      </c>
      <c r="M1143" s="30">
        <v>17.313027999999996</v>
      </c>
      <c r="N1143" s="33">
        <f t="shared" si="107"/>
        <v>0.86565139999999985</v>
      </c>
      <c r="O1143" s="34"/>
      <c r="P1143" s="36" t="str">
        <f t="shared" si="102"/>
        <v/>
      </c>
      <c r="Q1143" s="216">
        <f t="shared" si="103"/>
        <v>0.14400000000000013</v>
      </c>
      <c r="R1143" s="216">
        <f t="shared" si="104"/>
        <v>0.14400000000000013</v>
      </c>
      <c r="S1143" s="217" t="str">
        <f t="shared" si="105"/>
        <v/>
      </c>
    </row>
    <row r="1144" spans="1:19" ht="15.75" hidden="1" thickBot="1" x14ac:dyDescent="0.3">
      <c r="A1144" s="263"/>
      <c r="B1144" s="261"/>
      <c r="C1144" s="35"/>
      <c r="D1144" s="35"/>
      <c r="E1144" s="36"/>
      <c r="F1144" s="30" t="s">
        <v>416</v>
      </c>
      <c r="G1144" s="30" t="str">
        <f t="shared" si="106"/>
        <v/>
      </c>
      <c r="H1144" s="34"/>
      <c r="I1144" s="30"/>
      <c r="J1144" s="152">
        <v>0</v>
      </c>
      <c r="L1144" s="215"/>
      <c r="M1144" s="30"/>
      <c r="N1144" s="30" t="str">
        <f t="shared" si="107"/>
        <v/>
      </c>
      <c r="O1144" s="34"/>
      <c r="P1144" s="36" t="str">
        <f t="shared" si="102"/>
        <v/>
      </c>
      <c r="Q1144" s="216" t="str">
        <f t="shared" si="103"/>
        <v/>
      </c>
      <c r="R1144" s="216" t="str">
        <f t="shared" si="104"/>
        <v/>
      </c>
      <c r="S1144" s="217" t="str">
        <f t="shared" si="105"/>
        <v/>
      </c>
    </row>
    <row r="1145" spans="1:19" ht="15.75" hidden="1" thickBot="1" x14ac:dyDescent="0.3">
      <c r="A1145" s="256" t="s">
        <v>279</v>
      </c>
      <c r="B1145" s="259" t="str">
        <f>INDEX(Orçamentária!A:B,MATCH(Composições!A1145,Orçamentária!A:A,0),2)</f>
        <v>Sifão articulado para cozinha</v>
      </c>
      <c r="C1145" s="40"/>
      <c r="D1145" s="25" t="s">
        <v>16</v>
      </c>
      <c r="E1145" s="26"/>
      <c r="F1145" s="41" t="s">
        <v>416</v>
      </c>
      <c r="G1145" s="27" t="str">
        <f t="shared" si="106"/>
        <v/>
      </c>
      <c r="H1145" s="28"/>
      <c r="I1145" s="29"/>
      <c r="J1145" s="152">
        <v>0</v>
      </c>
      <c r="L1145" s="218"/>
      <c r="M1145" s="41"/>
      <c r="N1145" s="27" t="str">
        <f t="shared" si="107"/>
        <v/>
      </c>
      <c r="O1145" s="28"/>
      <c r="P1145" s="36" t="str">
        <f t="shared" si="102"/>
        <v/>
      </c>
      <c r="Q1145" s="216" t="str">
        <f t="shared" si="103"/>
        <v/>
      </c>
      <c r="R1145" s="216" t="str">
        <f t="shared" si="104"/>
        <v/>
      </c>
      <c r="S1145" s="217" t="str">
        <f t="shared" si="105"/>
        <v/>
      </c>
    </row>
    <row r="1146" spans="1:19" ht="15.75" hidden="1" thickBot="1" x14ac:dyDescent="0.3">
      <c r="A1146" s="262"/>
      <c r="B1146" s="260"/>
      <c r="C1146" s="31"/>
      <c r="D1146" s="31"/>
      <c r="E1146" s="32"/>
      <c r="F1146" s="42" t="s">
        <v>416</v>
      </c>
      <c r="G1146" s="30" t="str">
        <f t="shared" si="106"/>
        <v/>
      </c>
      <c r="H1146" s="34"/>
      <c r="I1146" s="30"/>
      <c r="J1146" s="152">
        <v>0</v>
      </c>
      <c r="L1146" s="219"/>
      <c r="M1146" s="42"/>
      <c r="N1146" s="30" t="str">
        <f t="shared" si="107"/>
        <v/>
      </c>
      <c r="O1146" s="34"/>
      <c r="P1146" s="36" t="str">
        <f t="shared" si="102"/>
        <v/>
      </c>
      <c r="Q1146" s="216" t="str">
        <f t="shared" si="103"/>
        <v/>
      </c>
      <c r="R1146" s="216" t="str">
        <f t="shared" si="104"/>
        <v/>
      </c>
      <c r="S1146" s="217" t="str">
        <f t="shared" si="105"/>
        <v/>
      </c>
    </row>
    <row r="1147" spans="1:19" ht="26.25" hidden="1" thickBot="1" x14ac:dyDescent="0.3">
      <c r="A1147" s="262"/>
      <c r="B1147" s="260"/>
      <c r="C1147" s="35" t="s">
        <v>280</v>
      </c>
      <c r="D1147" s="46" t="s">
        <v>107</v>
      </c>
      <c r="E1147" s="36">
        <v>1</v>
      </c>
      <c r="F1147" s="33" t="s">
        <v>416</v>
      </c>
      <c r="G1147" s="33" t="str">
        <f t="shared" si="106"/>
        <v/>
      </c>
      <c r="H1147" s="38">
        <f>SUM(G1147:G1150)</f>
        <v>9.2044663999999994</v>
      </c>
      <c r="I1147" s="39"/>
      <c r="J1147" s="152">
        <v>0</v>
      </c>
      <c r="L1147" s="215">
        <v>1</v>
      </c>
      <c r="M1147" s="33"/>
      <c r="N1147" s="33" t="str">
        <f t="shared" si="107"/>
        <v/>
      </c>
      <c r="O1147" s="38">
        <f>SUM(N1147:N1150)</f>
        <v>7.8790232383999994</v>
      </c>
      <c r="P1147" s="36" t="str">
        <f t="shared" si="102"/>
        <v/>
      </c>
      <c r="Q1147" s="216" t="str">
        <f t="shared" si="103"/>
        <v/>
      </c>
      <c r="R1147" s="216" t="str">
        <f t="shared" si="104"/>
        <v/>
      </c>
      <c r="S1147" s="217">
        <f t="shared" si="105"/>
        <v>0.14400000000000002</v>
      </c>
    </row>
    <row r="1148" spans="1:19" ht="15.75" hidden="1" thickBot="1" x14ac:dyDescent="0.3">
      <c r="A1148" s="262"/>
      <c r="B1148" s="260"/>
      <c r="C1148" s="35" t="s">
        <v>8171</v>
      </c>
      <c r="D1148" s="35" t="s">
        <v>213</v>
      </c>
      <c r="E1148" s="36">
        <v>3.32E-2</v>
      </c>
      <c r="F1148" s="33">
        <v>4.0374999999999996</v>
      </c>
      <c r="G1148" s="33">
        <f t="shared" si="106"/>
        <v>0.134045</v>
      </c>
      <c r="H1148" s="34"/>
      <c r="I1148" s="30"/>
      <c r="J1148" s="152">
        <v>0</v>
      </c>
      <c r="L1148" s="215">
        <v>3.32E-2</v>
      </c>
      <c r="M1148" s="33">
        <v>3.4560999999999997</v>
      </c>
      <c r="N1148" s="33">
        <f t="shared" si="107"/>
        <v>0.11474251999999999</v>
      </c>
      <c r="O1148" s="34"/>
      <c r="P1148" s="36" t="str">
        <f t="shared" si="102"/>
        <v/>
      </c>
      <c r="Q1148" s="216">
        <f t="shared" si="103"/>
        <v>0.14400000000000002</v>
      </c>
      <c r="R1148" s="216">
        <f t="shared" si="104"/>
        <v>0.14400000000000013</v>
      </c>
      <c r="S1148" s="217" t="str">
        <f t="shared" si="105"/>
        <v/>
      </c>
    </row>
    <row r="1149" spans="1:19" ht="15.75" hidden="1" thickBot="1" x14ac:dyDescent="0.3">
      <c r="A1149" s="262"/>
      <c r="B1149" s="260"/>
      <c r="C1149" s="35" t="s">
        <v>584</v>
      </c>
      <c r="D1149" s="35" t="s">
        <v>583</v>
      </c>
      <c r="E1149" s="36">
        <v>8.6199999999999999E-2</v>
      </c>
      <c r="F1149" s="30">
        <v>20.225499999999997</v>
      </c>
      <c r="G1149" s="33">
        <f t="shared" si="106"/>
        <v>1.7434380999999997</v>
      </c>
      <c r="H1149" s="34"/>
      <c r="I1149" s="30"/>
      <c r="J1149" s="152">
        <v>0</v>
      </c>
      <c r="L1149" s="215">
        <v>8.6199999999999999E-2</v>
      </c>
      <c r="M1149" s="30">
        <v>17.313027999999996</v>
      </c>
      <c r="N1149" s="33">
        <f t="shared" si="107"/>
        <v>1.4923830135999996</v>
      </c>
      <c r="O1149" s="34"/>
      <c r="P1149" s="36" t="str">
        <f t="shared" si="102"/>
        <v/>
      </c>
      <c r="Q1149" s="216">
        <f t="shared" si="103"/>
        <v>0.14400000000000013</v>
      </c>
      <c r="R1149" s="216">
        <f t="shared" si="104"/>
        <v>0.14400000000000002</v>
      </c>
      <c r="S1149" s="217" t="str">
        <f t="shared" si="105"/>
        <v/>
      </c>
    </row>
    <row r="1150" spans="1:19" ht="26.25" hidden="1" thickBot="1" x14ac:dyDescent="0.3">
      <c r="A1150" s="262"/>
      <c r="B1150" s="260"/>
      <c r="C1150" s="35" t="s">
        <v>825</v>
      </c>
      <c r="D1150" s="35" t="s">
        <v>583</v>
      </c>
      <c r="E1150" s="36">
        <v>0.27339999999999998</v>
      </c>
      <c r="F1150" s="30">
        <v>26.799499999999998</v>
      </c>
      <c r="G1150" s="33">
        <f t="shared" si="106"/>
        <v>7.3269832999999993</v>
      </c>
      <c r="H1150" s="34"/>
      <c r="I1150" s="30"/>
      <c r="J1150" s="152">
        <v>0</v>
      </c>
      <c r="L1150" s="215">
        <v>0.27339999999999998</v>
      </c>
      <c r="M1150" s="30">
        <v>22.940372</v>
      </c>
      <c r="N1150" s="33">
        <f t="shared" si="107"/>
        <v>6.2718977047999998</v>
      </c>
      <c r="O1150" s="34"/>
      <c r="P1150" s="36" t="str">
        <f t="shared" si="102"/>
        <v/>
      </c>
      <c r="Q1150" s="216">
        <f t="shared" si="103"/>
        <v>0.14399999999999991</v>
      </c>
      <c r="R1150" s="216">
        <f t="shared" si="104"/>
        <v>0.14399999999999991</v>
      </c>
      <c r="S1150" s="217" t="str">
        <f t="shared" si="105"/>
        <v/>
      </c>
    </row>
    <row r="1151" spans="1:19" ht="15.75" hidden="1" thickBot="1" x14ac:dyDescent="0.3">
      <c r="A1151" s="263"/>
      <c r="B1151" s="261"/>
      <c r="C1151" s="35"/>
      <c r="D1151" s="35"/>
      <c r="E1151" s="36"/>
      <c r="F1151" s="30" t="s">
        <v>416</v>
      </c>
      <c r="G1151" s="30" t="str">
        <f t="shared" si="106"/>
        <v/>
      </c>
      <c r="H1151" s="34"/>
      <c r="I1151" s="30"/>
      <c r="J1151" s="152">
        <v>0</v>
      </c>
      <c r="L1151" s="215"/>
      <c r="M1151" s="30"/>
      <c r="N1151" s="30" t="str">
        <f t="shared" si="107"/>
        <v/>
      </c>
      <c r="O1151" s="34"/>
      <c r="P1151" s="36" t="str">
        <f t="shared" si="102"/>
        <v/>
      </c>
      <c r="Q1151" s="216" t="str">
        <f t="shared" si="103"/>
        <v/>
      </c>
      <c r="R1151" s="216" t="str">
        <f t="shared" si="104"/>
        <v/>
      </c>
      <c r="S1151" s="217" t="str">
        <f t="shared" si="105"/>
        <v/>
      </c>
    </row>
    <row r="1152" spans="1:19" ht="15.75" hidden="1" thickBot="1" x14ac:dyDescent="0.3">
      <c r="A1152" s="256" t="s">
        <v>281</v>
      </c>
      <c r="B1152" s="259" t="str">
        <f>INDEX(Orçamentária!A:B,MATCH(Composições!A1152,Orçamentária!A:A,0),2)</f>
        <v>Sifão para lavatório 1 1/2"</v>
      </c>
      <c r="C1152" s="40"/>
      <c r="D1152" s="25" t="s">
        <v>16</v>
      </c>
      <c r="E1152" s="26"/>
      <c r="F1152" s="41" t="s">
        <v>416</v>
      </c>
      <c r="G1152" s="27" t="str">
        <f t="shared" si="106"/>
        <v/>
      </c>
      <c r="H1152" s="28"/>
      <c r="I1152" s="29"/>
      <c r="J1152" s="152">
        <v>0</v>
      </c>
      <c r="L1152" s="218"/>
      <c r="M1152" s="41"/>
      <c r="N1152" s="27" t="str">
        <f t="shared" si="107"/>
        <v/>
      </c>
      <c r="O1152" s="28"/>
      <c r="P1152" s="36" t="str">
        <f t="shared" si="102"/>
        <v/>
      </c>
      <c r="Q1152" s="216" t="str">
        <f t="shared" si="103"/>
        <v/>
      </c>
      <c r="R1152" s="216" t="str">
        <f t="shared" si="104"/>
        <v/>
      </c>
      <c r="S1152" s="217" t="str">
        <f t="shared" si="105"/>
        <v/>
      </c>
    </row>
    <row r="1153" spans="1:19" ht="15.75" hidden="1" thickBot="1" x14ac:dyDescent="0.3">
      <c r="A1153" s="262"/>
      <c r="B1153" s="260"/>
      <c r="C1153" s="31"/>
      <c r="D1153" s="31"/>
      <c r="E1153" s="32"/>
      <c r="F1153" s="42" t="s">
        <v>416</v>
      </c>
      <c r="G1153" s="30" t="str">
        <f t="shared" si="106"/>
        <v/>
      </c>
      <c r="H1153" s="34"/>
      <c r="I1153" s="30"/>
      <c r="J1153" s="152">
        <v>0</v>
      </c>
      <c r="L1153" s="219"/>
      <c r="M1153" s="42"/>
      <c r="N1153" s="30" t="str">
        <f t="shared" si="107"/>
        <v/>
      </c>
      <c r="O1153" s="34"/>
      <c r="P1153" s="36" t="str">
        <f t="shared" si="102"/>
        <v/>
      </c>
      <c r="Q1153" s="216" t="str">
        <f t="shared" si="103"/>
        <v/>
      </c>
      <c r="R1153" s="216" t="str">
        <f t="shared" si="104"/>
        <v/>
      </c>
      <c r="S1153" s="217" t="str">
        <f t="shared" si="105"/>
        <v/>
      </c>
    </row>
    <row r="1154" spans="1:19" ht="15.75" hidden="1" thickBot="1" x14ac:dyDescent="0.3">
      <c r="A1154" s="262"/>
      <c r="B1154" s="260"/>
      <c r="C1154" s="35" t="s">
        <v>8371</v>
      </c>
      <c r="D1154" s="35" t="s">
        <v>213</v>
      </c>
      <c r="E1154" s="36">
        <v>1</v>
      </c>
      <c r="F1154" s="33">
        <v>148.71299999999999</v>
      </c>
      <c r="G1154" s="33">
        <f t="shared" si="106"/>
        <v>148.71299999999999</v>
      </c>
      <c r="H1154" s="38">
        <f>SUM(G1154:G1157)</f>
        <v>157.97103499999997</v>
      </c>
      <c r="I1154" s="39"/>
      <c r="J1154" s="152">
        <v>0</v>
      </c>
      <c r="L1154" s="215">
        <v>1</v>
      </c>
      <c r="M1154" s="33">
        <v>127.298328</v>
      </c>
      <c r="N1154" s="33">
        <f t="shared" si="107"/>
        <v>127.298328</v>
      </c>
      <c r="O1154" s="38">
        <f>SUM(N1154:N1157)</f>
        <v>135.22320596</v>
      </c>
      <c r="P1154" s="36" t="str">
        <f t="shared" si="102"/>
        <v/>
      </c>
      <c r="Q1154" s="216">
        <f t="shared" si="103"/>
        <v>0.14400000000000002</v>
      </c>
      <c r="R1154" s="216">
        <f t="shared" si="104"/>
        <v>0.14400000000000002</v>
      </c>
      <c r="S1154" s="217">
        <f t="shared" si="105"/>
        <v>0.14399999999999979</v>
      </c>
    </row>
    <row r="1155" spans="1:19" ht="15.75" hidden="1" thickBot="1" x14ac:dyDescent="0.3">
      <c r="A1155" s="262"/>
      <c r="B1155" s="260"/>
      <c r="C1155" s="35" t="s">
        <v>8171</v>
      </c>
      <c r="D1155" s="35" t="s">
        <v>213</v>
      </c>
      <c r="E1155" s="36">
        <v>0.05</v>
      </c>
      <c r="F1155" s="33">
        <v>4.0374999999999996</v>
      </c>
      <c r="G1155" s="33">
        <f t="shared" si="106"/>
        <v>0.201875</v>
      </c>
      <c r="H1155" s="34"/>
      <c r="I1155" s="30"/>
      <c r="J1155" s="152">
        <v>0</v>
      </c>
      <c r="L1155" s="215">
        <v>0.05</v>
      </c>
      <c r="M1155" s="33">
        <v>3.4560999999999997</v>
      </c>
      <c r="N1155" s="33">
        <f t="shared" si="107"/>
        <v>0.17280499999999999</v>
      </c>
      <c r="O1155" s="34"/>
      <c r="P1155" s="36" t="str">
        <f t="shared" si="102"/>
        <v/>
      </c>
      <c r="Q1155" s="216">
        <f t="shared" si="103"/>
        <v>0.14400000000000002</v>
      </c>
      <c r="R1155" s="216">
        <f t="shared" si="104"/>
        <v>0.14400000000000002</v>
      </c>
      <c r="S1155" s="217" t="str">
        <f t="shared" si="105"/>
        <v/>
      </c>
    </row>
    <row r="1156" spans="1:19" ht="26.25" hidden="1" thickBot="1" x14ac:dyDescent="0.3">
      <c r="A1156" s="262"/>
      <c r="B1156" s="260"/>
      <c r="C1156" s="35" t="s">
        <v>825</v>
      </c>
      <c r="D1156" s="35" t="s">
        <v>583</v>
      </c>
      <c r="E1156" s="36">
        <v>0.27</v>
      </c>
      <c r="F1156" s="30">
        <v>26.799499999999998</v>
      </c>
      <c r="G1156" s="33">
        <f t="shared" si="106"/>
        <v>7.2358650000000004</v>
      </c>
      <c r="H1156" s="34"/>
      <c r="I1156" s="30"/>
      <c r="J1156" s="152">
        <v>0</v>
      </c>
      <c r="L1156" s="215">
        <v>0.27</v>
      </c>
      <c r="M1156" s="30">
        <v>22.940372</v>
      </c>
      <c r="N1156" s="33">
        <f t="shared" si="107"/>
        <v>6.1939004400000002</v>
      </c>
      <c r="O1156" s="34"/>
      <c r="P1156" s="36" t="str">
        <f t="shared" si="102"/>
        <v/>
      </c>
      <c r="Q1156" s="216">
        <f t="shared" si="103"/>
        <v>0.14399999999999991</v>
      </c>
      <c r="R1156" s="216">
        <f t="shared" si="104"/>
        <v>0.14400000000000002</v>
      </c>
      <c r="S1156" s="217" t="str">
        <f t="shared" si="105"/>
        <v/>
      </c>
    </row>
    <row r="1157" spans="1:19" ht="15.75" hidden="1" thickBot="1" x14ac:dyDescent="0.3">
      <c r="A1157" s="262"/>
      <c r="B1157" s="260"/>
      <c r="C1157" s="35" t="s">
        <v>584</v>
      </c>
      <c r="D1157" s="35" t="s">
        <v>583</v>
      </c>
      <c r="E1157" s="36">
        <v>0.09</v>
      </c>
      <c r="F1157" s="30">
        <v>20.225499999999997</v>
      </c>
      <c r="G1157" s="33">
        <f t="shared" si="106"/>
        <v>1.8202949999999996</v>
      </c>
      <c r="H1157" s="34"/>
      <c r="I1157" s="30"/>
      <c r="J1157" s="152">
        <v>0</v>
      </c>
      <c r="L1157" s="215">
        <v>0.09</v>
      </c>
      <c r="M1157" s="30">
        <v>17.313027999999996</v>
      </c>
      <c r="N1157" s="33">
        <f t="shared" si="107"/>
        <v>1.5581725199999996</v>
      </c>
      <c r="O1157" s="34"/>
      <c r="P1157" s="36" t="str">
        <f t="shared" si="102"/>
        <v/>
      </c>
      <c r="Q1157" s="216">
        <f t="shared" si="103"/>
        <v>0.14400000000000013</v>
      </c>
      <c r="R1157" s="216">
        <f t="shared" si="104"/>
        <v>0.14400000000000002</v>
      </c>
      <c r="S1157" s="217" t="str">
        <f t="shared" si="105"/>
        <v/>
      </c>
    </row>
    <row r="1158" spans="1:19" ht="15.75" hidden="1" thickBot="1" x14ac:dyDescent="0.3">
      <c r="A1158" s="263"/>
      <c r="B1158" s="261"/>
      <c r="C1158" s="35"/>
      <c r="D1158" s="35"/>
      <c r="E1158" s="36"/>
      <c r="F1158" s="30" t="s">
        <v>416</v>
      </c>
      <c r="G1158" s="30" t="str">
        <f t="shared" si="106"/>
        <v/>
      </c>
      <c r="H1158" s="34"/>
      <c r="I1158" s="30"/>
      <c r="J1158" s="152">
        <v>0</v>
      </c>
      <c r="L1158" s="215"/>
      <c r="M1158" s="30"/>
      <c r="N1158" s="30" t="str">
        <f t="shared" si="107"/>
        <v/>
      </c>
      <c r="O1158" s="34"/>
      <c r="P1158" s="36" t="str">
        <f t="shared" si="102"/>
        <v/>
      </c>
      <c r="Q1158" s="216" t="str">
        <f t="shared" si="103"/>
        <v/>
      </c>
      <c r="R1158" s="216" t="str">
        <f t="shared" si="104"/>
        <v/>
      </c>
      <c r="S1158" s="217" t="str">
        <f t="shared" si="105"/>
        <v/>
      </c>
    </row>
    <row r="1159" spans="1:19" ht="15.75" hidden="1" thickBot="1" x14ac:dyDescent="0.3">
      <c r="A1159" s="256" t="s">
        <v>282</v>
      </c>
      <c r="B1159" s="259" t="str">
        <f>INDEX(Orçamentária!A:B,MATCH(Composições!A1159,Orçamentária!A:A,0),2)</f>
        <v>Sifão para tanque</v>
      </c>
      <c r="C1159" s="40"/>
      <c r="D1159" s="25" t="s">
        <v>16</v>
      </c>
      <c r="E1159" s="26"/>
      <c r="F1159" s="41" t="s">
        <v>416</v>
      </c>
      <c r="G1159" s="27" t="str">
        <f t="shared" si="106"/>
        <v/>
      </c>
      <c r="H1159" s="28"/>
      <c r="I1159" s="29"/>
      <c r="J1159" s="152">
        <v>0</v>
      </c>
      <c r="L1159" s="218"/>
      <c r="M1159" s="41"/>
      <c r="N1159" s="27" t="str">
        <f t="shared" si="107"/>
        <v/>
      </c>
      <c r="O1159" s="28"/>
      <c r="P1159" s="36" t="str">
        <f t="shared" si="102"/>
        <v/>
      </c>
      <c r="Q1159" s="216" t="str">
        <f t="shared" si="103"/>
        <v/>
      </c>
      <c r="R1159" s="216" t="str">
        <f t="shared" si="104"/>
        <v/>
      </c>
      <c r="S1159" s="217" t="str">
        <f t="shared" si="105"/>
        <v/>
      </c>
    </row>
    <row r="1160" spans="1:19" ht="15.75" hidden="1" thickBot="1" x14ac:dyDescent="0.3">
      <c r="A1160" s="262"/>
      <c r="B1160" s="260"/>
      <c r="C1160" s="31"/>
      <c r="D1160" s="31"/>
      <c r="E1160" s="32"/>
      <c r="F1160" s="42" t="s">
        <v>416</v>
      </c>
      <c r="G1160" s="30" t="str">
        <f t="shared" si="106"/>
        <v/>
      </c>
      <c r="H1160" s="34"/>
      <c r="I1160" s="30"/>
      <c r="J1160" s="152">
        <v>0</v>
      </c>
      <c r="L1160" s="219"/>
      <c r="M1160" s="42"/>
      <c r="N1160" s="30" t="str">
        <f t="shared" si="107"/>
        <v/>
      </c>
      <c r="O1160" s="34"/>
      <c r="P1160" s="36" t="str">
        <f t="shared" ref="P1160:P1223" si="108">IF(ISBLANK(L1160),"",IF($E1160&lt;&gt;L1160,"SIM",""))</f>
        <v/>
      </c>
      <c r="Q1160" s="216" t="str">
        <f t="shared" ref="Q1160:Q1223" si="109">IF(M1160="","",1-M1160/$F1160)</f>
        <v/>
      </c>
      <c r="R1160" s="216" t="str">
        <f t="shared" ref="R1160:R1223" si="110">IF(N1160="","",1-N1160/$G1160)</f>
        <v/>
      </c>
      <c r="S1160" s="217" t="str">
        <f t="shared" ref="S1160:S1223" si="111">IF(O1160="","",1-O1160/$H1160)</f>
        <v/>
      </c>
    </row>
    <row r="1161" spans="1:19" ht="15.75" hidden="1" thickBot="1" x14ac:dyDescent="0.3">
      <c r="A1161" s="262"/>
      <c r="B1161" s="260"/>
      <c r="C1161" s="35" t="s">
        <v>8171</v>
      </c>
      <c r="D1161" s="35" t="s">
        <v>213</v>
      </c>
      <c r="E1161" s="36">
        <v>3.32E-2</v>
      </c>
      <c r="F1161" s="33">
        <v>4.0374999999999996</v>
      </c>
      <c r="G1161" s="33">
        <f t="shared" si="106"/>
        <v>0.134045</v>
      </c>
      <c r="H1161" s="38">
        <f>SUM(G1161:G1164)</f>
        <v>166.69546639999999</v>
      </c>
      <c r="I1161" s="39"/>
      <c r="J1161" s="152">
        <v>0</v>
      </c>
      <c r="L1161" s="215">
        <v>3.32E-2</v>
      </c>
      <c r="M1161" s="33">
        <v>3.4560999999999997</v>
      </c>
      <c r="N1161" s="33">
        <f t="shared" si="107"/>
        <v>0.11474251999999999</v>
      </c>
      <c r="O1161" s="38">
        <f>SUM(N1161:N1164)</f>
        <v>142.69131923840001</v>
      </c>
      <c r="P1161" s="36" t="str">
        <f t="shared" si="108"/>
        <v/>
      </c>
      <c r="Q1161" s="216">
        <f t="shared" si="109"/>
        <v>0.14400000000000002</v>
      </c>
      <c r="R1161" s="216">
        <f t="shared" si="110"/>
        <v>0.14400000000000013</v>
      </c>
      <c r="S1161" s="217">
        <f t="shared" si="111"/>
        <v>0.14399999999999991</v>
      </c>
    </row>
    <row r="1162" spans="1:19" ht="15.75" hidden="1" thickBot="1" x14ac:dyDescent="0.3">
      <c r="A1162" s="262"/>
      <c r="B1162" s="260"/>
      <c r="C1162" s="35" t="s">
        <v>584</v>
      </c>
      <c r="D1162" s="35" t="s">
        <v>583</v>
      </c>
      <c r="E1162" s="36">
        <v>8.6199999999999999E-2</v>
      </c>
      <c r="F1162" s="30">
        <v>20.225499999999997</v>
      </c>
      <c r="G1162" s="33">
        <f t="shared" si="106"/>
        <v>1.7434380999999997</v>
      </c>
      <c r="H1162" s="44"/>
      <c r="I1162" s="45"/>
      <c r="J1162" s="152">
        <v>0</v>
      </c>
      <c r="L1162" s="215">
        <v>8.6199999999999999E-2</v>
      </c>
      <c r="M1162" s="30">
        <v>17.313027999999996</v>
      </c>
      <c r="N1162" s="33">
        <f t="shared" si="107"/>
        <v>1.4923830135999996</v>
      </c>
      <c r="O1162" s="44"/>
      <c r="P1162" s="36" t="str">
        <f t="shared" si="108"/>
        <v/>
      </c>
      <c r="Q1162" s="216">
        <f t="shared" si="109"/>
        <v>0.14400000000000013</v>
      </c>
      <c r="R1162" s="216">
        <f t="shared" si="110"/>
        <v>0.14400000000000002</v>
      </c>
      <c r="S1162" s="217" t="str">
        <f t="shared" si="111"/>
        <v/>
      </c>
    </row>
    <row r="1163" spans="1:19" ht="26.25" hidden="1" thickBot="1" x14ac:dyDescent="0.3">
      <c r="A1163" s="262"/>
      <c r="B1163" s="260"/>
      <c r="C1163" s="35" t="s">
        <v>825</v>
      </c>
      <c r="D1163" s="35" t="s">
        <v>583</v>
      </c>
      <c r="E1163" s="36">
        <v>0.27339999999999998</v>
      </c>
      <c r="F1163" s="30">
        <v>26.799499999999998</v>
      </c>
      <c r="G1163" s="33">
        <f t="shared" si="106"/>
        <v>7.3269832999999993</v>
      </c>
      <c r="H1163" s="34"/>
      <c r="I1163" s="30"/>
      <c r="J1163" s="152">
        <v>0</v>
      </c>
      <c r="L1163" s="215">
        <v>0.27339999999999998</v>
      </c>
      <c r="M1163" s="30">
        <v>22.940372</v>
      </c>
      <c r="N1163" s="33">
        <f t="shared" si="107"/>
        <v>6.2718977047999998</v>
      </c>
      <c r="O1163" s="34"/>
      <c r="P1163" s="36" t="str">
        <f t="shared" si="108"/>
        <v/>
      </c>
      <c r="Q1163" s="216">
        <f t="shared" si="109"/>
        <v>0.14399999999999991</v>
      </c>
      <c r="R1163" s="216">
        <f t="shared" si="110"/>
        <v>0.14399999999999991</v>
      </c>
      <c r="S1163" s="217" t="str">
        <f t="shared" si="111"/>
        <v/>
      </c>
    </row>
    <row r="1164" spans="1:19" ht="15.75" hidden="1" thickBot="1" x14ac:dyDescent="0.3">
      <c r="A1164" s="262"/>
      <c r="B1164" s="260"/>
      <c r="C1164" s="35" t="s">
        <v>8372</v>
      </c>
      <c r="D1164" s="35" t="s">
        <v>213</v>
      </c>
      <c r="E1164" s="36">
        <v>1</v>
      </c>
      <c r="F1164" s="33">
        <v>157.49099999999999</v>
      </c>
      <c r="G1164" s="30">
        <f t="shared" si="106"/>
        <v>157.49099999999999</v>
      </c>
      <c r="H1164" s="34"/>
      <c r="I1164" s="30"/>
      <c r="J1164" s="152">
        <v>0</v>
      </c>
      <c r="L1164" s="215">
        <v>1</v>
      </c>
      <c r="M1164" s="33">
        <v>134.812296</v>
      </c>
      <c r="N1164" s="30">
        <f t="shared" si="107"/>
        <v>134.812296</v>
      </c>
      <c r="O1164" s="34"/>
      <c r="P1164" s="36" t="str">
        <f t="shared" si="108"/>
        <v/>
      </c>
      <c r="Q1164" s="216">
        <f t="shared" si="109"/>
        <v>0.14399999999999991</v>
      </c>
      <c r="R1164" s="216">
        <f t="shared" si="110"/>
        <v>0.14399999999999991</v>
      </c>
      <c r="S1164" s="217" t="str">
        <f t="shared" si="111"/>
        <v/>
      </c>
    </row>
    <row r="1165" spans="1:19" ht="15.75" hidden="1" thickBot="1" x14ac:dyDescent="0.3">
      <c r="A1165" s="263"/>
      <c r="B1165" s="261"/>
      <c r="C1165" s="35"/>
      <c r="D1165" s="35"/>
      <c r="E1165" s="36"/>
      <c r="F1165" s="30" t="s">
        <v>416</v>
      </c>
      <c r="G1165" s="30" t="str">
        <f t="shared" si="106"/>
        <v/>
      </c>
      <c r="H1165" s="34"/>
      <c r="I1165" s="30"/>
      <c r="J1165" s="152">
        <v>0</v>
      </c>
      <c r="L1165" s="215"/>
      <c r="M1165" s="30"/>
      <c r="N1165" s="30" t="str">
        <f t="shared" si="107"/>
        <v/>
      </c>
      <c r="O1165" s="34"/>
      <c r="P1165" s="36" t="str">
        <f t="shared" si="108"/>
        <v/>
      </c>
      <c r="Q1165" s="216" t="str">
        <f t="shared" si="109"/>
        <v/>
      </c>
      <c r="R1165" s="216" t="str">
        <f t="shared" si="110"/>
        <v/>
      </c>
      <c r="S1165" s="217" t="str">
        <f t="shared" si="111"/>
        <v/>
      </c>
    </row>
    <row r="1166" spans="1:19" ht="15.75" hidden="1" thickBot="1" x14ac:dyDescent="0.3">
      <c r="A1166" s="256" t="s">
        <v>283</v>
      </c>
      <c r="B1166" s="259" t="str">
        <f>INDEX(Orçamentária!A:B,MATCH(Composições!A1166,Orçamentária!A:A,0),2)</f>
        <v>Torneira de mesa para cozinha bica móvel – Linha Administrativa</v>
      </c>
      <c r="C1166" s="40"/>
      <c r="D1166" s="25" t="s">
        <v>16</v>
      </c>
      <c r="E1166" s="26"/>
      <c r="F1166" s="41" t="s">
        <v>416</v>
      </c>
      <c r="G1166" s="27" t="str">
        <f t="shared" si="106"/>
        <v/>
      </c>
      <c r="H1166" s="28"/>
      <c r="I1166" s="29"/>
      <c r="J1166" s="152">
        <v>0</v>
      </c>
      <c r="L1166" s="218"/>
      <c r="M1166" s="41"/>
      <c r="N1166" s="27" t="str">
        <f t="shared" si="107"/>
        <v/>
      </c>
      <c r="O1166" s="28"/>
      <c r="P1166" s="36" t="str">
        <f t="shared" si="108"/>
        <v/>
      </c>
      <c r="Q1166" s="216" t="str">
        <f t="shared" si="109"/>
        <v/>
      </c>
      <c r="R1166" s="216" t="str">
        <f t="shared" si="110"/>
        <v/>
      </c>
      <c r="S1166" s="217" t="str">
        <f t="shared" si="111"/>
        <v/>
      </c>
    </row>
    <row r="1167" spans="1:19" ht="15.75" hidden="1" thickBot="1" x14ac:dyDescent="0.3">
      <c r="A1167" s="262"/>
      <c r="B1167" s="260"/>
      <c r="C1167" s="31"/>
      <c r="D1167" s="31"/>
      <c r="E1167" s="32"/>
      <c r="F1167" s="42" t="s">
        <v>416</v>
      </c>
      <c r="G1167" s="30" t="str">
        <f t="shared" si="106"/>
        <v/>
      </c>
      <c r="H1167" s="34"/>
      <c r="I1167" s="30"/>
      <c r="J1167" s="152">
        <v>0</v>
      </c>
      <c r="L1167" s="219"/>
      <c r="M1167" s="42"/>
      <c r="N1167" s="30" t="str">
        <f t="shared" si="107"/>
        <v/>
      </c>
      <c r="O1167" s="34"/>
      <c r="P1167" s="36" t="str">
        <f t="shared" si="108"/>
        <v/>
      </c>
      <c r="Q1167" s="216" t="str">
        <f t="shared" si="109"/>
        <v/>
      </c>
      <c r="R1167" s="216" t="str">
        <f t="shared" si="110"/>
        <v/>
      </c>
      <c r="S1167" s="217" t="str">
        <f t="shared" si="111"/>
        <v/>
      </c>
    </row>
    <row r="1168" spans="1:19" ht="15.75" hidden="1" thickBot="1" x14ac:dyDescent="0.3">
      <c r="A1168" s="262"/>
      <c r="B1168" s="260"/>
      <c r="C1168" s="35" t="s">
        <v>284</v>
      </c>
      <c r="D1168" s="46" t="s">
        <v>107</v>
      </c>
      <c r="E1168" s="36">
        <v>1</v>
      </c>
      <c r="F1168" s="33" t="s">
        <v>416</v>
      </c>
      <c r="G1168" s="33" t="str">
        <f t="shared" si="106"/>
        <v/>
      </c>
      <c r="H1168" s="38">
        <f>SUM(G1168:G1171)</f>
        <v>5.6141028999999989</v>
      </c>
      <c r="I1168" s="39"/>
      <c r="J1168" s="152">
        <v>0</v>
      </c>
      <c r="L1168" s="215">
        <v>1</v>
      </c>
      <c r="M1168" s="33"/>
      <c r="N1168" s="33" t="str">
        <f t="shared" si="107"/>
        <v/>
      </c>
      <c r="O1168" s="38">
        <f>SUM(N1168:N1171)</f>
        <v>4.8056720823999992</v>
      </c>
      <c r="P1168" s="36" t="str">
        <f t="shared" si="108"/>
        <v/>
      </c>
      <c r="Q1168" s="216" t="str">
        <f t="shared" si="109"/>
        <v/>
      </c>
      <c r="R1168" s="216" t="str">
        <f t="shared" si="110"/>
        <v/>
      </c>
      <c r="S1168" s="217">
        <f t="shared" si="111"/>
        <v>0.14400000000000002</v>
      </c>
    </row>
    <row r="1169" spans="1:19" ht="15.75" hidden="1" thickBot="1" x14ac:dyDescent="0.3">
      <c r="A1169" s="262"/>
      <c r="B1169" s="260"/>
      <c r="C1169" s="35" t="s">
        <v>8171</v>
      </c>
      <c r="D1169" s="35" t="s">
        <v>213</v>
      </c>
      <c r="E1169" s="36">
        <v>2.1000000000000001E-2</v>
      </c>
      <c r="F1169" s="33">
        <v>4.0374999999999996</v>
      </c>
      <c r="G1169" s="33">
        <f t="shared" si="106"/>
        <v>8.4787500000000002E-2</v>
      </c>
      <c r="H1169" s="34"/>
      <c r="I1169" s="30"/>
      <c r="J1169" s="152">
        <v>0</v>
      </c>
      <c r="L1169" s="215">
        <v>2.1000000000000001E-2</v>
      </c>
      <c r="M1169" s="33">
        <v>3.4560999999999997</v>
      </c>
      <c r="N1169" s="33">
        <f t="shared" si="107"/>
        <v>7.2578099999999993E-2</v>
      </c>
      <c r="O1169" s="34"/>
      <c r="P1169" s="36" t="str">
        <f t="shared" si="108"/>
        <v/>
      </c>
      <c r="Q1169" s="216">
        <f t="shared" si="109"/>
        <v>0.14400000000000002</v>
      </c>
      <c r="R1169" s="216">
        <f t="shared" si="110"/>
        <v>0.14400000000000013</v>
      </c>
      <c r="S1169" s="217" t="str">
        <f t="shared" si="111"/>
        <v/>
      </c>
    </row>
    <row r="1170" spans="1:19" ht="26.25" hidden="1" thickBot="1" x14ac:dyDescent="0.3">
      <c r="A1170" s="262"/>
      <c r="B1170" s="260"/>
      <c r="C1170" s="35" t="s">
        <v>825</v>
      </c>
      <c r="D1170" s="35" t="s">
        <v>583</v>
      </c>
      <c r="E1170" s="36">
        <v>0.16669999999999999</v>
      </c>
      <c r="F1170" s="30">
        <v>26.799499999999998</v>
      </c>
      <c r="G1170" s="33">
        <f t="shared" si="106"/>
        <v>4.4674766499999992</v>
      </c>
      <c r="H1170" s="34"/>
      <c r="I1170" s="30"/>
      <c r="J1170" s="152">
        <v>0</v>
      </c>
      <c r="L1170" s="215">
        <v>0.16669999999999999</v>
      </c>
      <c r="M1170" s="30">
        <v>22.940372</v>
      </c>
      <c r="N1170" s="33">
        <f t="shared" si="107"/>
        <v>3.8241600123999997</v>
      </c>
      <c r="O1170" s="34"/>
      <c r="P1170" s="36" t="str">
        <f t="shared" si="108"/>
        <v/>
      </c>
      <c r="Q1170" s="216">
        <f t="shared" si="109"/>
        <v>0.14399999999999991</v>
      </c>
      <c r="R1170" s="216">
        <f t="shared" si="110"/>
        <v>0.14399999999999991</v>
      </c>
      <c r="S1170" s="217" t="str">
        <f t="shared" si="111"/>
        <v/>
      </c>
    </row>
    <row r="1171" spans="1:19" ht="15.75" hidden="1" thickBot="1" x14ac:dyDescent="0.3">
      <c r="A1171" s="262"/>
      <c r="B1171" s="260"/>
      <c r="C1171" s="35" t="s">
        <v>584</v>
      </c>
      <c r="D1171" s="35" t="s">
        <v>583</v>
      </c>
      <c r="E1171" s="36">
        <v>5.2499999999999998E-2</v>
      </c>
      <c r="F1171" s="30">
        <v>20.225499999999997</v>
      </c>
      <c r="G1171" s="33">
        <f t="shared" ref="G1171:G1234" si="112">IF(ISNUMBER(F1171),E1171*F1171,"")</f>
        <v>1.0618387499999997</v>
      </c>
      <c r="H1171" s="34"/>
      <c r="I1171" s="30"/>
      <c r="J1171" s="152">
        <v>0</v>
      </c>
      <c r="L1171" s="215">
        <v>5.2499999999999998E-2</v>
      </c>
      <c r="M1171" s="30">
        <v>17.313027999999996</v>
      </c>
      <c r="N1171" s="33">
        <f t="shared" ref="N1171:N1234" si="113">IF(ISNUMBER(M1171),L1171*M1171,"")</f>
        <v>0.90893396999999976</v>
      </c>
      <c r="O1171" s="34"/>
      <c r="P1171" s="36" t="str">
        <f t="shared" si="108"/>
        <v/>
      </c>
      <c r="Q1171" s="216">
        <f t="shared" si="109"/>
        <v>0.14400000000000013</v>
      </c>
      <c r="R1171" s="216">
        <f t="shared" si="110"/>
        <v>0.14400000000000002</v>
      </c>
      <c r="S1171" s="217" t="str">
        <f t="shared" si="111"/>
        <v/>
      </c>
    </row>
    <row r="1172" spans="1:19" ht="15.75" hidden="1" thickBot="1" x14ac:dyDescent="0.3">
      <c r="A1172" s="263"/>
      <c r="B1172" s="261"/>
      <c r="C1172" s="35"/>
      <c r="D1172" s="35"/>
      <c r="E1172" s="36"/>
      <c r="F1172" s="30" t="s">
        <v>416</v>
      </c>
      <c r="G1172" s="30" t="str">
        <f t="shared" si="112"/>
        <v/>
      </c>
      <c r="H1172" s="34"/>
      <c r="I1172" s="30"/>
      <c r="J1172" s="152">
        <v>0</v>
      </c>
      <c r="L1172" s="215"/>
      <c r="M1172" s="30"/>
      <c r="N1172" s="30" t="str">
        <f t="shared" si="113"/>
        <v/>
      </c>
      <c r="O1172" s="34"/>
      <c r="P1172" s="36" t="str">
        <f t="shared" si="108"/>
        <v/>
      </c>
      <c r="Q1172" s="216" t="str">
        <f t="shared" si="109"/>
        <v/>
      </c>
      <c r="R1172" s="216" t="str">
        <f t="shared" si="110"/>
        <v/>
      </c>
      <c r="S1172" s="217" t="str">
        <f t="shared" si="111"/>
        <v/>
      </c>
    </row>
    <row r="1173" spans="1:19" ht="15.75" hidden="1" thickBot="1" x14ac:dyDescent="0.3">
      <c r="A1173" s="256" t="s">
        <v>285</v>
      </c>
      <c r="B1173" s="259" t="str">
        <f>INDEX(Orçamentária!A:B,MATCH(Composições!A1173,Orçamentária!A:A,0),2)</f>
        <v>Torneira de mesa para cozinha bica móvel</v>
      </c>
      <c r="C1173" s="40"/>
      <c r="D1173" s="25" t="s">
        <v>16</v>
      </c>
      <c r="E1173" s="26"/>
      <c r="F1173" s="41" t="s">
        <v>416</v>
      </c>
      <c r="G1173" s="27" t="str">
        <f t="shared" si="112"/>
        <v/>
      </c>
      <c r="H1173" s="28"/>
      <c r="I1173" s="29"/>
      <c r="J1173" s="152">
        <v>0</v>
      </c>
      <c r="L1173" s="218"/>
      <c r="M1173" s="41"/>
      <c r="N1173" s="27" t="str">
        <f t="shared" si="113"/>
        <v/>
      </c>
      <c r="O1173" s="28"/>
      <c r="P1173" s="36" t="str">
        <f t="shared" si="108"/>
        <v/>
      </c>
      <c r="Q1173" s="216" t="str">
        <f t="shared" si="109"/>
        <v/>
      </c>
      <c r="R1173" s="216" t="str">
        <f t="shared" si="110"/>
        <v/>
      </c>
      <c r="S1173" s="217" t="str">
        <f t="shared" si="111"/>
        <v/>
      </c>
    </row>
    <row r="1174" spans="1:19" ht="15.75" hidden="1" thickBot="1" x14ac:dyDescent="0.3">
      <c r="A1174" s="262"/>
      <c r="B1174" s="260"/>
      <c r="C1174" s="31"/>
      <c r="D1174" s="31"/>
      <c r="E1174" s="32"/>
      <c r="F1174" s="42" t="s">
        <v>416</v>
      </c>
      <c r="G1174" s="30" t="str">
        <f t="shared" si="112"/>
        <v/>
      </c>
      <c r="H1174" s="34"/>
      <c r="I1174" s="30"/>
      <c r="J1174" s="152">
        <v>0</v>
      </c>
      <c r="L1174" s="219"/>
      <c r="M1174" s="42"/>
      <c r="N1174" s="30" t="str">
        <f t="shared" si="113"/>
        <v/>
      </c>
      <c r="O1174" s="34"/>
      <c r="P1174" s="36" t="str">
        <f t="shared" si="108"/>
        <v/>
      </c>
      <c r="Q1174" s="216" t="str">
        <f t="shared" si="109"/>
        <v/>
      </c>
      <c r="R1174" s="216" t="str">
        <f t="shared" si="110"/>
        <v/>
      </c>
      <c r="S1174" s="217" t="str">
        <f t="shared" si="111"/>
        <v/>
      </c>
    </row>
    <row r="1175" spans="1:19" ht="26.25" hidden="1" thickBot="1" x14ac:dyDescent="0.3">
      <c r="A1175" s="262"/>
      <c r="B1175" s="260"/>
      <c r="C1175" s="35" t="s">
        <v>286</v>
      </c>
      <c r="D1175" s="46" t="s">
        <v>107</v>
      </c>
      <c r="E1175" s="36">
        <v>1</v>
      </c>
      <c r="F1175" s="33" t="s">
        <v>416</v>
      </c>
      <c r="G1175" s="33" t="str">
        <f t="shared" si="112"/>
        <v/>
      </c>
      <c r="H1175" s="38">
        <f>SUM(G1175:G1178)</f>
        <v>5.6141028999999989</v>
      </c>
      <c r="I1175" s="39"/>
      <c r="J1175" s="152">
        <v>0</v>
      </c>
      <c r="L1175" s="215">
        <v>1</v>
      </c>
      <c r="M1175" s="33"/>
      <c r="N1175" s="33" t="str">
        <f t="shared" si="113"/>
        <v/>
      </c>
      <c r="O1175" s="38">
        <f>SUM(N1175:N1178)</f>
        <v>4.8056720823999992</v>
      </c>
      <c r="P1175" s="36" t="str">
        <f t="shared" si="108"/>
        <v/>
      </c>
      <c r="Q1175" s="216" t="str">
        <f t="shared" si="109"/>
        <v/>
      </c>
      <c r="R1175" s="216" t="str">
        <f t="shared" si="110"/>
        <v/>
      </c>
      <c r="S1175" s="217">
        <f t="shared" si="111"/>
        <v>0.14400000000000002</v>
      </c>
    </row>
    <row r="1176" spans="1:19" ht="15.75" hidden="1" thickBot="1" x14ac:dyDescent="0.3">
      <c r="A1176" s="262"/>
      <c r="B1176" s="260"/>
      <c r="C1176" s="35" t="s">
        <v>8171</v>
      </c>
      <c r="D1176" s="35" t="s">
        <v>213</v>
      </c>
      <c r="E1176" s="36">
        <v>2.1000000000000001E-2</v>
      </c>
      <c r="F1176" s="33">
        <v>4.0374999999999996</v>
      </c>
      <c r="G1176" s="33">
        <f t="shared" si="112"/>
        <v>8.4787500000000002E-2</v>
      </c>
      <c r="H1176" s="34"/>
      <c r="I1176" s="30"/>
      <c r="J1176" s="152">
        <v>0</v>
      </c>
      <c r="L1176" s="215">
        <v>2.1000000000000001E-2</v>
      </c>
      <c r="M1176" s="33">
        <v>3.4560999999999997</v>
      </c>
      <c r="N1176" s="33">
        <f t="shared" si="113"/>
        <v>7.2578099999999993E-2</v>
      </c>
      <c r="O1176" s="34"/>
      <c r="P1176" s="36" t="str">
        <f t="shared" si="108"/>
        <v/>
      </c>
      <c r="Q1176" s="216">
        <f t="shared" si="109"/>
        <v>0.14400000000000002</v>
      </c>
      <c r="R1176" s="216">
        <f t="shared" si="110"/>
        <v>0.14400000000000013</v>
      </c>
      <c r="S1176" s="217" t="str">
        <f t="shared" si="111"/>
        <v/>
      </c>
    </row>
    <row r="1177" spans="1:19" ht="26.25" hidden="1" thickBot="1" x14ac:dyDescent="0.3">
      <c r="A1177" s="262"/>
      <c r="B1177" s="260"/>
      <c r="C1177" s="35" t="s">
        <v>825</v>
      </c>
      <c r="D1177" s="35" t="s">
        <v>583</v>
      </c>
      <c r="E1177" s="36">
        <v>0.16669999999999999</v>
      </c>
      <c r="F1177" s="30">
        <v>26.799499999999998</v>
      </c>
      <c r="G1177" s="33">
        <f t="shared" si="112"/>
        <v>4.4674766499999992</v>
      </c>
      <c r="H1177" s="34"/>
      <c r="I1177" s="30"/>
      <c r="J1177" s="152">
        <v>0</v>
      </c>
      <c r="L1177" s="215">
        <v>0.16669999999999999</v>
      </c>
      <c r="M1177" s="30">
        <v>22.940372</v>
      </c>
      <c r="N1177" s="33">
        <f t="shared" si="113"/>
        <v>3.8241600123999997</v>
      </c>
      <c r="O1177" s="34"/>
      <c r="P1177" s="36" t="str">
        <f t="shared" si="108"/>
        <v/>
      </c>
      <c r="Q1177" s="216">
        <f t="shared" si="109"/>
        <v>0.14399999999999991</v>
      </c>
      <c r="R1177" s="216">
        <f t="shared" si="110"/>
        <v>0.14399999999999991</v>
      </c>
      <c r="S1177" s="217" t="str">
        <f t="shared" si="111"/>
        <v/>
      </c>
    </row>
    <row r="1178" spans="1:19" ht="15.75" hidden="1" thickBot="1" x14ac:dyDescent="0.3">
      <c r="A1178" s="262"/>
      <c r="B1178" s="260"/>
      <c r="C1178" s="35" t="s">
        <v>584</v>
      </c>
      <c r="D1178" s="35" t="s">
        <v>583</v>
      </c>
      <c r="E1178" s="36">
        <v>5.2499999999999998E-2</v>
      </c>
      <c r="F1178" s="30">
        <v>20.225499999999997</v>
      </c>
      <c r="G1178" s="33">
        <f t="shared" si="112"/>
        <v>1.0618387499999997</v>
      </c>
      <c r="H1178" s="34"/>
      <c r="I1178" s="30"/>
      <c r="J1178" s="152">
        <v>0</v>
      </c>
      <c r="L1178" s="215">
        <v>5.2499999999999998E-2</v>
      </c>
      <c r="M1178" s="30">
        <v>17.313027999999996</v>
      </c>
      <c r="N1178" s="33">
        <f t="shared" si="113"/>
        <v>0.90893396999999976</v>
      </c>
      <c r="O1178" s="34"/>
      <c r="P1178" s="36" t="str">
        <f t="shared" si="108"/>
        <v/>
      </c>
      <c r="Q1178" s="216">
        <f t="shared" si="109"/>
        <v>0.14400000000000013</v>
      </c>
      <c r="R1178" s="216">
        <f t="shared" si="110"/>
        <v>0.14400000000000002</v>
      </c>
      <c r="S1178" s="217" t="str">
        <f t="shared" si="111"/>
        <v/>
      </c>
    </row>
    <row r="1179" spans="1:19" ht="15.75" hidden="1" thickBot="1" x14ac:dyDescent="0.3">
      <c r="A1179" s="263"/>
      <c r="B1179" s="261"/>
      <c r="C1179" s="35"/>
      <c r="D1179" s="35"/>
      <c r="E1179" s="36"/>
      <c r="F1179" s="30" t="s">
        <v>416</v>
      </c>
      <c r="G1179" s="30" t="str">
        <f t="shared" si="112"/>
        <v/>
      </c>
      <c r="H1179" s="34"/>
      <c r="I1179" s="30"/>
      <c r="J1179" s="152">
        <v>0</v>
      </c>
      <c r="L1179" s="215"/>
      <c r="M1179" s="30"/>
      <c r="N1179" s="30" t="str">
        <f t="shared" si="113"/>
        <v/>
      </c>
      <c r="O1179" s="34"/>
      <c r="P1179" s="36" t="str">
        <f t="shared" si="108"/>
        <v/>
      </c>
      <c r="Q1179" s="216" t="str">
        <f t="shared" si="109"/>
        <v/>
      </c>
      <c r="R1179" s="216" t="str">
        <f t="shared" si="110"/>
        <v/>
      </c>
      <c r="S1179" s="217" t="str">
        <f t="shared" si="111"/>
        <v/>
      </c>
    </row>
    <row r="1180" spans="1:19" ht="15.75" hidden="1" thickBot="1" x14ac:dyDescent="0.3">
      <c r="A1180" s="256" t="s">
        <v>287</v>
      </c>
      <c r="B1180" s="259" t="str">
        <f>INDEX(Orçamentária!A:B,MATCH(Composições!A1180,Orçamentária!A:A,0),2)</f>
        <v>Torneira de mesa para lavatório – Linha Acessibilidade</v>
      </c>
      <c r="C1180" s="40"/>
      <c r="D1180" s="25" t="s">
        <v>16</v>
      </c>
      <c r="E1180" s="26"/>
      <c r="F1180" s="41" t="s">
        <v>416</v>
      </c>
      <c r="G1180" s="27" t="str">
        <f t="shared" si="112"/>
        <v/>
      </c>
      <c r="H1180" s="28"/>
      <c r="I1180" s="29"/>
      <c r="J1180" s="152">
        <v>0</v>
      </c>
      <c r="L1180" s="218"/>
      <c r="M1180" s="41"/>
      <c r="N1180" s="27" t="str">
        <f t="shared" si="113"/>
        <v/>
      </c>
      <c r="O1180" s="28"/>
      <c r="P1180" s="36" t="str">
        <f t="shared" si="108"/>
        <v/>
      </c>
      <c r="Q1180" s="216" t="str">
        <f t="shared" si="109"/>
        <v/>
      </c>
      <c r="R1180" s="216" t="str">
        <f t="shared" si="110"/>
        <v/>
      </c>
      <c r="S1180" s="217" t="str">
        <f t="shared" si="111"/>
        <v/>
      </c>
    </row>
    <row r="1181" spans="1:19" ht="15.75" hidden="1" thickBot="1" x14ac:dyDescent="0.3">
      <c r="A1181" s="262"/>
      <c r="B1181" s="260"/>
      <c r="C1181" s="31"/>
      <c r="D1181" s="31"/>
      <c r="E1181" s="32"/>
      <c r="F1181" s="42" t="s">
        <v>416</v>
      </c>
      <c r="G1181" s="30" t="str">
        <f t="shared" si="112"/>
        <v/>
      </c>
      <c r="H1181" s="34"/>
      <c r="I1181" s="30"/>
      <c r="J1181" s="152">
        <v>0</v>
      </c>
      <c r="L1181" s="219"/>
      <c r="M1181" s="42"/>
      <c r="N1181" s="30" t="str">
        <f t="shared" si="113"/>
        <v/>
      </c>
      <c r="O1181" s="34"/>
      <c r="P1181" s="36" t="str">
        <f t="shared" si="108"/>
        <v/>
      </c>
      <c r="Q1181" s="216" t="str">
        <f t="shared" si="109"/>
        <v/>
      </c>
      <c r="R1181" s="216" t="str">
        <f t="shared" si="110"/>
        <v/>
      </c>
      <c r="S1181" s="217" t="str">
        <f t="shared" si="111"/>
        <v/>
      </c>
    </row>
    <row r="1182" spans="1:19" ht="26.25" hidden="1" thickBot="1" x14ac:dyDescent="0.3">
      <c r="A1182" s="262"/>
      <c r="B1182" s="260"/>
      <c r="C1182" s="35" t="s">
        <v>288</v>
      </c>
      <c r="D1182" s="46" t="s">
        <v>107</v>
      </c>
      <c r="E1182" s="36">
        <v>1</v>
      </c>
      <c r="F1182" s="33" t="s">
        <v>416</v>
      </c>
      <c r="G1182" s="33" t="str">
        <f t="shared" si="112"/>
        <v/>
      </c>
      <c r="H1182" s="38">
        <f>SUM(G1182:G1185)</f>
        <v>3.27037215</v>
      </c>
      <c r="I1182" s="39"/>
      <c r="J1182" s="152">
        <v>0</v>
      </c>
      <c r="L1182" s="215">
        <v>1</v>
      </c>
      <c r="M1182" s="33"/>
      <c r="N1182" s="33" t="str">
        <f t="shared" si="113"/>
        <v/>
      </c>
      <c r="O1182" s="38">
        <f>SUM(N1182:N1185)</f>
        <v>2.7994385603999996</v>
      </c>
      <c r="P1182" s="36" t="str">
        <f t="shared" si="108"/>
        <v/>
      </c>
      <c r="Q1182" s="216" t="str">
        <f t="shared" si="109"/>
        <v/>
      </c>
      <c r="R1182" s="216" t="str">
        <f t="shared" si="110"/>
        <v/>
      </c>
      <c r="S1182" s="217">
        <f t="shared" si="111"/>
        <v>0.14400000000000013</v>
      </c>
    </row>
    <row r="1183" spans="1:19" ht="15.75" hidden="1" thickBot="1" x14ac:dyDescent="0.3">
      <c r="A1183" s="262"/>
      <c r="B1183" s="260"/>
      <c r="C1183" s="35" t="s">
        <v>8171</v>
      </c>
      <c r="D1183" s="35" t="s">
        <v>213</v>
      </c>
      <c r="E1183" s="36">
        <v>2.1000000000000001E-2</v>
      </c>
      <c r="F1183" s="33">
        <v>4.0374999999999996</v>
      </c>
      <c r="G1183" s="33">
        <f t="shared" si="112"/>
        <v>8.4787500000000002E-2</v>
      </c>
      <c r="H1183" s="34"/>
      <c r="I1183" s="30"/>
      <c r="J1183" s="152">
        <v>0</v>
      </c>
      <c r="L1183" s="215">
        <v>2.1000000000000001E-2</v>
      </c>
      <c r="M1183" s="33">
        <v>3.4560999999999997</v>
      </c>
      <c r="N1183" s="33">
        <f t="shared" si="113"/>
        <v>7.2578099999999993E-2</v>
      </c>
      <c r="O1183" s="34"/>
      <c r="P1183" s="36" t="str">
        <f t="shared" si="108"/>
        <v/>
      </c>
      <c r="Q1183" s="216">
        <f t="shared" si="109"/>
        <v>0.14400000000000002</v>
      </c>
      <c r="R1183" s="216">
        <f t="shared" si="110"/>
        <v>0.14400000000000013</v>
      </c>
      <c r="S1183" s="217" t="str">
        <f t="shared" si="111"/>
        <v/>
      </c>
    </row>
    <row r="1184" spans="1:19" ht="26.25" hidden="1" thickBot="1" x14ac:dyDescent="0.3">
      <c r="A1184" s="262"/>
      <c r="B1184" s="260"/>
      <c r="C1184" s="35" t="s">
        <v>825</v>
      </c>
      <c r="D1184" s="35" t="s">
        <v>583</v>
      </c>
      <c r="E1184" s="36">
        <v>9.6000000000000002E-2</v>
      </c>
      <c r="F1184" s="30">
        <v>26.799499999999998</v>
      </c>
      <c r="G1184" s="33">
        <f t="shared" si="112"/>
        <v>2.5727519999999999</v>
      </c>
      <c r="H1184" s="34"/>
      <c r="I1184" s="30"/>
      <c r="J1184" s="152">
        <v>0</v>
      </c>
      <c r="L1184" s="215">
        <v>9.6000000000000002E-2</v>
      </c>
      <c r="M1184" s="30">
        <v>22.940372</v>
      </c>
      <c r="N1184" s="33">
        <f t="shared" si="113"/>
        <v>2.2022757120000001</v>
      </c>
      <c r="O1184" s="34"/>
      <c r="P1184" s="36" t="str">
        <f t="shared" si="108"/>
        <v/>
      </c>
      <c r="Q1184" s="216">
        <f t="shared" si="109"/>
        <v>0.14399999999999991</v>
      </c>
      <c r="R1184" s="216">
        <f t="shared" si="110"/>
        <v>0.14399999999999991</v>
      </c>
      <c r="S1184" s="217" t="str">
        <f t="shared" si="111"/>
        <v/>
      </c>
    </row>
    <row r="1185" spans="1:19" ht="15.75" hidden="1" thickBot="1" x14ac:dyDescent="0.3">
      <c r="A1185" s="262"/>
      <c r="B1185" s="260"/>
      <c r="C1185" s="35" t="s">
        <v>584</v>
      </c>
      <c r="D1185" s="35" t="s">
        <v>583</v>
      </c>
      <c r="E1185" s="36">
        <v>3.0300000000000001E-2</v>
      </c>
      <c r="F1185" s="30">
        <v>20.225499999999997</v>
      </c>
      <c r="G1185" s="33">
        <f t="shared" si="112"/>
        <v>0.61283264999999987</v>
      </c>
      <c r="H1185" s="34"/>
      <c r="I1185" s="30"/>
      <c r="J1185" s="152">
        <v>0</v>
      </c>
      <c r="L1185" s="215">
        <v>3.0300000000000001E-2</v>
      </c>
      <c r="M1185" s="30">
        <v>17.313027999999996</v>
      </c>
      <c r="N1185" s="33">
        <f t="shared" si="113"/>
        <v>0.52458474839999991</v>
      </c>
      <c r="O1185" s="34"/>
      <c r="P1185" s="36" t="str">
        <f t="shared" si="108"/>
        <v/>
      </c>
      <c r="Q1185" s="216">
        <f t="shared" si="109"/>
        <v>0.14400000000000013</v>
      </c>
      <c r="R1185" s="216">
        <f t="shared" si="110"/>
        <v>0.14399999999999991</v>
      </c>
      <c r="S1185" s="217" t="str">
        <f t="shared" si="111"/>
        <v/>
      </c>
    </row>
    <row r="1186" spans="1:19" ht="15.75" hidden="1" thickBot="1" x14ac:dyDescent="0.3">
      <c r="A1186" s="263"/>
      <c r="B1186" s="261"/>
      <c r="C1186" s="35"/>
      <c r="D1186" s="35"/>
      <c r="E1186" s="36"/>
      <c r="F1186" s="30" t="s">
        <v>416</v>
      </c>
      <c r="G1186" s="30" t="str">
        <f t="shared" si="112"/>
        <v/>
      </c>
      <c r="H1186" s="34"/>
      <c r="I1186" s="30"/>
      <c r="J1186" s="152">
        <v>0</v>
      </c>
      <c r="L1186" s="215"/>
      <c r="M1186" s="30"/>
      <c r="N1186" s="30" t="str">
        <f t="shared" si="113"/>
        <v/>
      </c>
      <c r="O1186" s="34"/>
      <c r="P1186" s="36" t="str">
        <f t="shared" si="108"/>
        <v/>
      </c>
      <c r="Q1186" s="216" t="str">
        <f t="shared" si="109"/>
        <v/>
      </c>
      <c r="R1186" s="216" t="str">
        <f t="shared" si="110"/>
        <v/>
      </c>
      <c r="S1186" s="217" t="str">
        <f t="shared" si="111"/>
        <v/>
      </c>
    </row>
    <row r="1187" spans="1:19" ht="15.75" hidden="1" thickBot="1" x14ac:dyDescent="0.3">
      <c r="A1187" s="256" t="s">
        <v>289</v>
      </c>
      <c r="B1187" s="259" t="str">
        <f>INDEX(Orçamentária!A:B,MATCH(Composições!A1187,Orçamentária!A:A,0),2)</f>
        <v>Torneira de mesa para lavatório bica alta</v>
      </c>
      <c r="C1187" s="40"/>
      <c r="D1187" s="25" t="s">
        <v>16</v>
      </c>
      <c r="E1187" s="26"/>
      <c r="F1187" s="41" t="s">
        <v>416</v>
      </c>
      <c r="G1187" s="27" t="str">
        <f t="shared" si="112"/>
        <v/>
      </c>
      <c r="H1187" s="28"/>
      <c r="I1187" s="29"/>
      <c r="J1187" s="152">
        <v>0</v>
      </c>
      <c r="L1187" s="218"/>
      <c r="M1187" s="41"/>
      <c r="N1187" s="27" t="str">
        <f t="shared" si="113"/>
        <v/>
      </c>
      <c r="O1187" s="28"/>
      <c r="P1187" s="36" t="str">
        <f t="shared" si="108"/>
        <v/>
      </c>
      <c r="Q1187" s="216" t="str">
        <f t="shared" si="109"/>
        <v/>
      </c>
      <c r="R1187" s="216" t="str">
        <f t="shared" si="110"/>
        <v/>
      </c>
      <c r="S1187" s="217" t="str">
        <f t="shared" si="111"/>
        <v/>
      </c>
    </row>
    <row r="1188" spans="1:19" ht="15.75" hidden="1" thickBot="1" x14ac:dyDescent="0.3">
      <c r="A1188" s="262"/>
      <c r="B1188" s="260"/>
      <c r="C1188" s="31"/>
      <c r="D1188" s="31"/>
      <c r="E1188" s="32"/>
      <c r="F1188" s="42" t="s">
        <v>416</v>
      </c>
      <c r="G1188" s="30" t="str">
        <f t="shared" si="112"/>
        <v/>
      </c>
      <c r="H1188" s="34"/>
      <c r="I1188" s="30"/>
      <c r="J1188" s="152">
        <v>0</v>
      </c>
      <c r="L1188" s="219"/>
      <c r="M1188" s="42"/>
      <c r="N1188" s="30" t="str">
        <f t="shared" si="113"/>
        <v/>
      </c>
      <c r="O1188" s="34"/>
      <c r="P1188" s="36" t="str">
        <f t="shared" si="108"/>
        <v/>
      </c>
      <c r="Q1188" s="216" t="str">
        <f t="shared" si="109"/>
        <v/>
      </c>
      <c r="R1188" s="216" t="str">
        <f t="shared" si="110"/>
        <v/>
      </c>
      <c r="S1188" s="217" t="str">
        <f t="shared" si="111"/>
        <v/>
      </c>
    </row>
    <row r="1189" spans="1:19" ht="26.25" hidden="1" thickBot="1" x14ac:dyDescent="0.3">
      <c r="A1189" s="262"/>
      <c r="B1189" s="260"/>
      <c r="C1189" s="35" t="s">
        <v>290</v>
      </c>
      <c r="D1189" s="46" t="s">
        <v>107</v>
      </c>
      <c r="E1189" s="36">
        <v>1</v>
      </c>
      <c r="F1189" s="33" t="s">
        <v>416</v>
      </c>
      <c r="G1189" s="33" t="str">
        <f t="shared" si="112"/>
        <v/>
      </c>
      <c r="H1189" s="38">
        <f>SUM(G1189:G1192)</f>
        <v>3.27037215</v>
      </c>
      <c r="I1189" s="39"/>
      <c r="J1189" s="152">
        <v>0</v>
      </c>
      <c r="L1189" s="215">
        <v>1</v>
      </c>
      <c r="M1189" s="33"/>
      <c r="N1189" s="33" t="str">
        <f t="shared" si="113"/>
        <v/>
      </c>
      <c r="O1189" s="38">
        <f>SUM(N1189:N1192)</f>
        <v>2.7994385603999996</v>
      </c>
      <c r="P1189" s="36" t="str">
        <f t="shared" si="108"/>
        <v/>
      </c>
      <c r="Q1189" s="216" t="str">
        <f t="shared" si="109"/>
        <v/>
      </c>
      <c r="R1189" s="216" t="str">
        <f t="shared" si="110"/>
        <v/>
      </c>
      <c r="S1189" s="217">
        <f t="shared" si="111"/>
        <v>0.14400000000000013</v>
      </c>
    </row>
    <row r="1190" spans="1:19" ht="15.75" hidden="1" thickBot="1" x14ac:dyDescent="0.3">
      <c r="A1190" s="262"/>
      <c r="B1190" s="260"/>
      <c r="C1190" s="35" t="s">
        <v>8171</v>
      </c>
      <c r="D1190" s="35" t="s">
        <v>213</v>
      </c>
      <c r="E1190" s="36">
        <v>2.1000000000000001E-2</v>
      </c>
      <c r="F1190" s="33">
        <v>4.0374999999999996</v>
      </c>
      <c r="G1190" s="33">
        <f t="shared" si="112"/>
        <v>8.4787500000000002E-2</v>
      </c>
      <c r="H1190" s="34"/>
      <c r="I1190" s="30"/>
      <c r="J1190" s="152">
        <v>0</v>
      </c>
      <c r="L1190" s="215">
        <v>2.1000000000000001E-2</v>
      </c>
      <c r="M1190" s="33">
        <v>3.4560999999999997</v>
      </c>
      <c r="N1190" s="33">
        <f t="shared" si="113"/>
        <v>7.2578099999999993E-2</v>
      </c>
      <c r="O1190" s="34"/>
      <c r="P1190" s="36" t="str">
        <f t="shared" si="108"/>
        <v/>
      </c>
      <c r="Q1190" s="216">
        <f t="shared" si="109"/>
        <v>0.14400000000000002</v>
      </c>
      <c r="R1190" s="216">
        <f t="shared" si="110"/>
        <v>0.14400000000000013</v>
      </c>
      <c r="S1190" s="217" t="str">
        <f t="shared" si="111"/>
        <v/>
      </c>
    </row>
    <row r="1191" spans="1:19" ht="26.25" hidden="1" thickBot="1" x14ac:dyDescent="0.3">
      <c r="A1191" s="262"/>
      <c r="B1191" s="260"/>
      <c r="C1191" s="35" t="s">
        <v>825</v>
      </c>
      <c r="D1191" s="35" t="s">
        <v>583</v>
      </c>
      <c r="E1191" s="36">
        <v>9.6000000000000002E-2</v>
      </c>
      <c r="F1191" s="30">
        <v>26.799499999999998</v>
      </c>
      <c r="G1191" s="33">
        <f t="shared" si="112"/>
        <v>2.5727519999999999</v>
      </c>
      <c r="H1191" s="34"/>
      <c r="I1191" s="30"/>
      <c r="J1191" s="152">
        <v>0</v>
      </c>
      <c r="L1191" s="215">
        <v>9.6000000000000002E-2</v>
      </c>
      <c r="M1191" s="30">
        <v>22.940372</v>
      </c>
      <c r="N1191" s="33">
        <f t="shared" si="113"/>
        <v>2.2022757120000001</v>
      </c>
      <c r="O1191" s="34"/>
      <c r="P1191" s="36" t="str">
        <f t="shared" si="108"/>
        <v/>
      </c>
      <c r="Q1191" s="216">
        <f t="shared" si="109"/>
        <v>0.14399999999999991</v>
      </c>
      <c r="R1191" s="216">
        <f t="shared" si="110"/>
        <v>0.14399999999999991</v>
      </c>
      <c r="S1191" s="217" t="str">
        <f t="shared" si="111"/>
        <v/>
      </c>
    </row>
    <row r="1192" spans="1:19" ht="15.75" hidden="1" thickBot="1" x14ac:dyDescent="0.3">
      <c r="A1192" s="262"/>
      <c r="B1192" s="260"/>
      <c r="C1192" s="35" t="s">
        <v>584</v>
      </c>
      <c r="D1192" s="35" t="s">
        <v>583</v>
      </c>
      <c r="E1192" s="36">
        <v>3.0300000000000001E-2</v>
      </c>
      <c r="F1192" s="30">
        <v>20.225499999999997</v>
      </c>
      <c r="G1192" s="33">
        <f t="shared" si="112"/>
        <v>0.61283264999999987</v>
      </c>
      <c r="H1192" s="34"/>
      <c r="I1192" s="30"/>
      <c r="J1192" s="152">
        <v>0</v>
      </c>
      <c r="L1192" s="215">
        <v>3.0300000000000001E-2</v>
      </c>
      <c r="M1192" s="30">
        <v>17.313027999999996</v>
      </c>
      <c r="N1192" s="33">
        <f t="shared" si="113"/>
        <v>0.52458474839999991</v>
      </c>
      <c r="O1192" s="34"/>
      <c r="P1192" s="36" t="str">
        <f t="shared" si="108"/>
        <v/>
      </c>
      <c r="Q1192" s="216">
        <f t="shared" si="109"/>
        <v>0.14400000000000013</v>
      </c>
      <c r="R1192" s="216">
        <f t="shared" si="110"/>
        <v>0.14399999999999991</v>
      </c>
      <c r="S1192" s="217" t="str">
        <f t="shared" si="111"/>
        <v/>
      </c>
    </row>
    <row r="1193" spans="1:19" ht="15.75" hidden="1" thickBot="1" x14ac:dyDescent="0.3">
      <c r="A1193" s="263"/>
      <c r="B1193" s="261"/>
      <c r="C1193" s="35"/>
      <c r="D1193" s="35"/>
      <c r="E1193" s="36"/>
      <c r="F1193" s="30" t="s">
        <v>416</v>
      </c>
      <c r="G1193" s="30" t="str">
        <f t="shared" si="112"/>
        <v/>
      </c>
      <c r="H1193" s="34"/>
      <c r="I1193" s="30"/>
      <c r="J1193" s="152">
        <v>0</v>
      </c>
      <c r="L1193" s="215"/>
      <c r="M1193" s="30"/>
      <c r="N1193" s="30" t="str">
        <f t="shared" si="113"/>
        <v/>
      </c>
      <c r="O1193" s="34"/>
      <c r="P1193" s="36" t="str">
        <f t="shared" si="108"/>
        <v/>
      </c>
      <c r="Q1193" s="216" t="str">
        <f t="shared" si="109"/>
        <v/>
      </c>
      <c r="R1193" s="216" t="str">
        <f t="shared" si="110"/>
        <v/>
      </c>
      <c r="S1193" s="217" t="str">
        <f t="shared" si="111"/>
        <v/>
      </c>
    </row>
    <row r="1194" spans="1:19" ht="15.75" hidden="1" thickBot="1" x14ac:dyDescent="0.3">
      <c r="A1194" s="256" t="s">
        <v>291</v>
      </c>
      <c r="B1194" s="259" t="str">
        <f>INDEX(Orçamentária!A:B,MATCH(Composições!A1194,Orçamentária!A:A,0),2)</f>
        <v>Torneira de mesa para lavatório bica baixa</v>
      </c>
      <c r="C1194" s="40"/>
      <c r="D1194" s="25" t="s">
        <v>16</v>
      </c>
      <c r="E1194" s="26"/>
      <c r="F1194" s="41" t="s">
        <v>416</v>
      </c>
      <c r="G1194" s="27" t="str">
        <f t="shared" si="112"/>
        <v/>
      </c>
      <c r="H1194" s="28"/>
      <c r="I1194" s="29"/>
      <c r="J1194" s="152">
        <v>0</v>
      </c>
      <c r="L1194" s="218"/>
      <c r="M1194" s="41"/>
      <c r="N1194" s="27" t="str">
        <f t="shared" si="113"/>
        <v/>
      </c>
      <c r="O1194" s="28"/>
      <c r="P1194" s="36" t="str">
        <f t="shared" si="108"/>
        <v/>
      </c>
      <c r="Q1194" s="216" t="str">
        <f t="shared" si="109"/>
        <v/>
      </c>
      <c r="R1194" s="216" t="str">
        <f t="shared" si="110"/>
        <v/>
      </c>
      <c r="S1194" s="217" t="str">
        <f t="shared" si="111"/>
        <v/>
      </c>
    </row>
    <row r="1195" spans="1:19" ht="15.75" hidden="1" thickBot="1" x14ac:dyDescent="0.3">
      <c r="A1195" s="262"/>
      <c r="B1195" s="260"/>
      <c r="C1195" s="31"/>
      <c r="D1195" s="31"/>
      <c r="E1195" s="32"/>
      <c r="F1195" s="42" t="s">
        <v>416</v>
      </c>
      <c r="G1195" s="30" t="str">
        <f t="shared" si="112"/>
        <v/>
      </c>
      <c r="H1195" s="34"/>
      <c r="I1195" s="30"/>
      <c r="J1195" s="152">
        <v>0</v>
      </c>
      <c r="L1195" s="219"/>
      <c r="M1195" s="42"/>
      <c r="N1195" s="30" t="str">
        <f t="shared" si="113"/>
        <v/>
      </c>
      <c r="O1195" s="34"/>
      <c r="P1195" s="36" t="str">
        <f t="shared" si="108"/>
        <v/>
      </c>
      <c r="Q1195" s="216" t="str">
        <f t="shared" si="109"/>
        <v/>
      </c>
      <c r="R1195" s="216" t="str">
        <f t="shared" si="110"/>
        <v/>
      </c>
      <c r="S1195" s="217" t="str">
        <f t="shared" si="111"/>
        <v/>
      </c>
    </row>
    <row r="1196" spans="1:19" ht="26.25" hidden="1" thickBot="1" x14ac:dyDescent="0.3">
      <c r="A1196" s="262"/>
      <c r="B1196" s="260"/>
      <c r="C1196" s="35" t="s">
        <v>292</v>
      </c>
      <c r="D1196" s="46" t="s">
        <v>107</v>
      </c>
      <c r="E1196" s="36">
        <v>1</v>
      </c>
      <c r="F1196" s="33" t="s">
        <v>416</v>
      </c>
      <c r="G1196" s="33" t="str">
        <f t="shared" si="112"/>
        <v/>
      </c>
      <c r="H1196" s="38">
        <f>SUM(G1196:G1199)</f>
        <v>3.27037215</v>
      </c>
      <c r="I1196" s="39"/>
      <c r="J1196" s="152">
        <v>0</v>
      </c>
      <c r="L1196" s="215">
        <v>1</v>
      </c>
      <c r="M1196" s="33"/>
      <c r="N1196" s="33" t="str">
        <f t="shared" si="113"/>
        <v/>
      </c>
      <c r="O1196" s="38">
        <f>SUM(N1196:N1199)</f>
        <v>2.7994385603999996</v>
      </c>
      <c r="P1196" s="36" t="str">
        <f t="shared" si="108"/>
        <v/>
      </c>
      <c r="Q1196" s="216" t="str">
        <f t="shared" si="109"/>
        <v/>
      </c>
      <c r="R1196" s="216" t="str">
        <f t="shared" si="110"/>
        <v/>
      </c>
      <c r="S1196" s="217">
        <f t="shared" si="111"/>
        <v>0.14400000000000013</v>
      </c>
    </row>
    <row r="1197" spans="1:19" ht="15.75" hidden="1" thickBot="1" x14ac:dyDescent="0.3">
      <c r="A1197" s="262"/>
      <c r="B1197" s="260"/>
      <c r="C1197" s="35" t="s">
        <v>8171</v>
      </c>
      <c r="D1197" s="35" t="s">
        <v>213</v>
      </c>
      <c r="E1197" s="36">
        <v>2.1000000000000001E-2</v>
      </c>
      <c r="F1197" s="33">
        <v>4.0374999999999996</v>
      </c>
      <c r="G1197" s="33">
        <f t="shared" si="112"/>
        <v>8.4787500000000002E-2</v>
      </c>
      <c r="H1197" s="34"/>
      <c r="I1197" s="30"/>
      <c r="J1197" s="152">
        <v>0</v>
      </c>
      <c r="L1197" s="215">
        <v>2.1000000000000001E-2</v>
      </c>
      <c r="M1197" s="33">
        <v>3.4560999999999997</v>
      </c>
      <c r="N1197" s="33">
        <f t="shared" si="113"/>
        <v>7.2578099999999993E-2</v>
      </c>
      <c r="O1197" s="34"/>
      <c r="P1197" s="36" t="str">
        <f t="shared" si="108"/>
        <v/>
      </c>
      <c r="Q1197" s="216">
        <f t="shared" si="109"/>
        <v>0.14400000000000002</v>
      </c>
      <c r="R1197" s="216">
        <f t="shared" si="110"/>
        <v>0.14400000000000013</v>
      </c>
      <c r="S1197" s="217" t="str">
        <f t="shared" si="111"/>
        <v/>
      </c>
    </row>
    <row r="1198" spans="1:19" ht="26.25" hidden="1" thickBot="1" x14ac:dyDescent="0.3">
      <c r="A1198" s="262"/>
      <c r="B1198" s="260"/>
      <c r="C1198" s="35" t="s">
        <v>825</v>
      </c>
      <c r="D1198" s="35" t="s">
        <v>583</v>
      </c>
      <c r="E1198" s="36">
        <v>9.6000000000000002E-2</v>
      </c>
      <c r="F1198" s="30">
        <v>26.799499999999998</v>
      </c>
      <c r="G1198" s="33">
        <f t="shared" si="112"/>
        <v>2.5727519999999999</v>
      </c>
      <c r="H1198" s="34"/>
      <c r="I1198" s="30"/>
      <c r="J1198" s="152">
        <v>0</v>
      </c>
      <c r="L1198" s="215">
        <v>9.6000000000000002E-2</v>
      </c>
      <c r="M1198" s="30">
        <v>22.940372</v>
      </c>
      <c r="N1198" s="33">
        <f t="shared" si="113"/>
        <v>2.2022757120000001</v>
      </c>
      <c r="O1198" s="34"/>
      <c r="P1198" s="36" t="str">
        <f t="shared" si="108"/>
        <v/>
      </c>
      <c r="Q1198" s="216">
        <f t="shared" si="109"/>
        <v>0.14399999999999991</v>
      </c>
      <c r="R1198" s="216">
        <f t="shared" si="110"/>
        <v>0.14399999999999991</v>
      </c>
      <c r="S1198" s="217" t="str">
        <f t="shared" si="111"/>
        <v/>
      </c>
    </row>
    <row r="1199" spans="1:19" ht="15.75" hidden="1" thickBot="1" x14ac:dyDescent="0.3">
      <c r="A1199" s="262"/>
      <c r="B1199" s="260"/>
      <c r="C1199" s="35" t="s">
        <v>584</v>
      </c>
      <c r="D1199" s="35" t="s">
        <v>583</v>
      </c>
      <c r="E1199" s="36">
        <v>3.0300000000000001E-2</v>
      </c>
      <c r="F1199" s="30">
        <v>20.225499999999997</v>
      </c>
      <c r="G1199" s="33">
        <f t="shared" si="112"/>
        <v>0.61283264999999987</v>
      </c>
      <c r="H1199" s="34"/>
      <c r="I1199" s="30"/>
      <c r="J1199" s="152">
        <v>0</v>
      </c>
      <c r="L1199" s="215">
        <v>3.0300000000000001E-2</v>
      </c>
      <c r="M1199" s="30">
        <v>17.313027999999996</v>
      </c>
      <c r="N1199" s="33">
        <f t="shared" si="113"/>
        <v>0.52458474839999991</v>
      </c>
      <c r="O1199" s="34"/>
      <c r="P1199" s="36" t="str">
        <f t="shared" si="108"/>
        <v/>
      </c>
      <c r="Q1199" s="216">
        <f t="shared" si="109"/>
        <v>0.14400000000000013</v>
      </c>
      <c r="R1199" s="216">
        <f t="shared" si="110"/>
        <v>0.14399999999999991</v>
      </c>
      <c r="S1199" s="217" t="str">
        <f t="shared" si="111"/>
        <v/>
      </c>
    </row>
    <row r="1200" spans="1:19" ht="15.75" hidden="1" thickBot="1" x14ac:dyDescent="0.3">
      <c r="A1200" s="263"/>
      <c r="B1200" s="261"/>
      <c r="C1200" s="35"/>
      <c r="D1200" s="35"/>
      <c r="E1200" s="36"/>
      <c r="F1200" s="30" t="s">
        <v>416</v>
      </c>
      <c r="G1200" s="30" t="str">
        <f t="shared" si="112"/>
        <v/>
      </c>
      <c r="H1200" s="34"/>
      <c r="I1200" s="30"/>
      <c r="J1200" s="152">
        <v>0</v>
      </c>
      <c r="L1200" s="215"/>
      <c r="M1200" s="30"/>
      <c r="N1200" s="30" t="str">
        <f t="shared" si="113"/>
        <v/>
      </c>
      <c r="O1200" s="34"/>
      <c r="P1200" s="36" t="str">
        <f t="shared" si="108"/>
        <v/>
      </c>
      <c r="Q1200" s="216" t="str">
        <f t="shared" si="109"/>
        <v/>
      </c>
      <c r="R1200" s="216" t="str">
        <f t="shared" si="110"/>
        <v/>
      </c>
      <c r="S1200" s="217" t="str">
        <f t="shared" si="111"/>
        <v/>
      </c>
    </row>
    <row r="1201" spans="1:19" ht="15.75" hidden="1" thickBot="1" x14ac:dyDescent="0.3">
      <c r="A1201" s="256" t="s">
        <v>293</v>
      </c>
      <c r="B1201" s="259" t="str">
        <f>INDEX(Orçamentária!A:B,MATCH(Composições!A1201,Orçamentária!A:A,0),2)</f>
        <v>Torneira de mesa para lavatório com fechamento automático – Linha Administrativa</v>
      </c>
      <c r="C1201" s="40"/>
      <c r="D1201" s="25" t="s">
        <v>16</v>
      </c>
      <c r="E1201" s="26"/>
      <c r="F1201" s="41" t="s">
        <v>416</v>
      </c>
      <c r="G1201" s="27" t="str">
        <f t="shared" si="112"/>
        <v/>
      </c>
      <c r="H1201" s="28"/>
      <c r="I1201" s="29"/>
      <c r="J1201" s="152">
        <v>0</v>
      </c>
      <c r="L1201" s="218"/>
      <c r="M1201" s="41"/>
      <c r="N1201" s="27" t="str">
        <f t="shared" si="113"/>
        <v/>
      </c>
      <c r="O1201" s="28"/>
      <c r="P1201" s="36" t="str">
        <f t="shared" si="108"/>
        <v/>
      </c>
      <c r="Q1201" s="216" t="str">
        <f t="shared" si="109"/>
        <v/>
      </c>
      <c r="R1201" s="216" t="str">
        <f t="shared" si="110"/>
        <v/>
      </c>
      <c r="S1201" s="217" t="str">
        <f t="shared" si="111"/>
        <v/>
      </c>
    </row>
    <row r="1202" spans="1:19" ht="15.75" hidden="1" thickBot="1" x14ac:dyDescent="0.3">
      <c r="A1202" s="262"/>
      <c r="B1202" s="260"/>
      <c r="C1202" s="31"/>
      <c r="D1202" s="31"/>
      <c r="E1202" s="32"/>
      <c r="F1202" s="42" t="s">
        <v>416</v>
      </c>
      <c r="G1202" s="30" t="str">
        <f t="shared" si="112"/>
        <v/>
      </c>
      <c r="H1202" s="34"/>
      <c r="I1202" s="30"/>
      <c r="J1202" s="152">
        <v>0</v>
      </c>
      <c r="L1202" s="219"/>
      <c r="M1202" s="42"/>
      <c r="N1202" s="30" t="str">
        <f t="shared" si="113"/>
        <v/>
      </c>
      <c r="O1202" s="34"/>
      <c r="P1202" s="36" t="str">
        <f t="shared" si="108"/>
        <v/>
      </c>
      <c r="Q1202" s="216" t="str">
        <f t="shared" si="109"/>
        <v/>
      </c>
      <c r="R1202" s="216" t="str">
        <f t="shared" si="110"/>
        <v/>
      </c>
      <c r="S1202" s="217" t="str">
        <f t="shared" si="111"/>
        <v/>
      </c>
    </row>
    <row r="1203" spans="1:19" ht="26.25" hidden="1" thickBot="1" x14ac:dyDescent="0.3">
      <c r="A1203" s="262"/>
      <c r="B1203" s="260"/>
      <c r="C1203" s="35" t="s">
        <v>8449</v>
      </c>
      <c r="D1203" s="35" t="s">
        <v>213</v>
      </c>
      <c r="E1203" s="36">
        <v>1</v>
      </c>
      <c r="F1203" s="33">
        <v>114.72199999999999</v>
      </c>
      <c r="G1203" s="33">
        <f t="shared" si="112"/>
        <v>114.72199999999999</v>
      </c>
      <c r="H1203" s="38">
        <f>SUM(G1203:G1206)</f>
        <v>117.99237214999999</v>
      </c>
      <c r="I1203" s="39"/>
      <c r="J1203" s="152">
        <v>0</v>
      </c>
      <c r="L1203" s="215">
        <v>1</v>
      </c>
      <c r="M1203" s="33">
        <v>98.202032000000003</v>
      </c>
      <c r="N1203" s="33">
        <f t="shared" si="113"/>
        <v>98.202032000000003</v>
      </c>
      <c r="O1203" s="38">
        <f>SUM(N1203:N1206)</f>
        <v>101.00147056040001</v>
      </c>
      <c r="P1203" s="36" t="str">
        <f t="shared" si="108"/>
        <v/>
      </c>
      <c r="Q1203" s="216">
        <f t="shared" si="109"/>
        <v>0.14399999999999991</v>
      </c>
      <c r="R1203" s="216">
        <f t="shared" si="110"/>
        <v>0.14399999999999991</v>
      </c>
      <c r="S1203" s="217">
        <f t="shared" si="111"/>
        <v>0.14399999999999991</v>
      </c>
    </row>
    <row r="1204" spans="1:19" ht="15.75" hidden="1" thickBot="1" x14ac:dyDescent="0.3">
      <c r="A1204" s="262"/>
      <c r="B1204" s="260"/>
      <c r="C1204" s="35" t="s">
        <v>8171</v>
      </c>
      <c r="D1204" s="35" t="s">
        <v>213</v>
      </c>
      <c r="E1204" s="36">
        <v>2.1000000000000001E-2</v>
      </c>
      <c r="F1204" s="33">
        <v>4.0374999999999996</v>
      </c>
      <c r="G1204" s="33">
        <f t="shared" si="112"/>
        <v>8.4787500000000002E-2</v>
      </c>
      <c r="H1204" s="34"/>
      <c r="I1204" s="30"/>
      <c r="J1204" s="152">
        <v>0</v>
      </c>
      <c r="L1204" s="215">
        <v>2.1000000000000001E-2</v>
      </c>
      <c r="M1204" s="33">
        <v>3.4560999999999997</v>
      </c>
      <c r="N1204" s="33">
        <f t="shared" si="113"/>
        <v>7.2578099999999993E-2</v>
      </c>
      <c r="O1204" s="34"/>
      <c r="P1204" s="36" t="str">
        <f t="shared" si="108"/>
        <v/>
      </c>
      <c r="Q1204" s="216">
        <f t="shared" si="109"/>
        <v>0.14400000000000002</v>
      </c>
      <c r="R1204" s="216">
        <f t="shared" si="110"/>
        <v>0.14400000000000013</v>
      </c>
      <c r="S1204" s="217" t="str">
        <f t="shared" si="111"/>
        <v/>
      </c>
    </row>
    <row r="1205" spans="1:19" ht="26.25" hidden="1" thickBot="1" x14ac:dyDescent="0.3">
      <c r="A1205" s="262"/>
      <c r="B1205" s="260"/>
      <c r="C1205" s="35" t="s">
        <v>825</v>
      </c>
      <c r="D1205" s="35" t="s">
        <v>583</v>
      </c>
      <c r="E1205" s="36">
        <v>9.6000000000000002E-2</v>
      </c>
      <c r="F1205" s="30">
        <v>26.799499999999998</v>
      </c>
      <c r="G1205" s="33">
        <f t="shared" si="112"/>
        <v>2.5727519999999999</v>
      </c>
      <c r="H1205" s="34"/>
      <c r="I1205" s="30"/>
      <c r="J1205" s="152">
        <v>0</v>
      </c>
      <c r="L1205" s="215">
        <v>9.6000000000000002E-2</v>
      </c>
      <c r="M1205" s="30">
        <v>22.940372</v>
      </c>
      <c r="N1205" s="33">
        <f t="shared" si="113"/>
        <v>2.2022757120000001</v>
      </c>
      <c r="O1205" s="34"/>
      <c r="P1205" s="36" t="str">
        <f t="shared" si="108"/>
        <v/>
      </c>
      <c r="Q1205" s="216">
        <f t="shared" si="109"/>
        <v>0.14399999999999991</v>
      </c>
      <c r="R1205" s="216">
        <f t="shared" si="110"/>
        <v>0.14399999999999991</v>
      </c>
      <c r="S1205" s="217" t="str">
        <f t="shared" si="111"/>
        <v/>
      </c>
    </row>
    <row r="1206" spans="1:19" ht="15.75" hidden="1" thickBot="1" x14ac:dyDescent="0.3">
      <c r="A1206" s="262"/>
      <c r="B1206" s="260"/>
      <c r="C1206" s="35" t="s">
        <v>584</v>
      </c>
      <c r="D1206" s="35" t="s">
        <v>583</v>
      </c>
      <c r="E1206" s="36">
        <v>3.0300000000000001E-2</v>
      </c>
      <c r="F1206" s="30">
        <v>20.225499999999997</v>
      </c>
      <c r="G1206" s="33">
        <f t="shared" si="112"/>
        <v>0.61283264999999987</v>
      </c>
      <c r="H1206" s="34"/>
      <c r="I1206" s="30"/>
      <c r="J1206" s="152">
        <v>0</v>
      </c>
      <c r="L1206" s="215">
        <v>3.0300000000000001E-2</v>
      </c>
      <c r="M1206" s="30">
        <v>17.313027999999996</v>
      </c>
      <c r="N1206" s="33">
        <f t="shared" si="113"/>
        <v>0.52458474839999991</v>
      </c>
      <c r="O1206" s="34"/>
      <c r="P1206" s="36" t="str">
        <f t="shared" si="108"/>
        <v/>
      </c>
      <c r="Q1206" s="216">
        <f t="shared" si="109"/>
        <v>0.14400000000000013</v>
      </c>
      <c r="R1206" s="216">
        <f t="shared" si="110"/>
        <v>0.14399999999999991</v>
      </c>
      <c r="S1206" s="217" t="str">
        <f t="shared" si="111"/>
        <v/>
      </c>
    </row>
    <row r="1207" spans="1:19" ht="15.75" hidden="1" thickBot="1" x14ac:dyDescent="0.3">
      <c r="A1207" s="263"/>
      <c r="B1207" s="261"/>
      <c r="C1207" s="35"/>
      <c r="D1207" s="35"/>
      <c r="E1207" s="36"/>
      <c r="F1207" s="30" t="s">
        <v>416</v>
      </c>
      <c r="G1207" s="30" t="str">
        <f t="shared" si="112"/>
        <v/>
      </c>
      <c r="H1207" s="34"/>
      <c r="I1207" s="30"/>
      <c r="J1207" s="152">
        <v>0</v>
      </c>
      <c r="L1207" s="215"/>
      <c r="M1207" s="30"/>
      <c r="N1207" s="30" t="str">
        <f t="shared" si="113"/>
        <v/>
      </c>
      <c r="O1207" s="34"/>
      <c r="P1207" s="36" t="str">
        <f t="shared" si="108"/>
        <v/>
      </c>
      <c r="Q1207" s="216" t="str">
        <f t="shared" si="109"/>
        <v/>
      </c>
      <c r="R1207" s="216" t="str">
        <f t="shared" si="110"/>
        <v/>
      </c>
      <c r="S1207" s="217" t="str">
        <f t="shared" si="111"/>
        <v/>
      </c>
    </row>
    <row r="1208" spans="1:19" ht="15.75" hidden="1" thickBot="1" x14ac:dyDescent="0.3">
      <c r="A1208" s="256" t="s">
        <v>294</v>
      </c>
      <c r="B1208" s="259" t="str">
        <f>INDEX(Orçamentária!A:B,MATCH(Composições!A1208,Orçamentária!A:A,0),2)</f>
        <v>Torneira de parede para cozinha</v>
      </c>
      <c r="C1208" s="40"/>
      <c r="D1208" s="25" t="s">
        <v>16</v>
      </c>
      <c r="E1208" s="26"/>
      <c r="F1208" s="41" t="s">
        <v>416</v>
      </c>
      <c r="G1208" s="27" t="str">
        <f t="shared" si="112"/>
        <v/>
      </c>
      <c r="H1208" s="28"/>
      <c r="I1208" s="29"/>
      <c r="J1208" s="152">
        <v>0</v>
      </c>
      <c r="L1208" s="218"/>
      <c r="M1208" s="41"/>
      <c r="N1208" s="27" t="str">
        <f t="shared" si="113"/>
        <v/>
      </c>
      <c r="O1208" s="28"/>
      <c r="P1208" s="36" t="str">
        <f t="shared" si="108"/>
        <v/>
      </c>
      <c r="Q1208" s="216" t="str">
        <f t="shared" si="109"/>
        <v/>
      </c>
      <c r="R1208" s="216" t="str">
        <f t="shared" si="110"/>
        <v/>
      </c>
      <c r="S1208" s="217" t="str">
        <f t="shared" si="111"/>
        <v/>
      </c>
    </row>
    <row r="1209" spans="1:19" ht="15.75" hidden="1" thickBot="1" x14ac:dyDescent="0.3">
      <c r="A1209" s="262"/>
      <c r="B1209" s="260"/>
      <c r="C1209" s="31"/>
      <c r="D1209" s="31"/>
      <c r="E1209" s="32"/>
      <c r="F1209" s="42" t="s">
        <v>416</v>
      </c>
      <c r="G1209" s="30" t="str">
        <f t="shared" si="112"/>
        <v/>
      </c>
      <c r="H1209" s="34"/>
      <c r="I1209" s="30"/>
      <c r="J1209" s="152">
        <v>0</v>
      </c>
      <c r="L1209" s="219"/>
      <c r="M1209" s="42"/>
      <c r="N1209" s="30" t="str">
        <f t="shared" si="113"/>
        <v/>
      </c>
      <c r="O1209" s="34"/>
      <c r="P1209" s="36" t="str">
        <f t="shared" si="108"/>
        <v/>
      </c>
      <c r="Q1209" s="216" t="str">
        <f t="shared" si="109"/>
        <v/>
      </c>
      <c r="R1209" s="216" t="str">
        <f t="shared" si="110"/>
        <v/>
      </c>
      <c r="S1209" s="217" t="str">
        <f t="shared" si="111"/>
        <v/>
      </c>
    </row>
    <row r="1210" spans="1:19" ht="26.25" hidden="1" thickBot="1" x14ac:dyDescent="0.3">
      <c r="A1210" s="262"/>
      <c r="B1210" s="260"/>
      <c r="C1210" s="35" t="s">
        <v>295</v>
      </c>
      <c r="D1210" s="46" t="s">
        <v>107</v>
      </c>
      <c r="E1210" s="36">
        <v>1</v>
      </c>
      <c r="F1210" s="33" t="s">
        <v>416</v>
      </c>
      <c r="G1210" s="33" t="str">
        <f t="shared" si="112"/>
        <v/>
      </c>
      <c r="H1210" s="38">
        <f>SUM(G1210:G1213)</f>
        <v>3.9465251499999998</v>
      </c>
      <c r="I1210" s="39"/>
      <c r="J1210" s="152">
        <v>0</v>
      </c>
      <c r="L1210" s="215">
        <v>1</v>
      </c>
      <c r="M1210" s="33"/>
      <c r="N1210" s="33" t="str">
        <f t="shared" si="113"/>
        <v/>
      </c>
      <c r="O1210" s="38">
        <f>SUM(N1210:N1213)</f>
        <v>3.3782255283999998</v>
      </c>
      <c r="P1210" s="36" t="str">
        <f t="shared" si="108"/>
        <v/>
      </c>
      <c r="Q1210" s="216" t="str">
        <f t="shared" si="109"/>
        <v/>
      </c>
      <c r="R1210" s="216" t="str">
        <f t="shared" si="110"/>
        <v/>
      </c>
      <c r="S1210" s="217">
        <f t="shared" si="111"/>
        <v>0.14400000000000002</v>
      </c>
    </row>
    <row r="1211" spans="1:19" ht="15.75" hidden="1" thickBot="1" x14ac:dyDescent="0.3">
      <c r="A1211" s="262"/>
      <c r="B1211" s="260"/>
      <c r="C1211" s="35" t="s">
        <v>8171</v>
      </c>
      <c r="D1211" s="35" t="s">
        <v>213</v>
      </c>
      <c r="E1211" s="36">
        <v>2.1000000000000001E-2</v>
      </c>
      <c r="F1211" s="33">
        <v>4.0374999999999996</v>
      </c>
      <c r="G1211" s="33">
        <f t="shared" si="112"/>
        <v>8.4787500000000002E-2</v>
      </c>
      <c r="H1211" s="34"/>
      <c r="I1211" s="30"/>
      <c r="J1211" s="152">
        <v>0</v>
      </c>
      <c r="L1211" s="215">
        <v>2.1000000000000001E-2</v>
      </c>
      <c r="M1211" s="33">
        <v>3.4560999999999997</v>
      </c>
      <c r="N1211" s="33">
        <f t="shared" si="113"/>
        <v>7.2578099999999993E-2</v>
      </c>
      <c r="O1211" s="34"/>
      <c r="P1211" s="36" t="str">
        <f t="shared" si="108"/>
        <v/>
      </c>
      <c r="Q1211" s="216">
        <f t="shared" si="109"/>
        <v>0.14400000000000002</v>
      </c>
      <c r="R1211" s="216">
        <f t="shared" si="110"/>
        <v>0.14400000000000013</v>
      </c>
      <c r="S1211" s="217" t="str">
        <f t="shared" si="111"/>
        <v/>
      </c>
    </row>
    <row r="1212" spans="1:19" ht="26.25" hidden="1" thickBot="1" x14ac:dyDescent="0.3">
      <c r="A1212" s="262"/>
      <c r="B1212" s="260"/>
      <c r="C1212" s="35" t="s">
        <v>825</v>
      </c>
      <c r="D1212" s="35" t="s">
        <v>583</v>
      </c>
      <c r="E1212" s="36">
        <v>0.1164</v>
      </c>
      <c r="F1212" s="30">
        <v>26.799499999999998</v>
      </c>
      <c r="G1212" s="33">
        <f t="shared" si="112"/>
        <v>3.1194617999999998</v>
      </c>
      <c r="H1212" s="34"/>
      <c r="I1212" s="30"/>
      <c r="J1212" s="152">
        <v>0</v>
      </c>
      <c r="L1212" s="215">
        <v>0.1164</v>
      </c>
      <c r="M1212" s="30">
        <v>22.940372</v>
      </c>
      <c r="N1212" s="33">
        <f t="shared" si="113"/>
        <v>2.6702593008000002</v>
      </c>
      <c r="O1212" s="34"/>
      <c r="P1212" s="36" t="str">
        <f t="shared" si="108"/>
        <v/>
      </c>
      <c r="Q1212" s="216">
        <f t="shared" si="109"/>
        <v>0.14399999999999991</v>
      </c>
      <c r="R1212" s="216">
        <f t="shared" si="110"/>
        <v>0.14399999999999991</v>
      </c>
      <c r="S1212" s="217" t="str">
        <f t="shared" si="111"/>
        <v/>
      </c>
    </row>
    <row r="1213" spans="1:19" ht="15.75" hidden="1" thickBot="1" x14ac:dyDescent="0.3">
      <c r="A1213" s="262"/>
      <c r="B1213" s="260"/>
      <c r="C1213" s="35" t="s">
        <v>584</v>
      </c>
      <c r="D1213" s="35" t="s">
        <v>583</v>
      </c>
      <c r="E1213" s="36">
        <v>3.6700000000000003E-2</v>
      </c>
      <c r="F1213" s="30">
        <v>20.225499999999997</v>
      </c>
      <c r="G1213" s="33">
        <f t="shared" si="112"/>
        <v>0.74227584999999996</v>
      </c>
      <c r="H1213" s="34"/>
      <c r="I1213" s="30"/>
      <c r="J1213" s="152">
        <v>0</v>
      </c>
      <c r="L1213" s="215">
        <v>3.6700000000000003E-2</v>
      </c>
      <c r="M1213" s="30">
        <v>17.313027999999996</v>
      </c>
      <c r="N1213" s="33">
        <f t="shared" si="113"/>
        <v>0.63538812759999985</v>
      </c>
      <c r="O1213" s="34"/>
      <c r="P1213" s="36" t="str">
        <f t="shared" si="108"/>
        <v/>
      </c>
      <c r="Q1213" s="216">
        <f t="shared" si="109"/>
        <v>0.14400000000000013</v>
      </c>
      <c r="R1213" s="216">
        <f t="shared" si="110"/>
        <v>0.14400000000000013</v>
      </c>
      <c r="S1213" s="217" t="str">
        <f t="shared" si="111"/>
        <v/>
      </c>
    </row>
    <row r="1214" spans="1:19" ht="15.75" hidden="1" thickBot="1" x14ac:dyDescent="0.3">
      <c r="A1214" s="263"/>
      <c r="B1214" s="261"/>
      <c r="C1214" s="35"/>
      <c r="D1214" s="35"/>
      <c r="E1214" s="36"/>
      <c r="F1214" s="30" t="s">
        <v>416</v>
      </c>
      <c r="G1214" s="30" t="str">
        <f t="shared" si="112"/>
        <v/>
      </c>
      <c r="H1214" s="34"/>
      <c r="I1214" s="30"/>
      <c r="J1214" s="152">
        <v>0</v>
      </c>
      <c r="L1214" s="215"/>
      <c r="M1214" s="30"/>
      <c r="N1214" s="30" t="str">
        <f t="shared" si="113"/>
        <v/>
      </c>
      <c r="O1214" s="34"/>
      <c r="P1214" s="36" t="str">
        <f t="shared" si="108"/>
        <v/>
      </c>
      <c r="Q1214" s="216" t="str">
        <f t="shared" si="109"/>
        <v/>
      </c>
      <c r="R1214" s="216" t="str">
        <f t="shared" si="110"/>
        <v/>
      </c>
      <c r="S1214" s="217" t="str">
        <f t="shared" si="111"/>
        <v/>
      </c>
    </row>
    <row r="1215" spans="1:19" ht="15.75" hidden="1" thickBot="1" x14ac:dyDescent="0.3">
      <c r="A1215" s="256" t="s">
        <v>296</v>
      </c>
      <c r="B1215" s="259" t="str">
        <f>INDEX(Orçamentária!A:B,MATCH(Composições!A1215,Orçamentária!A:A,0),2)</f>
        <v>Torneira de parede para tanque</v>
      </c>
      <c r="C1215" s="40"/>
      <c r="D1215" s="25" t="s">
        <v>16</v>
      </c>
      <c r="E1215" s="26"/>
      <c r="F1215" s="41" t="s">
        <v>416</v>
      </c>
      <c r="G1215" s="27" t="str">
        <f t="shared" si="112"/>
        <v/>
      </c>
      <c r="H1215" s="28"/>
      <c r="I1215" s="29"/>
      <c r="J1215" s="152">
        <v>0</v>
      </c>
      <c r="L1215" s="218"/>
      <c r="M1215" s="41"/>
      <c r="N1215" s="27" t="str">
        <f t="shared" si="113"/>
        <v/>
      </c>
      <c r="O1215" s="28"/>
      <c r="P1215" s="36" t="str">
        <f t="shared" si="108"/>
        <v/>
      </c>
      <c r="Q1215" s="216" t="str">
        <f t="shared" si="109"/>
        <v/>
      </c>
      <c r="R1215" s="216" t="str">
        <f t="shared" si="110"/>
        <v/>
      </c>
      <c r="S1215" s="217" t="str">
        <f t="shared" si="111"/>
        <v/>
      </c>
    </row>
    <row r="1216" spans="1:19" ht="15.75" hidden="1" thickBot="1" x14ac:dyDescent="0.3">
      <c r="A1216" s="262"/>
      <c r="B1216" s="260"/>
      <c r="C1216" s="31"/>
      <c r="D1216" s="31"/>
      <c r="E1216" s="32"/>
      <c r="F1216" s="42" t="s">
        <v>416</v>
      </c>
      <c r="G1216" s="30" t="str">
        <f t="shared" si="112"/>
        <v/>
      </c>
      <c r="H1216" s="34"/>
      <c r="I1216" s="30"/>
      <c r="J1216" s="152">
        <v>0</v>
      </c>
      <c r="L1216" s="219"/>
      <c r="M1216" s="42"/>
      <c r="N1216" s="30" t="str">
        <f t="shared" si="113"/>
        <v/>
      </c>
      <c r="O1216" s="34"/>
      <c r="P1216" s="36" t="str">
        <f t="shared" si="108"/>
        <v/>
      </c>
      <c r="Q1216" s="216" t="str">
        <f t="shared" si="109"/>
        <v/>
      </c>
      <c r="R1216" s="216" t="str">
        <f t="shared" si="110"/>
        <v/>
      </c>
      <c r="S1216" s="217" t="str">
        <f t="shared" si="111"/>
        <v/>
      </c>
    </row>
    <row r="1217" spans="1:19" ht="15.75" hidden="1" thickBot="1" x14ac:dyDescent="0.3">
      <c r="A1217" s="262"/>
      <c r="B1217" s="260"/>
      <c r="C1217" s="35" t="s">
        <v>8171</v>
      </c>
      <c r="D1217" s="35" t="s">
        <v>213</v>
      </c>
      <c r="E1217" s="36">
        <v>2.1000000000000001E-2</v>
      </c>
      <c r="F1217" s="33">
        <v>4.0374999999999996</v>
      </c>
      <c r="G1217" s="33">
        <f t="shared" si="112"/>
        <v>8.4787500000000002E-2</v>
      </c>
      <c r="H1217" s="38">
        <f>SUM(G1217:G1220)</f>
        <v>51.029557799999999</v>
      </c>
      <c r="I1217" s="39"/>
      <c r="J1217" s="152">
        <v>0</v>
      </c>
      <c r="L1217" s="215">
        <v>2.1000000000000001E-2</v>
      </c>
      <c r="M1217" s="33">
        <v>3.4560999999999997</v>
      </c>
      <c r="N1217" s="33">
        <f t="shared" si="113"/>
        <v>7.2578099999999993E-2</v>
      </c>
      <c r="O1217" s="38">
        <f>SUM(N1217:N1220)</f>
        <v>43.681301476800002</v>
      </c>
      <c r="P1217" s="36" t="str">
        <f t="shared" si="108"/>
        <v/>
      </c>
      <c r="Q1217" s="216">
        <f t="shared" si="109"/>
        <v>0.14400000000000002</v>
      </c>
      <c r="R1217" s="216">
        <f t="shared" si="110"/>
        <v>0.14400000000000013</v>
      </c>
      <c r="S1217" s="217">
        <f t="shared" si="111"/>
        <v>0.14399999999999991</v>
      </c>
    </row>
    <row r="1218" spans="1:19" ht="26.25" hidden="1" thickBot="1" x14ac:dyDescent="0.3">
      <c r="A1218" s="262"/>
      <c r="B1218" s="260"/>
      <c r="C1218" s="35" t="s">
        <v>825</v>
      </c>
      <c r="D1218" s="35" t="s">
        <v>583</v>
      </c>
      <c r="E1218" s="36">
        <v>0.1525</v>
      </c>
      <c r="F1218" s="30">
        <v>26.799499999999998</v>
      </c>
      <c r="G1218" s="33">
        <f t="shared" si="112"/>
        <v>4.0869237499999995</v>
      </c>
      <c r="H1218" s="34"/>
      <c r="I1218" s="30"/>
      <c r="J1218" s="152">
        <v>0</v>
      </c>
      <c r="L1218" s="215">
        <v>0.1525</v>
      </c>
      <c r="M1218" s="30">
        <v>22.940372</v>
      </c>
      <c r="N1218" s="33">
        <f t="shared" si="113"/>
        <v>3.4984067300000001</v>
      </c>
      <c r="O1218" s="34"/>
      <c r="P1218" s="36" t="str">
        <f t="shared" si="108"/>
        <v/>
      </c>
      <c r="Q1218" s="216">
        <f t="shared" si="109"/>
        <v>0.14399999999999991</v>
      </c>
      <c r="R1218" s="216">
        <f t="shared" si="110"/>
        <v>0.14399999999999991</v>
      </c>
      <c r="S1218" s="217" t="str">
        <f t="shared" si="111"/>
        <v/>
      </c>
    </row>
    <row r="1219" spans="1:19" ht="15.75" hidden="1" thickBot="1" x14ac:dyDescent="0.3">
      <c r="A1219" s="262"/>
      <c r="B1219" s="260"/>
      <c r="C1219" s="35" t="s">
        <v>584</v>
      </c>
      <c r="D1219" s="35" t="s">
        <v>583</v>
      </c>
      <c r="E1219" s="36">
        <v>4.8099999999999997E-2</v>
      </c>
      <c r="F1219" s="30">
        <v>20.225499999999997</v>
      </c>
      <c r="G1219" s="33">
        <f t="shared" si="112"/>
        <v>0.97284654999999975</v>
      </c>
      <c r="H1219" s="34"/>
      <c r="I1219" s="30"/>
      <c r="J1219" s="152">
        <v>0</v>
      </c>
      <c r="L1219" s="215">
        <v>4.8099999999999997E-2</v>
      </c>
      <c r="M1219" s="30">
        <v>17.313027999999996</v>
      </c>
      <c r="N1219" s="33">
        <f t="shared" si="113"/>
        <v>0.83275664679999972</v>
      </c>
      <c r="O1219" s="34"/>
      <c r="P1219" s="36" t="str">
        <f t="shared" si="108"/>
        <v/>
      </c>
      <c r="Q1219" s="216">
        <f t="shared" si="109"/>
        <v>0.14400000000000013</v>
      </c>
      <c r="R1219" s="216">
        <f t="shared" si="110"/>
        <v>0.14400000000000002</v>
      </c>
      <c r="S1219" s="217" t="str">
        <f t="shared" si="111"/>
        <v/>
      </c>
    </row>
    <row r="1220" spans="1:19" ht="39" hidden="1" thickBot="1" x14ac:dyDescent="0.3">
      <c r="A1220" s="262"/>
      <c r="B1220" s="260"/>
      <c r="C1220" s="35" t="s">
        <v>8450</v>
      </c>
      <c r="D1220" s="35" t="s">
        <v>213</v>
      </c>
      <c r="E1220" s="36">
        <v>1</v>
      </c>
      <c r="F1220" s="33">
        <v>45.884999999999998</v>
      </c>
      <c r="G1220" s="30">
        <f t="shared" si="112"/>
        <v>45.884999999999998</v>
      </c>
      <c r="H1220" s="34"/>
      <c r="I1220" s="30"/>
      <c r="J1220" s="152">
        <v>0</v>
      </c>
      <c r="L1220" s="215">
        <v>1</v>
      </c>
      <c r="M1220" s="33">
        <v>39.277560000000001</v>
      </c>
      <c r="N1220" s="30">
        <f t="shared" si="113"/>
        <v>39.277560000000001</v>
      </c>
      <c r="O1220" s="34"/>
      <c r="P1220" s="36" t="str">
        <f t="shared" si="108"/>
        <v/>
      </c>
      <c r="Q1220" s="216">
        <f t="shared" si="109"/>
        <v>0.14399999999999991</v>
      </c>
      <c r="R1220" s="216">
        <f t="shared" si="110"/>
        <v>0.14399999999999991</v>
      </c>
      <c r="S1220" s="217" t="str">
        <f t="shared" si="111"/>
        <v/>
      </c>
    </row>
    <row r="1221" spans="1:19" ht="15.75" hidden="1" thickBot="1" x14ac:dyDescent="0.3">
      <c r="A1221" s="263"/>
      <c r="B1221" s="261"/>
      <c r="C1221" s="35"/>
      <c r="D1221" s="35"/>
      <c r="E1221" s="36"/>
      <c r="F1221" s="30" t="s">
        <v>416</v>
      </c>
      <c r="G1221" s="30" t="str">
        <f t="shared" si="112"/>
        <v/>
      </c>
      <c r="H1221" s="34"/>
      <c r="I1221" s="30"/>
      <c r="J1221" s="152">
        <v>0</v>
      </c>
      <c r="L1221" s="215"/>
      <c r="M1221" s="30"/>
      <c r="N1221" s="30" t="str">
        <f t="shared" si="113"/>
        <v/>
      </c>
      <c r="O1221" s="34"/>
      <c r="P1221" s="36" t="str">
        <f t="shared" si="108"/>
        <v/>
      </c>
      <c r="Q1221" s="216" t="str">
        <f t="shared" si="109"/>
        <v/>
      </c>
      <c r="R1221" s="216" t="str">
        <f t="shared" si="110"/>
        <v/>
      </c>
      <c r="S1221" s="217" t="str">
        <f t="shared" si="111"/>
        <v/>
      </c>
    </row>
    <row r="1222" spans="1:19" ht="15.75" hidden="1" thickBot="1" x14ac:dyDescent="0.3">
      <c r="A1222" s="256" t="s">
        <v>297</v>
      </c>
      <c r="B1222" s="259" t="str">
        <f>INDEX(Orçamentária!A:B,MATCH(Composições!A1222,Orçamentária!A:A,0),2)</f>
        <v>Acabamento para válvula de descarga 1 1/2" – Linha Acessibilidade</v>
      </c>
      <c r="C1222" s="40"/>
      <c r="D1222" s="25" t="s">
        <v>16</v>
      </c>
      <c r="E1222" s="26"/>
      <c r="F1222" s="41" t="s">
        <v>416</v>
      </c>
      <c r="G1222" s="27" t="str">
        <f t="shared" si="112"/>
        <v/>
      </c>
      <c r="H1222" s="28"/>
      <c r="I1222" s="29"/>
      <c r="J1222" s="152">
        <v>0</v>
      </c>
      <c r="L1222" s="218"/>
      <c r="M1222" s="41"/>
      <c r="N1222" s="27" t="str">
        <f t="shared" si="113"/>
        <v/>
      </c>
      <c r="O1222" s="28"/>
      <c r="P1222" s="36" t="str">
        <f t="shared" si="108"/>
        <v/>
      </c>
      <c r="Q1222" s="216" t="str">
        <f t="shared" si="109"/>
        <v/>
      </c>
      <c r="R1222" s="216" t="str">
        <f t="shared" si="110"/>
        <v/>
      </c>
      <c r="S1222" s="217" t="str">
        <f t="shared" si="111"/>
        <v/>
      </c>
    </row>
    <row r="1223" spans="1:19" ht="15.75" hidden="1" thickBot="1" x14ac:dyDescent="0.3">
      <c r="A1223" s="262"/>
      <c r="B1223" s="260"/>
      <c r="C1223" s="31"/>
      <c r="D1223" s="31"/>
      <c r="E1223" s="32"/>
      <c r="F1223" s="42" t="s">
        <v>416</v>
      </c>
      <c r="G1223" s="30" t="str">
        <f t="shared" si="112"/>
        <v/>
      </c>
      <c r="H1223" s="34"/>
      <c r="I1223" s="30"/>
      <c r="J1223" s="152">
        <v>0</v>
      </c>
      <c r="L1223" s="219"/>
      <c r="M1223" s="42"/>
      <c r="N1223" s="30" t="str">
        <f t="shared" si="113"/>
        <v/>
      </c>
      <c r="O1223" s="34"/>
      <c r="P1223" s="36" t="str">
        <f t="shared" si="108"/>
        <v/>
      </c>
      <c r="Q1223" s="216" t="str">
        <f t="shared" si="109"/>
        <v/>
      </c>
      <c r="R1223" s="216" t="str">
        <f t="shared" si="110"/>
        <v/>
      </c>
      <c r="S1223" s="217" t="str">
        <f t="shared" si="111"/>
        <v/>
      </c>
    </row>
    <row r="1224" spans="1:19" ht="26.25" hidden="1" thickBot="1" x14ac:dyDescent="0.3">
      <c r="A1224" s="262"/>
      <c r="B1224" s="260"/>
      <c r="C1224" s="35" t="s">
        <v>5745</v>
      </c>
      <c r="D1224" s="46" t="s">
        <v>107</v>
      </c>
      <c r="E1224" s="36">
        <v>1</v>
      </c>
      <c r="F1224" s="33" t="s">
        <v>416</v>
      </c>
      <c r="G1224" s="33" t="str">
        <f t="shared" si="112"/>
        <v/>
      </c>
      <c r="H1224" s="38">
        <f>SUM(G1224:G1226)</f>
        <v>23.982749999999999</v>
      </c>
      <c r="I1224" s="39"/>
      <c r="J1224" s="152">
        <v>0</v>
      </c>
      <c r="L1224" s="215">
        <v>1</v>
      </c>
      <c r="M1224" s="33"/>
      <c r="N1224" s="33" t="str">
        <f t="shared" si="113"/>
        <v/>
      </c>
      <c r="O1224" s="38">
        <f>SUM(N1224:N1226)</f>
        <v>20.529234000000002</v>
      </c>
      <c r="P1224" s="36" t="str">
        <f t="shared" ref="P1224:P1287" si="114">IF(ISBLANK(L1224),"",IF($E1224&lt;&gt;L1224,"SIM",""))</f>
        <v/>
      </c>
      <c r="Q1224" s="216" t="str">
        <f t="shared" ref="Q1224:Q1287" si="115">IF(M1224="","",1-M1224/$F1224)</f>
        <v/>
      </c>
      <c r="R1224" s="216" t="str">
        <f t="shared" ref="R1224:R1287" si="116">IF(N1224="","",1-N1224/$G1224)</f>
        <v/>
      </c>
      <c r="S1224" s="217">
        <f t="shared" ref="S1224:S1287" si="117">IF(O1224="","",1-O1224/$H1224)</f>
        <v>0.14399999999999991</v>
      </c>
    </row>
    <row r="1225" spans="1:19" ht="26.25" hidden="1" thickBot="1" x14ac:dyDescent="0.3">
      <c r="A1225" s="262"/>
      <c r="B1225" s="260"/>
      <c r="C1225" s="35" t="s">
        <v>824</v>
      </c>
      <c r="D1225" s="35" t="s">
        <v>583</v>
      </c>
      <c r="E1225" s="36">
        <v>0.5</v>
      </c>
      <c r="F1225" s="30">
        <v>21.166</v>
      </c>
      <c r="G1225" s="33">
        <f t="shared" si="112"/>
        <v>10.583</v>
      </c>
      <c r="H1225" s="34"/>
      <c r="I1225" s="30"/>
      <c r="J1225" s="152">
        <v>0</v>
      </c>
      <c r="L1225" s="215">
        <v>0.5</v>
      </c>
      <c r="M1225" s="30">
        <v>18.118096000000001</v>
      </c>
      <c r="N1225" s="33">
        <f t="shared" si="113"/>
        <v>9.0590480000000007</v>
      </c>
      <c r="O1225" s="34"/>
      <c r="P1225" s="36" t="str">
        <f t="shared" si="114"/>
        <v/>
      </c>
      <c r="Q1225" s="216">
        <f t="shared" si="115"/>
        <v>0.14399999999999991</v>
      </c>
      <c r="R1225" s="216">
        <f t="shared" si="116"/>
        <v>0.14399999999999991</v>
      </c>
      <c r="S1225" s="217" t="str">
        <f t="shared" si="117"/>
        <v/>
      </c>
    </row>
    <row r="1226" spans="1:19" ht="26.25" hidden="1" thickBot="1" x14ac:dyDescent="0.3">
      <c r="A1226" s="262"/>
      <c r="B1226" s="260"/>
      <c r="C1226" s="35" t="s">
        <v>825</v>
      </c>
      <c r="D1226" s="35" t="s">
        <v>583</v>
      </c>
      <c r="E1226" s="36">
        <v>0.5</v>
      </c>
      <c r="F1226" s="30">
        <v>26.799499999999998</v>
      </c>
      <c r="G1226" s="33">
        <f t="shared" si="112"/>
        <v>13.399749999999999</v>
      </c>
      <c r="H1226" s="34"/>
      <c r="I1226" s="30"/>
      <c r="J1226" s="152">
        <v>0</v>
      </c>
      <c r="L1226" s="215">
        <v>0.5</v>
      </c>
      <c r="M1226" s="30">
        <v>22.940372</v>
      </c>
      <c r="N1226" s="33">
        <f t="shared" si="113"/>
        <v>11.470186</v>
      </c>
      <c r="O1226" s="34"/>
      <c r="P1226" s="36" t="str">
        <f t="shared" si="114"/>
        <v/>
      </c>
      <c r="Q1226" s="216">
        <f t="shared" si="115"/>
        <v>0.14399999999999991</v>
      </c>
      <c r="R1226" s="216">
        <f t="shared" si="116"/>
        <v>0.14399999999999991</v>
      </c>
      <c r="S1226" s="217" t="str">
        <f t="shared" si="117"/>
        <v/>
      </c>
    </row>
    <row r="1227" spans="1:19" ht="15.75" hidden="1" thickBot="1" x14ac:dyDescent="0.3">
      <c r="A1227" s="263"/>
      <c r="B1227" s="261"/>
      <c r="C1227" s="35"/>
      <c r="D1227" s="35"/>
      <c r="E1227" s="36"/>
      <c r="F1227" s="30" t="s">
        <v>416</v>
      </c>
      <c r="G1227" s="30" t="str">
        <f t="shared" si="112"/>
        <v/>
      </c>
      <c r="H1227" s="34"/>
      <c r="I1227" s="30"/>
      <c r="J1227" s="152">
        <v>0</v>
      </c>
      <c r="L1227" s="215"/>
      <c r="M1227" s="30"/>
      <c r="N1227" s="30" t="str">
        <f t="shared" si="113"/>
        <v/>
      </c>
      <c r="O1227" s="34"/>
      <c r="P1227" s="36" t="str">
        <f t="shared" si="114"/>
        <v/>
      </c>
      <c r="Q1227" s="216" t="str">
        <f t="shared" si="115"/>
        <v/>
      </c>
      <c r="R1227" s="216" t="str">
        <f t="shared" si="116"/>
        <v/>
      </c>
      <c r="S1227" s="217" t="str">
        <f t="shared" si="117"/>
        <v/>
      </c>
    </row>
    <row r="1228" spans="1:19" ht="15.75" hidden="1" thickBot="1" x14ac:dyDescent="0.3">
      <c r="A1228" s="256" t="s">
        <v>298</v>
      </c>
      <c r="B1228" s="259" t="str">
        <f>INDEX(Orçamentária!A:B,MATCH(Composições!A1228,Orçamentária!A:A,0),2)</f>
        <v>Acabamento para válvula de descarga 1 1/2"</v>
      </c>
      <c r="C1228" s="40"/>
      <c r="D1228" s="25" t="s">
        <v>16</v>
      </c>
      <c r="E1228" s="26"/>
      <c r="F1228" s="41" t="s">
        <v>416</v>
      </c>
      <c r="G1228" s="27" t="str">
        <f t="shared" si="112"/>
        <v/>
      </c>
      <c r="H1228" s="28"/>
      <c r="I1228" s="29"/>
      <c r="J1228" s="152">
        <v>0</v>
      </c>
      <c r="L1228" s="218"/>
      <c r="M1228" s="41"/>
      <c r="N1228" s="27" t="str">
        <f t="shared" si="113"/>
        <v/>
      </c>
      <c r="O1228" s="28"/>
      <c r="P1228" s="36" t="str">
        <f t="shared" si="114"/>
        <v/>
      </c>
      <c r="Q1228" s="216" t="str">
        <f t="shared" si="115"/>
        <v/>
      </c>
      <c r="R1228" s="216" t="str">
        <f t="shared" si="116"/>
        <v/>
      </c>
      <c r="S1228" s="217" t="str">
        <f t="shared" si="117"/>
        <v/>
      </c>
    </row>
    <row r="1229" spans="1:19" ht="15.75" hidden="1" thickBot="1" x14ac:dyDescent="0.3">
      <c r="A1229" s="262"/>
      <c r="B1229" s="260"/>
      <c r="C1229" s="31"/>
      <c r="D1229" s="31"/>
      <c r="E1229" s="32"/>
      <c r="F1229" s="42" t="s">
        <v>416</v>
      </c>
      <c r="G1229" s="30" t="str">
        <f t="shared" si="112"/>
        <v/>
      </c>
      <c r="H1229" s="34"/>
      <c r="I1229" s="30"/>
      <c r="J1229" s="152">
        <v>0</v>
      </c>
      <c r="L1229" s="219"/>
      <c r="M1229" s="42"/>
      <c r="N1229" s="30" t="str">
        <f t="shared" si="113"/>
        <v/>
      </c>
      <c r="O1229" s="34"/>
      <c r="P1229" s="36" t="str">
        <f t="shared" si="114"/>
        <v/>
      </c>
      <c r="Q1229" s="216" t="str">
        <f t="shared" si="115"/>
        <v/>
      </c>
      <c r="R1229" s="216" t="str">
        <f t="shared" si="116"/>
        <v/>
      </c>
      <c r="S1229" s="217" t="str">
        <f t="shared" si="117"/>
        <v/>
      </c>
    </row>
    <row r="1230" spans="1:19" ht="15.75" hidden="1" thickBot="1" x14ac:dyDescent="0.3">
      <c r="A1230" s="262"/>
      <c r="B1230" s="260"/>
      <c r="C1230" s="35" t="s">
        <v>5743</v>
      </c>
      <c r="D1230" s="46" t="s">
        <v>213</v>
      </c>
      <c r="E1230" s="36">
        <v>1</v>
      </c>
      <c r="F1230" s="33" t="s">
        <v>416</v>
      </c>
      <c r="G1230" s="33" t="str">
        <f t="shared" si="112"/>
        <v/>
      </c>
      <c r="H1230" s="38">
        <f>SUM(G1230:G1232)</f>
        <v>23.982749999999999</v>
      </c>
      <c r="I1230" s="39"/>
      <c r="J1230" s="152">
        <v>0</v>
      </c>
      <c r="L1230" s="215">
        <v>1</v>
      </c>
      <c r="M1230" s="33"/>
      <c r="N1230" s="33" t="str">
        <f t="shared" si="113"/>
        <v/>
      </c>
      <c r="O1230" s="38">
        <f>SUM(N1230:N1232)</f>
        <v>20.529234000000002</v>
      </c>
      <c r="P1230" s="36" t="str">
        <f t="shared" si="114"/>
        <v/>
      </c>
      <c r="Q1230" s="216" t="str">
        <f t="shared" si="115"/>
        <v/>
      </c>
      <c r="R1230" s="216" t="str">
        <f t="shared" si="116"/>
        <v/>
      </c>
      <c r="S1230" s="217">
        <f t="shared" si="117"/>
        <v>0.14399999999999991</v>
      </c>
    </row>
    <row r="1231" spans="1:19" ht="26.25" hidden="1" thickBot="1" x14ac:dyDescent="0.3">
      <c r="A1231" s="262"/>
      <c r="B1231" s="260"/>
      <c r="C1231" s="35" t="s">
        <v>824</v>
      </c>
      <c r="D1231" s="35" t="s">
        <v>583</v>
      </c>
      <c r="E1231" s="36">
        <v>0.5</v>
      </c>
      <c r="F1231" s="30">
        <v>21.166</v>
      </c>
      <c r="G1231" s="33">
        <f t="shared" si="112"/>
        <v>10.583</v>
      </c>
      <c r="H1231" s="34"/>
      <c r="I1231" s="30"/>
      <c r="J1231" s="152">
        <v>0</v>
      </c>
      <c r="L1231" s="215">
        <v>0.5</v>
      </c>
      <c r="M1231" s="30">
        <v>18.118096000000001</v>
      </c>
      <c r="N1231" s="33">
        <f t="shared" si="113"/>
        <v>9.0590480000000007</v>
      </c>
      <c r="O1231" s="34"/>
      <c r="P1231" s="36" t="str">
        <f t="shared" si="114"/>
        <v/>
      </c>
      <c r="Q1231" s="216">
        <f t="shared" si="115"/>
        <v>0.14399999999999991</v>
      </c>
      <c r="R1231" s="216">
        <f t="shared" si="116"/>
        <v>0.14399999999999991</v>
      </c>
      <c r="S1231" s="217" t="str">
        <f t="shared" si="117"/>
        <v/>
      </c>
    </row>
    <row r="1232" spans="1:19" ht="26.25" hidden="1" thickBot="1" x14ac:dyDescent="0.3">
      <c r="A1232" s="262"/>
      <c r="B1232" s="260"/>
      <c r="C1232" s="35" t="s">
        <v>825</v>
      </c>
      <c r="D1232" s="35" t="s">
        <v>583</v>
      </c>
      <c r="E1232" s="36">
        <v>0.5</v>
      </c>
      <c r="F1232" s="30">
        <v>26.799499999999998</v>
      </c>
      <c r="G1232" s="33">
        <f t="shared" si="112"/>
        <v>13.399749999999999</v>
      </c>
      <c r="H1232" s="34"/>
      <c r="I1232" s="30"/>
      <c r="J1232" s="152">
        <v>0</v>
      </c>
      <c r="L1232" s="215">
        <v>0.5</v>
      </c>
      <c r="M1232" s="30">
        <v>22.940372</v>
      </c>
      <c r="N1232" s="33">
        <f t="shared" si="113"/>
        <v>11.470186</v>
      </c>
      <c r="O1232" s="34"/>
      <c r="P1232" s="36" t="str">
        <f t="shared" si="114"/>
        <v/>
      </c>
      <c r="Q1232" s="216">
        <f t="shared" si="115"/>
        <v>0.14399999999999991</v>
      </c>
      <c r="R1232" s="216">
        <f t="shared" si="116"/>
        <v>0.14399999999999991</v>
      </c>
      <c r="S1232" s="217" t="str">
        <f t="shared" si="117"/>
        <v/>
      </c>
    </row>
    <row r="1233" spans="1:19" ht="15.75" hidden="1" thickBot="1" x14ac:dyDescent="0.3">
      <c r="A1233" s="263"/>
      <c r="B1233" s="261"/>
      <c r="C1233" s="35"/>
      <c r="D1233" s="35"/>
      <c r="E1233" s="36"/>
      <c r="F1233" s="30" t="s">
        <v>416</v>
      </c>
      <c r="G1233" s="30" t="str">
        <f t="shared" si="112"/>
        <v/>
      </c>
      <c r="H1233" s="34"/>
      <c r="I1233" s="30"/>
      <c r="J1233" s="152">
        <v>0</v>
      </c>
      <c r="L1233" s="215"/>
      <c r="M1233" s="30"/>
      <c r="N1233" s="30" t="str">
        <f t="shared" si="113"/>
        <v/>
      </c>
      <c r="O1233" s="34"/>
      <c r="P1233" s="36" t="str">
        <f t="shared" si="114"/>
        <v/>
      </c>
      <c r="Q1233" s="216" t="str">
        <f t="shared" si="115"/>
        <v/>
      </c>
      <c r="R1233" s="216" t="str">
        <f t="shared" si="116"/>
        <v/>
      </c>
      <c r="S1233" s="217" t="str">
        <f t="shared" si="117"/>
        <v/>
      </c>
    </row>
    <row r="1234" spans="1:19" ht="15.75" hidden="1" thickBot="1" x14ac:dyDescent="0.3">
      <c r="A1234" s="256" t="s">
        <v>299</v>
      </c>
      <c r="B1234" s="259" t="str">
        <f>INDEX(Orçamentária!A:B,MATCH(Composições!A1234,Orçamentária!A:A,0),2)</f>
        <v>Acabamento para válvula de descarga 1 1/4" – Linha Acessibilidade</v>
      </c>
      <c r="C1234" s="40"/>
      <c r="D1234" s="25" t="s">
        <v>16</v>
      </c>
      <c r="E1234" s="26"/>
      <c r="F1234" s="41" t="s">
        <v>416</v>
      </c>
      <c r="G1234" s="27" t="str">
        <f t="shared" si="112"/>
        <v/>
      </c>
      <c r="H1234" s="28"/>
      <c r="I1234" s="29"/>
      <c r="J1234" s="152">
        <v>0</v>
      </c>
      <c r="L1234" s="218"/>
      <c r="M1234" s="41"/>
      <c r="N1234" s="27" t="str">
        <f t="shared" si="113"/>
        <v/>
      </c>
      <c r="O1234" s="28"/>
      <c r="P1234" s="36" t="str">
        <f t="shared" si="114"/>
        <v/>
      </c>
      <c r="Q1234" s="216" t="str">
        <f t="shared" si="115"/>
        <v/>
      </c>
      <c r="R1234" s="216" t="str">
        <f t="shared" si="116"/>
        <v/>
      </c>
      <c r="S1234" s="217" t="str">
        <f t="shared" si="117"/>
        <v/>
      </c>
    </row>
    <row r="1235" spans="1:19" ht="15.75" hidden="1" thickBot="1" x14ac:dyDescent="0.3">
      <c r="A1235" s="262"/>
      <c r="B1235" s="260"/>
      <c r="C1235" s="31"/>
      <c r="D1235" s="31"/>
      <c r="E1235" s="32"/>
      <c r="F1235" s="42" t="s">
        <v>416</v>
      </c>
      <c r="G1235" s="30" t="str">
        <f t="shared" ref="G1235:G1298" si="118">IF(ISNUMBER(F1235),E1235*F1235,"")</f>
        <v/>
      </c>
      <c r="H1235" s="34"/>
      <c r="I1235" s="30"/>
      <c r="J1235" s="152">
        <v>0</v>
      </c>
      <c r="L1235" s="219"/>
      <c r="M1235" s="42"/>
      <c r="N1235" s="30" t="str">
        <f t="shared" ref="N1235:N1298" si="119">IF(ISNUMBER(M1235),L1235*M1235,"")</f>
        <v/>
      </c>
      <c r="O1235" s="34"/>
      <c r="P1235" s="36" t="str">
        <f t="shared" si="114"/>
        <v/>
      </c>
      <c r="Q1235" s="216" t="str">
        <f t="shared" si="115"/>
        <v/>
      </c>
      <c r="R1235" s="216" t="str">
        <f t="shared" si="116"/>
        <v/>
      </c>
      <c r="S1235" s="217" t="str">
        <f t="shared" si="117"/>
        <v/>
      </c>
    </row>
    <row r="1236" spans="1:19" ht="26.25" hidden="1" thickBot="1" x14ac:dyDescent="0.3">
      <c r="A1236" s="262"/>
      <c r="B1236" s="260"/>
      <c r="C1236" s="35" t="s">
        <v>5744</v>
      </c>
      <c r="D1236" s="46" t="s">
        <v>107</v>
      </c>
      <c r="E1236" s="36">
        <v>1</v>
      </c>
      <c r="F1236" s="33" t="s">
        <v>416</v>
      </c>
      <c r="G1236" s="33" t="str">
        <f t="shared" si="118"/>
        <v/>
      </c>
      <c r="H1236" s="38">
        <f>SUM(G1236:G1238)</f>
        <v>23.982749999999999</v>
      </c>
      <c r="I1236" s="39"/>
      <c r="J1236" s="152">
        <v>0</v>
      </c>
      <c r="L1236" s="215">
        <v>1</v>
      </c>
      <c r="M1236" s="33"/>
      <c r="N1236" s="33" t="str">
        <f t="shared" si="119"/>
        <v/>
      </c>
      <c r="O1236" s="38">
        <f>SUM(N1236:N1238)</f>
        <v>20.529234000000002</v>
      </c>
      <c r="P1236" s="36" t="str">
        <f t="shared" si="114"/>
        <v/>
      </c>
      <c r="Q1236" s="216" t="str">
        <f t="shared" si="115"/>
        <v/>
      </c>
      <c r="R1236" s="216" t="str">
        <f t="shared" si="116"/>
        <v/>
      </c>
      <c r="S1236" s="217">
        <f t="shared" si="117"/>
        <v>0.14399999999999991</v>
      </c>
    </row>
    <row r="1237" spans="1:19" ht="26.25" hidden="1" thickBot="1" x14ac:dyDescent="0.3">
      <c r="A1237" s="262"/>
      <c r="B1237" s="260"/>
      <c r="C1237" s="35" t="s">
        <v>824</v>
      </c>
      <c r="D1237" s="35" t="s">
        <v>583</v>
      </c>
      <c r="E1237" s="36">
        <v>0.5</v>
      </c>
      <c r="F1237" s="30">
        <v>21.166</v>
      </c>
      <c r="G1237" s="33">
        <f t="shared" si="118"/>
        <v>10.583</v>
      </c>
      <c r="H1237" s="34"/>
      <c r="I1237" s="30"/>
      <c r="J1237" s="152">
        <v>0</v>
      </c>
      <c r="L1237" s="215">
        <v>0.5</v>
      </c>
      <c r="M1237" s="30">
        <v>18.118096000000001</v>
      </c>
      <c r="N1237" s="33">
        <f t="shared" si="119"/>
        <v>9.0590480000000007</v>
      </c>
      <c r="O1237" s="34"/>
      <c r="P1237" s="36" t="str">
        <f t="shared" si="114"/>
        <v/>
      </c>
      <c r="Q1237" s="216">
        <f t="shared" si="115"/>
        <v>0.14399999999999991</v>
      </c>
      <c r="R1237" s="216">
        <f t="shared" si="116"/>
        <v>0.14399999999999991</v>
      </c>
      <c r="S1237" s="217" t="str">
        <f t="shared" si="117"/>
        <v/>
      </c>
    </row>
    <row r="1238" spans="1:19" ht="26.25" hidden="1" thickBot="1" x14ac:dyDescent="0.3">
      <c r="A1238" s="262"/>
      <c r="B1238" s="260"/>
      <c r="C1238" s="35" t="s">
        <v>825</v>
      </c>
      <c r="D1238" s="35" t="s">
        <v>583</v>
      </c>
      <c r="E1238" s="36">
        <v>0.5</v>
      </c>
      <c r="F1238" s="30">
        <v>26.799499999999998</v>
      </c>
      <c r="G1238" s="33">
        <f t="shared" si="118"/>
        <v>13.399749999999999</v>
      </c>
      <c r="H1238" s="34"/>
      <c r="I1238" s="30"/>
      <c r="J1238" s="152">
        <v>0</v>
      </c>
      <c r="L1238" s="215">
        <v>0.5</v>
      </c>
      <c r="M1238" s="30">
        <v>22.940372</v>
      </c>
      <c r="N1238" s="33">
        <f t="shared" si="119"/>
        <v>11.470186</v>
      </c>
      <c r="O1238" s="34"/>
      <c r="P1238" s="36" t="str">
        <f t="shared" si="114"/>
        <v/>
      </c>
      <c r="Q1238" s="216">
        <f t="shared" si="115"/>
        <v>0.14399999999999991</v>
      </c>
      <c r="R1238" s="216">
        <f t="shared" si="116"/>
        <v>0.14399999999999991</v>
      </c>
      <c r="S1238" s="217" t="str">
        <f t="shared" si="117"/>
        <v/>
      </c>
    </row>
    <row r="1239" spans="1:19" ht="15.75" hidden="1" thickBot="1" x14ac:dyDescent="0.3">
      <c r="A1239" s="263"/>
      <c r="B1239" s="261"/>
      <c r="C1239" s="35"/>
      <c r="D1239" s="35"/>
      <c r="E1239" s="36"/>
      <c r="F1239" s="30" t="s">
        <v>416</v>
      </c>
      <c r="G1239" s="30" t="str">
        <f t="shared" si="118"/>
        <v/>
      </c>
      <c r="H1239" s="34"/>
      <c r="I1239" s="30"/>
      <c r="J1239" s="152">
        <v>0</v>
      </c>
      <c r="L1239" s="215"/>
      <c r="M1239" s="30"/>
      <c r="N1239" s="30" t="str">
        <f t="shared" si="119"/>
        <v/>
      </c>
      <c r="O1239" s="34"/>
      <c r="P1239" s="36" t="str">
        <f t="shared" si="114"/>
        <v/>
      </c>
      <c r="Q1239" s="216" t="str">
        <f t="shared" si="115"/>
        <v/>
      </c>
      <c r="R1239" s="216" t="str">
        <f t="shared" si="116"/>
        <v/>
      </c>
      <c r="S1239" s="217" t="str">
        <f t="shared" si="117"/>
        <v/>
      </c>
    </row>
    <row r="1240" spans="1:19" ht="15.75" hidden="1" thickBot="1" x14ac:dyDescent="0.3">
      <c r="A1240" s="256" t="s">
        <v>300</v>
      </c>
      <c r="B1240" s="259" t="str">
        <f>INDEX(Orçamentária!A:B,MATCH(Composições!A1240,Orçamentária!A:A,0),2)</f>
        <v>Acabamento para válvula de descarga 1 1/4"</v>
      </c>
      <c r="C1240" s="40"/>
      <c r="D1240" s="25" t="s">
        <v>16</v>
      </c>
      <c r="E1240" s="26"/>
      <c r="F1240" s="41" t="s">
        <v>416</v>
      </c>
      <c r="G1240" s="27" t="str">
        <f t="shared" si="118"/>
        <v/>
      </c>
      <c r="H1240" s="28"/>
      <c r="I1240" s="29"/>
      <c r="J1240" s="152">
        <v>0</v>
      </c>
      <c r="L1240" s="218"/>
      <c r="M1240" s="41"/>
      <c r="N1240" s="27" t="str">
        <f t="shared" si="119"/>
        <v/>
      </c>
      <c r="O1240" s="28"/>
      <c r="P1240" s="36" t="str">
        <f t="shared" si="114"/>
        <v/>
      </c>
      <c r="Q1240" s="216" t="str">
        <f t="shared" si="115"/>
        <v/>
      </c>
      <c r="R1240" s="216" t="str">
        <f t="shared" si="116"/>
        <v/>
      </c>
      <c r="S1240" s="217" t="str">
        <f t="shared" si="117"/>
        <v/>
      </c>
    </row>
    <row r="1241" spans="1:19" ht="15.75" hidden="1" thickBot="1" x14ac:dyDescent="0.3">
      <c r="A1241" s="262"/>
      <c r="B1241" s="260"/>
      <c r="C1241" s="31"/>
      <c r="D1241" s="31"/>
      <c r="E1241" s="32"/>
      <c r="F1241" s="42" t="s">
        <v>416</v>
      </c>
      <c r="G1241" s="30" t="str">
        <f t="shared" si="118"/>
        <v/>
      </c>
      <c r="H1241" s="34"/>
      <c r="I1241" s="30"/>
      <c r="J1241" s="152">
        <v>0</v>
      </c>
      <c r="L1241" s="219"/>
      <c r="M1241" s="42"/>
      <c r="N1241" s="30" t="str">
        <f t="shared" si="119"/>
        <v/>
      </c>
      <c r="O1241" s="34"/>
      <c r="P1241" s="36" t="str">
        <f t="shared" si="114"/>
        <v/>
      </c>
      <c r="Q1241" s="216" t="str">
        <f t="shared" si="115"/>
        <v/>
      </c>
      <c r="R1241" s="216" t="str">
        <f t="shared" si="116"/>
        <v/>
      </c>
      <c r="S1241" s="217" t="str">
        <f t="shared" si="117"/>
        <v/>
      </c>
    </row>
    <row r="1242" spans="1:19" ht="15.75" hidden="1" thickBot="1" x14ac:dyDescent="0.3">
      <c r="A1242" s="262"/>
      <c r="B1242" s="260"/>
      <c r="C1242" s="35" t="s">
        <v>5743</v>
      </c>
      <c r="D1242" s="46" t="s">
        <v>107</v>
      </c>
      <c r="E1242" s="36">
        <v>1</v>
      </c>
      <c r="F1242" s="33" t="s">
        <v>416</v>
      </c>
      <c r="G1242" s="33" t="str">
        <f t="shared" si="118"/>
        <v/>
      </c>
      <c r="H1242" s="38">
        <f>SUM(G1242:G1244)</f>
        <v>23.982749999999999</v>
      </c>
      <c r="I1242" s="39"/>
      <c r="J1242" s="152">
        <v>0</v>
      </c>
      <c r="L1242" s="215">
        <v>1</v>
      </c>
      <c r="M1242" s="33"/>
      <c r="N1242" s="33" t="str">
        <f t="shared" si="119"/>
        <v/>
      </c>
      <c r="O1242" s="38">
        <f>SUM(N1242:N1244)</f>
        <v>20.529234000000002</v>
      </c>
      <c r="P1242" s="36" t="str">
        <f t="shared" si="114"/>
        <v/>
      </c>
      <c r="Q1242" s="216" t="str">
        <f t="shared" si="115"/>
        <v/>
      </c>
      <c r="R1242" s="216" t="str">
        <f t="shared" si="116"/>
        <v/>
      </c>
      <c r="S1242" s="217">
        <f t="shared" si="117"/>
        <v>0.14399999999999991</v>
      </c>
    </row>
    <row r="1243" spans="1:19" ht="26.25" hidden="1" thickBot="1" x14ac:dyDescent="0.3">
      <c r="A1243" s="262"/>
      <c r="B1243" s="260"/>
      <c r="C1243" s="35" t="s">
        <v>824</v>
      </c>
      <c r="D1243" s="35" t="s">
        <v>583</v>
      </c>
      <c r="E1243" s="36">
        <v>0.5</v>
      </c>
      <c r="F1243" s="30">
        <v>21.166</v>
      </c>
      <c r="G1243" s="33">
        <f t="shared" si="118"/>
        <v>10.583</v>
      </c>
      <c r="H1243" s="34"/>
      <c r="I1243" s="30"/>
      <c r="J1243" s="152">
        <v>0</v>
      </c>
      <c r="L1243" s="215">
        <v>0.5</v>
      </c>
      <c r="M1243" s="30">
        <v>18.118096000000001</v>
      </c>
      <c r="N1243" s="33">
        <f t="shared" si="119"/>
        <v>9.0590480000000007</v>
      </c>
      <c r="O1243" s="34"/>
      <c r="P1243" s="36" t="str">
        <f t="shared" si="114"/>
        <v/>
      </c>
      <c r="Q1243" s="216">
        <f t="shared" si="115"/>
        <v>0.14399999999999991</v>
      </c>
      <c r="R1243" s="216">
        <f t="shared" si="116"/>
        <v>0.14399999999999991</v>
      </c>
      <c r="S1243" s="217" t="str">
        <f t="shared" si="117"/>
        <v/>
      </c>
    </row>
    <row r="1244" spans="1:19" ht="26.25" hidden="1" thickBot="1" x14ac:dyDescent="0.3">
      <c r="A1244" s="262"/>
      <c r="B1244" s="260"/>
      <c r="C1244" s="35" t="s">
        <v>825</v>
      </c>
      <c r="D1244" s="35" t="s">
        <v>583</v>
      </c>
      <c r="E1244" s="36">
        <v>0.5</v>
      </c>
      <c r="F1244" s="30">
        <v>26.799499999999998</v>
      </c>
      <c r="G1244" s="33">
        <f t="shared" si="118"/>
        <v>13.399749999999999</v>
      </c>
      <c r="H1244" s="34"/>
      <c r="I1244" s="30"/>
      <c r="J1244" s="152">
        <v>0</v>
      </c>
      <c r="L1244" s="215">
        <v>0.5</v>
      </c>
      <c r="M1244" s="30">
        <v>22.940372</v>
      </c>
      <c r="N1244" s="33">
        <f t="shared" si="119"/>
        <v>11.470186</v>
      </c>
      <c r="O1244" s="34"/>
      <c r="P1244" s="36" t="str">
        <f t="shared" si="114"/>
        <v/>
      </c>
      <c r="Q1244" s="216">
        <f t="shared" si="115"/>
        <v>0.14399999999999991</v>
      </c>
      <c r="R1244" s="216">
        <f t="shared" si="116"/>
        <v>0.14399999999999991</v>
      </c>
      <c r="S1244" s="217" t="str">
        <f t="shared" si="117"/>
        <v/>
      </c>
    </row>
    <row r="1245" spans="1:19" ht="15.75" hidden="1" thickBot="1" x14ac:dyDescent="0.3">
      <c r="A1245" s="263"/>
      <c r="B1245" s="261"/>
      <c r="C1245" s="35"/>
      <c r="D1245" s="35"/>
      <c r="E1245" s="36"/>
      <c r="F1245" s="30" t="s">
        <v>416</v>
      </c>
      <c r="G1245" s="30" t="str">
        <f t="shared" si="118"/>
        <v/>
      </c>
      <c r="H1245" s="34"/>
      <c r="I1245" s="30"/>
      <c r="J1245" s="152">
        <v>0</v>
      </c>
      <c r="L1245" s="215"/>
      <c r="M1245" s="30"/>
      <c r="N1245" s="30" t="str">
        <f t="shared" si="119"/>
        <v/>
      </c>
      <c r="O1245" s="34"/>
      <c r="P1245" s="36" t="str">
        <f t="shared" si="114"/>
        <v/>
      </c>
      <c r="Q1245" s="216" t="str">
        <f t="shared" si="115"/>
        <v/>
      </c>
      <c r="R1245" s="216" t="str">
        <f t="shared" si="116"/>
        <v/>
      </c>
      <c r="S1245" s="217" t="str">
        <f t="shared" si="117"/>
        <v/>
      </c>
    </row>
    <row r="1246" spans="1:19" ht="15.75" hidden="1" thickBot="1" x14ac:dyDescent="0.3">
      <c r="A1246" s="256" t="s">
        <v>301</v>
      </c>
      <c r="B1246" s="259" t="str">
        <f>INDEX(Orçamentária!A:B,MATCH(Composições!A1246,Orçamentária!A:A,0),2)</f>
        <v>Válvula de escoamento para lavatório</v>
      </c>
      <c r="C1246" s="40"/>
      <c r="D1246" s="25" t="s">
        <v>16</v>
      </c>
      <c r="E1246" s="26"/>
      <c r="F1246" s="41" t="s">
        <v>416</v>
      </c>
      <c r="G1246" s="27" t="str">
        <f t="shared" si="118"/>
        <v/>
      </c>
      <c r="H1246" s="28"/>
      <c r="I1246" s="29"/>
      <c r="J1246" s="152">
        <v>0</v>
      </c>
      <c r="L1246" s="218"/>
      <c r="M1246" s="41"/>
      <c r="N1246" s="27" t="str">
        <f t="shared" si="119"/>
        <v/>
      </c>
      <c r="O1246" s="28"/>
      <c r="P1246" s="36" t="str">
        <f t="shared" si="114"/>
        <v/>
      </c>
      <c r="Q1246" s="216" t="str">
        <f t="shared" si="115"/>
        <v/>
      </c>
      <c r="R1246" s="216" t="str">
        <f t="shared" si="116"/>
        <v/>
      </c>
      <c r="S1246" s="217" t="str">
        <f t="shared" si="117"/>
        <v/>
      </c>
    </row>
    <row r="1247" spans="1:19" ht="15.75" hidden="1" thickBot="1" x14ac:dyDescent="0.3">
      <c r="A1247" s="262"/>
      <c r="B1247" s="260"/>
      <c r="C1247" s="31"/>
      <c r="D1247" s="31"/>
      <c r="E1247" s="32"/>
      <c r="F1247" s="42" t="s">
        <v>416</v>
      </c>
      <c r="G1247" s="30" t="str">
        <f t="shared" si="118"/>
        <v/>
      </c>
      <c r="H1247" s="34"/>
      <c r="I1247" s="30"/>
      <c r="J1247" s="152">
        <v>0</v>
      </c>
      <c r="L1247" s="219"/>
      <c r="M1247" s="42"/>
      <c r="N1247" s="30" t="str">
        <f t="shared" si="119"/>
        <v/>
      </c>
      <c r="O1247" s="34"/>
      <c r="P1247" s="36" t="str">
        <f t="shared" si="114"/>
        <v/>
      </c>
      <c r="Q1247" s="216" t="str">
        <f t="shared" si="115"/>
        <v/>
      </c>
      <c r="R1247" s="216" t="str">
        <f t="shared" si="116"/>
        <v/>
      </c>
      <c r="S1247" s="217" t="str">
        <f t="shared" si="117"/>
        <v/>
      </c>
    </row>
    <row r="1248" spans="1:19" ht="15.75" hidden="1" thickBot="1" x14ac:dyDescent="0.3">
      <c r="A1248" s="262"/>
      <c r="B1248" s="260"/>
      <c r="C1248" s="35" t="s">
        <v>8503</v>
      </c>
      <c r="D1248" s="35" t="s">
        <v>213</v>
      </c>
      <c r="E1248" s="36">
        <v>1</v>
      </c>
      <c r="F1248" s="33">
        <v>37.173500000000004</v>
      </c>
      <c r="G1248" s="33">
        <f t="shared" si="118"/>
        <v>37.173500000000004</v>
      </c>
      <c r="H1248" s="38">
        <f>SUM(G1248:G1251)</f>
        <v>43.138770400000013</v>
      </c>
      <c r="I1248" s="39"/>
      <c r="J1248" s="152">
        <v>0</v>
      </c>
      <c r="L1248" s="215">
        <v>1</v>
      </c>
      <c r="M1248" s="33">
        <v>31.820516000000005</v>
      </c>
      <c r="N1248" s="33">
        <f t="shared" si="119"/>
        <v>31.820516000000005</v>
      </c>
      <c r="O1248" s="38">
        <f>SUM(N1248:N1251)</f>
        <v>36.926787462400007</v>
      </c>
      <c r="P1248" s="36" t="str">
        <f t="shared" si="114"/>
        <v/>
      </c>
      <c r="Q1248" s="216">
        <f t="shared" si="115"/>
        <v>0.14400000000000002</v>
      </c>
      <c r="R1248" s="216">
        <f t="shared" si="116"/>
        <v>0.14400000000000002</v>
      </c>
      <c r="S1248" s="217">
        <f t="shared" si="117"/>
        <v>0.14400000000000013</v>
      </c>
    </row>
    <row r="1249" spans="1:19" ht="15.75" hidden="1" thickBot="1" x14ac:dyDescent="0.3">
      <c r="A1249" s="262"/>
      <c r="B1249" s="260"/>
      <c r="C1249" s="35" t="s">
        <v>8171</v>
      </c>
      <c r="D1249" s="35" t="s">
        <v>213</v>
      </c>
      <c r="E1249" s="36">
        <v>4.8000000000000001E-2</v>
      </c>
      <c r="F1249" s="33">
        <v>4.0374999999999996</v>
      </c>
      <c r="G1249" s="33">
        <f t="shared" si="118"/>
        <v>0.1938</v>
      </c>
      <c r="H1249" s="34"/>
      <c r="I1249" s="30"/>
      <c r="J1249" s="152">
        <v>0</v>
      </c>
      <c r="L1249" s="215">
        <v>4.8000000000000001E-2</v>
      </c>
      <c r="M1249" s="33">
        <v>3.4560999999999997</v>
      </c>
      <c r="N1249" s="33">
        <f t="shared" si="119"/>
        <v>0.16589279999999998</v>
      </c>
      <c r="O1249" s="34"/>
      <c r="P1249" s="36" t="str">
        <f t="shared" si="114"/>
        <v/>
      </c>
      <c r="Q1249" s="216">
        <f t="shared" si="115"/>
        <v>0.14400000000000002</v>
      </c>
      <c r="R1249" s="216">
        <f t="shared" si="116"/>
        <v>0.14400000000000013</v>
      </c>
      <c r="S1249" s="217" t="str">
        <f t="shared" si="117"/>
        <v/>
      </c>
    </row>
    <row r="1250" spans="1:19" ht="26.25" hidden="1" thickBot="1" x14ac:dyDescent="0.3">
      <c r="A1250" s="262"/>
      <c r="B1250" s="260"/>
      <c r="C1250" s="35" t="s">
        <v>825</v>
      </c>
      <c r="D1250" s="35" t="s">
        <v>583</v>
      </c>
      <c r="E1250" s="36">
        <v>0.17399999999999999</v>
      </c>
      <c r="F1250" s="30">
        <v>26.799499999999998</v>
      </c>
      <c r="G1250" s="33">
        <f t="shared" si="118"/>
        <v>4.6631129999999992</v>
      </c>
      <c r="H1250" s="34"/>
      <c r="I1250" s="30"/>
      <c r="J1250" s="152">
        <v>0</v>
      </c>
      <c r="L1250" s="215">
        <v>0.17399999999999999</v>
      </c>
      <c r="M1250" s="30">
        <v>22.940372</v>
      </c>
      <c r="N1250" s="33">
        <f t="shared" si="119"/>
        <v>3.9916247279999997</v>
      </c>
      <c r="O1250" s="34"/>
      <c r="P1250" s="36" t="str">
        <f t="shared" si="114"/>
        <v/>
      </c>
      <c r="Q1250" s="216">
        <f t="shared" si="115"/>
        <v>0.14399999999999991</v>
      </c>
      <c r="R1250" s="216">
        <f t="shared" si="116"/>
        <v>0.14399999999999991</v>
      </c>
      <c r="S1250" s="217" t="str">
        <f t="shared" si="117"/>
        <v/>
      </c>
    </row>
    <row r="1251" spans="1:19" ht="15.75" hidden="1" thickBot="1" x14ac:dyDescent="0.3">
      <c r="A1251" s="262"/>
      <c r="B1251" s="260"/>
      <c r="C1251" s="35" t="s">
        <v>584</v>
      </c>
      <c r="D1251" s="35" t="s">
        <v>583</v>
      </c>
      <c r="E1251" s="36">
        <v>5.4800000000000001E-2</v>
      </c>
      <c r="F1251" s="30">
        <v>20.225499999999997</v>
      </c>
      <c r="G1251" s="33">
        <f t="shared" si="118"/>
        <v>1.1083573999999998</v>
      </c>
      <c r="H1251" s="34"/>
      <c r="I1251" s="30"/>
      <c r="J1251" s="152">
        <v>0</v>
      </c>
      <c r="L1251" s="215">
        <v>5.4800000000000001E-2</v>
      </c>
      <c r="M1251" s="30">
        <v>17.313027999999996</v>
      </c>
      <c r="N1251" s="33">
        <f t="shared" si="119"/>
        <v>0.94875393439999978</v>
      </c>
      <c r="O1251" s="34"/>
      <c r="P1251" s="36" t="str">
        <f t="shared" si="114"/>
        <v/>
      </c>
      <c r="Q1251" s="216">
        <f t="shared" si="115"/>
        <v>0.14400000000000013</v>
      </c>
      <c r="R1251" s="216">
        <f t="shared" si="116"/>
        <v>0.14400000000000002</v>
      </c>
      <c r="S1251" s="217" t="str">
        <f t="shared" si="117"/>
        <v/>
      </c>
    </row>
    <row r="1252" spans="1:19" ht="15.75" hidden="1" thickBot="1" x14ac:dyDescent="0.3">
      <c r="A1252" s="263"/>
      <c r="B1252" s="261"/>
      <c r="C1252" s="35"/>
      <c r="D1252" s="35"/>
      <c r="E1252" s="36"/>
      <c r="F1252" s="30" t="s">
        <v>416</v>
      </c>
      <c r="G1252" s="30" t="str">
        <f t="shared" si="118"/>
        <v/>
      </c>
      <c r="H1252" s="34"/>
      <c r="I1252" s="30"/>
      <c r="J1252" s="152">
        <v>0</v>
      </c>
      <c r="L1252" s="215"/>
      <c r="M1252" s="30"/>
      <c r="N1252" s="30" t="str">
        <f t="shared" si="119"/>
        <v/>
      </c>
      <c r="O1252" s="34"/>
      <c r="P1252" s="36" t="str">
        <f t="shared" si="114"/>
        <v/>
      </c>
      <c r="Q1252" s="216" t="str">
        <f t="shared" si="115"/>
        <v/>
      </c>
      <c r="R1252" s="216" t="str">
        <f t="shared" si="116"/>
        <v/>
      </c>
      <c r="S1252" s="217" t="str">
        <f t="shared" si="117"/>
        <v/>
      </c>
    </row>
    <row r="1253" spans="1:19" ht="15.75" hidden="1" thickBot="1" x14ac:dyDescent="0.3">
      <c r="A1253" s="256" t="s">
        <v>302</v>
      </c>
      <c r="B1253" s="259" t="str">
        <f>INDEX(Orçamentária!A:B,MATCH(Composições!A1253,Orçamentária!A:A,0),2)</f>
        <v>Válvula de escoamento para tanque</v>
      </c>
      <c r="C1253" s="40"/>
      <c r="D1253" s="25" t="s">
        <v>16</v>
      </c>
      <c r="E1253" s="26"/>
      <c r="F1253" s="41" t="s">
        <v>416</v>
      </c>
      <c r="G1253" s="27" t="str">
        <f t="shared" si="118"/>
        <v/>
      </c>
      <c r="H1253" s="28"/>
      <c r="I1253" s="29"/>
      <c r="J1253" s="152">
        <v>0</v>
      </c>
      <c r="L1253" s="218"/>
      <c r="M1253" s="41"/>
      <c r="N1253" s="27" t="str">
        <f t="shared" si="119"/>
        <v/>
      </c>
      <c r="O1253" s="28"/>
      <c r="P1253" s="36" t="str">
        <f t="shared" si="114"/>
        <v/>
      </c>
      <c r="Q1253" s="216" t="str">
        <f t="shared" si="115"/>
        <v/>
      </c>
      <c r="R1253" s="216" t="str">
        <f t="shared" si="116"/>
        <v/>
      </c>
      <c r="S1253" s="217" t="str">
        <f t="shared" si="117"/>
        <v/>
      </c>
    </row>
    <row r="1254" spans="1:19" ht="15.75" hidden="1" thickBot="1" x14ac:dyDescent="0.3">
      <c r="A1254" s="262"/>
      <c r="B1254" s="260"/>
      <c r="C1254" s="31"/>
      <c r="D1254" s="31"/>
      <c r="E1254" s="32"/>
      <c r="F1254" s="42" t="s">
        <v>416</v>
      </c>
      <c r="G1254" s="30" t="str">
        <f t="shared" si="118"/>
        <v/>
      </c>
      <c r="H1254" s="34"/>
      <c r="I1254" s="30"/>
      <c r="J1254" s="152">
        <v>0</v>
      </c>
      <c r="L1254" s="219"/>
      <c r="M1254" s="42"/>
      <c r="N1254" s="30" t="str">
        <f t="shared" si="119"/>
        <v/>
      </c>
      <c r="O1254" s="34"/>
      <c r="P1254" s="36" t="str">
        <f t="shared" si="114"/>
        <v/>
      </c>
      <c r="Q1254" s="216" t="str">
        <f t="shared" si="115"/>
        <v/>
      </c>
      <c r="R1254" s="216" t="str">
        <f t="shared" si="116"/>
        <v/>
      </c>
      <c r="S1254" s="217" t="str">
        <f t="shared" si="117"/>
        <v/>
      </c>
    </row>
    <row r="1255" spans="1:19" ht="15.75" hidden="1" thickBot="1" x14ac:dyDescent="0.3">
      <c r="A1255" s="262"/>
      <c r="B1255" s="260"/>
      <c r="C1255" s="35" t="s">
        <v>8171</v>
      </c>
      <c r="D1255" s="35" t="s">
        <v>213</v>
      </c>
      <c r="E1255" s="36">
        <v>3.32E-2</v>
      </c>
      <c r="F1255" s="33">
        <v>4.0374999999999996</v>
      </c>
      <c r="G1255" s="33">
        <f t="shared" si="118"/>
        <v>0.134045</v>
      </c>
      <c r="H1255" s="38">
        <f>SUM(G1255:G1258)</f>
        <v>50.998492800000001</v>
      </c>
      <c r="I1255" s="39"/>
      <c r="J1255" s="152">
        <v>0</v>
      </c>
      <c r="L1255" s="215">
        <v>3.32E-2</v>
      </c>
      <c r="M1255" s="33">
        <v>3.4560999999999997</v>
      </c>
      <c r="N1255" s="33">
        <f t="shared" si="119"/>
        <v>0.11474251999999999</v>
      </c>
      <c r="O1255" s="38">
        <f>SUM(N1255:N1258)</f>
        <v>43.654709836799995</v>
      </c>
      <c r="P1255" s="36" t="str">
        <f t="shared" si="114"/>
        <v/>
      </c>
      <c r="Q1255" s="216">
        <f t="shared" si="115"/>
        <v>0.14400000000000002</v>
      </c>
      <c r="R1255" s="216">
        <f t="shared" si="116"/>
        <v>0.14400000000000013</v>
      </c>
      <c r="S1255" s="217">
        <f t="shared" si="117"/>
        <v>0.14400000000000013</v>
      </c>
    </row>
    <row r="1256" spans="1:19" ht="26.25" hidden="1" thickBot="1" x14ac:dyDescent="0.3">
      <c r="A1256" s="262"/>
      <c r="B1256" s="260"/>
      <c r="C1256" s="35" t="s">
        <v>8491</v>
      </c>
      <c r="D1256" s="35" t="s">
        <v>213</v>
      </c>
      <c r="E1256" s="36">
        <v>1</v>
      </c>
      <c r="F1256" s="33">
        <v>46.777999999999999</v>
      </c>
      <c r="G1256" s="33">
        <f t="shared" si="118"/>
        <v>46.777999999999999</v>
      </c>
      <c r="H1256" s="34"/>
      <c r="I1256" s="30"/>
      <c r="J1256" s="152">
        <v>0</v>
      </c>
      <c r="L1256" s="215">
        <v>1</v>
      </c>
      <c r="M1256" s="33">
        <v>40.041967999999997</v>
      </c>
      <c r="N1256" s="33">
        <f t="shared" si="119"/>
        <v>40.041967999999997</v>
      </c>
      <c r="O1256" s="34"/>
      <c r="P1256" s="36" t="str">
        <f t="shared" si="114"/>
        <v/>
      </c>
      <c r="Q1256" s="216">
        <f t="shared" si="115"/>
        <v>0.14400000000000002</v>
      </c>
      <c r="R1256" s="216">
        <f t="shared" si="116"/>
        <v>0.14400000000000002</v>
      </c>
      <c r="S1256" s="217" t="str">
        <f t="shared" si="117"/>
        <v/>
      </c>
    </row>
    <row r="1257" spans="1:19" ht="26.25" hidden="1" thickBot="1" x14ac:dyDescent="0.3">
      <c r="A1257" s="262"/>
      <c r="B1257" s="260"/>
      <c r="C1257" s="35" t="s">
        <v>825</v>
      </c>
      <c r="D1257" s="35" t="s">
        <v>583</v>
      </c>
      <c r="E1257" s="36">
        <v>0.1232</v>
      </c>
      <c r="F1257" s="30">
        <v>26.799499999999998</v>
      </c>
      <c r="G1257" s="33">
        <f t="shared" si="118"/>
        <v>3.3016983999999998</v>
      </c>
      <c r="H1257" s="34"/>
      <c r="I1257" s="30"/>
      <c r="J1257" s="152">
        <v>0</v>
      </c>
      <c r="L1257" s="215">
        <v>0.1232</v>
      </c>
      <c r="M1257" s="30">
        <v>22.940372</v>
      </c>
      <c r="N1257" s="33">
        <f t="shared" si="119"/>
        <v>2.8262538304000002</v>
      </c>
      <c r="O1257" s="34"/>
      <c r="P1257" s="36" t="str">
        <f t="shared" si="114"/>
        <v/>
      </c>
      <c r="Q1257" s="216">
        <f t="shared" si="115"/>
        <v>0.14399999999999991</v>
      </c>
      <c r="R1257" s="216">
        <f t="shared" si="116"/>
        <v>0.14399999999999991</v>
      </c>
      <c r="S1257" s="217" t="str">
        <f t="shared" si="117"/>
        <v/>
      </c>
    </row>
    <row r="1258" spans="1:19" ht="15.75" hidden="1" thickBot="1" x14ac:dyDescent="0.3">
      <c r="A1258" s="262"/>
      <c r="B1258" s="260"/>
      <c r="C1258" s="35" t="s">
        <v>584</v>
      </c>
      <c r="D1258" s="35" t="s">
        <v>583</v>
      </c>
      <c r="E1258" s="36">
        <v>3.8800000000000001E-2</v>
      </c>
      <c r="F1258" s="30">
        <v>20.225499999999997</v>
      </c>
      <c r="G1258" s="33">
        <f t="shared" si="118"/>
        <v>0.78474939999999993</v>
      </c>
      <c r="H1258" s="34"/>
      <c r="I1258" s="30"/>
      <c r="J1258" s="152">
        <v>0</v>
      </c>
      <c r="L1258" s="215">
        <v>3.8800000000000001E-2</v>
      </c>
      <c r="M1258" s="30">
        <v>17.313027999999996</v>
      </c>
      <c r="N1258" s="33">
        <f t="shared" si="119"/>
        <v>0.67174548639999987</v>
      </c>
      <c r="O1258" s="34"/>
      <c r="P1258" s="36" t="str">
        <f t="shared" si="114"/>
        <v/>
      </c>
      <c r="Q1258" s="216">
        <f t="shared" si="115"/>
        <v>0.14400000000000013</v>
      </c>
      <c r="R1258" s="216">
        <f t="shared" si="116"/>
        <v>0.14400000000000013</v>
      </c>
      <c r="S1258" s="217" t="str">
        <f t="shared" si="117"/>
        <v/>
      </c>
    </row>
    <row r="1259" spans="1:19" ht="15.75" hidden="1" thickBot="1" x14ac:dyDescent="0.3">
      <c r="A1259" s="263"/>
      <c r="B1259" s="261"/>
      <c r="C1259" s="35"/>
      <c r="D1259" s="35"/>
      <c r="E1259" s="36"/>
      <c r="F1259" s="30" t="s">
        <v>416</v>
      </c>
      <c r="G1259" s="30" t="str">
        <f t="shared" si="118"/>
        <v/>
      </c>
      <c r="H1259" s="34"/>
      <c r="I1259" s="30"/>
      <c r="J1259" s="152">
        <v>0</v>
      </c>
      <c r="L1259" s="215"/>
      <c r="M1259" s="30"/>
      <c r="N1259" s="30" t="str">
        <f t="shared" si="119"/>
        <v/>
      </c>
      <c r="O1259" s="34"/>
      <c r="P1259" s="36" t="str">
        <f t="shared" si="114"/>
        <v/>
      </c>
      <c r="Q1259" s="216" t="str">
        <f t="shared" si="115"/>
        <v/>
      </c>
      <c r="R1259" s="216" t="str">
        <f t="shared" si="116"/>
        <v/>
      </c>
      <c r="S1259" s="217" t="str">
        <f t="shared" si="117"/>
        <v/>
      </c>
    </row>
    <row r="1260" spans="1:19" ht="15.75" hidden="1" thickBot="1" x14ac:dyDescent="0.3">
      <c r="A1260" s="256" t="s">
        <v>303</v>
      </c>
      <c r="B1260" s="259" t="str">
        <f>INDEX(Orçamentária!A:B,MATCH(Composições!A1260,Orçamentária!A:A,0),2)</f>
        <v>Válvula descarga para mictório – Linha Administrativa</v>
      </c>
      <c r="C1260" s="40"/>
      <c r="D1260" s="25" t="s">
        <v>16</v>
      </c>
      <c r="E1260" s="26"/>
      <c r="F1260" s="41" t="s">
        <v>416</v>
      </c>
      <c r="G1260" s="27" t="str">
        <f t="shared" si="118"/>
        <v/>
      </c>
      <c r="H1260" s="28"/>
      <c r="I1260" s="29"/>
      <c r="J1260" s="152">
        <v>0</v>
      </c>
      <c r="L1260" s="218"/>
      <c r="M1260" s="41"/>
      <c r="N1260" s="27" t="str">
        <f t="shared" si="119"/>
        <v/>
      </c>
      <c r="O1260" s="28"/>
      <c r="P1260" s="36" t="str">
        <f t="shared" si="114"/>
        <v/>
      </c>
      <c r="Q1260" s="216" t="str">
        <f t="shared" si="115"/>
        <v/>
      </c>
      <c r="R1260" s="216" t="str">
        <f t="shared" si="116"/>
        <v/>
      </c>
      <c r="S1260" s="217" t="str">
        <f t="shared" si="117"/>
        <v/>
      </c>
    </row>
    <row r="1261" spans="1:19" ht="15.75" hidden="1" thickBot="1" x14ac:dyDescent="0.3">
      <c r="A1261" s="262"/>
      <c r="B1261" s="260"/>
      <c r="C1261" s="31"/>
      <c r="D1261" s="31"/>
      <c r="E1261" s="32"/>
      <c r="F1261" s="42" t="s">
        <v>416</v>
      </c>
      <c r="G1261" s="30" t="str">
        <f t="shared" si="118"/>
        <v/>
      </c>
      <c r="H1261" s="34"/>
      <c r="I1261" s="30"/>
      <c r="J1261" s="152">
        <v>0</v>
      </c>
      <c r="L1261" s="219"/>
      <c r="M1261" s="42"/>
      <c r="N1261" s="30" t="str">
        <f t="shared" si="119"/>
        <v/>
      </c>
      <c r="O1261" s="34"/>
      <c r="P1261" s="36" t="str">
        <f t="shared" si="114"/>
        <v/>
      </c>
      <c r="Q1261" s="216" t="str">
        <f t="shared" si="115"/>
        <v/>
      </c>
      <c r="R1261" s="216" t="str">
        <f t="shared" si="116"/>
        <v/>
      </c>
      <c r="S1261" s="217" t="str">
        <f t="shared" si="117"/>
        <v/>
      </c>
    </row>
    <row r="1262" spans="1:19" ht="26.25" hidden="1" thickBot="1" x14ac:dyDescent="0.3">
      <c r="A1262" s="262"/>
      <c r="B1262" s="260"/>
      <c r="C1262" s="35" t="s">
        <v>8490</v>
      </c>
      <c r="D1262" s="35" t="s">
        <v>213</v>
      </c>
      <c r="E1262" s="36">
        <v>1</v>
      </c>
      <c r="F1262" s="33">
        <v>224.98849999999999</v>
      </c>
      <c r="G1262" s="30">
        <f t="shared" si="118"/>
        <v>224.98849999999999</v>
      </c>
      <c r="H1262" s="38">
        <f>SUM(G1262:G1265)</f>
        <v>269.63761175000002</v>
      </c>
      <c r="I1262" s="39"/>
      <c r="J1262" s="152">
        <v>0</v>
      </c>
      <c r="L1262" s="215">
        <v>1</v>
      </c>
      <c r="M1262" s="33">
        <v>192.59015599999998</v>
      </c>
      <c r="N1262" s="30">
        <f t="shared" si="119"/>
        <v>192.59015599999998</v>
      </c>
      <c r="O1262" s="38">
        <f>SUM(N1262:N1265)</f>
        <v>230.80979565799998</v>
      </c>
      <c r="P1262" s="36" t="str">
        <f t="shared" si="114"/>
        <v/>
      </c>
      <c r="Q1262" s="216">
        <f t="shared" si="115"/>
        <v>0.14400000000000002</v>
      </c>
      <c r="R1262" s="216">
        <f t="shared" si="116"/>
        <v>0.14400000000000002</v>
      </c>
      <c r="S1262" s="217">
        <f t="shared" si="117"/>
        <v>0.14400000000000013</v>
      </c>
    </row>
    <row r="1263" spans="1:19" ht="15.75" hidden="1" thickBot="1" x14ac:dyDescent="0.3">
      <c r="A1263" s="262"/>
      <c r="B1263" s="260"/>
      <c r="C1263" s="35" t="s">
        <v>244</v>
      </c>
      <c r="D1263" s="35" t="s">
        <v>213</v>
      </c>
      <c r="E1263" s="36">
        <v>1.9199999999999998E-2</v>
      </c>
      <c r="F1263" s="33">
        <v>14.8865</v>
      </c>
      <c r="G1263" s="30">
        <f t="shared" si="118"/>
        <v>0.28582079999999999</v>
      </c>
      <c r="H1263" s="34"/>
      <c r="I1263" s="30"/>
      <c r="J1263" s="152">
        <v>0</v>
      </c>
      <c r="L1263" s="215">
        <v>1.9199999999999998E-2</v>
      </c>
      <c r="M1263" s="33">
        <v>12.742844</v>
      </c>
      <c r="N1263" s="30">
        <f t="shared" si="119"/>
        <v>0.24466260479999999</v>
      </c>
      <c r="O1263" s="34"/>
      <c r="P1263" s="36" t="str">
        <f t="shared" si="114"/>
        <v/>
      </c>
      <c r="Q1263" s="216">
        <f t="shared" si="115"/>
        <v>0.14400000000000002</v>
      </c>
      <c r="R1263" s="216">
        <f t="shared" si="116"/>
        <v>0.14400000000000002</v>
      </c>
      <c r="S1263" s="217" t="str">
        <f t="shared" si="117"/>
        <v/>
      </c>
    </row>
    <row r="1264" spans="1:19" ht="26.25" hidden="1" thickBot="1" x14ac:dyDescent="0.3">
      <c r="A1264" s="262"/>
      <c r="B1264" s="260"/>
      <c r="C1264" s="35" t="s">
        <v>824</v>
      </c>
      <c r="D1264" s="35" t="s">
        <v>583</v>
      </c>
      <c r="E1264" s="36">
        <v>0.92490000000000006</v>
      </c>
      <c r="F1264" s="30">
        <v>21.166</v>
      </c>
      <c r="G1264" s="30">
        <f t="shared" si="118"/>
        <v>19.576433400000003</v>
      </c>
      <c r="H1264" s="34"/>
      <c r="I1264" s="30"/>
      <c r="J1264" s="152">
        <v>0</v>
      </c>
      <c r="L1264" s="215">
        <v>0.92490000000000006</v>
      </c>
      <c r="M1264" s="30">
        <v>18.118096000000001</v>
      </c>
      <c r="N1264" s="30">
        <f t="shared" si="119"/>
        <v>16.757426990400003</v>
      </c>
      <c r="O1264" s="34"/>
      <c r="P1264" s="36" t="str">
        <f t="shared" si="114"/>
        <v/>
      </c>
      <c r="Q1264" s="216">
        <f t="shared" si="115"/>
        <v>0.14399999999999991</v>
      </c>
      <c r="R1264" s="216">
        <f t="shared" si="116"/>
        <v>0.14400000000000002</v>
      </c>
      <c r="S1264" s="217" t="str">
        <f t="shared" si="117"/>
        <v/>
      </c>
    </row>
    <row r="1265" spans="1:19" ht="26.25" hidden="1" thickBot="1" x14ac:dyDescent="0.3">
      <c r="A1265" s="262"/>
      <c r="B1265" s="260"/>
      <c r="C1265" s="35" t="s">
        <v>825</v>
      </c>
      <c r="D1265" s="35" t="s">
        <v>583</v>
      </c>
      <c r="E1265" s="36">
        <v>0.92490000000000006</v>
      </c>
      <c r="F1265" s="30">
        <v>26.799499999999998</v>
      </c>
      <c r="G1265" s="33">
        <f t="shared" si="118"/>
        <v>24.786857550000001</v>
      </c>
      <c r="H1265" s="34"/>
      <c r="I1265" s="30"/>
      <c r="J1265" s="152">
        <v>0</v>
      </c>
      <c r="L1265" s="215">
        <v>0.92490000000000006</v>
      </c>
      <c r="M1265" s="30">
        <v>22.940372</v>
      </c>
      <c r="N1265" s="33">
        <f t="shared" si="119"/>
        <v>21.217550062800001</v>
      </c>
      <c r="O1265" s="34"/>
      <c r="P1265" s="36" t="str">
        <f t="shared" si="114"/>
        <v/>
      </c>
      <c r="Q1265" s="216">
        <f t="shared" si="115"/>
        <v>0.14399999999999991</v>
      </c>
      <c r="R1265" s="216">
        <f t="shared" si="116"/>
        <v>0.14400000000000002</v>
      </c>
      <c r="S1265" s="217" t="str">
        <f t="shared" si="117"/>
        <v/>
      </c>
    </row>
    <row r="1266" spans="1:19" ht="15.75" hidden="1" thickBot="1" x14ac:dyDescent="0.3">
      <c r="A1266" s="263"/>
      <c r="B1266" s="261"/>
      <c r="C1266" s="35"/>
      <c r="D1266" s="35"/>
      <c r="E1266" s="36"/>
      <c r="F1266" s="30" t="s">
        <v>416</v>
      </c>
      <c r="G1266" s="30" t="str">
        <f t="shared" si="118"/>
        <v/>
      </c>
      <c r="H1266" s="34"/>
      <c r="I1266" s="30"/>
      <c r="J1266" s="152">
        <v>0</v>
      </c>
      <c r="L1266" s="215"/>
      <c r="M1266" s="30"/>
      <c r="N1266" s="30" t="str">
        <f t="shared" si="119"/>
        <v/>
      </c>
      <c r="O1266" s="34"/>
      <c r="P1266" s="36" t="str">
        <f t="shared" si="114"/>
        <v/>
      </c>
      <c r="Q1266" s="216" t="str">
        <f t="shared" si="115"/>
        <v/>
      </c>
      <c r="R1266" s="216" t="str">
        <f t="shared" si="116"/>
        <v/>
      </c>
      <c r="S1266" s="217" t="str">
        <f t="shared" si="117"/>
        <v/>
      </c>
    </row>
    <row r="1267" spans="1:19" ht="15.75" hidden="1" thickBot="1" x14ac:dyDescent="0.3">
      <c r="A1267" s="256" t="s">
        <v>304</v>
      </c>
      <c r="B1267" s="259" t="str">
        <f>INDEX(Orçamentária!A:B,MATCH(Composições!A1267,Orçamentária!A:A,0),2)</f>
        <v>Alarme de emergência para sanitários PNE</v>
      </c>
      <c r="C1267" s="40"/>
      <c r="D1267" s="25" t="s">
        <v>16</v>
      </c>
      <c r="E1267" s="26"/>
      <c r="F1267" s="41" t="s">
        <v>416</v>
      </c>
      <c r="G1267" s="27" t="str">
        <f t="shared" si="118"/>
        <v/>
      </c>
      <c r="H1267" s="28"/>
      <c r="I1267" s="29"/>
      <c r="J1267" s="152">
        <v>0</v>
      </c>
      <c r="L1267" s="218"/>
      <c r="M1267" s="41"/>
      <c r="N1267" s="27" t="str">
        <f t="shared" si="119"/>
        <v/>
      </c>
      <c r="O1267" s="28"/>
      <c r="P1267" s="36" t="str">
        <f t="shared" si="114"/>
        <v/>
      </c>
      <c r="Q1267" s="216" t="str">
        <f t="shared" si="115"/>
        <v/>
      </c>
      <c r="R1267" s="216" t="str">
        <f t="shared" si="116"/>
        <v/>
      </c>
      <c r="S1267" s="217" t="str">
        <f t="shared" si="117"/>
        <v/>
      </c>
    </row>
    <row r="1268" spans="1:19" ht="15.75" hidden="1" thickBot="1" x14ac:dyDescent="0.3">
      <c r="A1268" s="262"/>
      <c r="B1268" s="260"/>
      <c r="C1268" s="31"/>
      <c r="D1268" s="31"/>
      <c r="E1268" s="32"/>
      <c r="F1268" s="42" t="s">
        <v>416</v>
      </c>
      <c r="G1268" s="30" t="str">
        <f t="shared" si="118"/>
        <v/>
      </c>
      <c r="H1268" s="34"/>
      <c r="I1268" s="30"/>
      <c r="J1268" s="152">
        <v>0</v>
      </c>
      <c r="L1268" s="219"/>
      <c r="M1268" s="42"/>
      <c r="N1268" s="30" t="str">
        <f t="shared" si="119"/>
        <v/>
      </c>
      <c r="O1268" s="34"/>
      <c r="P1268" s="36" t="str">
        <f t="shared" si="114"/>
        <v/>
      </c>
      <c r="Q1268" s="216" t="str">
        <f t="shared" si="115"/>
        <v/>
      </c>
      <c r="R1268" s="216" t="str">
        <f t="shared" si="116"/>
        <v/>
      </c>
      <c r="S1268" s="217" t="str">
        <f t="shared" si="117"/>
        <v/>
      </c>
    </row>
    <row r="1269" spans="1:19" ht="15.75" hidden="1" thickBot="1" x14ac:dyDescent="0.3">
      <c r="A1269" s="262"/>
      <c r="B1269" s="260"/>
      <c r="C1269" s="35" t="s">
        <v>1018</v>
      </c>
      <c r="D1269" s="35" t="s">
        <v>583</v>
      </c>
      <c r="E1269" s="36">
        <v>0.28999999999999998</v>
      </c>
      <c r="F1269" s="30">
        <v>27.835000000000001</v>
      </c>
      <c r="G1269" s="30">
        <f t="shared" si="118"/>
        <v>8.0721499999999988</v>
      </c>
      <c r="H1269" s="38">
        <f>SUM(G1269:G1271)</f>
        <v>14.331509999999998</v>
      </c>
      <c r="I1269" s="39"/>
      <c r="J1269" s="152">
        <v>0</v>
      </c>
      <c r="L1269" s="215">
        <v>0.28999999999999998</v>
      </c>
      <c r="M1269" s="30">
        <v>23.82676</v>
      </c>
      <c r="N1269" s="30">
        <f t="shared" si="119"/>
        <v>6.9097603999999997</v>
      </c>
      <c r="O1269" s="38">
        <f>SUM(N1269:N1271)</f>
        <v>12.267772559999999</v>
      </c>
      <c r="P1269" s="36" t="str">
        <f t="shared" si="114"/>
        <v/>
      </c>
      <c r="Q1269" s="216">
        <f t="shared" si="115"/>
        <v>0.14400000000000002</v>
      </c>
      <c r="R1269" s="216">
        <f t="shared" si="116"/>
        <v>0.14399999999999991</v>
      </c>
      <c r="S1269" s="217">
        <f t="shared" si="117"/>
        <v>0.14399999999999991</v>
      </c>
    </row>
    <row r="1270" spans="1:19" ht="15.75" hidden="1" thickBot="1" x14ac:dyDescent="0.3">
      <c r="A1270" s="262"/>
      <c r="B1270" s="260"/>
      <c r="C1270" s="35" t="s">
        <v>1017</v>
      </c>
      <c r="D1270" s="35" t="s">
        <v>583</v>
      </c>
      <c r="E1270" s="36">
        <v>0.28999999999999998</v>
      </c>
      <c r="F1270" s="30">
        <v>21.584</v>
      </c>
      <c r="G1270" s="30">
        <f t="shared" si="118"/>
        <v>6.2593599999999991</v>
      </c>
      <c r="H1270" s="34"/>
      <c r="I1270" s="30"/>
      <c r="J1270" s="152">
        <v>0</v>
      </c>
      <c r="L1270" s="215">
        <v>0.28999999999999998</v>
      </c>
      <c r="M1270" s="30">
        <v>18.475904</v>
      </c>
      <c r="N1270" s="30">
        <f t="shared" si="119"/>
        <v>5.3580121599999995</v>
      </c>
      <c r="O1270" s="34"/>
      <c r="P1270" s="36" t="str">
        <f t="shared" si="114"/>
        <v/>
      </c>
      <c r="Q1270" s="216">
        <f t="shared" si="115"/>
        <v>0.14400000000000002</v>
      </c>
      <c r="R1270" s="216">
        <f t="shared" si="116"/>
        <v>0.14400000000000002</v>
      </c>
      <c r="S1270" s="217" t="str">
        <f t="shared" si="117"/>
        <v/>
      </c>
    </row>
    <row r="1271" spans="1:19" ht="26.25" hidden="1" thickBot="1" x14ac:dyDescent="0.3">
      <c r="A1271" s="262"/>
      <c r="B1271" s="260"/>
      <c r="C1271" s="35" t="s">
        <v>305</v>
      </c>
      <c r="D1271" s="35" t="s">
        <v>107</v>
      </c>
      <c r="E1271" s="36">
        <v>1</v>
      </c>
      <c r="F1271" s="33" t="s">
        <v>416</v>
      </c>
      <c r="G1271" s="30" t="str">
        <f t="shared" si="118"/>
        <v/>
      </c>
      <c r="H1271" s="34"/>
      <c r="I1271" s="30"/>
      <c r="J1271" s="152">
        <v>0</v>
      </c>
      <c r="L1271" s="215">
        <v>1</v>
      </c>
      <c r="M1271" s="33"/>
      <c r="N1271" s="30" t="str">
        <f t="shared" si="119"/>
        <v/>
      </c>
      <c r="O1271" s="34"/>
      <c r="P1271" s="36" t="str">
        <f t="shared" si="114"/>
        <v/>
      </c>
      <c r="Q1271" s="216" t="str">
        <f t="shared" si="115"/>
        <v/>
      </c>
      <c r="R1271" s="216" t="str">
        <f t="shared" si="116"/>
        <v/>
      </c>
      <c r="S1271" s="217" t="str">
        <f t="shared" si="117"/>
        <v/>
      </c>
    </row>
    <row r="1272" spans="1:19" ht="15.75" hidden="1" thickBot="1" x14ac:dyDescent="0.3">
      <c r="A1272" s="263"/>
      <c r="B1272" s="261"/>
      <c r="C1272" s="35"/>
      <c r="D1272" s="35"/>
      <c r="E1272" s="36"/>
      <c r="F1272" s="30" t="s">
        <v>416</v>
      </c>
      <c r="G1272" s="30" t="str">
        <f t="shared" si="118"/>
        <v/>
      </c>
      <c r="H1272" s="34"/>
      <c r="I1272" s="30"/>
      <c r="J1272" s="152">
        <v>0</v>
      </c>
      <c r="L1272" s="215"/>
      <c r="M1272" s="30"/>
      <c r="N1272" s="30" t="str">
        <f t="shared" si="119"/>
        <v/>
      </c>
      <c r="O1272" s="34"/>
      <c r="P1272" s="36" t="str">
        <f t="shared" si="114"/>
        <v/>
      </c>
      <c r="Q1272" s="216" t="str">
        <f t="shared" si="115"/>
        <v/>
      </c>
      <c r="R1272" s="216" t="str">
        <f t="shared" si="116"/>
        <v/>
      </c>
      <c r="S1272" s="217" t="str">
        <f t="shared" si="117"/>
        <v/>
      </c>
    </row>
    <row r="1273" spans="1:19" ht="15.75" hidden="1" thickBot="1" x14ac:dyDescent="0.3">
      <c r="A1273" s="256" t="s">
        <v>306</v>
      </c>
      <c r="B1273" s="259" t="str">
        <f>INDEX(Orçamentária!A:B,MATCH(Composições!A1273,Orçamentária!A:A,0),2)</f>
        <v>Barra de apoio 40 cm – Linha Acessibilidade</v>
      </c>
      <c r="C1273" s="40"/>
      <c r="D1273" s="25" t="s">
        <v>16</v>
      </c>
      <c r="E1273" s="26"/>
      <c r="F1273" s="41" t="s">
        <v>416</v>
      </c>
      <c r="G1273" s="27" t="str">
        <f t="shared" si="118"/>
        <v/>
      </c>
      <c r="H1273" s="28"/>
      <c r="I1273" s="29"/>
      <c r="J1273" s="152">
        <v>0</v>
      </c>
      <c r="L1273" s="218"/>
      <c r="M1273" s="41"/>
      <c r="N1273" s="27" t="str">
        <f t="shared" si="119"/>
        <v/>
      </c>
      <c r="O1273" s="28"/>
      <c r="P1273" s="36" t="str">
        <f t="shared" si="114"/>
        <v/>
      </c>
      <c r="Q1273" s="216" t="str">
        <f t="shared" si="115"/>
        <v/>
      </c>
      <c r="R1273" s="216" t="str">
        <f t="shared" si="116"/>
        <v/>
      </c>
      <c r="S1273" s="217" t="str">
        <f t="shared" si="117"/>
        <v/>
      </c>
    </row>
    <row r="1274" spans="1:19" ht="15.75" hidden="1" thickBot="1" x14ac:dyDescent="0.3">
      <c r="A1274" s="262"/>
      <c r="B1274" s="260"/>
      <c r="C1274" s="31"/>
      <c r="D1274" s="31"/>
      <c r="E1274" s="32"/>
      <c r="F1274" s="42" t="s">
        <v>416</v>
      </c>
      <c r="G1274" s="30" t="str">
        <f t="shared" si="118"/>
        <v/>
      </c>
      <c r="H1274" s="34"/>
      <c r="I1274" s="30"/>
      <c r="J1274" s="152">
        <v>0</v>
      </c>
      <c r="L1274" s="219"/>
      <c r="M1274" s="42"/>
      <c r="N1274" s="30" t="str">
        <f t="shared" si="119"/>
        <v/>
      </c>
      <c r="O1274" s="34"/>
      <c r="P1274" s="36" t="str">
        <f t="shared" si="114"/>
        <v/>
      </c>
      <c r="Q1274" s="216" t="str">
        <f t="shared" si="115"/>
        <v/>
      </c>
      <c r="R1274" s="216" t="str">
        <f t="shared" si="116"/>
        <v/>
      </c>
      <c r="S1274" s="217" t="str">
        <f t="shared" si="117"/>
        <v/>
      </c>
    </row>
    <row r="1275" spans="1:19" ht="26.25" hidden="1" thickBot="1" x14ac:dyDescent="0.3">
      <c r="A1275" s="262"/>
      <c r="B1275" s="260"/>
      <c r="C1275" s="35" t="s">
        <v>307</v>
      </c>
      <c r="D1275" s="46" t="s">
        <v>107</v>
      </c>
      <c r="E1275" s="36">
        <v>1</v>
      </c>
      <c r="F1275" s="33" t="s">
        <v>416</v>
      </c>
      <c r="G1275" s="33" t="str">
        <f t="shared" si="118"/>
        <v/>
      </c>
      <c r="H1275" s="38">
        <f>SUM(G1275:G1278)</f>
        <v>51.262</v>
      </c>
      <c r="I1275" s="39"/>
      <c r="J1275" s="152">
        <v>0</v>
      </c>
      <c r="L1275" s="215">
        <v>1</v>
      </c>
      <c r="M1275" s="33"/>
      <c r="N1275" s="33" t="str">
        <f t="shared" si="119"/>
        <v/>
      </c>
      <c r="O1275" s="38">
        <f>SUM(N1275:N1278)</f>
        <v>43.880271999999991</v>
      </c>
      <c r="P1275" s="36" t="str">
        <f t="shared" si="114"/>
        <v/>
      </c>
      <c r="Q1275" s="216" t="str">
        <f t="shared" si="115"/>
        <v/>
      </c>
      <c r="R1275" s="216" t="str">
        <f t="shared" si="116"/>
        <v/>
      </c>
      <c r="S1275" s="217">
        <f t="shared" si="117"/>
        <v>0.14400000000000024</v>
      </c>
    </row>
    <row r="1276" spans="1:19" ht="39" hidden="1" thickBot="1" x14ac:dyDescent="0.3">
      <c r="A1276" s="262"/>
      <c r="B1276" s="260"/>
      <c r="C1276" s="35" t="s">
        <v>8011</v>
      </c>
      <c r="D1276" s="35" t="s">
        <v>213</v>
      </c>
      <c r="E1276" s="36">
        <v>6</v>
      </c>
      <c r="F1276" s="33">
        <v>0.64600000000000002</v>
      </c>
      <c r="G1276" s="33">
        <f t="shared" si="118"/>
        <v>3.8760000000000003</v>
      </c>
      <c r="H1276" s="34"/>
      <c r="I1276" s="30"/>
      <c r="J1276" s="152">
        <v>0</v>
      </c>
      <c r="L1276" s="215">
        <v>6</v>
      </c>
      <c r="M1276" s="33">
        <v>0.55297600000000002</v>
      </c>
      <c r="N1276" s="33">
        <f t="shared" si="119"/>
        <v>3.3178559999999999</v>
      </c>
      <c r="O1276" s="34"/>
      <c r="P1276" s="36" t="str">
        <f t="shared" si="114"/>
        <v/>
      </c>
      <c r="Q1276" s="216">
        <f t="shared" si="115"/>
        <v>0.14400000000000002</v>
      </c>
      <c r="R1276" s="216">
        <f t="shared" si="116"/>
        <v>0.14400000000000013</v>
      </c>
      <c r="S1276" s="217" t="str">
        <f t="shared" si="117"/>
        <v/>
      </c>
    </row>
    <row r="1277" spans="1:19" ht="15.75" hidden="1" thickBot="1" x14ac:dyDescent="0.3">
      <c r="A1277" s="262"/>
      <c r="B1277" s="260"/>
      <c r="C1277" s="35" t="s">
        <v>591</v>
      </c>
      <c r="D1277" s="35" t="s">
        <v>583</v>
      </c>
      <c r="E1277" s="36">
        <v>1</v>
      </c>
      <c r="F1277" s="30">
        <v>27.160499999999999</v>
      </c>
      <c r="G1277" s="33">
        <f t="shared" si="118"/>
        <v>27.160499999999999</v>
      </c>
      <c r="H1277" s="34"/>
      <c r="I1277" s="30"/>
      <c r="J1277" s="152">
        <v>0</v>
      </c>
      <c r="L1277" s="215">
        <v>1</v>
      </c>
      <c r="M1277" s="30">
        <v>23.249388</v>
      </c>
      <c r="N1277" s="33">
        <f t="shared" si="119"/>
        <v>23.249388</v>
      </c>
      <c r="O1277" s="34"/>
      <c r="P1277" s="36" t="str">
        <f t="shared" si="114"/>
        <v/>
      </c>
      <c r="Q1277" s="216">
        <f t="shared" si="115"/>
        <v>0.14400000000000002</v>
      </c>
      <c r="R1277" s="216">
        <f t="shared" si="116"/>
        <v>0.14400000000000002</v>
      </c>
      <c r="S1277" s="217" t="str">
        <f t="shared" si="117"/>
        <v/>
      </c>
    </row>
    <row r="1278" spans="1:19" ht="15.75" hidden="1" thickBot="1" x14ac:dyDescent="0.3">
      <c r="A1278" s="262"/>
      <c r="B1278" s="260"/>
      <c r="C1278" s="35" t="s">
        <v>584</v>
      </c>
      <c r="D1278" s="35" t="s">
        <v>583</v>
      </c>
      <c r="E1278" s="36">
        <v>1</v>
      </c>
      <c r="F1278" s="30">
        <v>20.225499999999997</v>
      </c>
      <c r="G1278" s="33">
        <f t="shared" si="118"/>
        <v>20.225499999999997</v>
      </c>
      <c r="H1278" s="34"/>
      <c r="I1278" s="30"/>
      <c r="J1278" s="152">
        <v>0</v>
      </c>
      <c r="L1278" s="215">
        <v>1</v>
      </c>
      <c r="M1278" s="30">
        <v>17.313027999999996</v>
      </c>
      <c r="N1278" s="33">
        <f t="shared" si="119"/>
        <v>17.313027999999996</v>
      </c>
      <c r="O1278" s="34"/>
      <c r="P1278" s="36" t="str">
        <f t="shared" si="114"/>
        <v/>
      </c>
      <c r="Q1278" s="216">
        <f t="shared" si="115"/>
        <v>0.14400000000000013</v>
      </c>
      <c r="R1278" s="216">
        <f t="shared" si="116"/>
        <v>0.14400000000000013</v>
      </c>
      <c r="S1278" s="217" t="str">
        <f t="shared" si="117"/>
        <v/>
      </c>
    </row>
    <row r="1279" spans="1:19" ht="15.75" hidden="1" thickBot="1" x14ac:dyDescent="0.3">
      <c r="A1279" s="263"/>
      <c r="B1279" s="261"/>
      <c r="C1279" s="35"/>
      <c r="D1279" s="35"/>
      <c r="E1279" s="36"/>
      <c r="F1279" s="30" t="s">
        <v>416</v>
      </c>
      <c r="G1279" s="30" t="str">
        <f t="shared" si="118"/>
        <v/>
      </c>
      <c r="H1279" s="34"/>
      <c r="I1279" s="30"/>
      <c r="J1279" s="152">
        <v>0</v>
      </c>
      <c r="L1279" s="215"/>
      <c r="M1279" s="30"/>
      <c r="N1279" s="30" t="str">
        <f t="shared" si="119"/>
        <v/>
      </c>
      <c r="O1279" s="34"/>
      <c r="P1279" s="36" t="str">
        <f t="shared" si="114"/>
        <v/>
      </c>
      <c r="Q1279" s="216" t="str">
        <f t="shared" si="115"/>
        <v/>
      </c>
      <c r="R1279" s="216" t="str">
        <f t="shared" si="116"/>
        <v/>
      </c>
      <c r="S1279" s="217" t="str">
        <f t="shared" si="117"/>
        <v/>
      </c>
    </row>
    <row r="1280" spans="1:19" ht="15.75" hidden="1" thickBot="1" x14ac:dyDescent="0.3">
      <c r="A1280" s="256" t="s">
        <v>308</v>
      </c>
      <c r="B1280" s="259" t="str">
        <f>INDEX(Orçamentária!A:B,MATCH(Composições!A1280,Orçamentária!A:A,0),2)</f>
        <v>Barra de apoio 70 cm – Linha Acessibilidade</v>
      </c>
      <c r="C1280" s="40"/>
      <c r="D1280" s="25" t="s">
        <v>16</v>
      </c>
      <c r="E1280" s="26"/>
      <c r="F1280" s="41" t="s">
        <v>416</v>
      </c>
      <c r="G1280" s="27" t="str">
        <f t="shared" si="118"/>
        <v/>
      </c>
      <c r="H1280" s="28"/>
      <c r="I1280" s="29"/>
      <c r="J1280" s="152">
        <v>0</v>
      </c>
      <c r="L1280" s="218"/>
      <c r="M1280" s="41"/>
      <c r="N1280" s="27" t="str">
        <f t="shared" si="119"/>
        <v/>
      </c>
      <c r="O1280" s="28"/>
      <c r="P1280" s="36" t="str">
        <f t="shared" si="114"/>
        <v/>
      </c>
      <c r="Q1280" s="216" t="str">
        <f t="shared" si="115"/>
        <v/>
      </c>
      <c r="R1280" s="216" t="str">
        <f t="shared" si="116"/>
        <v/>
      </c>
      <c r="S1280" s="217" t="str">
        <f t="shared" si="117"/>
        <v/>
      </c>
    </row>
    <row r="1281" spans="1:19" ht="15.75" hidden="1" thickBot="1" x14ac:dyDescent="0.3">
      <c r="A1281" s="262"/>
      <c r="B1281" s="260"/>
      <c r="C1281" s="31"/>
      <c r="D1281" s="31"/>
      <c r="E1281" s="32"/>
      <c r="F1281" s="42" t="s">
        <v>416</v>
      </c>
      <c r="G1281" s="30" t="str">
        <f t="shared" si="118"/>
        <v/>
      </c>
      <c r="H1281" s="34"/>
      <c r="I1281" s="30"/>
      <c r="J1281" s="152">
        <v>0</v>
      </c>
      <c r="L1281" s="219"/>
      <c r="M1281" s="42"/>
      <c r="N1281" s="30" t="str">
        <f t="shared" si="119"/>
        <v/>
      </c>
      <c r="O1281" s="34"/>
      <c r="P1281" s="36" t="str">
        <f t="shared" si="114"/>
        <v/>
      </c>
      <c r="Q1281" s="216" t="str">
        <f t="shared" si="115"/>
        <v/>
      </c>
      <c r="R1281" s="216" t="str">
        <f t="shared" si="116"/>
        <v/>
      </c>
      <c r="S1281" s="217" t="str">
        <f t="shared" si="117"/>
        <v/>
      </c>
    </row>
    <row r="1282" spans="1:19" ht="26.25" hidden="1" thickBot="1" x14ac:dyDescent="0.3">
      <c r="A1282" s="262"/>
      <c r="B1282" s="260"/>
      <c r="C1282" s="35" t="s">
        <v>309</v>
      </c>
      <c r="D1282" s="46" t="s">
        <v>107</v>
      </c>
      <c r="E1282" s="36">
        <v>1</v>
      </c>
      <c r="F1282" s="33" t="s">
        <v>416</v>
      </c>
      <c r="G1282" s="33" t="str">
        <f t="shared" si="118"/>
        <v/>
      </c>
      <c r="H1282" s="38">
        <f>SUM(G1282:G1285)</f>
        <v>51.262</v>
      </c>
      <c r="I1282" s="39"/>
      <c r="J1282" s="152">
        <v>0</v>
      </c>
      <c r="L1282" s="215">
        <v>1</v>
      </c>
      <c r="M1282" s="33"/>
      <c r="N1282" s="33" t="str">
        <f t="shared" si="119"/>
        <v/>
      </c>
      <c r="O1282" s="38">
        <f>SUM(N1282:N1285)</f>
        <v>43.880271999999991</v>
      </c>
      <c r="P1282" s="36" t="str">
        <f t="shared" si="114"/>
        <v/>
      </c>
      <c r="Q1282" s="216" t="str">
        <f t="shared" si="115"/>
        <v/>
      </c>
      <c r="R1282" s="216" t="str">
        <f t="shared" si="116"/>
        <v/>
      </c>
      <c r="S1282" s="217">
        <f t="shared" si="117"/>
        <v>0.14400000000000024</v>
      </c>
    </row>
    <row r="1283" spans="1:19" ht="39" hidden="1" thickBot="1" x14ac:dyDescent="0.3">
      <c r="A1283" s="262"/>
      <c r="B1283" s="260"/>
      <c r="C1283" s="35" t="s">
        <v>8011</v>
      </c>
      <c r="D1283" s="35" t="s">
        <v>213</v>
      </c>
      <c r="E1283" s="36">
        <v>6</v>
      </c>
      <c r="F1283" s="33">
        <v>0.64600000000000002</v>
      </c>
      <c r="G1283" s="33">
        <f t="shared" si="118"/>
        <v>3.8760000000000003</v>
      </c>
      <c r="H1283" s="34"/>
      <c r="I1283" s="30"/>
      <c r="J1283" s="152">
        <v>0</v>
      </c>
      <c r="L1283" s="215">
        <v>6</v>
      </c>
      <c r="M1283" s="33">
        <v>0.55297600000000002</v>
      </c>
      <c r="N1283" s="33">
        <f t="shared" si="119"/>
        <v>3.3178559999999999</v>
      </c>
      <c r="O1283" s="34"/>
      <c r="P1283" s="36" t="str">
        <f t="shared" si="114"/>
        <v/>
      </c>
      <c r="Q1283" s="216">
        <f t="shared" si="115"/>
        <v>0.14400000000000002</v>
      </c>
      <c r="R1283" s="216">
        <f t="shared" si="116"/>
        <v>0.14400000000000013</v>
      </c>
      <c r="S1283" s="217" t="str">
        <f t="shared" si="117"/>
        <v/>
      </c>
    </row>
    <row r="1284" spans="1:19" ht="15.75" hidden="1" thickBot="1" x14ac:dyDescent="0.3">
      <c r="A1284" s="262"/>
      <c r="B1284" s="260"/>
      <c r="C1284" s="35" t="s">
        <v>591</v>
      </c>
      <c r="D1284" s="35" t="s">
        <v>583</v>
      </c>
      <c r="E1284" s="36">
        <v>1</v>
      </c>
      <c r="F1284" s="30">
        <v>27.160499999999999</v>
      </c>
      <c r="G1284" s="33">
        <f t="shared" si="118"/>
        <v>27.160499999999999</v>
      </c>
      <c r="H1284" s="34"/>
      <c r="I1284" s="30"/>
      <c r="J1284" s="152">
        <v>0</v>
      </c>
      <c r="L1284" s="215">
        <v>1</v>
      </c>
      <c r="M1284" s="30">
        <v>23.249388</v>
      </c>
      <c r="N1284" s="33">
        <f t="shared" si="119"/>
        <v>23.249388</v>
      </c>
      <c r="O1284" s="34"/>
      <c r="P1284" s="36" t="str">
        <f t="shared" si="114"/>
        <v/>
      </c>
      <c r="Q1284" s="216">
        <f t="shared" si="115"/>
        <v>0.14400000000000002</v>
      </c>
      <c r="R1284" s="216">
        <f t="shared" si="116"/>
        <v>0.14400000000000002</v>
      </c>
      <c r="S1284" s="217" t="str">
        <f t="shared" si="117"/>
        <v/>
      </c>
    </row>
    <row r="1285" spans="1:19" ht="15.75" hidden="1" thickBot="1" x14ac:dyDescent="0.3">
      <c r="A1285" s="262"/>
      <c r="B1285" s="260"/>
      <c r="C1285" s="35" t="s">
        <v>584</v>
      </c>
      <c r="D1285" s="35" t="s">
        <v>583</v>
      </c>
      <c r="E1285" s="36">
        <v>1</v>
      </c>
      <c r="F1285" s="30">
        <v>20.225499999999997</v>
      </c>
      <c r="G1285" s="33">
        <f t="shared" si="118"/>
        <v>20.225499999999997</v>
      </c>
      <c r="H1285" s="34"/>
      <c r="I1285" s="30"/>
      <c r="J1285" s="152">
        <v>0</v>
      </c>
      <c r="L1285" s="215">
        <v>1</v>
      </c>
      <c r="M1285" s="30">
        <v>17.313027999999996</v>
      </c>
      <c r="N1285" s="33">
        <f t="shared" si="119"/>
        <v>17.313027999999996</v>
      </c>
      <c r="O1285" s="34"/>
      <c r="P1285" s="36" t="str">
        <f t="shared" si="114"/>
        <v/>
      </c>
      <c r="Q1285" s="216">
        <f t="shared" si="115"/>
        <v>0.14400000000000013</v>
      </c>
      <c r="R1285" s="216">
        <f t="shared" si="116"/>
        <v>0.14400000000000013</v>
      </c>
      <c r="S1285" s="217" t="str">
        <f t="shared" si="117"/>
        <v/>
      </c>
    </row>
    <row r="1286" spans="1:19" ht="15.75" hidden="1" thickBot="1" x14ac:dyDescent="0.3">
      <c r="A1286" s="263"/>
      <c r="B1286" s="261"/>
      <c r="C1286" s="35"/>
      <c r="D1286" s="35"/>
      <c r="E1286" s="36"/>
      <c r="F1286" s="30" t="s">
        <v>416</v>
      </c>
      <c r="G1286" s="30" t="str">
        <f t="shared" si="118"/>
        <v/>
      </c>
      <c r="H1286" s="34"/>
      <c r="I1286" s="30"/>
      <c r="J1286" s="152">
        <v>0</v>
      </c>
      <c r="L1286" s="215"/>
      <c r="M1286" s="30"/>
      <c r="N1286" s="30" t="str">
        <f t="shared" si="119"/>
        <v/>
      </c>
      <c r="O1286" s="34"/>
      <c r="P1286" s="36" t="str">
        <f t="shared" si="114"/>
        <v/>
      </c>
      <c r="Q1286" s="216" t="str">
        <f t="shared" si="115"/>
        <v/>
      </c>
      <c r="R1286" s="216" t="str">
        <f t="shared" si="116"/>
        <v/>
      </c>
      <c r="S1286" s="217" t="str">
        <f t="shared" si="117"/>
        <v/>
      </c>
    </row>
    <row r="1287" spans="1:19" ht="15.75" hidden="1" thickBot="1" x14ac:dyDescent="0.3">
      <c r="A1287" s="256" t="s">
        <v>310</v>
      </c>
      <c r="B1287" s="259" t="str">
        <f>INDEX(Orçamentária!A:B,MATCH(Composições!A1287,Orçamentária!A:A,0),2)</f>
        <v>Barra de apoio 80 cm – Linha Acessibilidade</v>
      </c>
      <c r="C1287" s="40"/>
      <c r="D1287" s="25" t="s">
        <v>16</v>
      </c>
      <c r="E1287" s="26"/>
      <c r="F1287" s="41" t="s">
        <v>416</v>
      </c>
      <c r="G1287" s="27" t="str">
        <f t="shared" si="118"/>
        <v/>
      </c>
      <c r="H1287" s="28"/>
      <c r="I1287" s="29"/>
      <c r="J1287" s="152">
        <v>0</v>
      </c>
      <c r="L1287" s="218"/>
      <c r="M1287" s="41"/>
      <c r="N1287" s="27" t="str">
        <f t="shared" si="119"/>
        <v/>
      </c>
      <c r="O1287" s="28"/>
      <c r="P1287" s="36" t="str">
        <f t="shared" si="114"/>
        <v/>
      </c>
      <c r="Q1287" s="216" t="str">
        <f t="shared" si="115"/>
        <v/>
      </c>
      <c r="R1287" s="216" t="str">
        <f t="shared" si="116"/>
        <v/>
      </c>
      <c r="S1287" s="217" t="str">
        <f t="shared" si="117"/>
        <v/>
      </c>
    </row>
    <row r="1288" spans="1:19" ht="15.75" hidden="1" thickBot="1" x14ac:dyDescent="0.3">
      <c r="A1288" s="262"/>
      <c r="B1288" s="260"/>
      <c r="C1288" s="31"/>
      <c r="D1288" s="31"/>
      <c r="E1288" s="32"/>
      <c r="F1288" s="42" t="s">
        <v>416</v>
      </c>
      <c r="G1288" s="30" t="str">
        <f t="shared" si="118"/>
        <v/>
      </c>
      <c r="H1288" s="34"/>
      <c r="I1288" s="30"/>
      <c r="J1288" s="152">
        <v>0</v>
      </c>
      <c r="L1288" s="219"/>
      <c r="M1288" s="42"/>
      <c r="N1288" s="30" t="str">
        <f t="shared" si="119"/>
        <v/>
      </c>
      <c r="O1288" s="34"/>
      <c r="P1288" s="36" t="str">
        <f t="shared" ref="P1288:P1351" si="120">IF(ISBLANK(L1288),"",IF($E1288&lt;&gt;L1288,"SIM",""))</f>
        <v/>
      </c>
      <c r="Q1288" s="216" t="str">
        <f t="shared" ref="Q1288:Q1351" si="121">IF(M1288="","",1-M1288/$F1288)</f>
        <v/>
      </c>
      <c r="R1288" s="216" t="str">
        <f t="shared" ref="R1288:R1351" si="122">IF(N1288="","",1-N1288/$G1288)</f>
        <v/>
      </c>
      <c r="S1288" s="217" t="str">
        <f t="shared" ref="S1288:S1351" si="123">IF(O1288="","",1-O1288/$H1288)</f>
        <v/>
      </c>
    </row>
    <row r="1289" spans="1:19" ht="26.25" hidden="1" thickBot="1" x14ac:dyDescent="0.3">
      <c r="A1289" s="262"/>
      <c r="B1289" s="260"/>
      <c r="C1289" s="35" t="s">
        <v>311</v>
      </c>
      <c r="D1289" s="46" t="s">
        <v>107</v>
      </c>
      <c r="E1289" s="36">
        <v>1</v>
      </c>
      <c r="F1289" s="33" t="s">
        <v>416</v>
      </c>
      <c r="G1289" s="33" t="str">
        <f t="shared" si="118"/>
        <v/>
      </c>
      <c r="H1289" s="38">
        <f>SUM(G1289:G1292)</f>
        <v>51.262</v>
      </c>
      <c r="I1289" s="39"/>
      <c r="J1289" s="152">
        <v>0</v>
      </c>
      <c r="L1289" s="215">
        <v>1</v>
      </c>
      <c r="M1289" s="33"/>
      <c r="N1289" s="33" t="str">
        <f t="shared" si="119"/>
        <v/>
      </c>
      <c r="O1289" s="38">
        <f>SUM(N1289:N1292)</f>
        <v>43.880271999999991</v>
      </c>
      <c r="P1289" s="36" t="str">
        <f t="shared" si="120"/>
        <v/>
      </c>
      <c r="Q1289" s="216" t="str">
        <f t="shared" si="121"/>
        <v/>
      </c>
      <c r="R1289" s="216" t="str">
        <f t="shared" si="122"/>
        <v/>
      </c>
      <c r="S1289" s="217">
        <f t="shared" si="123"/>
        <v>0.14400000000000024</v>
      </c>
    </row>
    <row r="1290" spans="1:19" ht="39" hidden="1" thickBot="1" x14ac:dyDescent="0.3">
      <c r="A1290" s="262"/>
      <c r="B1290" s="260"/>
      <c r="C1290" s="35" t="s">
        <v>8011</v>
      </c>
      <c r="D1290" s="35" t="s">
        <v>213</v>
      </c>
      <c r="E1290" s="36">
        <v>6</v>
      </c>
      <c r="F1290" s="33">
        <v>0.64600000000000002</v>
      </c>
      <c r="G1290" s="33">
        <f t="shared" si="118"/>
        <v>3.8760000000000003</v>
      </c>
      <c r="H1290" s="34"/>
      <c r="I1290" s="30"/>
      <c r="J1290" s="152">
        <v>0</v>
      </c>
      <c r="L1290" s="215">
        <v>6</v>
      </c>
      <c r="M1290" s="33">
        <v>0.55297600000000002</v>
      </c>
      <c r="N1290" s="33">
        <f t="shared" si="119"/>
        <v>3.3178559999999999</v>
      </c>
      <c r="O1290" s="34"/>
      <c r="P1290" s="36" t="str">
        <f t="shared" si="120"/>
        <v/>
      </c>
      <c r="Q1290" s="216">
        <f t="shared" si="121"/>
        <v>0.14400000000000002</v>
      </c>
      <c r="R1290" s="216">
        <f t="shared" si="122"/>
        <v>0.14400000000000013</v>
      </c>
      <c r="S1290" s="217" t="str">
        <f t="shared" si="123"/>
        <v/>
      </c>
    </row>
    <row r="1291" spans="1:19" ht="15.75" hidden="1" thickBot="1" x14ac:dyDescent="0.3">
      <c r="A1291" s="262"/>
      <c r="B1291" s="260"/>
      <c r="C1291" s="35" t="s">
        <v>591</v>
      </c>
      <c r="D1291" s="35" t="s">
        <v>583</v>
      </c>
      <c r="E1291" s="36">
        <v>1</v>
      </c>
      <c r="F1291" s="30">
        <v>27.160499999999999</v>
      </c>
      <c r="G1291" s="33">
        <f t="shared" si="118"/>
        <v>27.160499999999999</v>
      </c>
      <c r="H1291" s="34"/>
      <c r="I1291" s="30"/>
      <c r="J1291" s="152">
        <v>0</v>
      </c>
      <c r="L1291" s="215">
        <v>1</v>
      </c>
      <c r="M1291" s="30">
        <v>23.249388</v>
      </c>
      <c r="N1291" s="33">
        <f t="shared" si="119"/>
        <v>23.249388</v>
      </c>
      <c r="O1291" s="34"/>
      <c r="P1291" s="36" t="str">
        <f t="shared" si="120"/>
        <v/>
      </c>
      <c r="Q1291" s="216">
        <f t="shared" si="121"/>
        <v>0.14400000000000002</v>
      </c>
      <c r="R1291" s="216">
        <f t="shared" si="122"/>
        <v>0.14400000000000002</v>
      </c>
      <c r="S1291" s="217" t="str">
        <f t="shared" si="123"/>
        <v/>
      </c>
    </row>
    <row r="1292" spans="1:19" ht="15.75" hidden="1" thickBot="1" x14ac:dyDescent="0.3">
      <c r="A1292" s="262"/>
      <c r="B1292" s="260"/>
      <c r="C1292" s="35" t="s">
        <v>584</v>
      </c>
      <c r="D1292" s="35" t="s">
        <v>583</v>
      </c>
      <c r="E1292" s="36">
        <v>1</v>
      </c>
      <c r="F1292" s="30">
        <v>20.225499999999997</v>
      </c>
      <c r="G1292" s="33">
        <f t="shared" si="118"/>
        <v>20.225499999999997</v>
      </c>
      <c r="H1292" s="34"/>
      <c r="I1292" s="30"/>
      <c r="J1292" s="152">
        <v>0</v>
      </c>
      <c r="L1292" s="215">
        <v>1</v>
      </c>
      <c r="M1292" s="30">
        <v>17.313027999999996</v>
      </c>
      <c r="N1292" s="33">
        <f t="shared" si="119"/>
        <v>17.313027999999996</v>
      </c>
      <c r="O1292" s="34"/>
      <c r="P1292" s="36" t="str">
        <f t="shared" si="120"/>
        <v/>
      </c>
      <c r="Q1292" s="216">
        <f t="shared" si="121"/>
        <v>0.14400000000000013</v>
      </c>
      <c r="R1292" s="216">
        <f t="shared" si="122"/>
        <v>0.14400000000000013</v>
      </c>
      <c r="S1292" s="217" t="str">
        <f t="shared" si="123"/>
        <v/>
      </c>
    </row>
    <row r="1293" spans="1:19" ht="15.75" hidden="1" thickBot="1" x14ac:dyDescent="0.3">
      <c r="A1293" s="263"/>
      <c r="B1293" s="261"/>
      <c r="C1293" s="35"/>
      <c r="D1293" s="35"/>
      <c r="E1293" s="36"/>
      <c r="F1293" s="30" t="s">
        <v>416</v>
      </c>
      <c r="G1293" s="30" t="str">
        <f t="shared" si="118"/>
        <v/>
      </c>
      <c r="H1293" s="34"/>
      <c r="I1293" s="30"/>
      <c r="J1293" s="152">
        <v>0</v>
      </c>
      <c r="L1293" s="215"/>
      <c r="M1293" s="30"/>
      <c r="N1293" s="30" t="str">
        <f t="shared" si="119"/>
        <v/>
      </c>
      <c r="O1293" s="34"/>
      <c r="P1293" s="36" t="str">
        <f t="shared" si="120"/>
        <v/>
      </c>
      <c r="Q1293" s="216" t="str">
        <f t="shared" si="121"/>
        <v/>
      </c>
      <c r="R1293" s="216" t="str">
        <f t="shared" si="122"/>
        <v/>
      </c>
      <c r="S1293" s="217" t="str">
        <f t="shared" si="123"/>
        <v/>
      </c>
    </row>
    <row r="1294" spans="1:19" ht="15.75" hidden="1" thickBot="1" x14ac:dyDescent="0.3">
      <c r="A1294" s="256" t="s">
        <v>312</v>
      </c>
      <c r="B1294" s="259" t="str">
        <f>INDEX(Orçamentária!A:B,MATCH(Composições!A1294,Orçamentária!A:A,0),2)</f>
        <v>Barra de apoio lateral fixa 30 cm – Linha Acessibilidade</v>
      </c>
      <c r="C1294" s="40"/>
      <c r="D1294" s="25" t="s">
        <v>16</v>
      </c>
      <c r="E1294" s="26"/>
      <c r="F1294" s="41" t="s">
        <v>416</v>
      </c>
      <c r="G1294" s="27" t="str">
        <f t="shared" si="118"/>
        <v/>
      </c>
      <c r="H1294" s="28"/>
      <c r="I1294" s="29"/>
      <c r="J1294" s="152">
        <v>0</v>
      </c>
      <c r="L1294" s="218"/>
      <c r="M1294" s="41"/>
      <c r="N1294" s="27" t="str">
        <f t="shared" si="119"/>
        <v/>
      </c>
      <c r="O1294" s="28"/>
      <c r="P1294" s="36" t="str">
        <f t="shared" si="120"/>
        <v/>
      </c>
      <c r="Q1294" s="216" t="str">
        <f t="shared" si="121"/>
        <v/>
      </c>
      <c r="R1294" s="216" t="str">
        <f t="shared" si="122"/>
        <v/>
      </c>
      <c r="S1294" s="217" t="str">
        <f t="shared" si="123"/>
        <v/>
      </c>
    </row>
    <row r="1295" spans="1:19" ht="15.75" hidden="1" thickBot="1" x14ac:dyDescent="0.3">
      <c r="A1295" s="262"/>
      <c r="B1295" s="260"/>
      <c r="C1295" s="31"/>
      <c r="D1295" s="31"/>
      <c r="E1295" s="32"/>
      <c r="F1295" s="42" t="s">
        <v>416</v>
      </c>
      <c r="G1295" s="30" t="str">
        <f t="shared" si="118"/>
        <v/>
      </c>
      <c r="H1295" s="34"/>
      <c r="I1295" s="30"/>
      <c r="J1295" s="152">
        <v>0</v>
      </c>
      <c r="L1295" s="219"/>
      <c r="M1295" s="42"/>
      <c r="N1295" s="30" t="str">
        <f t="shared" si="119"/>
        <v/>
      </c>
      <c r="O1295" s="34"/>
      <c r="P1295" s="36" t="str">
        <f t="shared" si="120"/>
        <v/>
      </c>
      <c r="Q1295" s="216" t="str">
        <f t="shared" si="121"/>
        <v/>
      </c>
      <c r="R1295" s="216" t="str">
        <f t="shared" si="122"/>
        <v/>
      </c>
      <c r="S1295" s="217" t="str">
        <f t="shared" si="123"/>
        <v/>
      </c>
    </row>
    <row r="1296" spans="1:19" ht="15.75" hidden="1" thickBot="1" x14ac:dyDescent="0.3">
      <c r="A1296" s="262"/>
      <c r="B1296" s="260"/>
      <c r="C1296" s="35" t="s">
        <v>591</v>
      </c>
      <c r="D1296" s="35" t="s">
        <v>583</v>
      </c>
      <c r="E1296" s="36">
        <v>1</v>
      </c>
      <c r="F1296" s="30">
        <v>27.160499999999999</v>
      </c>
      <c r="G1296" s="33">
        <f t="shared" si="118"/>
        <v>27.160499999999999</v>
      </c>
      <c r="H1296" s="38">
        <f>SUM(G1296:G1299)</f>
        <v>51.261999999999993</v>
      </c>
      <c r="I1296" s="39"/>
      <c r="J1296" s="152">
        <v>0</v>
      </c>
      <c r="L1296" s="215">
        <v>1</v>
      </c>
      <c r="M1296" s="30">
        <v>23.249388</v>
      </c>
      <c r="N1296" s="33">
        <f t="shared" si="119"/>
        <v>23.249388</v>
      </c>
      <c r="O1296" s="38">
        <f>SUM(N1296:N1299)</f>
        <v>43.880271999999998</v>
      </c>
      <c r="P1296" s="36" t="str">
        <f t="shared" si="120"/>
        <v/>
      </c>
      <c r="Q1296" s="216">
        <f t="shared" si="121"/>
        <v>0.14400000000000002</v>
      </c>
      <c r="R1296" s="216">
        <f t="shared" si="122"/>
        <v>0.14400000000000002</v>
      </c>
      <c r="S1296" s="217">
        <f t="shared" si="123"/>
        <v>0.14399999999999991</v>
      </c>
    </row>
    <row r="1297" spans="1:19" ht="15.75" hidden="1" thickBot="1" x14ac:dyDescent="0.3">
      <c r="A1297" s="262"/>
      <c r="B1297" s="260"/>
      <c r="C1297" s="35" t="s">
        <v>584</v>
      </c>
      <c r="D1297" s="35" t="s">
        <v>583</v>
      </c>
      <c r="E1297" s="36">
        <v>1</v>
      </c>
      <c r="F1297" s="30">
        <v>20.225499999999997</v>
      </c>
      <c r="G1297" s="33">
        <f t="shared" si="118"/>
        <v>20.225499999999997</v>
      </c>
      <c r="H1297" s="34"/>
      <c r="I1297" s="30"/>
      <c r="J1297" s="152">
        <v>0</v>
      </c>
      <c r="L1297" s="215">
        <v>1</v>
      </c>
      <c r="M1297" s="30">
        <v>17.313027999999996</v>
      </c>
      <c r="N1297" s="33">
        <f t="shared" si="119"/>
        <v>17.313027999999996</v>
      </c>
      <c r="O1297" s="34"/>
      <c r="P1297" s="36" t="str">
        <f t="shared" si="120"/>
        <v/>
      </c>
      <c r="Q1297" s="216">
        <f t="shared" si="121"/>
        <v>0.14400000000000013</v>
      </c>
      <c r="R1297" s="216">
        <f t="shared" si="122"/>
        <v>0.14400000000000013</v>
      </c>
      <c r="S1297" s="217" t="str">
        <f t="shared" si="123"/>
        <v/>
      </c>
    </row>
    <row r="1298" spans="1:19" ht="26.25" hidden="1" thickBot="1" x14ac:dyDescent="0.3">
      <c r="A1298" s="262"/>
      <c r="B1298" s="260"/>
      <c r="C1298" s="35" t="s">
        <v>313</v>
      </c>
      <c r="D1298" s="35" t="s">
        <v>16</v>
      </c>
      <c r="E1298" s="36">
        <v>1</v>
      </c>
      <c r="F1298" s="33" t="s">
        <v>416</v>
      </c>
      <c r="G1298" s="30" t="str">
        <f t="shared" si="118"/>
        <v/>
      </c>
      <c r="H1298" s="34"/>
      <c r="I1298" s="30"/>
      <c r="J1298" s="152">
        <v>0</v>
      </c>
      <c r="L1298" s="215">
        <v>1</v>
      </c>
      <c r="M1298" s="33"/>
      <c r="N1298" s="30" t="str">
        <f t="shared" si="119"/>
        <v/>
      </c>
      <c r="O1298" s="34"/>
      <c r="P1298" s="36" t="str">
        <f t="shared" si="120"/>
        <v/>
      </c>
      <c r="Q1298" s="216" t="str">
        <f t="shared" si="121"/>
        <v/>
      </c>
      <c r="R1298" s="216" t="str">
        <f t="shared" si="122"/>
        <v/>
      </c>
      <c r="S1298" s="217" t="str">
        <f t="shared" si="123"/>
        <v/>
      </c>
    </row>
    <row r="1299" spans="1:19" ht="39" hidden="1" thickBot="1" x14ac:dyDescent="0.3">
      <c r="A1299" s="262"/>
      <c r="B1299" s="260"/>
      <c r="C1299" s="35" t="s">
        <v>8011</v>
      </c>
      <c r="D1299" s="35" t="s">
        <v>213</v>
      </c>
      <c r="E1299" s="36">
        <v>6</v>
      </c>
      <c r="F1299" s="33">
        <v>0.64600000000000002</v>
      </c>
      <c r="G1299" s="33">
        <f t="shared" ref="G1299:G1362" si="124">IF(ISNUMBER(F1299),E1299*F1299,"")</f>
        <v>3.8760000000000003</v>
      </c>
      <c r="H1299" s="34"/>
      <c r="I1299" s="30"/>
      <c r="J1299" s="152">
        <v>0</v>
      </c>
      <c r="L1299" s="215">
        <v>6</v>
      </c>
      <c r="M1299" s="33">
        <v>0.55297600000000002</v>
      </c>
      <c r="N1299" s="33">
        <f t="shared" ref="N1299:N1362" si="125">IF(ISNUMBER(M1299),L1299*M1299,"")</f>
        <v>3.3178559999999999</v>
      </c>
      <c r="O1299" s="34"/>
      <c r="P1299" s="36" t="str">
        <f t="shared" si="120"/>
        <v/>
      </c>
      <c r="Q1299" s="216">
        <f t="shared" si="121"/>
        <v>0.14400000000000002</v>
      </c>
      <c r="R1299" s="216">
        <f t="shared" si="122"/>
        <v>0.14400000000000013</v>
      </c>
      <c r="S1299" s="217" t="str">
        <f t="shared" si="123"/>
        <v/>
      </c>
    </row>
    <row r="1300" spans="1:19" ht="15.75" hidden="1" thickBot="1" x14ac:dyDescent="0.3">
      <c r="A1300" s="263"/>
      <c r="B1300" s="261"/>
      <c r="C1300" s="35"/>
      <c r="D1300" s="35"/>
      <c r="E1300" s="36"/>
      <c r="F1300" s="30" t="s">
        <v>416</v>
      </c>
      <c r="G1300" s="30" t="str">
        <f t="shared" si="124"/>
        <v/>
      </c>
      <c r="H1300" s="34"/>
      <c r="I1300" s="30"/>
      <c r="J1300" s="152">
        <v>0</v>
      </c>
      <c r="L1300" s="215"/>
      <c r="M1300" s="30"/>
      <c r="N1300" s="30" t="str">
        <f t="shared" si="125"/>
        <v/>
      </c>
      <c r="O1300" s="34"/>
      <c r="P1300" s="36" t="str">
        <f t="shared" si="120"/>
        <v/>
      </c>
      <c r="Q1300" s="216" t="str">
        <f t="shared" si="121"/>
        <v/>
      </c>
      <c r="R1300" s="216" t="str">
        <f t="shared" si="122"/>
        <v/>
      </c>
      <c r="S1300" s="217" t="str">
        <f t="shared" si="123"/>
        <v/>
      </c>
    </row>
    <row r="1301" spans="1:19" ht="15.75" hidden="1" thickBot="1" x14ac:dyDescent="0.3">
      <c r="A1301" s="256" t="s">
        <v>314</v>
      </c>
      <c r="B1301" s="259" t="str">
        <f>INDEX(Orçamentária!A:B,MATCH(Composições!A1301,Orçamentária!A:A,0),2)</f>
        <v>Lavatório suspenso – Linha Acessibilidade</v>
      </c>
      <c r="C1301" s="40"/>
      <c r="D1301" s="25" t="s">
        <v>16</v>
      </c>
      <c r="E1301" s="26"/>
      <c r="F1301" s="41" t="s">
        <v>416</v>
      </c>
      <c r="G1301" s="27" t="str">
        <f t="shared" si="124"/>
        <v/>
      </c>
      <c r="H1301" s="28"/>
      <c r="I1301" s="29"/>
      <c r="J1301" s="152">
        <v>0</v>
      </c>
      <c r="L1301" s="218"/>
      <c r="M1301" s="41"/>
      <c r="N1301" s="27" t="str">
        <f t="shared" si="125"/>
        <v/>
      </c>
      <c r="O1301" s="28"/>
      <c r="P1301" s="36" t="str">
        <f t="shared" si="120"/>
        <v/>
      </c>
      <c r="Q1301" s="216" t="str">
        <f t="shared" si="121"/>
        <v/>
      </c>
      <c r="R1301" s="216" t="str">
        <f t="shared" si="122"/>
        <v/>
      </c>
      <c r="S1301" s="217" t="str">
        <f t="shared" si="123"/>
        <v/>
      </c>
    </row>
    <row r="1302" spans="1:19" ht="15.75" hidden="1" thickBot="1" x14ac:dyDescent="0.3">
      <c r="A1302" s="262"/>
      <c r="B1302" s="260"/>
      <c r="C1302" s="31"/>
      <c r="D1302" s="31"/>
      <c r="E1302" s="32"/>
      <c r="F1302" s="42" t="s">
        <v>416</v>
      </c>
      <c r="G1302" s="30" t="str">
        <f t="shared" si="124"/>
        <v/>
      </c>
      <c r="H1302" s="34"/>
      <c r="I1302" s="30"/>
      <c r="J1302" s="152">
        <v>0</v>
      </c>
      <c r="L1302" s="219"/>
      <c r="M1302" s="42"/>
      <c r="N1302" s="30" t="str">
        <f t="shared" si="125"/>
        <v/>
      </c>
      <c r="O1302" s="34"/>
      <c r="P1302" s="36" t="str">
        <f t="shared" si="120"/>
        <v/>
      </c>
      <c r="Q1302" s="216" t="str">
        <f t="shared" si="121"/>
        <v/>
      </c>
      <c r="R1302" s="216" t="str">
        <f t="shared" si="122"/>
        <v/>
      </c>
      <c r="S1302" s="217" t="str">
        <f t="shared" si="123"/>
        <v/>
      </c>
    </row>
    <row r="1303" spans="1:19" ht="26.25" hidden="1" thickBot="1" x14ac:dyDescent="0.3">
      <c r="A1303" s="262"/>
      <c r="B1303" s="260"/>
      <c r="C1303" s="35" t="s">
        <v>315</v>
      </c>
      <c r="D1303" s="46" t="s">
        <v>107</v>
      </c>
      <c r="E1303" s="36">
        <v>1</v>
      </c>
      <c r="F1303" s="33" t="s">
        <v>416</v>
      </c>
      <c r="G1303" s="33" t="str">
        <f t="shared" si="124"/>
        <v/>
      </c>
      <c r="H1303" s="38">
        <f>SUM(G1303:G1307)</f>
        <v>50.201165399999994</v>
      </c>
      <c r="I1303" s="39"/>
      <c r="J1303" s="152">
        <v>0</v>
      </c>
      <c r="L1303" s="215">
        <v>1</v>
      </c>
      <c r="M1303" s="33"/>
      <c r="N1303" s="33" t="str">
        <f t="shared" si="125"/>
        <v/>
      </c>
      <c r="O1303" s="38">
        <f>SUM(N1303:N1307)</f>
        <v>42.972197582399993</v>
      </c>
      <c r="P1303" s="36" t="str">
        <f t="shared" si="120"/>
        <v/>
      </c>
      <c r="Q1303" s="216" t="str">
        <f t="shared" si="121"/>
        <v/>
      </c>
      <c r="R1303" s="216" t="str">
        <f t="shared" si="122"/>
        <v/>
      </c>
      <c r="S1303" s="217">
        <f t="shared" si="123"/>
        <v>0.14400000000000002</v>
      </c>
    </row>
    <row r="1304" spans="1:19" ht="39" hidden="1" thickBot="1" x14ac:dyDescent="0.3">
      <c r="A1304" s="262"/>
      <c r="B1304" s="260"/>
      <c r="C1304" s="35" t="s">
        <v>8309</v>
      </c>
      <c r="D1304" s="35" t="s">
        <v>213</v>
      </c>
      <c r="E1304" s="36">
        <v>2</v>
      </c>
      <c r="F1304" s="33">
        <v>16.900499999999997</v>
      </c>
      <c r="G1304" s="33">
        <f t="shared" si="124"/>
        <v>33.800999999999995</v>
      </c>
      <c r="H1304" s="34"/>
      <c r="I1304" s="30"/>
      <c r="J1304" s="152">
        <v>0</v>
      </c>
      <c r="L1304" s="215">
        <v>2</v>
      </c>
      <c r="M1304" s="33">
        <v>14.466827999999998</v>
      </c>
      <c r="N1304" s="33">
        <f t="shared" si="125"/>
        <v>28.933655999999996</v>
      </c>
      <c r="O1304" s="34"/>
      <c r="P1304" s="36" t="str">
        <f t="shared" si="120"/>
        <v/>
      </c>
      <c r="Q1304" s="216">
        <f t="shared" si="121"/>
        <v>0.14400000000000002</v>
      </c>
      <c r="R1304" s="216">
        <f t="shared" si="122"/>
        <v>0.14400000000000002</v>
      </c>
      <c r="S1304" s="217" t="str">
        <f t="shared" si="123"/>
        <v/>
      </c>
    </row>
    <row r="1305" spans="1:19" ht="15.75" hidden="1" thickBot="1" x14ac:dyDescent="0.3">
      <c r="A1305" s="262"/>
      <c r="B1305" s="260"/>
      <c r="C1305" s="35" t="s">
        <v>3061</v>
      </c>
      <c r="D1305" s="35" t="s">
        <v>773</v>
      </c>
      <c r="E1305" s="36">
        <v>3.04E-2</v>
      </c>
      <c r="F1305" s="33">
        <v>72.836500000000001</v>
      </c>
      <c r="G1305" s="33">
        <f t="shared" si="124"/>
        <v>2.2142295999999999</v>
      </c>
      <c r="H1305" s="34"/>
      <c r="I1305" s="30"/>
      <c r="J1305" s="152">
        <v>0</v>
      </c>
      <c r="L1305" s="215">
        <v>3.04E-2</v>
      </c>
      <c r="M1305" s="33">
        <v>62.348044000000002</v>
      </c>
      <c r="N1305" s="33">
        <f t="shared" si="125"/>
        <v>1.8953805376000001</v>
      </c>
      <c r="O1305" s="34"/>
      <c r="P1305" s="36" t="str">
        <f t="shared" si="120"/>
        <v/>
      </c>
      <c r="Q1305" s="216">
        <f t="shared" si="121"/>
        <v>0.14400000000000002</v>
      </c>
      <c r="R1305" s="216">
        <f t="shared" si="122"/>
        <v>0.14399999999999991</v>
      </c>
      <c r="S1305" s="217" t="str">
        <f t="shared" si="123"/>
        <v/>
      </c>
    </row>
    <row r="1306" spans="1:19" ht="26.25" hidden="1" thickBot="1" x14ac:dyDescent="0.3">
      <c r="A1306" s="262"/>
      <c r="B1306" s="260"/>
      <c r="C1306" s="35" t="s">
        <v>825</v>
      </c>
      <c r="D1306" s="35" t="s">
        <v>583</v>
      </c>
      <c r="E1306" s="36">
        <v>0.38700000000000001</v>
      </c>
      <c r="F1306" s="30">
        <v>26.799499999999998</v>
      </c>
      <c r="G1306" s="33">
        <f t="shared" si="124"/>
        <v>10.371406499999999</v>
      </c>
      <c r="H1306" s="34"/>
      <c r="I1306" s="30"/>
      <c r="J1306" s="152">
        <v>0</v>
      </c>
      <c r="L1306" s="215">
        <v>0.38700000000000001</v>
      </c>
      <c r="M1306" s="30">
        <v>22.940372</v>
      </c>
      <c r="N1306" s="33">
        <f t="shared" si="125"/>
        <v>8.8779239640000007</v>
      </c>
      <c r="O1306" s="34"/>
      <c r="P1306" s="36" t="str">
        <f t="shared" si="120"/>
        <v/>
      </c>
      <c r="Q1306" s="216">
        <f t="shared" si="121"/>
        <v>0.14399999999999991</v>
      </c>
      <c r="R1306" s="216">
        <f t="shared" si="122"/>
        <v>0.14399999999999991</v>
      </c>
      <c r="S1306" s="217" t="str">
        <f t="shared" si="123"/>
        <v/>
      </c>
    </row>
    <row r="1307" spans="1:19" ht="15.75" hidden="1" thickBot="1" x14ac:dyDescent="0.3">
      <c r="A1307" s="262"/>
      <c r="B1307" s="260"/>
      <c r="C1307" s="35" t="s">
        <v>584</v>
      </c>
      <c r="D1307" s="35" t="s">
        <v>583</v>
      </c>
      <c r="E1307" s="36">
        <v>0.18859999999999999</v>
      </c>
      <c r="F1307" s="30">
        <v>20.225499999999997</v>
      </c>
      <c r="G1307" s="33">
        <f t="shared" si="124"/>
        <v>3.8145292999999993</v>
      </c>
      <c r="H1307" s="34"/>
      <c r="I1307" s="30"/>
      <c r="J1307" s="152">
        <v>0</v>
      </c>
      <c r="L1307" s="215">
        <v>0.18859999999999999</v>
      </c>
      <c r="M1307" s="30">
        <v>17.313027999999996</v>
      </c>
      <c r="N1307" s="33">
        <f t="shared" si="125"/>
        <v>3.2652370807999991</v>
      </c>
      <c r="O1307" s="34"/>
      <c r="P1307" s="36" t="str">
        <f t="shared" si="120"/>
        <v/>
      </c>
      <c r="Q1307" s="216">
        <f t="shared" si="121"/>
        <v>0.14400000000000013</v>
      </c>
      <c r="R1307" s="216">
        <f t="shared" si="122"/>
        <v>0.14400000000000013</v>
      </c>
      <c r="S1307" s="217" t="str">
        <f t="shared" si="123"/>
        <v/>
      </c>
    </row>
    <row r="1308" spans="1:19" ht="15.75" hidden="1" thickBot="1" x14ac:dyDescent="0.3">
      <c r="A1308" s="263"/>
      <c r="B1308" s="261"/>
      <c r="C1308" s="35"/>
      <c r="D1308" s="35"/>
      <c r="E1308" s="36"/>
      <c r="F1308" s="30" t="s">
        <v>416</v>
      </c>
      <c r="G1308" s="30" t="str">
        <f t="shared" si="124"/>
        <v/>
      </c>
      <c r="H1308" s="34"/>
      <c r="I1308" s="30"/>
      <c r="J1308" s="152">
        <v>0</v>
      </c>
      <c r="L1308" s="215"/>
      <c r="M1308" s="30"/>
      <c r="N1308" s="30" t="str">
        <f t="shared" si="125"/>
        <v/>
      </c>
      <c r="O1308" s="34"/>
      <c r="P1308" s="36" t="str">
        <f t="shared" si="120"/>
        <v/>
      </c>
      <c r="Q1308" s="216" t="str">
        <f t="shared" si="121"/>
        <v/>
      </c>
      <c r="R1308" s="216" t="str">
        <f t="shared" si="122"/>
        <v/>
      </c>
      <c r="S1308" s="217" t="str">
        <f t="shared" si="123"/>
        <v/>
      </c>
    </row>
    <row r="1309" spans="1:19" ht="15.75" hidden="1" thickBot="1" x14ac:dyDescent="0.3">
      <c r="A1309" s="256" t="s">
        <v>316</v>
      </c>
      <c r="B1309" s="259" t="str">
        <f>INDEX(Orçamentária!A:B,MATCH(Composições!A1309,Orçamentária!A:A,0),2)</f>
        <v>Lavatório suspenso com Coluna – Linha Acessibilidade</v>
      </c>
      <c r="C1309" s="40"/>
      <c r="D1309" s="25" t="s">
        <v>16</v>
      </c>
      <c r="E1309" s="26"/>
      <c r="F1309" s="41" t="s">
        <v>416</v>
      </c>
      <c r="G1309" s="27" t="str">
        <f t="shared" si="124"/>
        <v/>
      </c>
      <c r="H1309" s="28"/>
      <c r="I1309" s="29"/>
      <c r="J1309" s="152">
        <v>0</v>
      </c>
      <c r="L1309" s="218"/>
      <c r="M1309" s="41"/>
      <c r="N1309" s="27" t="str">
        <f t="shared" si="125"/>
        <v/>
      </c>
      <c r="O1309" s="28"/>
      <c r="P1309" s="36" t="str">
        <f t="shared" si="120"/>
        <v/>
      </c>
      <c r="Q1309" s="216" t="str">
        <f t="shared" si="121"/>
        <v/>
      </c>
      <c r="R1309" s="216" t="str">
        <f t="shared" si="122"/>
        <v/>
      </c>
      <c r="S1309" s="217" t="str">
        <f t="shared" si="123"/>
        <v/>
      </c>
    </row>
    <row r="1310" spans="1:19" ht="15.75" hidden="1" thickBot="1" x14ac:dyDescent="0.3">
      <c r="A1310" s="262"/>
      <c r="B1310" s="260"/>
      <c r="C1310" s="31"/>
      <c r="D1310" s="31"/>
      <c r="E1310" s="32"/>
      <c r="F1310" s="42" t="s">
        <v>416</v>
      </c>
      <c r="G1310" s="30" t="str">
        <f t="shared" si="124"/>
        <v/>
      </c>
      <c r="H1310" s="34"/>
      <c r="I1310" s="30"/>
      <c r="J1310" s="152">
        <v>0</v>
      </c>
      <c r="L1310" s="219"/>
      <c r="M1310" s="42"/>
      <c r="N1310" s="30" t="str">
        <f t="shared" si="125"/>
        <v/>
      </c>
      <c r="O1310" s="34"/>
      <c r="P1310" s="36" t="str">
        <f t="shared" si="120"/>
        <v/>
      </c>
      <c r="Q1310" s="216" t="str">
        <f t="shared" si="121"/>
        <v/>
      </c>
      <c r="R1310" s="216" t="str">
        <f t="shared" si="122"/>
        <v/>
      </c>
      <c r="S1310" s="217" t="str">
        <f t="shared" si="123"/>
        <v/>
      </c>
    </row>
    <row r="1311" spans="1:19" ht="26.25" hidden="1" thickBot="1" x14ac:dyDescent="0.3">
      <c r="A1311" s="262"/>
      <c r="B1311" s="260"/>
      <c r="C1311" s="35" t="s">
        <v>825</v>
      </c>
      <c r="D1311" s="35" t="s">
        <v>583</v>
      </c>
      <c r="E1311" s="36">
        <v>1.4666999999999999</v>
      </c>
      <c r="F1311" s="30">
        <v>26.799499999999998</v>
      </c>
      <c r="G1311" s="33">
        <f t="shared" si="124"/>
        <v>39.306826649999998</v>
      </c>
      <c r="H1311" s="38">
        <f>SUM(G1311:G1316)</f>
        <v>160.19842589999999</v>
      </c>
      <c r="I1311" s="39"/>
      <c r="J1311" s="152">
        <v>0</v>
      </c>
      <c r="L1311" s="215">
        <v>1.4666999999999999</v>
      </c>
      <c r="M1311" s="30">
        <v>22.940372</v>
      </c>
      <c r="N1311" s="33">
        <f t="shared" si="125"/>
        <v>33.646643612399998</v>
      </c>
      <c r="O1311" s="38">
        <f>SUM(N1311:N1316)</f>
        <v>137.12985257039998</v>
      </c>
      <c r="P1311" s="36" t="str">
        <f t="shared" si="120"/>
        <v/>
      </c>
      <c r="Q1311" s="216">
        <f t="shared" si="121"/>
        <v>0.14399999999999991</v>
      </c>
      <c r="R1311" s="216">
        <f t="shared" si="122"/>
        <v>0.14400000000000002</v>
      </c>
      <c r="S1311" s="217">
        <f t="shared" si="123"/>
        <v>0.14400000000000013</v>
      </c>
    </row>
    <row r="1312" spans="1:19" ht="15.75" hidden="1" thickBot="1" x14ac:dyDescent="0.3">
      <c r="A1312" s="262"/>
      <c r="B1312" s="260"/>
      <c r="C1312" s="35" t="s">
        <v>584</v>
      </c>
      <c r="D1312" s="35" t="s">
        <v>583</v>
      </c>
      <c r="E1312" s="36">
        <v>0.65169999999999995</v>
      </c>
      <c r="F1312" s="30">
        <v>20.225499999999997</v>
      </c>
      <c r="G1312" s="33">
        <f t="shared" si="124"/>
        <v>13.180958349999997</v>
      </c>
      <c r="H1312" s="34"/>
      <c r="I1312" s="30"/>
      <c r="J1312" s="152">
        <v>0</v>
      </c>
      <c r="L1312" s="215">
        <v>0.65169999999999995</v>
      </c>
      <c r="M1312" s="30">
        <v>17.313027999999996</v>
      </c>
      <c r="N1312" s="33">
        <f t="shared" si="125"/>
        <v>11.282900347599996</v>
      </c>
      <c r="O1312" s="34"/>
      <c r="P1312" s="36" t="str">
        <f t="shared" si="120"/>
        <v/>
      </c>
      <c r="Q1312" s="216">
        <f t="shared" si="121"/>
        <v>0.14400000000000013</v>
      </c>
      <c r="R1312" s="216">
        <f t="shared" si="122"/>
        <v>0.14400000000000013</v>
      </c>
      <c r="S1312" s="217" t="str">
        <f t="shared" si="123"/>
        <v/>
      </c>
    </row>
    <row r="1313" spans="1:19" ht="26.25" hidden="1" thickBot="1" x14ac:dyDescent="0.3">
      <c r="A1313" s="262"/>
      <c r="B1313" s="260"/>
      <c r="C1313" s="35" t="s">
        <v>315</v>
      </c>
      <c r="D1313" s="46" t="s">
        <v>107</v>
      </c>
      <c r="E1313" s="36">
        <v>1</v>
      </c>
      <c r="F1313" s="33" t="s">
        <v>416</v>
      </c>
      <c r="G1313" s="33" t="str">
        <f t="shared" si="124"/>
        <v/>
      </c>
      <c r="H1313" s="34"/>
      <c r="I1313" s="30"/>
      <c r="J1313" s="152">
        <v>0</v>
      </c>
      <c r="L1313" s="215">
        <v>1</v>
      </c>
      <c r="M1313" s="33"/>
      <c r="N1313" s="33" t="str">
        <f t="shared" si="125"/>
        <v/>
      </c>
      <c r="O1313" s="34"/>
      <c r="P1313" s="36" t="str">
        <f t="shared" si="120"/>
        <v/>
      </c>
      <c r="Q1313" s="216" t="str">
        <f t="shared" si="121"/>
        <v/>
      </c>
      <c r="R1313" s="216" t="str">
        <f t="shared" si="122"/>
        <v/>
      </c>
      <c r="S1313" s="217" t="str">
        <f t="shared" si="123"/>
        <v/>
      </c>
    </row>
    <row r="1314" spans="1:19" ht="39" hidden="1" thickBot="1" x14ac:dyDescent="0.3">
      <c r="A1314" s="262"/>
      <c r="B1314" s="260"/>
      <c r="C1314" s="35" t="s">
        <v>8309</v>
      </c>
      <c r="D1314" s="35" t="s">
        <v>213</v>
      </c>
      <c r="E1314" s="36">
        <v>6</v>
      </c>
      <c r="F1314" s="33">
        <v>16.900499999999997</v>
      </c>
      <c r="G1314" s="33">
        <f t="shared" si="124"/>
        <v>101.40299999999999</v>
      </c>
      <c r="H1314" s="34"/>
      <c r="I1314" s="30"/>
      <c r="J1314" s="152">
        <v>0</v>
      </c>
      <c r="L1314" s="215">
        <v>6</v>
      </c>
      <c r="M1314" s="33">
        <v>14.466827999999998</v>
      </c>
      <c r="N1314" s="33">
        <f t="shared" si="125"/>
        <v>86.800967999999983</v>
      </c>
      <c r="O1314" s="34"/>
      <c r="P1314" s="36" t="str">
        <f t="shared" si="120"/>
        <v/>
      </c>
      <c r="Q1314" s="216">
        <f t="shared" si="121"/>
        <v>0.14400000000000002</v>
      </c>
      <c r="R1314" s="216">
        <f t="shared" si="122"/>
        <v>0.14400000000000013</v>
      </c>
      <c r="S1314" s="217" t="str">
        <f t="shared" si="123"/>
        <v/>
      </c>
    </row>
    <row r="1315" spans="1:19" ht="15.75" hidden="1" thickBot="1" x14ac:dyDescent="0.3">
      <c r="A1315" s="262"/>
      <c r="B1315" s="260"/>
      <c r="C1315" s="35" t="s">
        <v>3061</v>
      </c>
      <c r="D1315" s="35" t="s">
        <v>773</v>
      </c>
      <c r="E1315" s="36">
        <v>8.6599999999999996E-2</v>
      </c>
      <c r="F1315" s="33">
        <v>72.836500000000001</v>
      </c>
      <c r="G1315" s="33">
        <f t="shared" si="124"/>
        <v>6.3076409</v>
      </c>
      <c r="H1315" s="34"/>
      <c r="I1315" s="30"/>
      <c r="J1315" s="152">
        <v>0</v>
      </c>
      <c r="L1315" s="215">
        <v>8.6599999999999996E-2</v>
      </c>
      <c r="M1315" s="33">
        <v>62.348044000000002</v>
      </c>
      <c r="N1315" s="33">
        <f t="shared" si="125"/>
        <v>5.3993406104000004</v>
      </c>
      <c r="O1315" s="34"/>
      <c r="P1315" s="36" t="str">
        <f t="shared" si="120"/>
        <v/>
      </c>
      <c r="Q1315" s="216">
        <f t="shared" si="121"/>
        <v>0.14400000000000002</v>
      </c>
      <c r="R1315" s="216">
        <f t="shared" si="122"/>
        <v>0.14399999999999991</v>
      </c>
      <c r="S1315" s="217" t="str">
        <f t="shared" si="123"/>
        <v/>
      </c>
    </row>
    <row r="1316" spans="1:19" ht="26.25" hidden="1" thickBot="1" x14ac:dyDescent="0.3">
      <c r="A1316" s="262"/>
      <c r="B1316" s="260"/>
      <c r="C1316" s="35" t="s">
        <v>317</v>
      </c>
      <c r="D1316" s="35" t="s">
        <v>16</v>
      </c>
      <c r="E1316" s="36">
        <v>1</v>
      </c>
      <c r="F1316" s="33" t="s">
        <v>416</v>
      </c>
      <c r="G1316" s="30" t="str">
        <f t="shared" si="124"/>
        <v/>
      </c>
      <c r="H1316" s="34"/>
      <c r="I1316" s="30"/>
      <c r="J1316" s="152">
        <v>0</v>
      </c>
      <c r="L1316" s="215">
        <v>1</v>
      </c>
      <c r="M1316" s="33"/>
      <c r="N1316" s="30" t="str">
        <f t="shared" si="125"/>
        <v/>
      </c>
      <c r="O1316" s="34"/>
      <c r="P1316" s="36" t="str">
        <f t="shared" si="120"/>
        <v/>
      </c>
      <c r="Q1316" s="216" t="str">
        <f t="shared" si="121"/>
        <v/>
      </c>
      <c r="R1316" s="216" t="str">
        <f t="shared" si="122"/>
        <v/>
      </c>
      <c r="S1316" s="217" t="str">
        <f t="shared" si="123"/>
        <v/>
      </c>
    </row>
    <row r="1317" spans="1:19" ht="15.75" hidden="1" thickBot="1" x14ac:dyDescent="0.3">
      <c r="A1317" s="262"/>
      <c r="B1317" s="260"/>
      <c r="C1317" s="35"/>
      <c r="D1317" s="35"/>
      <c r="E1317" s="36"/>
      <c r="F1317" s="33" t="s">
        <v>416</v>
      </c>
      <c r="G1317" s="30" t="str">
        <f t="shared" si="124"/>
        <v/>
      </c>
      <c r="H1317" s="34"/>
      <c r="I1317" s="30"/>
      <c r="J1317" s="152">
        <v>0</v>
      </c>
      <c r="L1317" s="215"/>
      <c r="M1317" s="33"/>
      <c r="N1317" s="30" t="str">
        <f t="shared" si="125"/>
        <v/>
      </c>
      <c r="O1317" s="34"/>
      <c r="P1317" s="36" t="str">
        <f t="shared" si="120"/>
        <v/>
      </c>
      <c r="Q1317" s="216" t="str">
        <f t="shared" si="121"/>
        <v/>
      </c>
      <c r="R1317" s="216" t="str">
        <f t="shared" si="122"/>
        <v/>
      </c>
      <c r="S1317" s="217" t="str">
        <f t="shared" si="123"/>
        <v/>
      </c>
    </row>
    <row r="1318" spans="1:19" ht="15.75" hidden="1" thickBot="1" x14ac:dyDescent="0.3">
      <c r="A1318" s="256" t="s">
        <v>318</v>
      </c>
      <c r="B1318" s="259" t="str">
        <f>INDEX(Orçamentária!A:B,MATCH(Composições!A1318,Orçamentária!A:A,0),2)</f>
        <v>Cabide</v>
      </c>
      <c r="C1318" s="40"/>
      <c r="D1318" s="25" t="s">
        <v>16</v>
      </c>
      <c r="E1318" s="26"/>
      <c r="F1318" s="41" t="s">
        <v>416</v>
      </c>
      <c r="G1318" s="27" t="str">
        <f t="shared" si="124"/>
        <v/>
      </c>
      <c r="H1318" s="28"/>
      <c r="I1318" s="29"/>
      <c r="J1318" s="152">
        <v>0</v>
      </c>
      <c r="L1318" s="218"/>
      <c r="M1318" s="41"/>
      <c r="N1318" s="27" t="str">
        <f t="shared" si="125"/>
        <v/>
      </c>
      <c r="O1318" s="28"/>
      <c r="P1318" s="36" t="str">
        <f t="shared" si="120"/>
        <v/>
      </c>
      <c r="Q1318" s="216" t="str">
        <f t="shared" si="121"/>
        <v/>
      </c>
      <c r="R1318" s="216" t="str">
        <f t="shared" si="122"/>
        <v/>
      </c>
      <c r="S1318" s="217" t="str">
        <f t="shared" si="123"/>
        <v/>
      </c>
    </row>
    <row r="1319" spans="1:19" ht="15.75" hidden="1" thickBot="1" x14ac:dyDescent="0.3">
      <c r="A1319" s="262"/>
      <c r="B1319" s="260"/>
      <c r="C1319" s="31"/>
      <c r="D1319" s="31"/>
      <c r="E1319" s="32"/>
      <c r="F1319" s="42" t="s">
        <v>416</v>
      </c>
      <c r="G1319" s="30" t="str">
        <f t="shared" si="124"/>
        <v/>
      </c>
      <c r="H1319" s="34"/>
      <c r="I1319" s="30"/>
      <c r="J1319" s="152">
        <v>0</v>
      </c>
      <c r="L1319" s="219"/>
      <c r="M1319" s="42"/>
      <c r="N1319" s="30" t="str">
        <f t="shared" si="125"/>
        <v/>
      </c>
      <c r="O1319" s="34"/>
      <c r="P1319" s="36" t="str">
        <f t="shared" si="120"/>
        <v/>
      </c>
      <c r="Q1319" s="216" t="str">
        <f t="shared" si="121"/>
        <v/>
      </c>
      <c r="R1319" s="216" t="str">
        <f t="shared" si="122"/>
        <v/>
      </c>
      <c r="S1319" s="217" t="str">
        <f t="shared" si="123"/>
        <v/>
      </c>
    </row>
    <row r="1320" spans="1:19" ht="15.75" hidden="1" thickBot="1" x14ac:dyDescent="0.3">
      <c r="A1320" s="262"/>
      <c r="B1320" s="260"/>
      <c r="C1320" s="35" t="s">
        <v>319</v>
      </c>
      <c r="D1320" s="46" t="s">
        <v>107</v>
      </c>
      <c r="E1320" s="36">
        <v>1</v>
      </c>
      <c r="F1320" s="33" t="s">
        <v>416</v>
      </c>
      <c r="G1320" s="33" t="str">
        <f t="shared" si="124"/>
        <v/>
      </c>
      <c r="H1320" s="38">
        <f>SUM(G1320:G1322)</f>
        <v>10.488461699999998</v>
      </c>
      <c r="I1320" s="39"/>
      <c r="J1320" s="152">
        <v>0</v>
      </c>
      <c r="L1320" s="215">
        <v>1</v>
      </c>
      <c r="M1320" s="33"/>
      <c r="N1320" s="33" t="str">
        <f t="shared" si="125"/>
        <v/>
      </c>
      <c r="O1320" s="38">
        <f>SUM(N1320:N1322)</f>
        <v>8.9781232152000001</v>
      </c>
      <c r="P1320" s="36" t="str">
        <f t="shared" si="120"/>
        <v/>
      </c>
      <c r="Q1320" s="216" t="str">
        <f t="shared" si="121"/>
        <v/>
      </c>
      <c r="R1320" s="216" t="str">
        <f t="shared" si="122"/>
        <v/>
      </c>
      <c r="S1320" s="217">
        <f t="shared" si="123"/>
        <v>0.14399999999999991</v>
      </c>
    </row>
    <row r="1321" spans="1:19" ht="26.25" hidden="1" thickBot="1" x14ac:dyDescent="0.3">
      <c r="A1321" s="262"/>
      <c r="B1321" s="260"/>
      <c r="C1321" s="35" t="s">
        <v>825</v>
      </c>
      <c r="D1321" s="35" t="s">
        <v>583</v>
      </c>
      <c r="E1321" s="36">
        <v>0.31619999999999998</v>
      </c>
      <c r="F1321" s="30">
        <v>26.799499999999998</v>
      </c>
      <c r="G1321" s="33">
        <f t="shared" si="124"/>
        <v>8.4740018999999993</v>
      </c>
      <c r="H1321" s="34"/>
      <c r="I1321" s="30"/>
      <c r="J1321" s="152">
        <v>0</v>
      </c>
      <c r="L1321" s="215">
        <v>0.31619999999999998</v>
      </c>
      <c r="M1321" s="30">
        <v>22.940372</v>
      </c>
      <c r="N1321" s="33">
        <f t="shared" si="125"/>
        <v>7.2537456263999998</v>
      </c>
      <c r="O1321" s="34"/>
      <c r="P1321" s="36" t="str">
        <f t="shared" si="120"/>
        <v/>
      </c>
      <c r="Q1321" s="216">
        <f t="shared" si="121"/>
        <v>0.14399999999999991</v>
      </c>
      <c r="R1321" s="216">
        <f t="shared" si="122"/>
        <v>0.14399999999999991</v>
      </c>
      <c r="S1321" s="217" t="str">
        <f t="shared" si="123"/>
        <v/>
      </c>
    </row>
    <row r="1322" spans="1:19" ht="15.75" hidden="1" thickBot="1" x14ac:dyDescent="0.3">
      <c r="A1322" s="262"/>
      <c r="B1322" s="260"/>
      <c r="C1322" s="35" t="s">
        <v>584</v>
      </c>
      <c r="D1322" s="35" t="s">
        <v>583</v>
      </c>
      <c r="E1322" s="36">
        <v>9.9599999999999994E-2</v>
      </c>
      <c r="F1322" s="30">
        <v>20.225499999999997</v>
      </c>
      <c r="G1322" s="33">
        <f t="shared" si="124"/>
        <v>2.0144597999999996</v>
      </c>
      <c r="H1322" s="34"/>
      <c r="I1322" s="30"/>
      <c r="J1322" s="152">
        <v>0</v>
      </c>
      <c r="L1322" s="215">
        <v>9.9599999999999994E-2</v>
      </c>
      <c r="M1322" s="30">
        <v>17.313027999999996</v>
      </c>
      <c r="N1322" s="33">
        <f t="shared" si="125"/>
        <v>1.7243775887999995</v>
      </c>
      <c r="O1322" s="34"/>
      <c r="P1322" s="36" t="str">
        <f t="shared" si="120"/>
        <v/>
      </c>
      <c r="Q1322" s="216">
        <f t="shared" si="121"/>
        <v>0.14400000000000013</v>
      </c>
      <c r="R1322" s="216">
        <f t="shared" si="122"/>
        <v>0.14400000000000013</v>
      </c>
      <c r="S1322" s="217" t="str">
        <f t="shared" si="123"/>
        <v/>
      </c>
    </row>
    <row r="1323" spans="1:19" ht="15.75" hidden="1" thickBot="1" x14ac:dyDescent="0.3">
      <c r="A1323" s="263"/>
      <c r="B1323" s="261"/>
      <c r="C1323" s="35"/>
      <c r="D1323" s="35"/>
      <c r="E1323" s="36"/>
      <c r="F1323" s="30" t="s">
        <v>416</v>
      </c>
      <c r="G1323" s="30" t="str">
        <f t="shared" si="124"/>
        <v/>
      </c>
      <c r="H1323" s="34"/>
      <c r="I1323" s="30"/>
      <c r="J1323" s="152">
        <v>0</v>
      </c>
      <c r="L1323" s="215"/>
      <c r="M1323" s="30"/>
      <c r="N1323" s="30" t="str">
        <f t="shared" si="125"/>
        <v/>
      </c>
      <c r="O1323" s="34"/>
      <c r="P1323" s="36" t="str">
        <f t="shared" si="120"/>
        <v/>
      </c>
      <c r="Q1323" s="216" t="str">
        <f t="shared" si="121"/>
        <v/>
      </c>
      <c r="R1323" s="216" t="str">
        <f t="shared" si="122"/>
        <v/>
      </c>
      <c r="S1323" s="217" t="str">
        <f t="shared" si="123"/>
        <v/>
      </c>
    </row>
    <row r="1324" spans="1:19" ht="15.75" hidden="1" thickBot="1" x14ac:dyDescent="0.3">
      <c r="A1324" s="256" t="s">
        <v>320</v>
      </c>
      <c r="B1324" s="259" t="str">
        <f>INDEX(Orçamentária!A:B,MATCH(Composições!A1324,Orçamentária!A:A,0),2)</f>
        <v>Papeleira</v>
      </c>
      <c r="C1324" s="40"/>
      <c r="D1324" s="25" t="s">
        <v>16</v>
      </c>
      <c r="E1324" s="26"/>
      <c r="F1324" s="41" t="s">
        <v>416</v>
      </c>
      <c r="G1324" s="27" t="str">
        <f t="shared" si="124"/>
        <v/>
      </c>
      <c r="H1324" s="28"/>
      <c r="I1324" s="29"/>
      <c r="J1324" s="152">
        <v>0</v>
      </c>
      <c r="L1324" s="218"/>
      <c r="M1324" s="41"/>
      <c r="N1324" s="27" t="str">
        <f t="shared" si="125"/>
        <v/>
      </c>
      <c r="O1324" s="28"/>
      <c r="P1324" s="36" t="str">
        <f t="shared" si="120"/>
        <v/>
      </c>
      <c r="Q1324" s="216" t="str">
        <f t="shared" si="121"/>
        <v/>
      </c>
      <c r="R1324" s="216" t="str">
        <f t="shared" si="122"/>
        <v/>
      </c>
      <c r="S1324" s="217" t="str">
        <f t="shared" si="123"/>
        <v/>
      </c>
    </row>
    <row r="1325" spans="1:19" ht="15.75" hidden="1" thickBot="1" x14ac:dyDescent="0.3">
      <c r="A1325" s="262"/>
      <c r="B1325" s="260"/>
      <c r="C1325" s="31"/>
      <c r="D1325" s="31"/>
      <c r="E1325" s="32"/>
      <c r="F1325" s="42" t="s">
        <v>416</v>
      </c>
      <c r="G1325" s="30" t="str">
        <f t="shared" si="124"/>
        <v/>
      </c>
      <c r="H1325" s="34"/>
      <c r="I1325" s="30"/>
      <c r="J1325" s="152">
        <v>0</v>
      </c>
      <c r="L1325" s="219"/>
      <c r="M1325" s="42"/>
      <c r="N1325" s="30" t="str">
        <f t="shared" si="125"/>
        <v/>
      </c>
      <c r="O1325" s="34"/>
      <c r="P1325" s="36" t="str">
        <f t="shared" si="120"/>
        <v/>
      </c>
      <c r="Q1325" s="216" t="str">
        <f t="shared" si="121"/>
        <v/>
      </c>
      <c r="R1325" s="216" t="str">
        <f t="shared" si="122"/>
        <v/>
      </c>
      <c r="S1325" s="217" t="str">
        <f t="shared" si="123"/>
        <v/>
      </c>
    </row>
    <row r="1326" spans="1:19" ht="15.75" hidden="1" thickBot="1" x14ac:dyDescent="0.3">
      <c r="A1326" s="262"/>
      <c r="B1326" s="260"/>
      <c r="C1326" s="35" t="s">
        <v>321</v>
      </c>
      <c r="D1326" s="46" t="s">
        <v>107</v>
      </c>
      <c r="E1326" s="36">
        <v>1</v>
      </c>
      <c r="F1326" s="33" t="s">
        <v>416</v>
      </c>
      <c r="G1326" s="33" t="str">
        <f t="shared" si="124"/>
        <v/>
      </c>
      <c r="H1326" s="38">
        <f>SUM(G1326:G1328)</f>
        <v>10.488461699999998</v>
      </c>
      <c r="I1326" s="39"/>
      <c r="J1326" s="152">
        <v>0</v>
      </c>
      <c r="L1326" s="215">
        <v>1</v>
      </c>
      <c r="M1326" s="33"/>
      <c r="N1326" s="33" t="str">
        <f t="shared" si="125"/>
        <v/>
      </c>
      <c r="O1326" s="38">
        <f>SUM(N1326:N1328)</f>
        <v>8.9781232152000001</v>
      </c>
      <c r="P1326" s="36" t="str">
        <f t="shared" si="120"/>
        <v/>
      </c>
      <c r="Q1326" s="216" t="str">
        <f t="shared" si="121"/>
        <v/>
      </c>
      <c r="R1326" s="216" t="str">
        <f t="shared" si="122"/>
        <v/>
      </c>
      <c r="S1326" s="217">
        <f t="shared" si="123"/>
        <v>0.14399999999999991</v>
      </c>
    </row>
    <row r="1327" spans="1:19" ht="26.25" hidden="1" thickBot="1" x14ac:dyDescent="0.3">
      <c r="A1327" s="262"/>
      <c r="B1327" s="260"/>
      <c r="C1327" s="35" t="s">
        <v>825</v>
      </c>
      <c r="D1327" s="35" t="s">
        <v>583</v>
      </c>
      <c r="E1327" s="36">
        <v>0.31619999999999998</v>
      </c>
      <c r="F1327" s="30">
        <v>26.799499999999998</v>
      </c>
      <c r="G1327" s="33">
        <f t="shared" si="124"/>
        <v>8.4740018999999993</v>
      </c>
      <c r="H1327" s="34"/>
      <c r="I1327" s="30"/>
      <c r="J1327" s="152">
        <v>0</v>
      </c>
      <c r="L1327" s="215">
        <v>0.31619999999999998</v>
      </c>
      <c r="M1327" s="30">
        <v>22.940372</v>
      </c>
      <c r="N1327" s="33">
        <f t="shared" si="125"/>
        <v>7.2537456263999998</v>
      </c>
      <c r="O1327" s="34"/>
      <c r="P1327" s="36" t="str">
        <f t="shared" si="120"/>
        <v/>
      </c>
      <c r="Q1327" s="216">
        <f t="shared" si="121"/>
        <v>0.14399999999999991</v>
      </c>
      <c r="R1327" s="216">
        <f t="shared" si="122"/>
        <v>0.14399999999999991</v>
      </c>
      <c r="S1327" s="217" t="str">
        <f t="shared" si="123"/>
        <v/>
      </c>
    </row>
    <row r="1328" spans="1:19" ht="15.75" hidden="1" thickBot="1" x14ac:dyDescent="0.3">
      <c r="A1328" s="262"/>
      <c r="B1328" s="260"/>
      <c r="C1328" s="35" t="s">
        <v>584</v>
      </c>
      <c r="D1328" s="35" t="s">
        <v>583</v>
      </c>
      <c r="E1328" s="36">
        <v>9.9599999999999994E-2</v>
      </c>
      <c r="F1328" s="30">
        <v>20.225499999999997</v>
      </c>
      <c r="G1328" s="33">
        <f t="shared" si="124"/>
        <v>2.0144597999999996</v>
      </c>
      <c r="H1328" s="34"/>
      <c r="I1328" s="30"/>
      <c r="J1328" s="152">
        <v>0</v>
      </c>
      <c r="L1328" s="215">
        <v>9.9599999999999994E-2</v>
      </c>
      <c r="M1328" s="30">
        <v>17.313027999999996</v>
      </c>
      <c r="N1328" s="33">
        <f t="shared" si="125"/>
        <v>1.7243775887999995</v>
      </c>
      <c r="O1328" s="34"/>
      <c r="P1328" s="36" t="str">
        <f t="shared" si="120"/>
        <v/>
      </c>
      <c r="Q1328" s="216">
        <f t="shared" si="121"/>
        <v>0.14400000000000013</v>
      </c>
      <c r="R1328" s="216">
        <f t="shared" si="122"/>
        <v>0.14400000000000013</v>
      </c>
      <c r="S1328" s="217" t="str">
        <f t="shared" si="123"/>
        <v/>
      </c>
    </row>
    <row r="1329" spans="1:19" ht="15.75" hidden="1" thickBot="1" x14ac:dyDescent="0.3">
      <c r="A1329" s="263"/>
      <c r="B1329" s="261"/>
      <c r="C1329" s="35"/>
      <c r="D1329" s="35"/>
      <c r="E1329" s="36"/>
      <c r="F1329" s="30" t="s">
        <v>416</v>
      </c>
      <c r="G1329" s="30" t="str">
        <f t="shared" si="124"/>
        <v/>
      </c>
      <c r="H1329" s="34"/>
      <c r="I1329" s="30"/>
      <c r="J1329" s="152">
        <v>0</v>
      </c>
      <c r="L1329" s="215"/>
      <c r="M1329" s="30"/>
      <c r="N1329" s="30" t="str">
        <f t="shared" si="125"/>
        <v/>
      </c>
      <c r="O1329" s="34"/>
      <c r="P1329" s="36" t="str">
        <f t="shared" si="120"/>
        <v/>
      </c>
      <c r="Q1329" s="216" t="str">
        <f t="shared" si="121"/>
        <v/>
      </c>
      <c r="R1329" s="216" t="str">
        <f t="shared" si="122"/>
        <v/>
      </c>
      <c r="S1329" s="217" t="str">
        <f t="shared" si="123"/>
        <v/>
      </c>
    </row>
    <row r="1330" spans="1:19" ht="15.75" hidden="1" thickBot="1" x14ac:dyDescent="0.3">
      <c r="A1330" s="256" t="s">
        <v>322</v>
      </c>
      <c r="B1330" s="259" t="str">
        <f>INDEX(Orçamentária!A:B,MATCH(Composições!A1330,Orçamentária!A:A,0),2)</f>
        <v>Porta toalha argola</v>
      </c>
      <c r="C1330" s="40"/>
      <c r="D1330" s="25" t="s">
        <v>16</v>
      </c>
      <c r="E1330" s="26"/>
      <c r="F1330" s="41" t="s">
        <v>416</v>
      </c>
      <c r="G1330" s="27" t="str">
        <f t="shared" si="124"/>
        <v/>
      </c>
      <c r="H1330" s="28"/>
      <c r="I1330" s="29"/>
      <c r="J1330" s="152">
        <v>0</v>
      </c>
      <c r="L1330" s="218"/>
      <c r="M1330" s="41"/>
      <c r="N1330" s="27" t="str">
        <f t="shared" si="125"/>
        <v/>
      </c>
      <c r="O1330" s="28"/>
      <c r="P1330" s="36" t="str">
        <f t="shared" si="120"/>
        <v/>
      </c>
      <c r="Q1330" s="216" t="str">
        <f t="shared" si="121"/>
        <v/>
      </c>
      <c r="R1330" s="216" t="str">
        <f t="shared" si="122"/>
        <v/>
      </c>
      <c r="S1330" s="217" t="str">
        <f t="shared" si="123"/>
        <v/>
      </c>
    </row>
    <row r="1331" spans="1:19" ht="15.75" hidden="1" thickBot="1" x14ac:dyDescent="0.3">
      <c r="A1331" s="262"/>
      <c r="B1331" s="260"/>
      <c r="C1331" s="31"/>
      <c r="D1331" s="31"/>
      <c r="E1331" s="32"/>
      <c r="F1331" s="42" t="s">
        <v>416</v>
      </c>
      <c r="G1331" s="30" t="str">
        <f t="shared" si="124"/>
        <v/>
      </c>
      <c r="H1331" s="34"/>
      <c r="I1331" s="30"/>
      <c r="J1331" s="152">
        <v>0</v>
      </c>
      <c r="L1331" s="219"/>
      <c r="M1331" s="42"/>
      <c r="N1331" s="30" t="str">
        <f t="shared" si="125"/>
        <v/>
      </c>
      <c r="O1331" s="34"/>
      <c r="P1331" s="36" t="str">
        <f t="shared" si="120"/>
        <v/>
      </c>
      <c r="Q1331" s="216" t="str">
        <f t="shared" si="121"/>
        <v/>
      </c>
      <c r="R1331" s="216" t="str">
        <f t="shared" si="122"/>
        <v/>
      </c>
      <c r="S1331" s="217" t="str">
        <f t="shared" si="123"/>
        <v/>
      </c>
    </row>
    <row r="1332" spans="1:19" ht="26.25" hidden="1" thickBot="1" x14ac:dyDescent="0.3">
      <c r="A1332" s="262"/>
      <c r="B1332" s="260"/>
      <c r="C1332" s="35" t="s">
        <v>323</v>
      </c>
      <c r="D1332" s="46" t="s">
        <v>107</v>
      </c>
      <c r="E1332" s="36">
        <v>1</v>
      </c>
      <c r="F1332" s="33" t="s">
        <v>416</v>
      </c>
      <c r="G1332" s="33" t="str">
        <f t="shared" si="124"/>
        <v/>
      </c>
      <c r="H1332" s="38">
        <f>SUM(G1332:G1334)</f>
        <v>10.488461699999998</v>
      </c>
      <c r="I1332" s="39"/>
      <c r="J1332" s="152">
        <v>0</v>
      </c>
      <c r="L1332" s="215">
        <v>1</v>
      </c>
      <c r="M1332" s="33"/>
      <c r="N1332" s="33" t="str">
        <f t="shared" si="125"/>
        <v/>
      </c>
      <c r="O1332" s="38">
        <f>SUM(N1332:N1334)</f>
        <v>8.9781232152000001</v>
      </c>
      <c r="P1332" s="36" t="str">
        <f t="shared" si="120"/>
        <v/>
      </c>
      <c r="Q1332" s="216" t="str">
        <f t="shared" si="121"/>
        <v/>
      </c>
      <c r="R1332" s="216" t="str">
        <f t="shared" si="122"/>
        <v/>
      </c>
      <c r="S1332" s="217">
        <f t="shared" si="123"/>
        <v>0.14399999999999991</v>
      </c>
    </row>
    <row r="1333" spans="1:19" ht="26.25" hidden="1" thickBot="1" x14ac:dyDescent="0.3">
      <c r="A1333" s="262"/>
      <c r="B1333" s="260"/>
      <c r="C1333" s="35" t="s">
        <v>825</v>
      </c>
      <c r="D1333" s="35" t="s">
        <v>583</v>
      </c>
      <c r="E1333" s="36">
        <v>0.31619999999999998</v>
      </c>
      <c r="F1333" s="30">
        <v>26.799499999999998</v>
      </c>
      <c r="G1333" s="33">
        <f t="shared" si="124"/>
        <v>8.4740018999999993</v>
      </c>
      <c r="H1333" s="34"/>
      <c r="I1333" s="30"/>
      <c r="J1333" s="152">
        <v>0</v>
      </c>
      <c r="L1333" s="215">
        <v>0.31619999999999998</v>
      </c>
      <c r="M1333" s="30">
        <v>22.940372</v>
      </c>
      <c r="N1333" s="33">
        <f t="shared" si="125"/>
        <v>7.2537456263999998</v>
      </c>
      <c r="O1333" s="34"/>
      <c r="P1333" s="36" t="str">
        <f t="shared" si="120"/>
        <v/>
      </c>
      <c r="Q1333" s="216">
        <f t="shared" si="121"/>
        <v>0.14399999999999991</v>
      </c>
      <c r="R1333" s="216">
        <f t="shared" si="122"/>
        <v>0.14399999999999991</v>
      </c>
      <c r="S1333" s="217" t="str">
        <f t="shared" si="123"/>
        <v/>
      </c>
    </row>
    <row r="1334" spans="1:19" ht="15.75" hidden="1" thickBot="1" x14ac:dyDescent="0.3">
      <c r="A1334" s="262"/>
      <c r="B1334" s="260"/>
      <c r="C1334" s="35" t="s">
        <v>584</v>
      </c>
      <c r="D1334" s="35" t="s">
        <v>583</v>
      </c>
      <c r="E1334" s="36">
        <v>9.9599999999999994E-2</v>
      </c>
      <c r="F1334" s="30">
        <v>20.225499999999997</v>
      </c>
      <c r="G1334" s="33">
        <f t="shared" si="124"/>
        <v>2.0144597999999996</v>
      </c>
      <c r="H1334" s="34"/>
      <c r="I1334" s="30"/>
      <c r="J1334" s="152">
        <v>0</v>
      </c>
      <c r="L1334" s="215">
        <v>9.9599999999999994E-2</v>
      </c>
      <c r="M1334" s="30">
        <v>17.313027999999996</v>
      </c>
      <c r="N1334" s="33">
        <f t="shared" si="125"/>
        <v>1.7243775887999995</v>
      </c>
      <c r="O1334" s="34"/>
      <c r="P1334" s="36" t="str">
        <f t="shared" si="120"/>
        <v/>
      </c>
      <c r="Q1334" s="216">
        <f t="shared" si="121"/>
        <v>0.14400000000000013</v>
      </c>
      <c r="R1334" s="216">
        <f t="shared" si="122"/>
        <v>0.14400000000000013</v>
      </c>
      <c r="S1334" s="217" t="str">
        <f t="shared" si="123"/>
        <v/>
      </c>
    </row>
    <row r="1335" spans="1:19" ht="15.75" hidden="1" thickBot="1" x14ac:dyDescent="0.3">
      <c r="A1335" s="263"/>
      <c r="B1335" s="261"/>
      <c r="C1335" s="35"/>
      <c r="D1335" s="35"/>
      <c r="E1335" s="36"/>
      <c r="F1335" s="30" t="s">
        <v>416</v>
      </c>
      <c r="G1335" s="30" t="str">
        <f t="shared" si="124"/>
        <v/>
      </c>
      <c r="H1335" s="34"/>
      <c r="I1335" s="30"/>
      <c r="J1335" s="152">
        <v>0</v>
      </c>
      <c r="L1335" s="215"/>
      <c r="M1335" s="30"/>
      <c r="N1335" s="30" t="str">
        <f t="shared" si="125"/>
        <v/>
      </c>
      <c r="O1335" s="34"/>
      <c r="P1335" s="36" t="str">
        <f t="shared" si="120"/>
        <v/>
      </c>
      <c r="Q1335" s="216" t="str">
        <f t="shared" si="121"/>
        <v/>
      </c>
      <c r="R1335" s="216" t="str">
        <f t="shared" si="122"/>
        <v/>
      </c>
      <c r="S1335" s="217" t="str">
        <f t="shared" si="123"/>
        <v/>
      </c>
    </row>
    <row r="1336" spans="1:19" ht="15.75" hidden="1" thickBot="1" x14ac:dyDescent="0.3">
      <c r="A1336" s="256" t="s">
        <v>324</v>
      </c>
      <c r="B1336" s="259" t="str">
        <f>INDEX(Orçamentária!A:B,MATCH(Composições!A1336,Orçamentária!A:A,0),2)</f>
        <v>Porta toalha barra</v>
      </c>
      <c r="C1336" s="40"/>
      <c r="D1336" s="25" t="s">
        <v>16</v>
      </c>
      <c r="E1336" s="26"/>
      <c r="F1336" s="41" t="s">
        <v>416</v>
      </c>
      <c r="G1336" s="27" t="str">
        <f t="shared" si="124"/>
        <v/>
      </c>
      <c r="H1336" s="28"/>
      <c r="I1336" s="29"/>
      <c r="J1336" s="152">
        <v>0</v>
      </c>
      <c r="L1336" s="218"/>
      <c r="M1336" s="41"/>
      <c r="N1336" s="27" t="str">
        <f t="shared" si="125"/>
        <v/>
      </c>
      <c r="O1336" s="28"/>
      <c r="P1336" s="36" t="str">
        <f t="shared" si="120"/>
        <v/>
      </c>
      <c r="Q1336" s="216" t="str">
        <f t="shared" si="121"/>
        <v/>
      </c>
      <c r="R1336" s="216" t="str">
        <f t="shared" si="122"/>
        <v/>
      </c>
      <c r="S1336" s="217" t="str">
        <f t="shared" si="123"/>
        <v/>
      </c>
    </row>
    <row r="1337" spans="1:19" ht="15.75" hidden="1" thickBot="1" x14ac:dyDescent="0.3">
      <c r="A1337" s="262"/>
      <c r="B1337" s="260"/>
      <c r="C1337" s="31"/>
      <c r="D1337" s="31"/>
      <c r="E1337" s="32"/>
      <c r="F1337" s="42" t="s">
        <v>416</v>
      </c>
      <c r="G1337" s="30" t="str">
        <f t="shared" si="124"/>
        <v/>
      </c>
      <c r="H1337" s="34"/>
      <c r="I1337" s="30"/>
      <c r="J1337" s="152">
        <v>0</v>
      </c>
      <c r="L1337" s="219"/>
      <c r="M1337" s="42"/>
      <c r="N1337" s="30" t="str">
        <f t="shared" si="125"/>
        <v/>
      </c>
      <c r="O1337" s="34"/>
      <c r="P1337" s="36" t="str">
        <f t="shared" si="120"/>
        <v/>
      </c>
      <c r="Q1337" s="216" t="str">
        <f t="shared" si="121"/>
        <v/>
      </c>
      <c r="R1337" s="216" t="str">
        <f t="shared" si="122"/>
        <v/>
      </c>
      <c r="S1337" s="217" t="str">
        <f t="shared" si="123"/>
        <v/>
      </c>
    </row>
    <row r="1338" spans="1:19" ht="26.25" hidden="1" thickBot="1" x14ac:dyDescent="0.3">
      <c r="A1338" s="262"/>
      <c r="B1338" s="260"/>
      <c r="C1338" s="35" t="s">
        <v>325</v>
      </c>
      <c r="D1338" s="46" t="s">
        <v>107</v>
      </c>
      <c r="E1338" s="36">
        <v>1</v>
      </c>
      <c r="F1338" s="33" t="s">
        <v>416</v>
      </c>
      <c r="G1338" s="33" t="str">
        <f t="shared" si="124"/>
        <v/>
      </c>
      <c r="H1338" s="38">
        <f>SUM(G1338:G1340)</f>
        <v>20.974243449999996</v>
      </c>
      <c r="I1338" s="39"/>
      <c r="J1338" s="152">
        <v>0</v>
      </c>
      <c r="L1338" s="215">
        <v>1</v>
      </c>
      <c r="M1338" s="33"/>
      <c r="N1338" s="33" t="str">
        <f t="shared" si="125"/>
        <v/>
      </c>
      <c r="O1338" s="38">
        <f>SUM(N1338:N1340)</f>
        <v>17.953952393199998</v>
      </c>
      <c r="P1338" s="36" t="str">
        <f t="shared" si="120"/>
        <v/>
      </c>
      <c r="Q1338" s="216" t="str">
        <f t="shared" si="121"/>
        <v/>
      </c>
      <c r="R1338" s="216" t="str">
        <f t="shared" si="122"/>
        <v/>
      </c>
      <c r="S1338" s="217">
        <f t="shared" si="123"/>
        <v>0.14399999999999991</v>
      </c>
    </row>
    <row r="1339" spans="1:19" ht="26.25" hidden="1" thickBot="1" x14ac:dyDescent="0.3">
      <c r="A1339" s="262"/>
      <c r="B1339" s="260"/>
      <c r="C1339" s="35" t="s">
        <v>825</v>
      </c>
      <c r="D1339" s="35" t="s">
        <v>583</v>
      </c>
      <c r="E1339" s="36">
        <v>0.63229999999999997</v>
      </c>
      <c r="F1339" s="30">
        <v>26.799499999999998</v>
      </c>
      <c r="G1339" s="33">
        <f t="shared" si="124"/>
        <v>16.945323849999998</v>
      </c>
      <c r="H1339" s="34"/>
      <c r="I1339" s="30"/>
      <c r="J1339" s="152">
        <v>0</v>
      </c>
      <c r="L1339" s="215">
        <v>0.63229999999999997</v>
      </c>
      <c r="M1339" s="30">
        <v>22.940372</v>
      </c>
      <c r="N1339" s="33">
        <f t="shared" si="125"/>
        <v>14.505197215599999</v>
      </c>
      <c r="O1339" s="34"/>
      <c r="P1339" s="36" t="str">
        <f t="shared" si="120"/>
        <v/>
      </c>
      <c r="Q1339" s="216">
        <f t="shared" si="121"/>
        <v>0.14399999999999991</v>
      </c>
      <c r="R1339" s="216">
        <f t="shared" si="122"/>
        <v>0.14399999999999991</v>
      </c>
      <c r="S1339" s="217" t="str">
        <f t="shared" si="123"/>
        <v/>
      </c>
    </row>
    <row r="1340" spans="1:19" ht="15.75" hidden="1" thickBot="1" x14ac:dyDescent="0.3">
      <c r="A1340" s="262"/>
      <c r="B1340" s="260"/>
      <c r="C1340" s="35" t="s">
        <v>584</v>
      </c>
      <c r="D1340" s="35" t="s">
        <v>583</v>
      </c>
      <c r="E1340" s="36">
        <v>0.19919999999999999</v>
      </c>
      <c r="F1340" s="30">
        <v>20.225499999999997</v>
      </c>
      <c r="G1340" s="33">
        <f t="shared" si="124"/>
        <v>4.0289195999999992</v>
      </c>
      <c r="H1340" s="34"/>
      <c r="I1340" s="30"/>
      <c r="J1340" s="152">
        <v>0</v>
      </c>
      <c r="L1340" s="215">
        <v>0.19919999999999999</v>
      </c>
      <c r="M1340" s="30">
        <v>17.313027999999996</v>
      </c>
      <c r="N1340" s="33">
        <f t="shared" si="125"/>
        <v>3.4487551775999989</v>
      </c>
      <c r="O1340" s="34"/>
      <c r="P1340" s="36" t="str">
        <f t="shared" si="120"/>
        <v/>
      </c>
      <c r="Q1340" s="216">
        <f t="shared" si="121"/>
        <v>0.14400000000000013</v>
      </c>
      <c r="R1340" s="216">
        <f t="shared" si="122"/>
        <v>0.14400000000000013</v>
      </c>
      <c r="S1340" s="217" t="str">
        <f t="shared" si="123"/>
        <v/>
      </c>
    </row>
    <row r="1341" spans="1:19" ht="15.75" hidden="1" thickBot="1" x14ac:dyDescent="0.3">
      <c r="A1341" s="263"/>
      <c r="B1341" s="261"/>
      <c r="C1341" s="35"/>
      <c r="D1341" s="35"/>
      <c r="E1341" s="36"/>
      <c r="F1341" s="30" t="s">
        <v>416</v>
      </c>
      <c r="G1341" s="30" t="str">
        <f t="shared" si="124"/>
        <v/>
      </c>
      <c r="H1341" s="34"/>
      <c r="I1341" s="30"/>
      <c r="J1341" s="152">
        <v>0</v>
      </c>
      <c r="L1341" s="215"/>
      <c r="M1341" s="30"/>
      <c r="N1341" s="30" t="str">
        <f t="shared" si="125"/>
        <v/>
      </c>
      <c r="O1341" s="34"/>
      <c r="P1341" s="36" t="str">
        <f t="shared" si="120"/>
        <v/>
      </c>
      <c r="Q1341" s="216" t="str">
        <f t="shared" si="121"/>
        <v/>
      </c>
      <c r="R1341" s="216" t="str">
        <f t="shared" si="122"/>
        <v/>
      </c>
      <c r="S1341" s="217" t="str">
        <f t="shared" si="123"/>
        <v/>
      </c>
    </row>
    <row r="1342" spans="1:19" ht="15.75" hidden="1" thickBot="1" x14ac:dyDescent="0.3">
      <c r="A1342" s="256" t="s">
        <v>326</v>
      </c>
      <c r="B1342" s="259" t="str">
        <f>INDEX(Orçamentária!A:B,MATCH(Composições!A1342,Orçamentária!A:A,0),2)</f>
        <v>Caixa 4 x 2" de embutir para alvenaria</v>
      </c>
      <c r="C1342" s="40"/>
      <c r="D1342" s="25" t="s">
        <v>16</v>
      </c>
      <c r="E1342" s="26"/>
      <c r="F1342" s="41" t="s">
        <v>416</v>
      </c>
      <c r="G1342" s="27" t="str">
        <f t="shared" si="124"/>
        <v/>
      </c>
      <c r="H1342" s="28"/>
      <c r="I1342" s="29"/>
      <c r="J1342" s="152">
        <v>0</v>
      </c>
      <c r="L1342" s="218"/>
      <c r="M1342" s="41"/>
      <c r="N1342" s="27" t="str">
        <f t="shared" si="125"/>
        <v/>
      </c>
      <c r="O1342" s="28"/>
      <c r="P1342" s="36" t="str">
        <f t="shared" si="120"/>
        <v/>
      </c>
      <c r="Q1342" s="216" t="str">
        <f t="shared" si="121"/>
        <v/>
      </c>
      <c r="R1342" s="216" t="str">
        <f t="shared" si="122"/>
        <v/>
      </c>
      <c r="S1342" s="217" t="str">
        <f t="shared" si="123"/>
        <v/>
      </c>
    </row>
    <row r="1343" spans="1:19" ht="15.75" hidden="1" thickBot="1" x14ac:dyDescent="0.3">
      <c r="A1343" s="262"/>
      <c r="B1343" s="260"/>
      <c r="C1343" s="31"/>
      <c r="D1343" s="31"/>
      <c r="E1343" s="32"/>
      <c r="F1343" s="42" t="s">
        <v>416</v>
      </c>
      <c r="G1343" s="30" t="str">
        <f t="shared" si="124"/>
        <v/>
      </c>
      <c r="H1343" s="34"/>
      <c r="I1343" s="30"/>
      <c r="J1343" s="152">
        <v>0</v>
      </c>
      <c r="L1343" s="219"/>
      <c r="M1343" s="42"/>
      <c r="N1343" s="30" t="str">
        <f t="shared" si="125"/>
        <v/>
      </c>
      <c r="O1343" s="34"/>
      <c r="P1343" s="36" t="str">
        <f t="shared" si="120"/>
        <v/>
      </c>
      <c r="Q1343" s="216" t="str">
        <f t="shared" si="121"/>
        <v/>
      </c>
      <c r="R1343" s="216" t="str">
        <f t="shared" si="122"/>
        <v/>
      </c>
      <c r="S1343" s="217" t="str">
        <f t="shared" si="123"/>
        <v/>
      </c>
    </row>
    <row r="1344" spans="1:19" ht="15.75" hidden="1" thickBot="1" x14ac:dyDescent="0.3">
      <c r="A1344" s="262"/>
      <c r="B1344" s="260"/>
      <c r="C1344" s="35" t="s">
        <v>1017</v>
      </c>
      <c r="D1344" s="35" t="s">
        <v>583</v>
      </c>
      <c r="E1344" s="36">
        <v>0.14499999999999999</v>
      </c>
      <c r="F1344" s="30">
        <v>21.584</v>
      </c>
      <c r="G1344" s="33">
        <f t="shared" si="124"/>
        <v>3.1296799999999996</v>
      </c>
      <c r="H1344" s="38">
        <f>SUM(G1344:G1347)</f>
        <v>11.087574741029648</v>
      </c>
      <c r="I1344" s="39"/>
      <c r="J1344" s="152">
        <v>0</v>
      </c>
      <c r="L1344" s="215">
        <v>0.14499999999999999</v>
      </c>
      <c r="M1344" s="30">
        <v>18.475904</v>
      </c>
      <c r="N1344" s="33">
        <f t="shared" si="125"/>
        <v>2.6790060799999997</v>
      </c>
      <c r="O1344" s="38">
        <f>SUM(N1344:N1347)</f>
        <v>9.4909639783213802</v>
      </c>
      <c r="P1344" s="36" t="str">
        <f t="shared" si="120"/>
        <v/>
      </c>
      <c r="Q1344" s="216">
        <f t="shared" si="121"/>
        <v>0.14400000000000002</v>
      </c>
      <c r="R1344" s="216">
        <f t="shared" si="122"/>
        <v>0.14400000000000002</v>
      </c>
      <c r="S1344" s="217">
        <f t="shared" si="123"/>
        <v>0.14399999999999991</v>
      </c>
    </row>
    <row r="1345" spans="1:19" ht="15.75" hidden="1" thickBot="1" x14ac:dyDescent="0.3">
      <c r="A1345" s="262"/>
      <c r="B1345" s="260"/>
      <c r="C1345" s="35" t="s">
        <v>1018</v>
      </c>
      <c r="D1345" s="35" t="s">
        <v>583</v>
      </c>
      <c r="E1345" s="36">
        <v>0.14499999999999999</v>
      </c>
      <c r="F1345" s="30">
        <v>27.835000000000001</v>
      </c>
      <c r="G1345" s="33">
        <f t="shared" si="124"/>
        <v>4.0360749999999994</v>
      </c>
      <c r="H1345" s="34"/>
      <c r="I1345" s="30"/>
      <c r="J1345" s="152">
        <v>0</v>
      </c>
      <c r="L1345" s="215">
        <v>0.14499999999999999</v>
      </c>
      <c r="M1345" s="30">
        <v>23.82676</v>
      </c>
      <c r="N1345" s="33">
        <f t="shared" si="125"/>
        <v>3.4548801999999998</v>
      </c>
      <c r="O1345" s="34"/>
      <c r="P1345" s="36" t="str">
        <f t="shared" si="120"/>
        <v/>
      </c>
      <c r="Q1345" s="216">
        <f t="shared" si="121"/>
        <v>0.14400000000000002</v>
      </c>
      <c r="R1345" s="216">
        <f t="shared" si="122"/>
        <v>0.14399999999999991</v>
      </c>
      <c r="S1345" s="217" t="str">
        <f t="shared" si="123"/>
        <v/>
      </c>
    </row>
    <row r="1346" spans="1:19" ht="26.25" hidden="1" thickBot="1" x14ac:dyDescent="0.3">
      <c r="A1346" s="262"/>
      <c r="B1346" s="260"/>
      <c r="C1346" s="35" t="s">
        <v>79</v>
      </c>
      <c r="D1346" s="35" t="s">
        <v>80</v>
      </c>
      <c r="E1346" s="36">
        <v>8.9999999999999998E-4</v>
      </c>
      <c r="F1346" s="33">
        <v>758.13304558849984</v>
      </c>
      <c r="G1346" s="33">
        <f t="shared" si="124"/>
        <v>0.68231974102964987</v>
      </c>
      <c r="H1346" s="34"/>
      <c r="I1346" s="30"/>
      <c r="J1346" s="152">
        <v>0</v>
      </c>
      <c r="L1346" s="215">
        <v>8.9999999999999998E-4</v>
      </c>
      <c r="M1346" s="33">
        <v>648.96188702375593</v>
      </c>
      <c r="N1346" s="33">
        <f t="shared" si="125"/>
        <v>0.58406569832138033</v>
      </c>
      <c r="O1346" s="34"/>
      <c r="P1346" s="36" t="str">
        <f t="shared" si="120"/>
        <v/>
      </c>
      <c r="Q1346" s="216">
        <f t="shared" si="121"/>
        <v>0.14399999999999991</v>
      </c>
      <c r="R1346" s="216">
        <f t="shared" si="122"/>
        <v>0.14399999999999991</v>
      </c>
      <c r="S1346" s="217" t="str">
        <f t="shared" si="123"/>
        <v/>
      </c>
    </row>
    <row r="1347" spans="1:19" ht="26.25" hidden="1" thickBot="1" x14ac:dyDescent="0.3">
      <c r="A1347" s="262"/>
      <c r="B1347" s="260"/>
      <c r="C1347" s="35" t="s">
        <v>8035</v>
      </c>
      <c r="D1347" s="35" t="s">
        <v>213</v>
      </c>
      <c r="E1347" s="36">
        <v>1</v>
      </c>
      <c r="F1347" s="33">
        <v>3.2395</v>
      </c>
      <c r="G1347" s="30">
        <f t="shared" si="124"/>
        <v>3.2395</v>
      </c>
      <c r="H1347" s="34"/>
      <c r="I1347" s="30"/>
      <c r="J1347" s="152">
        <v>0</v>
      </c>
      <c r="L1347" s="215">
        <v>1</v>
      </c>
      <c r="M1347" s="33">
        <v>2.773012</v>
      </c>
      <c r="N1347" s="30">
        <f t="shared" si="125"/>
        <v>2.773012</v>
      </c>
      <c r="O1347" s="34"/>
      <c r="P1347" s="36" t="str">
        <f t="shared" si="120"/>
        <v/>
      </c>
      <c r="Q1347" s="216">
        <f t="shared" si="121"/>
        <v>0.14400000000000002</v>
      </c>
      <c r="R1347" s="216">
        <f t="shared" si="122"/>
        <v>0.14400000000000002</v>
      </c>
      <c r="S1347" s="217" t="str">
        <f t="shared" si="123"/>
        <v/>
      </c>
    </row>
    <row r="1348" spans="1:19" ht="15.75" hidden="1" thickBot="1" x14ac:dyDescent="0.3">
      <c r="A1348" s="263"/>
      <c r="B1348" s="261"/>
      <c r="C1348" s="35"/>
      <c r="D1348" s="35"/>
      <c r="E1348" s="36"/>
      <c r="F1348" s="30" t="s">
        <v>416</v>
      </c>
      <c r="G1348" s="30" t="str">
        <f t="shared" si="124"/>
        <v/>
      </c>
      <c r="H1348" s="34"/>
      <c r="I1348" s="30"/>
      <c r="J1348" s="152">
        <v>0</v>
      </c>
      <c r="L1348" s="215"/>
      <c r="M1348" s="30"/>
      <c r="N1348" s="30" t="str">
        <f t="shared" si="125"/>
        <v/>
      </c>
      <c r="O1348" s="34"/>
      <c r="P1348" s="36" t="str">
        <f t="shared" si="120"/>
        <v/>
      </c>
      <c r="Q1348" s="216" t="str">
        <f t="shared" si="121"/>
        <v/>
      </c>
      <c r="R1348" s="216" t="str">
        <f t="shared" si="122"/>
        <v/>
      </c>
      <c r="S1348" s="217" t="str">
        <f t="shared" si="123"/>
        <v/>
      </c>
    </row>
    <row r="1349" spans="1:19" ht="15.75" hidden="1" thickBot="1" x14ac:dyDescent="0.3">
      <c r="A1349" s="256" t="s">
        <v>327</v>
      </c>
      <c r="B1349" s="259" t="str">
        <f>INDEX(Orçamentária!A:B,MATCH(Composições!A1349,Orçamentária!A:A,0),2)</f>
        <v>Caixa 4 x 2" para drywall</v>
      </c>
      <c r="C1349" s="40"/>
      <c r="D1349" s="25" t="s">
        <v>16</v>
      </c>
      <c r="E1349" s="26"/>
      <c r="F1349" s="41" t="s">
        <v>416</v>
      </c>
      <c r="G1349" s="27" t="str">
        <f t="shared" si="124"/>
        <v/>
      </c>
      <c r="H1349" s="28"/>
      <c r="I1349" s="29"/>
      <c r="J1349" s="152">
        <v>0</v>
      </c>
      <c r="L1349" s="218"/>
      <c r="M1349" s="41"/>
      <c r="N1349" s="27" t="str">
        <f t="shared" si="125"/>
        <v/>
      </c>
      <c r="O1349" s="28"/>
      <c r="P1349" s="36" t="str">
        <f t="shared" si="120"/>
        <v/>
      </c>
      <c r="Q1349" s="216" t="str">
        <f t="shared" si="121"/>
        <v/>
      </c>
      <c r="R1349" s="216" t="str">
        <f t="shared" si="122"/>
        <v/>
      </c>
      <c r="S1349" s="217" t="str">
        <f t="shared" si="123"/>
        <v/>
      </c>
    </row>
    <row r="1350" spans="1:19" ht="15.75" hidden="1" thickBot="1" x14ac:dyDescent="0.3">
      <c r="A1350" s="262"/>
      <c r="B1350" s="260"/>
      <c r="C1350" s="31"/>
      <c r="D1350" s="31"/>
      <c r="E1350" s="32"/>
      <c r="F1350" s="42" t="s">
        <v>416</v>
      </c>
      <c r="G1350" s="30" t="str">
        <f t="shared" si="124"/>
        <v/>
      </c>
      <c r="H1350" s="34"/>
      <c r="I1350" s="30"/>
      <c r="J1350" s="152">
        <v>0</v>
      </c>
      <c r="L1350" s="219"/>
      <c r="M1350" s="42"/>
      <c r="N1350" s="30" t="str">
        <f t="shared" si="125"/>
        <v/>
      </c>
      <c r="O1350" s="34"/>
      <c r="P1350" s="36" t="str">
        <f t="shared" si="120"/>
        <v/>
      </c>
      <c r="Q1350" s="216" t="str">
        <f t="shared" si="121"/>
        <v/>
      </c>
      <c r="R1350" s="216" t="str">
        <f t="shared" si="122"/>
        <v/>
      </c>
      <c r="S1350" s="217" t="str">
        <f t="shared" si="123"/>
        <v/>
      </c>
    </row>
    <row r="1351" spans="1:19" ht="15.75" hidden="1" thickBot="1" x14ac:dyDescent="0.3">
      <c r="A1351" s="262"/>
      <c r="B1351" s="260"/>
      <c r="C1351" s="35" t="s">
        <v>1017</v>
      </c>
      <c r="D1351" s="35" t="s">
        <v>583</v>
      </c>
      <c r="E1351" s="36">
        <v>0.14499999999999999</v>
      </c>
      <c r="F1351" s="30">
        <v>21.584</v>
      </c>
      <c r="G1351" s="33">
        <f t="shared" si="124"/>
        <v>3.1296799999999996</v>
      </c>
      <c r="H1351" s="38">
        <f>SUM(G1351:G1353)</f>
        <v>7.165754999999999</v>
      </c>
      <c r="I1351" s="39"/>
      <c r="J1351" s="152">
        <v>0</v>
      </c>
      <c r="L1351" s="215">
        <v>0.14499999999999999</v>
      </c>
      <c r="M1351" s="30">
        <v>18.475904</v>
      </c>
      <c r="N1351" s="33">
        <f t="shared" si="125"/>
        <v>2.6790060799999997</v>
      </c>
      <c r="O1351" s="38">
        <f>SUM(N1351:N1353)</f>
        <v>6.1338862799999996</v>
      </c>
      <c r="P1351" s="36" t="str">
        <f t="shared" si="120"/>
        <v/>
      </c>
      <c r="Q1351" s="216">
        <f t="shared" si="121"/>
        <v>0.14400000000000002</v>
      </c>
      <c r="R1351" s="216">
        <f t="shared" si="122"/>
        <v>0.14400000000000002</v>
      </c>
      <c r="S1351" s="217">
        <f t="shared" si="123"/>
        <v>0.14399999999999991</v>
      </c>
    </row>
    <row r="1352" spans="1:19" ht="15.75" hidden="1" thickBot="1" x14ac:dyDescent="0.3">
      <c r="A1352" s="262"/>
      <c r="B1352" s="260"/>
      <c r="C1352" s="35" t="s">
        <v>1018</v>
      </c>
      <c r="D1352" s="35" t="s">
        <v>583</v>
      </c>
      <c r="E1352" s="36">
        <v>0.14499999999999999</v>
      </c>
      <c r="F1352" s="30">
        <v>27.835000000000001</v>
      </c>
      <c r="G1352" s="33">
        <f t="shared" si="124"/>
        <v>4.0360749999999994</v>
      </c>
      <c r="H1352" s="34"/>
      <c r="I1352" s="30"/>
      <c r="J1352" s="152">
        <v>0</v>
      </c>
      <c r="L1352" s="215">
        <v>0.14499999999999999</v>
      </c>
      <c r="M1352" s="30">
        <v>23.82676</v>
      </c>
      <c r="N1352" s="33">
        <f t="shared" si="125"/>
        <v>3.4548801999999998</v>
      </c>
      <c r="O1352" s="34"/>
      <c r="P1352" s="36" t="str">
        <f t="shared" ref="P1352:P1415" si="126">IF(ISBLANK(L1352),"",IF($E1352&lt;&gt;L1352,"SIM",""))</f>
        <v/>
      </c>
      <c r="Q1352" s="216">
        <f t="shared" ref="Q1352:Q1415" si="127">IF(M1352="","",1-M1352/$F1352)</f>
        <v>0.14400000000000002</v>
      </c>
      <c r="R1352" s="216">
        <f t="shared" ref="R1352:R1415" si="128">IF(N1352="","",1-N1352/$G1352)</f>
        <v>0.14399999999999991</v>
      </c>
      <c r="S1352" s="217" t="str">
        <f t="shared" ref="S1352:S1415" si="129">IF(O1352="","",1-O1352/$H1352)</f>
        <v/>
      </c>
    </row>
    <row r="1353" spans="1:19" ht="15.75" hidden="1" thickBot="1" x14ac:dyDescent="0.3">
      <c r="A1353" s="262"/>
      <c r="B1353" s="260"/>
      <c r="C1353" s="35" t="s">
        <v>328</v>
      </c>
      <c r="D1353" s="35" t="s">
        <v>16</v>
      </c>
      <c r="E1353" s="36">
        <v>1</v>
      </c>
      <c r="F1353" s="33" t="s">
        <v>416</v>
      </c>
      <c r="G1353" s="30" t="str">
        <f t="shared" si="124"/>
        <v/>
      </c>
      <c r="H1353" s="34"/>
      <c r="I1353" s="30"/>
      <c r="J1353" s="152">
        <v>0</v>
      </c>
      <c r="L1353" s="215">
        <v>1</v>
      </c>
      <c r="M1353" s="33"/>
      <c r="N1353" s="30" t="str">
        <f t="shared" si="125"/>
        <v/>
      </c>
      <c r="O1353" s="34"/>
      <c r="P1353" s="36" t="str">
        <f t="shared" si="126"/>
        <v/>
      </c>
      <c r="Q1353" s="216" t="str">
        <f t="shared" si="127"/>
        <v/>
      </c>
      <c r="R1353" s="216" t="str">
        <f t="shared" si="128"/>
        <v/>
      </c>
      <c r="S1353" s="217" t="str">
        <f t="shared" si="129"/>
        <v/>
      </c>
    </row>
    <row r="1354" spans="1:19" ht="15.75" hidden="1" thickBot="1" x14ac:dyDescent="0.3">
      <c r="A1354" s="263"/>
      <c r="B1354" s="261"/>
      <c r="C1354" s="35"/>
      <c r="D1354" s="35"/>
      <c r="E1354" s="36"/>
      <c r="F1354" s="30" t="s">
        <v>416</v>
      </c>
      <c r="G1354" s="30" t="str">
        <f t="shared" si="124"/>
        <v/>
      </c>
      <c r="H1354" s="34"/>
      <c r="I1354" s="30"/>
      <c r="J1354" s="152">
        <v>0</v>
      </c>
      <c r="L1354" s="215"/>
      <c r="M1354" s="30"/>
      <c r="N1354" s="30" t="str">
        <f t="shared" si="125"/>
        <v/>
      </c>
      <c r="O1354" s="34"/>
      <c r="P1354" s="36" t="str">
        <f t="shared" si="126"/>
        <v/>
      </c>
      <c r="Q1354" s="216" t="str">
        <f t="shared" si="127"/>
        <v/>
      </c>
      <c r="R1354" s="216" t="str">
        <f t="shared" si="128"/>
        <v/>
      </c>
      <c r="S1354" s="217" t="str">
        <f t="shared" si="129"/>
        <v/>
      </c>
    </row>
    <row r="1355" spans="1:19" ht="15.75" hidden="1" thickBot="1" x14ac:dyDescent="0.3">
      <c r="A1355" s="256" t="s">
        <v>329</v>
      </c>
      <c r="B1355" s="259" t="str">
        <f>INDEX(Orçamentária!A:B,MATCH(Composições!A1355,Orçamentária!A:A,0),2)</f>
        <v>Caixa 4 x 4" de embutir para alvenaria</v>
      </c>
      <c r="C1355" s="40"/>
      <c r="D1355" s="25" t="s">
        <v>16</v>
      </c>
      <c r="E1355" s="26"/>
      <c r="F1355" s="41" t="s">
        <v>416</v>
      </c>
      <c r="G1355" s="27" t="str">
        <f t="shared" si="124"/>
        <v/>
      </c>
      <c r="H1355" s="28"/>
      <c r="I1355" s="29"/>
      <c r="J1355" s="152">
        <v>0</v>
      </c>
      <c r="L1355" s="218"/>
      <c r="M1355" s="41"/>
      <c r="N1355" s="27" t="str">
        <f t="shared" si="125"/>
        <v/>
      </c>
      <c r="O1355" s="28"/>
      <c r="P1355" s="36" t="str">
        <f t="shared" si="126"/>
        <v/>
      </c>
      <c r="Q1355" s="216" t="str">
        <f t="shared" si="127"/>
        <v/>
      </c>
      <c r="R1355" s="216" t="str">
        <f t="shared" si="128"/>
        <v/>
      </c>
      <c r="S1355" s="217" t="str">
        <f t="shared" si="129"/>
        <v/>
      </c>
    </row>
    <row r="1356" spans="1:19" ht="15.75" hidden="1" thickBot="1" x14ac:dyDescent="0.3">
      <c r="A1356" s="262"/>
      <c r="B1356" s="260"/>
      <c r="C1356" s="31"/>
      <c r="D1356" s="31"/>
      <c r="E1356" s="32"/>
      <c r="F1356" s="42" t="s">
        <v>416</v>
      </c>
      <c r="G1356" s="30" t="str">
        <f t="shared" si="124"/>
        <v/>
      </c>
      <c r="H1356" s="34"/>
      <c r="I1356" s="30"/>
      <c r="J1356" s="152">
        <v>0</v>
      </c>
      <c r="L1356" s="219"/>
      <c r="M1356" s="42"/>
      <c r="N1356" s="30" t="str">
        <f t="shared" si="125"/>
        <v/>
      </c>
      <c r="O1356" s="34"/>
      <c r="P1356" s="36" t="str">
        <f t="shared" si="126"/>
        <v/>
      </c>
      <c r="Q1356" s="216" t="str">
        <f t="shared" si="127"/>
        <v/>
      </c>
      <c r="R1356" s="216" t="str">
        <f t="shared" si="128"/>
        <v/>
      </c>
      <c r="S1356" s="217" t="str">
        <f t="shared" si="129"/>
        <v/>
      </c>
    </row>
    <row r="1357" spans="1:19" ht="15.75" hidden="1" thickBot="1" x14ac:dyDescent="0.3">
      <c r="A1357" s="262"/>
      <c r="B1357" s="260"/>
      <c r="C1357" s="35" t="s">
        <v>1017</v>
      </c>
      <c r="D1357" s="35" t="s">
        <v>583</v>
      </c>
      <c r="E1357" s="36">
        <v>0.16600000000000001</v>
      </c>
      <c r="F1357" s="30">
        <v>21.584</v>
      </c>
      <c r="G1357" s="33">
        <f t="shared" si="124"/>
        <v>3.5829439999999999</v>
      </c>
      <c r="H1357" s="38">
        <f>SUM(G1357:G1360)</f>
        <v>15.554313654706199</v>
      </c>
      <c r="I1357" s="39"/>
      <c r="J1357" s="152">
        <v>0</v>
      </c>
      <c r="L1357" s="215">
        <v>0.16600000000000001</v>
      </c>
      <c r="M1357" s="30">
        <v>18.475904</v>
      </c>
      <c r="N1357" s="33">
        <f t="shared" si="125"/>
        <v>3.0670000640000001</v>
      </c>
      <c r="O1357" s="38">
        <f>SUM(N1357:N1360)</f>
        <v>13.314492488428506</v>
      </c>
      <c r="P1357" s="36" t="str">
        <f t="shared" si="126"/>
        <v/>
      </c>
      <c r="Q1357" s="216">
        <f t="shared" si="127"/>
        <v>0.14400000000000002</v>
      </c>
      <c r="R1357" s="216">
        <f t="shared" si="128"/>
        <v>0.14399999999999991</v>
      </c>
      <c r="S1357" s="217">
        <f t="shared" si="129"/>
        <v>0.14400000000000002</v>
      </c>
    </row>
    <row r="1358" spans="1:19" ht="15.75" hidden="1" thickBot="1" x14ac:dyDescent="0.3">
      <c r="A1358" s="262"/>
      <c r="B1358" s="260"/>
      <c r="C1358" s="35" t="s">
        <v>1018</v>
      </c>
      <c r="D1358" s="35" t="s">
        <v>583</v>
      </c>
      <c r="E1358" s="36">
        <v>0.16600000000000001</v>
      </c>
      <c r="F1358" s="30">
        <v>27.835000000000001</v>
      </c>
      <c r="G1358" s="33">
        <f t="shared" si="124"/>
        <v>4.6206100000000001</v>
      </c>
      <c r="H1358" s="34"/>
      <c r="I1358" s="30"/>
      <c r="J1358" s="152">
        <v>0</v>
      </c>
      <c r="L1358" s="215">
        <v>0.16600000000000001</v>
      </c>
      <c r="M1358" s="30">
        <v>23.82676</v>
      </c>
      <c r="N1358" s="33">
        <f t="shared" si="125"/>
        <v>3.9552421600000001</v>
      </c>
      <c r="O1358" s="34"/>
      <c r="P1358" s="36" t="str">
        <f t="shared" si="126"/>
        <v/>
      </c>
      <c r="Q1358" s="216">
        <f t="shared" si="127"/>
        <v>0.14400000000000002</v>
      </c>
      <c r="R1358" s="216">
        <f t="shared" si="128"/>
        <v>0.14400000000000002</v>
      </c>
      <c r="S1358" s="217" t="str">
        <f t="shared" si="129"/>
        <v/>
      </c>
    </row>
    <row r="1359" spans="1:19" ht="26.25" hidden="1" thickBot="1" x14ac:dyDescent="0.3">
      <c r="A1359" s="262"/>
      <c r="B1359" s="260"/>
      <c r="C1359" s="35" t="s">
        <v>79</v>
      </c>
      <c r="D1359" s="35" t="s">
        <v>80</v>
      </c>
      <c r="E1359" s="36">
        <v>1.1999999999999999E-3</v>
      </c>
      <c r="F1359" s="33">
        <v>758.13304558849984</v>
      </c>
      <c r="G1359" s="33">
        <f t="shared" si="124"/>
        <v>0.90975965470619968</v>
      </c>
      <c r="H1359" s="34"/>
      <c r="I1359" s="30"/>
      <c r="J1359" s="152">
        <v>0</v>
      </c>
      <c r="L1359" s="215">
        <v>1.1999999999999999E-3</v>
      </c>
      <c r="M1359" s="33">
        <v>648.96188702375593</v>
      </c>
      <c r="N1359" s="33">
        <f t="shared" si="125"/>
        <v>0.77875426442850704</v>
      </c>
      <c r="O1359" s="34"/>
      <c r="P1359" s="36" t="str">
        <f t="shared" si="126"/>
        <v/>
      </c>
      <c r="Q1359" s="216">
        <f t="shared" si="127"/>
        <v>0.14399999999999991</v>
      </c>
      <c r="R1359" s="216">
        <f t="shared" si="128"/>
        <v>0.14399999999999991</v>
      </c>
      <c r="S1359" s="217" t="str">
        <f t="shared" si="129"/>
        <v/>
      </c>
    </row>
    <row r="1360" spans="1:19" ht="26.25" hidden="1" thickBot="1" x14ac:dyDescent="0.3">
      <c r="A1360" s="262"/>
      <c r="B1360" s="260"/>
      <c r="C1360" s="35" t="s">
        <v>8036</v>
      </c>
      <c r="D1360" s="35" t="s">
        <v>213</v>
      </c>
      <c r="E1360" s="36">
        <v>1</v>
      </c>
      <c r="F1360" s="33">
        <v>6.4409999999999998</v>
      </c>
      <c r="G1360" s="30">
        <f t="shared" si="124"/>
        <v>6.4409999999999998</v>
      </c>
      <c r="H1360" s="34"/>
      <c r="I1360" s="30"/>
      <c r="J1360" s="152">
        <v>0</v>
      </c>
      <c r="L1360" s="215">
        <v>1</v>
      </c>
      <c r="M1360" s="33">
        <v>5.513496</v>
      </c>
      <c r="N1360" s="30">
        <f t="shared" si="125"/>
        <v>5.513496</v>
      </c>
      <c r="O1360" s="34"/>
      <c r="P1360" s="36" t="str">
        <f t="shared" si="126"/>
        <v/>
      </c>
      <c r="Q1360" s="216">
        <f t="shared" si="127"/>
        <v>0.14400000000000002</v>
      </c>
      <c r="R1360" s="216">
        <f t="shared" si="128"/>
        <v>0.14400000000000002</v>
      </c>
      <c r="S1360" s="217" t="str">
        <f t="shared" si="129"/>
        <v/>
      </c>
    </row>
    <row r="1361" spans="1:19" ht="15.75" hidden="1" thickBot="1" x14ac:dyDescent="0.3">
      <c r="A1361" s="263"/>
      <c r="B1361" s="261"/>
      <c r="C1361" s="35"/>
      <c r="D1361" s="35"/>
      <c r="E1361" s="36"/>
      <c r="F1361" s="30" t="s">
        <v>416</v>
      </c>
      <c r="G1361" s="30" t="str">
        <f t="shared" si="124"/>
        <v/>
      </c>
      <c r="H1361" s="34"/>
      <c r="I1361" s="30"/>
      <c r="J1361" s="152">
        <v>0</v>
      </c>
      <c r="L1361" s="215"/>
      <c r="M1361" s="30"/>
      <c r="N1361" s="30" t="str">
        <f t="shared" si="125"/>
        <v/>
      </c>
      <c r="O1361" s="34"/>
      <c r="P1361" s="36" t="str">
        <f t="shared" si="126"/>
        <v/>
      </c>
      <c r="Q1361" s="216" t="str">
        <f t="shared" si="127"/>
        <v/>
      </c>
      <c r="R1361" s="216" t="str">
        <f t="shared" si="128"/>
        <v/>
      </c>
      <c r="S1361" s="217" t="str">
        <f t="shared" si="129"/>
        <v/>
      </c>
    </row>
    <row r="1362" spans="1:19" ht="15.75" hidden="1" thickBot="1" x14ac:dyDescent="0.3">
      <c r="A1362" s="256" t="s">
        <v>330</v>
      </c>
      <c r="B1362" s="259" t="str">
        <f>INDEX(Orçamentária!A:B,MATCH(Composições!A1362,Orçamentária!A:A,0),2)</f>
        <v>Caixa 4 x 4" para drywall</v>
      </c>
      <c r="C1362" s="40"/>
      <c r="D1362" s="25" t="s">
        <v>16</v>
      </c>
      <c r="E1362" s="26"/>
      <c r="F1362" s="41" t="s">
        <v>416</v>
      </c>
      <c r="G1362" s="27" t="str">
        <f t="shared" si="124"/>
        <v/>
      </c>
      <c r="H1362" s="28"/>
      <c r="I1362" s="29"/>
      <c r="J1362" s="152">
        <v>0</v>
      </c>
      <c r="L1362" s="218"/>
      <c r="M1362" s="41"/>
      <c r="N1362" s="27" t="str">
        <f t="shared" si="125"/>
        <v/>
      </c>
      <c r="O1362" s="28"/>
      <c r="P1362" s="36" t="str">
        <f t="shared" si="126"/>
        <v/>
      </c>
      <c r="Q1362" s="216" t="str">
        <f t="shared" si="127"/>
        <v/>
      </c>
      <c r="R1362" s="216" t="str">
        <f t="shared" si="128"/>
        <v/>
      </c>
      <c r="S1362" s="217" t="str">
        <f t="shared" si="129"/>
        <v/>
      </c>
    </row>
    <row r="1363" spans="1:19" ht="15.75" hidden="1" thickBot="1" x14ac:dyDescent="0.3">
      <c r="A1363" s="262"/>
      <c r="B1363" s="260"/>
      <c r="C1363" s="31"/>
      <c r="D1363" s="31"/>
      <c r="E1363" s="32"/>
      <c r="F1363" s="42" t="s">
        <v>416</v>
      </c>
      <c r="G1363" s="30" t="str">
        <f t="shared" ref="G1363:G1426" si="130">IF(ISNUMBER(F1363),E1363*F1363,"")</f>
        <v/>
      </c>
      <c r="H1363" s="34"/>
      <c r="I1363" s="30"/>
      <c r="J1363" s="152">
        <v>0</v>
      </c>
      <c r="L1363" s="219"/>
      <c r="M1363" s="42"/>
      <c r="N1363" s="30" t="str">
        <f t="shared" ref="N1363:N1426" si="131">IF(ISNUMBER(M1363),L1363*M1363,"")</f>
        <v/>
      </c>
      <c r="O1363" s="34"/>
      <c r="P1363" s="36" t="str">
        <f t="shared" si="126"/>
        <v/>
      </c>
      <c r="Q1363" s="216" t="str">
        <f t="shared" si="127"/>
        <v/>
      </c>
      <c r="R1363" s="216" t="str">
        <f t="shared" si="128"/>
        <v/>
      </c>
      <c r="S1363" s="217" t="str">
        <f t="shared" si="129"/>
        <v/>
      </c>
    </row>
    <row r="1364" spans="1:19" ht="15.75" hidden="1" thickBot="1" x14ac:dyDescent="0.3">
      <c r="A1364" s="262"/>
      <c r="B1364" s="260"/>
      <c r="C1364" s="35" t="s">
        <v>1017</v>
      </c>
      <c r="D1364" s="35" t="s">
        <v>583</v>
      </c>
      <c r="E1364" s="36">
        <v>0.16600000000000001</v>
      </c>
      <c r="F1364" s="30">
        <v>21.584</v>
      </c>
      <c r="G1364" s="33">
        <f t="shared" si="130"/>
        <v>3.5829439999999999</v>
      </c>
      <c r="H1364" s="38">
        <f>SUM(G1364:G1366)</f>
        <v>8.2035540000000005</v>
      </c>
      <c r="I1364" s="39"/>
      <c r="J1364" s="152">
        <v>0</v>
      </c>
      <c r="L1364" s="215">
        <v>0.16600000000000001</v>
      </c>
      <c r="M1364" s="30">
        <v>18.475904</v>
      </c>
      <c r="N1364" s="33">
        <f t="shared" si="131"/>
        <v>3.0670000640000001</v>
      </c>
      <c r="O1364" s="38">
        <f>SUM(N1364:N1366)</f>
        <v>7.0222422240000002</v>
      </c>
      <c r="P1364" s="36" t="str">
        <f t="shared" si="126"/>
        <v/>
      </c>
      <c r="Q1364" s="216">
        <f t="shared" si="127"/>
        <v>0.14400000000000002</v>
      </c>
      <c r="R1364" s="216">
        <f t="shared" si="128"/>
        <v>0.14399999999999991</v>
      </c>
      <c r="S1364" s="217">
        <f t="shared" si="129"/>
        <v>0.14400000000000002</v>
      </c>
    </row>
    <row r="1365" spans="1:19" ht="15.75" hidden="1" thickBot="1" x14ac:dyDescent="0.3">
      <c r="A1365" s="262"/>
      <c r="B1365" s="260"/>
      <c r="C1365" s="35" t="s">
        <v>1018</v>
      </c>
      <c r="D1365" s="35" t="s">
        <v>583</v>
      </c>
      <c r="E1365" s="36">
        <v>0.16600000000000001</v>
      </c>
      <c r="F1365" s="30">
        <v>27.835000000000001</v>
      </c>
      <c r="G1365" s="33">
        <f t="shared" si="130"/>
        <v>4.6206100000000001</v>
      </c>
      <c r="H1365" s="34"/>
      <c r="I1365" s="30"/>
      <c r="J1365" s="152">
        <v>0</v>
      </c>
      <c r="L1365" s="215">
        <v>0.16600000000000001</v>
      </c>
      <c r="M1365" s="30">
        <v>23.82676</v>
      </c>
      <c r="N1365" s="33">
        <f t="shared" si="131"/>
        <v>3.9552421600000001</v>
      </c>
      <c r="O1365" s="34"/>
      <c r="P1365" s="36" t="str">
        <f t="shared" si="126"/>
        <v/>
      </c>
      <c r="Q1365" s="216">
        <f t="shared" si="127"/>
        <v>0.14400000000000002</v>
      </c>
      <c r="R1365" s="216">
        <f t="shared" si="128"/>
        <v>0.14400000000000002</v>
      </c>
      <c r="S1365" s="217" t="str">
        <f t="shared" si="129"/>
        <v/>
      </c>
    </row>
    <row r="1366" spans="1:19" ht="15.75" hidden="1" thickBot="1" x14ac:dyDescent="0.3">
      <c r="A1366" s="262"/>
      <c r="B1366" s="260"/>
      <c r="C1366" s="35" t="s">
        <v>331</v>
      </c>
      <c r="D1366" s="35" t="s">
        <v>16</v>
      </c>
      <c r="E1366" s="36">
        <v>1</v>
      </c>
      <c r="F1366" s="33" t="s">
        <v>416</v>
      </c>
      <c r="G1366" s="30" t="str">
        <f t="shared" si="130"/>
        <v/>
      </c>
      <c r="H1366" s="34"/>
      <c r="I1366" s="30"/>
      <c r="J1366" s="152">
        <v>0</v>
      </c>
      <c r="L1366" s="215">
        <v>1</v>
      </c>
      <c r="M1366" s="33"/>
      <c r="N1366" s="30" t="str">
        <f t="shared" si="131"/>
        <v/>
      </c>
      <c r="O1366" s="34"/>
      <c r="P1366" s="36" t="str">
        <f t="shared" si="126"/>
        <v/>
      </c>
      <c r="Q1366" s="216" t="str">
        <f t="shared" si="127"/>
        <v/>
      </c>
      <c r="R1366" s="216" t="str">
        <f t="shared" si="128"/>
        <v/>
      </c>
      <c r="S1366" s="217" t="str">
        <f t="shared" si="129"/>
        <v/>
      </c>
    </row>
    <row r="1367" spans="1:19" ht="15.75" hidden="1" thickBot="1" x14ac:dyDescent="0.3">
      <c r="A1367" s="263"/>
      <c r="B1367" s="261"/>
      <c r="C1367" s="35"/>
      <c r="D1367" s="35"/>
      <c r="E1367" s="36"/>
      <c r="F1367" s="30" t="s">
        <v>416</v>
      </c>
      <c r="G1367" s="30" t="str">
        <f t="shared" si="130"/>
        <v/>
      </c>
      <c r="H1367" s="34"/>
      <c r="I1367" s="30"/>
      <c r="J1367" s="152">
        <v>0</v>
      </c>
      <c r="L1367" s="215"/>
      <c r="M1367" s="30"/>
      <c r="N1367" s="30" t="str">
        <f t="shared" si="131"/>
        <v/>
      </c>
      <c r="O1367" s="34"/>
      <c r="P1367" s="36" t="str">
        <f t="shared" si="126"/>
        <v/>
      </c>
      <c r="Q1367" s="216" t="str">
        <f t="shared" si="127"/>
        <v/>
      </c>
      <c r="R1367" s="216" t="str">
        <f t="shared" si="128"/>
        <v/>
      </c>
      <c r="S1367" s="217" t="str">
        <f t="shared" si="129"/>
        <v/>
      </c>
    </row>
    <row r="1368" spans="1:19" ht="15.75" hidden="1" thickBot="1" x14ac:dyDescent="0.3">
      <c r="A1368" s="256" t="s">
        <v>332</v>
      </c>
      <c r="B1368" s="259" t="str">
        <f>INDEX(Orçamentária!A:B,MATCH(Composições!A1368,Orçamentária!A:A,0),2)</f>
        <v>Caixa de passagem em alumínio 100 x 100 x 50 mm</v>
      </c>
      <c r="C1368" s="40"/>
      <c r="D1368" s="25" t="s">
        <v>16</v>
      </c>
      <c r="E1368" s="26"/>
      <c r="F1368" s="41" t="s">
        <v>416</v>
      </c>
      <c r="G1368" s="27" t="str">
        <f t="shared" si="130"/>
        <v/>
      </c>
      <c r="H1368" s="28"/>
      <c r="I1368" s="29"/>
      <c r="J1368" s="152">
        <v>0</v>
      </c>
      <c r="L1368" s="218"/>
      <c r="M1368" s="41"/>
      <c r="N1368" s="27" t="str">
        <f t="shared" si="131"/>
        <v/>
      </c>
      <c r="O1368" s="28"/>
      <c r="P1368" s="36" t="str">
        <f t="shared" si="126"/>
        <v/>
      </c>
      <c r="Q1368" s="216" t="str">
        <f t="shared" si="127"/>
        <v/>
      </c>
      <c r="R1368" s="216" t="str">
        <f t="shared" si="128"/>
        <v/>
      </c>
      <c r="S1368" s="217" t="str">
        <f t="shared" si="129"/>
        <v/>
      </c>
    </row>
    <row r="1369" spans="1:19" ht="15.75" hidden="1" thickBot="1" x14ac:dyDescent="0.3">
      <c r="A1369" s="262"/>
      <c r="B1369" s="260"/>
      <c r="C1369" s="31"/>
      <c r="D1369" s="31"/>
      <c r="E1369" s="32"/>
      <c r="F1369" s="42" t="s">
        <v>416</v>
      </c>
      <c r="G1369" s="30" t="str">
        <f t="shared" si="130"/>
        <v/>
      </c>
      <c r="H1369" s="34"/>
      <c r="I1369" s="30"/>
      <c r="J1369" s="152">
        <v>0</v>
      </c>
      <c r="L1369" s="219"/>
      <c r="M1369" s="42"/>
      <c r="N1369" s="30" t="str">
        <f t="shared" si="131"/>
        <v/>
      </c>
      <c r="O1369" s="34"/>
      <c r="P1369" s="36" t="str">
        <f t="shared" si="126"/>
        <v/>
      </c>
      <c r="Q1369" s="216" t="str">
        <f t="shared" si="127"/>
        <v/>
      </c>
      <c r="R1369" s="216" t="str">
        <f t="shared" si="128"/>
        <v/>
      </c>
      <c r="S1369" s="217" t="str">
        <f t="shared" si="129"/>
        <v/>
      </c>
    </row>
    <row r="1370" spans="1:19" ht="15.75" hidden="1" thickBot="1" x14ac:dyDescent="0.3">
      <c r="A1370" s="262"/>
      <c r="B1370" s="260"/>
      <c r="C1370" s="35" t="s">
        <v>1017</v>
      </c>
      <c r="D1370" s="35" t="s">
        <v>583</v>
      </c>
      <c r="E1370" s="36">
        <v>0.34599999999999997</v>
      </c>
      <c r="F1370" s="30">
        <v>21.584</v>
      </c>
      <c r="G1370" s="33">
        <f t="shared" si="130"/>
        <v>7.4680639999999991</v>
      </c>
      <c r="H1370" s="38">
        <f>SUM(G1370:G1372)</f>
        <v>17.098973999999998</v>
      </c>
      <c r="I1370" s="39"/>
      <c r="J1370" s="152">
        <v>0</v>
      </c>
      <c r="L1370" s="215">
        <v>0.34599999999999997</v>
      </c>
      <c r="M1370" s="30">
        <v>18.475904</v>
      </c>
      <c r="N1370" s="33">
        <f t="shared" si="131"/>
        <v>6.3926627839999997</v>
      </c>
      <c r="O1370" s="38">
        <f>SUM(N1370:N1372)</f>
        <v>14.636721743999999</v>
      </c>
      <c r="P1370" s="36" t="str">
        <f t="shared" si="126"/>
        <v/>
      </c>
      <c r="Q1370" s="216">
        <f t="shared" si="127"/>
        <v>0.14400000000000002</v>
      </c>
      <c r="R1370" s="216">
        <f t="shared" si="128"/>
        <v>0.14399999999999991</v>
      </c>
      <c r="S1370" s="217">
        <f t="shared" si="129"/>
        <v>0.14400000000000002</v>
      </c>
    </row>
    <row r="1371" spans="1:19" ht="15.75" hidden="1" thickBot="1" x14ac:dyDescent="0.3">
      <c r="A1371" s="262"/>
      <c r="B1371" s="260"/>
      <c r="C1371" s="35" t="s">
        <v>1018</v>
      </c>
      <c r="D1371" s="35" t="s">
        <v>583</v>
      </c>
      <c r="E1371" s="36">
        <v>0.34599999999999997</v>
      </c>
      <c r="F1371" s="30">
        <v>27.835000000000001</v>
      </c>
      <c r="G1371" s="33">
        <f t="shared" si="130"/>
        <v>9.6309100000000001</v>
      </c>
      <c r="H1371" s="34"/>
      <c r="I1371" s="30"/>
      <c r="J1371" s="152">
        <v>0</v>
      </c>
      <c r="L1371" s="215">
        <v>0.34599999999999997</v>
      </c>
      <c r="M1371" s="30">
        <v>23.82676</v>
      </c>
      <c r="N1371" s="33">
        <f t="shared" si="131"/>
        <v>8.2440589600000003</v>
      </c>
      <c r="O1371" s="34"/>
      <c r="P1371" s="36" t="str">
        <f t="shared" si="126"/>
        <v/>
      </c>
      <c r="Q1371" s="216">
        <f t="shared" si="127"/>
        <v>0.14400000000000002</v>
      </c>
      <c r="R1371" s="216">
        <f t="shared" si="128"/>
        <v>0.14400000000000002</v>
      </c>
      <c r="S1371" s="217" t="str">
        <f t="shared" si="129"/>
        <v/>
      </c>
    </row>
    <row r="1372" spans="1:19" ht="15.75" hidden="1" thickBot="1" x14ac:dyDescent="0.3">
      <c r="A1372" s="262"/>
      <c r="B1372" s="260"/>
      <c r="C1372" s="35" t="s">
        <v>333</v>
      </c>
      <c r="D1372" s="35" t="s">
        <v>69</v>
      </c>
      <c r="E1372" s="36">
        <v>1</v>
      </c>
      <c r="F1372" s="33" t="s">
        <v>416</v>
      </c>
      <c r="G1372" s="33" t="str">
        <f t="shared" si="130"/>
        <v/>
      </c>
      <c r="H1372" s="34"/>
      <c r="I1372" s="30"/>
      <c r="J1372" s="152">
        <v>0</v>
      </c>
      <c r="L1372" s="215">
        <v>1</v>
      </c>
      <c r="M1372" s="33"/>
      <c r="N1372" s="33" t="str">
        <f t="shared" si="131"/>
        <v/>
      </c>
      <c r="O1372" s="34"/>
      <c r="P1372" s="36" t="str">
        <f t="shared" si="126"/>
        <v/>
      </c>
      <c r="Q1372" s="216" t="str">
        <f t="shared" si="127"/>
        <v/>
      </c>
      <c r="R1372" s="216" t="str">
        <f t="shared" si="128"/>
        <v/>
      </c>
      <c r="S1372" s="217" t="str">
        <f t="shared" si="129"/>
        <v/>
      </c>
    </row>
    <row r="1373" spans="1:19" ht="15.75" hidden="1" thickBot="1" x14ac:dyDescent="0.3">
      <c r="A1373" s="263"/>
      <c r="B1373" s="261"/>
      <c r="C1373" s="35"/>
      <c r="D1373" s="35"/>
      <c r="E1373" s="36"/>
      <c r="F1373" s="30" t="s">
        <v>416</v>
      </c>
      <c r="G1373" s="30" t="str">
        <f t="shared" si="130"/>
        <v/>
      </c>
      <c r="H1373" s="34"/>
      <c r="I1373" s="30"/>
      <c r="J1373" s="152">
        <v>0</v>
      </c>
      <c r="L1373" s="215"/>
      <c r="M1373" s="30"/>
      <c r="N1373" s="30" t="str">
        <f t="shared" si="131"/>
        <v/>
      </c>
      <c r="O1373" s="34"/>
      <c r="P1373" s="36" t="str">
        <f t="shared" si="126"/>
        <v/>
      </c>
      <c r="Q1373" s="216" t="str">
        <f t="shared" si="127"/>
        <v/>
      </c>
      <c r="R1373" s="216" t="str">
        <f t="shared" si="128"/>
        <v/>
      </c>
      <c r="S1373" s="217" t="str">
        <f t="shared" si="129"/>
        <v/>
      </c>
    </row>
    <row r="1374" spans="1:19" ht="15.75" hidden="1" thickBot="1" x14ac:dyDescent="0.3">
      <c r="A1374" s="256" t="s">
        <v>334</v>
      </c>
      <c r="B1374" s="259" t="str">
        <f>INDEX(Orçamentária!A:B,MATCH(Composições!A1374,Orçamentária!A:A,0),2)</f>
        <v>Caixa de passagem em alumínio 200 x 200 x 100mm</v>
      </c>
      <c r="C1374" s="40"/>
      <c r="D1374" s="25" t="s">
        <v>16</v>
      </c>
      <c r="E1374" s="26"/>
      <c r="F1374" s="41" t="s">
        <v>416</v>
      </c>
      <c r="G1374" s="27" t="str">
        <f t="shared" si="130"/>
        <v/>
      </c>
      <c r="H1374" s="28"/>
      <c r="I1374" s="29"/>
      <c r="J1374" s="152">
        <v>0</v>
      </c>
      <c r="L1374" s="218"/>
      <c r="M1374" s="41"/>
      <c r="N1374" s="27" t="str">
        <f t="shared" si="131"/>
        <v/>
      </c>
      <c r="O1374" s="28"/>
      <c r="P1374" s="36" t="str">
        <f t="shared" si="126"/>
        <v/>
      </c>
      <c r="Q1374" s="216" t="str">
        <f t="shared" si="127"/>
        <v/>
      </c>
      <c r="R1374" s="216" t="str">
        <f t="shared" si="128"/>
        <v/>
      </c>
      <c r="S1374" s="217" t="str">
        <f t="shared" si="129"/>
        <v/>
      </c>
    </row>
    <row r="1375" spans="1:19" ht="15.75" hidden="1" thickBot="1" x14ac:dyDescent="0.3">
      <c r="A1375" s="262"/>
      <c r="B1375" s="260"/>
      <c r="C1375" s="31"/>
      <c r="D1375" s="31"/>
      <c r="E1375" s="32"/>
      <c r="F1375" s="42" t="s">
        <v>416</v>
      </c>
      <c r="G1375" s="30" t="str">
        <f t="shared" si="130"/>
        <v/>
      </c>
      <c r="H1375" s="34"/>
      <c r="I1375" s="30"/>
      <c r="J1375" s="152">
        <v>0</v>
      </c>
      <c r="L1375" s="219"/>
      <c r="M1375" s="42"/>
      <c r="N1375" s="30" t="str">
        <f t="shared" si="131"/>
        <v/>
      </c>
      <c r="O1375" s="34"/>
      <c r="P1375" s="36" t="str">
        <f t="shared" si="126"/>
        <v/>
      </c>
      <c r="Q1375" s="216" t="str">
        <f t="shared" si="127"/>
        <v/>
      </c>
      <c r="R1375" s="216" t="str">
        <f t="shared" si="128"/>
        <v/>
      </c>
      <c r="S1375" s="217" t="str">
        <f t="shared" si="129"/>
        <v/>
      </c>
    </row>
    <row r="1376" spans="1:19" ht="15.75" hidden="1" thickBot="1" x14ac:dyDescent="0.3">
      <c r="A1376" s="262"/>
      <c r="B1376" s="260"/>
      <c r="C1376" s="35" t="s">
        <v>1017</v>
      </c>
      <c r="D1376" s="35" t="s">
        <v>583</v>
      </c>
      <c r="E1376" s="36">
        <v>0.34599999999999997</v>
      </c>
      <c r="F1376" s="30">
        <v>21.584</v>
      </c>
      <c r="G1376" s="33">
        <f t="shared" si="130"/>
        <v>7.4680639999999991</v>
      </c>
      <c r="H1376" s="38">
        <f>SUM(G1376:G1379)</f>
        <v>17.098973999999998</v>
      </c>
      <c r="I1376" s="39"/>
      <c r="J1376" s="152">
        <v>0</v>
      </c>
      <c r="L1376" s="215">
        <v>0.34599999999999997</v>
      </c>
      <c r="M1376" s="30">
        <v>18.475904</v>
      </c>
      <c r="N1376" s="33">
        <f t="shared" si="131"/>
        <v>6.3926627839999997</v>
      </c>
      <c r="O1376" s="38">
        <f>SUM(N1376:N1379)</f>
        <v>14.636721743999999</v>
      </c>
      <c r="P1376" s="36" t="str">
        <f t="shared" si="126"/>
        <v/>
      </c>
      <c r="Q1376" s="216">
        <f t="shared" si="127"/>
        <v>0.14400000000000002</v>
      </c>
      <c r="R1376" s="216">
        <f t="shared" si="128"/>
        <v>0.14399999999999991</v>
      </c>
      <c r="S1376" s="217">
        <f t="shared" si="129"/>
        <v>0.14400000000000002</v>
      </c>
    </row>
    <row r="1377" spans="1:19" ht="15.75" hidden="1" thickBot="1" x14ac:dyDescent="0.3">
      <c r="A1377" s="262"/>
      <c r="B1377" s="260"/>
      <c r="C1377" s="35" t="s">
        <v>1018</v>
      </c>
      <c r="D1377" s="35" t="s">
        <v>583</v>
      </c>
      <c r="E1377" s="36">
        <v>0.34599999999999997</v>
      </c>
      <c r="F1377" s="30">
        <v>27.835000000000001</v>
      </c>
      <c r="G1377" s="33">
        <f t="shared" si="130"/>
        <v>9.6309100000000001</v>
      </c>
      <c r="H1377" s="34"/>
      <c r="I1377" s="30"/>
      <c r="J1377" s="152">
        <v>0</v>
      </c>
      <c r="L1377" s="215">
        <v>0.34599999999999997</v>
      </c>
      <c r="M1377" s="30">
        <v>23.82676</v>
      </c>
      <c r="N1377" s="33">
        <f t="shared" si="131"/>
        <v>8.2440589600000003</v>
      </c>
      <c r="O1377" s="34"/>
      <c r="P1377" s="36" t="str">
        <f t="shared" si="126"/>
        <v/>
      </c>
      <c r="Q1377" s="216">
        <f t="shared" si="127"/>
        <v>0.14400000000000002</v>
      </c>
      <c r="R1377" s="216">
        <f t="shared" si="128"/>
        <v>0.14400000000000002</v>
      </c>
      <c r="S1377" s="217" t="str">
        <f t="shared" si="129"/>
        <v/>
      </c>
    </row>
    <row r="1378" spans="1:19" ht="15.75" hidden="1" thickBot="1" x14ac:dyDescent="0.3">
      <c r="A1378" s="262"/>
      <c r="B1378" s="260"/>
      <c r="C1378" s="35" t="s">
        <v>335</v>
      </c>
      <c r="D1378" s="35" t="s">
        <v>69</v>
      </c>
      <c r="E1378" s="36">
        <v>1</v>
      </c>
      <c r="F1378" s="33" t="s">
        <v>416</v>
      </c>
      <c r="G1378" s="33" t="str">
        <f t="shared" si="130"/>
        <v/>
      </c>
      <c r="H1378" s="34"/>
      <c r="I1378" s="30"/>
      <c r="J1378" s="152">
        <v>0</v>
      </c>
      <c r="L1378" s="215">
        <v>1</v>
      </c>
      <c r="M1378" s="33"/>
      <c r="N1378" s="33" t="str">
        <f t="shared" si="131"/>
        <v/>
      </c>
      <c r="O1378" s="34"/>
      <c r="P1378" s="36" t="str">
        <f t="shared" si="126"/>
        <v/>
      </c>
      <c r="Q1378" s="216" t="str">
        <f t="shared" si="127"/>
        <v/>
      </c>
      <c r="R1378" s="216" t="str">
        <f t="shared" si="128"/>
        <v/>
      </c>
      <c r="S1378" s="217" t="str">
        <f t="shared" si="129"/>
        <v/>
      </c>
    </row>
    <row r="1379" spans="1:19" ht="15.75" hidden="1" thickBot="1" x14ac:dyDescent="0.3">
      <c r="A1379" s="262"/>
      <c r="B1379" s="260"/>
      <c r="C1379" s="35" t="s">
        <v>5786</v>
      </c>
      <c r="D1379" s="35" t="s">
        <v>16</v>
      </c>
      <c r="E1379" s="36">
        <v>2</v>
      </c>
      <c r="F1379" s="33" t="s">
        <v>416</v>
      </c>
      <c r="G1379" s="33" t="str">
        <f t="shared" si="130"/>
        <v/>
      </c>
      <c r="H1379" s="34"/>
      <c r="I1379" s="30"/>
      <c r="J1379" s="152">
        <v>0</v>
      </c>
      <c r="L1379" s="215">
        <v>2</v>
      </c>
      <c r="M1379" s="33"/>
      <c r="N1379" s="33" t="str">
        <f t="shared" si="131"/>
        <v/>
      </c>
      <c r="O1379" s="34"/>
      <c r="P1379" s="36" t="str">
        <f t="shared" si="126"/>
        <v/>
      </c>
      <c r="Q1379" s="216" t="str">
        <f t="shared" si="127"/>
        <v/>
      </c>
      <c r="R1379" s="216" t="str">
        <f t="shared" si="128"/>
        <v/>
      </c>
      <c r="S1379" s="217" t="str">
        <f t="shared" si="129"/>
        <v/>
      </c>
    </row>
    <row r="1380" spans="1:19" ht="15.75" hidden="1" thickBot="1" x14ac:dyDescent="0.3">
      <c r="A1380" s="263"/>
      <c r="B1380" s="261"/>
      <c r="C1380" s="35"/>
      <c r="D1380" s="35"/>
      <c r="E1380" s="36"/>
      <c r="F1380" s="30" t="s">
        <v>416</v>
      </c>
      <c r="G1380" s="30" t="str">
        <f t="shared" si="130"/>
        <v/>
      </c>
      <c r="H1380" s="34"/>
      <c r="I1380" s="30"/>
      <c r="J1380" s="152">
        <v>0</v>
      </c>
      <c r="L1380" s="215"/>
      <c r="M1380" s="30"/>
      <c r="N1380" s="30" t="str">
        <f t="shared" si="131"/>
        <v/>
      </c>
      <c r="O1380" s="34"/>
      <c r="P1380" s="36" t="str">
        <f t="shared" si="126"/>
        <v/>
      </c>
      <c r="Q1380" s="216" t="str">
        <f t="shared" si="127"/>
        <v/>
      </c>
      <c r="R1380" s="216" t="str">
        <f t="shared" si="128"/>
        <v/>
      </c>
      <c r="S1380" s="217" t="str">
        <f t="shared" si="129"/>
        <v/>
      </c>
    </row>
    <row r="1381" spans="1:19" ht="15.75" hidden="1" thickBot="1" x14ac:dyDescent="0.3">
      <c r="A1381" s="256" t="s">
        <v>336</v>
      </c>
      <c r="B1381" s="259" t="str">
        <f>INDEX(Orçamentária!A:B,MATCH(Composições!A1381,Orçamentária!A:A,0),2)</f>
        <v>Caixa de passagem em PVC 150 x 150 x 75 mm</v>
      </c>
      <c r="C1381" s="40"/>
      <c r="D1381" s="25" t="s">
        <v>16</v>
      </c>
      <c r="E1381" s="26"/>
      <c r="F1381" s="41" t="s">
        <v>416</v>
      </c>
      <c r="G1381" s="27" t="str">
        <f t="shared" si="130"/>
        <v/>
      </c>
      <c r="H1381" s="28"/>
      <c r="I1381" s="29"/>
      <c r="J1381" s="152">
        <v>0</v>
      </c>
      <c r="L1381" s="218"/>
      <c r="M1381" s="41"/>
      <c r="N1381" s="27" t="str">
        <f t="shared" si="131"/>
        <v/>
      </c>
      <c r="O1381" s="28"/>
      <c r="P1381" s="36" t="str">
        <f t="shared" si="126"/>
        <v/>
      </c>
      <c r="Q1381" s="216" t="str">
        <f t="shared" si="127"/>
        <v/>
      </c>
      <c r="R1381" s="216" t="str">
        <f t="shared" si="128"/>
        <v/>
      </c>
      <c r="S1381" s="217" t="str">
        <f t="shared" si="129"/>
        <v/>
      </c>
    </row>
    <row r="1382" spans="1:19" ht="15.75" hidden="1" thickBot="1" x14ac:dyDescent="0.3">
      <c r="A1382" s="262"/>
      <c r="B1382" s="260"/>
      <c r="C1382" s="31"/>
      <c r="D1382" s="31"/>
      <c r="E1382" s="32"/>
      <c r="F1382" s="42" t="s">
        <v>416</v>
      </c>
      <c r="G1382" s="30" t="str">
        <f t="shared" si="130"/>
        <v/>
      </c>
      <c r="H1382" s="34"/>
      <c r="I1382" s="30"/>
      <c r="J1382" s="152">
        <v>0</v>
      </c>
      <c r="L1382" s="219"/>
      <c r="M1382" s="42"/>
      <c r="N1382" s="30" t="str">
        <f t="shared" si="131"/>
        <v/>
      </c>
      <c r="O1382" s="34"/>
      <c r="P1382" s="36" t="str">
        <f t="shared" si="126"/>
        <v/>
      </c>
      <c r="Q1382" s="216" t="str">
        <f t="shared" si="127"/>
        <v/>
      </c>
      <c r="R1382" s="216" t="str">
        <f t="shared" si="128"/>
        <v/>
      </c>
      <c r="S1382" s="217" t="str">
        <f t="shared" si="129"/>
        <v/>
      </c>
    </row>
    <row r="1383" spans="1:19" ht="15.75" hidden="1" thickBot="1" x14ac:dyDescent="0.3">
      <c r="A1383" s="262"/>
      <c r="B1383" s="260"/>
      <c r="C1383" s="35" t="s">
        <v>1018</v>
      </c>
      <c r="D1383" s="35" t="s">
        <v>583</v>
      </c>
      <c r="E1383" s="36">
        <v>0.34599999999999997</v>
      </c>
      <c r="F1383" s="30">
        <v>27.835000000000001</v>
      </c>
      <c r="G1383" s="33">
        <f t="shared" si="130"/>
        <v>9.6309100000000001</v>
      </c>
      <c r="H1383" s="38">
        <f>SUM(G1383:G1385)</f>
        <v>73.343932999999993</v>
      </c>
      <c r="I1383" s="39"/>
      <c r="J1383" s="152">
        <v>0</v>
      </c>
      <c r="L1383" s="215">
        <v>0.34599999999999997</v>
      </c>
      <c r="M1383" s="30">
        <v>23.82676</v>
      </c>
      <c r="N1383" s="33">
        <f t="shared" si="131"/>
        <v>8.2440589600000003</v>
      </c>
      <c r="O1383" s="38">
        <f>SUM(N1383:N1385)</f>
        <v>62.782406647999998</v>
      </c>
      <c r="P1383" s="36" t="str">
        <f t="shared" si="126"/>
        <v/>
      </c>
      <c r="Q1383" s="216">
        <f t="shared" si="127"/>
        <v>0.14400000000000002</v>
      </c>
      <c r="R1383" s="216">
        <f t="shared" si="128"/>
        <v>0.14400000000000002</v>
      </c>
      <c r="S1383" s="217">
        <f t="shared" si="129"/>
        <v>0.14399999999999991</v>
      </c>
    </row>
    <row r="1384" spans="1:19" ht="15.75" hidden="1" thickBot="1" x14ac:dyDescent="0.3">
      <c r="A1384" s="262"/>
      <c r="B1384" s="260"/>
      <c r="C1384" s="35" t="s">
        <v>584</v>
      </c>
      <c r="D1384" s="35" t="s">
        <v>583</v>
      </c>
      <c r="E1384" s="36">
        <v>0.34599999999999997</v>
      </c>
      <c r="F1384" s="30">
        <v>20.225499999999997</v>
      </c>
      <c r="G1384" s="33">
        <f t="shared" si="130"/>
        <v>6.9980229999999981</v>
      </c>
      <c r="H1384" s="34"/>
      <c r="I1384" s="30"/>
      <c r="J1384" s="152">
        <v>0</v>
      </c>
      <c r="L1384" s="215">
        <v>0.34599999999999997</v>
      </c>
      <c r="M1384" s="30">
        <v>17.313027999999996</v>
      </c>
      <c r="N1384" s="33">
        <f t="shared" si="131"/>
        <v>5.9903076879999979</v>
      </c>
      <c r="O1384" s="34"/>
      <c r="P1384" s="36" t="str">
        <f t="shared" si="126"/>
        <v/>
      </c>
      <c r="Q1384" s="216">
        <f t="shared" si="127"/>
        <v>0.14400000000000013</v>
      </c>
      <c r="R1384" s="216">
        <f t="shared" si="128"/>
        <v>0.14400000000000002</v>
      </c>
      <c r="S1384" s="217" t="str">
        <f t="shared" si="129"/>
        <v/>
      </c>
    </row>
    <row r="1385" spans="1:19" ht="26.25" hidden="1" thickBot="1" x14ac:dyDescent="0.3">
      <c r="A1385" s="262"/>
      <c r="B1385" s="260"/>
      <c r="C1385" s="35" t="s">
        <v>337</v>
      </c>
      <c r="D1385" s="35" t="s">
        <v>213</v>
      </c>
      <c r="E1385" s="36">
        <v>1</v>
      </c>
      <c r="F1385" s="33">
        <v>56.715000000000003</v>
      </c>
      <c r="G1385" s="30">
        <f t="shared" si="130"/>
        <v>56.715000000000003</v>
      </c>
      <c r="H1385" s="34"/>
      <c r="I1385" s="30"/>
      <c r="J1385" s="152">
        <v>0</v>
      </c>
      <c r="L1385" s="215">
        <v>1</v>
      </c>
      <c r="M1385" s="33">
        <v>48.54804</v>
      </c>
      <c r="N1385" s="30">
        <f t="shared" si="131"/>
        <v>48.54804</v>
      </c>
      <c r="O1385" s="34"/>
      <c r="P1385" s="36" t="str">
        <f t="shared" si="126"/>
        <v/>
      </c>
      <c r="Q1385" s="216">
        <f t="shared" si="127"/>
        <v>0.14400000000000002</v>
      </c>
      <c r="R1385" s="216">
        <f t="shared" si="128"/>
        <v>0.14400000000000002</v>
      </c>
      <c r="S1385" s="217" t="str">
        <f t="shared" si="129"/>
        <v/>
      </c>
    </row>
    <row r="1386" spans="1:19" ht="15.75" hidden="1" thickBot="1" x14ac:dyDescent="0.3">
      <c r="A1386" s="263"/>
      <c r="B1386" s="261"/>
      <c r="C1386" s="35"/>
      <c r="D1386" s="35"/>
      <c r="E1386" s="36"/>
      <c r="F1386" s="30" t="s">
        <v>416</v>
      </c>
      <c r="G1386" s="30" t="str">
        <f t="shared" si="130"/>
        <v/>
      </c>
      <c r="H1386" s="34"/>
      <c r="I1386" s="30"/>
      <c r="J1386" s="152">
        <v>0</v>
      </c>
      <c r="L1386" s="215"/>
      <c r="M1386" s="30"/>
      <c r="N1386" s="30" t="str">
        <f t="shared" si="131"/>
        <v/>
      </c>
      <c r="O1386" s="34"/>
      <c r="P1386" s="36" t="str">
        <f t="shared" si="126"/>
        <v/>
      </c>
      <c r="Q1386" s="216" t="str">
        <f t="shared" si="127"/>
        <v/>
      </c>
      <c r="R1386" s="216" t="str">
        <f t="shared" si="128"/>
        <v/>
      </c>
      <c r="S1386" s="217" t="str">
        <f t="shared" si="129"/>
        <v/>
      </c>
    </row>
    <row r="1387" spans="1:19" ht="15.75" hidden="1" thickBot="1" x14ac:dyDescent="0.3">
      <c r="A1387" s="256" t="s">
        <v>338</v>
      </c>
      <c r="B1387" s="259" t="str">
        <f>INDEX(Orçamentária!A:B,MATCH(Composições!A1387,Orçamentária!A:A,0),2)</f>
        <v>Caixa para piso elevado</v>
      </c>
      <c r="C1387" s="40"/>
      <c r="D1387" s="25" t="s">
        <v>16</v>
      </c>
      <c r="E1387" s="26"/>
      <c r="F1387" s="41" t="s">
        <v>416</v>
      </c>
      <c r="G1387" s="27" t="str">
        <f t="shared" si="130"/>
        <v/>
      </c>
      <c r="H1387" s="28"/>
      <c r="I1387" s="29"/>
      <c r="J1387" s="152">
        <v>0</v>
      </c>
      <c r="L1387" s="218"/>
      <c r="M1387" s="41"/>
      <c r="N1387" s="27" t="str">
        <f t="shared" si="131"/>
        <v/>
      </c>
      <c r="O1387" s="28"/>
      <c r="P1387" s="36" t="str">
        <f t="shared" si="126"/>
        <v/>
      </c>
      <c r="Q1387" s="216" t="str">
        <f t="shared" si="127"/>
        <v/>
      </c>
      <c r="R1387" s="216" t="str">
        <f t="shared" si="128"/>
        <v/>
      </c>
      <c r="S1387" s="217" t="str">
        <f t="shared" si="129"/>
        <v/>
      </c>
    </row>
    <row r="1388" spans="1:19" ht="15.75" hidden="1" thickBot="1" x14ac:dyDescent="0.3">
      <c r="A1388" s="262"/>
      <c r="B1388" s="260"/>
      <c r="C1388" s="31"/>
      <c r="D1388" s="31"/>
      <c r="E1388" s="32"/>
      <c r="F1388" s="42" t="s">
        <v>416</v>
      </c>
      <c r="G1388" s="30" t="str">
        <f t="shared" si="130"/>
        <v/>
      </c>
      <c r="H1388" s="34"/>
      <c r="I1388" s="30"/>
      <c r="J1388" s="152">
        <v>0</v>
      </c>
      <c r="L1388" s="219"/>
      <c r="M1388" s="42"/>
      <c r="N1388" s="30" t="str">
        <f t="shared" si="131"/>
        <v/>
      </c>
      <c r="O1388" s="34"/>
      <c r="P1388" s="36" t="str">
        <f t="shared" si="126"/>
        <v/>
      </c>
      <c r="Q1388" s="216" t="str">
        <f t="shared" si="127"/>
        <v/>
      </c>
      <c r="R1388" s="216" t="str">
        <f t="shared" si="128"/>
        <v/>
      </c>
      <c r="S1388" s="217" t="str">
        <f t="shared" si="129"/>
        <v/>
      </c>
    </row>
    <row r="1389" spans="1:19" ht="15.75" hidden="1" thickBot="1" x14ac:dyDescent="0.3">
      <c r="A1389" s="262"/>
      <c r="B1389" s="260"/>
      <c r="C1389" s="35" t="s">
        <v>1018</v>
      </c>
      <c r="D1389" s="35" t="s">
        <v>583</v>
      </c>
      <c r="E1389" s="36">
        <v>0.34599999999999997</v>
      </c>
      <c r="F1389" s="30">
        <v>27.835000000000001</v>
      </c>
      <c r="G1389" s="30">
        <f t="shared" si="130"/>
        <v>9.6309100000000001</v>
      </c>
      <c r="H1389" s="38">
        <f>SUM(G1389:G1391)</f>
        <v>17.098973999999998</v>
      </c>
      <c r="I1389" s="39"/>
      <c r="J1389" s="152">
        <v>0</v>
      </c>
      <c r="L1389" s="215">
        <v>0.34599999999999997</v>
      </c>
      <c r="M1389" s="30">
        <v>23.82676</v>
      </c>
      <c r="N1389" s="30">
        <f t="shared" si="131"/>
        <v>8.2440589600000003</v>
      </c>
      <c r="O1389" s="38">
        <f>SUM(N1389:N1391)</f>
        <v>14.636721743999999</v>
      </c>
      <c r="P1389" s="36" t="str">
        <f t="shared" si="126"/>
        <v/>
      </c>
      <c r="Q1389" s="216">
        <f t="shared" si="127"/>
        <v>0.14400000000000002</v>
      </c>
      <c r="R1389" s="216">
        <f t="shared" si="128"/>
        <v>0.14400000000000002</v>
      </c>
      <c r="S1389" s="217">
        <f t="shared" si="129"/>
        <v>0.14400000000000002</v>
      </c>
    </row>
    <row r="1390" spans="1:19" ht="15.75" hidden="1" thickBot="1" x14ac:dyDescent="0.3">
      <c r="A1390" s="262"/>
      <c r="B1390" s="260"/>
      <c r="C1390" s="35" t="s">
        <v>1017</v>
      </c>
      <c r="D1390" s="35" t="s">
        <v>583</v>
      </c>
      <c r="E1390" s="36">
        <v>0.34599999999999997</v>
      </c>
      <c r="F1390" s="30">
        <v>21.584</v>
      </c>
      <c r="G1390" s="30">
        <f t="shared" si="130"/>
        <v>7.4680639999999991</v>
      </c>
      <c r="H1390" s="34"/>
      <c r="I1390" s="30"/>
      <c r="J1390" s="152">
        <v>0</v>
      </c>
      <c r="L1390" s="215">
        <v>0.34599999999999997</v>
      </c>
      <c r="M1390" s="30">
        <v>18.475904</v>
      </c>
      <c r="N1390" s="30">
        <f t="shared" si="131"/>
        <v>6.3926627839999997</v>
      </c>
      <c r="O1390" s="34"/>
      <c r="P1390" s="36" t="str">
        <f t="shared" si="126"/>
        <v/>
      </c>
      <c r="Q1390" s="216">
        <f t="shared" si="127"/>
        <v>0.14400000000000002</v>
      </c>
      <c r="R1390" s="216">
        <f t="shared" si="128"/>
        <v>0.14399999999999991</v>
      </c>
      <c r="S1390" s="217" t="str">
        <f t="shared" si="129"/>
        <v/>
      </c>
    </row>
    <row r="1391" spans="1:19" ht="26.25" hidden="1" thickBot="1" x14ac:dyDescent="0.3">
      <c r="A1391" s="262"/>
      <c r="B1391" s="260"/>
      <c r="C1391" s="35" t="s">
        <v>339</v>
      </c>
      <c r="D1391" s="46" t="s">
        <v>16</v>
      </c>
      <c r="E1391" s="36">
        <v>1</v>
      </c>
      <c r="F1391" s="33" t="s">
        <v>416</v>
      </c>
      <c r="G1391" s="30" t="str">
        <f t="shared" si="130"/>
        <v/>
      </c>
      <c r="H1391" s="34"/>
      <c r="I1391" s="30"/>
      <c r="J1391" s="152">
        <v>0</v>
      </c>
      <c r="L1391" s="215">
        <v>1</v>
      </c>
      <c r="M1391" s="33"/>
      <c r="N1391" s="30" t="str">
        <f t="shared" si="131"/>
        <v/>
      </c>
      <c r="O1391" s="34"/>
      <c r="P1391" s="36" t="str">
        <f t="shared" si="126"/>
        <v/>
      </c>
      <c r="Q1391" s="216" t="str">
        <f t="shared" si="127"/>
        <v/>
      </c>
      <c r="R1391" s="216" t="str">
        <f t="shared" si="128"/>
        <v/>
      </c>
      <c r="S1391" s="217" t="str">
        <f t="shared" si="129"/>
        <v/>
      </c>
    </row>
    <row r="1392" spans="1:19" ht="15.75" hidden="1" thickBot="1" x14ac:dyDescent="0.3">
      <c r="A1392" s="262"/>
      <c r="B1392" s="260"/>
      <c r="C1392" s="35"/>
      <c r="D1392" s="46"/>
      <c r="E1392" s="36"/>
      <c r="F1392" s="33" t="s">
        <v>416</v>
      </c>
      <c r="G1392" s="30" t="str">
        <f t="shared" si="130"/>
        <v/>
      </c>
      <c r="H1392" s="34"/>
      <c r="I1392" s="30"/>
      <c r="J1392" s="152">
        <v>0</v>
      </c>
      <c r="L1392" s="215"/>
      <c r="M1392" s="33"/>
      <c r="N1392" s="30" t="str">
        <f t="shared" si="131"/>
        <v/>
      </c>
      <c r="O1392" s="34"/>
      <c r="P1392" s="36" t="str">
        <f t="shared" si="126"/>
        <v/>
      </c>
      <c r="Q1392" s="216" t="str">
        <f t="shared" si="127"/>
        <v/>
      </c>
      <c r="R1392" s="216" t="str">
        <f t="shared" si="128"/>
        <v/>
      </c>
      <c r="S1392" s="217" t="str">
        <f t="shared" si="129"/>
        <v/>
      </c>
    </row>
    <row r="1393" spans="1:19" ht="15.75" hidden="1" thickBot="1" x14ac:dyDescent="0.3">
      <c r="A1393" s="256" t="s">
        <v>340</v>
      </c>
      <c r="B1393" s="259" t="str">
        <f>INDEX(Orçamentária!A:B,MATCH(Composições!A1393,Orçamentária!A:A,0),2)</f>
        <v>Canaleta em alumínio aparente 73 mm x 25 mm</v>
      </c>
      <c r="C1393" s="40"/>
      <c r="D1393" s="25" t="s">
        <v>69</v>
      </c>
      <c r="E1393" s="26"/>
      <c r="F1393" s="41" t="s">
        <v>416</v>
      </c>
      <c r="G1393" s="27" t="str">
        <f t="shared" si="130"/>
        <v/>
      </c>
      <c r="H1393" s="28"/>
      <c r="I1393" s="29"/>
      <c r="J1393" s="152">
        <v>0</v>
      </c>
      <c r="L1393" s="218"/>
      <c r="M1393" s="41"/>
      <c r="N1393" s="27" t="str">
        <f t="shared" si="131"/>
        <v/>
      </c>
      <c r="O1393" s="28"/>
      <c r="P1393" s="36" t="str">
        <f t="shared" si="126"/>
        <v/>
      </c>
      <c r="Q1393" s="216" t="str">
        <f t="shared" si="127"/>
        <v/>
      </c>
      <c r="R1393" s="216" t="str">
        <f t="shared" si="128"/>
        <v/>
      </c>
      <c r="S1393" s="217" t="str">
        <f t="shared" si="129"/>
        <v/>
      </c>
    </row>
    <row r="1394" spans="1:19" ht="15.75" hidden="1" thickBot="1" x14ac:dyDescent="0.3">
      <c r="A1394" s="262"/>
      <c r="B1394" s="260"/>
      <c r="C1394" s="31"/>
      <c r="D1394" s="31"/>
      <c r="E1394" s="32"/>
      <c r="F1394" s="42" t="s">
        <v>416</v>
      </c>
      <c r="G1394" s="30" t="str">
        <f t="shared" si="130"/>
        <v/>
      </c>
      <c r="H1394" s="34"/>
      <c r="I1394" s="30"/>
      <c r="J1394" s="152">
        <v>0</v>
      </c>
      <c r="L1394" s="219"/>
      <c r="M1394" s="42"/>
      <c r="N1394" s="30" t="str">
        <f t="shared" si="131"/>
        <v/>
      </c>
      <c r="O1394" s="34"/>
      <c r="P1394" s="36" t="str">
        <f t="shared" si="126"/>
        <v/>
      </c>
      <c r="Q1394" s="216" t="str">
        <f t="shared" si="127"/>
        <v/>
      </c>
      <c r="R1394" s="216" t="str">
        <f t="shared" si="128"/>
        <v/>
      </c>
      <c r="S1394" s="217" t="str">
        <f t="shared" si="129"/>
        <v/>
      </c>
    </row>
    <row r="1395" spans="1:19" ht="26.25" hidden="1" thickBot="1" x14ac:dyDescent="0.3">
      <c r="A1395" s="262"/>
      <c r="B1395" s="260"/>
      <c r="C1395" s="35" t="s">
        <v>341</v>
      </c>
      <c r="D1395" s="35" t="s">
        <v>69</v>
      </c>
      <c r="E1395" s="36">
        <v>1.1499999999999999</v>
      </c>
      <c r="F1395" s="33" t="s">
        <v>416</v>
      </c>
      <c r="G1395" s="33" t="str">
        <f t="shared" si="130"/>
        <v/>
      </c>
      <c r="H1395" s="38">
        <f>SUM(G1395:G1397)</f>
        <v>8.8954199999999997</v>
      </c>
      <c r="I1395" s="39"/>
      <c r="J1395" s="152">
        <v>0</v>
      </c>
      <c r="L1395" s="215">
        <v>1.1499999999999999</v>
      </c>
      <c r="M1395" s="33"/>
      <c r="N1395" s="33" t="str">
        <f t="shared" si="131"/>
        <v/>
      </c>
      <c r="O1395" s="38">
        <f>SUM(N1395:N1397)</f>
        <v>7.6144795199999997</v>
      </c>
      <c r="P1395" s="36" t="str">
        <f t="shared" si="126"/>
        <v/>
      </c>
      <c r="Q1395" s="216" t="str">
        <f t="shared" si="127"/>
        <v/>
      </c>
      <c r="R1395" s="216" t="str">
        <f t="shared" si="128"/>
        <v/>
      </c>
      <c r="S1395" s="217">
        <f t="shared" si="129"/>
        <v>0.14400000000000002</v>
      </c>
    </row>
    <row r="1396" spans="1:19" ht="15.75" hidden="1" thickBot="1" x14ac:dyDescent="0.3">
      <c r="A1396" s="262"/>
      <c r="B1396" s="260"/>
      <c r="C1396" s="35" t="s">
        <v>1017</v>
      </c>
      <c r="D1396" s="35" t="s">
        <v>583</v>
      </c>
      <c r="E1396" s="36">
        <v>0.18</v>
      </c>
      <c r="F1396" s="30">
        <v>21.584</v>
      </c>
      <c r="G1396" s="33">
        <f t="shared" si="130"/>
        <v>3.8851199999999997</v>
      </c>
      <c r="H1396" s="34"/>
      <c r="I1396" s="30"/>
      <c r="J1396" s="152">
        <v>0</v>
      </c>
      <c r="L1396" s="215">
        <v>0.18</v>
      </c>
      <c r="M1396" s="30">
        <v>18.475904</v>
      </c>
      <c r="N1396" s="33">
        <f t="shared" si="131"/>
        <v>3.32566272</v>
      </c>
      <c r="O1396" s="34"/>
      <c r="P1396" s="36" t="str">
        <f t="shared" si="126"/>
        <v/>
      </c>
      <c r="Q1396" s="216">
        <f t="shared" si="127"/>
        <v>0.14400000000000002</v>
      </c>
      <c r="R1396" s="216">
        <f t="shared" si="128"/>
        <v>0.14399999999999991</v>
      </c>
      <c r="S1396" s="217" t="str">
        <f t="shared" si="129"/>
        <v/>
      </c>
    </row>
    <row r="1397" spans="1:19" ht="15.75" hidden="1" thickBot="1" x14ac:dyDescent="0.3">
      <c r="A1397" s="262"/>
      <c r="B1397" s="260"/>
      <c r="C1397" s="35" t="s">
        <v>1018</v>
      </c>
      <c r="D1397" s="35" t="s">
        <v>583</v>
      </c>
      <c r="E1397" s="36">
        <v>0.18</v>
      </c>
      <c r="F1397" s="30">
        <v>27.835000000000001</v>
      </c>
      <c r="G1397" s="33">
        <f t="shared" si="130"/>
        <v>5.0103</v>
      </c>
      <c r="H1397" s="34"/>
      <c r="I1397" s="30"/>
      <c r="J1397" s="152">
        <v>0</v>
      </c>
      <c r="L1397" s="215">
        <v>0.18</v>
      </c>
      <c r="M1397" s="30">
        <v>23.82676</v>
      </c>
      <c r="N1397" s="33">
        <f t="shared" si="131"/>
        <v>4.2888168000000002</v>
      </c>
      <c r="O1397" s="34"/>
      <c r="P1397" s="36" t="str">
        <f t="shared" si="126"/>
        <v/>
      </c>
      <c r="Q1397" s="216">
        <f t="shared" si="127"/>
        <v>0.14400000000000002</v>
      </c>
      <c r="R1397" s="216">
        <f t="shared" si="128"/>
        <v>0.14399999999999991</v>
      </c>
      <c r="S1397" s="217" t="str">
        <f t="shared" si="129"/>
        <v/>
      </c>
    </row>
    <row r="1398" spans="1:19" ht="15.75" hidden="1" thickBot="1" x14ac:dyDescent="0.3">
      <c r="A1398" s="263"/>
      <c r="B1398" s="261"/>
      <c r="C1398" s="35"/>
      <c r="D1398" s="35"/>
      <c r="E1398" s="36"/>
      <c r="F1398" s="30" t="s">
        <v>416</v>
      </c>
      <c r="G1398" s="30" t="str">
        <f t="shared" si="130"/>
        <v/>
      </c>
      <c r="H1398" s="34"/>
      <c r="I1398" s="30"/>
      <c r="J1398" s="152">
        <v>0</v>
      </c>
      <c r="L1398" s="215"/>
      <c r="M1398" s="30"/>
      <c r="N1398" s="30" t="str">
        <f t="shared" si="131"/>
        <v/>
      </c>
      <c r="O1398" s="34"/>
      <c r="P1398" s="36" t="str">
        <f t="shared" si="126"/>
        <v/>
      </c>
      <c r="Q1398" s="216" t="str">
        <f t="shared" si="127"/>
        <v/>
      </c>
      <c r="R1398" s="216" t="str">
        <f t="shared" si="128"/>
        <v/>
      </c>
      <c r="S1398" s="217" t="str">
        <f t="shared" si="129"/>
        <v/>
      </c>
    </row>
    <row r="1399" spans="1:19" ht="15.75" hidden="1" thickBot="1" x14ac:dyDescent="0.3">
      <c r="A1399" s="256" t="s">
        <v>342</v>
      </c>
      <c r="B1399" s="259" t="str">
        <f>INDEX(Orçamentária!A:B,MATCH(Composições!A1399,Orçamentária!A:A,0),2)</f>
        <v>Condulete de alumínio de 1"</v>
      </c>
      <c r="C1399" s="40"/>
      <c r="D1399" s="25" t="s">
        <v>16</v>
      </c>
      <c r="E1399" s="26"/>
      <c r="F1399" s="41" t="s">
        <v>416</v>
      </c>
      <c r="G1399" s="27" t="str">
        <f t="shared" si="130"/>
        <v/>
      </c>
      <c r="H1399" s="28"/>
      <c r="I1399" s="29"/>
      <c r="J1399" s="152">
        <v>0</v>
      </c>
      <c r="L1399" s="218"/>
      <c r="M1399" s="41"/>
      <c r="N1399" s="27" t="str">
        <f t="shared" si="131"/>
        <v/>
      </c>
      <c r="O1399" s="28"/>
      <c r="P1399" s="36" t="str">
        <f t="shared" si="126"/>
        <v/>
      </c>
      <c r="Q1399" s="216" t="str">
        <f t="shared" si="127"/>
        <v/>
      </c>
      <c r="R1399" s="216" t="str">
        <f t="shared" si="128"/>
        <v/>
      </c>
      <c r="S1399" s="217" t="str">
        <f t="shared" si="129"/>
        <v/>
      </c>
    </row>
    <row r="1400" spans="1:19" ht="15.75" hidden="1" thickBot="1" x14ac:dyDescent="0.3">
      <c r="A1400" s="262"/>
      <c r="B1400" s="260"/>
      <c r="C1400" s="31"/>
      <c r="D1400" s="31"/>
      <c r="E1400" s="32"/>
      <c r="F1400" s="42" t="s">
        <v>416</v>
      </c>
      <c r="G1400" s="30" t="str">
        <f t="shared" si="130"/>
        <v/>
      </c>
      <c r="H1400" s="34"/>
      <c r="I1400" s="30"/>
      <c r="J1400" s="152">
        <v>0</v>
      </c>
      <c r="L1400" s="219"/>
      <c r="M1400" s="42"/>
      <c r="N1400" s="30" t="str">
        <f t="shared" si="131"/>
        <v/>
      </c>
      <c r="O1400" s="34"/>
      <c r="P1400" s="36" t="str">
        <f t="shared" si="126"/>
        <v/>
      </c>
      <c r="Q1400" s="216" t="str">
        <f t="shared" si="127"/>
        <v/>
      </c>
      <c r="R1400" s="216" t="str">
        <f t="shared" si="128"/>
        <v/>
      </c>
      <c r="S1400" s="217" t="str">
        <f t="shared" si="129"/>
        <v/>
      </c>
    </row>
    <row r="1401" spans="1:19" ht="15.75" hidden="1" thickBot="1" x14ac:dyDescent="0.3">
      <c r="A1401" s="262"/>
      <c r="B1401" s="260"/>
      <c r="C1401" s="35" t="s">
        <v>1017</v>
      </c>
      <c r="D1401" s="35" t="s">
        <v>583</v>
      </c>
      <c r="E1401" s="36">
        <v>0.53849999999999998</v>
      </c>
      <c r="F1401" s="30">
        <v>21.584</v>
      </c>
      <c r="G1401" s="33">
        <f t="shared" si="130"/>
        <v>11.622983999999999</v>
      </c>
      <c r="H1401" s="38">
        <f>SUM(G1401:G1404)</f>
        <v>43.693131499999993</v>
      </c>
      <c r="I1401" s="39"/>
      <c r="J1401" s="152">
        <v>0</v>
      </c>
      <c r="L1401" s="215">
        <v>0.53849999999999998</v>
      </c>
      <c r="M1401" s="30">
        <v>18.475904</v>
      </c>
      <c r="N1401" s="33">
        <f t="shared" si="131"/>
        <v>9.9492743039999993</v>
      </c>
      <c r="O1401" s="38">
        <f>SUM(N1401:N1404)</f>
        <v>37.401320564000002</v>
      </c>
      <c r="P1401" s="36" t="str">
        <f t="shared" si="126"/>
        <v/>
      </c>
      <c r="Q1401" s="216">
        <f t="shared" si="127"/>
        <v>0.14400000000000002</v>
      </c>
      <c r="R1401" s="216">
        <f t="shared" si="128"/>
        <v>0.14400000000000002</v>
      </c>
      <c r="S1401" s="217">
        <f t="shared" si="129"/>
        <v>0.14399999999999979</v>
      </c>
    </row>
    <row r="1402" spans="1:19" ht="15.75" hidden="1" thickBot="1" x14ac:dyDescent="0.3">
      <c r="A1402" s="262"/>
      <c r="B1402" s="260"/>
      <c r="C1402" s="35" t="s">
        <v>1018</v>
      </c>
      <c r="D1402" s="35" t="s">
        <v>583</v>
      </c>
      <c r="E1402" s="36">
        <v>0.53849999999999998</v>
      </c>
      <c r="F1402" s="30">
        <v>27.835000000000001</v>
      </c>
      <c r="G1402" s="33">
        <f t="shared" si="130"/>
        <v>14.9891475</v>
      </c>
      <c r="H1402" s="34"/>
      <c r="I1402" s="30"/>
      <c r="J1402" s="152">
        <v>0</v>
      </c>
      <c r="L1402" s="215">
        <v>0.53849999999999998</v>
      </c>
      <c r="M1402" s="30">
        <v>23.82676</v>
      </c>
      <c r="N1402" s="33">
        <f t="shared" si="131"/>
        <v>12.83071026</v>
      </c>
      <c r="O1402" s="34"/>
      <c r="P1402" s="36" t="str">
        <f t="shared" si="126"/>
        <v/>
      </c>
      <c r="Q1402" s="216">
        <f t="shared" si="127"/>
        <v>0.14400000000000002</v>
      </c>
      <c r="R1402" s="216">
        <f t="shared" si="128"/>
        <v>0.14400000000000002</v>
      </c>
      <c r="S1402" s="217" t="str">
        <f t="shared" si="129"/>
        <v/>
      </c>
    </row>
    <row r="1403" spans="1:19" ht="39" hidden="1" thickBot="1" x14ac:dyDescent="0.3">
      <c r="A1403" s="262"/>
      <c r="B1403" s="260"/>
      <c r="C1403" s="35" t="s">
        <v>8010</v>
      </c>
      <c r="D1403" s="35" t="s">
        <v>213</v>
      </c>
      <c r="E1403" s="36">
        <v>2</v>
      </c>
      <c r="F1403" s="33">
        <v>0.3705</v>
      </c>
      <c r="G1403" s="33">
        <f t="shared" si="130"/>
        <v>0.74099999999999999</v>
      </c>
      <c r="H1403" s="34"/>
      <c r="I1403" s="30"/>
      <c r="J1403" s="152">
        <v>0</v>
      </c>
      <c r="L1403" s="215">
        <v>2</v>
      </c>
      <c r="M1403" s="33">
        <v>0.31714799999999999</v>
      </c>
      <c r="N1403" s="33">
        <f t="shared" si="131"/>
        <v>0.63429599999999997</v>
      </c>
      <c r="O1403" s="34"/>
      <c r="P1403" s="36" t="str">
        <f t="shared" si="126"/>
        <v/>
      </c>
      <c r="Q1403" s="216">
        <f t="shared" si="127"/>
        <v>0.14400000000000002</v>
      </c>
      <c r="R1403" s="216">
        <f t="shared" si="128"/>
        <v>0.14400000000000002</v>
      </c>
      <c r="S1403" s="217" t="str">
        <f t="shared" si="129"/>
        <v/>
      </c>
    </row>
    <row r="1404" spans="1:19" ht="26.25" hidden="1" thickBot="1" x14ac:dyDescent="0.3">
      <c r="A1404" s="262"/>
      <c r="B1404" s="260"/>
      <c r="C1404" s="35" t="s">
        <v>8078</v>
      </c>
      <c r="D1404" s="35" t="s">
        <v>213</v>
      </c>
      <c r="E1404" s="36">
        <v>1</v>
      </c>
      <c r="F1404" s="33">
        <v>16.34</v>
      </c>
      <c r="G1404" s="30">
        <f t="shared" si="130"/>
        <v>16.34</v>
      </c>
      <c r="H1404" s="34"/>
      <c r="I1404" s="30"/>
      <c r="J1404" s="152">
        <v>0</v>
      </c>
      <c r="L1404" s="215">
        <v>1</v>
      </c>
      <c r="M1404" s="33">
        <v>13.98704</v>
      </c>
      <c r="N1404" s="30">
        <f t="shared" si="131"/>
        <v>13.98704</v>
      </c>
      <c r="O1404" s="34"/>
      <c r="P1404" s="36" t="str">
        <f t="shared" si="126"/>
        <v/>
      </c>
      <c r="Q1404" s="216">
        <f t="shared" si="127"/>
        <v>0.14400000000000002</v>
      </c>
      <c r="R1404" s="216">
        <f t="shared" si="128"/>
        <v>0.14400000000000002</v>
      </c>
      <c r="S1404" s="217" t="str">
        <f t="shared" si="129"/>
        <v/>
      </c>
    </row>
    <row r="1405" spans="1:19" ht="15.75" hidden="1" thickBot="1" x14ac:dyDescent="0.3">
      <c r="A1405" s="263"/>
      <c r="B1405" s="261"/>
      <c r="C1405" s="35"/>
      <c r="D1405" s="35"/>
      <c r="E1405" s="36"/>
      <c r="F1405" s="30" t="s">
        <v>416</v>
      </c>
      <c r="G1405" s="30" t="str">
        <f t="shared" si="130"/>
        <v/>
      </c>
      <c r="H1405" s="34"/>
      <c r="I1405" s="30"/>
      <c r="J1405" s="152">
        <v>0</v>
      </c>
      <c r="L1405" s="215"/>
      <c r="M1405" s="30"/>
      <c r="N1405" s="30" t="str">
        <f t="shared" si="131"/>
        <v/>
      </c>
      <c r="O1405" s="34"/>
      <c r="P1405" s="36" t="str">
        <f t="shared" si="126"/>
        <v/>
      </c>
      <c r="Q1405" s="216" t="str">
        <f t="shared" si="127"/>
        <v/>
      </c>
      <c r="R1405" s="216" t="str">
        <f t="shared" si="128"/>
        <v/>
      </c>
      <c r="S1405" s="217" t="str">
        <f t="shared" si="129"/>
        <v/>
      </c>
    </row>
    <row r="1406" spans="1:19" ht="15.75" hidden="1" thickBot="1" x14ac:dyDescent="0.3">
      <c r="A1406" s="256" t="s">
        <v>343</v>
      </c>
      <c r="B1406" s="259" t="str">
        <f>INDEX(Orçamentária!A:B,MATCH(Composições!A1406,Orçamentária!A:A,0),2)</f>
        <v>Eletrocalha 100 x 50 mm</v>
      </c>
      <c r="C1406" s="40"/>
      <c r="D1406" s="25" t="s">
        <v>69</v>
      </c>
      <c r="E1406" s="26"/>
      <c r="F1406" s="41" t="s">
        <v>416</v>
      </c>
      <c r="G1406" s="27" t="str">
        <f t="shared" si="130"/>
        <v/>
      </c>
      <c r="H1406" s="28"/>
      <c r="I1406" s="29"/>
      <c r="J1406" s="152">
        <v>0</v>
      </c>
      <c r="L1406" s="218"/>
      <c r="M1406" s="41"/>
      <c r="N1406" s="27" t="str">
        <f t="shared" si="131"/>
        <v/>
      </c>
      <c r="O1406" s="28"/>
      <c r="P1406" s="36" t="str">
        <f t="shared" si="126"/>
        <v/>
      </c>
      <c r="Q1406" s="216" t="str">
        <f t="shared" si="127"/>
        <v/>
      </c>
      <c r="R1406" s="216" t="str">
        <f t="shared" si="128"/>
        <v/>
      </c>
      <c r="S1406" s="217" t="str">
        <f t="shared" si="129"/>
        <v/>
      </c>
    </row>
    <row r="1407" spans="1:19" ht="15.75" hidden="1" thickBot="1" x14ac:dyDescent="0.3">
      <c r="A1407" s="262"/>
      <c r="B1407" s="260"/>
      <c r="C1407" s="31"/>
      <c r="D1407" s="31"/>
      <c r="E1407" s="32"/>
      <c r="F1407" s="42" t="s">
        <v>416</v>
      </c>
      <c r="G1407" s="30" t="str">
        <f t="shared" si="130"/>
        <v/>
      </c>
      <c r="H1407" s="34"/>
      <c r="I1407" s="30"/>
      <c r="J1407" s="152">
        <v>0</v>
      </c>
      <c r="L1407" s="219"/>
      <c r="M1407" s="42"/>
      <c r="N1407" s="30" t="str">
        <f t="shared" si="131"/>
        <v/>
      </c>
      <c r="O1407" s="34"/>
      <c r="P1407" s="36" t="str">
        <f t="shared" si="126"/>
        <v/>
      </c>
      <c r="Q1407" s="216" t="str">
        <f t="shared" si="127"/>
        <v/>
      </c>
      <c r="R1407" s="216" t="str">
        <f t="shared" si="128"/>
        <v/>
      </c>
      <c r="S1407" s="217" t="str">
        <f t="shared" si="129"/>
        <v/>
      </c>
    </row>
    <row r="1408" spans="1:19" ht="15.75" hidden="1" thickBot="1" x14ac:dyDescent="0.3">
      <c r="A1408" s="262"/>
      <c r="B1408" s="260"/>
      <c r="C1408" s="35" t="s">
        <v>1018</v>
      </c>
      <c r="D1408" s="35" t="s">
        <v>583</v>
      </c>
      <c r="E1408" s="36">
        <v>0.45</v>
      </c>
      <c r="F1408" s="30">
        <v>27.835000000000001</v>
      </c>
      <c r="G1408" s="30">
        <f t="shared" si="130"/>
        <v>12.52575</v>
      </c>
      <c r="H1408" s="38">
        <f>SUM(G1408:G1419)</f>
        <v>36.2743763</v>
      </c>
      <c r="I1408" s="39"/>
      <c r="J1408" s="152">
        <v>0</v>
      </c>
      <c r="L1408" s="215">
        <v>0.45</v>
      </c>
      <c r="M1408" s="30">
        <v>23.82676</v>
      </c>
      <c r="N1408" s="30">
        <f t="shared" si="131"/>
        <v>10.722042</v>
      </c>
      <c r="O1408" s="38">
        <f>SUM(N1408:N1419)</f>
        <v>31.050866112799998</v>
      </c>
      <c r="P1408" s="36" t="str">
        <f t="shared" si="126"/>
        <v/>
      </c>
      <c r="Q1408" s="216">
        <f t="shared" si="127"/>
        <v>0.14400000000000002</v>
      </c>
      <c r="R1408" s="216">
        <f t="shared" si="128"/>
        <v>0.14400000000000002</v>
      </c>
      <c r="S1408" s="217">
        <f t="shared" si="129"/>
        <v>0.14400000000000002</v>
      </c>
    </row>
    <row r="1409" spans="1:19" ht="15.75" hidden="1" thickBot="1" x14ac:dyDescent="0.3">
      <c r="A1409" s="262"/>
      <c r="B1409" s="260"/>
      <c r="C1409" s="35" t="s">
        <v>1017</v>
      </c>
      <c r="D1409" s="35" t="s">
        <v>583</v>
      </c>
      <c r="E1409" s="36">
        <v>0.45</v>
      </c>
      <c r="F1409" s="30">
        <v>21.584</v>
      </c>
      <c r="G1409" s="30">
        <f t="shared" si="130"/>
        <v>9.7127999999999997</v>
      </c>
      <c r="H1409" s="34"/>
      <c r="I1409" s="30"/>
      <c r="J1409" s="152">
        <v>0</v>
      </c>
      <c r="L1409" s="215">
        <v>0.45</v>
      </c>
      <c r="M1409" s="30">
        <v>18.475904</v>
      </c>
      <c r="N1409" s="30">
        <f t="shared" si="131"/>
        <v>8.314156800000001</v>
      </c>
      <c r="O1409" s="34"/>
      <c r="P1409" s="36" t="str">
        <f t="shared" si="126"/>
        <v/>
      </c>
      <c r="Q1409" s="216">
        <f t="shared" si="127"/>
        <v>0.14400000000000002</v>
      </c>
      <c r="R1409" s="216">
        <f t="shared" si="128"/>
        <v>0.14399999999999991</v>
      </c>
      <c r="S1409" s="217" t="str">
        <f t="shared" si="129"/>
        <v/>
      </c>
    </row>
    <row r="1410" spans="1:19" ht="26.25" hidden="1" thickBot="1" x14ac:dyDescent="0.3">
      <c r="A1410" s="262"/>
      <c r="B1410" s="260"/>
      <c r="C1410" s="35" t="s">
        <v>344</v>
      </c>
      <c r="D1410" s="35" t="s">
        <v>107</v>
      </c>
      <c r="E1410" s="36">
        <v>0.67</v>
      </c>
      <c r="F1410" s="30">
        <v>9.1579999999999995</v>
      </c>
      <c r="G1410" s="30">
        <f t="shared" si="130"/>
        <v>6.1358600000000001</v>
      </c>
      <c r="H1410" s="61"/>
      <c r="I1410" s="1"/>
      <c r="J1410" s="152">
        <v>0</v>
      </c>
      <c r="L1410" s="215">
        <v>0.67</v>
      </c>
      <c r="M1410" s="30">
        <v>7.8392479999999995</v>
      </c>
      <c r="N1410" s="30">
        <f t="shared" si="131"/>
        <v>5.2522961600000002</v>
      </c>
      <c r="O1410" s="61"/>
      <c r="P1410" s="36" t="str">
        <f t="shared" si="126"/>
        <v/>
      </c>
      <c r="Q1410" s="216">
        <f t="shared" si="127"/>
        <v>0.14400000000000002</v>
      </c>
      <c r="R1410" s="216">
        <f t="shared" si="128"/>
        <v>0.14400000000000002</v>
      </c>
      <c r="S1410" s="217" t="str">
        <f t="shared" si="129"/>
        <v/>
      </c>
    </row>
    <row r="1411" spans="1:19" ht="26.25" hidden="1" thickBot="1" x14ac:dyDescent="0.3">
      <c r="A1411" s="262"/>
      <c r="B1411" s="260"/>
      <c r="C1411" s="35" t="s">
        <v>345</v>
      </c>
      <c r="D1411" s="35" t="s">
        <v>69</v>
      </c>
      <c r="E1411" s="36">
        <v>1.05</v>
      </c>
      <c r="F1411" s="33" t="s">
        <v>416</v>
      </c>
      <c r="G1411" s="30" t="str">
        <f t="shared" si="130"/>
        <v/>
      </c>
      <c r="H1411" s="34"/>
      <c r="I1411" s="30"/>
      <c r="J1411" s="152">
        <v>0</v>
      </c>
      <c r="L1411" s="215">
        <v>1.05</v>
      </c>
      <c r="M1411" s="33"/>
      <c r="N1411" s="30" t="str">
        <f t="shared" si="131"/>
        <v/>
      </c>
      <c r="O1411" s="34"/>
      <c r="P1411" s="36" t="str">
        <f t="shared" si="126"/>
        <v/>
      </c>
      <c r="Q1411" s="216" t="str">
        <f t="shared" si="127"/>
        <v/>
      </c>
      <c r="R1411" s="216" t="str">
        <f t="shared" si="128"/>
        <v/>
      </c>
      <c r="S1411" s="217" t="str">
        <f t="shared" si="129"/>
        <v/>
      </c>
    </row>
    <row r="1412" spans="1:19" ht="15.75" hidden="1" thickBot="1" x14ac:dyDescent="0.3">
      <c r="A1412" s="262"/>
      <c r="B1412" s="260"/>
      <c r="C1412" s="35" t="s">
        <v>346</v>
      </c>
      <c r="D1412" s="35" t="s">
        <v>69</v>
      </c>
      <c r="E1412" s="36">
        <v>0.8</v>
      </c>
      <c r="F1412" s="30">
        <v>5.0349999999999993</v>
      </c>
      <c r="G1412" s="30">
        <f t="shared" si="130"/>
        <v>4.0279999999999996</v>
      </c>
      <c r="H1412" s="34"/>
      <c r="I1412" s="30"/>
      <c r="J1412" s="152">
        <v>0</v>
      </c>
      <c r="L1412" s="215">
        <v>0.8</v>
      </c>
      <c r="M1412" s="30">
        <v>4.3099599999999993</v>
      </c>
      <c r="N1412" s="30">
        <f t="shared" si="131"/>
        <v>3.4479679999999995</v>
      </c>
      <c r="O1412" s="34"/>
      <c r="P1412" s="36" t="str">
        <f t="shared" si="126"/>
        <v/>
      </c>
      <c r="Q1412" s="216">
        <f t="shared" si="127"/>
        <v>0.14400000000000002</v>
      </c>
      <c r="R1412" s="216">
        <f t="shared" si="128"/>
        <v>0.14400000000000002</v>
      </c>
      <c r="S1412" s="217" t="str">
        <f t="shared" si="129"/>
        <v/>
      </c>
    </row>
    <row r="1413" spans="1:19" ht="15.75" hidden="1" thickBot="1" x14ac:dyDescent="0.3">
      <c r="A1413" s="262"/>
      <c r="B1413" s="260"/>
      <c r="C1413" s="35" t="s">
        <v>347</v>
      </c>
      <c r="D1413" s="35" t="s">
        <v>213</v>
      </c>
      <c r="E1413" s="36">
        <v>4.0033000000000003</v>
      </c>
      <c r="F1413" s="33">
        <v>0.30399999999999999</v>
      </c>
      <c r="G1413" s="30">
        <f t="shared" si="130"/>
        <v>1.2170032</v>
      </c>
      <c r="H1413" s="34"/>
      <c r="I1413" s="30"/>
      <c r="J1413" s="152">
        <v>0</v>
      </c>
      <c r="L1413" s="215">
        <v>4.0033000000000003</v>
      </c>
      <c r="M1413" s="33">
        <v>0.26022400000000001</v>
      </c>
      <c r="N1413" s="30">
        <f t="shared" si="131"/>
        <v>1.0417547392000002</v>
      </c>
      <c r="O1413" s="34"/>
      <c r="P1413" s="36" t="str">
        <f t="shared" si="126"/>
        <v/>
      </c>
      <c r="Q1413" s="216">
        <f t="shared" si="127"/>
        <v>0.14399999999999991</v>
      </c>
      <c r="R1413" s="216">
        <f t="shared" si="128"/>
        <v>0.14399999999999979</v>
      </c>
      <c r="S1413" s="217" t="str">
        <f t="shared" si="129"/>
        <v/>
      </c>
    </row>
    <row r="1414" spans="1:19" ht="15.75" hidden="1" thickBot="1" x14ac:dyDescent="0.3">
      <c r="A1414" s="262"/>
      <c r="B1414" s="260"/>
      <c r="C1414" s="35" t="s">
        <v>348</v>
      </c>
      <c r="D1414" s="35" t="s">
        <v>107</v>
      </c>
      <c r="E1414" s="36">
        <v>4.0033000000000003</v>
      </c>
      <c r="F1414" s="30">
        <v>5.6999999999999995E-2</v>
      </c>
      <c r="G1414" s="30">
        <f t="shared" si="130"/>
        <v>0.2281881</v>
      </c>
      <c r="H1414" s="34"/>
      <c r="I1414" s="30"/>
      <c r="J1414" s="152">
        <v>0</v>
      </c>
      <c r="L1414" s="215">
        <v>4.0033000000000003</v>
      </c>
      <c r="M1414" s="30">
        <v>4.8791999999999995E-2</v>
      </c>
      <c r="N1414" s="30">
        <f t="shared" si="131"/>
        <v>0.19532901359999999</v>
      </c>
      <c r="O1414" s="34"/>
      <c r="P1414" s="36" t="str">
        <f t="shared" si="126"/>
        <v/>
      </c>
      <c r="Q1414" s="216">
        <f t="shared" si="127"/>
        <v>0.14400000000000002</v>
      </c>
      <c r="R1414" s="216">
        <f t="shared" si="128"/>
        <v>0.14400000000000002</v>
      </c>
      <c r="S1414" s="217" t="str">
        <f t="shared" si="129"/>
        <v/>
      </c>
    </row>
    <row r="1415" spans="1:19" ht="15.75" hidden="1" thickBot="1" x14ac:dyDescent="0.3">
      <c r="A1415" s="262"/>
      <c r="B1415" s="260"/>
      <c r="C1415" s="35" t="s">
        <v>349</v>
      </c>
      <c r="D1415" s="35" t="s">
        <v>107</v>
      </c>
      <c r="E1415" s="36">
        <v>0.67</v>
      </c>
      <c r="F1415" s="30">
        <v>0</v>
      </c>
      <c r="G1415" s="30">
        <f t="shared" si="130"/>
        <v>0</v>
      </c>
      <c r="H1415" s="34"/>
      <c r="I1415" s="30"/>
      <c r="J1415" s="152">
        <v>0</v>
      </c>
      <c r="L1415" s="215">
        <v>0.67</v>
      </c>
      <c r="M1415" s="30">
        <v>0</v>
      </c>
      <c r="N1415" s="30">
        <f t="shared" si="131"/>
        <v>0</v>
      </c>
      <c r="O1415" s="34"/>
      <c r="P1415" s="36" t="str">
        <f t="shared" si="126"/>
        <v/>
      </c>
      <c r="Q1415" s="216" t="e">
        <f t="shared" si="127"/>
        <v>#DIV/0!</v>
      </c>
      <c r="R1415" s="216" t="e">
        <f t="shared" si="128"/>
        <v>#DIV/0!</v>
      </c>
      <c r="S1415" s="217" t="str">
        <f t="shared" si="129"/>
        <v/>
      </c>
    </row>
    <row r="1416" spans="1:19" ht="15.75" hidden="1" thickBot="1" x14ac:dyDescent="0.3">
      <c r="A1416" s="262"/>
      <c r="B1416" s="260"/>
      <c r="C1416" s="35" t="s">
        <v>350</v>
      </c>
      <c r="D1416" s="35" t="s">
        <v>107</v>
      </c>
      <c r="E1416" s="36">
        <v>1.05</v>
      </c>
      <c r="F1416" s="30">
        <v>1.5864999999999998</v>
      </c>
      <c r="G1416" s="30">
        <f t="shared" si="130"/>
        <v>1.6658249999999999</v>
      </c>
      <c r="H1416" s="34"/>
      <c r="I1416" s="30"/>
      <c r="J1416" s="152">
        <v>0</v>
      </c>
      <c r="L1416" s="215">
        <v>1.05</v>
      </c>
      <c r="M1416" s="30">
        <v>1.3580439999999998</v>
      </c>
      <c r="N1416" s="30">
        <f t="shared" si="131"/>
        <v>1.4259461999999998</v>
      </c>
      <c r="O1416" s="34"/>
      <c r="P1416" s="36" t="str">
        <f t="shared" ref="P1416:P1479" si="132">IF(ISBLANK(L1416),"",IF($E1416&lt;&gt;L1416,"SIM",""))</f>
        <v/>
      </c>
      <c r="Q1416" s="216">
        <f t="shared" ref="Q1416:Q1479" si="133">IF(M1416="","",1-M1416/$F1416)</f>
        <v>0.14400000000000002</v>
      </c>
      <c r="R1416" s="216">
        <f t="shared" ref="R1416:R1479" si="134">IF(N1416="","",1-N1416/$G1416)</f>
        <v>0.14400000000000002</v>
      </c>
      <c r="S1416" s="217" t="str">
        <f t="shared" ref="S1416:S1479" si="135">IF(O1416="","",1-O1416/$H1416)</f>
        <v/>
      </c>
    </row>
    <row r="1417" spans="1:19" ht="15.75" hidden="1" thickBot="1" x14ac:dyDescent="0.3">
      <c r="A1417" s="262"/>
      <c r="B1417" s="260"/>
      <c r="C1417" s="35" t="s">
        <v>351</v>
      </c>
      <c r="D1417" s="35" t="s">
        <v>16</v>
      </c>
      <c r="E1417" s="36">
        <v>2.67</v>
      </c>
      <c r="F1417" s="30">
        <v>0.28499999999999998</v>
      </c>
      <c r="G1417" s="30">
        <f t="shared" si="130"/>
        <v>0.7609499999999999</v>
      </c>
      <c r="H1417" s="34"/>
      <c r="I1417" s="30"/>
      <c r="J1417" s="152">
        <v>0</v>
      </c>
      <c r="L1417" s="215">
        <v>2.67</v>
      </c>
      <c r="M1417" s="30">
        <v>0.24395999999999998</v>
      </c>
      <c r="N1417" s="30">
        <f t="shared" si="131"/>
        <v>0.65137319999999999</v>
      </c>
      <c r="O1417" s="34"/>
      <c r="P1417" s="36" t="str">
        <f t="shared" si="132"/>
        <v/>
      </c>
      <c r="Q1417" s="216">
        <f t="shared" si="133"/>
        <v>0.14400000000000002</v>
      </c>
      <c r="R1417" s="216">
        <f t="shared" si="134"/>
        <v>0.14399999999999991</v>
      </c>
      <c r="S1417" s="217" t="str">
        <f t="shared" si="135"/>
        <v/>
      </c>
    </row>
    <row r="1418" spans="1:19" ht="15.75" hidden="1" thickBot="1" x14ac:dyDescent="0.3">
      <c r="A1418" s="262"/>
      <c r="B1418" s="260"/>
      <c r="C1418" s="35" t="s">
        <v>352</v>
      </c>
      <c r="D1418" s="35" t="s">
        <v>107</v>
      </c>
      <c r="E1418" s="36">
        <v>0.66669999999999996</v>
      </c>
      <c r="F1418" s="30">
        <v>0</v>
      </c>
      <c r="G1418" s="30">
        <f t="shared" si="130"/>
        <v>0</v>
      </c>
      <c r="H1418" s="34"/>
      <c r="I1418" s="30"/>
      <c r="J1418" s="152">
        <v>0</v>
      </c>
      <c r="L1418" s="215">
        <v>0.66669999999999996</v>
      </c>
      <c r="M1418" s="30">
        <v>0</v>
      </c>
      <c r="N1418" s="30">
        <f t="shared" si="131"/>
        <v>0</v>
      </c>
      <c r="O1418" s="34"/>
      <c r="P1418" s="36" t="str">
        <f t="shared" si="132"/>
        <v/>
      </c>
      <c r="Q1418" s="216" t="e">
        <f t="shared" si="133"/>
        <v>#DIV/0!</v>
      </c>
      <c r="R1418" s="216" t="e">
        <f t="shared" si="134"/>
        <v>#DIV/0!</v>
      </c>
      <c r="S1418" s="217" t="str">
        <f t="shared" si="135"/>
        <v/>
      </c>
    </row>
    <row r="1419" spans="1:19" ht="26.25" hidden="1" thickBot="1" x14ac:dyDescent="0.3">
      <c r="A1419" s="262"/>
      <c r="B1419" s="260"/>
      <c r="C1419" s="35" t="s">
        <v>353</v>
      </c>
      <c r="D1419" s="35" t="s">
        <v>69</v>
      </c>
      <c r="E1419" s="36">
        <v>1.05</v>
      </c>
      <c r="F1419" s="33" t="s">
        <v>416</v>
      </c>
      <c r="G1419" s="30" t="str">
        <f t="shared" si="130"/>
        <v/>
      </c>
      <c r="H1419" s="34"/>
      <c r="I1419" s="30"/>
      <c r="J1419" s="152">
        <v>0</v>
      </c>
      <c r="L1419" s="215">
        <v>1.05</v>
      </c>
      <c r="M1419" s="33"/>
      <c r="N1419" s="30" t="str">
        <f t="shared" si="131"/>
        <v/>
      </c>
      <c r="O1419" s="34"/>
      <c r="P1419" s="36" t="str">
        <f t="shared" si="132"/>
        <v/>
      </c>
      <c r="Q1419" s="216" t="str">
        <f t="shared" si="133"/>
        <v/>
      </c>
      <c r="R1419" s="216" t="str">
        <f t="shared" si="134"/>
        <v/>
      </c>
      <c r="S1419" s="217" t="str">
        <f t="shared" si="135"/>
        <v/>
      </c>
    </row>
    <row r="1420" spans="1:19" ht="15.75" hidden="1" thickBot="1" x14ac:dyDescent="0.3">
      <c r="A1420" s="263"/>
      <c r="B1420" s="261"/>
      <c r="C1420" s="35"/>
      <c r="D1420" s="35"/>
      <c r="E1420" s="36"/>
      <c r="F1420" s="30" t="s">
        <v>416</v>
      </c>
      <c r="G1420" s="30" t="str">
        <f t="shared" si="130"/>
        <v/>
      </c>
      <c r="H1420" s="34"/>
      <c r="I1420" s="30"/>
      <c r="J1420" s="152">
        <v>0</v>
      </c>
      <c r="L1420" s="215"/>
      <c r="M1420" s="30"/>
      <c r="N1420" s="30" t="str">
        <f t="shared" si="131"/>
        <v/>
      </c>
      <c r="O1420" s="34"/>
      <c r="P1420" s="36" t="str">
        <f t="shared" si="132"/>
        <v/>
      </c>
      <c r="Q1420" s="216" t="str">
        <f t="shared" si="133"/>
        <v/>
      </c>
      <c r="R1420" s="216" t="str">
        <f t="shared" si="134"/>
        <v/>
      </c>
      <c r="S1420" s="217" t="str">
        <f t="shared" si="135"/>
        <v/>
      </c>
    </row>
    <row r="1421" spans="1:19" ht="15.75" hidden="1" thickBot="1" x14ac:dyDescent="0.3">
      <c r="A1421" s="256" t="s">
        <v>354</v>
      </c>
      <c r="B1421" s="259" t="str">
        <f>INDEX(Orçamentária!A:B,MATCH(Composições!A1421,Orçamentária!A:A,0),2)</f>
        <v>Eletrocalha 200 x 100 mm</v>
      </c>
      <c r="C1421" s="40"/>
      <c r="D1421" s="25" t="s">
        <v>69</v>
      </c>
      <c r="E1421" s="26"/>
      <c r="F1421" s="41" t="s">
        <v>416</v>
      </c>
      <c r="G1421" s="27" t="str">
        <f t="shared" si="130"/>
        <v/>
      </c>
      <c r="H1421" s="28"/>
      <c r="I1421" s="29"/>
      <c r="J1421" s="152">
        <v>0</v>
      </c>
      <c r="L1421" s="218"/>
      <c r="M1421" s="41"/>
      <c r="N1421" s="27" t="str">
        <f t="shared" si="131"/>
        <v/>
      </c>
      <c r="O1421" s="28"/>
      <c r="P1421" s="36" t="str">
        <f t="shared" si="132"/>
        <v/>
      </c>
      <c r="Q1421" s="216" t="str">
        <f t="shared" si="133"/>
        <v/>
      </c>
      <c r="R1421" s="216" t="str">
        <f t="shared" si="134"/>
        <v/>
      </c>
      <c r="S1421" s="217" t="str">
        <f t="shared" si="135"/>
        <v/>
      </c>
    </row>
    <row r="1422" spans="1:19" ht="15.75" hidden="1" thickBot="1" x14ac:dyDescent="0.3">
      <c r="A1422" s="262"/>
      <c r="B1422" s="260"/>
      <c r="C1422" s="31"/>
      <c r="D1422" s="31"/>
      <c r="E1422" s="32"/>
      <c r="F1422" s="42" t="s">
        <v>416</v>
      </c>
      <c r="G1422" s="30" t="str">
        <f t="shared" si="130"/>
        <v/>
      </c>
      <c r="H1422" s="34"/>
      <c r="I1422" s="30"/>
      <c r="J1422" s="152">
        <v>0</v>
      </c>
      <c r="L1422" s="219"/>
      <c r="M1422" s="42"/>
      <c r="N1422" s="30" t="str">
        <f t="shared" si="131"/>
        <v/>
      </c>
      <c r="O1422" s="34"/>
      <c r="P1422" s="36" t="str">
        <f t="shared" si="132"/>
        <v/>
      </c>
      <c r="Q1422" s="216" t="str">
        <f t="shared" si="133"/>
        <v/>
      </c>
      <c r="R1422" s="216" t="str">
        <f t="shared" si="134"/>
        <v/>
      </c>
      <c r="S1422" s="217" t="str">
        <f t="shared" si="135"/>
        <v/>
      </c>
    </row>
    <row r="1423" spans="1:19" ht="15.75" hidden="1" thickBot="1" x14ac:dyDescent="0.3">
      <c r="A1423" s="262"/>
      <c r="B1423" s="260"/>
      <c r="C1423" s="35" t="s">
        <v>1018</v>
      </c>
      <c r="D1423" s="35" t="s">
        <v>583</v>
      </c>
      <c r="E1423" s="36">
        <v>0.6</v>
      </c>
      <c r="F1423" s="30">
        <v>27.835000000000001</v>
      </c>
      <c r="G1423" s="30">
        <f t="shared" si="130"/>
        <v>16.701000000000001</v>
      </c>
      <c r="H1423" s="38">
        <f>SUM(G1423:G1434)</f>
        <v>55.357228649999996</v>
      </c>
      <c r="I1423" s="39"/>
      <c r="J1423" s="152">
        <v>0</v>
      </c>
      <c r="L1423" s="215">
        <v>0.6</v>
      </c>
      <c r="M1423" s="30">
        <v>23.82676</v>
      </c>
      <c r="N1423" s="30">
        <f t="shared" si="131"/>
        <v>14.296056</v>
      </c>
      <c r="O1423" s="38">
        <f>SUM(N1423:N1434)</f>
        <v>47.385787724399997</v>
      </c>
      <c r="P1423" s="36" t="str">
        <f t="shared" si="132"/>
        <v/>
      </c>
      <c r="Q1423" s="216">
        <f t="shared" si="133"/>
        <v>0.14400000000000002</v>
      </c>
      <c r="R1423" s="216">
        <f t="shared" si="134"/>
        <v>0.14400000000000002</v>
      </c>
      <c r="S1423" s="217">
        <f t="shared" si="135"/>
        <v>0.14400000000000002</v>
      </c>
    </row>
    <row r="1424" spans="1:19" ht="15.75" hidden="1" thickBot="1" x14ac:dyDescent="0.3">
      <c r="A1424" s="262"/>
      <c r="B1424" s="260"/>
      <c r="C1424" s="35" t="s">
        <v>1017</v>
      </c>
      <c r="D1424" s="35" t="s">
        <v>583</v>
      </c>
      <c r="E1424" s="36">
        <v>0.6</v>
      </c>
      <c r="F1424" s="30">
        <v>21.584</v>
      </c>
      <c r="G1424" s="30">
        <f t="shared" si="130"/>
        <v>12.9504</v>
      </c>
      <c r="H1424" s="34"/>
      <c r="I1424" s="30"/>
      <c r="J1424" s="152">
        <v>0</v>
      </c>
      <c r="L1424" s="215">
        <v>0.6</v>
      </c>
      <c r="M1424" s="30">
        <v>18.475904</v>
      </c>
      <c r="N1424" s="30">
        <f t="shared" si="131"/>
        <v>11.0855424</v>
      </c>
      <c r="O1424" s="34"/>
      <c r="P1424" s="36" t="str">
        <f t="shared" si="132"/>
        <v/>
      </c>
      <c r="Q1424" s="216">
        <f t="shared" si="133"/>
        <v>0.14400000000000002</v>
      </c>
      <c r="R1424" s="216">
        <f t="shared" si="134"/>
        <v>0.14400000000000002</v>
      </c>
      <c r="S1424" s="217" t="str">
        <f t="shared" si="135"/>
        <v/>
      </c>
    </row>
    <row r="1425" spans="1:19" ht="26.25" hidden="1" thickBot="1" x14ac:dyDescent="0.3">
      <c r="A1425" s="262"/>
      <c r="B1425" s="260"/>
      <c r="C1425" s="35" t="s">
        <v>344</v>
      </c>
      <c r="D1425" s="35" t="s">
        <v>107</v>
      </c>
      <c r="E1425" s="36">
        <v>1.3332999999999999</v>
      </c>
      <c r="F1425" s="30">
        <v>9.1579999999999995</v>
      </c>
      <c r="G1425" s="30">
        <f t="shared" si="130"/>
        <v>12.210361399999998</v>
      </c>
      <c r="H1425" s="61"/>
      <c r="I1425" s="1"/>
      <c r="J1425" s="152">
        <v>0</v>
      </c>
      <c r="L1425" s="215">
        <v>1.3332999999999999</v>
      </c>
      <c r="M1425" s="30">
        <v>7.8392479999999995</v>
      </c>
      <c r="N1425" s="30">
        <f t="shared" si="131"/>
        <v>10.452069358399999</v>
      </c>
      <c r="O1425" s="61"/>
      <c r="P1425" s="36" t="str">
        <f t="shared" si="132"/>
        <v/>
      </c>
      <c r="Q1425" s="216">
        <f t="shared" si="133"/>
        <v>0.14400000000000002</v>
      </c>
      <c r="R1425" s="216">
        <f t="shared" si="134"/>
        <v>0.14399999999999991</v>
      </c>
      <c r="S1425" s="217" t="str">
        <f t="shared" si="135"/>
        <v/>
      </c>
    </row>
    <row r="1426" spans="1:19" ht="26.25" hidden="1" thickBot="1" x14ac:dyDescent="0.3">
      <c r="A1426" s="262"/>
      <c r="B1426" s="260"/>
      <c r="C1426" s="35" t="s">
        <v>355</v>
      </c>
      <c r="D1426" s="35" t="s">
        <v>69</v>
      </c>
      <c r="E1426" s="36">
        <v>1.05</v>
      </c>
      <c r="F1426" s="33" t="s">
        <v>416</v>
      </c>
      <c r="G1426" s="30" t="str">
        <f t="shared" si="130"/>
        <v/>
      </c>
      <c r="H1426" s="34"/>
      <c r="I1426" s="30"/>
      <c r="J1426" s="152">
        <v>0</v>
      </c>
      <c r="L1426" s="215">
        <v>1.05</v>
      </c>
      <c r="M1426" s="33"/>
      <c r="N1426" s="30" t="str">
        <f t="shared" si="131"/>
        <v/>
      </c>
      <c r="O1426" s="34"/>
      <c r="P1426" s="36" t="str">
        <f t="shared" si="132"/>
        <v/>
      </c>
      <c r="Q1426" s="216" t="str">
        <f t="shared" si="133"/>
        <v/>
      </c>
      <c r="R1426" s="216" t="str">
        <f t="shared" si="134"/>
        <v/>
      </c>
      <c r="S1426" s="217" t="str">
        <f t="shared" si="135"/>
        <v/>
      </c>
    </row>
    <row r="1427" spans="1:19" ht="15.75" hidden="1" thickBot="1" x14ac:dyDescent="0.3">
      <c r="A1427" s="262"/>
      <c r="B1427" s="260"/>
      <c r="C1427" s="35" t="s">
        <v>346</v>
      </c>
      <c r="D1427" s="35" t="s">
        <v>69</v>
      </c>
      <c r="E1427" s="36">
        <v>1.6</v>
      </c>
      <c r="F1427" s="30">
        <v>5.0349999999999993</v>
      </c>
      <c r="G1427" s="30">
        <f t="shared" ref="G1427:G1490" si="136">IF(ISNUMBER(F1427),E1427*F1427,"")</f>
        <v>8.0559999999999992</v>
      </c>
      <c r="H1427" s="34"/>
      <c r="I1427" s="30"/>
      <c r="J1427" s="152">
        <v>0</v>
      </c>
      <c r="L1427" s="215">
        <v>1.6</v>
      </c>
      <c r="M1427" s="30">
        <v>4.3099599999999993</v>
      </c>
      <c r="N1427" s="30">
        <f t="shared" ref="N1427:N1490" si="137">IF(ISNUMBER(M1427),L1427*M1427,"")</f>
        <v>6.895935999999999</v>
      </c>
      <c r="O1427" s="34"/>
      <c r="P1427" s="36" t="str">
        <f t="shared" si="132"/>
        <v/>
      </c>
      <c r="Q1427" s="216">
        <f t="shared" si="133"/>
        <v>0.14400000000000002</v>
      </c>
      <c r="R1427" s="216">
        <f t="shared" si="134"/>
        <v>0.14400000000000002</v>
      </c>
      <c r="S1427" s="217" t="str">
        <f t="shared" si="135"/>
        <v/>
      </c>
    </row>
    <row r="1428" spans="1:19" ht="15.75" hidden="1" thickBot="1" x14ac:dyDescent="0.3">
      <c r="A1428" s="262"/>
      <c r="B1428" s="260"/>
      <c r="C1428" s="35" t="s">
        <v>347</v>
      </c>
      <c r="D1428" s="35" t="s">
        <v>213</v>
      </c>
      <c r="E1428" s="36">
        <v>5.3367000000000004</v>
      </c>
      <c r="F1428" s="33">
        <v>0.30399999999999999</v>
      </c>
      <c r="G1428" s="30">
        <f t="shared" si="136"/>
        <v>1.6223568000000002</v>
      </c>
      <c r="H1428" s="34"/>
      <c r="I1428" s="30"/>
      <c r="J1428" s="152">
        <v>0</v>
      </c>
      <c r="L1428" s="215">
        <v>5.3367000000000004</v>
      </c>
      <c r="M1428" s="33">
        <v>0.26022400000000001</v>
      </c>
      <c r="N1428" s="30">
        <f t="shared" si="137"/>
        <v>1.3887374208000001</v>
      </c>
      <c r="O1428" s="34"/>
      <c r="P1428" s="36" t="str">
        <f t="shared" si="132"/>
        <v/>
      </c>
      <c r="Q1428" s="216">
        <f t="shared" si="133"/>
        <v>0.14399999999999991</v>
      </c>
      <c r="R1428" s="216">
        <f t="shared" si="134"/>
        <v>0.14400000000000002</v>
      </c>
      <c r="S1428" s="217" t="str">
        <f t="shared" si="135"/>
        <v/>
      </c>
    </row>
    <row r="1429" spans="1:19" ht="15.75" hidden="1" thickBot="1" x14ac:dyDescent="0.3">
      <c r="A1429" s="262"/>
      <c r="B1429" s="260"/>
      <c r="C1429" s="35" t="s">
        <v>348</v>
      </c>
      <c r="D1429" s="35" t="s">
        <v>107</v>
      </c>
      <c r="E1429" s="36">
        <v>5.34</v>
      </c>
      <c r="F1429" s="30">
        <v>5.6999999999999995E-2</v>
      </c>
      <c r="G1429" s="30">
        <f t="shared" si="136"/>
        <v>0.30437999999999998</v>
      </c>
      <c r="H1429" s="34"/>
      <c r="I1429" s="30"/>
      <c r="J1429" s="152">
        <v>0</v>
      </c>
      <c r="L1429" s="215">
        <v>5.34</v>
      </c>
      <c r="M1429" s="30">
        <v>4.8791999999999995E-2</v>
      </c>
      <c r="N1429" s="30">
        <f t="shared" si="137"/>
        <v>0.26054927999999999</v>
      </c>
      <c r="O1429" s="34"/>
      <c r="P1429" s="36" t="str">
        <f t="shared" si="132"/>
        <v/>
      </c>
      <c r="Q1429" s="216">
        <f t="shared" si="133"/>
        <v>0.14400000000000002</v>
      </c>
      <c r="R1429" s="216">
        <f t="shared" si="134"/>
        <v>0.14400000000000002</v>
      </c>
      <c r="S1429" s="217" t="str">
        <f t="shared" si="135"/>
        <v/>
      </c>
    </row>
    <row r="1430" spans="1:19" ht="15.75" hidden="1" thickBot="1" x14ac:dyDescent="0.3">
      <c r="A1430" s="262"/>
      <c r="B1430" s="260"/>
      <c r="C1430" s="35" t="s">
        <v>356</v>
      </c>
      <c r="D1430" s="35" t="s">
        <v>107</v>
      </c>
      <c r="E1430" s="36">
        <v>0.67</v>
      </c>
      <c r="F1430" s="30">
        <v>0</v>
      </c>
      <c r="G1430" s="30">
        <f t="shared" si="136"/>
        <v>0</v>
      </c>
      <c r="H1430" s="34"/>
      <c r="I1430" s="30"/>
      <c r="J1430" s="152">
        <v>0</v>
      </c>
      <c r="L1430" s="215">
        <v>0.67</v>
      </c>
      <c r="M1430" s="30">
        <v>0</v>
      </c>
      <c r="N1430" s="30">
        <f t="shared" si="137"/>
        <v>0</v>
      </c>
      <c r="O1430" s="34"/>
      <c r="P1430" s="36" t="str">
        <f t="shared" si="132"/>
        <v/>
      </c>
      <c r="Q1430" s="216" t="e">
        <f t="shared" si="133"/>
        <v>#DIV/0!</v>
      </c>
      <c r="R1430" s="216" t="e">
        <f t="shared" si="134"/>
        <v>#DIV/0!</v>
      </c>
      <c r="S1430" s="217" t="str">
        <f t="shared" si="135"/>
        <v/>
      </c>
    </row>
    <row r="1431" spans="1:19" ht="15.75" hidden="1" thickBot="1" x14ac:dyDescent="0.3">
      <c r="A1431" s="262"/>
      <c r="B1431" s="260"/>
      <c r="C1431" s="35" t="s">
        <v>350</v>
      </c>
      <c r="D1431" s="35" t="s">
        <v>107</v>
      </c>
      <c r="E1431" s="36">
        <v>1.3332999999999999</v>
      </c>
      <c r="F1431" s="30">
        <v>1.5864999999999998</v>
      </c>
      <c r="G1431" s="30">
        <f t="shared" si="136"/>
        <v>2.1152804499999998</v>
      </c>
      <c r="H1431" s="34"/>
      <c r="I1431" s="30"/>
      <c r="J1431" s="152">
        <v>0</v>
      </c>
      <c r="L1431" s="215">
        <v>1.3332999999999999</v>
      </c>
      <c r="M1431" s="30">
        <v>1.3580439999999998</v>
      </c>
      <c r="N1431" s="30">
        <f t="shared" si="137"/>
        <v>1.8106800651999997</v>
      </c>
      <c r="O1431" s="34"/>
      <c r="P1431" s="36" t="str">
        <f t="shared" si="132"/>
        <v/>
      </c>
      <c r="Q1431" s="216">
        <f t="shared" si="133"/>
        <v>0.14400000000000002</v>
      </c>
      <c r="R1431" s="216">
        <f t="shared" si="134"/>
        <v>0.14400000000000002</v>
      </c>
      <c r="S1431" s="217" t="str">
        <f t="shared" si="135"/>
        <v/>
      </c>
    </row>
    <row r="1432" spans="1:19" ht="15.75" hidden="1" thickBot="1" x14ac:dyDescent="0.3">
      <c r="A1432" s="262"/>
      <c r="B1432" s="260"/>
      <c r="C1432" s="35" t="s">
        <v>351</v>
      </c>
      <c r="D1432" s="35" t="s">
        <v>16</v>
      </c>
      <c r="E1432" s="36">
        <v>2.67</v>
      </c>
      <c r="F1432" s="30">
        <v>0.28499999999999998</v>
      </c>
      <c r="G1432" s="30">
        <f t="shared" si="136"/>
        <v>0.7609499999999999</v>
      </c>
      <c r="H1432" s="34"/>
      <c r="I1432" s="30"/>
      <c r="J1432" s="152">
        <v>0</v>
      </c>
      <c r="L1432" s="215">
        <v>2.67</v>
      </c>
      <c r="M1432" s="30">
        <v>0.24395999999999998</v>
      </c>
      <c r="N1432" s="30">
        <f t="shared" si="137"/>
        <v>0.65137319999999999</v>
      </c>
      <c r="O1432" s="34"/>
      <c r="P1432" s="36" t="str">
        <f t="shared" si="132"/>
        <v/>
      </c>
      <c r="Q1432" s="216">
        <f t="shared" si="133"/>
        <v>0.14400000000000002</v>
      </c>
      <c r="R1432" s="216">
        <f t="shared" si="134"/>
        <v>0.14399999999999991</v>
      </c>
      <c r="S1432" s="217" t="str">
        <f t="shared" si="135"/>
        <v/>
      </c>
    </row>
    <row r="1433" spans="1:19" ht="15.75" hidden="1" thickBot="1" x14ac:dyDescent="0.3">
      <c r="A1433" s="262"/>
      <c r="B1433" s="260"/>
      <c r="C1433" s="35" t="s">
        <v>357</v>
      </c>
      <c r="D1433" s="35" t="s">
        <v>107</v>
      </c>
      <c r="E1433" s="36">
        <v>0.67</v>
      </c>
      <c r="F1433" s="30">
        <v>0.95</v>
      </c>
      <c r="G1433" s="30">
        <f t="shared" si="136"/>
        <v>0.63649999999999995</v>
      </c>
      <c r="H1433" s="34"/>
      <c r="I1433" s="30"/>
      <c r="J1433" s="152">
        <v>0</v>
      </c>
      <c r="L1433" s="215">
        <v>0.67</v>
      </c>
      <c r="M1433" s="30">
        <v>0.81319999999999992</v>
      </c>
      <c r="N1433" s="30">
        <f t="shared" si="137"/>
        <v>0.54484399999999999</v>
      </c>
      <c r="O1433" s="34"/>
      <c r="P1433" s="36" t="str">
        <f t="shared" si="132"/>
        <v/>
      </c>
      <c r="Q1433" s="216">
        <f t="shared" si="133"/>
        <v>0.14400000000000002</v>
      </c>
      <c r="R1433" s="216">
        <f t="shared" si="134"/>
        <v>0.14399999999999991</v>
      </c>
      <c r="S1433" s="217" t="str">
        <f t="shared" si="135"/>
        <v/>
      </c>
    </row>
    <row r="1434" spans="1:19" ht="26.25" hidden="1" thickBot="1" x14ac:dyDescent="0.3">
      <c r="A1434" s="262"/>
      <c r="B1434" s="260"/>
      <c r="C1434" s="35" t="s">
        <v>358</v>
      </c>
      <c r="D1434" s="35" t="s">
        <v>69</v>
      </c>
      <c r="E1434" s="36">
        <v>1.05</v>
      </c>
      <c r="F1434" s="33" t="s">
        <v>416</v>
      </c>
      <c r="G1434" s="30" t="str">
        <f t="shared" si="136"/>
        <v/>
      </c>
      <c r="H1434" s="34"/>
      <c r="I1434" s="30"/>
      <c r="J1434" s="152">
        <v>0</v>
      </c>
      <c r="L1434" s="215">
        <v>1.05</v>
      </c>
      <c r="M1434" s="33"/>
      <c r="N1434" s="30" t="str">
        <f t="shared" si="137"/>
        <v/>
      </c>
      <c r="O1434" s="34"/>
      <c r="P1434" s="36" t="str">
        <f t="shared" si="132"/>
        <v/>
      </c>
      <c r="Q1434" s="216" t="str">
        <f t="shared" si="133"/>
        <v/>
      </c>
      <c r="R1434" s="216" t="str">
        <f t="shared" si="134"/>
        <v/>
      </c>
      <c r="S1434" s="217" t="str">
        <f t="shared" si="135"/>
        <v/>
      </c>
    </row>
    <row r="1435" spans="1:19" ht="15.75" hidden="1" thickBot="1" x14ac:dyDescent="0.3">
      <c r="A1435" s="263"/>
      <c r="B1435" s="261"/>
      <c r="C1435" s="35"/>
      <c r="D1435" s="35"/>
      <c r="E1435" s="36"/>
      <c r="F1435" s="30" t="s">
        <v>416</v>
      </c>
      <c r="G1435" s="30" t="str">
        <f t="shared" si="136"/>
        <v/>
      </c>
      <c r="H1435" s="34"/>
      <c r="I1435" s="30"/>
      <c r="J1435" s="152">
        <v>0</v>
      </c>
      <c r="L1435" s="215"/>
      <c r="M1435" s="30"/>
      <c r="N1435" s="30" t="str">
        <f t="shared" si="137"/>
        <v/>
      </c>
      <c r="O1435" s="34"/>
      <c r="P1435" s="36" t="str">
        <f t="shared" si="132"/>
        <v/>
      </c>
      <c r="Q1435" s="216" t="str">
        <f t="shared" si="133"/>
        <v/>
      </c>
      <c r="R1435" s="216" t="str">
        <f t="shared" si="134"/>
        <v/>
      </c>
      <c r="S1435" s="217" t="str">
        <f t="shared" si="135"/>
        <v/>
      </c>
    </row>
    <row r="1436" spans="1:19" ht="15.75" hidden="1" thickBot="1" x14ac:dyDescent="0.3">
      <c r="A1436" s="256" t="s">
        <v>359</v>
      </c>
      <c r="B1436" s="259" t="str">
        <f>INDEX(Orçamentária!A:B,MATCH(Composições!A1436,Orçamentária!A:A,0),2)</f>
        <v>Eletrocalha 200 x 50 mm</v>
      </c>
      <c r="C1436" s="40"/>
      <c r="D1436" s="25" t="s">
        <v>69</v>
      </c>
      <c r="E1436" s="26"/>
      <c r="F1436" s="41" t="s">
        <v>416</v>
      </c>
      <c r="G1436" s="27" t="str">
        <f t="shared" si="136"/>
        <v/>
      </c>
      <c r="H1436" s="28"/>
      <c r="I1436" s="29"/>
      <c r="J1436" s="152">
        <v>0</v>
      </c>
      <c r="L1436" s="218"/>
      <c r="M1436" s="41"/>
      <c r="N1436" s="27" t="str">
        <f t="shared" si="137"/>
        <v/>
      </c>
      <c r="O1436" s="28"/>
      <c r="P1436" s="36" t="str">
        <f t="shared" si="132"/>
        <v/>
      </c>
      <c r="Q1436" s="216" t="str">
        <f t="shared" si="133"/>
        <v/>
      </c>
      <c r="R1436" s="216" t="str">
        <f t="shared" si="134"/>
        <v/>
      </c>
      <c r="S1436" s="217" t="str">
        <f t="shared" si="135"/>
        <v/>
      </c>
    </row>
    <row r="1437" spans="1:19" ht="15.75" hidden="1" thickBot="1" x14ac:dyDescent="0.3">
      <c r="A1437" s="262"/>
      <c r="B1437" s="260"/>
      <c r="C1437" s="31"/>
      <c r="D1437" s="31"/>
      <c r="E1437" s="32"/>
      <c r="F1437" s="42" t="s">
        <v>416</v>
      </c>
      <c r="G1437" s="30" t="str">
        <f t="shared" si="136"/>
        <v/>
      </c>
      <c r="H1437" s="34"/>
      <c r="I1437" s="30"/>
      <c r="J1437" s="152">
        <v>0</v>
      </c>
      <c r="L1437" s="219"/>
      <c r="M1437" s="42"/>
      <c r="N1437" s="30" t="str">
        <f t="shared" si="137"/>
        <v/>
      </c>
      <c r="O1437" s="34"/>
      <c r="P1437" s="36" t="str">
        <f t="shared" si="132"/>
        <v/>
      </c>
      <c r="Q1437" s="216" t="str">
        <f t="shared" si="133"/>
        <v/>
      </c>
      <c r="R1437" s="216" t="str">
        <f t="shared" si="134"/>
        <v/>
      </c>
      <c r="S1437" s="217" t="str">
        <f t="shared" si="135"/>
        <v/>
      </c>
    </row>
    <row r="1438" spans="1:19" ht="15.75" hidden="1" thickBot="1" x14ac:dyDescent="0.3">
      <c r="A1438" s="262"/>
      <c r="B1438" s="260"/>
      <c r="C1438" s="35" t="s">
        <v>1018</v>
      </c>
      <c r="D1438" s="35" t="s">
        <v>583</v>
      </c>
      <c r="E1438" s="36">
        <v>0.5</v>
      </c>
      <c r="F1438" s="30">
        <v>27.835000000000001</v>
      </c>
      <c r="G1438" s="30">
        <f t="shared" si="136"/>
        <v>13.9175</v>
      </c>
      <c r="H1438" s="38">
        <f>SUM(G1438:G1449)</f>
        <v>49.778828649999994</v>
      </c>
      <c r="I1438" s="39"/>
      <c r="J1438" s="152">
        <v>0</v>
      </c>
      <c r="L1438" s="215">
        <v>0.5</v>
      </c>
      <c r="M1438" s="30">
        <v>23.82676</v>
      </c>
      <c r="N1438" s="30">
        <f t="shared" si="137"/>
        <v>11.91338</v>
      </c>
      <c r="O1438" s="38">
        <f>SUM(N1438:N1449)</f>
        <v>42.610677324399994</v>
      </c>
      <c r="P1438" s="36" t="str">
        <f t="shared" si="132"/>
        <v/>
      </c>
      <c r="Q1438" s="216">
        <f t="shared" si="133"/>
        <v>0.14400000000000002</v>
      </c>
      <c r="R1438" s="216">
        <f t="shared" si="134"/>
        <v>0.14400000000000002</v>
      </c>
      <c r="S1438" s="217">
        <f t="shared" si="135"/>
        <v>0.14400000000000002</v>
      </c>
    </row>
    <row r="1439" spans="1:19" ht="15.75" hidden="1" thickBot="1" x14ac:dyDescent="0.3">
      <c r="A1439" s="262"/>
      <c r="B1439" s="260"/>
      <c r="C1439" s="35" t="s">
        <v>1017</v>
      </c>
      <c r="D1439" s="35" t="s">
        <v>583</v>
      </c>
      <c r="E1439" s="36">
        <v>0.5</v>
      </c>
      <c r="F1439" s="30">
        <v>21.584</v>
      </c>
      <c r="G1439" s="30">
        <f t="shared" si="136"/>
        <v>10.792</v>
      </c>
      <c r="H1439" s="34"/>
      <c r="I1439" s="30"/>
      <c r="J1439" s="152">
        <v>0</v>
      </c>
      <c r="L1439" s="215">
        <v>0.5</v>
      </c>
      <c r="M1439" s="30">
        <v>18.475904</v>
      </c>
      <c r="N1439" s="30">
        <f t="shared" si="137"/>
        <v>9.2379519999999999</v>
      </c>
      <c r="O1439" s="34"/>
      <c r="P1439" s="36" t="str">
        <f t="shared" si="132"/>
        <v/>
      </c>
      <c r="Q1439" s="216">
        <f t="shared" si="133"/>
        <v>0.14400000000000002</v>
      </c>
      <c r="R1439" s="216">
        <f t="shared" si="134"/>
        <v>0.14400000000000002</v>
      </c>
      <c r="S1439" s="217" t="str">
        <f t="shared" si="135"/>
        <v/>
      </c>
    </row>
    <row r="1440" spans="1:19" ht="26.25" hidden="1" thickBot="1" x14ac:dyDescent="0.3">
      <c r="A1440" s="262"/>
      <c r="B1440" s="260"/>
      <c r="C1440" s="35" t="s">
        <v>344</v>
      </c>
      <c r="D1440" s="35" t="s">
        <v>107</v>
      </c>
      <c r="E1440" s="36">
        <v>1.3332999999999999</v>
      </c>
      <c r="F1440" s="30">
        <v>9.1579999999999995</v>
      </c>
      <c r="G1440" s="30">
        <f t="shared" si="136"/>
        <v>12.210361399999998</v>
      </c>
      <c r="H1440" s="61"/>
      <c r="I1440" s="1"/>
      <c r="J1440" s="152">
        <v>0</v>
      </c>
      <c r="L1440" s="215">
        <v>1.3332999999999999</v>
      </c>
      <c r="M1440" s="30">
        <v>7.8392479999999995</v>
      </c>
      <c r="N1440" s="30">
        <f t="shared" si="137"/>
        <v>10.452069358399999</v>
      </c>
      <c r="O1440" s="61"/>
      <c r="P1440" s="36" t="str">
        <f t="shared" si="132"/>
        <v/>
      </c>
      <c r="Q1440" s="216">
        <f t="shared" si="133"/>
        <v>0.14400000000000002</v>
      </c>
      <c r="R1440" s="216">
        <f t="shared" si="134"/>
        <v>0.14399999999999991</v>
      </c>
      <c r="S1440" s="217" t="str">
        <f t="shared" si="135"/>
        <v/>
      </c>
    </row>
    <row r="1441" spans="1:19" ht="26.25" hidden="1" thickBot="1" x14ac:dyDescent="0.3">
      <c r="A1441" s="262"/>
      <c r="B1441" s="260"/>
      <c r="C1441" s="35" t="s">
        <v>360</v>
      </c>
      <c r="D1441" s="35" t="s">
        <v>69</v>
      </c>
      <c r="E1441" s="36">
        <v>1.05</v>
      </c>
      <c r="F1441" s="33" t="s">
        <v>416</v>
      </c>
      <c r="G1441" s="30" t="str">
        <f t="shared" si="136"/>
        <v/>
      </c>
      <c r="H1441" s="34"/>
      <c r="I1441" s="30"/>
      <c r="J1441" s="152">
        <v>0</v>
      </c>
      <c r="L1441" s="215">
        <v>1.05</v>
      </c>
      <c r="M1441" s="33"/>
      <c r="N1441" s="30" t="str">
        <f t="shared" si="137"/>
        <v/>
      </c>
      <c r="O1441" s="34"/>
      <c r="P1441" s="36" t="str">
        <f t="shared" si="132"/>
        <v/>
      </c>
      <c r="Q1441" s="216" t="str">
        <f t="shared" si="133"/>
        <v/>
      </c>
      <c r="R1441" s="216" t="str">
        <f t="shared" si="134"/>
        <v/>
      </c>
      <c r="S1441" s="217" t="str">
        <f t="shared" si="135"/>
        <v/>
      </c>
    </row>
    <row r="1442" spans="1:19" ht="15.75" hidden="1" thickBot="1" x14ac:dyDescent="0.3">
      <c r="A1442" s="262"/>
      <c r="B1442" s="260"/>
      <c r="C1442" s="35" t="s">
        <v>346</v>
      </c>
      <c r="D1442" s="35" t="s">
        <v>69</v>
      </c>
      <c r="E1442" s="36">
        <v>1.6</v>
      </c>
      <c r="F1442" s="30">
        <v>5.0349999999999993</v>
      </c>
      <c r="G1442" s="30">
        <f t="shared" si="136"/>
        <v>8.0559999999999992</v>
      </c>
      <c r="H1442" s="34"/>
      <c r="I1442" s="30"/>
      <c r="J1442" s="152">
        <v>0</v>
      </c>
      <c r="L1442" s="215">
        <v>1.6</v>
      </c>
      <c r="M1442" s="30">
        <v>4.3099599999999993</v>
      </c>
      <c r="N1442" s="30">
        <f t="shared" si="137"/>
        <v>6.895935999999999</v>
      </c>
      <c r="O1442" s="34"/>
      <c r="P1442" s="36" t="str">
        <f t="shared" si="132"/>
        <v/>
      </c>
      <c r="Q1442" s="216">
        <f t="shared" si="133"/>
        <v>0.14400000000000002</v>
      </c>
      <c r="R1442" s="216">
        <f t="shared" si="134"/>
        <v>0.14400000000000002</v>
      </c>
      <c r="S1442" s="217" t="str">
        <f t="shared" si="135"/>
        <v/>
      </c>
    </row>
    <row r="1443" spans="1:19" ht="15.75" hidden="1" thickBot="1" x14ac:dyDescent="0.3">
      <c r="A1443" s="262"/>
      <c r="B1443" s="260"/>
      <c r="C1443" s="35" t="s">
        <v>347</v>
      </c>
      <c r="D1443" s="35" t="s">
        <v>213</v>
      </c>
      <c r="E1443" s="36">
        <v>5.3367000000000004</v>
      </c>
      <c r="F1443" s="33">
        <v>0.30399999999999999</v>
      </c>
      <c r="G1443" s="30">
        <f t="shared" si="136"/>
        <v>1.6223568000000002</v>
      </c>
      <c r="H1443" s="34"/>
      <c r="I1443" s="30"/>
      <c r="J1443" s="152">
        <v>0</v>
      </c>
      <c r="L1443" s="215">
        <v>5.3367000000000004</v>
      </c>
      <c r="M1443" s="33">
        <v>0.26022400000000001</v>
      </c>
      <c r="N1443" s="30">
        <f t="shared" si="137"/>
        <v>1.3887374208000001</v>
      </c>
      <c r="O1443" s="34"/>
      <c r="P1443" s="36" t="str">
        <f t="shared" si="132"/>
        <v/>
      </c>
      <c r="Q1443" s="216">
        <f t="shared" si="133"/>
        <v>0.14399999999999991</v>
      </c>
      <c r="R1443" s="216">
        <f t="shared" si="134"/>
        <v>0.14400000000000002</v>
      </c>
      <c r="S1443" s="217" t="str">
        <f t="shared" si="135"/>
        <v/>
      </c>
    </row>
    <row r="1444" spans="1:19" ht="15.75" hidden="1" thickBot="1" x14ac:dyDescent="0.3">
      <c r="A1444" s="262"/>
      <c r="B1444" s="260"/>
      <c r="C1444" s="35" t="s">
        <v>348</v>
      </c>
      <c r="D1444" s="35" t="s">
        <v>107</v>
      </c>
      <c r="E1444" s="36">
        <v>5.34</v>
      </c>
      <c r="F1444" s="30">
        <v>5.6999999999999995E-2</v>
      </c>
      <c r="G1444" s="30">
        <f t="shared" si="136"/>
        <v>0.30437999999999998</v>
      </c>
      <c r="H1444" s="34"/>
      <c r="I1444" s="30"/>
      <c r="J1444" s="152">
        <v>0</v>
      </c>
      <c r="L1444" s="215">
        <v>5.34</v>
      </c>
      <c r="M1444" s="30">
        <v>4.8791999999999995E-2</v>
      </c>
      <c r="N1444" s="30">
        <f t="shared" si="137"/>
        <v>0.26054927999999999</v>
      </c>
      <c r="O1444" s="34"/>
      <c r="P1444" s="36" t="str">
        <f t="shared" si="132"/>
        <v/>
      </c>
      <c r="Q1444" s="216">
        <f t="shared" si="133"/>
        <v>0.14400000000000002</v>
      </c>
      <c r="R1444" s="216">
        <f t="shared" si="134"/>
        <v>0.14400000000000002</v>
      </c>
      <c r="S1444" s="217" t="str">
        <f t="shared" si="135"/>
        <v/>
      </c>
    </row>
    <row r="1445" spans="1:19" ht="15.75" hidden="1" thickBot="1" x14ac:dyDescent="0.3">
      <c r="A1445" s="262"/>
      <c r="B1445" s="260"/>
      <c r="C1445" s="35" t="s">
        <v>361</v>
      </c>
      <c r="D1445" s="35" t="s">
        <v>107</v>
      </c>
      <c r="E1445" s="36">
        <v>0.67</v>
      </c>
      <c r="F1445" s="30">
        <v>0</v>
      </c>
      <c r="G1445" s="30">
        <f t="shared" si="136"/>
        <v>0</v>
      </c>
      <c r="H1445" s="34"/>
      <c r="I1445" s="30"/>
      <c r="J1445" s="152">
        <v>0</v>
      </c>
      <c r="L1445" s="215">
        <v>0.67</v>
      </c>
      <c r="M1445" s="30">
        <v>0</v>
      </c>
      <c r="N1445" s="30">
        <f t="shared" si="137"/>
        <v>0</v>
      </c>
      <c r="O1445" s="34"/>
      <c r="P1445" s="36" t="str">
        <f t="shared" si="132"/>
        <v/>
      </c>
      <c r="Q1445" s="216" t="e">
        <f t="shared" si="133"/>
        <v>#DIV/0!</v>
      </c>
      <c r="R1445" s="216" t="e">
        <f t="shared" si="134"/>
        <v>#DIV/0!</v>
      </c>
      <c r="S1445" s="217" t="str">
        <f t="shared" si="135"/>
        <v/>
      </c>
    </row>
    <row r="1446" spans="1:19" ht="15.75" hidden="1" thickBot="1" x14ac:dyDescent="0.3">
      <c r="A1446" s="262"/>
      <c r="B1446" s="260"/>
      <c r="C1446" s="35" t="s">
        <v>350</v>
      </c>
      <c r="D1446" s="35" t="s">
        <v>107</v>
      </c>
      <c r="E1446" s="36">
        <v>1.3332999999999999</v>
      </c>
      <c r="F1446" s="30">
        <v>1.5864999999999998</v>
      </c>
      <c r="G1446" s="30">
        <f t="shared" si="136"/>
        <v>2.1152804499999998</v>
      </c>
      <c r="H1446" s="34"/>
      <c r="I1446" s="30"/>
      <c r="J1446" s="152">
        <v>0</v>
      </c>
      <c r="L1446" s="215">
        <v>1.3332999999999999</v>
      </c>
      <c r="M1446" s="30">
        <v>1.3580439999999998</v>
      </c>
      <c r="N1446" s="30">
        <f t="shared" si="137"/>
        <v>1.8106800651999997</v>
      </c>
      <c r="O1446" s="34"/>
      <c r="P1446" s="36" t="str">
        <f t="shared" si="132"/>
        <v/>
      </c>
      <c r="Q1446" s="216">
        <f t="shared" si="133"/>
        <v>0.14400000000000002</v>
      </c>
      <c r="R1446" s="216">
        <f t="shared" si="134"/>
        <v>0.14400000000000002</v>
      </c>
      <c r="S1446" s="217" t="str">
        <f t="shared" si="135"/>
        <v/>
      </c>
    </row>
    <row r="1447" spans="1:19" ht="15.75" hidden="1" thickBot="1" x14ac:dyDescent="0.3">
      <c r="A1447" s="262"/>
      <c r="B1447" s="260"/>
      <c r="C1447" s="35" t="s">
        <v>351</v>
      </c>
      <c r="D1447" s="35" t="s">
        <v>16</v>
      </c>
      <c r="E1447" s="36">
        <v>2.67</v>
      </c>
      <c r="F1447" s="30">
        <v>0.28499999999999998</v>
      </c>
      <c r="G1447" s="30">
        <f t="shared" si="136"/>
        <v>0.7609499999999999</v>
      </c>
      <c r="H1447" s="34"/>
      <c r="I1447" s="30"/>
      <c r="J1447" s="152">
        <v>0</v>
      </c>
      <c r="L1447" s="215">
        <v>2.67</v>
      </c>
      <c r="M1447" s="30">
        <v>0.24395999999999998</v>
      </c>
      <c r="N1447" s="30">
        <f t="shared" si="137"/>
        <v>0.65137319999999999</v>
      </c>
      <c r="O1447" s="34"/>
      <c r="P1447" s="36" t="str">
        <f t="shared" si="132"/>
        <v/>
      </c>
      <c r="Q1447" s="216">
        <f t="shared" si="133"/>
        <v>0.14400000000000002</v>
      </c>
      <c r="R1447" s="216">
        <f t="shared" si="134"/>
        <v>0.14399999999999991</v>
      </c>
      <c r="S1447" s="217" t="str">
        <f t="shared" si="135"/>
        <v/>
      </c>
    </row>
    <row r="1448" spans="1:19" ht="15.75" hidden="1" thickBot="1" x14ac:dyDescent="0.3">
      <c r="A1448" s="262"/>
      <c r="B1448" s="260"/>
      <c r="C1448" s="35" t="s">
        <v>352</v>
      </c>
      <c r="D1448" s="35" t="s">
        <v>107</v>
      </c>
      <c r="E1448" s="36">
        <v>0.67</v>
      </c>
      <c r="F1448" s="30">
        <v>0</v>
      </c>
      <c r="G1448" s="30">
        <f t="shared" si="136"/>
        <v>0</v>
      </c>
      <c r="H1448" s="34"/>
      <c r="I1448" s="30"/>
      <c r="J1448" s="152">
        <v>0</v>
      </c>
      <c r="L1448" s="215">
        <v>0.67</v>
      </c>
      <c r="M1448" s="30">
        <v>0</v>
      </c>
      <c r="N1448" s="30">
        <f t="shared" si="137"/>
        <v>0</v>
      </c>
      <c r="O1448" s="34"/>
      <c r="P1448" s="36" t="str">
        <f t="shared" si="132"/>
        <v/>
      </c>
      <c r="Q1448" s="216" t="e">
        <f t="shared" si="133"/>
        <v>#DIV/0!</v>
      </c>
      <c r="R1448" s="216" t="e">
        <f t="shared" si="134"/>
        <v>#DIV/0!</v>
      </c>
      <c r="S1448" s="217" t="str">
        <f t="shared" si="135"/>
        <v/>
      </c>
    </row>
    <row r="1449" spans="1:19" ht="26.25" hidden="1" thickBot="1" x14ac:dyDescent="0.3">
      <c r="A1449" s="262"/>
      <c r="B1449" s="260"/>
      <c r="C1449" s="35" t="s">
        <v>358</v>
      </c>
      <c r="D1449" s="35" t="s">
        <v>69</v>
      </c>
      <c r="E1449" s="36">
        <v>1.05</v>
      </c>
      <c r="F1449" s="33" t="s">
        <v>416</v>
      </c>
      <c r="G1449" s="30" t="str">
        <f t="shared" si="136"/>
        <v/>
      </c>
      <c r="H1449" s="34"/>
      <c r="I1449" s="30"/>
      <c r="J1449" s="152">
        <v>0</v>
      </c>
      <c r="L1449" s="215">
        <v>1.05</v>
      </c>
      <c r="M1449" s="33"/>
      <c r="N1449" s="30" t="str">
        <f t="shared" si="137"/>
        <v/>
      </c>
      <c r="O1449" s="34"/>
      <c r="P1449" s="36" t="str">
        <f t="shared" si="132"/>
        <v/>
      </c>
      <c r="Q1449" s="216" t="str">
        <f t="shared" si="133"/>
        <v/>
      </c>
      <c r="R1449" s="216" t="str">
        <f t="shared" si="134"/>
        <v/>
      </c>
      <c r="S1449" s="217" t="str">
        <f t="shared" si="135"/>
        <v/>
      </c>
    </row>
    <row r="1450" spans="1:19" ht="15.75" hidden="1" thickBot="1" x14ac:dyDescent="0.3">
      <c r="A1450" s="263"/>
      <c r="B1450" s="261"/>
      <c r="C1450" s="35"/>
      <c r="D1450" s="35"/>
      <c r="E1450" s="36"/>
      <c r="F1450" s="30" t="s">
        <v>416</v>
      </c>
      <c r="G1450" s="30" t="str">
        <f t="shared" si="136"/>
        <v/>
      </c>
      <c r="H1450" s="34"/>
      <c r="I1450" s="30"/>
      <c r="J1450" s="152">
        <v>0</v>
      </c>
      <c r="L1450" s="215"/>
      <c r="M1450" s="30"/>
      <c r="N1450" s="30" t="str">
        <f t="shared" si="137"/>
        <v/>
      </c>
      <c r="O1450" s="34"/>
      <c r="P1450" s="36" t="str">
        <f t="shared" si="132"/>
        <v/>
      </c>
      <c r="Q1450" s="216" t="str">
        <f t="shared" si="133"/>
        <v/>
      </c>
      <c r="R1450" s="216" t="str">
        <f t="shared" si="134"/>
        <v/>
      </c>
      <c r="S1450" s="217" t="str">
        <f t="shared" si="135"/>
        <v/>
      </c>
    </row>
    <row r="1451" spans="1:19" ht="15.75" hidden="1" thickBot="1" x14ac:dyDescent="0.3">
      <c r="A1451" s="256" t="s">
        <v>362</v>
      </c>
      <c r="B1451" s="259" t="str">
        <f>INDEX(Orçamentária!A:B,MATCH(Composições!A1451,Orçamentária!A:A,0),2)</f>
        <v>Eletrocalha 300 x 100 mm</v>
      </c>
      <c r="C1451" s="40"/>
      <c r="D1451" s="25" t="s">
        <v>69</v>
      </c>
      <c r="E1451" s="26"/>
      <c r="F1451" s="41" t="s">
        <v>416</v>
      </c>
      <c r="G1451" s="27" t="str">
        <f t="shared" si="136"/>
        <v/>
      </c>
      <c r="H1451" s="28"/>
      <c r="I1451" s="29"/>
      <c r="J1451" s="152">
        <v>0</v>
      </c>
      <c r="L1451" s="218"/>
      <c r="M1451" s="41"/>
      <c r="N1451" s="27" t="str">
        <f t="shared" si="137"/>
        <v/>
      </c>
      <c r="O1451" s="28"/>
      <c r="P1451" s="36" t="str">
        <f t="shared" si="132"/>
        <v/>
      </c>
      <c r="Q1451" s="216" t="str">
        <f t="shared" si="133"/>
        <v/>
      </c>
      <c r="R1451" s="216" t="str">
        <f t="shared" si="134"/>
        <v/>
      </c>
      <c r="S1451" s="217" t="str">
        <f t="shared" si="135"/>
        <v/>
      </c>
    </row>
    <row r="1452" spans="1:19" ht="15.75" hidden="1" thickBot="1" x14ac:dyDescent="0.3">
      <c r="A1452" s="262"/>
      <c r="B1452" s="260"/>
      <c r="C1452" s="31"/>
      <c r="D1452" s="31"/>
      <c r="E1452" s="32"/>
      <c r="F1452" s="42" t="s">
        <v>416</v>
      </c>
      <c r="G1452" s="30" t="str">
        <f t="shared" si="136"/>
        <v/>
      </c>
      <c r="H1452" s="34"/>
      <c r="I1452" s="30"/>
      <c r="J1452" s="152">
        <v>0</v>
      </c>
      <c r="L1452" s="219"/>
      <c r="M1452" s="42"/>
      <c r="N1452" s="30" t="str">
        <f t="shared" si="137"/>
        <v/>
      </c>
      <c r="O1452" s="34"/>
      <c r="P1452" s="36" t="str">
        <f t="shared" si="132"/>
        <v/>
      </c>
      <c r="Q1452" s="216" t="str">
        <f t="shared" si="133"/>
        <v/>
      </c>
      <c r="R1452" s="216" t="str">
        <f t="shared" si="134"/>
        <v/>
      </c>
      <c r="S1452" s="217" t="str">
        <f t="shared" si="135"/>
        <v/>
      </c>
    </row>
    <row r="1453" spans="1:19" ht="15.75" hidden="1" thickBot="1" x14ac:dyDescent="0.3">
      <c r="A1453" s="262"/>
      <c r="B1453" s="260"/>
      <c r="C1453" s="35" t="s">
        <v>1018</v>
      </c>
      <c r="D1453" s="35" t="s">
        <v>583</v>
      </c>
      <c r="E1453" s="36">
        <v>0.65</v>
      </c>
      <c r="F1453" s="30">
        <v>27.835000000000001</v>
      </c>
      <c r="G1453" s="30">
        <f t="shared" si="136"/>
        <v>18.092750000000002</v>
      </c>
      <c r="H1453" s="38">
        <f>SUM(G1453:G1464)</f>
        <v>58.464678649999996</v>
      </c>
      <c r="I1453" s="39"/>
      <c r="J1453" s="152">
        <v>0</v>
      </c>
      <c r="L1453" s="215">
        <v>0.65</v>
      </c>
      <c r="M1453" s="30">
        <v>23.82676</v>
      </c>
      <c r="N1453" s="30">
        <f t="shared" si="137"/>
        <v>15.487394</v>
      </c>
      <c r="O1453" s="38">
        <f>SUM(N1453:N1464)</f>
        <v>50.045764924399997</v>
      </c>
      <c r="P1453" s="36" t="str">
        <f t="shared" si="132"/>
        <v/>
      </c>
      <c r="Q1453" s="216">
        <f t="shared" si="133"/>
        <v>0.14400000000000002</v>
      </c>
      <c r="R1453" s="216">
        <f t="shared" si="134"/>
        <v>0.14400000000000013</v>
      </c>
      <c r="S1453" s="217">
        <f t="shared" si="135"/>
        <v>0.14400000000000002</v>
      </c>
    </row>
    <row r="1454" spans="1:19" ht="15.75" hidden="1" thickBot="1" x14ac:dyDescent="0.3">
      <c r="A1454" s="262"/>
      <c r="B1454" s="260"/>
      <c r="C1454" s="35" t="s">
        <v>1017</v>
      </c>
      <c r="D1454" s="35" t="s">
        <v>583</v>
      </c>
      <c r="E1454" s="36">
        <v>0.65</v>
      </c>
      <c r="F1454" s="30">
        <v>21.584</v>
      </c>
      <c r="G1454" s="30">
        <f t="shared" si="136"/>
        <v>14.0296</v>
      </c>
      <c r="H1454" s="34"/>
      <c r="I1454" s="30"/>
      <c r="J1454" s="152">
        <v>0</v>
      </c>
      <c r="L1454" s="215">
        <v>0.65</v>
      </c>
      <c r="M1454" s="30">
        <v>18.475904</v>
      </c>
      <c r="N1454" s="30">
        <f t="shared" si="137"/>
        <v>12.0093376</v>
      </c>
      <c r="O1454" s="34"/>
      <c r="P1454" s="36" t="str">
        <f t="shared" si="132"/>
        <v/>
      </c>
      <c r="Q1454" s="216">
        <f t="shared" si="133"/>
        <v>0.14400000000000002</v>
      </c>
      <c r="R1454" s="216">
        <f t="shared" si="134"/>
        <v>0.14400000000000002</v>
      </c>
      <c r="S1454" s="217" t="str">
        <f t="shared" si="135"/>
        <v/>
      </c>
    </row>
    <row r="1455" spans="1:19" ht="26.25" hidden="1" thickBot="1" x14ac:dyDescent="0.3">
      <c r="A1455" s="262"/>
      <c r="B1455" s="260"/>
      <c r="C1455" s="35" t="s">
        <v>344</v>
      </c>
      <c r="D1455" s="35" t="s">
        <v>107</v>
      </c>
      <c r="E1455" s="36">
        <v>1.3332999999999999</v>
      </c>
      <c r="F1455" s="30">
        <v>9.1579999999999995</v>
      </c>
      <c r="G1455" s="30">
        <f t="shared" si="136"/>
        <v>12.210361399999998</v>
      </c>
      <c r="H1455" s="61"/>
      <c r="I1455" s="1"/>
      <c r="J1455" s="152">
        <v>0</v>
      </c>
      <c r="L1455" s="215">
        <v>1.3332999999999999</v>
      </c>
      <c r="M1455" s="30">
        <v>7.8392479999999995</v>
      </c>
      <c r="N1455" s="30">
        <f t="shared" si="137"/>
        <v>10.452069358399999</v>
      </c>
      <c r="O1455" s="61"/>
      <c r="P1455" s="36" t="str">
        <f t="shared" si="132"/>
        <v/>
      </c>
      <c r="Q1455" s="216">
        <f t="shared" si="133"/>
        <v>0.14400000000000002</v>
      </c>
      <c r="R1455" s="216">
        <f t="shared" si="134"/>
        <v>0.14399999999999991</v>
      </c>
      <c r="S1455" s="217" t="str">
        <f t="shared" si="135"/>
        <v/>
      </c>
    </row>
    <row r="1456" spans="1:19" ht="26.25" hidden="1" thickBot="1" x14ac:dyDescent="0.3">
      <c r="A1456" s="262"/>
      <c r="B1456" s="260"/>
      <c r="C1456" s="35" t="s">
        <v>363</v>
      </c>
      <c r="D1456" s="35" t="s">
        <v>69</v>
      </c>
      <c r="E1456" s="36">
        <v>1.05</v>
      </c>
      <c r="F1456" s="33" t="s">
        <v>416</v>
      </c>
      <c r="G1456" s="30" t="str">
        <f t="shared" si="136"/>
        <v/>
      </c>
      <c r="H1456" s="34"/>
      <c r="I1456" s="30"/>
      <c r="J1456" s="152">
        <v>0</v>
      </c>
      <c r="L1456" s="215">
        <v>1.05</v>
      </c>
      <c r="M1456" s="33"/>
      <c r="N1456" s="30" t="str">
        <f t="shared" si="137"/>
        <v/>
      </c>
      <c r="O1456" s="34"/>
      <c r="P1456" s="36" t="str">
        <f t="shared" si="132"/>
        <v/>
      </c>
      <c r="Q1456" s="216" t="str">
        <f t="shared" si="133"/>
        <v/>
      </c>
      <c r="R1456" s="216" t="str">
        <f t="shared" si="134"/>
        <v/>
      </c>
      <c r="S1456" s="217" t="str">
        <f t="shared" si="135"/>
        <v/>
      </c>
    </row>
    <row r="1457" spans="1:19" ht="15.75" hidden="1" thickBot="1" x14ac:dyDescent="0.3">
      <c r="A1457" s="262"/>
      <c r="B1457" s="260"/>
      <c r="C1457" s="35" t="s">
        <v>346</v>
      </c>
      <c r="D1457" s="35" t="s">
        <v>69</v>
      </c>
      <c r="E1457" s="36">
        <v>1.6</v>
      </c>
      <c r="F1457" s="30">
        <v>5.0349999999999993</v>
      </c>
      <c r="G1457" s="30">
        <f t="shared" si="136"/>
        <v>8.0559999999999992</v>
      </c>
      <c r="H1457" s="34"/>
      <c r="I1457" s="30"/>
      <c r="J1457" s="152">
        <v>0</v>
      </c>
      <c r="L1457" s="215">
        <v>1.6</v>
      </c>
      <c r="M1457" s="30">
        <v>4.3099599999999993</v>
      </c>
      <c r="N1457" s="30">
        <f t="shared" si="137"/>
        <v>6.895935999999999</v>
      </c>
      <c r="O1457" s="34"/>
      <c r="P1457" s="36" t="str">
        <f t="shared" si="132"/>
        <v/>
      </c>
      <c r="Q1457" s="216">
        <f t="shared" si="133"/>
        <v>0.14400000000000002</v>
      </c>
      <c r="R1457" s="216">
        <f t="shared" si="134"/>
        <v>0.14400000000000002</v>
      </c>
      <c r="S1457" s="217" t="str">
        <f t="shared" si="135"/>
        <v/>
      </c>
    </row>
    <row r="1458" spans="1:19" ht="15.75" hidden="1" thickBot="1" x14ac:dyDescent="0.3">
      <c r="A1458" s="262"/>
      <c r="B1458" s="260"/>
      <c r="C1458" s="35" t="s">
        <v>347</v>
      </c>
      <c r="D1458" s="35" t="s">
        <v>213</v>
      </c>
      <c r="E1458" s="36">
        <v>5.3367000000000004</v>
      </c>
      <c r="F1458" s="33">
        <v>0.30399999999999999</v>
      </c>
      <c r="G1458" s="30">
        <f t="shared" si="136"/>
        <v>1.6223568000000002</v>
      </c>
      <c r="H1458" s="34"/>
      <c r="I1458" s="30"/>
      <c r="J1458" s="152">
        <v>0</v>
      </c>
      <c r="L1458" s="215">
        <v>5.3367000000000004</v>
      </c>
      <c r="M1458" s="33">
        <v>0.26022400000000001</v>
      </c>
      <c r="N1458" s="30">
        <f t="shared" si="137"/>
        <v>1.3887374208000001</v>
      </c>
      <c r="O1458" s="34"/>
      <c r="P1458" s="36" t="str">
        <f t="shared" si="132"/>
        <v/>
      </c>
      <c r="Q1458" s="216">
        <f t="shared" si="133"/>
        <v>0.14399999999999991</v>
      </c>
      <c r="R1458" s="216">
        <f t="shared" si="134"/>
        <v>0.14400000000000002</v>
      </c>
      <c r="S1458" s="217" t="str">
        <f t="shared" si="135"/>
        <v/>
      </c>
    </row>
    <row r="1459" spans="1:19" ht="15.75" hidden="1" thickBot="1" x14ac:dyDescent="0.3">
      <c r="A1459" s="262"/>
      <c r="B1459" s="260"/>
      <c r="C1459" s="35" t="s">
        <v>348</v>
      </c>
      <c r="D1459" s="35" t="s">
        <v>107</v>
      </c>
      <c r="E1459" s="36">
        <v>5.34</v>
      </c>
      <c r="F1459" s="30">
        <v>5.6999999999999995E-2</v>
      </c>
      <c r="G1459" s="30">
        <f t="shared" si="136"/>
        <v>0.30437999999999998</v>
      </c>
      <c r="H1459" s="34"/>
      <c r="I1459" s="30"/>
      <c r="J1459" s="152">
        <v>0</v>
      </c>
      <c r="L1459" s="215">
        <v>5.34</v>
      </c>
      <c r="M1459" s="30">
        <v>4.8791999999999995E-2</v>
      </c>
      <c r="N1459" s="30">
        <f t="shared" si="137"/>
        <v>0.26054927999999999</v>
      </c>
      <c r="O1459" s="34"/>
      <c r="P1459" s="36" t="str">
        <f t="shared" si="132"/>
        <v/>
      </c>
      <c r="Q1459" s="216">
        <f t="shared" si="133"/>
        <v>0.14400000000000002</v>
      </c>
      <c r="R1459" s="216">
        <f t="shared" si="134"/>
        <v>0.14400000000000002</v>
      </c>
      <c r="S1459" s="217" t="str">
        <f t="shared" si="135"/>
        <v/>
      </c>
    </row>
    <row r="1460" spans="1:19" ht="15.75" hidden="1" thickBot="1" x14ac:dyDescent="0.3">
      <c r="A1460" s="262"/>
      <c r="B1460" s="260"/>
      <c r="C1460" s="35" t="s">
        <v>364</v>
      </c>
      <c r="D1460" s="35" t="s">
        <v>107</v>
      </c>
      <c r="E1460" s="36">
        <v>0.67</v>
      </c>
      <c r="F1460" s="30">
        <v>0.95</v>
      </c>
      <c r="G1460" s="30">
        <f t="shared" si="136"/>
        <v>0.63649999999999995</v>
      </c>
      <c r="H1460" s="34"/>
      <c r="I1460" s="30"/>
      <c r="J1460" s="152">
        <v>0</v>
      </c>
      <c r="L1460" s="215">
        <v>0.67</v>
      </c>
      <c r="M1460" s="30">
        <v>0.81319999999999992</v>
      </c>
      <c r="N1460" s="30">
        <f t="shared" si="137"/>
        <v>0.54484399999999999</v>
      </c>
      <c r="O1460" s="34"/>
      <c r="P1460" s="36" t="str">
        <f t="shared" si="132"/>
        <v/>
      </c>
      <c r="Q1460" s="216">
        <f t="shared" si="133"/>
        <v>0.14400000000000002</v>
      </c>
      <c r="R1460" s="216">
        <f t="shared" si="134"/>
        <v>0.14399999999999991</v>
      </c>
      <c r="S1460" s="217" t="str">
        <f t="shared" si="135"/>
        <v/>
      </c>
    </row>
    <row r="1461" spans="1:19" ht="15.75" hidden="1" thickBot="1" x14ac:dyDescent="0.3">
      <c r="A1461" s="262"/>
      <c r="B1461" s="260"/>
      <c r="C1461" s="35" t="s">
        <v>350</v>
      </c>
      <c r="D1461" s="35" t="s">
        <v>107</v>
      </c>
      <c r="E1461" s="36">
        <v>1.3332999999999999</v>
      </c>
      <c r="F1461" s="30">
        <v>1.5864999999999998</v>
      </c>
      <c r="G1461" s="30">
        <f t="shared" si="136"/>
        <v>2.1152804499999998</v>
      </c>
      <c r="H1461" s="34"/>
      <c r="I1461" s="30"/>
      <c r="J1461" s="152">
        <v>0</v>
      </c>
      <c r="L1461" s="215">
        <v>1.3332999999999999</v>
      </c>
      <c r="M1461" s="30">
        <v>1.3580439999999998</v>
      </c>
      <c r="N1461" s="30">
        <f t="shared" si="137"/>
        <v>1.8106800651999997</v>
      </c>
      <c r="O1461" s="34"/>
      <c r="P1461" s="36" t="str">
        <f t="shared" si="132"/>
        <v/>
      </c>
      <c r="Q1461" s="216">
        <f t="shared" si="133"/>
        <v>0.14400000000000002</v>
      </c>
      <c r="R1461" s="216">
        <f t="shared" si="134"/>
        <v>0.14400000000000002</v>
      </c>
      <c r="S1461" s="217" t="str">
        <f t="shared" si="135"/>
        <v/>
      </c>
    </row>
    <row r="1462" spans="1:19" ht="15.75" hidden="1" thickBot="1" x14ac:dyDescent="0.3">
      <c r="A1462" s="262"/>
      <c r="B1462" s="260"/>
      <c r="C1462" s="35" t="s">
        <v>351</v>
      </c>
      <c r="D1462" s="35" t="s">
        <v>16</v>
      </c>
      <c r="E1462" s="36">
        <v>2.67</v>
      </c>
      <c r="F1462" s="30">
        <v>0.28499999999999998</v>
      </c>
      <c r="G1462" s="30">
        <f t="shared" si="136"/>
        <v>0.7609499999999999</v>
      </c>
      <c r="H1462" s="34"/>
      <c r="I1462" s="30"/>
      <c r="J1462" s="152">
        <v>0</v>
      </c>
      <c r="L1462" s="215">
        <v>2.67</v>
      </c>
      <c r="M1462" s="30">
        <v>0.24395999999999998</v>
      </c>
      <c r="N1462" s="30">
        <f t="shared" si="137"/>
        <v>0.65137319999999999</v>
      </c>
      <c r="O1462" s="34"/>
      <c r="P1462" s="36" t="str">
        <f t="shared" si="132"/>
        <v/>
      </c>
      <c r="Q1462" s="216">
        <f t="shared" si="133"/>
        <v>0.14400000000000002</v>
      </c>
      <c r="R1462" s="216">
        <f t="shared" si="134"/>
        <v>0.14399999999999991</v>
      </c>
      <c r="S1462" s="217" t="str">
        <f t="shared" si="135"/>
        <v/>
      </c>
    </row>
    <row r="1463" spans="1:19" ht="15.75" hidden="1" thickBot="1" x14ac:dyDescent="0.3">
      <c r="A1463" s="262"/>
      <c r="B1463" s="260"/>
      <c r="C1463" s="35" t="s">
        <v>357</v>
      </c>
      <c r="D1463" s="35" t="s">
        <v>107</v>
      </c>
      <c r="E1463" s="36">
        <v>0.67</v>
      </c>
      <c r="F1463" s="30">
        <v>0.95</v>
      </c>
      <c r="G1463" s="30">
        <f t="shared" si="136"/>
        <v>0.63649999999999995</v>
      </c>
      <c r="H1463" s="34"/>
      <c r="I1463" s="30"/>
      <c r="J1463" s="152">
        <v>0</v>
      </c>
      <c r="L1463" s="215">
        <v>0.67</v>
      </c>
      <c r="M1463" s="30">
        <v>0.81319999999999992</v>
      </c>
      <c r="N1463" s="30">
        <f t="shared" si="137"/>
        <v>0.54484399999999999</v>
      </c>
      <c r="O1463" s="34"/>
      <c r="P1463" s="36" t="str">
        <f t="shared" si="132"/>
        <v/>
      </c>
      <c r="Q1463" s="216">
        <f t="shared" si="133"/>
        <v>0.14400000000000002</v>
      </c>
      <c r="R1463" s="216">
        <f t="shared" si="134"/>
        <v>0.14399999999999991</v>
      </c>
      <c r="S1463" s="217" t="str">
        <f t="shared" si="135"/>
        <v/>
      </c>
    </row>
    <row r="1464" spans="1:19" ht="26.25" hidden="1" thickBot="1" x14ac:dyDescent="0.3">
      <c r="A1464" s="262"/>
      <c r="B1464" s="260"/>
      <c r="C1464" s="35" t="s">
        <v>365</v>
      </c>
      <c r="D1464" s="35" t="s">
        <v>69</v>
      </c>
      <c r="E1464" s="36">
        <v>1.05</v>
      </c>
      <c r="F1464" s="33" t="s">
        <v>416</v>
      </c>
      <c r="G1464" s="30" t="str">
        <f t="shared" si="136"/>
        <v/>
      </c>
      <c r="H1464" s="34"/>
      <c r="I1464" s="30"/>
      <c r="J1464" s="152">
        <v>0</v>
      </c>
      <c r="L1464" s="215">
        <v>1.05</v>
      </c>
      <c r="M1464" s="33"/>
      <c r="N1464" s="30" t="str">
        <f t="shared" si="137"/>
        <v/>
      </c>
      <c r="O1464" s="34"/>
      <c r="P1464" s="36" t="str">
        <f t="shared" si="132"/>
        <v/>
      </c>
      <c r="Q1464" s="216" t="str">
        <f t="shared" si="133"/>
        <v/>
      </c>
      <c r="R1464" s="216" t="str">
        <f t="shared" si="134"/>
        <v/>
      </c>
      <c r="S1464" s="217" t="str">
        <f t="shared" si="135"/>
        <v/>
      </c>
    </row>
    <row r="1465" spans="1:19" ht="15.75" hidden="1" thickBot="1" x14ac:dyDescent="0.3">
      <c r="A1465" s="263"/>
      <c r="B1465" s="261"/>
      <c r="C1465" s="35"/>
      <c r="D1465" s="35"/>
      <c r="E1465" s="36"/>
      <c r="F1465" s="30" t="s">
        <v>416</v>
      </c>
      <c r="G1465" s="30" t="str">
        <f t="shared" si="136"/>
        <v/>
      </c>
      <c r="H1465" s="34"/>
      <c r="I1465" s="30"/>
      <c r="J1465" s="152">
        <v>0</v>
      </c>
      <c r="L1465" s="215"/>
      <c r="M1465" s="30"/>
      <c r="N1465" s="30" t="str">
        <f t="shared" si="137"/>
        <v/>
      </c>
      <c r="O1465" s="34"/>
      <c r="P1465" s="36" t="str">
        <f t="shared" si="132"/>
        <v/>
      </c>
      <c r="Q1465" s="216" t="str">
        <f t="shared" si="133"/>
        <v/>
      </c>
      <c r="R1465" s="216" t="str">
        <f t="shared" si="134"/>
        <v/>
      </c>
      <c r="S1465" s="217" t="str">
        <f t="shared" si="135"/>
        <v/>
      </c>
    </row>
    <row r="1466" spans="1:19" ht="15.75" hidden="1" thickBot="1" x14ac:dyDescent="0.3">
      <c r="A1466" s="256" t="s">
        <v>366</v>
      </c>
      <c r="B1466" s="259" t="str">
        <f>INDEX(Orçamentária!A:B,MATCH(Composições!A1466,Orçamentária!A:A,0),2)</f>
        <v>Eletrocalha 300 x 50 mm</v>
      </c>
      <c r="C1466" s="40"/>
      <c r="D1466" s="25" t="s">
        <v>69</v>
      </c>
      <c r="E1466" s="26"/>
      <c r="F1466" s="41" t="s">
        <v>416</v>
      </c>
      <c r="G1466" s="27" t="str">
        <f t="shared" si="136"/>
        <v/>
      </c>
      <c r="H1466" s="28"/>
      <c r="I1466" s="29"/>
      <c r="J1466" s="152">
        <v>0</v>
      </c>
      <c r="L1466" s="218"/>
      <c r="M1466" s="41"/>
      <c r="N1466" s="27" t="str">
        <f t="shared" si="137"/>
        <v/>
      </c>
      <c r="O1466" s="28"/>
      <c r="P1466" s="36" t="str">
        <f t="shared" si="132"/>
        <v/>
      </c>
      <c r="Q1466" s="216" t="str">
        <f t="shared" si="133"/>
        <v/>
      </c>
      <c r="R1466" s="216" t="str">
        <f t="shared" si="134"/>
        <v/>
      </c>
      <c r="S1466" s="217" t="str">
        <f t="shared" si="135"/>
        <v/>
      </c>
    </row>
    <row r="1467" spans="1:19" ht="15.75" hidden="1" thickBot="1" x14ac:dyDescent="0.3">
      <c r="A1467" s="262"/>
      <c r="B1467" s="260"/>
      <c r="C1467" s="31"/>
      <c r="D1467" s="31"/>
      <c r="E1467" s="32"/>
      <c r="F1467" s="42" t="s">
        <v>416</v>
      </c>
      <c r="G1467" s="30" t="str">
        <f t="shared" si="136"/>
        <v/>
      </c>
      <c r="H1467" s="34"/>
      <c r="I1467" s="30"/>
      <c r="J1467" s="152">
        <v>0</v>
      </c>
      <c r="L1467" s="219"/>
      <c r="M1467" s="42"/>
      <c r="N1467" s="30" t="str">
        <f t="shared" si="137"/>
        <v/>
      </c>
      <c r="O1467" s="34"/>
      <c r="P1467" s="36" t="str">
        <f t="shared" si="132"/>
        <v/>
      </c>
      <c r="Q1467" s="216" t="str">
        <f t="shared" si="133"/>
        <v/>
      </c>
      <c r="R1467" s="216" t="str">
        <f t="shared" si="134"/>
        <v/>
      </c>
      <c r="S1467" s="217" t="str">
        <f t="shared" si="135"/>
        <v/>
      </c>
    </row>
    <row r="1468" spans="1:19" ht="15.75" hidden="1" thickBot="1" x14ac:dyDescent="0.3">
      <c r="A1468" s="262"/>
      <c r="B1468" s="260"/>
      <c r="C1468" s="35" t="s">
        <v>1018</v>
      </c>
      <c r="D1468" s="35" t="s">
        <v>583</v>
      </c>
      <c r="E1468" s="36">
        <v>0.55000000000000004</v>
      </c>
      <c r="F1468" s="30">
        <v>27.835000000000001</v>
      </c>
      <c r="G1468" s="30">
        <f t="shared" si="136"/>
        <v>15.309250000000002</v>
      </c>
      <c r="H1468" s="38">
        <f>SUM(G1468:G1479)</f>
        <v>52.249778649999996</v>
      </c>
      <c r="I1468" s="39"/>
      <c r="J1468" s="152">
        <v>0</v>
      </c>
      <c r="L1468" s="215">
        <v>0.55000000000000004</v>
      </c>
      <c r="M1468" s="30">
        <v>23.82676</v>
      </c>
      <c r="N1468" s="30">
        <f t="shared" si="137"/>
        <v>13.104718000000002</v>
      </c>
      <c r="O1468" s="38">
        <f>SUM(N1468:N1479)</f>
        <v>44.725810524399996</v>
      </c>
      <c r="P1468" s="36" t="str">
        <f t="shared" si="132"/>
        <v/>
      </c>
      <c r="Q1468" s="216">
        <f t="shared" si="133"/>
        <v>0.14400000000000002</v>
      </c>
      <c r="R1468" s="216">
        <f t="shared" si="134"/>
        <v>0.14400000000000002</v>
      </c>
      <c r="S1468" s="217">
        <f t="shared" si="135"/>
        <v>0.14400000000000002</v>
      </c>
    </row>
    <row r="1469" spans="1:19" ht="15.75" hidden="1" thickBot="1" x14ac:dyDescent="0.3">
      <c r="A1469" s="262"/>
      <c r="B1469" s="260"/>
      <c r="C1469" s="35" t="s">
        <v>1017</v>
      </c>
      <c r="D1469" s="35" t="s">
        <v>583</v>
      </c>
      <c r="E1469" s="36">
        <v>0.55000000000000004</v>
      </c>
      <c r="F1469" s="30">
        <v>21.584</v>
      </c>
      <c r="G1469" s="30">
        <f t="shared" si="136"/>
        <v>11.8712</v>
      </c>
      <c r="H1469" s="34"/>
      <c r="I1469" s="30"/>
      <c r="J1469" s="152">
        <v>0</v>
      </c>
      <c r="L1469" s="215">
        <v>0.55000000000000004</v>
      </c>
      <c r="M1469" s="30">
        <v>18.475904</v>
      </c>
      <c r="N1469" s="30">
        <f t="shared" si="137"/>
        <v>10.161747200000001</v>
      </c>
      <c r="O1469" s="34"/>
      <c r="P1469" s="36" t="str">
        <f t="shared" si="132"/>
        <v/>
      </c>
      <c r="Q1469" s="216">
        <f t="shared" si="133"/>
        <v>0.14400000000000002</v>
      </c>
      <c r="R1469" s="216">
        <f t="shared" si="134"/>
        <v>0.14399999999999991</v>
      </c>
      <c r="S1469" s="217" t="str">
        <f t="shared" si="135"/>
        <v/>
      </c>
    </row>
    <row r="1470" spans="1:19" ht="26.25" hidden="1" thickBot="1" x14ac:dyDescent="0.3">
      <c r="A1470" s="262"/>
      <c r="B1470" s="260"/>
      <c r="C1470" s="35" t="s">
        <v>344</v>
      </c>
      <c r="D1470" s="35" t="s">
        <v>107</v>
      </c>
      <c r="E1470" s="36">
        <v>1.3332999999999999</v>
      </c>
      <c r="F1470" s="30">
        <v>9.1579999999999995</v>
      </c>
      <c r="G1470" s="30">
        <f t="shared" si="136"/>
        <v>12.210361399999998</v>
      </c>
      <c r="H1470" s="61"/>
      <c r="I1470" s="1"/>
      <c r="J1470" s="152">
        <v>0</v>
      </c>
      <c r="L1470" s="215">
        <v>1.3332999999999999</v>
      </c>
      <c r="M1470" s="30">
        <v>7.8392479999999995</v>
      </c>
      <c r="N1470" s="30">
        <f t="shared" si="137"/>
        <v>10.452069358399999</v>
      </c>
      <c r="O1470" s="61"/>
      <c r="P1470" s="36" t="str">
        <f t="shared" si="132"/>
        <v/>
      </c>
      <c r="Q1470" s="216">
        <f t="shared" si="133"/>
        <v>0.14400000000000002</v>
      </c>
      <c r="R1470" s="216">
        <f t="shared" si="134"/>
        <v>0.14399999999999991</v>
      </c>
      <c r="S1470" s="217" t="str">
        <f t="shared" si="135"/>
        <v/>
      </c>
    </row>
    <row r="1471" spans="1:19" ht="26.25" hidden="1" thickBot="1" x14ac:dyDescent="0.3">
      <c r="A1471" s="262"/>
      <c r="B1471" s="260"/>
      <c r="C1471" s="35" t="s">
        <v>367</v>
      </c>
      <c r="D1471" s="35" t="s">
        <v>69</v>
      </c>
      <c r="E1471" s="36">
        <v>1.05</v>
      </c>
      <c r="F1471" s="33" t="s">
        <v>416</v>
      </c>
      <c r="G1471" s="30" t="str">
        <f t="shared" si="136"/>
        <v/>
      </c>
      <c r="H1471" s="34"/>
      <c r="I1471" s="30"/>
      <c r="J1471" s="152">
        <v>0</v>
      </c>
      <c r="L1471" s="215">
        <v>1.05</v>
      </c>
      <c r="M1471" s="33"/>
      <c r="N1471" s="30" t="str">
        <f t="shared" si="137"/>
        <v/>
      </c>
      <c r="O1471" s="34"/>
      <c r="P1471" s="36" t="str">
        <f t="shared" si="132"/>
        <v/>
      </c>
      <c r="Q1471" s="216" t="str">
        <f t="shared" si="133"/>
        <v/>
      </c>
      <c r="R1471" s="216" t="str">
        <f t="shared" si="134"/>
        <v/>
      </c>
      <c r="S1471" s="217" t="str">
        <f t="shared" si="135"/>
        <v/>
      </c>
    </row>
    <row r="1472" spans="1:19" ht="15.75" hidden="1" thickBot="1" x14ac:dyDescent="0.3">
      <c r="A1472" s="262"/>
      <c r="B1472" s="260"/>
      <c r="C1472" s="35" t="s">
        <v>346</v>
      </c>
      <c r="D1472" s="35" t="s">
        <v>69</v>
      </c>
      <c r="E1472" s="36">
        <v>1.6</v>
      </c>
      <c r="F1472" s="30">
        <v>5.0349999999999993</v>
      </c>
      <c r="G1472" s="30">
        <f t="shared" si="136"/>
        <v>8.0559999999999992</v>
      </c>
      <c r="H1472" s="34"/>
      <c r="I1472" s="30"/>
      <c r="J1472" s="152">
        <v>0</v>
      </c>
      <c r="L1472" s="215">
        <v>1.6</v>
      </c>
      <c r="M1472" s="30">
        <v>4.3099599999999993</v>
      </c>
      <c r="N1472" s="30">
        <f t="shared" si="137"/>
        <v>6.895935999999999</v>
      </c>
      <c r="O1472" s="34"/>
      <c r="P1472" s="36" t="str">
        <f t="shared" si="132"/>
        <v/>
      </c>
      <c r="Q1472" s="216">
        <f t="shared" si="133"/>
        <v>0.14400000000000002</v>
      </c>
      <c r="R1472" s="216">
        <f t="shared" si="134"/>
        <v>0.14400000000000002</v>
      </c>
      <c r="S1472" s="217" t="str">
        <f t="shared" si="135"/>
        <v/>
      </c>
    </row>
    <row r="1473" spans="1:19" ht="15.75" hidden="1" thickBot="1" x14ac:dyDescent="0.3">
      <c r="A1473" s="262"/>
      <c r="B1473" s="260"/>
      <c r="C1473" s="35" t="s">
        <v>347</v>
      </c>
      <c r="D1473" s="35" t="s">
        <v>213</v>
      </c>
      <c r="E1473" s="36">
        <v>5.3367000000000004</v>
      </c>
      <c r="F1473" s="33">
        <v>0.30399999999999999</v>
      </c>
      <c r="G1473" s="30">
        <f t="shared" si="136"/>
        <v>1.6223568000000002</v>
      </c>
      <c r="H1473" s="34"/>
      <c r="I1473" s="30"/>
      <c r="J1473" s="152">
        <v>0</v>
      </c>
      <c r="L1473" s="215">
        <v>5.3367000000000004</v>
      </c>
      <c r="M1473" s="33">
        <v>0.26022400000000001</v>
      </c>
      <c r="N1473" s="30">
        <f t="shared" si="137"/>
        <v>1.3887374208000001</v>
      </c>
      <c r="O1473" s="34"/>
      <c r="P1473" s="36" t="str">
        <f t="shared" si="132"/>
        <v/>
      </c>
      <c r="Q1473" s="216">
        <f t="shared" si="133"/>
        <v>0.14399999999999991</v>
      </c>
      <c r="R1473" s="216">
        <f t="shared" si="134"/>
        <v>0.14400000000000002</v>
      </c>
      <c r="S1473" s="217" t="str">
        <f t="shared" si="135"/>
        <v/>
      </c>
    </row>
    <row r="1474" spans="1:19" ht="15.75" hidden="1" thickBot="1" x14ac:dyDescent="0.3">
      <c r="A1474" s="262"/>
      <c r="B1474" s="260"/>
      <c r="C1474" s="35" t="s">
        <v>348</v>
      </c>
      <c r="D1474" s="35" t="s">
        <v>107</v>
      </c>
      <c r="E1474" s="36">
        <v>5.34</v>
      </c>
      <c r="F1474" s="30">
        <v>5.6999999999999995E-2</v>
      </c>
      <c r="G1474" s="30">
        <f t="shared" si="136"/>
        <v>0.30437999999999998</v>
      </c>
      <c r="H1474" s="34"/>
      <c r="I1474" s="30"/>
      <c r="J1474" s="152">
        <v>0</v>
      </c>
      <c r="L1474" s="215">
        <v>5.34</v>
      </c>
      <c r="M1474" s="30">
        <v>4.8791999999999995E-2</v>
      </c>
      <c r="N1474" s="30">
        <f t="shared" si="137"/>
        <v>0.26054927999999999</v>
      </c>
      <c r="O1474" s="34"/>
      <c r="P1474" s="36" t="str">
        <f t="shared" si="132"/>
        <v/>
      </c>
      <c r="Q1474" s="216">
        <f t="shared" si="133"/>
        <v>0.14400000000000002</v>
      </c>
      <c r="R1474" s="216">
        <f t="shared" si="134"/>
        <v>0.14400000000000002</v>
      </c>
      <c r="S1474" s="217" t="str">
        <f t="shared" si="135"/>
        <v/>
      </c>
    </row>
    <row r="1475" spans="1:19" ht="15.75" hidden="1" thickBot="1" x14ac:dyDescent="0.3">
      <c r="A1475" s="262"/>
      <c r="B1475" s="260"/>
      <c r="C1475" s="35" t="s">
        <v>368</v>
      </c>
      <c r="D1475" s="35" t="s">
        <v>107</v>
      </c>
      <c r="E1475" s="36">
        <v>0.67</v>
      </c>
      <c r="F1475" s="30">
        <v>0</v>
      </c>
      <c r="G1475" s="30">
        <f t="shared" si="136"/>
        <v>0</v>
      </c>
      <c r="H1475" s="34"/>
      <c r="I1475" s="30"/>
      <c r="J1475" s="152">
        <v>0</v>
      </c>
      <c r="L1475" s="215">
        <v>0.67</v>
      </c>
      <c r="M1475" s="30">
        <v>0</v>
      </c>
      <c r="N1475" s="30">
        <f t="shared" si="137"/>
        <v>0</v>
      </c>
      <c r="O1475" s="34"/>
      <c r="P1475" s="36" t="str">
        <f t="shared" si="132"/>
        <v/>
      </c>
      <c r="Q1475" s="216" t="e">
        <f t="shared" si="133"/>
        <v>#DIV/0!</v>
      </c>
      <c r="R1475" s="216" t="e">
        <f t="shared" si="134"/>
        <v>#DIV/0!</v>
      </c>
      <c r="S1475" s="217" t="str">
        <f t="shared" si="135"/>
        <v/>
      </c>
    </row>
    <row r="1476" spans="1:19" ht="15.75" hidden="1" thickBot="1" x14ac:dyDescent="0.3">
      <c r="A1476" s="262"/>
      <c r="B1476" s="260"/>
      <c r="C1476" s="35" t="s">
        <v>350</v>
      </c>
      <c r="D1476" s="35" t="s">
        <v>107</v>
      </c>
      <c r="E1476" s="36">
        <v>1.3332999999999999</v>
      </c>
      <c r="F1476" s="30">
        <v>1.5864999999999998</v>
      </c>
      <c r="G1476" s="30">
        <f t="shared" si="136"/>
        <v>2.1152804499999998</v>
      </c>
      <c r="H1476" s="34"/>
      <c r="I1476" s="30"/>
      <c r="J1476" s="152">
        <v>0</v>
      </c>
      <c r="L1476" s="215">
        <v>1.3332999999999999</v>
      </c>
      <c r="M1476" s="30">
        <v>1.3580439999999998</v>
      </c>
      <c r="N1476" s="30">
        <f t="shared" si="137"/>
        <v>1.8106800651999997</v>
      </c>
      <c r="O1476" s="34"/>
      <c r="P1476" s="36" t="str">
        <f t="shared" si="132"/>
        <v/>
      </c>
      <c r="Q1476" s="216">
        <f t="shared" si="133"/>
        <v>0.14400000000000002</v>
      </c>
      <c r="R1476" s="216">
        <f t="shared" si="134"/>
        <v>0.14400000000000002</v>
      </c>
      <c r="S1476" s="217" t="str">
        <f t="shared" si="135"/>
        <v/>
      </c>
    </row>
    <row r="1477" spans="1:19" ht="15.75" hidden="1" thickBot="1" x14ac:dyDescent="0.3">
      <c r="A1477" s="262"/>
      <c r="B1477" s="260"/>
      <c r="C1477" s="35" t="s">
        <v>351</v>
      </c>
      <c r="D1477" s="35" t="s">
        <v>16</v>
      </c>
      <c r="E1477" s="36">
        <v>2.67</v>
      </c>
      <c r="F1477" s="30">
        <v>0.28499999999999998</v>
      </c>
      <c r="G1477" s="30">
        <f t="shared" si="136"/>
        <v>0.7609499999999999</v>
      </c>
      <c r="H1477" s="34"/>
      <c r="I1477" s="30"/>
      <c r="J1477" s="152">
        <v>0</v>
      </c>
      <c r="L1477" s="215">
        <v>2.67</v>
      </c>
      <c r="M1477" s="30">
        <v>0.24395999999999998</v>
      </c>
      <c r="N1477" s="30">
        <f t="shared" si="137"/>
        <v>0.65137319999999999</v>
      </c>
      <c r="O1477" s="34"/>
      <c r="P1477" s="36" t="str">
        <f t="shared" si="132"/>
        <v/>
      </c>
      <c r="Q1477" s="216">
        <f t="shared" si="133"/>
        <v>0.14400000000000002</v>
      </c>
      <c r="R1477" s="216">
        <f t="shared" si="134"/>
        <v>0.14399999999999991</v>
      </c>
      <c r="S1477" s="217" t="str">
        <f t="shared" si="135"/>
        <v/>
      </c>
    </row>
    <row r="1478" spans="1:19" ht="15.75" hidden="1" thickBot="1" x14ac:dyDescent="0.3">
      <c r="A1478" s="262"/>
      <c r="B1478" s="260"/>
      <c r="C1478" s="35" t="s">
        <v>352</v>
      </c>
      <c r="D1478" s="35" t="s">
        <v>107</v>
      </c>
      <c r="E1478" s="36">
        <v>0.67</v>
      </c>
      <c r="F1478" s="30">
        <v>0</v>
      </c>
      <c r="G1478" s="30">
        <f t="shared" si="136"/>
        <v>0</v>
      </c>
      <c r="H1478" s="34"/>
      <c r="I1478" s="30"/>
      <c r="J1478" s="152">
        <v>0</v>
      </c>
      <c r="L1478" s="215">
        <v>0.67</v>
      </c>
      <c r="M1478" s="30">
        <v>0</v>
      </c>
      <c r="N1478" s="30">
        <f t="shared" si="137"/>
        <v>0</v>
      </c>
      <c r="O1478" s="34"/>
      <c r="P1478" s="36" t="str">
        <f t="shared" si="132"/>
        <v/>
      </c>
      <c r="Q1478" s="216" t="e">
        <f t="shared" si="133"/>
        <v>#DIV/0!</v>
      </c>
      <c r="R1478" s="216" t="e">
        <f t="shared" si="134"/>
        <v>#DIV/0!</v>
      </c>
      <c r="S1478" s="217" t="str">
        <f t="shared" si="135"/>
        <v/>
      </c>
    </row>
    <row r="1479" spans="1:19" ht="26.25" hidden="1" thickBot="1" x14ac:dyDescent="0.3">
      <c r="A1479" s="262"/>
      <c r="B1479" s="260"/>
      <c r="C1479" s="35" t="s">
        <v>365</v>
      </c>
      <c r="D1479" s="35" t="s">
        <v>69</v>
      </c>
      <c r="E1479" s="36">
        <v>1.05</v>
      </c>
      <c r="F1479" s="33" t="s">
        <v>416</v>
      </c>
      <c r="G1479" s="30" t="str">
        <f t="shared" si="136"/>
        <v/>
      </c>
      <c r="H1479" s="34"/>
      <c r="I1479" s="30"/>
      <c r="J1479" s="152">
        <v>0</v>
      </c>
      <c r="L1479" s="215">
        <v>1.05</v>
      </c>
      <c r="M1479" s="33"/>
      <c r="N1479" s="30" t="str">
        <f t="shared" si="137"/>
        <v/>
      </c>
      <c r="O1479" s="34"/>
      <c r="P1479" s="36" t="str">
        <f t="shared" si="132"/>
        <v/>
      </c>
      <c r="Q1479" s="216" t="str">
        <f t="shared" si="133"/>
        <v/>
      </c>
      <c r="R1479" s="216" t="str">
        <f t="shared" si="134"/>
        <v/>
      </c>
      <c r="S1479" s="217" t="str">
        <f t="shared" si="135"/>
        <v/>
      </c>
    </row>
    <row r="1480" spans="1:19" ht="15.75" hidden="1" thickBot="1" x14ac:dyDescent="0.3">
      <c r="A1480" s="263"/>
      <c r="B1480" s="261"/>
      <c r="C1480" s="35"/>
      <c r="D1480" s="35"/>
      <c r="E1480" s="36"/>
      <c r="F1480" s="30" t="s">
        <v>416</v>
      </c>
      <c r="G1480" s="30" t="str">
        <f t="shared" si="136"/>
        <v/>
      </c>
      <c r="H1480" s="34"/>
      <c r="I1480" s="30"/>
      <c r="J1480" s="152">
        <v>0</v>
      </c>
      <c r="L1480" s="215"/>
      <c r="M1480" s="30"/>
      <c r="N1480" s="30" t="str">
        <f t="shared" si="137"/>
        <v/>
      </c>
      <c r="O1480" s="34"/>
      <c r="P1480" s="36" t="str">
        <f t="shared" ref="P1480:P1543" si="138">IF(ISBLANK(L1480),"",IF($E1480&lt;&gt;L1480,"SIM",""))</f>
        <v/>
      </c>
      <c r="Q1480" s="216" t="str">
        <f t="shared" ref="Q1480:Q1543" si="139">IF(M1480="","",1-M1480/$F1480)</f>
        <v/>
      </c>
      <c r="R1480" s="216" t="str">
        <f t="shared" ref="R1480:R1543" si="140">IF(N1480="","",1-N1480/$G1480)</f>
        <v/>
      </c>
      <c r="S1480" s="217" t="str">
        <f t="shared" ref="S1480:S1543" si="141">IF(O1480="","",1-O1480/$H1480)</f>
        <v/>
      </c>
    </row>
    <row r="1481" spans="1:19" ht="15.75" hidden="1" thickBot="1" x14ac:dyDescent="0.3">
      <c r="A1481" s="256" t="s">
        <v>369</v>
      </c>
      <c r="B1481" s="259" t="str">
        <f>INDEX(Orçamentária!A:B,MATCH(Composições!A1481,Orçamentária!A:A,0),2)</f>
        <v>Eletrocalha 400 x 50 mm</v>
      </c>
      <c r="C1481" s="40"/>
      <c r="D1481" s="25" t="s">
        <v>69</v>
      </c>
      <c r="E1481" s="26"/>
      <c r="F1481" s="41" t="s">
        <v>416</v>
      </c>
      <c r="G1481" s="27" t="str">
        <f t="shared" si="136"/>
        <v/>
      </c>
      <c r="H1481" s="28"/>
      <c r="I1481" s="29"/>
      <c r="J1481" s="152">
        <v>0</v>
      </c>
      <c r="L1481" s="218"/>
      <c r="M1481" s="41"/>
      <c r="N1481" s="27" t="str">
        <f t="shared" si="137"/>
        <v/>
      </c>
      <c r="O1481" s="28"/>
      <c r="P1481" s="36" t="str">
        <f t="shared" si="138"/>
        <v/>
      </c>
      <c r="Q1481" s="216" t="str">
        <f t="shared" si="139"/>
        <v/>
      </c>
      <c r="R1481" s="216" t="str">
        <f t="shared" si="140"/>
        <v/>
      </c>
      <c r="S1481" s="217" t="str">
        <f t="shared" si="141"/>
        <v/>
      </c>
    </row>
    <row r="1482" spans="1:19" ht="15.75" hidden="1" thickBot="1" x14ac:dyDescent="0.3">
      <c r="A1482" s="262"/>
      <c r="B1482" s="260"/>
      <c r="C1482" s="31"/>
      <c r="D1482" s="31"/>
      <c r="E1482" s="32"/>
      <c r="F1482" s="42" t="s">
        <v>416</v>
      </c>
      <c r="G1482" s="30" t="str">
        <f t="shared" si="136"/>
        <v/>
      </c>
      <c r="H1482" s="34"/>
      <c r="I1482" s="30"/>
      <c r="J1482" s="152">
        <v>0</v>
      </c>
      <c r="L1482" s="219"/>
      <c r="M1482" s="42"/>
      <c r="N1482" s="30" t="str">
        <f t="shared" si="137"/>
        <v/>
      </c>
      <c r="O1482" s="34"/>
      <c r="P1482" s="36" t="str">
        <f t="shared" si="138"/>
        <v/>
      </c>
      <c r="Q1482" s="216" t="str">
        <f t="shared" si="139"/>
        <v/>
      </c>
      <c r="R1482" s="216" t="str">
        <f t="shared" si="140"/>
        <v/>
      </c>
      <c r="S1482" s="217" t="str">
        <f t="shared" si="141"/>
        <v/>
      </c>
    </row>
    <row r="1483" spans="1:19" ht="15.75" hidden="1" thickBot="1" x14ac:dyDescent="0.3">
      <c r="A1483" s="262"/>
      <c r="B1483" s="260"/>
      <c r="C1483" s="35" t="s">
        <v>1018</v>
      </c>
      <c r="D1483" s="35" t="s">
        <v>583</v>
      </c>
      <c r="E1483" s="36">
        <v>0.55000000000000004</v>
      </c>
      <c r="F1483" s="30">
        <v>27.835000000000001</v>
      </c>
      <c r="G1483" s="30">
        <f t="shared" si="136"/>
        <v>15.309250000000002</v>
      </c>
      <c r="H1483" s="38">
        <f>SUM(G1483:G1494)</f>
        <v>52.249778649999996</v>
      </c>
      <c r="I1483" s="39"/>
      <c r="J1483" s="152">
        <v>0</v>
      </c>
      <c r="L1483" s="215">
        <v>0.55000000000000004</v>
      </c>
      <c r="M1483" s="30">
        <v>23.82676</v>
      </c>
      <c r="N1483" s="30">
        <f t="shared" si="137"/>
        <v>13.104718000000002</v>
      </c>
      <c r="O1483" s="38">
        <f>SUM(N1483:N1494)</f>
        <v>44.725810524399996</v>
      </c>
      <c r="P1483" s="36" t="str">
        <f t="shared" si="138"/>
        <v/>
      </c>
      <c r="Q1483" s="216">
        <f t="shared" si="139"/>
        <v>0.14400000000000002</v>
      </c>
      <c r="R1483" s="216">
        <f t="shared" si="140"/>
        <v>0.14400000000000002</v>
      </c>
      <c r="S1483" s="217">
        <f t="shared" si="141"/>
        <v>0.14400000000000002</v>
      </c>
    </row>
    <row r="1484" spans="1:19" ht="15.75" hidden="1" thickBot="1" x14ac:dyDescent="0.3">
      <c r="A1484" s="262"/>
      <c r="B1484" s="260"/>
      <c r="C1484" s="35" t="s">
        <v>1017</v>
      </c>
      <c r="D1484" s="35" t="s">
        <v>583</v>
      </c>
      <c r="E1484" s="36">
        <v>0.55000000000000004</v>
      </c>
      <c r="F1484" s="30">
        <v>21.584</v>
      </c>
      <c r="G1484" s="30">
        <f t="shared" si="136"/>
        <v>11.8712</v>
      </c>
      <c r="H1484" s="34"/>
      <c r="I1484" s="30"/>
      <c r="J1484" s="152">
        <v>0</v>
      </c>
      <c r="L1484" s="215">
        <v>0.55000000000000004</v>
      </c>
      <c r="M1484" s="30">
        <v>18.475904</v>
      </c>
      <c r="N1484" s="30">
        <f t="shared" si="137"/>
        <v>10.161747200000001</v>
      </c>
      <c r="O1484" s="34"/>
      <c r="P1484" s="36" t="str">
        <f t="shared" si="138"/>
        <v/>
      </c>
      <c r="Q1484" s="216">
        <f t="shared" si="139"/>
        <v>0.14400000000000002</v>
      </c>
      <c r="R1484" s="216">
        <f t="shared" si="140"/>
        <v>0.14399999999999991</v>
      </c>
      <c r="S1484" s="217" t="str">
        <f t="shared" si="141"/>
        <v/>
      </c>
    </row>
    <row r="1485" spans="1:19" ht="26.25" hidden="1" thickBot="1" x14ac:dyDescent="0.3">
      <c r="A1485" s="262"/>
      <c r="B1485" s="260"/>
      <c r="C1485" s="35" t="s">
        <v>344</v>
      </c>
      <c r="D1485" s="35" t="s">
        <v>107</v>
      </c>
      <c r="E1485" s="36">
        <v>1.3332999999999999</v>
      </c>
      <c r="F1485" s="30">
        <v>9.1579999999999995</v>
      </c>
      <c r="G1485" s="30">
        <f t="shared" si="136"/>
        <v>12.210361399999998</v>
      </c>
      <c r="H1485" s="61"/>
      <c r="I1485" s="1"/>
      <c r="J1485" s="152">
        <v>0</v>
      </c>
      <c r="L1485" s="215">
        <v>1.3332999999999999</v>
      </c>
      <c r="M1485" s="30">
        <v>7.8392479999999995</v>
      </c>
      <c r="N1485" s="30">
        <f t="shared" si="137"/>
        <v>10.452069358399999</v>
      </c>
      <c r="O1485" s="61"/>
      <c r="P1485" s="36" t="str">
        <f t="shared" si="138"/>
        <v/>
      </c>
      <c r="Q1485" s="216">
        <f t="shared" si="139"/>
        <v>0.14400000000000002</v>
      </c>
      <c r="R1485" s="216">
        <f t="shared" si="140"/>
        <v>0.14399999999999991</v>
      </c>
      <c r="S1485" s="217" t="str">
        <f t="shared" si="141"/>
        <v/>
      </c>
    </row>
    <row r="1486" spans="1:19" ht="26.25" hidden="1" thickBot="1" x14ac:dyDescent="0.3">
      <c r="A1486" s="262"/>
      <c r="B1486" s="260"/>
      <c r="C1486" s="35" t="s">
        <v>370</v>
      </c>
      <c r="D1486" s="35" t="s">
        <v>69</v>
      </c>
      <c r="E1486" s="36">
        <v>1.05</v>
      </c>
      <c r="F1486" s="33" t="s">
        <v>416</v>
      </c>
      <c r="G1486" s="30" t="str">
        <f t="shared" si="136"/>
        <v/>
      </c>
      <c r="H1486" s="34"/>
      <c r="I1486" s="30"/>
      <c r="J1486" s="152">
        <v>0</v>
      </c>
      <c r="L1486" s="215">
        <v>1.05</v>
      </c>
      <c r="M1486" s="33"/>
      <c r="N1486" s="30" t="str">
        <f t="shared" si="137"/>
        <v/>
      </c>
      <c r="O1486" s="34"/>
      <c r="P1486" s="36" t="str">
        <f t="shared" si="138"/>
        <v/>
      </c>
      <c r="Q1486" s="216" t="str">
        <f t="shared" si="139"/>
        <v/>
      </c>
      <c r="R1486" s="216" t="str">
        <f t="shared" si="140"/>
        <v/>
      </c>
      <c r="S1486" s="217" t="str">
        <f t="shared" si="141"/>
        <v/>
      </c>
    </row>
    <row r="1487" spans="1:19" ht="15.75" hidden="1" thickBot="1" x14ac:dyDescent="0.3">
      <c r="A1487" s="262"/>
      <c r="B1487" s="260"/>
      <c r="C1487" s="35" t="s">
        <v>346</v>
      </c>
      <c r="D1487" s="35" t="s">
        <v>69</v>
      </c>
      <c r="E1487" s="36">
        <v>1.6</v>
      </c>
      <c r="F1487" s="30">
        <v>5.0349999999999993</v>
      </c>
      <c r="G1487" s="30">
        <f t="shared" si="136"/>
        <v>8.0559999999999992</v>
      </c>
      <c r="H1487" s="34"/>
      <c r="I1487" s="30"/>
      <c r="J1487" s="152">
        <v>0</v>
      </c>
      <c r="L1487" s="215">
        <v>1.6</v>
      </c>
      <c r="M1487" s="30">
        <v>4.3099599999999993</v>
      </c>
      <c r="N1487" s="30">
        <f t="shared" si="137"/>
        <v>6.895935999999999</v>
      </c>
      <c r="O1487" s="34"/>
      <c r="P1487" s="36" t="str">
        <f t="shared" si="138"/>
        <v/>
      </c>
      <c r="Q1487" s="216">
        <f t="shared" si="139"/>
        <v>0.14400000000000002</v>
      </c>
      <c r="R1487" s="216">
        <f t="shared" si="140"/>
        <v>0.14400000000000002</v>
      </c>
      <c r="S1487" s="217" t="str">
        <f t="shared" si="141"/>
        <v/>
      </c>
    </row>
    <row r="1488" spans="1:19" ht="15.75" hidden="1" thickBot="1" x14ac:dyDescent="0.3">
      <c r="A1488" s="262"/>
      <c r="B1488" s="260"/>
      <c r="C1488" s="35" t="s">
        <v>347</v>
      </c>
      <c r="D1488" s="35" t="s">
        <v>213</v>
      </c>
      <c r="E1488" s="36">
        <v>5.3367000000000004</v>
      </c>
      <c r="F1488" s="33">
        <v>0.30399999999999999</v>
      </c>
      <c r="G1488" s="30">
        <f t="shared" si="136"/>
        <v>1.6223568000000002</v>
      </c>
      <c r="H1488" s="34"/>
      <c r="I1488" s="30"/>
      <c r="J1488" s="152">
        <v>0</v>
      </c>
      <c r="L1488" s="215">
        <v>5.3367000000000004</v>
      </c>
      <c r="M1488" s="33">
        <v>0.26022400000000001</v>
      </c>
      <c r="N1488" s="30">
        <f t="shared" si="137"/>
        <v>1.3887374208000001</v>
      </c>
      <c r="O1488" s="34"/>
      <c r="P1488" s="36" t="str">
        <f t="shared" si="138"/>
        <v/>
      </c>
      <c r="Q1488" s="216">
        <f t="shared" si="139"/>
        <v>0.14399999999999991</v>
      </c>
      <c r="R1488" s="216">
        <f t="shared" si="140"/>
        <v>0.14400000000000002</v>
      </c>
      <c r="S1488" s="217" t="str">
        <f t="shared" si="141"/>
        <v/>
      </c>
    </row>
    <row r="1489" spans="1:19" ht="15.75" hidden="1" thickBot="1" x14ac:dyDescent="0.3">
      <c r="A1489" s="262"/>
      <c r="B1489" s="260"/>
      <c r="C1489" s="35" t="s">
        <v>348</v>
      </c>
      <c r="D1489" s="35" t="s">
        <v>107</v>
      </c>
      <c r="E1489" s="36">
        <v>5.34</v>
      </c>
      <c r="F1489" s="30">
        <v>5.6999999999999995E-2</v>
      </c>
      <c r="G1489" s="30">
        <f t="shared" si="136"/>
        <v>0.30437999999999998</v>
      </c>
      <c r="H1489" s="34"/>
      <c r="I1489" s="30"/>
      <c r="J1489" s="152">
        <v>0</v>
      </c>
      <c r="L1489" s="215">
        <v>5.34</v>
      </c>
      <c r="M1489" s="30">
        <v>4.8791999999999995E-2</v>
      </c>
      <c r="N1489" s="30">
        <f t="shared" si="137"/>
        <v>0.26054927999999999</v>
      </c>
      <c r="O1489" s="34"/>
      <c r="P1489" s="36" t="str">
        <f t="shared" si="138"/>
        <v/>
      </c>
      <c r="Q1489" s="216">
        <f t="shared" si="139"/>
        <v>0.14400000000000002</v>
      </c>
      <c r="R1489" s="216">
        <f t="shared" si="140"/>
        <v>0.14400000000000002</v>
      </c>
      <c r="S1489" s="217" t="str">
        <f t="shared" si="141"/>
        <v/>
      </c>
    </row>
    <row r="1490" spans="1:19" ht="15.75" hidden="1" thickBot="1" x14ac:dyDescent="0.3">
      <c r="A1490" s="262"/>
      <c r="B1490" s="260"/>
      <c r="C1490" s="35" t="s">
        <v>371</v>
      </c>
      <c r="D1490" s="35" t="s">
        <v>107</v>
      </c>
      <c r="E1490" s="36">
        <v>0.67</v>
      </c>
      <c r="F1490" s="30">
        <v>0</v>
      </c>
      <c r="G1490" s="30">
        <f t="shared" si="136"/>
        <v>0</v>
      </c>
      <c r="H1490" s="34"/>
      <c r="I1490" s="30"/>
      <c r="J1490" s="152">
        <v>0</v>
      </c>
      <c r="L1490" s="215">
        <v>0.67</v>
      </c>
      <c r="M1490" s="30">
        <v>0</v>
      </c>
      <c r="N1490" s="30">
        <f t="shared" si="137"/>
        <v>0</v>
      </c>
      <c r="O1490" s="34"/>
      <c r="P1490" s="36" t="str">
        <f t="shared" si="138"/>
        <v/>
      </c>
      <c r="Q1490" s="216" t="e">
        <f t="shared" si="139"/>
        <v>#DIV/0!</v>
      </c>
      <c r="R1490" s="216" t="e">
        <f t="shared" si="140"/>
        <v>#DIV/0!</v>
      </c>
      <c r="S1490" s="217" t="str">
        <f t="shared" si="141"/>
        <v/>
      </c>
    </row>
    <row r="1491" spans="1:19" ht="15.75" hidden="1" thickBot="1" x14ac:dyDescent="0.3">
      <c r="A1491" s="262"/>
      <c r="B1491" s="260"/>
      <c r="C1491" s="35" t="s">
        <v>350</v>
      </c>
      <c r="D1491" s="35" t="s">
        <v>107</v>
      </c>
      <c r="E1491" s="36">
        <v>1.3332999999999999</v>
      </c>
      <c r="F1491" s="30">
        <v>1.5864999999999998</v>
      </c>
      <c r="G1491" s="30">
        <f t="shared" ref="G1491:G1554" si="142">IF(ISNUMBER(F1491),E1491*F1491,"")</f>
        <v>2.1152804499999998</v>
      </c>
      <c r="H1491" s="34"/>
      <c r="I1491" s="30"/>
      <c r="J1491" s="152">
        <v>0</v>
      </c>
      <c r="L1491" s="215">
        <v>1.3332999999999999</v>
      </c>
      <c r="M1491" s="30">
        <v>1.3580439999999998</v>
      </c>
      <c r="N1491" s="30">
        <f t="shared" ref="N1491:N1554" si="143">IF(ISNUMBER(M1491),L1491*M1491,"")</f>
        <v>1.8106800651999997</v>
      </c>
      <c r="O1491" s="34"/>
      <c r="P1491" s="36" t="str">
        <f t="shared" si="138"/>
        <v/>
      </c>
      <c r="Q1491" s="216">
        <f t="shared" si="139"/>
        <v>0.14400000000000002</v>
      </c>
      <c r="R1491" s="216">
        <f t="shared" si="140"/>
        <v>0.14400000000000002</v>
      </c>
      <c r="S1491" s="217" t="str">
        <f t="shared" si="141"/>
        <v/>
      </c>
    </row>
    <row r="1492" spans="1:19" ht="15.75" hidden="1" thickBot="1" x14ac:dyDescent="0.3">
      <c r="A1492" s="262"/>
      <c r="B1492" s="260"/>
      <c r="C1492" s="35" t="s">
        <v>351</v>
      </c>
      <c r="D1492" s="35" t="s">
        <v>16</v>
      </c>
      <c r="E1492" s="36">
        <v>2.67</v>
      </c>
      <c r="F1492" s="30">
        <v>0.28499999999999998</v>
      </c>
      <c r="G1492" s="30">
        <f t="shared" si="142"/>
        <v>0.7609499999999999</v>
      </c>
      <c r="H1492" s="34"/>
      <c r="I1492" s="30"/>
      <c r="J1492" s="152">
        <v>0</v>
      </c>
      <c r="L1492" s="215">
        <v>2.67</v>
      </c>
      <c r="M1492" s="30">
        <v>0.24395999999999998</v>
      </c>
      <c r="N1492" s="30">
        <f t="shared" si="143"/>
        <v>0.65137319999999999</v>
      </c>
      <c r="O1492" s="34"/>
      <c r="P1492" s="36" t="str">
        <f t="shared" si="138"/>
        <v/>
      </c>
      <c r="Q1492" s="216">
        <f t="shared" si="139"/>
        <v>0.14400000000000002</v>
      </c>
      <c r="R1492" s="216">
        <f t="shared" si="140"/>
        <v>0.14399999999999991</v>
      </c>
      <c r="S1492" s="217" t="str">
        <f t="shared" si="141"/>
        <v/>
      </c>
    </row>
    <row r="1493" spans="1:19" ht="15.75" hidden="1" thickBot="1" x14ac:dyDescent="0.3">
      <c r="A1493" s="262"/>
      <c r="B1493" s="260"/>
      <c r="C1493" s="35" t="s">
        <v>352</v>
      </c>
      <c r="D1493" s="35" t="s">
        <v>107</v>
      </c>
      <c r="E1493" s="36">
        <v>0.67</v>
      </c>
      <c r="F1493" s="30">
        <v>0</v>
      </c>
      <c r="G1493" s="30">
        <f t="shared" si="142"/>
        <v>0</v>
      </c>
      <c r="H1493" s="34"/>
      <c r="I1493" s="30"/>
      <c r="J1493" s="152">
        <v>0</v>
      </c>
      <c r="L1493" s="215">
        <v>0.67</v>
      </c>
      <c r="M1493" s="30">
        <v>0</v>
      </c>
      <c r="N1493" s="30">
        <f t="shared" si="143"/>
        <v>0</v>
      </c>
      <c r="O1493" s="34"/>
      <c r="P1493" s="36" t="str">
        <f t="shared" si="138"/>
        <v/>
      </c>
      <c r="Q1493" s="216" t="e">
        <f t="shared" si="139"/>
        <v>#DIV/0!</v>
      </c>
      <c r="R1493" s="216" t="e">
        <f t="shared" si="140"/>
        <v>#DIV/0!</v>
      </c>
      <c r="S1493" s="217" t="str">
        <f t="shared" si="141"/>
        <v/>
      </c>
    </row>
    <row r="1494" spans="1:19" ht="26.25" hidden="1" thickBot="1" x14ac:dyDescent="0.3">
      <c r="A1494" s="262"/>
      <c r="B1494" s="260"/>
      <c r="C1494" s="35" t="s">
        <v>372</v>
      </c>
      <c r="D1494" s="35" t="s">
        <v>69</v>
      </c>
      <c r="E1494" s="36">
        <v>1.05</v>
      </c>
      <c r="F1494" s="33" t="s">
        <v>416</v>
      </c>
      <c r="G1494" s="30" t="str">
        <f t="shared" si="142"/>
        <v/>
      </c>
      <c r="H1494" s="34"/>
      <c r="I1494" s="30"/>
      <c r="J1494" s="152">
        <v>0</v>
      </c>
      <c r="L1494" s="215">
        <v>1.05</v>
      </c>
      <c r="M1494" s="33"/>
      <c r="N1494" s="30" t="str">
        <f t="shared" si="143"/>
        <v/>
      </c>
      <c r="O1494" s="34"/>
      <c r="P1494" s="36" t="str">
        <f t="shared" si="138"/>
        <v/>
      </c>
      <c r="Q1494" s="216" t="str">
        <f t="shared" si="139"/>
        <v/>
      </c>
      <c r="R1494" s="216" t="str">
        <f t="shared" si="140"/>
        <v/>
      </c>
      <c r="S1494" s="217" t="str">
        <f t="shared" si="141"/>
        <v/>
      </c>
    </row>
    <row r="1495" spans="1:19" ht="15.75" hidden="1" thickBot="1" x14ac:dyDescent="0.3">
      <c r="A1495" s="263"/>
      <c r="B1495" s="261"/>
      <c r="C1495" s="35"/>
      <c r="D1495" s="35"/>
      <c r="E1495" s="36"/>
      <c r="F1495" s="30" t="s">
        <v>416</v>
      </c>
      <c r="G1495" s="30" t="str">
        <f t="shared" si="142"/>
        <v/>
      </c>
      <c r="H1495" s="34"/>
      <c r="I1495" s="30"/>
      <c r="J1495" s="152">
        <v>0</v>
      </c>
      <c r="L1495" s="215"/>
      <c r="M1495" s="30"/>
      <c r="N1495" s="30" t="str">
        <f t="shared" si="143"/>
        <v/>
      </c>
      <c r="O1495" s="34"/>
      <c r="P1495" s="36" t="str">
        <f t="shared" si="138"/>
        <v/>
      </c>
      <c r="Q1495" s="216" t="str">
        <f t="shared" si="139"/>
        <v/>
      </c>
      <c r="R1495" s="216" t="str">
        <f t="shared" si="140"/>
        <v/>
      </c>
      <c r="S1495" s="217" t="str">
        <f t="shared" si="141"/>
        <v/>
      </c>
    </row>
    <row r="1496" spans="1:19" ht="15.75" hidden="1" thickBot="1" x14ac:dyDescent="0.3">
      <c r="A1496" s="256" t="s">
        <v>373</v>
      </c>
      <c r="B1496" s="259" t="str">
        <f>INDEX(Orçamentária!A:B,MATCH(Composições!A1496,Orçamentária!A:A,0),2)</f>
        <v>Eletrocalha 50 x 50 mm</v>
      </c>
      <c r="C1496" s="40"/>
      <c r="D1496" s="25" t="s">
        <v>69</v>
      </c>
      <c r="E1496" s="26"/>
      <c r="F1496" s="41" t="s">
        <v>416</v>
      </c>
      <c r="G1496" s="27" t="str">
        <f t="shared" si="142"/>
        <v/>
      </c>
      <c r="H1496" s="28"/>
      <c r="I1496" s="29"/>
      <c r="J1496" s="152">
        <v>0</v>
      </c>
      <c r="L1496" s="218"/>
      <c r="M1496" s="41"/>
      <c r="N1496" s="27" t="str">
        <f t="shared" si="143"/>
        <v/>
      </c>
      <c r="O1496" s="28"/>
      <c r="P1496" s="36" t="str">
        <f t="shared" si="138"/>
        <v/>
      </c>
      <c r="Q1496" s="216" t="str">
        <f t="shared" si="139"/>
        <v/>
      </c>
      <c r="R1496" s="216" t="str">
        <f t="shared" si="140"/>
        <v/>
      </c>
      <c r="S1496" s="217" t="str">
        <f t="shared" si="141"/>
        <v/>
      </c>
    </row>
    <row r="1497" spans="1:19" ht="15.75" hidden="1" thickBot="1" x14ac:dyDescent="0.3">
      <c r="A1497" s="257"/>
      <c r="B1497" s="260"/>
      <c r="C1497" s="31"/>
      <c r="D1497" s="31"/>
      <c r="E1497" s="32"/>
      <c r="F1497" s="42" t="s">
        <v>416</v>
      </c>
      <c r="G1497" s="30" t="str">
        <f t="shared" si="142"/>
        <v/>
      </c>
      <c r="H1497" s="34"/>
      <c r="I1497" s="30"/>
      <c r="J1497" s="152">
        <v>0</v>
      </c>
      <c r="L1497" s="219"/>
      <c r="M1497" s="42"/>
      <c r="N1497" s="30" t="str">
        <f t="shared" si="143"/>
        <v/>
      </c>
      <c r="O1497" s="34"/>
      <c r="P1497" s="36" t="str">
        <f t="shared" si="138"/>
        <v/>
      </c>
      <c r="Q1497" s="216" t="str">
        <f t="shared" si="139"/>
        <v/>
      </c>
      <c r="R1497" s="216" t="str">
        <f t="shared" si="140"/>
        <v/>
      </c>
      <c r="S1497" s="217" t="str">
        <f t="shared" si="141"/>
        <v/>
      </c>
    </row>
    <row r="1498" spans="1:19" ht="15.75" hidden="1" thickBot="1" x14ac:dyDescent="0.3">
      <c r="A1498" s="257"/>
      <c r="B1498" s="260"/>
      <c r="C1498" s="35" t="s">
        <v>1018</v>
      </c>
      <c r="D1498" s="35" t="s">
        <v>583</v>
      </c>
      <c r="E1498" s="36">
        <v>0.45</v>
      </c>
      <c r="F1498" s="30">
        <v>27.835000000000001</v>
      </c>
      <c r="G1498" s="30">
        <f t="shared" si="142"/>
        <v>12.52575</v>
      </c>
      <c r="H1498" s="38">
        <f>SUM(G1498:G1509)</f>
        <v>36.2743763</v>
      </c>
      <c r="I1498" s="39"/>
      <c r="J1498" s="152">
        <v>0</v>
      </c>
      <c r="L1498" s="215">
        <v>0.45</v>
      </c>
      <c r="M1498" s="30">
        <v>23.82676</v>
      </c>
      <c r="N1498" s="30">
        <f t="shared" si="143"/>
        <v>10.722042</v>
      </c>
      <c r="O1498" s="38">
        <f>SUM(N1498:N1509)</f>
        <v>31.050866112799998</v>
      </c>
      <c r="P1498" s="36" t="str">
        <f t="shared" si="138"/>
        <v/>
      </c>
      <c r="Q1498" s="216">
        <f t="shared" si="139"/>
        <v>0.14400000000000002</v>
      </c>
      <c r="R1498" s="216">
        <f t="shared" si="140"/>
        <v>0.14400000000000002</v>
      </c>
      <c r="S1498" s="217">
        <f t="shared" si="141"/>
        <v>0.14400000000000002</v>
      </c>
    </row>
    <row r="1499" spans="1:19" ht="15.75" hidden="1" thickBot="1" x14ac:dyDescent="0.3">
      <c r="A1499" s="257"/>
      <c r="B1499" s="260"/>
      <c r="C1499" s="35" t="s">
        <v>1017</v>
      </c>
      <c r="D1499" s="35" t="s">
        <v>583</v>
      </c>
      <c r="E1499" s="36">
        <v>0.45</v>
      </c>
      <c r="F1499" s="30">
        <v>21.584</v>
      </c>
      <c r="G1499" s="30">
        <f t="shared" si="142"/>
        <v>9.7127999999999997</v>
      </c>
      <c r="H1499" s="34"/>
      <c r="I1499" s="30"/>
      <c r="J1499" s="152">
        <v>0</v>
      </c>
      <c r="L1499" s="215">
        <v>0.45</v>
      </c>
      <c r="M1499" s="30">
        <v>18.475904</v>
      </c>
      <c r="N1499" s="30">
        <f t="shared" si="143"/>
        <v>8.314156800000001</v>
      </c>
      <c r="O1499" s="34"/>
      <c r="P1499" s="36" t="str">
        <f t="shared" si="138"/>
        <v/>
      </c>
      <c r="Q1499" s="216">
        <f t="shared" si="139"/>
        <v>0.14400000000000002</v>
      </c>
      <c r="R1499" s="216">
        <f t="shared" si="140"/>
        <v>0.14399999999999991</v>
      </c>
      <c r="S1499" s="217" t="str">
        <f t="shared" si="141"/>
        <v/>
      </c>
    </row>
    <row r="1500" spans="1:19" ht="26.25" hidden="1" thickBot="1" x14ac:dyDescent="0.3">
      <c r="A1500" s="257"/>
      <c r="B1500" s="260"/>
      <c r="C1500" s="35" t="s">
        <v>344</v>
      </c>
      <c r="D1500" s="35" t="s">
        <v>107</v>
      </c>
      <c r="E1500" s="36">
        <v>0.67</v>
      </c>
      <c r="F1500" s="30">
        <v>9.1579999999999995</v>
      </c>
      <c r="G1500" s="30">
        <f t="shared" si="142"/>
        <v>6.1358600000000001</v>
      </c>
      <c r="H1500" s="61"/>
      <c r="I1500" s="1"/>
      <c r="J1500" s="152">
        <v>0</v>
      </c>
      <c r="L1500" s="215">
        <v>0.67</v>
      </c>
      <c r="M1500" s="30">
        <v>7.8392479999999995</v>
      </c>
      <c r="N1500" s="30">
        <f t="shared" si="143"/>
        <v>5.2522961600000002</v>
      </c>
      <c r="O1500" s="61"/>
      <c r="P1500" s="36" t="str">
        <f t="shared" si="138"/>
        <v/>
      </c>
      <c r="Q1500" s="216">
        <f t="shared" si="139"/>
        <v>0.14400000000000002</v>
      </c>
      <c r="R1500" s="216">
        <f t="shared" si="140"/>
        <v>0.14400000000000002</v>
      </c>
      <c r="S1500" s="217" t="str">
        <f t="shared" si="141"/>
        <v/>
      </c>
    </row>
    <row r="1501" spans="1:19" ht="26.25" hidden="1" thickBot="1" x14ac:dyDescent="0.3">
      <c r="A1501" s="257"/>
      <c r="B1501" s="260"/>
      <c r="C1501" s="35" t="s">
        <v>374</v>
      </c>
      <c r="D1501" s="35" t="s">
        <v>69</v>
      </c>
      <c r="E1501" s="36">
        <v>1.05</v>
      </c>
      <c r="F1501" s="33" t="s">
        <v>416</v>
      </c>
      <c r="G1501" s="30" t="str">
        <f t="shared" si="142"/>
        <v/>
      </c>
      <c r="H1501" s="34"/>
      <c r="I1501" s="30"/>
      <c r="J1501" s="152">
        <v>0</v>
      </c>
      <c r="L1501" s="215">
        <v>1.05</v>
      </c>
      <c r="M1501" s="33"/>
      <c r="N1501" s="30" t="str">
        <f t="shared" si="143"/>
        <v/>
      </c>
      <c r="O1501" s="34"/>
      <c r="P1501" s="36" t="str">
        <f t="shared" si="138"/>
        <v/>
      </c>
      <c r="Q1501" s="216" t="str">
        <f t="shared" si="139"/>
        <v/>
      </c>
      <c r="R1501" s="216" t="str">
        <f t="shared" si="140"/>
        <v/>
      </c>
      <c r="S1501" s="217" t="str">
        <f t="shared" si="141"/>
        <v/>
      </c>
    </row>
    <row r="1502" spans="1:19" ht="15.75" hidden="1" thickBot="1" x14ac:dyDescent="0.3">
      <c r="A1502" s="257"/>
      <c r="B1502" s="260"/>
      <c r="C1502" s="35" t="s">
        <v>346</v>
      </c>
      <c r="D1502" s="35" t="s">
        <v>69</v>
      </c>
      <c r="E1502" s="36">
        <v>0.8</v>
      </c>
      <c r="F1502" s="30">
        <v>5.0349999999999993</v>
      </c>
      <c r="G1502" s="30">
        <f t="shared" si="142"/>
        <v>4.0279999999999996</v>
      </c>
      <c r="H1502" s="34"/>
      <c r="I1502" s="30"/>
      <c r="J1502" s="152">
        <v>0</v>
      </c>
      <c r="L1502" s="215">
        <v>0.8</v>
      </c>
      <c r="M1502" s="30">
        <v>4.3099599999999993</v>
      </c>
      <c r="N1502" s="30">
        <f t="shared" si="143"/>
        <v>3.4479679999999995</v>
      </c>
      <c r="O1502" s="34"/>
      <c r="P1502" s="36" t="str">
        <f t="shared" si="138"/>
        <v/>
      </c>
      <c r="Q1502" s="216">
        <f t="shared" si="139"/>
        <v>0.14400000000000002</v>
      </c>
      <c r="R1502" s="216">
        <f t="shared" si="140"/>
        <v>0.14400000000000002</v>
      </c>
      <c r="S1502" s="217" t="str">
        <f t="shared" si="141"/>
        <v/>
      </c>
    </row>
    <row r="1503" spans="1:19" ht="15.75" hidden="1" thickBot="1" x14ac:dyDescent="0.3">
      <c r="A1503" s="257"/>
      <c r="B1503" s="260"/>
      <c r="C1503" s="35" t="s">
        <v>347</v>
      </c>
      <c r="D1503" s="35" t="s">
        <v>213</v>
      </c>
      <c r="E1503" s="36">
        <v>4.0033000000000003</v>
      </c>
      <c r="F1503" s="33">
        <v>0.30399999999999999</v>
      </c>
      <c r="G1503" s="30">
        <f t="shared" si="142"/>
        <v>1.2170032</v>
      </c>
      <c r="H1503" s="34"/>
      <c r="I1503" s="30"/>
      <c r="J1503" s="152">
        <v>0</v>
      </c>
      <c r="L1503" s="215">
        <v>4.0033000000000003</v>
      </c>
      <c r="M1503" s="33">
        <v>0.26022400000000001</v>
      </c>
      <c r="N1503" s="30">
        <f t="shared" si="143"/>
        <v>1.0417547392000002</v>
      </c>
      <c r="O1503" s="34"/>
      <c r="P1503" s="36" t="str">
        <f t="shared" si="138"/>
        <v/>
      </c>
      <c r="Q1503" s="216">
        <f t="shared" si="139"/>
        <v>0.14399999999999991</v>
      </c>
      <c r="R1503" s="216">
        <f t="shared" si="140"/>
        <v>0.14399999999999979</v>
      </c>
      <c r="S1503" s="217" t="str">
        <f t="shared" si="141"/>
        <v/>
      </c>
    </row>
    <row r="1504" spans="1:19" ht="15.75" hidden="1" thickBot="1" x14ac:dyDescent="0.3">
      <c r="A1504" s="257"/>
      <c r="B1504" s="260"/>
      <c r="C1504" s="35" t="s">
        <v>348</v>
      </c>
      <c r="D1504" s="35" t="s">
        <v>107</v>
      </c>
      <c r="E1504" s="36">
        <v>4.0033000000000003</v>
      </c>
      <c r="F1504" s="30">
        <v>5.6999999999999995E-2</v>
      </c>
      <c r="G1504" s="30">
        <f t="shared" si="142"/>
        <v>0.2281881</v>
      </c>
      <c r="H1504" s="34"/>
      <c r="I1504" s="30"/>
      <c r="J1504" s="152">
        <v>0</v>
      </c>
      <c r="L1504" s="215">
        <v>4.0033000000000003</v>
      </c>
      <c r="M1504" s="30">
        <v>4.8791999999999995E-2</v>
      </c>
      <c r="N1504" s="30">
        <f t="shared" si="143"/>
        <v>0.19532901359999999</v>
      </c>
      <c r="O1504" s="34"/>
      <c r="P1504" s="36" t="str">
        <f t="shared" si="138"/>
        <v/>
      </c>
      <c r="Q1504" s="216">
        <f t="shared" si="139"/>
        <v>0.14400000000000002</v>
      </c>
      <c r="R1504" s="216">
        <f t="shared" si="140"/>
        <v>0.14400000000000002</v>
      </c>
      <c r="S1504" s="217" t="str">
        <f t="shared" si="141"/>
        <v/>
      </c>
    </row>
    <row r="1505" spans="1:19" ht="15.75" hidden="1" thickBot="1" x14ac:dyDescent="0.3">
      <c r="A1505" s="257"/>
      <c r="B1505" s="260"/>
      <c r="C1505" s="35" t="s">
        <v>375</v>
      </c>
      <c r="D1505" s="35" t="s">
        <v>107</v>
      </c>
      <c r="E1505" s="36">
        <v>0.67</v>
      </c>
      <c r="F1505" s="30">
        <v>0</v>
      </c>
      <c r="G1505" s="30">
        <f t="shared" si="142"/>
        <v>0</v>
      </c>
      <c r="H1505" s="34"/>
      <c r="I1505" s="30"/>
      <c r="J1505" s="152">
        <v>0</v>
      </c>
      <c r="L1505" s="215">
        <v>0.67</v>
      </c>
      <c r="M1505" s="30">
        <v>0</v>
      </c>
      <c r="N1505" s="30">
        <f t="shared" si="143"/>
        <v>0</v>
      </c>
      <c r="O1505" s="34"/>
      <c r="P1505" s="36" t="str">
        <f t="shared" si="138"/>
        <v/>
      </c>
      <c r="Q1505" s="216" t="e">
        <f t="shared" si="139"/>
        <v>#DIV/0!</v>
      </c>
      <c r="R1505" s="216" t="e">
        <f t="shared" si="140"/>
        <v>#DIV/0!</v>
      </c>
      <c r="S1505" s="217" t="str">
        <f t="shared" si="141"/>
        <v/>
      </c>
    </row>
    <row r="1506" spans="1:19" ht="15.75" hidden="1" thickBot="1" x14ac:dyDescent="0.3">
      <c r="A1506" s="257"/>
      <c r="B1506" s="260"/>
      <c r="C1506" s="35" t="s">
        <v>350</v>
      </c>
      <c r="D1506" s="35" t="s">
        <v>107</v>
      </c>
      <c r="E1506" s="36">
        <v>1.05</v>
      </c>
      <c r="F1506" s="30">
        <v>1.5864999999999998</v>
      </c>
      <c r="G1506" s="30">
        <f t="shared" si="142"/>
        <v>1.6658249999999999</v>
      </c>
      <c r="H1506" s="34"/>
      <c r="I1506" s="30"/>
      <c r="J1506" s="152">
        <v>0</v>
      </c>
      <c r="L1506" s="215">
        <v>1.05</v>
      </c>
      <c r="M1506" s="30">
        <v>1.3580439999999998</v>
      </c>
      <c r="N1506" s="30">
        <f t="shared" si="143"/>
        <v>1.4259461999999998</v>
      </c>
      <c r="O1506" s="34"/>
      <c r="P1506" s="36" t="str">
        <f t="shared" si="138"/>
        <v/>
      </c>
      <c r="Q1506" s="216">
        <f t="shared" si="139"/>
        <v>0.14400000000000002</v>
      </c>
      <c r="R1506" s="216">
        <f t="shared" si="140"/>
        <v>0.14400000000000002</v>
      </c>
      <c r="S1506" s="217" t="str">
        <f t="shared" si="141"/>
        <v/>
      </c>
    </row>
    <row r="1507" spans="1:19" ht="15.75" hidden="1" thickBot="1" x14ac:dyDescent="0.3">
      <c r="A1507" s="257"/>
      <c r="B1507" s="260"/>
      <c r="C1507" s="35" t="s">
        <v>351</v>
      </c>
      <c r="D1507" s="35" t="s">
        <v>16</v>
      </c>
      <c r="E1507" s="36">
        <v>2.67</v>
      </c>
      <c r="F1507" s="30">
        <v>0.28499999999999998</v>
      </c>
      <c r="G1507" s="30">
        <f t="shared" si="142"/>
        <v>0.7609499999999999</v>
      </c>
      <c r="H1507" s="34"/>
      <c r="I1507" s="30"/>
      <c r="J1507" s="152">
        <v>0</v>
      </c>
      <c r="L1507" s="215">
        <v>2.67</v>
      </c>
      <c r="M1507" s="30">
        <v>0.24395999999999998</v>
      </c>
      <c r="N1507" s="30">
        <f t="shared" si="143"/>
        <v>0.65137319999999999</v>
      </c>
      <c r="O1507" s="34"/>
      <c r="P1507" s="36" t="str">
        <f t="shared" si="138"/>
        <v/>
      </c>
      <c r="Q1507" s="216">
        <f t="shared" si="139"/>
        <v>0.14400000000000002</v>
      </c>
      <c r="R1507" s="216">
        <f t="shared" si="140"/>
        <v>0.14399999999999991</v>
      </c>
      <c r="S1507" s="217" t="str">
        <f t="shared" si="141"/>
        <v/>
      </c>
    </row>
    <row r="1508" spans="1:19" ht="15.75" hidden="1" thickBot="1" x14ac:dyDescent="0.3">
      <c r="A1508" s="257"/>
      <c r="B1508" s="260"/>
      <c r="C1508" s="35" t="s">
        <v>352</v>
      </c>
      <c r="D1508" s="35" t="s">
        <v>107</v>
      </c>
      <c r="E1508" s="36">
        <v>0.66669999999999996</v>
      </c>
      <c r="F1508" s="30">
        <v>0</v>
      </c>
      <c r="G1508" s="30">
        <f t="shared" si="142"/>
        <v>0</v>
      </c>
      <c r="H1508" s="34"/>
      <c r="I1508" s="30"/>
      <c r="J1508" s="152">
        <v>0</v>
      </c>
      <c r="L1508" s="215">
        <v>0.66669999999999996</v>
      </c>
      <c r="M1508" s="30">
        <v>0</v>
      </c>
      <c r="N1508" s="30">
        <f t="shared" si="143"/>
        <v>0</v>
      </c>
      <c r="O1508" s="34"/>
      <c r="P1508" s="36" t="str">
        <f t="shared" si="138"/>
        <v/>
      </c>
      <c r="Q1508" s="216" t="e">
        <f t="shared" si="139"/>
        <v>#DIV/0!</v>
      </c>
      <c r="R1508" s="216" t="e">
        <f t="shared" si="140"/>
        <v>#DIV/0!</v>
      </c>
      <c r="S1508" s="217" t="str">
        <f t="shared" si="141"/>
        <v/>
      </c>
    </row>
    <row r="1509" spans="1:19" ht="26.25" hidden="1" thickBot="1" x14ac:dyDescent="0.3">
      <c r="A1509" s="257"/>
      <c r="B1509" s="260"/>
      <c r="C1509" s="35" t="s">
        <v>376</v>
      </c>
      <c r="D1509" s="35" t="s">
        <v>69</v>
      </c>
      <c r="E1509" s="36">
        <v>1.05</v>
      </c>
      <c r="F1509" s="33" t="s">
        <v>416</v>
      </c>
      <c r="G1509" s="30" t="str">
        <f t="shared" si="142"/>
        <v/>
      </c>
      <c r="H1509" s="34"/>
      <c r="I1509" s="30"/>
      <c r="J1509" s="152">
        <v>0</v>
      </c>
      <c r="L1509" s="215">
        <v>1.05</v>
      </c>
      <c r="M1509" s="33"/>
      <c r="N1509" s="30" t="str">
        <f t="shared" si="143"/>
        <v/>
      </c>
      <c r="O1509" s="34"/>
      <c r="P1509" s="36" t="str">
        <f t="shared" si="138"/>
        <v/>
      </c>
      <c r="Q1509" s="216" t="str">
        <f t="shared" si="139"/>
        <v/>
      </c>
      <c r="R1509" s="216" t="str">
        <f t="shared" si="140"/>
        <v/>
      </c>
      <c r="S1509" s="217" t="str">
        <f t="shared" si="141"/>
        <v/>
      </c>
    </row>
    <row r="1510" spans="1:19" ht="15.75" hidden="1" thickBot="1" x14ac:dyDescent="0.3">
      <c r="A1510" s="258"/>
      <c r="B1510" s="261"/>
      <c r="C1510" s="35"/>
      <c r="D1510" s="35"/>
      <c r="E1510" s="36"/>
      <c r="F1510" s="30" t="s">
        <v>416</v>
      </c>
      <c r="G1510" s="30" t="str">
        <f t="shared" si="142"/>
        <v/>
      </c>
      <c r="H1510" s="34"/>
      <c r="I1510" s="30"/>
      <c r="J1510" s="152">
        <v>0</v>
      </c>
      <c r="L1510" s="215"/>
      <c r="M1510" s="30"/>
      <c r="N1510" s="30" t="str">
        <f t="shared" si="143"/>
        <v/>
      </c>
      <c r="O1510" s="34"/>
      <c r="P1510" s="36" t="str">
        <f t="shared" si="138"/>
        <v/>
      </c>
      <c r="Q1510" s="216" t="str">
        <f t="shared" si="139"/>
        <v/>
      </c>
      <c r="R1510" s="216" t="str">
        <f t="shared" si="140"/>
        <v/>
      </c>
      <c r="S1510" s="217" t="str">
        <f t="shared" si="141"/>
        <v/>
      </c>
    </row>
    <row r="1511" spans="1:19" ht="15.75" hidden="1" thickBot="1" x14ac:dyDescent="0.3">
      <c r="A1511" s="256" t="s">
        <v>377</v>
      </c>
      <c r="B1511" s="259" t="str">
        <f>INDEX(Orçamentária!A:B,MATCH(Composições!A1511,Orçamentária!A:A,0),2)</f>
        <v>Eletroduto de aço galvanizado de 1 1/2"</v>
      </c>
      <c r="C1511" s="40"/>
      <c r="D1511" s="25" t="s">
        <v>69</v>
      </c>
      <c r="E1511" s="26"/>
      <c r="F1511" s="41" t="s">
        <v>416</v>
      </c>
      <c r="G1511" s="27" t="str">
        <f t="shared" si="142"/>
        <v/>
      </c>
      <c r="H1511" s="28"/>
      <c r="I1511" s="29"/>
      <c r="J1511" s="152">
        <v>0</v>
      </c>
      <c r="L1511" s="218"/>
      <c r="M1511" s="41"/>
      <c r="N1511" s="27" t="str">
        <f t="shared" si="143"/>
        <v/>
      </c>
      <c r="O1511" s="28"/>
      <c r="P1511" s="36" t="str">
        <f t="shared" si="138"/>
        <v/>
      </c>
      <c r="Q1511" s="216" t="str">
        <f t="shared" si="139"/>
        <v/>
      </c>
      <c r="R1511" s="216" t="str">
        <f t="shared" si="140"/>
        <v/>
      </c>
      <c r="S1511" s="217" t="str">
        <f t="shared" si="141"/>
        <v/>
      </c>
    </row>
    <row r="1512" spans="1:19" ht="15.75" hidden="1" thickBot="1" x14ac:dyDescent="0.3">
      <c r="A1512" s="262"/>
      <c r="B1512" s="260"/>
      <c r="C1512" s="31"/>
      <c r="D1512" s="31"/>
      <c r="E1512" s="32"/>
      <c r="F1512" s="42" t="s">
        <v>416</v>
      </c>
      <c r="G1512" s="30" t="str">
        <f t="shared" si="142"/>
        <v/>
      </c>
      <c r="H1512" s="34"/>
      <c r="I1512" s="30"/>
      <c r="J1512" s="152">
        <v>0</v>
      </c>
      <c r="L1512" s="219"/>
      <c r="M1512" s="42"/>
      <c r="N1512" s="30" t="str">
        <f t="shared" si="143"/>
        <v/>
      </c>
      <c r="O1512" s="34"/>
      <c r="P1512" s="36" t="str">
        <f t="shared" si="138"/>
        <v/>
      </c>
      <c r="Q1512" s="216" t="str">
        <f t="shared" si="139"/>
        <v/>
      </c>
      <c r="R1512" s="216" t="str">
        <f t="shared" si="140"/>
        <v/>
      </c>
      <c r="S1512" s="217" t="str">
        <f t="shared" si="141"/>
        <v/>
      </c>
    </row>
    <row r="1513" spans="1:19" ht="15.75" hidden="1" thickBot="1" x14ac:dyDescent="0.3">
      <c r="A1513" s="262"/>
      <c r="B1513" s="260"/>
      <c r="C1513" s="35" t="s">
        <v>378</v>
      </c>
      <c r="D1513" s="35" t="s">
        <v>69</v>
      </c>
      <c r="E1513" s="36">
        <v>1.05</v>
      </c>
      <c r="F1513" s="30">
        <v>0</v>
      </c>
      <c r="G1513" s="33">
        <f t="shared" si="142"/>
        <v>0</v>
      </c>
      <c r="H1513" s="38">
        <f>SUM(G1513:G1515)</f>
        <v>37.064250000000001</v>
      </c>
      <c r="I1513" s="39"/>
      <c r="J1513" s="152">
        <v>0</v>
      </c>
      <c r="L1513" s="215">
        <v>1.05</v>
      </c>
      <c r="M1513" s="30">
        <v>0</v>
      </c>
      <c r="N1513" s="33">
        <f t="shared" si="143"/>
        <v>0</v>
      </c>
      <c r="O1513" s="38">
        <f>SUM(N1513:N1515)</f>
        <v>31.726997999999998</v>
      </c>
      <c r="P1513" s="36" t="str">
        <f t="shared" si="138"/>
        <v/>
      </c>
      <c r="Q1513" s="216" t="e">
        <f t="shared" si="139"/>
        <v>#DIV/0!</v>
      </c>
      <c r="R1513" s="216" t="e">
        <f t="shared" si="140"/>
        <v>#DIV/0!</v>
      </c>
      <c r="S1513" s="217">
        <f t="shared" si="141"/>
        <v>0.14400000000000013</v>
      </c>
    </row>
    <row r="1514" spans="1:19" ht="15.75" hidden="1" thickBot="1" x14ac:dyDescent="0.3">
      <c r="A1514" s="262"/>
      <c r="B1514" s="260"/>
      <c r="C1514" s="35" t="s">
        <v>1018</v>
      </c>
      <c r="D1514" s="35" t="s">
        <v>583</v>
      </c>
      <c r="E1514" s="36">
        <v>0.75</v>
      </c>
      <c r="F1514" s="30">
        <v>27.835000000000001</v>
      </c>
      <c r="G1514" s="33">
        <f t="shared" si="142"/>
        <v>20.876249999999999</v>
      </c>
      <c r="H1514" s="34"/>
      <c r="I1514" s="30"/>
      <c r="J1514" s="152">
        <v>0</v>
      </c>
      <c r="L1514" s="215">
        <v>0.75</v>
      </c>
      <c r="M1514" s="30">
        <v>23.82676</v>
      </c>
      <c r="N1514" s="33">
        <f t="shared" si="143"/>
        <v>17.870069999999998</v>
      </c>
      <c r="O1514" s="34"/>
      <c r="P1514" s="36" t="str">
        <f t="shared" si="138"/>
        <v/>
      </c>
      <c r="Q1514" s="216">
        <f t="shared" si="139"/>
        <v>0.14400000000000002</v>
      </c>
      <c r="R1514" s="216">
        <f t="shared" si="140"/>
        <v>0.14400000000000002</v>
      </c>
      <c r="S1514" s="217" t="str">
        <f t="shared" si="141"/>
        <v/>
      </c>
    </row>
    <row r="1515" spans="1:19" ht="15.75" hidden="1" thickBot="1" x14ac:dyDescent="0.3">
      <c r="A1515" s="262"/>
      <c r="B1515" s="260"/>
      <c r="C1515" s="35" t="s">
        <v>1017</v>
      </c>
      <c r="D1515" s="35" t="s">
        <v>583</v>
      </c>
      <c r="E1515" s="36">
        <v>0.75</v>
      </c>
      <c r="F1515" s="30">
        <v>21.584</v>
      </c>
      <c r="G1515" s="33">
        <f t="shared" si="142"/>
        <v>16.187999999999999</v>
      </c>
      <c r="H1515" s="34"/>
      <c r="I1515" s="30"/>
      <c r="J1515" s="152">
        <v>0</v>
      </c>
      <c r="L1515" s="215">
        <v>0.75</v>
      </c>
      <c r="M1515" s="30">
        <v>18.475904</v>
      </c>
      <c r="N1515" s="33">
        <f t="shared" si="143"/>
        <v>13.856928</v>
      </c>
      <c r="O1515" s="34"/>
      <c r="P1515" s="36" t="str">
        <f t="shared" si="138"/>
        <v/>
      </c>
      <c r="Q1515" s="216">
        <f t="shared" si="139"/>
        <v>0.14400000000000002</v>
      </c>
      <c r="R1515" s="216">
        <f t="shared" si="140"/>
        <v>0.14399999999999991</v>
      </c>
      <c r="S1515" s="217" t="str">
        <f t="shared" si="141"/>
        <v/>
      </c>
    </row>
    <row r="1516" spans="1:19" ht="15.75" hidden="1" thickBot="1" x14ac:dyDescent="0.3">
      <c r="A1516" s="263"/>
      <c r="B1516" s="261"/>
      <c r="C1516" s="35"/>
      <c r="D1516" s="35"/>
      <c r="E1516" s="36"/>
      <c r="F1516" s="30" t="s">
        <v>416</v>
      </c>
      <c r="G1516" s="30" t="str">
        <f t="shared" si="142"/>
        <v/>
      </c>
      <c r="H1516" s="34"/>
      <c r="I1516" s="30"/>
      <c r="J1516" s="152">
        <v>0</v>
      </c>
      <c r="L1516" s="215"/>
      <c r="M1516" s="30"/>
      <c r="N1516" s="30" t="str">
        <f t="shared" si="143"/>
        <v/>
      </c>
      <c r="O1516" s="34"/>
      <c r="P1516" s="36" t="str">
        <f t="shared" si="138"/>
        <v/>
      </c>
      <c r="Q1516" s="216" t="str">
        <f t="shared" si="139"/>
        <v/>
      </c>
      <c r="R1516" s="216" t="str">
        <f t="shared" si="140"/>
        <v/>
      </c>
      <c r="S1516" s="217" t="str">
        <f t="shared" si="141"/>
        <v/>
      </c>
    </row>
    <row r="1517" spans="1:19" ht="15.75" thickBot="1" x14ac:dyDescent="0.3">
      <c r="A1517" s="256" t="s">
        <v>379</v>
      </c>
      <c r="B1517" s="259" t="str">
        <f>INDEX(Orçamentária!A:B,MATCH(Composições!A1517,Orçamentária!A:A,0),2)</f>
        <v>Eletroduto de aço galvanizado de 1 1/4"</v>
      </c>
      <c r="C1517" s="40"/>
      <c r="D1517" s="25" t="s">
        <v>69</v>
      </c>
      <c r="E1517" s="26"/>
      <c r="F1517" s="41" t="s">
        <v>416</v>
      </c>
      <c r="G1517" s="27" t="str">
        <f t="shared" si="142"/>
        <v/>
      </c>
      <c r="H1517" s="28"/>
      <c r="I1517" s="29"/>
      <c r="J1517" s="152">
        <v>28</v>
      </c>
      <c r="L1517" s="218"/>
      <c r="M1517" s="41"/>
      <c r="N1517" s="27" t="str">
        <f t="shared" si="143"/>
        <v/>
      </c>
      <c r="O1517" s="28"/>
      <c r="P1517" s="36" t="str">
        <f t="shared" si="138"/>
        <v/>
      </c>
      <c r="Q1517" s="216" t="str">
        <f t="shared" si="139"/>
        <v/>
      </c>
      <c r="R1517" s="216" t="str">
        <f t="shared" si="140"/>
        <v/>
      </c>
      <c r="S1517" s="217" t="str">
        <f t="shared" si="141"/>
        <v/>
      </c>
    </row>
    <row r="1518" spans="1:19" x14ac:dyDescent="0.25">
      <c r="A1518" s="262"/>
      <c r="B1518" s="260"/>
      <c r="C1518" s="31"/>
      <c r="D1518" s="31"/>
      <c r="E1518" s="32"/>
      <c r="F1518" s="42" t="s">
        <v>416</v>
      </c>
      <c r="G1518" s="30" t="str">
        <f t="shared" si="142"/>
        <v/>
      </c>
      <c r="H1518" s="34"/>
      <c r="I1518" s="30"/>
      <c r="J1518" s="152">
        <v>28</v>
      </c>
      <c r="L1518" s="219"/>
      <c r="M1518" s="42"/>
      <c r="N1518" s="30" t="str">
        <f t="shared" si="143"/>
        <v/>
      </c>
      <c r="O1518" s="34"/>
      <c r="P1518" s="36" t="str">
        <f t="shared" si="138"/>
        <v/>
      </c>
      <c r="Q1518" s="216" t="str">
        <f t="shared" si="139"/>
        <v/>
      </c>
      <c r="R1518" s="216" t="str">
        <f t="shared" si="140"/>
        <v/>
      </c>
      <c r="S1518" s="217" t="str">
        <f t="shared" si="141"/>
        <v/>
      </c>
    </row>
    <row r="1519" spans="1:19" x14ac:dyDescent="0.25">
      <c r="A1519" s="262"/>
      <c r="B1519" s="260"/>
      <c r="C1519" s="35" t="s">
        <v>380</v>
      </c>
      <c r="D1519" s="35" t="s">
        <v>69</v>
      </c>
      <c r="E1519" s="36">
        <v>1.05</v>
      </c>
      <c r="F1519" s="30">
        <v>23.873499999999996</v>
      </c>
      <c r="G1519" s="33">
        <f t="shared" si="142"/>
        <v>25.067174999999999</v>
      </c>
      <c r="H1519" s="38">
        <f>SUM(G1519:G1521)</f>
        <v>62.131424999999993</v>
      </c>
      <c r="I1519" s="39"/>
      <c r="J1519" s="152">
        <v>28</v>
      </c>
      <c r="L1519" s="215">
        <v>1.05</v>
      </c>
      <c r="M1519" s="30">
        <v>20.435715999999996</v>
      </c>
      <c r="N1519" s="33">
        <f t="shared" si="143"/>
        <v>21.457501799999996</v>
      </c>
      <c r="O1519" s="38">
        <f>SUM(N1519:N1521)</f>
        <v>53.184499799999998</v>
      </c>
      <c r="P1519" s="36" t="str">
        <f t="shared" si="138"/>
        <v/>
      </c>
      <c r="Q1519" s="216">
        <f t="shared" si="139"/>
        <v>0.14400000000000002</v>
      </c>
      <c r="R1519" s="216">
        <f t="shared" si="140"/>
        <v>0.14400000000000013</v>
      </c>
      <c r="S1519" s="217">
        <f t="shared" si="141"/>
        <v>0.14399999999999991</v>
      </c>
    </row>
    <row r="1520" spans="1:19" x14ac:dyDescent="0.25">
      <c r="A1520" s="262"/>
      <c r="B1520" s="260"/>
      <c r="C1520" s="35" t="s">
        <v>1018</v>
      </c>
      <c r="D1520" s="35" t="s">
        <v>583</v>
      </c>
      <c r="E1520" s="36">
        <v>0.75</v>
      </c>
      <c r="F1520" s="30">
        <v>27.835000000000001</v>
      </c>
      <c r="G1520" s="33">
        <f t="shared" si="142"/>
        <v>20.876249999999999</v>
      </c>
      <c r="H1520" s="34"/>
      <c r="I1520" s="30"/>
      <c r="J1520" s="152">
        <v>28</v>
      </c>
      <c r="L1520" s="215">
        <v>0.75</v>
      </c>
      <c r="M1520" s="30">
        <v>23.82676</v>
      </c>
      <c r="N1520" s="33">
        <f t="shared" si="143"/>
        <v>17.870069999999998</v>
      </c>
      <c r="O1520" s="34"/>
      <c r="P1520" s="36" t="str">
        <f t="shared" si="138"/>
        <v/>
      </c>
      <c r="Q1520" s="216">
        <f t="shared" si="139"/>
        <v>0.14400000000000002</v>
      </c>
      <c r="R1520" s="216">
        <f t="shared" si="140"/>
        <v>0.14400000000000002</v>
      </c>
      <c r="S1520" s="217" t="str">
        <f t="shared" si="141"/>
        <v/>
      </c>
    </row>
    <row r="1521" spans="1:19" x14ac:dyDescent="0.25">
      <c r="A1521" s="262"/>
      <c r="B1521" s="260"/>
      <c r="C1521" s="35" t="s">
        <v>1017</v>
      </c>
      <c r="D1521" s="35" t="s">
        <v>583</v>
      </c>
      <c r="E1521" s="36">
        <v>0.75</v>
      </c>
      <c r="F1521" s="30">
        <v>21.584</v>
      </c>
      <c r="G1521" s="33">
        <f t="shared" si="142"/>
        <v>16.187999999999999</v>
      </c>
      <c r="H1521" s="34"/>
      <c r="I1521" s="30"/>
      <c r="J1521" s="152">
        <v>28</v>
      </c>
      <c r="L1521" s="215">
        <v>0.75</v>
      </c>
      <c r="M1521" s="30">
        <v>18.475904</v>
      </c>
      <c r="N1521" s="33">
        <f t="shared" si="143"/>
        <v>13.856928</v>
      </c>
      <c r="O1521" s="34"/>
      <c r="P1521" s="36" t="str">
        <f t="shared" si="138"/>
        <v/>
      </c>
      <c r="Q1521" s="216">
        <f t="shared" si="139"/>
        <v>0.14400000000000002</v>
      </c>
      <c r="R1521" s="216">
        <f t="shared" si="140"/>
        <v>0.14399999999999991</v>
      </c>
      <c r="S1521" s="217" t="str">
        <f t="shared" si="141"/>
        <v/>
      </c>
    </row>
    <row r="1522" spans="1:19" ht="15.75" thickBot="1" x14ac:dyDescent="0.3">
      <c r="A1522" s="263"/>
      <c r="B1522" s="261"/>
      <c r="C1522" s="35"/>
      <c r="D1522" s="35"/>
      <c r="E1522" s="36"/>
      <c r="F1522" s="30" t="s">
        <v>416</v>
      </c>
      <c r="G1522" s="30" t="str">
        <f t="shared" si="142"/>
        <v/>
      </c>
      <c r="H1522" s="34"/>
      <c r="I1522" s="30"/>
      <c r="J1522" s="152">
        <v>28</v>
      </c>
      <c r="L1522" s="215"/>
      <c r="M1522" s="30"/>
      <c r="N1522" s="30" t="str">
        <f t="shared" si="143"/>
        <v/>
      </c>
      <c r="O1522" s="34"/>
      <c r="P1522" s="36" t="str">
        <f t="shared" si="138"/>
        <v/>
      </c>
      <c r="Q1522" s="216" t="str">
        <f t="shared" si="139"/>
        <v/>
      </c>
      <c r="R1522" s="216" t="str">
        <f t="shared" si="140"/>
        <v/>
      </c>
      <c r="S1522" s="217" t="str">
        <f t="shared" si="141"/>
        <v/>
      </c>
    </row>
    <row r="1523" spans="1:19" ht="15.75" thickBot="1" x14ac:dyDescent="0.3">
      <c r="A1523" s="256" t="s">
        <v>381</v>
      </c>
      <c r="B1523" s="259" t="str">
        <f>INDEX(Orçamentária!A:B,MATCH(Composições!A1523,Orçamentária!A:A,0),2)</f>
        <v>Eletroduto de aço galvanizado de 1"</v>
      </c>
      <c r="C1523" s="40"/>
      <c r="D1523" s="25" t="s">
        <v>69</v>
      </c>
      <c r="E1523" s="26"/>
      <c r="F1523" s="41" t="s">
        <v>416</v>
      </c>
      <c r="G1523" s="27" t="str">
        <f t="shared" si="142"/>
        <v/>
      </c>
      <c r="H1523" s="28"/>
      <c r="I1523" s="29"/>
      <c r="J1523" s="152">
        <v>60</v>
      </c>
      <c r="L1523" s="218"/>
      <c r="M1523" s="41"/>
      <c r="N1523" s="27" t="str">
        <f t="shared" si="143"/>
        <v/>
      </c>
      <c r="O1523" s="28"/>
      <c r="P1523" s="36" t="str">
        <f t="shared" si="138"/>
        <v/>
      </c>
      <c r="Q1523" s="216" t="str">
        <f t="shared" si="139"/>
        <v/>
      </c>
      <c r="R1523" s="216" t="str">
        <f t="shared" si="140"/>
        <v/>
      </c>
      <c r="S1523" s="217" t="str">
        <f t="shared" si="141"/>
        <v/>
      </c>
    </row>
    <row r="1524" spans="1:19" x14ac:dyDescent="0.25">
      <c r="A1524" s="262"/>
      <c r="B1524" s="260"/>
      <c r="C1524" s="31"/>
      <c r="D1524" s="31"/>
      <c r="E1524" s="32"/>
      <c r="F1524" s="42" t="s">
        <v>416</v>
      </c>
      <c r="G1524" s="30" t="str">
        <f t="shared" si="142"/>
        <v/>
      </c>
      <c r="H1524" s="34"/>
      <c r="I1524" s="30"/>
      <c r="J1524" s="152">
        <v>60</v>
      </c>
      <c r="L1524" s="219"/>
      <c r="M1524" s="42"/>
      <c r="N1524" s="30" t="str">
        <f t="shared" si="143"/>
        <v/>
      </c>
      <c r="O1524" s="34"/>
      <c r="P1524" s="36" t="str">
        <f t="shared" si="138"/>
        <v/>
      </c>
      <c r="Q1524" s="216" t="str">
        <f t="shared" si="139"/>
        <v/>
      </c>
      <c r="R1524" s="216" t="str">
        <f t="shared" si="140"/>
        <v/>
      </c>
      <c r="S1524" s="217" t="str">
        <f t="shared" si="141"/>
        <v/>
      </c>
    </row>
    <row r="1525" spans="1:19" x14ac:dyDescent="0.25">
      <c r="A1525" s="262"/>
      <c r="B1525" s="260"/>
      <c r="C1525" s="35" t="s">
        <v>382</v>
      </c>
      <c r="D1525" s="35" t="s">
        <v>69</v>
      </c>
      <c r="E1525" s="36">
        <v>1.05</v>
      </c>
      <c r="F1525" s="30">
        <v>13.603999999999999</v>
      </c>
      <c r="G1525" s="33">
        <f t="shared" si="142"/>
        <v>14.2842</v>
      </c>
      <c r="H1525" s="38">
        <f>SUM(G1525:G1527)</f>
        <v>38.993700000000004</v>
      </c>
      <c r="I1525" s="39"/>
      <c r="J1525" s="152">
        <v>60</v>
      </c>
      <c r="L1525" s="215">
        <v>1.05</v>
      </c>
      <c r="M1525" s="30">
        <v>11.645023999999999</v>
      </c>
      <c r="N1525" s="33">
        <f t="shared" si="143"/>
        <v>12.227275199999999</v>
      </c>
      <c r="O1525" s="38">
        <f>SUM(N1525:N1527)</f>
        <v>33.378607199999998</v>
      </c>
      <c r="P1525" s="36" t="str">
        <f t="shared" si="138"/>
        <v/>
      </c>
      <c r="Q1525" s="216">
        <f t="shared" si="139"/>
        <v>0.14400000000000002</v>
      </c>
      <c r="R1525" s="216">
        <f t="shared" si="140"/>
        <v>0.14400000000000002</v>
      </c>
      <c r="S1525" s="217">
        <f t="shared" si="141"/>
        <v>0.14400000000000013</v>
      </c>
    </row>
    <row r="1526" spans="1:19" x14ac:dyDescent="0.25">
      <c r="A1526" s="262"/>
      <c r="B1526" s="260"/>
      <c r="C1526" s="35" t="s">
        <v>1018</v>
      </c>
      <c r="D1526" s="35" t="s">
        <v>583</v>
      </c>
      <c r="E1526" s="36">
        <v>0.5</v>
      </c>
      <c r="F1526" s="30">
        <v>27.835000000000001</v>
      </c>
      <c r="G1526" s="33">
        <f t="shared" si="142"/>
        <v>13.9175</v>
      </c>
      <c r="H1526" s="34"/>
      <c r="I1526" s="30"/>
      <c r="J1526" s="152">
        <v>60</v>
      </c>
      <c r="L1526" s="215">
        <v>0.5</v>
      </c>
      <c r="M1526" s="30">
        <v>23.82676</v>
      </c>
      <c r="N1526" s="33">
        <f t="shared" si="143"/>
        <v>11.91338</v>
      </c>
      <c r="O1526" s="34"/>
      <c r="P1526" s="36" t="str">
        <f t="shared" si="138"/>
        <v/>
      </c>
      <c r="Q1526" s="216">
        <f t="shared" si="139"/>
        <v>0.14400000000000002</v>
      </c>
      <c r="R1526" s="216">
        <f t="shared" si="140"/>
        <v>0.14400000000000002</v>
      </c>
      <c r="S1526" s="217" t="str">
        <f t="shared" si="141"/>
        <v/>
      </c>
    </row>
    <row r="1527" spans="1:19" x14ac:dyDescent="0.25">
      <c r="A1527" s="262"/>
      <c r="B1527" s="260"/>
      <c r="C1527" s="35" t="s">
        <v>1017</v>
      </c>
      <c r="D1527" s="35" t="s">
        <v>583</v>
      </c>
      <c r="E1527" s="36">
        <v>0.5</v>
      </c>
      <c r="F1527" s="30">
        <v>21.584</v>
      </c>
      <c r="G1527" s="33">
        <f t="shared" si="142"/>
        <v>10.792</v>
      </c>
      <c r="H1527" s="34"/>
      <c r="I1527" s="30"/>
      <c r="J1527" s="152">
        <v>60</v>
      </c>
      <c r="L1527" s="215">
        <v>0.5</v>
      </c>
      <c r="M1527" s="30">
        <v>18.475904</v>
      </c>
      <c r="N1527" s="33">
        <f t="shared" si="143"/>
        <v>9.2379519999999999</v>
      </c>
      <c r="O1527" s="34"/>
      <c r="P1527" s="36" t="str">
        <f t="shared" si="138"/>
        <v/>
      </c>
      <c r="Q1527" s="216">
        <f t="shared" si="139"/>
        <v>0.14400000000000002</v>
      </c>
      <c r="R1527" s="216">
        <f t="shared" si="140"/>
        <v>0.14400000000000002</v>
      </c>
      <c r="S1527" s="217" t="str">
        <f t="shared" si="141"/>
        <v/>
      </c>
    </row>
    <row r="1528" spans="1:19" ht="15.75" thickBot="1" x14ac:dyDescent="0.3">
      <c r="A1528" s="263"/>
      <c r="B1528" s="261"/>
      <c r="C1528" s="35"/>
      <c r="D1528" s="35"/>
      <c r="E1528" s="36"/>
      <c r="F1528" s="30" t="s">
        <v>416</v>
      </c>
      <c r="G1528" s="30" t="str">
        <f t="shared" si="142"/>
        <v/>
      </c>
      <c r="H1528" s="34"/>
      <c r="I1528" s="30"/>
      <c r="J1528" s="152">
        <v>60</v>
      </c>
      <c r="L1528" s="215"/>
      <c r="M1528" s="30"/>
      <c r="N1528" s="30" t="str">
        <f t="shared" si="143"/>
        <v/>
      </c>
      <c r="O1528" s="34"/>
      <c r="P1528" s="36" t="str">
        <f t="shared" si="138"/>
        <v/>
      </c>
      <c r="Q1528" s="216" t="str">
        <f t="shared" si="139"/>
        <v/>
      </c>
      <c r="R1528" s="216" t="str">
        <f t="shared" si="140"/>
        <v/>
      </c>
      <c r="S1528" s="217" t="str">
        <f t="shared" si="141"/>
        <v/>
      </c>
    </row>
    <row r="1529" spans="1:19" ht="15.75" hidden="1" thickBot="1" x14ac:dyDescent="0.3">
      <c r="A1529" s="256" t="s">
        <v>383</v>
      </c>
      <c r="B1529" s="259" t="str">
        <f>INDEX(Orçamentária!A:B,MATCH(Composições!A1529,Orçamentária!A:A,0),2)</f>
        <v>Eletroduto de aço galvanizado de 2"</v>
      </c>
      <c r="C1529" s="40"/>
      <c r="D1529" s="25" t="s">
        <v>69</v>
      </c>
      <c r="E1529" s="26"/>
      <c r="F1529" s="41" t="s">
        <v>416</v>
      </c>
      <c r="G1529" s="27" t="str">
        <f t="shared" si="142"/>
        <v/>
      </c>
      <c r="H1529" s="28"/>
      <c r="I1529" s="29"/>
      <c r="J1529" s="152">
        <v>0</v>
      </c>
      <c r="L1529" s="218"/>
      <c r="M1529" s="41"/>
      <c r="N1529" s="27" t="str">
        <f t="shared" si="143"/>
        <v/>
      </c>
      <c r="O1529" s="28"/>
      <c r="P1529" s="36" t="str">
        <f t="shared" si="138"/>
        <v/>
      </c>
      <c r="Q1529" s="216" t="str">
        <f t="shared" si="139"/>
        <v/>
      </c>
      <c r="R1529" s="216" t="str">
        <f t="shared" si="140"/>
        <v/>
      </c>
      <c r="S1529" s="217" t="str">
        <f t="shared" si="141"/>
        <v/>
      </c>
    </row>
    <row r="1530" spans="1:19" ht="15.75" hidden="1" thickBot="1" x14ac:dyDescent="0.3">
      <c r="A1530" s="262"/>
      <c r="B1530" s="260"/>
      <c r="C1530" s="31"/>
      <c r="D1530" s="31"/>
      <c r="E1530" s="32"/>
      <c r="F1530" s="42" t="s">
        <v>416</v>
      </c>
      <c r="G1530" s="30" t="str">
        <f t="shared" si="142"/>
        <v/>
      </c>
      <c r="H1530" s="34"/>
      <c r="I1530" s="30"/>
      <c r="J1530" s="152">
        <v>0</v>
      </c>
      <c r="L1530" s="219"/>
      <c r="M1530" s="42"/>
      <c r="N1530" s="30" t="str">
        <f t="shared" si="143"/>
        <v/>
      </c>
      <c r="O1530" s="34"/>
      <c r="P1530" s="36" t="str">
        <f t="shared" si="138"/>
        <v/>
      </c>
      <c r="Q1530" s="216" t="str">
        <f t="shared" si="139"/>
        <v/>
      </c>
      <c r="R1530" s="216" t="str">
        <f t="shared" si="140"/>
        <v/>
      </c>
      <c r="S1530" s="217" t="str">
        <f t="shared" si="141"/>
        <v/>
      </c>
    </row>
    <row r="1531" spans="1:19" ht="15.75" hidden="1" thickBot="1" x14ac:dyDescent="0.3">
      <c r="A1531" s="262"/>
      <c r="B1531" s="260"/>
      <c r="C1531" s="35" t="s">
        <v>384</v>
      </c>
      <c r="D1531" s="35" t="s">
        <v>69</v>
      </c>
      <c r="E1531" s="36">
        <v>1.05</v>
      </c>
      <c r="F1531" s="30">
        <v>0</v>
      </c>
      <c r="G1531" s="33">
        <f t="shared" si="142"/>
        <v>0</v>
      </c>
      <c r="H1531" s="38">
        <f>SUM(G1531:G1533)</f>
        <v>37.064250000000001</v>
      </c>
      <c r="I1531" s="39"/>
      <c r="J1531" s="152">
        <v>0</v>
      </c>
      <c r="L1531" s="215">
        <v>1.05</v>
      </c>
      <c r="M1531" s="30">
        <v>0</v>
      </c>
      <c r="N1531" s="33">
        <f t="shared" si="143"/>
        <v>0</v>
      </c>
      <c r="O1531" s="38">
        <f>SUM(N1531:N1533)</f>
        <v>31.726997999999998</v>
      </c>
      <c r="P1531" s="36" t="str">
        <f t="shared" si="138"/>
        <v/>
      </c>
      <c r="Q1531" s="216" t="e">
        <f t="shared" si="139"/>
        <v>#DIV/0!</v>
      </c>
      <c r="R1531" s="216" t="e">
        <f t="shared" si="140"/>
        <v>#DIV/0!</v>
      </c>
      <c r="S1531" s="217">
        <f t="shared" si="141"/>
        <v>0.14400000000000013</v>
      </c>
    </row>
    <row r="1532" spans="1:19" ht="15.75" hidden="1" thickBot="1" x14ac:dyDescent="0.3">
      <c r="A1532" s="262"/>
      <c r="B1532" s="260"/>
      <c r="C1532" s="35" t="s">
        <v>1018</v>
      </c>
      <c r="D1532" s="35" t="s">
        <v>583</v>
      </c>
      <c r="E1532" s="36">
        <v>0.75</v>
      </c>
      <c r="F1532" s="30">
        <v>27.835000000000001</v>
      </c>
      <c r="G1532" s="33">
        <f t="shared" si="142"/>
        <v>20.876249999999999</v>
      </c>
      <c r="H1532" s="34"/>
      <c r="I1532" s="30"/>
      <c r="J1532" s="152">
        <v>0</v>
      </c>
      <c r="L1532" s="215">
        <v>0.75</v>
      </c>
      <c r="M1532" s="30">
        <v>23.82676</v>
      </c>
      <c r="N1532" s="33">
        <f t="shared" si="143"/>
        <v>17.870069999999998</v>
      </c>
      <c r="O1532" s="34"/>
      <c r="P1532" s="36" t="str">
        <f t="shared" si="138"/>
        <v/>
      </c>
      <c r="Q1532" s="216">
        <f t="shared" si="139"/>
        <v>0.14400000000000002</v>
      </c>
      <c r="R1532" s="216">
        <f t="shared" si="140"/>
        <v>0.14400000000000002</v>
      </c>
      <c r="S1532" s="217" t="str">
        <f t="shared" si="141"/>
        <v/>
      </c>
    </row>
    <row r="1533" spans="1:19" ht="15.75" hidden="1" thickBot="1" x14ac:dyDescent="0.3">
      <c r="A1533" s="262"/>
      <c r="B1533" s="260"/>
      <c r="C1533" s="35" t="s">
        <v>1017</v>
      </c>
      <c r="D1533" s="35" t="s">
        <v>583</v>
      </c>
      <c r="E1533" s="36">
        <v>0.75</v>
      </c>
      <c r="F1533" s="30">
        <v>21.584</v>
      </c>
      <c r="G1533" s="33">
        <f t="shared" si="142"/>
        <v>16.187999999999999</v>
      </c>
      <c r="H1533" s="34"/>
      <c r="I1533" s="30"/>
      <c r="J1533" s="152">
        <v>0</v>
      </c>
      <c r="L1533" s="215">
        <v>0.75</v>
      </c>
      <c r="M1533" s="30">
        <v>18.475904</v>
      </c>
      <c r="N1533" s="33">
        <f t="shared" si="143"/>
        <v>13.856928</v>
      </c>
      <c r="O1533" s="34"/>
      <c r="P1533" s="36" t="str">
        <f t="shared" si="138"/>
        <v/>
      </c>
      <c r="Q1533" s="216">
        <f t="shared" si="139"/>
        <v>0.14400000000000002</v>
      </c>
      <c r="R1533" s="216">
        <f t="shared" si="140"/>
        <v>0.14399999999999991</v>
      </c>
      <c r="S1533" s="217" t="str">
        <f t="shared" si="141"/>
        <v/>
      </c>
    </row>
    <row r="1534" spans="1:19" ht="15.75" hidden="1" thickBot="1" x14ac:dyDescent="0.3">
      <c r="A1534" s="263"/>
      <c r="B1534" s="261"/>
      <c r="C1534" s="35"/>
      <c r="D1534" s="35"/>
      <c r="E1534" s="36"/>
      <c r="F1534" s="30" t="s">
        <v>416</v>
      </c>
      <c r="G1534" s="30" t="str">
        <f t="shared" si="142"/>
        <v/>
      </c>
      <c r="H1534" s="34"/>
      <c r="I1534" s="30"/>
      <c r="J1534" s="152">
        <v>0</v>
      </c>
      <c r="L1534" s="215"/>
      <c r="M1534" s="30"/>
      <c r="N1534" s="30" t="str">
        <f t="shared" si="143"/>
        <v/>
      </c>
      <c r="O1534" s="34"/>
      <c r="P1534" s="36" t="str">
        <f t="shared" si="138"/>
        <v/>
      </c>
      <c r="Q1534" s="216" t="str">
        <f t="shared" si="139"/>
        <v/>
      </c>
      <c r="R1534" s="216" t="str">
        <f t="shared" si="140"/>
        <v/>
      </c>
      <c r="S1534" s="217" t="str">
        <f t="shared" si="141"/>
        <v/>
      </c>
    </row>
    <row r="1535" spans="1:19" ht="15.75" hidden="1" thickBot="1" x14ac:dyDescent="0.3">
      <c r="A1535" s="256" t="s">
        <v>386</v>
      </c>
      <c r="B1535" s="259" t="str">
        <f>INDEX(Orçamentária!A:B,MATCH(Composições!A1535,Orçamentária!A:A,0),2)</f>
        <v>Eletroduto de aço galvanizado de 3/4"</v>
      </c>
      <c r="C1535" s="40"/>
      <c r="D1535" s="25" t="s">
        <v>69</v>
      </c>
      <c r="E1535" s="26"/>
      <c r="F1535" s="41" t="s">
        <v>416</v>
      </c>
      <c r="G1535" s="27" t="str">
        <f t="shared" si="142"/>
        <v/>
      </c>
      <c r="H1535" s="28"/>
      <c r="I1535" s="29"/>
      <c r="J1535" s="152">
        <v>0</v>
      </c>
      <c r="L1535" s="218"/>
      <c r="M1535" s="41"/>
      <c r="N1535" s="27" t="str">
        <f t="shared" si="143"/>
        <v/>
      </c>
      <c r="O1535" s="28"/>
      <c r="P1535" s="36" t="str">
        <f t="shared" si="138"/>
        <v/>
      </c>
      <c r="Q1535" s="216" t="str">
        <f t="shared" si="139"/>
        <v/>
      </c>
      <c r="R1535" s="216" t="str">
        <f t="shared" si="140"/>
        <v/>
      </c>
      <c r="S1535" s="217" t="str">
        <f t="shared" si="141"/>
        <v/>
      </c>
    </row>
    <row r="1536" spans="1:19" ht="15.75" hidden="1" thickBot="1" x14ac:dyDescent="0.3">
      <c r="A1536" s="262"/>
      <c r="B1536" s="260"/>
      <c r="C1536" s="31"/>
      <c r="D1536" s="31"/>
      <c r="E1536" s="32"/>
      <c r="F1536" s="42" t="s">
        <v>416</v>
      </c>
      <c r="G1536" s="30" t="str">
        <f t="shared" si="142"/>
        <v/>
      </c>
      <c r="H1536" s="34"/>
      <c r="I1536" s="30"/>
      <c r="J1536" s="152">
        <v>0</v>
      </c>
      <c r="L1536" s="219"/>
      <c r="M1536" s="42"/>
      <c r="N1536" s="30" t="str">
        <f t="shared" si="143"/>
        <v/>
      </c>
      <c r="O1536" s="34"/>
      <c r="P1536" s="36" t="str">
        <f t="shared" si="138"/>
        <v/>
      </c>
      <c r="Q1536" s="216" t="str">
        <f t="shared" si="139"/>
        <v/>
      </c>
      <c r="R1536" s="216" t="str">
        <f t="shared" si="140"/>
        <v/>
      </c>
      <c r="S1536" s="217" t="str">
        <f t="shared" si="141"/>
        <v/>
      </c>
    </row>
    <row r="1537" spans="1:19" ht="15.75" hidden="1" thickBot="1" x14ac:dyDescent="0.3">
      <c r="A1537" s="262"/>
      <c r="B1537" s="260"/>
      <c r="C1537" s="35" t="s">
        <v>387</v>
      </c>
      <c r="D1537" s="35" t="s">
        <v>69</v>
      </c>
      <c r="E1537" s="36">
        <v>1.05</v>
      </c>
      <c r="F1537" s="30">
        <v>0</v>
      </c>
      <c r="G1537" s="33">
        <f t="shared" si="142"/>
        <v>0</v>
      </c>
      <c r="H1537" s="38">
        <f>SUM(G1537:G1539)</f>
        <v>24.709499999999998</v>
      </c>
      <c r="I1537" s="39"/>
      <c r="J1537" s="152">
        <v>0</v>
      </c>
      <c r="L1537" s="215">
        <v>1.05</v>
      </c>
      <c r="M1537" s="30">
        <v>0</v>
      </c>
      <c r="N1537" s="33">
        <f t="shared" si="143"/>
        <v>0</v>
      </c>
      <c r="O1537" s="38">
        <f>SUM(N1537:N1539)</f>
        <v>21.151332</v>
      </c>
      <c r="P1537" s="36" t="str">
        <f t="shared" si="138"/>
        <v/>
      </c>
      <c r="Q1537" s="216" t="e">
        <f t="shared" si="139"/>
        <v>#DIV/0!</v>
      </c>
      <c r="R1537" s="216" t="e">
        <f t="shared" si="140"/>
        <v>#DIV/0!</v>
      </c>
      <c r="S1537" s="217">
        <f t="shared" si="141"/>
        <v>0.14399999999999991</v>
      </c>
    </row>
    <row r="1538" spans="1:19" ht="15.75" hidden="1" thickBot="1" x14ac:dyDescent="0.3">
      <c r="A1538" s="262"/>
      <c r="B1538" s="260"/>
      <c r="C1538" s="35" t="s">
        <v>1018</v>
      </c>
      <c r="D1538" s="35" t="s">
        <v>583</v>
      </c>
      <c r="E1538" s="36">
        <v>0.5</v>
      </c>
      <c r="F1538" s="30">
        <v>27.835000000000001</v>
      </c>
      <c r="G1538" s="33">
        <f t="shared" si="142"/>
        <v>13.9175</v>
      </c>
      <c r="H1538" s="34"/>
      <c r="I1538" s="30"/>
      <c r="J1538" s="152">
        <v>0</v>
      </c>
      <c r="L1538" s="215">
        <v>0.5</v>
      </c>
      <c r="M1538" s="30">
        <v>23.82676</v>
      </c>
      <c r="N1538" s="33">
        <f t="shared" si="143"/>
        <v>11.91338</v>
      </c>
      <c r="O1538" s="34"/>
      <c r="P1538" s="36" t="str">
        <f t="shared" si="138"/>
        <v/>
      </c>
      <c r="Q1538" s="216">
        <f t="shared" si="139"/>
        <v>0.14400000000000002</v>
      </c>
      <c r="R1538" s="216">
        <f t="shared" si="140"/>
        <v>0.14400000000000002</v>
      </c>
      <c r="S1538" s="217" t="str">
        <f t="shared" si="141"/>
        <v/>
      </c>
    </row>
    <row r="1539" spans="1:19" ht="15.75" hidden="1" thickBot="1" x14ac:dyDescent="0.3">
      <c r="A1539" s="262"/>
      <c r="B1539" s="260"/>
      <c r="C1539" s="35" t="s">
        <v>1017</v>
      </c>
      <c r="D1539" s="35" t="s">
        <v>583</v>
      </c>
      <c r="E1539" s="36">
        <v>0.5</v>
      </c>
      <c r="F1539" s="30">
        <v>21.584</v>
      </c>
      <c r="G1539" s="33">
        <f t="shared" si="142"/>
        <v>10.792</v>
      </c>
      <c r="H1539" s="34"/>
      <c r="I1539" s="30"/>
      <c r="J1539" s="152">
        <v>0</v>
      </c>
      <c r="L1539" s="215">
        <v>0.5</v>
      </c>
      <c r="M1539" s="30">
        <v>18.475904</v>
      </c>
      <c r="N1539" s="33">
        <f t="shared" si="143"/>
        <v>9.2379519999999999</v>
      </c>
      <c r="O1539" s="34"/>
      <c r="P1539" s="36" t="str">
        <f t="shared" si="138"/>
        <v/>
      </c>
      <c r="Q1539" s="216">
        <f t="shared" si="139"/>
        <v>0.14400000000000002</v>
      </c>
      <c r="R1539" s="216">
        <f t="shared" si="140"/>
        <v>0.14400000000000002</v>
      </c>
      <c r="S1539" s="217" t="str">
        <f t="shared" si="141"/>
        <v/>
      </c>
    </row>
    <row r="1540" spans="1:19" ht="15.75" hidden="1" thickBot="1" x14ac:dyDescent="0.3">
      <c r="A1540" s="263"/>
      <c r="B1540" s="261"/>
      <c r="C1540" s="35"/>
      <c r="D1540" s="35"/>
      <c r="E1540" s="36"/>
      <c r="F1540" s="30" t="s">
        <v>416</v>
      </c>
      <c r="G1540" s="30" t="str">
        <f t="shared" si="142"/>
        <v/>
      </c>
      <c r="H1540" s="34"/>
      <c r="I1540" s="30"/>
      <c r="J1540" s="152">
        <v>0</v>
      </c>
      <c r="L1540" s="215"/>
      <c r="M1540" s="30"/>
      <c r="N1540" s="30" t="str">
        <f t="shared" si="143"/>
        <v/>
      </c>
      <c r="O1540" s="34"/>
      <c r="P1540" s="36" t="str">
        <f t="shared" si="138"/>
        <v/>
      </c>
      <c r="Q1540" s="216" t="str">
        <f t="shared" si="139"/>
        <v/>
      </c>
      <c r="R1540" s="216" t="str">
        <f t="shared" si="140"/>
        <v/>
      </c>
      <c r="S1540" s="217" t="str">
        <f t="shared" si="141"/>
        <v/>
      </c>
    </row>
    <row r="1541" spans="1:19" ht="15.75" thickBot="1" x14ac:dyDescent="0.3">
      <c r="A1541" s="256" t="s">
        <v>388</v>
      </c>
      <c r="B1541" s="259" t="str">
        <f>INDEX(Orçamentária!A:B,MATCH(Composições!A1541,Orçamentária!A:A,0),2)</f>
        <v>Eletroduto de PVC Corrugado Reforçado 1'' (DE 32 mm)</v>
      </c>
      <c r="C1541" s="40"/>
      <c r="D1541" s="25" t="s">
        <v>69</v>
      </c>
      <c r="E1541" s="26"/>
      <c r="F1541" s="41" t="s">
        <v>416</v>
      </c>
      <c r="G1541" s="27" t="str">
        <f t="shared" si="142"/>
        <v/>
      </c>
      <c r="H1541" s="28"/>
      <c r="I1541" s="29"/>
      <c r="J1541" s="152">
        <v>30</v>
      </c>
      <c r="L1541" s="218"/>
      <c r="M1541" s="41"/>
      <c r="N1541" s="27" t="str">
        <f t="shared" si="143"/>
        <v/>
      </c>
      <c r="O1541" s="28"/>
      <c r="P1541" s="36" t="str">
        <f t="shared" si="138"/>
        <v/>
      </c>
      <c r="Q1541" s="216" t="str">
        <f t="shared" si="139"/>
        <v/>
      </c>
      <c r="R1541" s="216" t="str">
        <f t="shared" si="140"/>
        <v/>
      </c>
      <c r="S1541" s="217" t="str">
        <f t="shared" si="141"/>
        <v/>
      </c>
    </row>
    <row r="1542" spans="1:19" x14ac:dyDescent="0.25">
      <c r="A1542" s="262"/>
      <c r="B1542" s="260"/>
      <c r="C1542" s="31"/>
      <c r="D1542" s="31"/>
      <c r="E1542" s="32"/>
      <c r="F1542" s="42" t="s">
        <v>416</v>
      </c>
      <c r="G1542" s="30" t="str">
        <f t="shared" si="142"/>
        <v/>
      </c>
      <c r="H1542" s="34"/>
      <c r="I1542" s="30"/>
      <c r="J1542" s="152">
        <v>30</v>
      </c>
      <c r="L1542" s="219"/>
      <c r="M1542" s="42"/>
      <c r="N1542" s="30" t="str">
        <f t="shared" si="143"/>
        <v/>
      </c>
      <c r="O1542" s="34"/>
      <c r="P1542" s="36" t="str">
        <f t="shared" si="138"/>
        <v/>
      </c>
      <c r="Q1542" s="216" t="str">
        <f t="shared" si="139"/>
        <v/>
      </c>
      <c r="R1542" s="216" t="str">
        <f t="shared" si="140"/>
        <v/>
      </c>
      <c r="S1542" s="217" t="str">
        <f t="shared" si="141"/>
        <v/>
      </c>
    </row>
    <row r="1543" spans="1:19" ht="25.5" x14ac:dyDescent="0.25">
      <c r="A1543" s="262"/>
      <c r="B1543" s="260"/>
      <c r="C1543" s="35" t="s">
        <v>8150</v>
      </c>
      <c r="D1543" s="35" t="s">
        <v>385</v>
      </c>
      <c r="E1543" s="36">
        <v>1.1000000000000001</v>
      </c>
      <c r="F1543" s="33">
        <v>8.6449999999999996</v>
      </c>
      <c r="G1543" s="33">
        <f t="shared" si="142"/>
        <v>9.509500000000001</v>
      </c>
      <c r="H1543" s="38">
        <f>SUM(G1543:G1546)</f>
        <v>16.956635500000001</v>
      </c>
      <c r="I1543" s="39"/>
      <c r="J1543" s="152">
        <v>30</v>
      </c>
      <c r="L1543" s="215">
        <v>1.1000000000000001</v>
      </c>
      <c r="M1543" s="33">
        <v>7.4001199999999994</v>
      </c>
      <c r="N1543" s="33">
        <f t="shared" si="143"/>
        <v>8.1401319999999995</v>
      </c>
      <c r="O1543" s="38">
        <f>SUM(N1543:N1546)</f>
        <v>14.514879988000001</v>
      </c>
      <c r="P1543" s="36" t="str">
        <f t="shared" si="138"/>
        <v/>
      </c>
      <c r="Q1543" s="216">
        <f t="shared" si="139"/>
        <v>0.14400000000000002</v>
      </c>
      <c r="R1543" s="216">
        <f t="shared" si="140"/>
        <v>0.14400000000000013</v>
      </c>
      <c r="S1543" s="217">
        <f t="shared" si="141"/>
        <v>0.14400000000000002</v>
      </c>
    </row>
    <row r="1544" spans="1:19" x14ac:dyDescent="0.25">
      <c r="A1544" s="262"/>
      <c r="B1544" s="260"/>
      <c r="C1544" s="35" t="s">
        <v>1018</v>
      </c>
      <c r="D1544" s="35" t="s">
        <v>583</v>
      </c>
      <c r="E1544" s="36">
        <v>0.09</v>
      </c>
      <c r="F1544" s="30">
        <v>27.835000000000001</v>
      </c>
      <c r="G1544" s="33">
        <f t="shared" si="142"/>
        <v>2.50515</v>
      </c>
      <c r="H1544" s="34"/>
      <c r="I1544" s="30"/>
      <c r="J1544" s="152">
        <v>30</v>
      </c>
      <c r="L1544" s="215">
        <v>0.09</v>
      </c>
      <c r="M1544" s="30">
        <v>23.82676</v>
      </c>
      <c r="N1544" s="33">
        <f t="shared" si="143"/>
        <v>2.1444084000000001</v>
      </c>
      <c r="O1544" s="34"/>
      <c r="P1544" s="36" t="str">
        <f t="shared" ref="P1544:P1607" si="144">IF(ISBLANK(L1544),"",IF($E1544&lt;&gt;L1544,"SIM",""))</f>
        <v/>
      </c>
      <c r="Q1544" s="216">
        <f t="shared" ref="Q1544:Q1607" si="145">IF(M1544="","",1-M1544/$F1544)</f>
        <v>0.14400000000000002</v>
      </c>
      <c r="R1544" s="216">
        <f t="shared" ref="R1544:R1607" si="146">IF(N1544="","",1-N1544/$G1544)</f>
        <v>0.14399999999999991</v>
      </c>
      <c r="S1544" s="217" t="str">
        <f t="shared" ref="S1544:S1607" si="147">IF(O1544="","",1-O1544/$H1544)</f>
        <v/>
      </c>
    </row>
    <row r="1545" spans="1:19" x14ac:dyDescent="0.25">
      <c r="A1545" s="262"/>
      <c r="B1545" s="260"/>
      <c r="C1545" s="35" t="s">
        <v>1017</v>
      </c>
      <c r="D1545" s="35" t="s">
        <v>583</v>
      </c>
      <c r="E1545" s="36">
        <v>0.09</v>
      </c>
      <c r="F1545" s="30">
        <v>21.584</v>
      </c>
      <c r="G1545" s="33">
        <f t="shared" si="142"/>
        <v>1.9425599999999998</v>
      </c>
      <c r="H1545" s="34"/>
      <c r="I1545" s="30"/>
      <c r="J1545" s="152">
        <v>30</v>
      </c>
      <c r="L1545" s="215">
        <v>0.09</v>
      </c>
      <c r="M1545" s="30">
        <v>18.475904</v>
      </c>
      <c r="N1545" s="33">
        <f t="shared" si="143"/>
        <v>1.66283136</v>
      </c>
      <c r="O1545" s="34"/>
      <c r="P1545" s="36" t="str">
        <f t="shared" si="144"/>
        <v/>
      </c>
      <c r="Q1545" s="216">
        <f t="shared" si="145"/>
        <v>0.14400000000000002</v>
      </c>
      <c r="R1545" s="216">
        <f t="shared" si="146"/>
        <v>0.14399999999999991</v>
      </c>
      <c r="S1545" s="217" t="str">
        <f t="shared" si="147"/>
        <v/>
      </c>
    </row>
    <row r="1546" spans="1:19" ht="38.25" x14ac:dyDescent="0.25">
      <c r="A1546" s="262"/>
      <c r="B1546" s="260"/>
      <c r="C1546" s="35" t="s">
        <v>389</v>
      </c>
      <c r="D1546" s="35" t="s">
        <v>69</v>
      </c>
      <c r="E1546" s="36">
        <v>1</v>
      </c>
      <c r="F1546" s="33">
        <v>2.9994255000000005</v>
      </c>
      <c r="G1546" s="30">
        <f t="shared" si="142"/>
        <v>2.9994255000000005</v>
      </c>
      <c r="H1546" s="34"/>
      <c r="I1546" s="30"/>
      <c r="J1546" s="152">
        <v>30</v>
      </c>
      <c r="L1546" s="215">
        <v>1</v>
      </c>
      <c r="M1546" s="33">
        <v>2.5675082280000003</v>
      </c>
      <c r="N1546" s="30">
        <f t="shared" si="143"/>
        <v>2.5675082280000003</v>
      </c>
      <c r="O1546" s="34"/>
      <c r="P1546" s="36" t="str">
        <f t="shared" si="144"/>
        <v/>
      </c>
      <c r="Q1546" s="216">
        <f t="shared" si="145"/>
        <v>0.14400000000000002</v>
      </c>
      <c r="R1546" s="216">
        <f t="shared" si="146"/>
        <v>0.14400000000000002</v>
      </c>
      <c r="S1546" s="217" t="str">
        <f t="shared" si="147"/>
        <v/>
      </c>
    </row>
    <row r="1547" spans="1:19" ht="15.75" thickBot="1" x14ac:dyDescent="0.3">
      <c r="A1547" s="263"/>
      <c r="B1547" s="261"/>
      <c r="C1547" s="35"/>
      <c r="D1547" s="35"/>
      <c r="E1547" s="36"/>
      <c r="F1547" s="30" t="s">
        <v>416</v>
      </c>
      <c r="G1547" s="30" t="str">
        <f t="shared" si="142"/>
        <v/>
      </c>
      <c r="H1547" s="34"/>
      <c r="I1547" s="30"/>
      <c r="J1547" s="152">
        <v>30</v>
      </c>
      <c r="L1547" s="215"/>
      <c r="M1547" s="30"/>
      <c r="N1547" s="30" t="str">
        <f t="shared" si="143"/>
        <v/>
      </c>
      <c r="O1547" s="34"/>
      <c r="P1547" s="36" t="str">
        <f t="shared" si="144"/>
        <v/>
      </c>
      <c r="Q1547" s="216" t="str">
        <f t="shared" si="145"/>
        <v/>
      </c>
      <c r="R1547" s="216" t="str">
        <f t="shared" si="146"/>
        <v/>
      </c>
      <c r="S1547" s="217" t="str">
        <f t="shared" si="147"/>
        <v/>
      </c>
    </row>
    <row r="1548" spans="1:19" ht="15.75" hidden="1" thickBot="1" x14ac:dyDescent="0.3">
      <c r="A1548" s="256" t="s">
        <v>390</v>
      </c>
      <c r="B1548" s="259" t="str">
        <f>INDEX(Orçamentária!A:B,MATCH(Composições!A1548,Orçamentária!A:A,0),2)</f>
        <v>Eletroduto de PVC Corrugado Reforçado 3/4'' (DE 25 mm)</v>
      </c>
      <c r="C1548" s="40"/>
      <c r="D1548" s="25" t="s">
        <v>69</v>
      </c>
      <c r="E1548" s="26"/>
      <c r="F1548" s="41" t="s">
        <v>416</v>
      </c>
      <c r="G1548" s="27" t="str">
        <f t="shared" si="142"/>
        <v/>
      </c>
      <c r="H1548" s="28"/>
      <c r="I1548" s="29"/>
      <c r="J1548" s="152">
        <v>0</v>
      </c>
      <c r="L1548" s="218"/>
      <c r="M1548" s="41"/>
      <c r="N1548" s="27" t="str">
        <f t="shared" si="143"/>
        <v/>
      </c>
      <c r="O1548" s="28"/>
      <c r="P1548" s="36" t="str">
        <f t="shared" si="144"/>
        <v/>
      </c>
      <c r="Q1548" s="216" t="str">
        <f t="shared" si="145"/>
        <v/>
      </c>
      <c r="R1548" s="216" t="str">
        <f t="shared" si="146"/>
        <v/>
      </c>
      <c r="S1548" s="217" t="str">
        <f t="shared" si="147"/>
        <v/>
      </c>
    </row>
    <row r="1549" spans="1:19" ht="15.75" hidden="1" thickBot="1" x14ac:dyDescent="0.3">
      <c r="A1549" s="262"/>
      <c r="B1549" s="260"/>
      <c r="C1549" s="31"/>
      <c r="D1549" s="31"/>
      <c r="E1549" s="32"/>
      <c r="F1549" s="42" t="s">
        <v>416</v>
      </c>
      <c r="G1549" s="30" t="str">
        <f t="shared" si="142"/>
        <v/>
      </c>
      <c r="H1549" s="34"/>
      <c r="I1549" s="30"/>
      <c r="J1549" s="152">
        <v>0</v>
      </c>
      <c r="L1549" s="219"/>
      <c r="M1549" s="42"/>
      <c r="N1549" s="30" t="str">
        <f t="shared" si="143"/>
        <v/>
      </c>
      <c r="O1549" s="34"/>
      <c r="P1549" s="36" t="str">
        <f t="shared" si="144"/>
        <v/>
      </c>
      <c r="Q1549" s="216" t="str">
        <f t="shared" si="145"/>
        <v/>
      </c>
      <c r="R1549" s="216" t="str">
        <f t="shared" si="146"/>
        <v/>
      </c>
      <c r="S1549" s="217" t="str">
        <f t="shared" si="147"/>
        <v/>
      </c>
    </row>
    <row r="1550" spans="1:19" ht="15.75" hidden="1" thickBot="1" x14ac:dyDescent="0.3">
      <c r="A1550" s="262"/>
      <c r="B1550" s="260"/>
      <c r="C1550" s="35" t="s">
        <v>1018</v>
      </c>
      <c r="D1550" s="35" t="s">
        <v>583</v>
      </c>
      <c r="E1550" s="36">
        <v>7.0000000000000007E-2</v>
      </c>
      <c r="F1550" s="30">
        <v>27.835000000000001</v>
      </c>
      <c r="G1550" s="30">
        <f t="shared" si="142"/>
        <v>1.9484500000000002</v>
      </c>
      <c r="H1550" s="38">
        <f>SUM(G1550:G1553)</f>
        <v>11.401605500000002</v>
      </c>
      <c r="I1550" s="39"/>
      <c r="J1550" s="152">
        <v>0</v>
      </c>
      <c r="L1550" s="215">
        <v>7.0000000000000007E-2</v>
      </c>
      <c r="M1550" s="30">
        <v>23.82676</v>
      </c>
      <c r="N1550" s="30">
        <f t="shared" si="143"/>
        <v>1.6678732000000003</v>
      </c>
      <c r="O1550" s="38">
        <f>SUM(N1550:N1553)</f>
        <v>9.7597743080000008</v>
      </c>
      <c r="P1550" s="36" t="str">
        <f t="shared" si="144"/>
        <v/>
      </c>
      <c r="Q1550" s="216">
        <f t="shared" si="145"/>
        <v>0.14400000000000002</v>
      </c>
      <c r="R1550" s="216">
        <f t="shared" si="146"/>
        <v>0.14400000000000002</v>
      </c>
      <c r="S1550" s="217">
        <f t="shared" si="147"/>
        <v>0.14400000000000013</v>
      </c>
    </row>
    <row r="1551" spans="1:19" ht="15.75" hidden="1" thickBot="1" x14ac:dyDescent="0.3">
      <c r="A1551" s="262"/>
      <c r="B1551" s="260"/>
      <c r="C1551" s="35" t="s">
        <v>1017</v>
      </c>
      <c r="D1551" s="35" t="s">
        <v>583</v>
      </c>
      <c r="E1551" s="36">
        <v>7.0000000000000007E-2</v>
      </c>
      <c r="F1551" s="30">
        <v>21.584</v>
      </c>
      <c r="G1551" s="30">
        <f t="shared" si="142"/>
        <v>1.5108800000000002</v>
      </c>
      <c r="H1551" s="34"/>
      <c r="I1551" s="30"/>
      <c r="J1551" s="152">
        <v>0</v>
      </c>
      <c r="L1551" s="215">
        <v>7.0000000000000007E-2</v>
      </c>
      <c r="M1551" s="30">
        <v>18.475904</v>
      </c>
      <c r="N1551" s="30">
        <f t="shared" si="143"/>
        <v>1.29331328</v>
      </c>
      <c r="O1551" s="34"/>
      <c r="P1551" s="36" t="str">
        <f t="shared" si="144"/>
        <v/>
      </c>
      <c r="Q1551" s="216">
        <f t="shared" si="145"/>
        <v>0.14400000000000002</v>
      </c>
      <c r="R1551" s="216">
        <f t="shared" si="146"/>
        <v>0.14400000000000013</v>
      </c>
      <c r="S1551" s="217" t="str">
        <f t="shared" si="147"/>
        <v/>
      </c>
    </row>
    <row r="1552" spans="1:19" ht="26.25" hidden="1" thickBot="1" x14ac:dyDescent="0.3">
      <c r="A1552" s="262"/>
      <c r="B1552" s="260"/>
      <c r="C1552" s="35" t="s">
        <v>8149</v>
      </c>
      <c r="D1552" s="35" t="s">
        <v>385</v>
      </c>
      <c r="E1552" s="36">
        <v>1.1000000000000001</v>
      </c>
      <c r="F1552" s="33">
        <v>4.4935</v>
      </c>
      <c r="G1552" s="30">
        <f t="shared" si="142"/>
        <v>4.9428500000000009</v>
      </c>
      <c r="H1552" s="34"/>
      <c r="I1552" s="30"/>
      <c r="J1552" s="152">
        <v>0</v>
      </c>
      <c r="L1552" s="215">
        <v>1.1000000000000001</v>
      </c>
      <c r="M1552" s="33">
        <v>3.8464360000000002</v>
      </c>
      <c r="N1552" s="30">
        <f t="shared" si="143"/>
        <v>4.2310796000000002</v>
      </c>
      <c r="O1552" s="34"/>
      <c r="P1552" s="36" t="str">
        <f t="shared" si="144"/>
        <v/>
      </c>
      <c r="Q1552" s="216">
        <f t="shared" si="145"/>
        <v>0.14400000000000002</v>
      </c>
      <c r="R1552" s="216">
        <f t="shared" si="146"/>
        <v>0.14400000000000013</v>
      </c>
      <c r="S1552" s="217" t="str">
        <f t="shared" si="147"/>
        <v/>
      </c>
    </row>
    <row r="1553" spans="1:19" ht="39" hidden="1" thickBot="1" x14ac:dyDescent="0.3">
      <c r="A1553" s="262"/>
      <c r="B1553" s="260"/>
      <c r="C1553" s="35" t="s">
        <v>389</v>
      </c>
      <c r="D1553" s="35" t="s">
        <v>69</v>
      </c>
      <c r="E1553" s="36">
        <v>1</v>
      </c>
      <c r="F1553" s="33">
        <v>2.9994255000000005</v>
      </c>
      <c r="G1553" s="30">
        <f t="shared" si="142"/>
        <v>2.9994255000000005</v>
      </c>
      <c r="H1553" s="34"/>
      <c r="I1553" s="30"/>
      <c r="J1553" s="152">
        <v>0</v>
      </c>
      <c r="L1553" s="215">
        <v>1</v>
      </c>
      <c r="M1553" s="33">
        <v>2.5675082280000003</v>
      </c>
      <c r="N1553" s="30">
        <f t="shared" si="143"/>
        <v>2.5675082280000003</v>
      </c>
      <c r="O1553" s="34"/>
      <c r="P1553" s="36" t="str">
        <f t="shared" si="144"/>
        <v/>
      </c>
      <c r="Q1553" s="216">
        <f t="shared" si="145"/>
        <v>0.14400000000000002</v>
      </c>
      <c r="R1553" s="216">
        <f t="shared" si="146"/>
        <v>0.14400000000000002</v>
      </c>
      <c r="S1553" s="217" t="str">
        <f t="shared" si="147"/>
        <v/>
      </c>
    </row>
    <row r="1554" spans="1:19" ht="15.75" hidden="1" thickBot="1" x14ac:dyDescent="0.3">
      <c r="A1554" s="263"/>
      <c r="B1554" s="261"/>
      <c r="C1554" s="35"/>
      <c r="D1554" s="35"/>
      <c r="E1554" s="36"/>
      <c r="F1554" s="30" t="s">
        <v>416</v>
      </c>
      <c r="G1554" s="30" t="str">
        <f t="shared" si="142"/>
        <v/>
      </c>
      <c r="H1554" s="34"/>
      <c r="I1554" s="30"/>
      <c r="J1554" s="152">
        <v>0</v>
      </c>
      <c r="L1554" s="215"/>
      <c r="M1554" s="30"/>
      <c r="N1554" s="30" t="str">
        <f t="shared" si="143"/>
        <v/>
      </c>
      <c r="O1554" s="34"/>
      <c r="P1554" s="36" t="str">
        <f t="shared" si="144"/>
        <v/>
      </c>
      <c r="Q1554" s="216" t="str">
        <f t="shared" si="145"/>
        <v/>
      </c>
      <c r="R1554" s="216" t="str">
        <f t="shared" si="146"/>
        <v/>
      </c>
      <c r="S1554" s="217" t="str">
        <f t="shared" si="147"/>
        <v/>
      </c>
    </row>
    <row r="1555" spans="1:19" ht="15.75" thickBot="1" x14ac:dyDescent="0.3">
      <c r="A1555" s="256" t="s">
        <v>391</v>
      </c>
      <c r="B1555" s="259" t="str">
        <f>INDEX(Orçamentária!A:B,MATCH(Composições!A1555,Orçamentária!A:A,0),2)</f>
        <v>Eletroduto flexível metálico com capa de PVC 1’’</v>
      </c>
      <c r="C1555" s="40"/>
      <c r="D1555" s="25" t="s">
        <v>69</v>
      </c>
      <c r="E1555" s="26"/>
      <c r="F1555" s="41" t="s">
        <v>416</v>
      </c>
      <c r="G1555" s="27" t="str">
        <f t="shared" ref="G1555:G1618" si="148">IF(ISNUMBER(F1555),E1555*F1555,"")</f>
        <v/>
      </c>
      <c r="H1555" s="28"/>
      <c r="I1555" s="29"/>
      <c r="J1555" s="152">
        <v>28</v>
      </c>
      <c r="L1555" s="218"/>
      <c r="M1555" s="41"/>
      <c r="N1555" s="27" t="str">
        <f t="shared" ref="N1555:N1618" si="149">IF(ISNUMBER(M1555),L1555*M1555,"")</f>
        <v/>
      </c>
      <c r="O1555" s="28"/>
      <c r="P1555" s="36" t="str">
        <f t="shared" si="144"/>
        <v/>
      </c>
      <c r="Q1555" s="216" t="str">
        <f t="shared" si="145"/>
        <v/>
      </c>
      <c r="R1555" s="216" t="str">
        <f t="shared" si="146"/>
        <v/>
      </c>
      <c r="S1555" s="217" t="str">
        <f t="shared" si="147"/>
        <v/>
      </c>
    </row>
    <row r="1556" spans="1:19" x14ac:dyDescent="0.25">
      <c r="A1556" s="262"/>
      <c r="B1556" s="260"/>
      <c r="C1556" s="31"/>
      <c r="D1556" s="31"/>
      <c r="E1556" s="32"/>
      <c r="F1556" s="42" t="s">
        <v>416</v>
      </c>
      <c r="G1556" s="30" t="str">
        <f t="shared" si="148"/>
        <v/>
      </c>
      <c r="H1556" s="34"/>
      <c r="I1556" s="30"/>
      <c r="J1556" s="152">
        <v>28</v>
      </c>
      <c r="L1556" s="219"/>
      <c r="M1556" s="42"/>
      <c r="N1556" s="30" t="str">
        <f t="shared" si="149"/>
        <v/>
      </c>
      <c r="O1556" s="34"/>
      <c r="P1556" s="36" t="str">
        <f t="shared" si="144"/>
        <v/>
      </c>
      <c r="Q1556" s="216" t="str">
        <f t="shared" si="145"/>
        <v/>
      </c>
      <c r="R1556" s="216" t="str">
        <f t="shared" si="146"/>
        <v/>
      </c>
      <c r="S1556" s="217" t="str">
        <f t="shared" si="147"/>
        <v/>
      </c>
    </row>
    <row r="1557" spans="1:19" ht="38.25" x14ac:dyDescent="0.25">
      <c r="A1557" s="262"/>
      <c r="B1557" s="260"/>
      <c r="C1557" s="35" t="s">
        <v>8146</v>
      </c>
      <c r="D1557" s="35" t="s">
        <v>385</v>
      </c>
      <c r="E1557" s="36">
        <v>1.1000000000000001</v>
      </c>
      <c r="F1557" s="33">
        <v>13.8225</v>
      </c>
      <c r="G1557" s="30">
        <f t="shared" si="148"/>
        <v>15.204750000000001</v>
      </c>
      <c r="H1557" s="38">
        <f>SUM(G1557:G1560)</f>
        <v>20.534668</v>
      </c>
      <c r="I1557" s="39"/>
      <c r="J1557" s="152">
        <v>28</v>
      </c>
      <c r="L1557" s="215">
        <v>1.1000000000000001</v>
      </c>
      <c r="M1557" s="33">
        <v>11.83206</v>
      </c>
      <c r="N1557" s="30">
        <f t="shared" si="149"/>
        <v>13.015266</v>
      </c>
      <c r="O1557" s="38">
        <f>SUM(N1557:N1560)</f>
        <v>17.577675808000002</v>
      </c>
      <c r="P1557" s="36" t="str">
        <f t="shared" si="144"/>
        <v/>
      </c>
      <c r="Q1557" s="216">
        <f t="shared" si="145"/>
        <v>0.14400000000000002</v>
      </c>
      <c r="R1557" s="216">
        <f t="shared" si="146"/>
        <v>0.14400000000000002</v>
      </c>
      <c r="S1557" s="217">
        <f t="shared" si="147"/>
        <v>0.14399999999999991</v>
      </c>
    </row>
    <row r="1558" spans="1:19" ht="25.5" x14ac:dyDescent="0.25">
      <c r="A1558" s="262"/>
      <c r="B1558" s="260"/>
      <c r="C1558" s="35" t="s">
        <v>3060</v>
      </c>
      <c r="D1558" s="35" t="s">
        <v>773</v>
      </c>
      <c r="E1558" s="36">
        <v>2E-3</v>
      </c>
      <c r="F1558" s="33">
        <v>21.042499999999997</v>
      </c>
      <c r="G1558" s="30">
        <f t="shared" si="148"/>
        <v>4.2084999999999997E-2</v>
      </c>
      <c r="H1558" s="34"/>
      <c r="I1558" s="30"/>
      <c r="J1558" s="152">
        <v>28</v>
      </c>
      <c r="L1558" s="215">
        <v>2E-3</v>
      </c>
      <c r="M1558" s="33">
        <v>18.012379999999997</v>
      </c>
      <c r="N1558" s="30">
        <f t="shared" si="149"/>
        <v>3.6024759999999996E-2</v>
      </c>
      <c r="O1558" s="34"/>
      <c r="P1558" s="36" t="str">
        <f t="shared" si="144"/>
        <v/>
      </c>
      <c r="Q1558" s="216">
        <f t="shared" si="145"/>
        <v>0.14400000000000002</v>
      </c>
      <c r="R1558" s="216">
        <f t="shared" si="146"/>
        <v>0.14400000000000002</v>
      </c>
      <c r="S1558" s="217" t="str">
        <f t="shared" si="147"/>
        <v/>
      </c>
    </row>
    <row r="1559" spans="1:19" x14ac:dyDescent="0.25">
      <c r="A1559" s="262"/>
      <c r="B1559" s="260"/>
      <c r="C1559" s="35" t="s">
        <v>1017</v>
      </c>
      <c r="D1559" s="35" t="s">
        <v>583</v>
      </c>
      <c r="E1559" s="36">
        <v>0.107</v>
      </c>
      <c r="F1559" s="30">
        <v>21.584</v>
      </c>
      <c r="G1559" s="30">
        <f t="shared" si="148"/>
        <v>2.309488</v>
      </c>
      <c r="H1559" s="34"/>
      <c r="I1559" s="30"/>
      <c r="J1559" s="152">
        <v>28</v>
      </c>
      <c r="L1559" s="215">
        <v>0.107</v>
      </c>
      <c r="M1559" s="30">
        <v>18.475904</v>
      </c>
      <c r="N1559" s="30">
        <f t="shared" si="149"/>
        <v>1.976921728</v>
      </c>
      <c r="O1559" s="34"/>
      <c r="P1559" s="36" t="str">
        <f t="shared" si="144"/>
        <v/>
      </c>
      <c r="Q1559" s="216">
        <f t="shared" si="145"/>
        <v>0.14400000000000002</v>
      </c>
      <c r="R1559" s="216">
        <f t="shared" si="146"/>
        <v>0.14400000000000002</v>
      </c>
      <c r="S1559" s="217" t="str">
        <f t="shared" si="147"/>
        <v/>
      </c>
    </row>
    <row r="1560" spans="1:19" x14ac:dyDescent="0.25">
      <c r="A1560" s="262"/>
      <c r="B1560" s="260"/>
      <c r="C1560" s="35" t="s">
        <v>1018</v>
      </c>
      <c r="D1560" s="35" t="s">
        <v>583</v>
      </c>
      <c r="E1560" s="36">
        <v>0.107</v>
      </c>
      <c r="F1560" s="30">
        <v>27.835000000000001</v>
      </c>
      <c r="G1560" s="30">
        <f t="shared" si="148"/>
        <v>2.978345</v>
      </c>
      <c r="H1560" s="34"/>
      <c r="I1560" s="30"/>
      <c r="J1560" s="152">
        <v>28</v>
      </c>
      <c r="L1560" s="215">
        <v>0.107</v>
      </c>
      <c r="M1560" s="30">
        <v>23.82676</v>
      </c>
      <c r="N1560" s="30">
        <f t="shared" si="149"/>
        <v>2.5494633200000001</v>
      </c>
      <c r="O1560" s="34"/>
      <c r="P1560" s="36" t="str">
        <f t="shared" si="144"/>
        <v/>
      </c>
      <c r="Q1560" s="216">
        <f t="shared" si="145"/>
        <v>0.14400000000000002</v>
      </c>
      <c r="R1560" s="216">
        <f t="shared" si="146"/>
        <v>0.14400000000000002</v>
      </c>
      <c r="S1560" s="217" t="str">
        <f t="shared" si="147"/>
        <v/>
      </c>
    </row>
    <row r="1561" spans="1:19" ht="15.75" thickBot="1" x14ac:dyDescent="0.3">
      <c r="A1561" s="263"/>
      <c r="B1561" s="261"/>
      <c r="C1561" s="35"/>
      <c r="D1561" s="35"/>
      <c r="E1561" s="36"/>
      <c r="F1561" s="30" t="s">
        <v>416</v>
      </c>
      <c r="G1561" s="30" t="str">
        <f t="shared" si="148"/>
        <v/>
      </c>
      <c r="H1561" s="34"/>
      <c r="I1561" s="30"/>
      <c r="J1561" s="152">
        <v>28</v>
      </c>
      <c r="L1561" s="215"/>
      <c r="M1561" s="30"/>
      <c r="N1561" s="30" t="str">
        <f t="shared" si="149"/>
        <v/>
      </c>
      <c r="O1561" s="34"/>
      <c r="P1561" s="36" t="str">
        <f t="shared" si="144"/>
        <v/>
      </c>
      <c r="Q1561" s="216" t="str">
        <f t="shared" si="145"/>
        <v/>
      </c>
      <c r="R1561" s="216" t="str">
        <f t="shared" si="146"/>
        <v/>
      </c>
      <c r="S1561" s="217" t="str">
        <f t="shared" si="147"/>
        <v/>
      </c>
    </row>
    <row r="1562" spans="1:19" ht="15.75" hidden="1" thickBot="1" x14ac:dyDescent="0.3">
      <c r="A1562" s="256" t="s">
        <v>392</v>
      </c>
      <c r="B1562" s="259" t="str">
        <f>INDEX(Orçamentária!A:B,MATCH(Composições!A1562,Orçamentária!A:A,0),2)</f>
        <v>Eletroduto flexível metálico com capa de PVC 3/4"</v>
      </c>
      <c r="C1562" s="40"/>
      <c r="D1562" s="25" t="s">
        <v>69</v>
      </c>
      <c r="E1562" s="26"/>
      <c r="F1562" s="41" t="s">
        <v>416</v>
      </c>
      <c r="G1562" s="27" t="str">
        <f t="shared" si="148"/>
        <v/>
      </c>
      <c r="H1562" s="28"/>
      <c r="I1562" s="29"/>
      <c r="J1562" s="152">
        <v>0</v>
      </c>
      <c r="L1562" s="218"/>
      <c r="M1562" s="41"/>
      <c r="N1562" s="27" t="str">
        <f t="shared" si="149"/>
        <v/>
      </c>
      <c r="O1562" s="28"/>
      <c r="P1562" s="36" t="str">
        <f t="shared" si="144"/>
        <v/>
      </c>
      <c r="Q1562" s="216" t="str">
        <f t="shared" si="145"/>
        <v/>
      </c>
      <c r="R1562" s="216" t="str">
        <f t="shared" si="146"/>
        <v/>
      </c>
      <c r="S1562" s="217" t="str">
        <f t="shared" si="147"/>
        <v/>
      </c>
    </row>
    <row r="1563" spans="1:19" ht="15.75" hidden="1" thickBot="1" x14ac:dyDescent="0.3">
      <c r="A1563" s="262"/>
      <c r="B1563" s="260"/>
      <c r="C1563" s="31"/>
      <c r="D1563" s="31"/>
      <c r="E1563" s="32"/>
      <c r="F1563" s="42" t="s">
        <v>416</v>
      </c>
      <c r="G1563" s="30" t="str">
        <f t="shared" si="148"/>
        <v/>
      </c>
      <c r="H1563" s="34"/>
      <c r="I1563" s="30"/>
      <c r="J1563" s="152">
        <v>0</v>
      </c>
      <c r="L1563" s="219"/>
      <c r="M1563" s="42"/>
      <c r="N1563" s="30" t="str">
        <f t="shared" si="149"/>
        <v/>
      </c>
      <c r="O1563" s="34"/>
      <c r="P1563" s="36" t="str">
        <f t="shared" si="144"/>
        <v/>
      </c>
      <c r="Q1563" s="216" t="str">
        <f t="shared" si="145"/>
        <v/>
      </c>
      <c r="R1563" s="216" t="str">
        <f t="shared" si="146"/>
        <v/>
      </c>
      <c r="S1563" s="217" t="str">
        <f t="shared" si="147"/>
        <v/>
      </c>
    </row>
    <row r="1564" spans="1:19" ht="39" hidden="1" thickBot="1" x14ac:dyDescent="0.3">
      <c r="A1564" s="262"/>
      <c r="B1564" s="260"/>
      <c r="C1564" s="35" t="s">
        <v>8145</v>
      </c>
      <c r="D1564" s="35" t="s">
        <v>385</v>
      </c>
      <c r="E1564" s="36">
        <v>1.1000000000000001</v>
      </c>
      <c r="F1564" s="33">
        <v>10.535499999999999</v>
      </c>
      <c r="G1564" s="33">
        <f t="shared" si="148"/>
        <v>11.58905</v>
      </c>
      <c r="H1564" s="38">
        <f>SUM(G1564:G1567)</f>
        <v>15.926379499999999</v>
      </c>
      <c r="I1564" s="39"/>
      <c r="J1564" s="152">
        <v>0</v>
      </c>
      <c r="L1564" s="215">
        <v>1.1000000000000001</v>
      </c>
      <c r="M1564" s="33">
        <v>9.0183879999999998</v>
      </c>
      <c r="N1564" s="33">
        <f t="shared" si="149"/>
        <v>9.9202268</v>
      </c>
      <c r="O1564" s="38">
        <f>SUM(N1564:N1567)</f>
        <v>13.632980852000001</v>
      </c>
      <c r="P1564" s="36" t="str">
        <f t="shared" si="144"/>
        <v/>
      </c>
      <c r="Q1564" s="216">
        <f t="shared" si="145"/>
        <v>0.14399999999999991</v>
      </c>
      <c r="R1564" s="216">
        <f t="shared" si="146"/>
        <v>0.14400000000000002</v>
      </c>
      <c r="S1564" s="217">
        <f t="shared" si="147"/>
        <v>0.14399999999999991</v>
      </c>
    </row>
    <row r="1565" spans="1:19" ht="26.25" hidden="1" thickBot="1" x14ac:dyDescent="0.3">
      <c r="A1565" s="262"/>
      <c r="B1565" s="260"/>
      <c r="C1565" s="35" t="s">
        <v>3060</v>
      </c>
      <c r="D1565" s="35" t="s">
        <v>773</v>
      </c>
      <c r="E1565" s="36">
        <v>1.8E-3</v>
      </c>
      <c r="F1565" s="33">
        <v>21.042499999999997</v>
      </c>
      <c r="G1565" s="33">
        <f t="shared" si="148"/>
        <v>3.7876499999999994E-2</v>
      </c>
      <c r="H1565" s="34"/>
      <c r="I1565" s="30"/>
      <c r="J1565" s="152">
        <v>0</v>
      </c>
      <c r="L1565" s="215">
        <v>1.8E-3</v>
      </c>
      <c r="M1565" s="33">
        <v>18.012379999999997</v>
      </c>
      <c r="N1565" s="33">
        <f t="shared" si="149"/>
        <v>3.2422283999999996E-2</v>
      </c>
      <c r="O1565" s="34"/>
      <c r="P1565" s="36" t="str">
        <f t="shared" si="144"/>
        <v/>
      </c>
      <c r="Q1565" s="216">
        <f t="shared" si="145"/>
        <v>0.14400000000000002</v>
      </c>
      <c r="R1565" s="216">
        <f t="shared" si="146"/>
        <v>0.14400000000000002</v>
      </c>
      <c r="S1565" s="217" t="str">
        <f t="shared" si="147"/>
        <v/>
      </c>
    </row>
    <row r="1566" spans="1:19" ht="15.75" hidden="1" thickBot="1" x14ac:dyDescent="0.3">
      <c r="A1566" s="262"/>
      <c r="B1566" s="260"/>
      <c r="C1566" s="35" t="s">
        <v>1017</v>
      </c>
      <c r="D1566" s="35" t="s">
        <v>583</v>
      </c>
      <c r="E1566" s="36">
        <v>8.6999999999999994E-2</v>
      </c>
      <c r="F1566" s="30">
        <v>21.584</v>
      </c>
      <c r="G1566" s="33">
        <f t="shared" si="148"/>
        <v>1.8778079999999999</v>
      </c>
      <c r="H1566" s="34"/>
      <c r="I1566" s="30"/>
      <c r="J1566" s="152">
        <v>0</v>
      </c>
      <c r="L1566" s="215">
        <v>8.6999999999999994E-2</v>
      </c>
      <c r="M1566" s="30">
        <v>18.475904</v>
      </c>
      <c r="N1566" s="33">
        <f t="shared" si="149"/>
        <v>1.6074036479999998</v>
      </c>
      <c r="O1566" s="34"/>
      <c r="P1566" s="36" t="str">
        <f t="shared" si="144"/>
        <v/>
      </c>
      <c r="Q1566" s="216">
        <f t="shared" si="145"/>
        <v>0.14400000000000002</v>
      </c>
      <c r="R1566" s="216">
        <f t="shared" si="146"/>
        <v>0.14400000000000013</v>
      </c>
      <c r="S1566" s="217" t="str">
        <f t="shared" si="147"/>
        <v/>
      </c>
    </row>
    <row r="1567" spans="1:19" ht="15.75" hidden="1" thickBot="1" x14ac:dyDescent="0.3">
      <c r="A1567" s="262"/>
      <c r="B1567" s="260"/>
      <c r="C1567" s="35" t="s">
        <v>1018</v>
      </c>
      <c r="D1567" s="35" t="s">
        <v>583</v>
      </c>
      <c r="E1567" s="36">
        <v>8.6999999999999994E-2</v>
      </c>
      <c r="F1567" s="30">
        <v>27.835000000000001</v>
      </c>
      <c r="G1567" s="33">
        <f t="shared" si="148"/>
        <v>2.4216449999999998</v>
      </c>
      <c r="H1567" s="34"/>
      <c r="I1567" s="30"/>
      <c r="J1567" s="152">
        <v>0</v>
      </c>
      <c r="L1567" s="215">
        <v>8.6999999999999994E-2</v>
      </c>
      <c r="M1567" s="30">
        <v>23.82676</v>
      </c>
      <c r="N1567" s="33">
        <f t="shared" si="149"/>
        <v>2.0729281199999998</v>
      </c>
      <c r="O1567" s="34"/>
      <c r="P1567" s="36" t="str">
        <f t="shared" si="144"/>
        <v/>
      </c>
      <c r="Q1567" s="216">
        <f t="shared" si="145"/>
        <v>0.14400000000000002</v>
      </c>
      <c r="R1567" s="216">
        <f t="shared" si="146"/>
        <v>0.14400000000000002</v>
      </c>
      <c r="S1567" s="217" t="str">
        <f t="shared" si="147"/>
        <v/>
      </c>
    </row>
    <row r="1568" spans="1:19" ht="15.75" hidden="1" thickBot="1" x14ac:dyDescent="0.3">
      <c r="A1568" s="263"/>
      <c r="B1568" s="261"/>
      <c r="C1568" s="35"/>
      <c r="D1568" s="35"/>
      <c r="E1568" s="36"/>
      <c r="F1568" s="30" t="s">
        <v>416</v>
      </c>
      <c r="G1568" s="30" t="str">
        <f t="shared" si="148"/>
        <v/>
      </c>
      <c r="H1568" s="34"/>
      <c r="I1568" s="30"/>
      <c r="J1568" s="152">
        <v>0</v>
      </c>
      <c r="L1568" s="215"/>
      <c r="M1568" s="30"/>
      <c r="N1568" s="30" t="str">
        <f t="shared" si="149"/>
        <v/>
      </c>
      <c r="O1568" s="34"/>
      <c r="P1568" s="36" t="str">
        <f t="shared" si="144"/>
        <v/>
      </c>
      <c r="Q1568" s="216" t="str">
        <f t="shared" si="145"/>
        <v/>
      </c>
      <c r="R1568" s="216" t="str">
        <f t="shared" si="146"/>
        <v/>
      </c>
      <c r="S1568" s="217" t="str">
        <f t="shared" si="147"/>
        <v/>
      </c>
    </row>
    <row r="1569" spans="1:19" ht="15.75" thickBot="1" x14ac:dyDescent="0.3">
      <c r="A1569" s="256" t="s">
        <v>393</v>
      </c>
      <c r="B1569" s="259" t="str">
        <f>INDEX(Orçamentária!A:B,MATCH(Composições!A1569,Orçamentária!A:A,0),2)</f>
        <v>Perfilado 38 x 38 mm</v>
      </c>
      <c r="C1569" s="40"/>
      <c r="D1569" s="25" t="s">
        <v>69</v>
      </c>
      <c r="E1569" s="26"/>
      <c r="F1569" s="41" t="s">
        <v>416</v>
      </c>
      <c r="G1569" s="27" t="str">
        <f t="shared" si="148"/>
        <v/>
      </c>
      <c r="H1569" s="28"/>
      <c r="I1569" s="29"/>
      <c r="J1569" s="152">
        <v>110</v>
      </c>
      <c r="L1569" s="218"/>
      <c r="M1569" s="41"/>
      <c r="N1569" s="27" t="str">
        <f t="shared" si="149"/>
        <v/>
      </c>
      <c r="O1569" s="28"/>
      <c r="P1569" s="36" t="str">
        <f t="shared" si="144"/>
        <v/>
      </c>
      <c r="Q1569" s="216" t="str">
        <f t="shared" si="145"/>
        <v/>
      </c>
      <c r="R1569" s="216" t="str">
        <f t="shared" si="146"/>
        <v/>
      </c>
      <c r="S1569" s="217" t="str">
        <f t="shared" si="147"/>
        <v/>
      </c>
    </row>
    <row r="1570" spans="1:19" x14ac:dyDescent="0.25">
      <c r="A1570" s="262"/>
      <c r="B1570" s="260"/>
      <c r="C1570" s="31"/>
      <c r="D1570" s="31"/>
      <c r="E1570" s="32"/>
      <c r="F1570" s="42" t="s">
        <v>416</v>
      </c>
      <c r="G1570" s="30" t="str">
        <f t="shared" si="148"/>
        <v/>
      </c>
      <c r="H1570" s="34"/>
      <c r="I1570" s="30"/>
      <c r="J1570" s="152">
        <v>110</v>
      </c>
      <c r="L1570" s="219"/>
      <c r="M1570" s="42"/>
      <c r="N1570" s="30" t="str">
        <f t="shared" si="149"/>
        <v/>
      </c>
      <c r="O1570" s="34"/>
      <c r="P1570" s="36" t="str">
        <f t="shared" si="144"/>
        <v/>
      </c>
      <c r="Q1570" s="216" t="str">
        <f t="shared" si="145"/>
        <v/>
      </c>
      <c r="R1570" s="216" t="str">
        <f t="shared" si="146"/>
        <v/>
      </c>
      <c r="S1570" s="217" t="str">
        <f t="shared" si="147"/>
        <v/>
      </c>
    </row>
    <row r="1571" spans="1:19" x14ac:dyDescent="0.25">
      <c r="A1571" s="262"/>
      <c r="B1571" s="260"/>
      <c r="C1571" s="35" t="s">
        <v>394</v>
      </c>
      <c r="D1571" s="35" t="s">
        <v>69</v>
      </c>
      <c r="E1571" s="36">
        <v>1.05</v>
      </c>
      <c r="F1571" s="33">
        <v>22.43</v>
      </c>
      <c r="G1571" s="33">
        <f t="shared" si="148"/>
        <v>23.551500000000001</v>
      </c>
      <c r="H1571" s="38">
        <f>SUM(G1571:G1582)</f>
        <v>79.041202349999992</v>
      </c>
      <c r="I1571" s="39"/>
      <c r="J1571" s="152">
        <v>110</v>
      </c>
      <c r="L1571" s="215">
        <v>1.05</v>
      </c>
      <c r="M1571" s="33">
        <v>19.20008</v>
      </c>
      <c r="N1571" s="33">
        <f t="shared" si="149"/>
        <v>20.160084000000001</v>
      </c>
      <c r="O1571" s="38">
        <f>SUM(N1571:N1582)</f>
        <v>67.659269211600005</v>
      </c>
      <c r="P1571" s="36" t="str">
        <f t="shared" si="144"/>
        <v/>
      </c>
      <c r="Q1571" s="216">
        <f t="shared" si="145"/>
        <v>0.14400000000000002</v>
      </c>
      <c r="R1571" s="216">
        <f t="shared" si="146"/>
        <v>0.14400000000000002</v>
      </c>
      <c r="S1571" s="217">
        <f>IF(O1571="","",1-O1571/$H1571)</f>
        <v>0.14399999999999979</v>
      </c>
    </row>
    <row r="1572" spans="1:19" x14ac:dyDescent="0.25">
      <c r="A1572" s="262"/>
      <c r="B1572" s="260"/>
      <c r="C1572" s="35" t="s">
        <v>1017</v>
      </c>
      <c r="D1572" s="35" t="s">
        <v>583</v>
      </c>
      <c r="E1572" s="36">
        <v>0.45</v>
      </c>
      <c r="F1572" s="30">
        <v>21.584</v>
      </c>
      <c r="G1572" s="33">
        <f t="shared" si="148"/>
        <v>9.7127999999999997</v>
      </c>
      <c r="H1572" s="34"/>
      <c r="I1572" s="30"/>
      <c r="J1572" s="152">
        <v>110</v>
      </c>
      <c r="L1572" s="215">
        <v>0.45</v>
      </c>
      <c r="M1572" s="30">
        <v>18.475904</v>
      </c>
      <c r="N1572" s="33">
        <f t="shared" si="149"/>
        <v>8.314156800000001</v>
      </c>
      <c r="O1572" s="34"/>
      <c r="P1572" s="36" t="str">
        <f t="shared" si="144"/>
        <v/>
      </c>
      <c r="Q1572" s="216">
        <f t="shared" si="145"/>
        <v>0.14400000000000002</v>
      </c>
      <c r="R1572" s="216">
        <f t="shared" si="146"/>
        <v>0.14399999999999991</v>
      </c>
      <c r="S1572" s="217" t="str">
        <f t="shared" si="147"/>
        <v/>
      </c>
    </row>
    <row r="1573" spans="1:19" x14ac:dyDescent="0.25">
      <c r="A1573" s="262"/>
      <c r="B1573" s="260"/>
      <c r="C1573" s="35" t="s">
        <v>1018</v>
      </c>
      <c r="D1573" s="35" t="s">
        <v>583</v>
      </c>
      <c r="E1573" s="36">
        <v>0.45</v>
      </c>
      <c r="F1573" s="30">
        <v>27.835000000000001</v>
      </c>
      <c r="G1573" s="33">
        <f t="shared" si="148"/>
        <v>12.52575</v>
      </c>
      <c r="H1573" s="34"/>
      <c r="I1573" s="30"/>
      <c r="J1573" s="152">
        <v>110</v>
      </c>
      <c r="L1573" s="215">
        <v>0.45</v>
      </c>
      <c r="M1573" s="30">
        <v>23.82676</v>
      </c>
      <c r="N1573" s="33">
        <f t="shared" si="149"/>
        <v>10.722042</v>
      </c>
      <c r="O1573" s="34"/>
      <c r="P1573" s="36" t="str">
        <f t="shared" si="144"/>
        <v/>
      </c>
      <c r="Q1573" s="216">
        <f t="shared" si="145"/>
        <v>0.14400000000000002</v>
      </c>
      <c r="R1573" s="216">
        <f t="shared" si="146"/>
        <v>0.14400000000000002</v>
      </c>
      <c r="S1573" s="217" t="str">
        <f t="shared" si="147"/>
        <v/>
      </c>
    </row>
    <row r="1574" spans="1:19" ht="25.5" x14ac:dyDescent="0.25">
      <c r="A1574" s="262"/>
      <c r="B1574" s="260"/>
      <c r="C1574" s="35" t="s">
        <v>344</v>
      </c>
      <c r="D1574" s="35" t="s">
        <v>107</v>
      </c>
      <c r="E1574" s="36">
        <v>0.67</v>
      </c>
      <c r="F1574" s="30">
        <v>9.1579999999999995</v>
      </c>
      <c r="G1574" s="33">
        <f t="shared" si="148"/>
        <v>6.1358600000000001</v>
      </c>
      <c r="H1574" s="34"/>
      <c r="I1574" s="30"/>
      <c r="J1574" s="152">
        <v>110</v>
      </c>
      <c r="L1574" s="215">
        <v>0.67</v>
      </c>
      <c r="M1574" s="30">
        <v>7.8392479999999995</v>
      </c>
      <c r="N1574" s="33">
        <f t="shared" si="149"/>
        <v>5.2522961600000002</v>
      </c>
      <c r="O1574" s="34"/>
      <c r="P1574" s="36" t="str">
        <f t="shared" si="144"/>
        <v/>
      </c>
      <c r="Q1574" s="216">
        <f t="shared" si="145"/>
        <v>0.14400000000000002</v>
      </c>
      <c r="R1574" s="216">
        <f t="shared" si="146"/>
        <v>0.14400000000000002</v>
      </c>
      <c r="S1574" s="217" t="str">
        <f t="shared" si="147"/>
        <v/>
      </c>
    </row>
    <row r="1575" spans="1:19" x14ac:dyDescent="0.25">
      <c r="A1575" s="262"/>
      <c r="B1575" s="260"/>
      <c r="C1575" s="35" t="s">
        <v>395</v>
      </c>
      <c r="D1575" s="35" t="s">
        <v>107</v>
      </c>
      <c r="E1575" s="36">
        <v>0.67</v>
      </c>
      <c r="F1575" s="30">
        <v>3.1159999999999997</v>
      </c>
      <c r="G1575" s="33">
        <f t="shared" si="148"/>
        <v>2.08772</v>
      </c>
      <c r="H1575" s="34"/>
      <c r="I1575" s="30"/>
      <c r="J1575" s="152">
        <v>110</v>
      </c>
      <c r="L1575" s="215">
        <v>0.67</v>
      </c>
      <c r="M1575" s="30">
        <v>2.6672959999999999</v>
      </c>
      <c r="N1575" s="33">
        <f t="shared" si="149"/>
        <v>1.7870883200000001</v>
      </c>
      <c r="O1575" s="34"/>
      <c r="P1575" s="36" t="str">
        <f t="shared" si="144"/>
        <v/>
      </c>
      <c r="Q1575" s="216">
        <f t="shared" si="145"/>
        <v>0.14399999999999991</v>
      </c>
      <c r="R1575" s="216">
        <f t="shared" si="146"/>
        <v>0.14400000000000002</v>
      </c>
      <c r="S1575" s="217" t="str">
        <f t="shared" si="147"/>
        <v/>
      </c>
    </row>
    <row r="1576" spans="1:19" x14ac:dyDescent="0.25">
      <c r="A1576" s="262"/>
      <c r="B1576" s="260"/>
      <c r="C1576" s="35" t="s">
        <v>346</v>
      </c>
      <c r="D1576" s="35" t="s">
        <v>69</v>
      </c>
      <c r="E1576" s="36">
        <v>0.8</v>
      </c>
      <c r="F1576" s="30">
        <v>5.0349999999999993</v>
      </c>
      <c r="G1576" s="33">
        <f t="shared" si="148"/>
        <v>4.0279999999999996</v>
      </c>
      <c r="H1576" s="34"/>
      <c r="I1576" s="30"/>
      <c r="J1576" s="152">
        <v>110</v>
      </c>
      <c r="L1576" s="215">
        <v>0.8</v>
      </c>
      <c r="M1576" s="30">
        <v>4.3099599999999993</v>
      </c>
      <c r="N1576" s="33">
        <f t="shared" si="149"/>
        <v>3.4479679999999995</v>
      </c>
      <c r="O1576" s="34"/>
      <c r="P1576" s="36" t="str">
        <f t="shared" si="144"/>
        <v/>
      </c>
      <c r="Q1576" s="216">
        <f t="shared" si="145"/>
        <v>0.14400000000000002</v>
      </c>
      <c r="R1576" s="216">
        <f t="shared" si="146"/>
        <v>0.14400000000000002</v>
      </c>
      <c r="S1576" s="217" t="str">
        <f t="shared" si="147"/>
        <v/>
      </c>
    </row>
    <row r="1577" spans="1:19" x14ac:dyDescent="0.25">
      <c r="A1577" s="262"/>
      <c r="B1577" s="260"/>
      <c r="C1577" s="35" t="s">
        <v>347</v>
      </c>
      <c r="D1577" s="35" t="s">
        <v>213</v>
      </c>
      <c r="E1577" s="36">
        <v>2.6633</v>
      </c>
      <c r="F1577" s="33">
        <v>0.30399999999999999</v>
      </c>
      <c r="G1577" s="33">
        <f t="shared" si="148"/>
        <v>0.80964320000000001</v>
      </c>
      <c r="H1577" s="34"/>
      <c r="I1577" s="30"/>
      <c r="J1577" s="152">
        <v>110</v>
      </c>
      <c r="L1577" s="215">
        <v>2.6633</v>
      </c>
      <c r="M1577" s="33">
        <v>0.26022400000000001</v>
      </c>
      <c r="N1577" s="33">
        <f t="shared" si="149"/>
        <v>0.69305457920000002</v>
      </c>
      <c r="O1577" s="34"/>
      <c r="P1577" s="36" t="str">
        <f t="shared" si="144"/>
        <v/>
      </c>
      <c r="Q1577" s="216">
        <f t="shared" si="145"/>
        <v>0.14399999999999991</v>
      </c>
      <c r="R1577" s="216">
        <f t="shared" si="146"/>
        <v>0.14400000000000002</v>
      </c>
      <c r="S1577" s="217" t="str">
        <f t="shared" si="147"/>
        <v/>
      </c>
    </row>
    <row r="1578" spans="1:19" x14ac:dyDescent="0.25">
      <c r="A1578" s="262"/>
      <c r="B1578" s="260"/>
      <c r="C1578" s="35" t="s">
        <v>348</v>
      </c>
      <c r="D1578" s="35" t="s">
        <v>107</v>
      </c>
      <c r="E1578" s="36">
        <v>2.6633</v>
      </c>
      <c r="F1578" s="30">
        <v>5.6999999999999995E-2</v>
      </c>
      <c r="G1578" s="33">
        <f t="shared" si="148"/>
        <v>0.15180809999999997</v>
      </c>
      <c r="H1578" s="34"/>
      <c r="I1578" s="30"/>
      <c r="J1578" s="152">
        <v>110</v>
      </c>
      <c r="L1578" s="215">
        <v>2.6633</v>
      </c>
      <c r="M1578" s="30">
        <v>4.8791999999999995E-2</v>
      </c>
      <c r="N1578" s="33">
        <f t="shared" si="149"/>
        <v>0.12994773359999998</v>
      </c>
      <c r="O1578" s="34"/>
      <c r="P1578" s="36" t="str">
        <f t="shared" si="144"/>
        <v/>
      </c>
      <c r="Q1578" s="216">
        <f t="shared" si="145"/>
        <v>0.14400000000000002</v>
      </c>
      <c r="R1578" s="216">
        <f t="shared" si="146"/>
        <v>0.14400000000000002</v>
      </c>
      <c r="S1578" s="217" t="str">
        <f t="shared" si="147"/>
        <v/>
      </c>
    </row>
    <row r="1579" spans="1:19" x14ac:dyDescent="0.25">
      <c r="A1579" s="262"/>
      <c r="B1579" s="260"/>
      <c r="C1579" s="35" t="s">
        <v>350</v>
      </c>
      <c r="D1579" s="35" t="s">
        <v>107</v>
      </c>
      <c r="E1579" s="36">
        <v>0.67</v>
      </c>
      <c r="F1579" s="30">
        <v>1.5864999999999998</v>
      </c>
      <c r="G1579" s="33">
        <f t="shared" si="148"/>
        <v>1.0629549999999999</v>
      </c>
      <c r="H1579" s="34"/>
      <c r="I1579" s="30"/>
      <c r="J1579" s="152">
        <v>110</v>
      </c>
      <c r="L1579" s="215">
        <v>0.67</v>
      </c>
      <c r="M1579" s="30">
        <v>1.3580439999999998</v>
      </c>
      <c r="N1579" s="33">
        <f t="shared" si="149"/>
        <v>0.90988947999999992</v>
      </c>
      <c r="O1579" s="34"/>
      <c r="P1579" s="36" t="str">
        <f t="shared" si="144"/>
        <v/>
      </c>
      <c r="Q1579" s="216">
        <f t="shared" si="145"/>
        <v>0.14400000000000002</v>
      </c>
      <c r="R1579" s="216">
        <f t="shared" si="146"/>
        <v>0.14400000000000002</v>
      </c>
      <c r="S1579" s="217" t="str">
        <f t="shared" si="147"/>
        <v/>
      </c>
    </row>
    <row r="1580" spans="1:19" x14ac:dyDescent="0.25">
      <c r="A1580" s="262"/>
      <c r="B1580" s="260"/>
      <c r="C1580" s="35" t="s">
        <v>351</v>
      </c>
      <c r="D1580" s="35" t="s">
        <v>16</v>
      </c>
      <c r="E1580" s="36">
        <v>1.33</v>
      </c>
      <c r="F1580" s="30">
        <v>0.28499999999999998</v>
      </c>
      <c r="G1580" s="33">
        <f t="shared" si="148"/>
        <v>0.37905</v>
      </c>
      <c r="H1580" s="34"/>
      <c r="I1580" s="30"/>
      <c r="J1580" s="152">
        <v>110</v>
      </c>
      <c r="L1580" s="215">
        <v>1.33</v>
      </c>
      <c r="M1580" s="30">
        <v>0.24395999999999998</v>
      </c>
      <c r="N1580" s="33">
        <f t="shared" si="149"/>
        <v>0.3244668</v>
      </c>
      <c r="O1580" s="34"/>
      <c r="P1580" s="36" t="str">
        <f t="shared" si="144"/>
        <v/>
      </c>
      <c r="Q1580" s="216">
        <f t="shared" si="145"/>
        <v>0.14400000000000002</v>
      </c>
      <c r="R1580" s="216">
        <f t="shared" si="146"/>
        <v>0.14400000000000002</v>
      </c>
      <c r="S1580" s="217" t="str">
        <f t="shared" si="147"/>
        <v/>
      </c>
    </row>
    <row r="1581" spans="1:19" x14ac:dyDescent="0.25">
      <c r="A1581" s="262"/>
      <c r="B1581" s="260"/>
      <c r="C1581" s="35" t="s">
        <v>396</v>
      </c>
      <c r="D1581" s="35" t="s">
        <v>107</v>
      </c>
      <c r="E1581" s="36">
        <v>0.33329999999999999</v>
      </c>
      <c r="F1581" s="30">
        <v>4.0185000000000004</v>
      </c>
      <c r="G1581" s="33">
        <f t="shared" si="148"/>
        <v>1.33936605</v>
      </c>
      <c r="H1581" s="34"/>
      <c r="I1581" s="30"/>
      <c r="J1581" s="152">
        <v>110</v>
      </c>
      <c r="L1581" s="215">
        <v>0.33329999999999999</v>
      </c>
      <c r="M1581" s="30">
        <v>3.4398360000000006</v>
      </c>
      <c r="N1581" s="33">
        <f t="shared" si="149"/>
        <v>1.1464973388000002</v>
      </c>
      <c r="O1581" s="34"/>
      <c r="P1581" s="36" t="str">
        <f t="shared" si="144"/>
        <v/>
      </c>
      <c r="Q1581" s="216">
        <f t="shared" si="145"/>
        <v>0.14399999999999991</v>
      </c>
      <c r="R1581" s="216">
        <f t="shared" si="146"/>
        <v>0.14399999999999991</v>
      </c>
      <c r="S1581" s="217" t="str">
        <f t="shared" si="147"/>
        <v/>
      </c>
    </row>
    <row r="1582" spans="1:19" x14ac:dyDescent="0.25">
      <c r="A1582" s="262"/>
      <c r="B1582" s="260"/>
      <c r="C1582" s="35" t="s">
        <v>397</v>
      </c>
      <c r="D1582" s="35" t="s">
        <v>69</v>
      </c>
      <c r="E1582" s="36">
        <v>1.05</v>
      </c>
      <c r="F1582" s="30">
        <v>16.434999999999999</v>
      </c>
      <c r="G1582" s="33">
        <f t="shared" si="148"/>
        <v>17.25675</v>
      </c>
      <c r="H1582" s="34"/>
      <c r="I1582" s="30"/>
      <c r="J1582" s="152">
        <v>110</v>
      </c>
      <c r="L1582" s="215">
        <v>1.05</v>
      </c>
      <c r="M1582" s="30">
        <v>14.068359999999998</v>
      </c>
      <c r="N1582" s="33">
        <f t="shared" si="149"/>
        <v>14.771777999999999</v>
      </c>
      <c r="O1582" s="34"/>
      <c r="P1582" s="36" t="str">
        <f t="shared" si="144"/>
        <v/>
      </c>
      <c r="Q1582" s="216">
        <f t="shared" si="145"/>
        <v>0.14400000000000002</v>
      </c>
      <c r="R1582" s="216">
        <f t="shared" si="146"/>
        <v>0.14400000000000002</v>
      </c>
      <c r="S1582" s="217" t="str">
        <f t="shared" si="147"/>
        <v/>
      </c>
    </row>
    <row r="1583" spans="1:19" ht="15.75" thickBot="1" x14ac:dyDescent="0.3">
      <c r="A1583" s="263"/>
      <c r="B1583" s="261"/>
      <c r="C1583" s="35"/>
      <c r="D1583" s="35"/>
      <c r="E1583" s="36"/>
      <c r="F1583" s="30" t="s">
        <v>416</v>
      </c>
      <c r="G1583" s="30" t="str">
        <f t="shared" si="148"/>
        <v/>
      </c>
      <c r="H1583" s="34"/>
      <c r="I1583" s="30"/>
      <c r="J1583" s="152">
        <v>110</v>
      </c>
      <c r="L1583" s="215"/>
      <c r="M1583" s="30"/>
      <c r="N1583" s="30" t="str">
        <f t="shared" si="149"/>
        <v/>
      </c>
      <c r="O1583" s="34"/>
      <c r="P1583" s="36" t="str">
        <f t="shared" si="144"/>
        <v/>
      </c>
      <c r="Q1583" s="216" t="str">
        <f t="shared" si="145"/>
        <v/>
      </c>
      <c r="R1583" s="216" t="str">
        <f t="shared" si="146"/>
        <v/>
      </c>
      <c r="S1583" s="217" t="str">
        <f t="shared" si="147"/>
        <v/>
      </c>
    </row>
    <row r="1584" spans="1:19" ht="15.75" hidden="1" thickBot="1" x14ac:dyDescent="0.3">
      <c r="A1584" s="256" t="s">
        <v>398</v>
      </c>
      <c r="B1584" s="259" t="str">
        <f>INDEX(Orçamentária!A:B,MATCH(Composições!A1584,Orçamentária!A:A,0),2)</f>
        <v xml:space="preserve">Espelho 4 x 2" </v>
      </c>
      <c r="C1584" s="40"/>
      <c r="D1584" s="25" t="s">
        <v>16</v>
      </c>
      <c r="E1584" s="26"/>
      <c r="F1584" s="41" t="s">
        <v>416</v>
      </c>
      <c r="G1584" s="27" t="str">
        <f t="shared" si="148"/>
        <v/>
      </c>
      <c r="H1584" s="28"/>
      <c r="I1584" s="29"/>
      <c r="J1584" s="152">
        <v>0</v>
      </c>
      <c r="L1584" s="218"/>
      <c r="M1584" s="41"/>
      <c r="N1584" s="27" t="str">
        <f t="shared" si="149"/>
        <v/>
      </c>
      <c r="O1584" s="28"/>
      <c r="P1584" s="36" t="str">
        <f t="shared" si="144"/>
        <v/>
      </c>
      <c r="Q1584" s="216" t="str">
        <f t="shared" si="145"/>
        <v/>
      </c>
      <c r="R1584" s="216" t="str">
        <f t="shared" si="146"/>
        <v/>
      </c>
      <c r="S1584" s="217" t="str">
        <f t="shared" si="147"/>
        <v/>
      </c>
    </row>
    <row r="1585" spans="1:19" ht="15.75" hidden="1" thickBot="1" x14ac:dyDescent="0.3">
      <c r="A1585" s="262"/>
      <c r="B1585" s="260"/>
      <c r="C1585" s="31"/>
      <c r="D1585" s="31"/>
      <c r="E1585" s="32"/>
      <c r="F1585" s="42" t="s">
        <v>416</v>
      </c>
      <c r="G1585" s="30" t="str">
        <f t="shared" si="148"/>
        <v/>
      </c>
      <c r="H1585" s="34"/>
      <c r="I1585" s="30"/>
      <c r="J1585" s="152">
        <v>0</v>
      </c>
      <c r="L1585" s="219"/>
      <c r="M1585" s="42"/>
      <c r="N1585" s="30" t="str">
        <f t="shared" si="149"/>
        <v/>
      </c>
      <c r="O1585" s="34"/>
      <c r="P1585" s="36" t="str">
        <f t="shared" si="144"/>
        <v/>
      </c>
      <c r="Q1585" s="216" t="str">
        <f t="shared" si="145"/>
        <v/>
      </c>
      <c r="R1585" s="216" t="str">
        <f t="shared" si="146"/>
        <v/>
      </c>
      <c r="S1585" s="217" t="str">
        <f t="shared" si="147"/>
        <v/>
      </c>
    </row>
    <row r="1586" spans="1:19" ht="26.25" hidden="1" thickBot="1" x14ac:dyDescent="0.3">
      <c r="A1586" s="262"/>
      <c r="B1586" s="260"/>
      <c r="C1586" s="35" t="s">
        <v>8158</v>
      </c>
      <c r="D1586" s="35" t="s">
        <v>213</v>
      </c>
      <c r="E1586" s="36">
        <v>1</v>
      </c>
      <c r="F1586" s="33">
        <v>3.2204999999999999</v>
      </c>
      <c r="G1586" s="33">
        <f t="shared" si="148"/>
        <v>3.2204999999999999</v>
      </c>
      <c r="H1586" s="38">
        <f>SUM(G1586:G1588)</f>
        <v>7.3419799999999995</v>
      </c>
      <c r="I1586" s="39"/>
      <c r="J1586" s="152">
        <v>0</v>
      </c>
      <c r="L1586" s="215">
        <v>1</v>
      </c>
      <c r="M1586" s="33">
        <v>2.756748</v>
      </c>
      <c r="N1586" s="33">
        <f t="shared" si="149"/>
        <v>2.756748</v>
      </c>
      <c r="O1586" s="38">
        <f>SUM(N1586:N1588)</f>
        <v>6.2847348799999994</v>
      </c>
      <c r="P1586" s="36" t="str">
        <f t="shared" si="144"/>
        <v/>
      </c>
      <c r="Q1586" s="216">
        <f t="shared" si="145"/>
        <v>0.14400000000000002</v>
      </c>
      <c r="R1586" s="216">
        <f t="shared" si="146"/>
        <v>0.14400000000000002</v>
      </c>
      <c r="S1586" s="217">
        <f t="shared" si="147"/>
        <v>0.14400000000000002</v>
      </c>
    </row>
    <row r="1587" spans="1:19" ht="39" hidden="1" thickBot="1" x14ac:dyDescent="0.3">
      <c r="A1587" s="262"/>
      <c r="B1587" s="260"/>
      <c r="C1587" s="35" t="s">
        <v>8377</v>
      </c>
      <c r="D1587" s="35" t="s">
        <v>213</v>
      </c>
      <c r="E1587" s="36">
        <v>1</v>
      </c>
      <c r="F1587" s="33">
        <v>1.6719999999999999</v>
      </c>
      <c r="G1587" s="33">
        <f t="shared" si="148"/>
        <v>1.6719999999999999</v>
      </c>
      <c r="H1587" s="34"/>
      <c r="I1587" s="30"/>
      <c r="J1587" s="152">
        <v>0</v>
      </c>
      <c r="L1587" s="215">
        <v>1</v>
      </c>
      <c r="M1587" s="33">
        <v>1.4312320000000001</v>
      </c>
      <c r="N1587" s="33">
        <f t="shared" si="149"/>
        <v>1.4312320000000001</v>
      </c>
      <c r="O1587" s="34"/>
      <c r="P1587" s="36" t="str">
        <f t="shared" si="144"/>
        <v/>
      </c>
      <c r="Q1587" s="216">
        <f t="shared" si="145"/>
        <v>0.14399999999999991</v>
      </c>
      <c r="R1587" s="216">
        <f t="shared" si="146"/>
        <v>0.14399999999999991</v>
      </c>
      <c r="S1587" s="217" t="str">
        <f t="shared" si="147"/>
        <v/>
      </c>
    </row>
    <row r="1588" spans="1:19" ht="15.75" hidden="1" thickBot="1" x14ac:dyDescent="0.3">
      <c r="A1588" s="262"/>
      <c r="B1588" s="260"/>
      <c r="C1588" s="35" t="s">
        <v>1018</v>
      </c>
      <c r="D1588" s="35" t="s">
        <v>583</v>
      </c>
      <c r="E1588" s="36">
        <v>8.7999999999999995E-2</v>
      </c>
      <c r="F1588" s="30">
        <v>27.835000000000001</v>
      </c>
      <c r="G1588" s="33">
        <f t="shared" si="148"/>
        <v>2.4494799999999999</v>
      </c>
      <c r="H1588" s="34"/>
      <c r="I1588" s="30"/>
      <c r="J1588" s="152">
        <v>0</v>
      </c>
      <c r="L1588" s="215">
        <v>8.7999999999999995E-2</v>
      </c>
      <c r="M1588" s="30">
        <v>23.82676</v>
      </c>
      <c r="N1588" s="33">
        <f t="shared" si="149"/>
        <v>2.0967548799999998</v>
      </c>
      <c r="O1588" s="34"/>
      <c r="P1588" s="36" t="str">
        <f t="shared" si="144"/>
        <v/>
      </c>
      <c r="Q1588" s="216">
        <f t="shared" si="145"/>
        <v>0.14400000000000002</v>
      </c>
      <c r="R1588" s="216">
        <f t="shared" si="146"/>
        <v>0.14400000000000002</v>
      </c>
      <c r="S1588" s="217" t="str">
        <f t="shared" si="147"/>
        <v/>
      </c>
    </row>
    <row r="1589" spans="1:19" ht="15.75" hidden="1" thickBot="1" x14ac:dyDescent="0.3">
      <c r="A1589" s="263"/>
      <c r="B1589" s="261"/>
      <c r="C1589" s="35"/>
      <c r="D1589" s="35"/>
      <c r="E1589" s="36"/>
      <c r="F1589" s="30" t="s">
        <v>416</v>
      </c>
      <c r="G1589" s="30" t="str">
        <f t="shared" si="148"/>
        <v/>
      </c>
      <c r="H1589" s="34"/>
      <c r="I1589" s="30"/>
      <c r="J1589" s="152">
        <v>0</v>
      </c>
      <c r="L1589" s="215"/>
      <c r="M1589" s="30"/>
      <c r="N1589" s="30" t="str">
        <f t="shared" si="149"/>
        <v/>
      </c>
      <c r="O1589" s="34"/>
      <c r="P1589" s="36" t="str">
        <f t="shared" si="144"/>
        <v/>
      </c>
      <c r="Q1589" s="216" t="str">
        <f t="shared" si="145"/>
        <v/>
      </c>
      <c r="R1589" s="216" t="str">
        <f t="shared" si="146"/>
        <v/>
      </c>
      <c r="S1589" s="217" t="str">
        <f t="shared" si="147"/>
        <v/>
      </c>
    </row>
    <row r="1590" spans="1:19" ht="15.75" hidden="1" thickBot="1" x14ac:dyDescent="0.3">
      <c r="A1590" s="256" t="s">
        <v>399</v>
      </c>
      <c r="B1590" s="259" t="str">
        <f>INDEX(Orçamentária!A:B,MATCH(Composições!A1590,Orçamentária!A:A,0),2)</f>
        <v xml:space="preserve">Espelho 4 x 4" </v>
      </c>
      <c r="C1590" s="40"/>
      <c r="D1590" s="25" t="s">
        <v>16</v>
      </c>
      <c r="E1590" s="26"/>
      <c r="F1590" s="41" t="s">
        <v>416</v>
      </c>
      <c r="G1590" s="27" t="str">
        <f t="shared" si="148"/>
        <v/>
      </c>
      <c r="H1590" s="28"/>
      <c r="I1590" s="29"/>
      <c r="J1590" s="152">
        <v>0</v>
      </c>
      <c r="L1590" s="218"/>
      <c r="M1590" s="41"/>
      <c r="N1590" s="27" t="str">
        <f t="shared" si="149"/>
        <v/>
      </c>
      <c r="O1590" s="28"/>
      <c r="P1590" s="36" t="str">
        <f t="shared" si="144"/>
        <v/>
      </c>
      <c r="Q1590" s="216" t="str">
        <f t="shared" si="145"/>
        <v/>
      </c>
      <c r="R1590" s="216" t="str">
        <f t="shared" si="146"/>
        <v/>
      </c>
      <c r="S1590" s="217" t="str">
        <f t="shared" si="147"/>
        <v/>
      </c>
    </row>
    <row r="1591" spans="1:19" ht="15.75" hidden="1" thickBot="1" x14ac:dyDescent="0.3">
      <c r="A1591" s="262"/>
      <c r="B1591" s="260"/>
      <c r="C1591" s="31"/>
      <c r="D1591" s="31"/>
      <c r="E1591" s="32"/>
      <c r="F1591" s="42" t="s">
        <v>416</v>
      </c>
      <c r="G1591" s="30" t="str">
        <f t="shared" si="148"/>
        <v/>
      </c>
      <c r="H1591" s="34"/>
      <c r="I1591" s="30"/>
      <c r="J1591" s="152">
        <v>0</v>
      </c>
      <c r="L1591" s="219"/>
      <c r="M1591" s="42"/>
      <c r="N1591" s="30" t="str">
        <f t="shared" si="149"/>
        <v/>
      </c>
      <c r="O1591" s="34"/>
      <c r="P1591" s="36" t="str">
        <f t="shared" si="144"/>
        <v/>
      </c>
      <c r="Q1591" s="216" t="str">
        <f t="shared" si="145"/>
        <v/>
      </c>
      <c r="R1591" s="216" t="str">
        <f t="shared" si="146"/>
        <v/>
      </c>
      <c r="S1591" s="217" t="str">
        <f t="shared" si="147"/>
        <v/>
      </c>
    </row>
    <row r="1592" spans="1:19" ht="26.25" hidden="1" thickBot="1" x14ac:dyDescent="0.3">
      <c r="A1592" s="262"/>
      <c r="B1592" s="260"/>
      <c r="C1592" s="35" t="s">
        <v>8159</v>
      </c>
      <c r="D1592" s="35" t="s">
        <v>213</v>
      </c>
      <c r="E1592" s="36">
        <v>1</v>
      </c>
      <c r="F1592" s="33">
        <v>6.5359999999999996</v>
      </c>
      <c r="G1592" s="30">
        <f t="shared" si="148"/>
        <v>6.5359999999999996</v>
      </c>
      <c r="H1592" s="38">
        <f>SUM(G1592:G1594)</f>
        <v>12.166839999999999</v>
      </c>
      <c r="I1592" s="39"/>
      <c r="J1592" s="152">
        <v>0</v>
      </c>
      <c r="L1592" s="215">
        <v>1</v>
      </c>
      <c r="M1592" s="33">
        <v>5.5948159999999998</v>
      </c>
      <c r="N1592" s="30">
        <f t="shared" si="149"/>
        <v>5.5948159999999998</v>
      </c>
      <c r="O1592" s="38">
        <f>SUM(N1592:N1594)</f>
        <v>10.414815039999999</v>
      </c>
      <c r="P1592" s="36" t="str">
        <f t="shared" si="144"/>
        <v/>
      </c>
      <c r="Q1592" s="216">
        <f t="shared" si="145"/>
        <v>0.14400000000000002</v>
      </c>
      <c r="R1592" s="216">
        <f t="shared" si="146"/>
        <v>0.14400000000000002</v>
      </c>
      <c r="S1592" s="217">
        <f t="shared" si="147"/>
        <v>0.14400000000000002</v>
      </c>
    </row>
    <row r="1593" spans="1:19" ht="39" hidden="1" thickBot="1" x14ac:dyDescent="0.3">
      <c r="A1593" s="262"/>
      <c r="B1593" s="260"/>
      <c r="C1593" s="35" t="s">
        <v>8378</v>
      </c>
      <c r="D1593" s="35" t="s">
        <v>213</v>
      </c>
      <c r="E1593" s="36">
        <v>1</v>
      </c>
      <c r="F1593" s="33">
        <v>2.7359999999999998</v>
      </c>
      <c r="G1593" s="33">
        <f t="shared" si="148"/>
        <v>2.7359999999999998</v>
      </c>
      <c r="H1593" s="34"/>
      <c r="I1593" s="30"/>
      <c r="J1593" s="152">
        <v>0</v>
      </c>
      <c r="L1593" s="215">
        <v>1</v>
      </c>
      <c r="M1593" s="33">
        <v>2.3420159999999997</v>
      </c>
      <c r="N1593" s="33">
        <f t="shared" si="149"/>
        <v>2.3420159999999997</v>
      </c>
      <c r="O1593" s="34"/>
      <c r="P1593" s="36" t="str">
        <f t="shared" si="144"/>
        <v/>
      </c>
      <c r="Q1593" s="216">
        <f t="shared" si="145"/>
        <v>0.14400000000000002</v>
      </c>
      <c r="R1593" s="216">
        <f t="shared" si="146"/>
        <v>0.14400000000000002</v>
      </c>
      <c r="S1593" s="217" t="str">
        <f t="shared" si="147"/>
        <v/>
      </c>
    </row>
    <row r="1594" spans="1:19" ht="15.75" hidden="1" thickBot="1" x14ac:dyDescent="0.3">
      <c r="A1594" s="262"/>
      <c r="B1594" s="260"/>
      <c r="C1594" s="35" t="s">
        <v>1018</v>
      </c>
      <c r="D1594" s="35" t="s">
        <v>583</v>
      </c>
      <c r="E1594" s="36">
        <v>0.104</v>
      </c>
      <c r="F1594" s="30">
        <v>27.835000000000001</v>
      </c>
      <c r="G1594" s="33">
        <f t="shared" si="148"/>
        <v>2.8948399999999999</v>
      </c>
      <c r="H1594" s="34"/>
      <c r="I1594" s="30"/>
      <c r="J1594" s="152">
        <v>0</v>
      </c>
      <c r="L1594" s="215">
        <v>0.104</v>
      </c>
      <c r="M1594" s="30">
        <v>23.82676</v>
      </c>
      <c r="N1594" s="33">
        <f t="shared" si="149"/>
        <v>2.4779830399999998</v>
      </c>
      <c r="O1594" s="34"/>
      <c r="P1594" s="36" t="str">
        <f t="shared" si="144"/>
        <v/>
      </c>
      <c r="Q1594" s="216">
        <f t="shared" si="145"/>
        <v>0.14400000000000002</v>
      </c>
      <c r="R1594" s="216">
        <f t="shared" si="146"/>
        <v>0.14400000000000002</v>
      </c>
      <c r="S1594" s="217" t="str">
        <f t="shared" si="147"/>
        <v/>
      </c>
    </row>
    <row r="1595" spans="1:19" ht="15.75" hidden="1" thickBot="1" x14ac:dyDescent="0.3">
      <c r="A1595" s="263"/>
      <c r="B1595" s="261"/>
      <c r="C1595" s="35"/>
      <c r="D1595" s="35"/>
      <c r="E1595" s="36"/>
      <c r="F1595" s="30" t="s">
        <v>416</v>
      </c>
      <c r="G1595" s="30" t="str">
        <f t="shared" si="148"/>
        <v/>
      </c>
      <c r="H1595" s="34"/>
      <c r="I1595" s="30"/>
      <c r="J1595" s="152">
        <v>0</v>
      </c>
      <c r="L1595" s="215"/>
      <c r="M1595" s="30"/>
      <c r="N1595" s="30" t="str">
        <f t="shared" si="149"/>
        <v/>
      </c>
      <c r="O1595" s="34"/>
      <c r="P1595" s="36" t="str">
        <f t="shared" si="144"/>
        <v/>
      </c>
      <c r="Q1595" s="216" t="str">
        <f t="shared" si="145"/>
        <v/>
      </c>
      <c r="R1595" s="216" t="str">
        <f t="shared" si="146"/>
        <v/>
      </c>
      <c r="S1595" s="217" t="str">
        <f t="shared" si="147"/>
        <v/>
      </c>
    </row>
    <row r="1596" spans="1:19" ht="15.75" hidden="1" thickBot="1" x14ac:dyDescent="0.3">
      <c r="A1596" s="256" t="s">
        <v>400</v>
      </c>
      <c r="B1596" s="259" t="str">
        <f>INDEX(Orçamentária!A:B,MATCH(Composições!A1596,Orçamentária!A:A,0),2)</f>
        <v>Espelho cego redondo</v>
      </c>
      <c r="C1596" s="40"/>
      <c r="D1596" s="25" t="s">
        <v>16</v>
      </c>
      <c r="E1596" s="26"/>
      <c r="F1596" s="41" t="s">
        <v>416</v>
      </c>
      <c r="G1596" s="27" t="str">
        <f t="shared" si="148"/>
        <v/>
      </c>
      <c r="H1596" s="28"/>
      <c r="I1596" s="29"/>
      <c r="J1596" s="152">
        <v>0</v>
      </c>
      <c r="L1596" s="218"/>
      <c r="M1596" s="41"/>
      <c r="N1596" s="27" t="str">
        <f t="shared" si="149"/>
        <v/>
      </c>
      <c r="O1596" s="28"/>
      <c r="P1596" s="36" t="str">
        <f t="shared" si="144"/>
        <v/>
      </c>
      <c r="Q1596" s="216" t="str">
        <f t="shared" si="145"/>
        <v/>
      </c>
      <c r="R1596" s="216" t="str">
        <f t="shared" si="146"/>
        <v/>
      </c>
      <c r="S1596" s="217" t="str">
        <f t="shared" si="147"/>
        <v/>
      </c>
    </row>
    <row r="1597" spans="1:19" ht="15.75" hidden="1" thickBot="1" x14ac:dyDescent="0.3">
      <c r="A1597" s="262"/>
      <c r="B1597" s="260"/>
      <c r="C1597" s="31"/>
      <c r="D1597" s="31"/>
      <c r="E1597" s="32"/>
      <c r="F1597" s="42" t="s">
        <v>416</v>
      </c>
      <c r="G1597" s="30" t="str">
        <f t="shared" si="148"/>
        <v/>
      </c>
      <c r="H1597" s="34"/>
      <c r="I1597" s="30"/>
      <c r="J1597" s="152">
        <v>0</v>
      </c>
      <c r="L1597" s="219"/>
      <c r="M1597" s="42"/>
      <c r="N1597" s="30" t="str">
        <f t="shared" si="149"/>
        <v/>
      </c>
      <c r="O1597" s="34"/>
      <c r="P1597" s="36" t="str">
        <f t="shared" si="144"/>
        <v/>
      </c>
      <c r="Q1597" s="216" t="str">
        <f t="shared" si="145"/>
        <v/>
      </c>
      <c r="R1597" s="216" t="str">
        <f t="shared" si="146"/>
        <v/>
      </c>
      <c r="S1597" s="217" t="str">
        <f t="shared" si="147"/>
        <v/>
      </c>
    </row>
    <row r="1598" spans="1:19" ht="15.75" hidden="1" thickBot="1" x14ac:dyDescent="0.3">
      <c r="A1598" s="262"/>
      <c r="B1598" s="260"/>
      <c r="C1598" s="35" t="s">
        <v>401</v>
      </c>
      <c r="D1598" s="35" t="s">
        <v>16</v>
      </c>
      <c r="E1598" s="36">
        <v>1</v>
      </c>
      <c r="F1598" s="33" t="s">
        <v>416</v>
      </c>
      <c r="G1598" s="30" t="str">
        <f t="shared" si="148"/>
        <v/>
      </c>
      <c r="H1598" s="38">
        <f>SUM(G1598:G1600)</f>
        <v>5.6308399999999992</v>
      </c>
      <c r="I1598" s="39"/>
      <c r="J1598" s="152">
        <v>0</v>
      </c>
      <c r="L1598" s="215">
        <v>1</v>
      </c>
      <c r="M1598" s="33"/>
      <c r="N1598" s="30" t="str">
        <f t="shared" si="149"/>
        <v/>
      </c>
      <c r="O1598" s="38">
        <f>SUM(N1598:N1600)</f>
        <v>4.819999039999999</v>
      </c>
      <c r="P1598" s="36" t="str">
        <f t="shared" si="144"/>
        <v/>
      </c>
      <c r="Q1598" s="216" t="str">
        <f t="shared" si="145"/>
        <v/>
      </c>
      <c r="R1598" s="216" t="str">
        <f t="shared" si="146"/>
        <v/>
      </c>
      <c r="S1598" s="217">
        <f t="shared" si="147"/>
        <v>0.14400000000000002</v>
      </c>
    </row>
    <row r="1599" spans="1:19" ht="39" hidden="1" thickBot="1" x14ac:dyDescent="0.3">
      <c r="A1599" s="262"/>
      <c r="B1599" s="260"/>
      <c r="C1599" s="35" t="s">
        <v>8378</v>
      </c>
      <c r="D1599" s="35" t="s">
        <v>213</v>
      </c>
      <c r="E1599" s="36">
        <v>1</v>
      </c>
      <c r="F1599" s="33">
        <v>2.7359999999999998</v>
      </c>
      <c r="G1599" s="33">
        <f t="shared" si="148"/>
        <v>2.7359999999999998</v>
      </c>
      <c r="H1599" s="34"/>
      <c r="I1599" s="30"/>
      <c r="J1599" s="152">
        <v>0</v>
      </c>
      <c r="L1599" s="215">
        <v>1</v>
      </c>
      <c r="M1599" s="33">
        <v>2.3420159999999997</v>
      </c>
      <c r="N1599" s="33">
        <f t="shared" si="149"/>
        <v>2.3420159999999997</v>
      </c>
      <c r="O1599" s="34"/>
      <c r="P1599" s="36" t="str">
        <f t="shared" si="144"/>
        <v/>
      </c>
      <c r="Q1599" s="216">
        <f t="shared" si="145"/>
        <v>0.14400000000000002</v>
      </c>
      <c r="R1599" s="216">
        <f t="shared" si="146"/>
        <v>0.14400000000000002</v>
      </c>
      <c r="S1599" s="217" t="str">
        <f t="shared" si="147"/>
        <v/>
      </c>
    </row>
    <row r="1600" spans="1:19" ht="15.75" hidden="1" thickBot="1" x14ac:dyDescent="0.3">
      <c r="A1600" s="262"/>
      <c r="B1600" s="260"/>
      <c r="C1600" s="35" t="s">
        <v>1018</v>
      </c>
      <c r="D1600" s="35" t="s">
        <v>583</v>
      </c>
      <c r="E1600" s="36">
        <v>0.104</v>
      </c>
      <c r="F1600" s="30">
        <v>27.835000000000001</v>
      </c>
      <c r="G1600" s="33">
        <f t="shared" si="148"/>
        <v>2.8948399999999999</v>
      </c>
      <c r="H1600" s="34"/>
      <c r="I1600" s="30"/>
      <c r="J1600" s="152">
        <v>0</v>
      </c>
      <c r="L1600" s="215">
        <v>0.104</v>
      </c>
      <c r="M1600" s="30">
        <v>23.82676</v>
      </c>
      <c r="N1600" s="33">
        <f t="shared" si="149"/>
        <v>2.4779830399999998</v>
      </c>
      <c r="O1600" s="34"/>
      <c r="P1600" s="36" t="str">
        <f t="shared" si="144"/>
        <v/>
      </c>
      <c r="Q1600" s="216">
        <f t="shared" si="145"/>
        <v>0.14400000000000002</v>
      </c>
      <c r="R1600" s="216">
        <f t="shared" si="146"/>
        <v>0.14400000000000002</v>
      </c>
      <c r="S1600" s="217" t="str">
        <f t="shared" si="147"/>
        <v/>
      </c>
    </row>
    <row r="1601" spans="1:19" ht="15.75" hidden="1" thickBot="1" x14ac:dyDescent="0.3">
      <c r="A1601" s="263"/>
      <c r="B1601" s="261"/>
      <c r="C1601" s="35"/>
      <c r="D1601" s="35"/>
      <c r="E1601" s="36"/>
      <c r="F1601" s="30" t="s">
        <v>416</v>
      </c>
      <c r="G1601" s="30" t="str">
        <f t="shared" si="148"/>
        <v/>
      </c>
      <c r="H1601" s="34"/>
      <c r="I1601" s="30"/>
      <c r="J1601" s="152">
        <v>0</v>
      </c>
      <c r="L1601" s="215"/>
      <c r="M1601" s="30"/>
      <c r="N1601" s="30" t="str">
        <f t="shared" si="149"/>
        <v/>
      </c>
      <c r="O1601" s="34"/>
      <c r="P1601" s="36" t="str">
        <f t="shared" si="144"/>
        <v/>
      </c>
      <c r="Q1601" s="216" t="str">
        <f t="shared" si="145"/>
        <v/>
      </c>
      <c r="R1601" s="216" t="str">
        <f t="shared" si="146"/>
        <v/>
      </c>
      <c r="S1601" s="217" t="str">
        <f t="shared" si="147"/>
        <v/>
      </c>
    </row>
    <row r="1602" spans="1:19" ht="15.75" thickBot="1" x14ac:dyDescent="0.3">
      <c r="A1602" s="256" t="s">
        <v>402</v>
      </c>
      <c r="B1602" s="259" t="str">
        <f>INDEX(Orçamentária!A:B,MATCH(Composições!A1602,Orçamentária!A:A,0),2)</f>
        <v>Interruptor para condulete</v>
      </c>
      <c r="C1602" s="40"/>
      <c r="D1602" s="25" t="s">
        <v>16</v>
      </c>
      <c r="E1602" s="26"/>
      <c r="F1602" s="41" t="s">
        <v>416</v>
      </c>
      <c r="G1602" s="27" t="str">
        <f t="shared" si="148"/>
        <v/>
      </c>
      <c r="H1602" s="28"/>
      <c r="I1602" s="29"/>
      <c r="J1602" s="152">
        <v>31</v>
      </c>
      <c r="L1602" s="218"/>
      <c r="M1602" s="41"/>
      <c r="N1602" s="27" t="str">
        <f t="shared" si="149"/>
        <v/>
      </c>
      <c r="O1602" s="28"/>
      <c r="P1602" s="36" t="str">
        <f t="shared" si="144"/>
        <v/>
      </c>
      <c r="Q1602" s="216" t="str">
        <f t="shared" si="145"/>
        <v/>
      </c>
      <c r="R1602" s="216" t="str">
        <f t="shared" si="146"/>
        <v/>
      </c>
      <c r="S1602" s="217" t="str">
        <f t="shared" si="147"/>
        <v/>
      </c>
    </row>
    <row r="1603" spans="1:19" x14ac:dyDescent="0.25">
      <c r="A1603" s="262"/>
      <c r="B1603" s="260"/>
      <c r="C1603" s="31"/>
      <c r="D1603" s="31"/>
      <c r="E1603" s="32"/>
      <c r="F1603" s="42" t="s">
        <v>416</v>
      </c>
      <c r="G1603" s="30" t="str">
        <f t="shared" si="148"/>
        <v/>
      </c>
      <c r="H1603" s="34"/>
      <c r="I1603" s="30"/>
      <c r="J1603" s="152">
        <v>31</v>
      </c>
      <c r="L1603" s="219"/>
      <c r="M1603" s="42"/>
      <c r="N1603" s="30" t="str">
        <f t="shared" si="149"/>
        <v/>
      </c>
      <c r="O1603" s="34"/>
      <c r="P1603" s="36" t="str">
        <f t="shared" si="144"/>
        <v/>
      </c>
      <c r="Q1603" s="216" t="str">
        <f t="shared" si="145"/>
        <v/>
      </c>
      <c r="R1603" s="216" t="str">
        <f t="shared" si="146"/>
        <v/>
      </c>
      <c r="S1603" s="217" t="str">
        <f t="shared" si="147"/>
        <v/>
      </c>
    </row>
    <row r="1604" spans="1:19" x14ac:dyDescent="0.25">
      <c r="A1604" s="262"/>
      <c r="B1604" s="260"/>
      <c r="C1604" s="35" t="s">
        <v>1018</v>
      </c>
      <c r="D1604" s="35" t="s">
        <v>583</v>
      </c>
      <c r="E1604" s="36">
        <f>0.3/2</f>
        <v>0.15</v>
      </c>
      <c r="F1604" s="30">
        <v>27.835000000000001</v>
      </c>
      <c r="G1604" s="33">
        <f t="shared" si="148"/>
        <v>4.1752500000000001</v>
      </c>
      <c r="H1604" s="38">
        <f>SUM(G1604:G1607)</f>
        <v>28.12285</v>
      </c>
      <c r="I1604" s="39"/>
      <c r="J1604" s="152">
        <v>31</v>
      </c>
      <c r="L1604" s="215">
        <v>0.15</v>
      </c>
      <c r="M1604" s="30">
        <v>23.82676</v>
      </c>
      <c r="N1604" s="33">
        <f t="shared" si="149"/>
        <v>3.574014</v>
      </c>
      <c r="O1604" s="38">
        <f>SUM(N1604:N1607)</f>
        <v>24.073159600000004</v>
      </c>
      <c r="P1604" s="36" t="str">
        <f t="shared" si="144"/>
        <v/>
      </c>
      <c r="Q1604" s="216">
        <f t="shared" si="145"/>
        <v>0.14400000000000002</v>
      </c>
      <c r="R1604" s="216">
        <f t="shared" si="146"/>
        <v>0.14400000000000002</v>
      </c>
      <c r="S1604" s="217">
        <f t="shared" si="147"/>
        <v>0.14399999999999991</v>
      </c>
    </row>
    <row r="1605" spans="1:19" x14ac:dyDescent="0.25">
      <c r="A1605" s="262"/>
      <c r="B1605" s="260"/>
      <c r="C1605" s="35" t="s">
        <v>1017</v>
      </c>
      <c r="D1605" s="35" t="s">
        <v>583</v>
      </c>
      <c r="E1605" s="36">
        <f>0.3/2</f>
        <v>0.15</v>
      </c>
      <c r="F1605" s="30">
        <v>21.584</v>
      </c>
      <c r="G1605" s="33">
        <f t="shared" si="148"/>
        <v>3.2376</v>
      </c>
      <c r="H1605" s="34"/>
      <c r="I1605" s="30"/>
      <c r="J1605" s="152">
        <v>31</v>
      </c>
      <c r="L1605" s="215">
        <v>0.15</v>
      </c>
      <c r="M1605" s="30">
        <v>18.475904</v>
      </c>
      <c r="N1605" s="33">
        <f t="shared" si="149"/>
        <v>2.7713855999999999</v>
      </c>
      <c r="O1605" s="34"/>
      <c r="P1605" s="36" t="str">
        <f t="shared" si="144"/>
        <v/>
      </c>
      <c r="Q1605" s="216">
        <f t="shared" si="145"/>
        <v>0.14400000000000002</v>
      </c>
      <c r="R1605" s="216">
        <f t="shared" si="146"/>
        <v>0.14400000000000002</v>
      </c>
      <c r="S1605" s="217" t="str">
        <f t="shared" si="147"/>
        <v/>
      </c>
    </row>
    <row r="1606" spans="1:19" ht="25.5" x14ac:dyDescent="0.25">
      <c r="A1606" s="262"/>
      <c r="B1606" s="260"/>
      <c r="C1606" s="35" t="s">
        <v>403</v>
      </c>
      <c r="D1606" s="35" t="s">
        <v>16</v>
      </c>
      <c r="E1606" s="36">
        <v>1</v>
      </c>
      <c r="F1606" s="33">
        <v>6.21</v>
      </c>
      <c r="G1606" s="33">
        <f t="shared" si="148"/>
        <v>6.21</v>
      </c>
      <c r="H1606" s="34"/>
      <c r="I1606" s="30"/>
      <c r="J1606" s="152">
        <v>31</v>
      </c>
      <c r="L1606" s="215">
        <v>1</v>
      </c>
      <c r="M1606" s="33">
        <v>5.31576</v>
      </c>
      <c r="N1606" s="33">
        <f t="shared" si="149"/>
        <v>5.31576</v>
      </c>
      <c r="O1606" s="34"/>
      <c r="P1606" s="36" t="str">
        <f t="shared" si="144"/>
        <v/>
      </c>
      <c r="Q1606" s="216">
        <f t="shared" si="145"/>
        <v>0.14400000000000002</v>
      </c>
      <c r="R1606" s="216">
        <f t="shared" si="146"/>
        <v>0.14400000000000002</v>
      </c>
      <c r="S1606" s="217" t="str">
        <f t="shared" si="147"/>
        <v/>
      </c>
    </row>
    <row r="1607" spans="1:19" ht="25.5" x14ac:dyDescent="0.25">
      <c r="A1607" s="262"/>
      <c r="B1607" s="260"/>
      <c r="C1607" s="35" t="s">
        <v>404</v>
      </c>
      <c r="D1607" s="35" t="s">
        <v>16</v>
      </c>
      <c r="E1607" s="36">
        <v>1</v>
      </c>
      <c r="F1607" s="33">
        <v>14.5</v>
      </c>
      <c r="G1607" s="30">
        <f t="shared" si="148"/>
        <v>14.5</v>
      </c>
      <c r="H1607" s="34"/>
      <c r="I1607" s="30"/>
      <c r="J1607" s="152">
        <v>31</v>
      </c>
      <c r="L1607" s="215">
        <v>1</v>
      </c>
      <c r="M1607" s="33">
        <v>12.412000000000001</v>
      </c>
      <c r="N1607" s="30">
        <f t="shared" si="149"/>
        <v>12.412000000000001</v>
      </c>
      <c r="O1607" s="34"/>
      <c r="P1607" s="36" t="str">
        <f t="shared" si="144"/>
        <v/>
      </c>
      <c r="Q1607" s="216">
        <f t="shared" si="145"/>
        <v>0.14399999999999991</v>
      </c>
      <c r="R1607" s="216">
        <f t="shared" si="146"/>
        <v>0.14399999999999991</v>
      </c>
      <c r="S1607" s="217" t="str">
        <f t="shared" si="147"/>
        <v/>
      </c>
    </row>
    <row r="1608" spans="1:19" ht="15.75" thickBot="1" x14ac:dyDescent="0.3">
      <c r="A1608" s="263"/>
      <c r="B1608" s="261"/>
      <c r="C1608" s="35"/>
      <c r="D1608" s="35"/>
      <c r="E1608" s="36"/>
      <c r="F1608" s="30" t="s">
        <v>416</v>
      </c>
      <c r="G1608" s="30" t="str">
        <f t="shared" si="148"/>
        <v/>
      </c>
      <c r="H1608" s="34"/>
      <c r="I1608" s="30"/>
      <c r="J1608" s="152">
        <v>31</v>
      </c>
      <c r="L1608" s="215"/>
      <c r="M1608" s="30"/>
      <c r="N1608" s="30" t="str">
        <f t="shared" si="149"/>
        <v/>
      </c>
      <c r="O1608" s="34"/>
      <c r="P1608" s="36" t="str">
        <f t="shared" ref="P1608:P1671" si="150">IF(ISBLANK(L1608),"",IF($E1608&lt;&gt;L1608,"SIM",""))</f>
        <v/>
      </c>
      <c r="Q1608" s="216" t="str">
        <f t="shared" ref="Q1608:Q1671" si="151">IF(M1608="","",1-M1608/$F1608)</f>
        <v/>
      </c>
      <c r="R1608" s="216" t="str">
        <f t="shared" ref="R1608:R1671" si="152">IF(N1608="","",1-N1608/$G1608)</f>
        <v/>
      </c>
      <c r="S1608" s="217" t="str">
        <f t="shared" ref="S1608:S1671" si="153">IF(O1608="","",1-O1608/$H1608)</f>
        <v/>
      </c>
    </row>
    <row r="1609" spans="1:19" ht="15.75" hidden="1" thickBot="1" x14ac:dyDescent="0.3">
      <c r="A1609" s="256" t="s">
        <v>405</v>
      </c>
      <c r="B1609" s="259" t="str">
        <f>INDEX(Orçamentária!A:B,MATCH(Composições!A1609,Orçamentária!A:A,0),2)</f>
        <v>Módulo cego</v>
      </c>
      <c r="C1609" s="40"/>
      <c r="D1609" s="25" t="s">
        <v>16</v>
      </c>
      <c r="E1609" s="26"/>
      <c r="F1609" s="41" t="s">
        <v>416</v>
      </c>
      <c r="G1609" s="27" t="str">
        <f t="shared" si="148"/>
        <v/>
      </c>
      <c r="H1609" s="28"/>
      <c r="I1609" s="29"/>
      <c r="J1609" s="152">
        <v>0</v>
      </c>
      <c r="L1609" s="218"/>
      <c r="M1609" s="41"/>
      <c r="N1609" s="27" t="str">
        <f t="shared" si="149"/>
        <v/>
      </c>
      <c r="O1609" s="28"/>
      <c r="P1609" s="36" t="str">
        <f t="shared" si="150"/>
        <v/>
      </c>
      <c r="Q1609" s="216" t="str">
        <f t="shared" si="151"/>
        <v/>
      </c>
      <c r="R1609" s="216" t="str">
        <f t="shared" si="152"/>
        <v/>
      </c>
      <c r="S1609" s="217" t="str">
        <f t="shared" si="153"/>
        <v/>
      </c>
    </row>
    <row r="1610" spans="1:19" ht="15.75" hidden="1" thickBot="1" x14ac:dyDescent="0.3">
      <c r="A1610" s="262"/>
      <c r="B1610" s="260"/>
      <c r="C1610" s="31"/>
      <c r="D1610" s="31"/>
      <c r="E1610" s="32"/>
      <c r="F1610" s="42" t="s">
        <v>416</v>
      </c>
      <c r="G1610" s="30" t="str">
        <f t="shared" si="148"/>
        <v/>
      </c>
      <c r="H1610" s="34"/>
      <c r="I1610" s="30"/>
      <c r="J1610" s="152">
        <v>0</v>
      </c>
      <c r="L1610" s="219"/>
      <c r="M1610" s="42"/>
      <c r="N1610" s="30" t="str">
        <f t="shared" si="149"/>
        <v/>
      </c>
      <c r="O1610" s="34"/>
      <c r="P1610" s="36" t="str">
        <f t="shared" si="150"/>
        <v/>
      </c>
      <c r="Q1610" s="216" t="str">
        <f t="shared" si="151"/>
        <v/>
      </c>
      <c r="R1610" s="216" t="str">
        <f t="shared" si="152"/>
        <v/>
      </c>
      <c r="S1610" s="217" t="str">
        <f t="shared" si="153"/>
        <v/>
      </c>
    </row>
    <row r="1611" spans="1:19" ht="15.75" hidden="1" thickBot="1" x14ac:dyDescent="0.3">
      <c r="A1611" s="262"/>
      <c r="B1611" s="260"/>
      <c r="C1611" s="35" t="s">
        <v>1018</v>
      </c>
      <c r="D1611" s="35" t="s">
        <v>583</v>
      </c>
      <c r="E1611" s="36">
        <v>0.1</v>
      </c>
      <c r="F1611" s="30">
        <v>27.835000000000001</v>
      </c>
      <c r="G1611" s="33">
        <f t="shared" si="148"/>
        <v>2.7835000000000001</v>
      </c>
      <c r="H1611" s="38">
        <f>SUM(G1611:G1612)</f>
        <v>2.7835000000000001</v>
      </c>
      <c r="I1611" s="39"/>
      <c r="J1611" s="152">
        <v>0</v>
      </c>
      <c r="L1611" s="215">
        <v>0.1</v>
      </c>
      <c r="M1611" s="30">
        <v>23.82676</v>
      </c>
      <c r="N1611" s="33">
        <f t="shared" si="149"/>
        <v>2.382676</v>
      </c>
      <c r="O1611" s="38">
        <f>SUM(N1611:N1612)</f>
        <v>2.382676</v>
      </c>
      <c r="P1611" s="36" t="str">
        <f t="shared" si="150"/>
        <v/>
      </c>
      <c r="Q1611" s="216">
        <f t="shared" si="151"/>
        <v>0.14400000000000002</v>
      </c>
      <c r="R1611" s="216">
        <f t="shared" si="152"/>
        <v>0.14400000000000002</v>
      </c>
      <c r="S1611" s="217">
        <f t="shared" si="153"/>
        <v>0.14400000000000002</v>
      </c>
    </row>
    <row r="1612" spans="1:19" ht="15.75" hidden="1" thickBot="1" x14ac:dyDescent="0.3">
      <c r="A1612" s="262"/>
      <c r="B1612" s="260"/>
      <c r="C1612" s="35" t="s">
        <v>406</v>
      </c>
      <c r="D1612" s="35" t="s">
        <v>16</v>
      </c>
      <c r="E1612" s="36">
        <v>1</v>
      </c>
      <c r="F1612" s="33" t="s">
        <v>416</v>
      </c>
      <c r="G1612" s="30" t="str">
        <f t="shared" si="148"/>
        <v/>
      </c>
      <c r="H1612" s="34"/>
      <c r="I1612" s="30"/>
      <c r="J1612" s="152">
        <v>0</v>
      </c>
      <c r="L1612" s="215">
        <v>1</v>
      </c>
      <c r="M1612" s="33"/>
      <c r="N1612" s="30" t="str">
        <f t="shared" si="149"/>
        <v/>
      </c>
      <c r="O1612" s="34"/>
      <c r="P1612" s="36" t="str">
        <f t="shared" si="150"/>
        <v/>
      </c>
      <c r="Q1612" s="216" t="str">
        <f t="shared" si="151"/>
        <v/>
      </c>
      <c r="R1612" s="216" t="str">
        <f t="shared" si="152"/>
        <v/>
      </c>
      <c r="S1612" s="217" t="str">
        <f t="shared" si="153"/>
        <v/>
      </c>
    </row>
    <row r="1613" spans="1:19" ht="15.75" hidden="1" thickBot="1" x14ac:dyDescent="0.3">
      <c r="A1613" s="263"/>
      <c r="B1613" s="261"/>
      <c r="C1613" s="35"/>
      <c r="D1613" s="35"/>
      <c r="E1613" s="36"/>
      <c r="F1613" s="30" t="s">
        <v>416</v>
      </c>
      <c r="G1613" s="30" t="str">
        <f t="shared" si="148"/>
        <v/>
      </c>
      <c r="H1613" s="34"/>
      <c r="I1613" s="30"/>
      <c r="J1613" s="152">
        <v>0</v>
      </c>
      <c r="L1613" s="215"/>
      <c r="M1613" s="30"/>
      <c r="N1613" s="30" t="str">
        <f t="shared" si="149"/>
        <v/>
      </c>
      <c r="O1613" s="34"/>
      <c r="P1613" s="36" t="str">
        <f t="shared" si="150"/>
        <v/>
      </c>
      <c r="Q1613" s="216" t="str">
        <f t="shared" si="151"/>
        <v/>
      </c>
      <c r="R1613" s="216" t="str">
        <f t="shared" si="152"/>
        <v/>
      </c>
      <c r="S1613" s="217" t="str">
        <f t="shared" si="153"/>
        <v/>
      </c>
    </row>
    <row r="1614" spans="1:19" ht="15.75" hidden="1" thickBot="1" x14ac:dyDescent="0.3">
      <c r="A1614" s="256" t="s">
        <v>407</v>
      </c>
      <c r="B1614" s="259" t="str">
        <f>INDEX(Orçamentária!A:B,MATCH(Composições!A1614,Orçamentária!A:A,0),2)</f>
        <v>Módulo interruptor paralelo</v>
      </c>
      <c r="C1614" s="40"/>
      <c r="D1614" s="25" t="s">
        <v>16</v>
      </c>
      <c r="E1614" s="26"/>
      <c r="F1614" s="41" t="s">
        <v>416</v>
      </c>
      <c r="G1614" s="27" t="str">
        <f t="shared" si="148"/>
        <v/>
      </c>
      <c r="H1614" s="28"/>
      <c r="I1614" s="29"/>
      <c r="J1614" s="152">
        <v>0</v>
      </c>
      <c r="L1614" s="218"/>
      <c r="M1614" s="41"/>
      <c r="N1614" s="27" t="str">
        <f t="shared" si="149"/>
        <v/>
      </c>
      <c r="O1614" s="28"/>
      <c r="P1614" s="36" t="str">
        <f t="shared" si="150"/>
        <v/>
      </c>
      <c r="Q1614" s="216" t="str">
        <f t="shared" si="151"/>
        <v/>
      </c>
      <c r="R1614" s="216" t="str">
        <f t="shared" si="152"/>
        <v/>
      </c>
      <c r="S1614" s="217" t="str">
        <f t="shared" si="153"/>
        <v/>
      </c>
    </row>
    <row r="1615" spans="1:19" ht="15.75" hidden="1" thickBot="1" x14ac:dyDescent="0.3">
      <c r="A1615" s="262"/>
      <c r="B1615" s="260"/>
      <c r="C1615" s="31"/>
      <c r="D1615" s="31"/>
      <c r="E1615" s="32"/>
      <c r="F1615" s="42" t="s">
        <v>416</v>
      </c>
      <c r="G1615" s="30" t="str">
        <f t="shared" si="148"/>
        <v/>
      </c>
      <c r="H1615" s="34"/>
      <c r="I1615" s="30"/>
      <c r="J1615" s="152">
        <v>0</v>
      </c>
      <c r="L1615" s="219"/>
      <c r="M1615" s="42"/>
      <c r="N1615" s="30" t="str">
        <f t="shared" si="149"/>
        <v/>
      </c>
      <c r="O1615" s="34"/>
      <c r="P1615" s="36" t="str">
        <f t="shared" si="150"/>
        <v/>
      </c>
      <c r="Q1615" s="216" t="str">
        <f t="shared" si="151"/>
        <v/>
      </c>
      <c r="R1615" s="216" t="str">
        <f t="shared" si="152"/>
        <v/>
      </c>
      <c r="S1615" s="217" t="str">
        <f t="shared" si="153"/>
        <v/>
      </c>
    </row>
    <row r="1616" spans="1:19" ht="15.75" hidden="1" thickBot="1" x14ac:dyDescent="0.3">
      <c r="A1616" s="262"/>
      <c r="B1616" s="260"/>
      <c r="C1616" s="35" t="s">
        <v>8177</v>
      </c>
      <c r="D1616" s="35" t="s">
        <v>213</v>
      </c>
      <c r="E1616" s="36">
        <v>1</v>
      </c>
      <c r="F1616" s="33">
        <v>9.8895</v>
      </c>
      <c r="G1616" s="30">
        <f t="shared" si="148"/>
        <v>9.8895</v>
      </c>
      <c r="H1616" s="38">
        <f>SUM(G1616:G1618)</f>
        <v>25.110551999999998</v>
      </c>
      <c r="I1616" s="39"/>
      <c r="J1616" s="152">
        <v>0</v>
      </c>
      <c r="L1616" s="215">
        <v>1</v>
      </c>
      <c r="M1616" s="33">
        <v>8.4654120000000006</v>
      </c>
      <c r="N1616" s="30">
        <f t="shared" si="149"/>
        <v>8.4654120000000006</v>
      </c>
      <c r="O1616" s="38">
        <f>SUM(N1616:N1618)</f>
        <v>21.494632511999999</v>
      </c>
      <c r="P1616" s="36" t="str">
        <f t="shared" si="150"/>
        <v/>
      </c>
      <c r="Q1616" s="216">
        <f t="shared" si="151"/>
        <v>0.14399999999999991</v>
      </c>
      <c r="R1616" s="216">
        <f t="shared" si="152"/>
        <v>0.14399999999999991</v>
      </c>
      <c r="S1616" s="217">
        <f t="shared" si="153"/>
        <v>0.14400000000000002</v>
      </c>
    </row>
    <row r="1617" spans="1:19" ht="15.75" hidden="1" thickBot="1" x14ac:dyDescent="0.3">
      <c r="A1617" s="262"/>
      <c r="B1617" s="260"/>
      <c r="C1617" s="35" t="s">
        <v>1017</v>
      </c>
      <c r="D1617" s="35" t="s">
        <v>583</v>
      </c>
      <c r="E1617" s="36">
        <v>0.308</v>
      </c>
      <c r="F1617" s="30">
        <v>21.584</v>
      </c>
      <c r="G1617" s="33">
        <f t="shared" si="148"/>
        <v>6.6478719999999996</v>
      </c>
      <c r="H1617" s="34"/>
      <c r="I1617" s="30"/>
      <c r="J1617" s="152">
        <v>0</v>
      </c>
      <c r="L1617" s="215">
        <v>0.308</v>
      </c>
      <c r="M1617" s="30">
        <v>18.475904</v>
      </c>
      <c r="N1617" s="33">
        <f t="shared" si="149"/>
        <v>5.6905784319999997</v>
      </c>
      <c r="O1617" s="34"/>
      <c r="P1617" s="36" t="str">
        <f t="shared" si="150"/>
        <v/>
      </c>
      <c r="Q1617" s="216">
        <f t="shared" si="151"/>
        <v>0.14400000000000002</v>
      </c>
      <c r="R1617" s="216">
        <f t="shared" si="152"/>
        <v>0.14400000000000002</v>
      </c>
      <c r="S1617" s="217" t="str">
        <f t="shared" si="153"/>
        <v/>
      </c>
    </row>
    <row r="1618" spans="1:19" ht="15.75" hidden="1" thickBot="1" x14ac:dyDescent="0.3">
      <c r="A1618" s="262"/>
      <c r="B1618" s="260"/>
      <c r="C1618" s="35" t="s">
        <v>1018</v>
      </c>
      <c r="D1618" s="35" t="s">
        <v>583</v>
      </c>
      <c r="E1618" s="36">
        <v>0.308</v>
      </c>
      <c r="F1618" s="30">
        <v>27.835000000000001</v>
      </c>
      <c r="G1618" s="33">
        <f t="shared" si="148"/>
        <v>8.5731800000000007</v>
      </c>
      <c r="H1618" s="34"/>
      <c r="I1618" s="30"/>
      <c r="J1618" s="152">
        <v>0</v>
      </c>
      <c r="L1618" s="215">
        <v>0.308</v>
      </c>
      <c r="M1618" s="30">
        <v>23.82676</v>
      </c>
      <c r="N1618" s="33">
        <f t="shared" si="149"/>
        <v>7.3386420799999996</v>
      </c>
      <c r="O1618" s="34"/>
      <c r="P1618" s="36" t="str">
        <f t="shared" si="150"/>
        <v/>
      </c>
      <c r="Q1618" s="216">
        <f t="shared" si="151"/>
        <v>0.14400000000000002</v>
      </c>
      <c r="R1618" s="216">
        <f t="shared" si="152"/>
        <v>0.14400000000000013</v>
      </c>
      <c r="S1618" s="217" t="str">
        <f t="shared" si="153"/>
        <v/>
      </c>
    </row>
    <row r="1619" spans="1:19" ht="15.75" hidden="1" thickBot="1" x14ac:dyDescent="0.3">
      <c r="A1619" s="263"/>
      <c r="B1619" s="261"/>
      <c r="C1619" s="35"/>
      <c r="D1619" s="35"/>
      <c r="E1619" s="36"/>
      <c r="F1619" s="30" t="s">
        <v>416</v>
      </c>
      <c r="G1619" s="30" t="str">
        <f t="shared" ref="G1619:G1682" si="154">IF(ISNUMBER(F1619),E1619*F1619,"")</f>
        <v/>
      </c>
      <c r="H1619" s="34"/>
      <c r="I1619" s="30"/>
      <c r="J1619" s="152">
        <v>0</v>
      </c>
      <c r="L1619" s="215"/>
      <c r="M1619" s="30"/>
      <c r="N1619" s="30" t="str">
        <f t="shared" ref="N1619:N1682" si="155">IF(ISNUMBER(M1619),L1619*M1619,"")</f>
        <v/>
      </c>
      <c r="O1619" s="34"/>
      <c r="P1619" s="36" t="str">
        <f t="shared" si="150"/>
        <v/>
      </c>
      <c r="Q1619" s="216" t="str">
        <f t="shared" si="151"/>
        <v/>
      </c>
      <c r="R1619" s="216" t="str">
        <f t="shared" si="152"/>
        <v/>
      </c>
      <c r="S1619" s="217" t="str">
        <f t="shared" si="153"/>
        <v/>
      </c>
    </row>
    <row r="1620" spans="1:19" ht="15.75" hidden="1" thickBot="1" x14ac:dyDescent="0.3">
      <c r="A1620" s="256" t="s">
        <v>408</v>
      </c>
      <c r="B1620" s="259" t="str">
        <f>INDEX(Orçamentária!A:B,MATCH(Composições!A1620,Orçamentária!A:A,0),2)</f>
        <v>Módulo interruptor simples</v>
      </c>
      <c r="C1620" s="40"/>
      <c r="D1620" s="25" t="s">
        <v>16</v>
      </c>
      <c r="E1620" s="26"/>
      <c r="F1620" s="41" t="s">
        <v>416</v>
      </c>
      <c r="G1620" s="27" t="str">
        <f t="shared" si="154"/>
        <v/>
      </c>
      <c r="H1620" s="28"/>
      <c r="I1620" s="29"/>
      <c r="J1620" s="152">
        <v>0</v>
      </c>
      <c r="L1620" s="218"/>
      <c r="M1620" s="41"/>
      <c r="N1620" s="27" t="str">
        <f t="shared" si="155"/>
        <v/>
      </c>
      <c r="O1620" s="28"/>
      <c r="P1620" s="36" t="str">
        <f t="shared" si="150"/>
        <v/>
      </c>
      <c r="Q1620" s="216" t="str">
        <f t="shared" si="151"/>
        <v/>
      </c>
      <c r="R1620" s="216" t="str">
        <f t="shared" si="152"/>
        <v/>
      </c>
      <c r="S1620" s="217" t="str">
        <f t="shared" si="153"/>
        <v/>
      </c>
    </row>
    <row r="1621" spans="1:19" ht="15.75" hidden="1" thickBot="1" x14ac:dyDescent="0.3">
      <c r="A1621" s="262"/>
      <c r="B1621" s="260"/>
      <c r="C1621" s="31"/>
      <c r="D1621" s="31"/>
      <c r="E1621" s="32"/>
      <c r="F1621" s="42" t="s">
        <v>416</v>
      </c>
      <c r="G1621" s="30" t="str">
        <f t="shared" si="154"/>
        <v/>
      </c>
      <c r="H1621" s="34"/>
      <c r="I1621" s="30"/>
      <c r="J1621" s="152">
        <v>0</v>
      </c>
      <c r="L1621" s="219"/>
      <c r="M1621" s="42"/>
      <c r="N1621" s="30" t="str">
        <f t="shared" si="155"/>
        <v/>
      </c>
      <c r="O1621" s="34"/>
      <c r="P1621" s="36" t="str">
        <f t="shared" si="150"/>
        <v/>
      </c>
      <c r="Q1621" s="216" t="str">
        <f t="shared" si="151"/>
        <v/>
      </c>
      <c r="R1621" s="216" t="str">
        <f t="shared" si="152"/>
        <v/>
      </c>
      <c r="S1621" s="217" t="str">
        <f t="shared" si="153"/>
        <v/>
      </c>
    </row>
    <row r="1622" spans="1:19" ht="15.75" hidden="1" thickBot="1" x14ac:dyDescent="0.3">
      <c r="A1622" s="262"/>
      <c r="B1622" s="260"/>
      <c r="C1622" s="35" t="s">
        <v>8178</v>
      </c>
      <c r="D1622" s="35" t="s">
        <v>213</v>
      </c>
      <c r="E1622" s="36">
        <v>1</v>
      </c>
      <c r="F1622" s="33">
        <v>7.5904999999999996</v>
      </c>
      <c r="G1622" s="30">
        <f t="shared" si="154"/>
        <v>7.5904999999999996</v>
      </c>
      <c r="H1622" s="38">
        <f>SUM(G1622:G1624)</f>
        <v>18.709775</v>
      </c>
      <c r="I1622" s="39"/>
      <c r="J1622" s="152">
        <v>0</v>
      </c>
      <c r="L1622" s="215">
        <v>1</v>
      </c>
      <c r="M1622" s="33">
        <v>6.4974679999999996</v>
      </c>
      <c r="N1622" s="30">
        <f t="shared" si="155"/>
        <v>6.4974679999999996</v>
      </c>
      <c r="O1622" s="38">
        <f>SUM(N1622:N1624)</f>
        <v>16.015567400000002</v>
      </c>
      <c r="P1622" s="36" t="str">
        <f t="shared" si="150"/>
        <v/>
      </c>
      <c r="Q1622" s="216">
        <f t="shared" si="151"/>
        <v>0.14400000000000002</v>
      </c>
      <c r="R1622" s="216">
        <f t="shared" si="152"/>
        <v>0.14400000000000002</v>
      </c>
      <c r="S1622" s="217">
        <f t="shared" si="153"/>
        <v>0.14399999999999991</v>
      </c>
    </row>
    <row r="1623" spans="1:19" ht="15.75" hidden="1" thickBot="1" x14ac:dyDescent="0.3">
      <c r="A1623" s="262"/>
      <c r="B1623" s="260"/>
      <c r="C1623" s="35" t="s">
        <v>1017</v>
      </c>
      <c r="D1623" s="35" t="s">
        <v>583</v>
      </c>
      <c r="E1623" s="36">
        <v>0.22500000000000001</v>
      </c>
      <c r="F1623" s="30">
        <v>21.584</v>
      </c>
      <c r="G1623" s="33">
        <f t="shared" si="154"/>
        <v>4.8563999999999998</v>
      </c>
      <c r="H1623" s="34"/>
      <c r="I1623" s="30"/>
      <c r="J1623" s="152">
        <v>0</v>
      </c>
      <c r="L1623" s="215">
        <v>0.22500000000000001</v>
      </c>
      <c r="M1623" s="30">
        <v>18.475904</v>
      </c>
      <c r="N1623" s="33">
        <f t="shared" si="155"/>
        <v>4.1570784000000005</v>
      </c>
      <c r="O1623" s="34"/>
      <c r="P1623" s="36" t="str">
        <f t="shared" si="150"/>
        <v/>
      </c>
      <c r="Q1623" s="216">
        <f t="shared" si="151"/>
        <v>0.14400000000000002</v>
      </c>
      <c r="R1623" s="216">
        <f t="shared" si="152"/>
        <v>0.14399999999999991</v>
      </c>
      <c r="S1623" s="217" t="str">
        <f t="shared" si="153"/>
        <v/>
      </c>
    </row>
    <row r="1624" spans="1:19" ht="15.75" hidden="1" thickBot="1" x14ac:dyDescent="0.3">
      <c r="A1624" s="262"/>
      <c r="B1624" s="260"/>
      <c r="C1624" s="35" t="s">
        <v>1018</v>
      </c>
      <c r="D1624" s="35" t="s">
        <v>583</v>
      </c>
      <c r="E1624" s="36">
        <v>0.22500000000000001</v>
      </c>
      <c r="F1624" s="30">
        <v>27.835000000000001</v>
      </c>
      <c r="G1624" s="33">
        <f t="shared" si="154"/>
        <v>6.2628750000000002</v>
      </c>
      <c r="H1624" s="34"/>
      <c r="I1624" s="30"/>
      <c r="J1624" s="152">
        <v>0</v>
      </c>
      <c r="L1624" s="215">
        <v>0.22500000000000001</v>
      </c>
      <c r="M1624" s="30">
        <v>23.82676</v>
      </c>
      <c r="N1624" s="33">
        <f t="shared" si="155"/>
        <v>5.361021</v>
      </c>
      <c r="O1624" s="34"/>
      <c r="P1624" s="36" t="str">
        <f t="shared" si="150"/>
        <v/>
      </c>
      <c r="Q1624" s="216">
        <f t="shared" si="151"/>
        <v>0.14400000000000002</v>
      </c>
      <c r="R1624" s="216">
        <f t="shared" si="152"/>
        <v>0.14400000000000002</v>
      </c>
      <c r="S1624" s="217" t="str">
        <f t="shared" si="153"/>
        <v/>
      </c>
    </row>
    <row r="1625" spans="1:19" ht="15.75" hidden="1" thickBot="1" x14ac:dyDescent="0.3">
      <c r="A1625" s="263"/>
      <c r="B1625" s="261"/>
      <c r="C1625" s="35"/>
      <c r="D1625" s="35"/>
      <c r="E1625" s="36"/>
      <c r="F1625" s="30" t="s">
        <v>416</v>
      </c>
      <c r="G1625" s="30" t="str">
        <f t="shared" si="154"/>
        <v/>
      </c>
      <c r="H1625" s="34"/>
      <c r="I1625" s="30"/>
      <c r="J1625" s="152">
        <v>0</v>
      </c>
      <c r="L1625" s="215"/>
      <c r="M1625" s="30"/>
      <c r="N1625" s="30" t="str">
        <f t="shared" si="155"/>
        <v/>
      </c>
      <c r="O1625" s="34"/>
      <c r="P1625" s="36" t="str">
        <f t="shared" si="150"/>
        <v/>
      </c>
      <c r="Q1625" s="216" t="str">
        <f t="shared" si="151"/>
        <v/>
      </c>
      <c r="R1625" s="216" t="str">
        <f t="shared" si="152"/>
        <v/>
      </c>
      <c r="S1625" s="217" t="str">
        <f t="shared" si="153"/>
        <v/>
      </c>
    </row>
    <row r="1626" spans="1:19" ht="15.75" thickBot="1" x14ac:dyDescent="0.3">
      <c r="A1626" s="256" t="s">
        <v>409</v>
      </c>
      <c r="B1626" s="259" t="str">
        <f>INDEX(Orçamentária!A:B,MATCH(Composições!A1626,Orçamentária!A:A,0),2)</f>
        <v>Módulo para saída de fio</v>
      </c>
      <c r="C1626" s="40"/>
      <c r="D1626" s="25" t="s">
        <v>16</v>
      </c>
      <c r="E1626" s="26"/>
      <c r="F1626" s="41" t="s">
        <v>416</v>
      </c>
      <c r="G1626" s="27" t="str">
        <f t="shared" si="154"/>
        <v/>
      </c>
      <c r="H1626" s="28"/>
      <c r="I1626" s="29"/>
      <c r="J1626" s="152">
        <v>21</v>
      </c>
      <c r="L1626" s="218"/>
      <c r="M1626" s="41"/>
      <c r="N1626" s="27" t="str">
        <f t="shared" si="155"/>
        <v/>
      </c>
      <c r="O1626" s="28"/>
      <c r="P1626" s="36" t="str">
        <f t="shared" si="150"/>
        <v/>
      </c>
      <c r="Q1626" s="216" t="str">
        <f t="shared" si="151"/>
        <v/>
      </c>
      <c r="R1626" s="216" t="str">
        <f t="shared" si="152"/>
        <v/>
      </c>
      <c r="S1626" s="217" t="str">
        <f t="shared" si="153"/>
        <v/>
      </c>
    </row>
    <row r="1627" spans="1:19" x14ac:dyDescent="0.25">
      <c r="A1627" s="262"/>
      <c r="B1627" s="260"/>
      <c r="C1627" s="31"/>
      <c r="D1627" s="31"/>
      <c r="E1627" s="32"/>
      <c r="F1627" s="42" t="s">
        <v>416</v>
      </c>
      <c r="G1627" s="30" t="str">
        <f t="shared" si="154"/>
        <v/>
      </c>
      <c r="H1627" s="34"/>
      <c r="I1627" s="30"/>
      <c r="J1627" s="152">
        <v>21</v>
      </c>
      <c r="L1627" s="219"/>
      <c r="M1627" s="42"/>
      <c r="N1627" s="30" t="str">
        <f t="shared" si="155"/>
        <v/>
      </c>
      <c r="O1627" s="34"/>
      <c r="P1627" s="36" t="str">
        <f t="shared" si="150"/>
        <v/>
      </c>
      <c r="Q1627" s="216" t="str">
        <f t="shared" si="151"/>
        <v/>
      </c>
      <c r="R1627" s="216" t="str">
        <f t="shared" si="152"/>
        <v/>
      </c>
      <c r="S1627" s="217" t="str">
        <f t="shared" si="153"/>
        <v/>
      </c>
    </row>
    <row r="1628" spans="1:19" x14ac:dyDescent="0.25">
      <c r="A1628" s="262"/>
      <c r="B1628" s="260"/>
      <c r="C1628" s="35" t="s">
        <v>1018</v>
      </c>
      <c r="D1628" s="35" t="s">
        <v>583</v>
      </c>
      <c r="E1628" s="36">
        <v>0.1</v>
      </c>
      <c r="F1628" s="30">
        <v>27.835000000000001</v>
      </c>
      <c r="G1628" s="33">
        <f t="shared" si="154"/>
        <v>2.7835000000000001</v>
      </c>
      <c r="H1628" s="38">
        <f>SUM(G1628:G1629)</f>
        <v>5.5335000000000001</v>
      </c>
      <c r="I1628" s="39"/>
      <c r="J1628" s="152">
        <v>21</v>
      </c>
      <c r="L1628" s="215">
        <v>0.1</v>
      </c>
      <c r="M1628" s="30">
        <v>23.82676</v>
      </c>
      <c r="N1628" s="33">
        <f t="shared" si="155"/>
        <v>2.382676</v>
      </c>
      <c r="O1628" s="38">
        <f>SUM(N1628:N1629)</f>
        <v>4.7366760000000001</v>
      </c>
      <c r="P1628" s="36" t="str">
        <f t="shared" si="150"/>
        <v/>
      </c>
      <c r="Q1628" s="216">
        <f t="shared" si="151"/>
        <v>0.14400000000000002</v>
      </c>
      <c r="R1628" s="216">
        <f t="shared" si="152"/>
        <v>0.14400000000000002</v>
      </c>
      <c r="S1628" s="217">
        <f t="shared" si="153"/>
        <v>0.14400000000000002</v>
      </c>
    </row>
    <row r="1629" spans="1:19" x14ac:dyDescent="0.25">
      <c r="A1629" s="262"/>
      <c r="B1629" s="260"/>
      <c r="C1629" s="35" t="s">
        <v>410</v>
      </c>
      <c r="D1629" s="35" t="s">
        <v>16</v>
      </c>
      <c r="E1629" s="36">
        <v>1</v>
      </c>
      <c r="F1629" s="33">
        <v>2.75</v>
      </c>
      <c r="G1629" s="30">
        <f t="shared" si="154"/>
        <v>2.75</v>
      </c>
      <c r="H1629" s="34"/>
      <c r="I1629" s="30"/>
      <c r="J1629" s="152">
        <v>21</v>
      </c>
      <c r="L1629" s="215">
        <v>1</v>
      </c>
      <c r="M1629" s="33">
        <v>2.3540000000000001</v>
      </c>
      <c r="N1629" s="30">
        <f t="shared" si="155"/>
        <v>2.3540000000000001</v>
      </c>
      <c r="O1629" s="34"/>
      <c r="P1629" s="36" t="str">
        <f t="shared" si="150"/>
        <v/>
      </c>
      <c r="Q1629" s="216">
        <f t="shared" si="151"/>
        <v>0.14400000000000002</v>
      </c>
      <c r="R1629" s="216">
        <f t="shared" si="152"/>
        <v>0.14400000000000002</v>
      </c>
      <c r="S1629" s="217" t="str">
        <f t="shared" si="153"/>
        <v/>
      </c>
    </row>
    <row r="1630" spans="1:19" ht="15.75" thickBot="1" x14ac:dyDescent="0.3">
      <c r="A1630" s="263"/>
      <c r="B1630" s="261"/>
      <c r="C1630" s="35"/>
      <c r="D1630" s="35"/>
      <c r="E1630" s="36"/>
      <c r="F1630" s="30" t="s">
        <v>416</v>
      </c>
      <c r="G1630" s="30" t="str">
        <f t="shared" si="154"/>
        <v/>
      </c>
      <c r="H1630" s="34"/>
      <c r="I1630" s="30"/>
      <c r="J1630" s="152">
        <v>21</v>
      </c>
      <c r="L1630" s="215"/>
      <c r="M1630" s="30"/>
      <c r="N1630" s="30" t="str">
        <f t="shared" si="155"/>
        <v/>
      </c>
      <c r="O1630" s="34"/>
      <c r="P1630" s="36" t="str">
        <f t="shared" si="150"/>
        <v/>
      </c>
      <c r="Q1630" s="216" t="str">
        <f t="shared" si="151"/>
        <v/>
      </c>
      <c r="R1630" s="216" t="str">
        <f t="shared" si="152"/>
        <v/>
      </c>
      <c r="S1630" s="217" t="str">
        <f t="shared" si="153"/>
        <v/>
      </c>
    </row>
    <row r="1631" spans="1:19" ht="15.75" hidden="1" thickBot="1" x14ac:dyDescent="0.3">
      <c r="A1631" s="256" t="s">
        <v>411</v>
      </c>
      <c r="B1631" s="259" t="str">
        <f>INDEX(Orçamentária!A:B,MATCH(Composições!A1631,Orçamentária!A:A,0),2)</f>
        <v>Módulo sensor de presença</v>
      </c>
      <c r="C1631" s="40"/>
      <c r="D1631" s="25" t="s">
        <v>16</v>
      </c>
      <c r="E1631" s="26"/>
      <c r="F1631" s="41" t="s">
        <v>416</v>
      </c>
      <c r="G1631" s="27" t="str">
        <f t="shared" si="154"/>
        <v/>
      </c>
      <c r="H1631" s="28"/>
      <c r="I1631" s="29"/>
      <c r="J1631" s="152">
        <v>0</v>
      </c>
      <c r="L1631" s="218"/>
      <c r="M1631" s="41"/>
      <c r="N1631" s="27" t="str">
        <f t="shared" si="155"/>
        <v/>
      </c>
      <c r="O1631" s="28"/>
      <c r="P1631" s="36" t="str">
        <f t="shared" si="150"/>
        <v/>
      </c>
      <c r="Q1631" s="216" t="str">
        <f t="shared" si="151"/>
        <v/>
      </c>
      <c r="R1631" s="216" t="str">
        <f t="shared" si="152"/>
        <v/>
      </c>
      <c r="S1631" s="217" t="str">
        <f t="shared" si="153"/>
        <v/>
      </c>
    </row>
    <row r="1632" spans="1:19" ht="15.75" hidden="1" thickBot="1" x14ac:dyDescent="0.3">
      <c r="A1632" s="262"/>
      <c r="B1632" s="260"/>
      <c r="C1632" s="31"/>
      <c r="D1632" s="31"/>
      <c r="E1632" s="32"/>
      <c r="F1632" s="42" t="s">
        <v>416</v>
      </c>
      <c r="G1632" s="30" t="str">
        <f t="shared" si="154"/>
        <v/>
      </c>
      <c r="H1632" s="34"/>
      <c r="I1632" s="30"/>
      <c r="J1632" s="152">
        <v>0</v>
      </c>
      <c r="L1632" s="219"/>
      <c r="M1632" s="42"/>
      <c r="N1632" s="30" t="str">
        <f t="shared" si="155"/>
        <v/>
      </c>
      <c r="O1632" s="34"/>
      <c r="P1632" s="36" t="str">
        <f t="shared" si="150"/>
        <v/>
      </c>
      <c r="Q1632" s="216" t="str">
        <f t="shared" si="151"/>
        <v/>
      </c>
      <c r="R1632" s="216" t="str">
        <f t="shared" si="152"/>
        <v/>
      </c>
      <c r="S1632" s="217" t="str">
        <f t="shared" si="153"/>
        <v/>
      </c>
    </row>
    <row r="1633" spans="1:19" ht="15.75" hidden="1" thickBot="1" x14ac:dyDescent="0.3">
      <c r="A1633" s="262"/>
      <c r="B1633" s="260"/>
      <c r="C1633" s="35" t="s">
        <v>1018</v>
      </c>
      <c r="D1633" s="35" t="s">
        <v>583</v>
      </c>
      <c r="E1633" s="36">
        <v>0.308</v>
      </c>
      <c r="F1633" s="30">
        <v>27.835000000000001</v>
      </c>
      <c r="G1633" s="33">
        <f t="shared" si="154"/>
        <v>8.5731800000000007</v>
      </c>
      <c r="H1633" s="38">
        <f>SUM(G1633:G1635)</f>
        <v>15.221052</v>
      </c>
      <c r="I1633" s="39"/>
      <c r="J1633" s="152">
        <v>0</v>
      </c>
      <c r="L1633" s="215">
        <v>0.308</v>
      </c>
      <c r="M1633" s="30">
        <v>23.82676</v>
      </c>
      <c r="N1633" s="33">
        <f t="shared" si="155"/>
        <v>7.3386420799999996</v>
      </c>
      <c r="O1633" s="38">
        <f>SUM(N1633:N1635)</f>
        <v>13.029220511999998</v>
      </c>
      <c r="P1633" s="36" t="str">
        <f t="shared" si="150"/>
        <v/>
      </c>
      <c r="Q1633" s="216">
        <f t="shared" si="151"/>
        <v>0.14400000000000002</v>
      </c>
      <c r="R1633" s="216">
        <f t="shared" si="152"/>
        <v>0.14400000000000013</v>
      </c>
      <c r="S1633" s="217">
        <f t="shared" si="153"/>
        <v>0.14400000000000013</v>
      </c>
    </row>
    <row r="1634" spans="1:19" ht="15.75" hidden="1" thickBot="1" x14ac:dyDescent="0.3">
      <c r="A1634" s="262"/>
      <c r="B1634" s="260"/>
      <c r="C1634" s="35" t="s">
        <v>1017</v>
      </c>
      <c r="D1634" s="35" t="s">
        <v>583</v>
      </c>
      <c r="E1634" s="36">
        <v>0.308</v>
      </c>
      <c r="F1634" s="30">
        <v>21.584</v>
      </c>
      <c r="G1634" s="33">
        <f t="shared" si="154"/>
        <v>6.6478719999999996</v>
      </c>
      <c r="H1634" s="44"/>
      <c r="I1634" s="45"/>
      <c r="J1634" s="152">
        <v>0</v>
      </c>
      <c r="L1634" s="215">
        <v>0.308</v>
      </c>
      <c r="M1634" s="30">
        <v>18.475904</v>
      </c>
      <c r="N1634" s="33">
        <f t="shared" si="155"/>
        <v>5.6905784319999997</v>
      </c>
      <c r="O1634" s="44"/>
      <c r="P1634" s="36" t="str">
        <f t="shared" si="150"/>
        <v/>
      </c>
      <c r="Q1634" s="216">
        <f t="shared" si="151"/>
        <v>0.14400000000000002</v>
      </c>
      <c r="R1634" s="216">
        <f t="shared" si="152"/>
        <v>0.14400000000000002</v>
      </c>
      <c r="S1634" s="217" t="str">
        <f t="shared" si="153"/>
        <v/>
      </c>
    </row>
    <row r="1635" spans="1:19" ht="15.75" hidden="1" thickBot="1" x14ac:dyDescent="0.3">
      <c r="A1635" s="262"/>
      <c r="B1635" s="260"/>
      <c r="C1635" s="35" t="s">
        <v>412</v>
      </c>
      <c r="D1635" s="35" t="s">
        <v>16</v>
      </c>
      <c r="E1635" s="36">
        <v>1</v>
      </c>
      <c r="F1635" s="33" t="s">
        <v>416</v>
      </c>
      <c r="G1635" s="30" t="str">
        <f t="shared" si="154"/>
        <v/>
      </c>
      <c r="H1635" s="34"/>
      <c r="I1635" s="30"/>
      <c r="J1635" s="152">
        <v>0</v>
      </c>
      <c r="L1635" s="215">
        <v>1</v>
      </c>
      <c r="M1635" s="33"/>
      <c r="N1635" s="30" t="str">
        <f t="shared" si="155"/>
        <v/>
      </c>
      <c r="O1635" s="34"/>
      <c r="P1635" s="36" t="str">
        <f t="shared" si="150"/>
        <v/>
      </c>
      <c r="Q1635" s="216" t="str">
        <f t="shared" si="151"/>
        <v/>
      </c>
      <c r="R1635" s="216" t="str">
        <f t="shared" si="152"/>
        <v/>
      </c>
      <c r="S1635" s="217" t="str">
        <f t="shared" si="153"/>
        <v/>
      </c>
    </row>
    <row r="1636" spans="1:19" ht="15.75" hidden="1" thickBot="1" x14ac:dyDescent="0.3">
      <c r="A1636" s="263"/>
      <c r="B1636" s="261"/>
      <c r="C1636" s="51"/>
      <c r="D1636" s="35"/>
      <c r="E1636" s="36"/>
      <c r="F1636" s="30" t="s">
        <v>416</v>
      </c>
      <c r="G1636" s="30" t="str">
        <f t="shared" si="154"/>
        <v/>
      </c>
      <c r="H1636" s="34"/>
      <c r="I1636" s="30"/>
      <c r="J1636" s="152">
        <v>0</v>
      </c>
      <c r="L1636" s="215"/>
      <c r="M1636" s="30"/>
      <c r="N1636" s="30" t="str">
        <f t="shared" si="155"/>
        <v/>
      </c>
      <c r="O1636" s="34"/>
      <c r="P1636" s="36" t="str">
        <f t="shared" si="150"/>
        <v/>
      </c>
      <c r="Q1636" s="216" t="str">
        <f t="shared" si="151"/>
        <v/>
      </c>
      <c r="R1636" s="216" t="str">
        <f t="shared" si="152"/>
        <v/>
      </c>
      <c r="S1636" s="217" t="str">
        <f t="shared" si="153"/>
        <v/>
      </c>
    </row>
    <row r="1637" spans="1:19" ht="15.75" hidden="1" thickBot="1" x14ac:dyDescent="0.3">
      <c r="A1637" s="256" t="s">
        <v>413</v>
      </c>
      <c r="B1637" s="259" t="str">
        <f>INDEX(Orçamentária!A:B,MATCH(Composições!A1637,Orçamentária!A:A,0),2)</f>
        <v>Módulo tomada 10 A</v>
      </c>
      <c r="C1637" s="40"/>
      <c r="D1637" s="25" t="s">
        <v>16</v>
      </c>
      <c r="E1637" s="26"/>
      <c r="F1637" s="41" t="s">
        <v>416</v>
      </c>
      <c r="G1637" s="27" t="str">
        <f t="shared" si="154"/>
        <v/>
      </c>
      <c r="H1637" s="28"/>
      <c r="I1637" s="29"/>
      <c r="J1637" s="152">
        <v>0</v>
      </c>
      <c r="L1637" s="218"/>
      <c r="M1637" s="41"/>
      <c r="N1637" s="27" t="str">
        <f t="shared" si="155"/>
        <v/>
      </c>
      <c r="O1637" s="28"/>
      <c r="P1637" s="36" t="str">
        <f t="shared" si="150"/>
        <v/>
      </c>
      <c r="Q1637" s="216" t="str">
        <f t="shared" si="151"/>
        <v/>
      </c>
      <c r="R1637" s="216" t="str">
        <f t="shared" si="152"/>
        <v/>
      </c>
      <c r="S1637" s="217" t="str">
        <f t="shared" si="153"/>
        <v/>
      </c>
    </row>
    <row r="1638" spans="1:19" ht="15.75" hidden="1" thickBot="1" x14ac:dyDescent="0.3">
      <c r="A1638" s="262"/>
      <c r="B1638" s="260"/>
      <c r="C1638" s="31"/>
      <c r="D1638" s="31"/>
      <c r="E1638" s="32"/>
      <c r="F1638" s="42" t="s">
        <v>416</v>
      </c>
      <c r="G1638" s="30" t="str">
        <f t="shared" si="154"/>
        <v/>
      </c>
      <c r="H1638" s="34"/>
      <c r="I1638" s="30"/>
      <c r="J1638" s="152">
        <v>0</v>
      </c>
      <c r="L1638" s="219"/>
      <c r="M1638" s="42"/>
      <c r="N1638" s="30" t="str">
        <f t="shared" si="155"/>
        <v/>
      </c>
      <c r="O1638" s="34"/>
      <c r="P1638" s="36" t="str">
        <f t="shared" si="150"/>
        <v/>
      </c>
      <c r="Q1638" s="216" t="str">
        <f t="shared" si="151"/>
        <v/>
      </c>
      <c r="R1638" s="216" t="str">
        <f t="shared" si="152"/>
        <v/>
      </c>
      <c r="S1638" s="217" t="str">
        <f t="shared" si="153"/>
        <v/>
      </c>
    </row>
    <row r="1639" spans="1:19" ht="15.75" hidden="1" thickBot="1" x14ac:dyDescent="0.3">
      <c r="A1639" s="262"/>
      <c r="B1639" s="260"/>
      <c r="C1639" s="35" t="s">
        <v>8521</v>
      </c>
      <c r="D1639" s="35" t="s">
        <v>213</v>
      </c>
      <c r="E1639" s="36">
        <v>1</v>
      </c>
      <c r="F1639" s="33">
        <v>8.6449999999999996</v>
      </c>
      <c r="G1639" s="30">
        <f t="shared" si="154"/>
        <v>8.6449999999999996</v>
      </c>
      <c r="H1639" s="38">
        <f>SUM(G1639:G1641)</f>
        <v>20.258465000000001</v>
      </c>
      <c r="I1639" s="39"/>
      <c r="J1639" s="152">
        <v>0</v>
      </c>
      <c r="L1639" s="215">
        <v>1</v>
      </c>
      <c r="M1639" s="33">
        <v>7.4001199999999994</v>
      </c>
      <c r="N1639" s="30">
        <f t="shared" si="155"/>
        <v>7.4001199999999994</v>
      </c>
      <c r="O1639" s="38">
        <f>SUM(N1639:N1641)</f>
        <v>17.341246040000001</v>
      </c>
      <c r="P1639" s="36" t="str">
        <f t="shared" si="150"/>
        <v/>
      </c>
      <c r="Q1639" s="216">
        <f t="shared" si="151"/>
        <v>0.14400000000000002</v>
      </c>
      <c r="R1639" s="216">
        <f t="shared" si="152"/>
        <v>0.14400000000000002</v>
      </c>
      <c r="S1639" s="217">
        <f t="shared" si="153"/>
        <v>0.14400000000000002</v>
      </c>
    </row>
    <row r="1640" spans="1:19" ht="15.75" hidden="1" thickBot="1" x14ac:dyDescent="0.3">
      <c r="A1640" s="262"/>
      <c r="B1640" s="260"/>
      <c r="C1640" s="35" t="s">
        <v>1017</v>
      </c>
      <c r="D1640" s="35" t="s">
        <v>583</v>
      </c>
      <c r="E1640" s="36">
        <v>0.23499999999999999</v>
      </c>
      <c r="F1640" s="30">
        <v>21.584</v>
      </c>
      <c r="G1640" s="33">
        <f t="shared" si="154"/>
        <v>5.0722399999999999</v>
      </c>
      <c r="H1640" s="34"/>
      <c r="I1640" s="30"/>
      <c r="J1640" s="152">
        <v>0</v>
      </c>
      <c r="L1640" s="215">
        <v>0.23499999999999999</v>
      </c>
      <c r="M1640" s="30">
        <v>18.475904</v>
      </c>
      <c r="N1640" s="33">
        <f t="shared" si="155"/>
        <v>4.3418374399999999</v>
      </c>
      <c r="O1640" s="34"/>
      <c r="P1640" s="36" t="str">
        <f t="shared" si="150"/>
        <v/>
      </c>
      <c r="Q1640" s="216">
        <f t="shared" si="151"/>
        <v>0.14400000000000002</v>
      </c>
      <c r="R1640" s="216">
        <f t="shared" si="152"/>
        <v>0.14400000000000002</v>
      </c>
      <c r="S1640" s="217" t="str">
        <f t="shared" si="153"/>
        <v/>
      </c>
    </row>
    <row r="1641" spans="1:19" ht="15.75" hidden="1" thickBot="1" x14ac:dyDescent="0.3">
      <c r="A1641" s="262"/>
      <c r="B1641" s="260"/>
      <c r="C1641" s="35" t="s">
        <v>1018</v>
      </c>
      <c r="D1641" s="35" t="s">
        <v>583</v>
      </c>
      <c r="E1641" s="36">
        <v>0.23499999999999999</v>
      </c>
      <c r="F1641" s="30">
        <v>27.835000000000001</v>
      </c>
      <c r="G1641" s="33">
        <f t="shared" si="154"/>
        <v>6.5412249999999998</v>
      </c>
      <c r="H1641" s="34"/>
      <c r="I1641" s="30"/>
      <c r="J1641" s="152">
        <v>0</v>
      </c>
      <c r="L1641" s="215">
        <v>0.23499999999999999</v>
      </c>
      <c r="M1641" s="30">
        <v>23.82676</v>
      </c>
      <c r="N1641" s="33">
        <f t="shared" si="155"/>
        <v>5.5992885999999995</v>
      </c>
      <c r="O1641" s="34"/>
      <c r="P1641" s="36" t="str">
        <f t="shared" si="150"/>
        <v/>
      </c>
      <c r="Q1641" s="216">
        <f t="shared" si="151"/>
        <v>0.14400000000000002</v>
      </c>
      <c r="R1641" s="216">
        <f t="shared" si="152"/>
        <v>0.14400000000000002</v>
      </c>
      <c r="S1641" s="217" t="str">
        <f t="shared" si="153"/>
        <v/>
      </c>
    </row>
    <row r="1642" spans="1:19" ht="15.75" hidden="1" thickBot="1" x14ac:dyDescent="0.3">
      <c r="A1642" s="263"/>
      <c r="B1642" s="261"/>
      <c r="C1642" s="35"/>
      <c r="D1642" s="35"/>
      <c r="E1642" s="36"/>
      <c r="F1642" s="30" t="s">
        <v>416</v>
      </c>
      <c r="G1642" s="30" t="str">
        <f t="shared" si="154"/>
        <v/>
      </c>
      <c r="H1642" s="34"/>
      <c r="I1642" s="30"/>
      <c r="J1642" s="152">
        <v>0</v>
      </c>
      <c r="L1642" s="215"/>
      <c r="M1642" s="30"/>
      <c r="N1642" s="30" t="str">
        <f t="shared" si="155"/>
        <v/>
      </c>
      <c r="O1642" s="34"/>
      <c r="P1642" s="36" t="str">
        <f t="shared" si="150"/>
        <v/>
      </c>
      <c r="Q1642" s="216" t="str">
        <f t="shared" si="151"/>
        <v/>
      </c>
      <c r="R1642" s="216" t="str">
        <f t="shared" si="152"/>
        <v/>
      </c>
      <c r="S1642" s="217" t="str">
        <f t="shared" si="153"/>
        <v/>
      </c>
    </row>
    <row r="1643" spans="1:19" ht="15.75" hidden="1" thickBot="1" x14ac:dyDescent="0.3">
      <c r="A1643" s="256" t="s">
        <v>414</v>
      </c>
      <c r="B1643" s="259" t="str">
        <f>INDEX(Orçamentária!A:B,MATCH(Composições!A1643,Orçamentária!A:A,0),2)</f>
        <v>Módulo tomada 20 A</v>
      </c>
      <c r="C1643" s="40"/>
      <c r="D1643" s="25" t="s">
        <v>16</v>
      </c>
      <c r="E1643" s="26"/>
      <c r="F1643" s="41" t="s">
        <v>416</v>
      </c>
      <c r="G1643" s="27" t="str">
        <f t="shared" si="154"/>
        <v/>
      </c>
      <c r="H1643" s="28"/>
      <c r="I1643" s="29"/>
      <c r="J1643" s="152">
        <v>0</v>
      </c>
      <c r="L1643" s="218"/>
      <c r="M1643" s="41"/>
      <c r="N1643" s="27" t="str">
        <f t="shared" si="155"/>
        <v/>
      </c>
      <c r="O1643" s="28"/>
      <c r="P1643" s="36" t="str">
        <f t="shared" si="150"/>
        <v/>
      </c>
      <c r="Q1643" s="216" t="str">
        <f t="shared" si="151"/>
        <v/>
      </c>
      <c r="R1643" s="216" t="str">
        <f t="shared" si="152"/>
        <v/>
      </c>
      <c r="S1643" s="217" t="str">
        <f t="shared" si="153"/>
        <v/>
      </c>
    </row>
    <row r="1644" spans="1:19" ht="15.75" hidden="1" thickBot="1" x14ac:dyDescent="0.3">
      <c r="A1644" s="262"/>
      <c r="B1644" s="260"/>
      <c r="C1644" s="31"/>
      <c r="D1644" s="31"/>
      <c r="E1644" s="32"/>
      <c r="F1644" s="42" t="s">
        <v>416</v>
      </c>
      <c r="G1644" s="30" t="str">
        <f t="shared" si="154"/>
        <v/>
      </c>
      <c r="H1644" s="34"/>
      <c r="I1644" s="30"/>
      <c r="J1644" s="152">
        <v>0</v>
      </c>
      <c r="L1644" s="219"/>
      <c r="M1644" s="42"/>
      <c r="N1644" s="30" t="str">
        <f t="shared" si="155"/>
        <v/>
      </c>
      <c r="O1644" s="34"/>
      <c r="P1644" s="36" t="str">
        <f t="shared" si="150"/>
        <v/>
      </c>
      <c r="Q1644" s="216" t="str">
        <f t="shared" si="151"/>
        <v/>
      </c>
      <c r="R1644" s="216" t="str">
        <f t="shared" si="152"/>
        <v/>
      </c>
      <c r="S1644" s="217" t="str">
        <f t="shared" si="153"/>
        <v/>
      </c>
    </row>
    <row r="1645" spans="1:19" ht="15.75" hidden="1" thickBot="1" x14ac:dyDescent="0.3">
      <c r="A1645" s="262"/>
      <c r="B1645" s="260"/>
      <c r="C1645" s="35" t="s">
        <v>8522</v>
      </c>
      <c r="D1645" s="35" t="s">
        <v>213</v>
      </c>
      <c r="E1645" s="36">
        <v>1</v>
      </c>
      <c r="F1645" s="33">
        <v>11.058</v>
      </c>
      <c r="G1645" s="30">
        <f t="shared" si="154"/>
        <v>11.058</v>
      </c>
      <c r="H1645" s="38">
        <f>SUM(G1645:G1647)</f>
        <v>22.671465000000001</v>
      </c>
      <c r="I1645" s="39"/>
      <c r="J1645" s="152">
        <v>0</v>
      </c>
      <c r="L1645" s="215">
        <v>1</v>
      </c>
      <c r="M1645" s="33">
        <v>9.4656479999999998</v>
      </c>
      <c r="N1645" s="30">
        <f t="shared" si="155"/>
        <v>9.4656479999999998</v>
      </c>
      <c r="O1645" s="38">
        <f>SUM(N1645:N1647)</f>
        <v>19.406774040000002</v>
      </c>
      <c r="P1645" s="36" t="str">
        <f t="shared" si="150"/>
        <v/>
      </c>
      <c r="Q1645" s="216">
        <f t="shared" si="151"/>
        <v>0.14400000000000002</v>
      </c>
      <c r="R1645" s="216">
        <f t="shared" si="152"/>
        <v>0.14400000000000002</v>
      </c>
      <c r="S1645" s="217">
        <f t="shared" si="153"/>
        <v>0.14400000000000002</v>
      </c>
    </row>
    <row r="1646" spans="1:19" ht="15.75" hidden="1" thickBot="1" x14ac:dyDescent="0.3">
      <c r="A1646" s="262"/>
      <c r="B1646" s="260"/>
      <c r="C1646" s="35" t="s">
        <v>1017</v>
      </c>
      <c r="D1646" s="35" t="s">
        <v>583</v>
      </c>
      <c r="E1646" s="36">
        <v>0.23499999999999999</v>
      </c>
      <c r="F1646" s="30">
        <v>21.584</v>
      </c>
      <c r="G1646" s="33">
        <f t="shared" si="154"/>
        <v>5.0722399999999999</v>
      </c>
      <c r="H1646" s="34"/>
      <c r="I1646" s="30"/>
      <c r="J1646" s="152">
        <v>0</v>
      </c>
      <c r="L1646" s="215">
        <v>0.23499999999999999</v>
      </c>
      <c r="M1646" s="30">
        <v>18.475904</v>
      </c>
      <c r="N1646" s="33">
        <f t="shared" si="155"/>
        <v>4.3418374399999999</v>
      </c>
      <c r="O1646" s="34"/>
      <c r="P1646" s="36" t="str">
        <f t="shared" si="150"/>
        <v/>
      </c>
      <c r="Q1646" s="216">
        <f t="shared" si="151"/>
        <v>0.14400000000000002</v>
      </c>
      <c r="R1646" s="216">
        <f t="shared" si="152"/>
        <v>0.14400000000000002</v>
      </c>
      <c r="S1646" s="217" t="str">
        <f t="shared" si="153"/>
        <v/>
      </c>
    </row>
    <row r="1647" spans="1:19" ht="15.75" hidden="1" thickBot="1" x14ac:dyDescent="0.3">
      <c r="A1647" s="262"/>
      <c r="B1647" s="260"/>
      <c r="C1647" s="35" t="s">
        <v>1018</v>
      </c>
      <c r="D1647" s="35" t="s">
        <v>583</v>
      </c>
      <c r="E1647" s="36">
        <v>0.23499999999999999</v>
      </c>
      <c r="F1647" s="30">
        <v>27.835000000000001</v>
      </c>
      <c r="G1647" s="33">
        <f t="shared" si="154"/>
        <v>6.5412249999999998</v>
      </c>
      <c r="H1647" s="34"/>
      <c r="I1647" s="30"/>
      <c r="J1647" s="152">
        <v>0</v>
      </c>
      <c r="L1647" s="215">
        <v>0.23499999999999999</v>
      </c>
      <c r="M1647" s="30">
        <v>23.82676</v>
      </c>
      <c r="N1647" s="33">
        <f t="shared" si="155"/>
        <v>5.5992885999999995</v>
      </c>
      <c r="O1647" s="34"/>
      <c r="P1647" s="36" t="str">
        <f t="shared" si="150"/>
        <v/>
      </c>
      <c r="Q1647" s="216">
        <f t="shared" si="151"/>
        <v>0.14400000000000002</v>
      </c>
      <c r="R1647" s="216">
        <f t="shared" si="152"/>
        <v>0.14400000000000002</v>
      </c>
      <c r="S1647" s="217" t="str">
        <f t="shared" si="153"/>
        <v/>
      </c>
    </row>
    <row r="1648" spans="1:19" ht="15.75" hidden="1" thickBot="1" x14ac:dyDescent="0.3">
      <c r="A1648" s="263"/>
      <c r="B1648" s="261"/>
      <c r="C1648" s="35"/>
      <c r="D1648" s="35"/>
      <c r="E1648" s="36"/>
      <c r="F1648" s="30" t="s">
        <v>416</v>
      </c>
      <c r="G1648" s="30" t="str">
        <f t="shared" si="154"/>
        <v/>
      </c>
      <c r="H1648" s="34"/>
      <c r="I1648" s="30"/>
      <c r="J1648" s="152">
        <v>0</v>
      </c>
      <c r="L1648" s="215"/>
      <c r="M1648" s="30"/>
      <c r="N1648" s="30" t="str">
        <f t="shared" si="155"/>
        <v/>
      </c>
      <c r="O1648" s="34"/>
      <c r="P1648" s="36" t="str">
        <f t="shared" si="150"/>
        <v/>
      </c>
      <c r="Q1648" s="216" t="str">
        <f t="shared" si="151"/>
        <v/>
      </c>
      <c r="R1648" s="216" t="str">
        <f t="shared" si="152"/>
        <v/>
      </c>
      <c r="S1648" s="217" t="str">
        <f t="shared" si="153"/>
        <v/>
      </c>
    </row>
    <row r="1649" spans="1:19" ht="15.75" hidden="1" thickBot="1" x14ac:dyDescent="0.3">
      <c r="A1649" s="256" t="s">
        <v>415</v>
      </c>
      <c r="B1649" s="259" t="str">
        <f>INDEX(Orçamentária!A:B,MATCH(Composições!A1649,Orçamentária!A:A,0),2)</f>
        <v>Porta equipamentos para canaleta de alumínio aparente</v>
      </c>
      <c r="C1649" s="40"/>
      <c r="D1649" s="25" t="s">
        <v>16</v>
      </c>
      <c r="E1649" s="26"/>
      <c r="F1649" s="41" t="s">
        <v>416</v>
      </c>
      <c r="G1649" s="27" t="str">
        <f t="shared" si="154"/>
        <v/>
      </c>
      <c r="H1649" s="28"/>
      <c r="I1649" s="29"/>
      <c r="J1649" s="152">
        <v>0</v>
      </c>
      <c r="L1649" s="218"/>
      <c r="M1649" s="41"/>
      <c r="N1649" s="27" t="str">
        <f t="shared" si="155"/>
        <v/>
      </c>
      <c r="O1649" s="28"/>
      <c r="P1649" s="36" t="str">
        <f t="shared" si="150"/>
        <v/>
      </c>
      <c r="Q1649" s="216" t="str">
        <f t="shared" si="151"/>
        <v/>
      </c>
      <c r="R1649" s="216" t="str">
        <f t="shared" si="152"/>
        <v/>
      </c>
      <c r="S1649" s="217" t="str">
        <f t="shared" si="153"/>
        <v/>
      </c>
    </row>
    <row r="1650" spans="1:19" ht="15.75" hidden="1" thickBot="1" x14ac:dyDescent="0.3">
      <c r="A1650" s="262"/>
      <c r="B1650" s="260"/>
      <c r="C1650" s="31"/>
      <c r="D1650" s="31"/>
      <c r="E1650" s="32"/>
      <c r="F1650" s="42" t="s">
        <v>416</v>
      </c>
      <c r="G1650" s="30" t="str">
        <f t="shared" si="154"/>
        <v/>
      </c>
      <c r="H1650" s="34"/>
      <c r="I1650" s="30"/>
      <c r="J1650" s="152">
        <v>0</v>
      </c>
      <c r="L1650" s="219"/>
      <c r="M1650" s="42"/>
      <c r="N1650" s="30" t="str">
        <f t="shared" si="155"/>
        <v/>
      </c>
      <c r="O1650" s="34"/>
      <c r="P1650" s="36" t="str">
        <f t="shared" si="150"/>
        <v/>
      </c>
      <c r="Q1650" s="216" t="str">
        <f t="shared" si="151"/>
        <v/>
      </c>
      <c r="R1650" s="216" t="str">
        <f t="shared" si="152"/>
        <v/>
      </c>
      <c r="S1650" s="217" t="str">
        <f t="shared" si="153"/>
        <v/>
      </c>
    </row>
    <row r="1651" spans="1:19" ht="15.75" hidden="1" thickBot="1" x14ac:dyDescent="0.3">
      <c r="A1651" s="262"/>
      <c r="B1651" s="260"/>
      <c r="C1651" s="35" t="s">
        <v>1017</v>
      </c>
      <c r="D1651" s="35" t="s">
        <v>583</v>
      </c>
      <c r="E1651" s="36">
        <f>0.35/2</f>
        <v>0.17499999999999999</v>
      </c>
      <c r="F1651" s="30">
        <v>21.584</v>
      </c>
      <c r="G1651" s="33">
        <f t="shared" si="154"/>
        <v>3.7771999999999997</v>
      </c>
      <c r="H1651" s="38">
        <f>SUM(G1651:G1653)</f>
        <v>8.6483249999999998</v>
      </c>
      <c r="I1651" s="39"/>
      <c r="J1651" s="152">
        <v>0</v>
      </c>
      <c r="L1651" s="215">
        <v>0.17499999999999999</v>
      </c>
      <c r="M1651" s="30">
        <v>18.475904</v>
      </c>
      <c r="N1651" s="33">
        <f t="shared" si="155"/>
        <v>3.2332831999999998</v>
      </c>
      <c r="O1651" s="38">
        <f>SUM(N1651:N1653)</f>
        <v>7.4029661999999998</v>
      </c>
      <c r="P1651" s="36" t="str">
        <f t="shared" si="150"/>
        <v/>
      </c>
      <c r="Q1651" s="216">
        <f t="shared" si="151"/>
        <v>0.14400000000000002</v>
      </c>
      <c r="R1651" s="216">
        <f t="shared" si="152"/>
        <v>0.14400000000000002</v>
      </c>
      <c r="S1651" s="217">
        <f t="shared" si="153"/>
        <v>0.14400000000000002</v>
      </c>
    </row>
    <row r="1652" spans="1:19" ht="15.75" hidden="1" thickBot="1" x14ac:dyDescent="0.3">
      <c r="A1652" s="262"/>
      <c r="B1652" s="260"/>
      <c r="C1652" s="35" t="s">
        <v>1018</v>
      </c>
      <c r="D1652" s="35" t="s">
        <v>583</v>
      </c>
      <c r="E1652" s="36">
        <f>0.35/2</f>
        <v>0.17499999999999999</v>
      </c>
      <c r="F1652" s="30">
        <v>27.835000000000001</v>
      </c>
      <c r="G1652" s="33">
        <f t="shared" si="154"/>
        <v>4.8711250000000001</v>
      </c>
      <c r="H1652" s="62" t="s">
        <v>416</v>
      </c>
      <c r="I1652" s="63"/>
      <c r="J1652" s="152">
        <v>0</v>
      </c>
      <c r="L1652" s="215">
        <v>0.17499999999999999</v>
      </c>
      <c r="M1652" s="30">
        <v>23.82676</v>
      </c>
      <c r="N1652" s="33">
        <f t="shared" si="155"/>
        <v>4.169683</v>
      </c>
      <c r="O1652" s="62" t="s">
        <v>416</v>
      </c>
      <c r="P1652" s="36" t="str">
        <f t="shared" si="150"/>
        <v/>
      </c>
      <c r="Q1652" s="216">
        <f t="shared" si="151"/>
        <v>0.14400000000000002</v>
      </c>
      <c r="R1652" s="216">
        <f t="shared" si="152"/>
        <v>0.14400000000000002</v>
      </c>
      <c r="S1652" s="217" t="str">
        <f t="shared" si="153"/>
        <v/>
      </c>
    </row>
    <row r="1653" spans="1:19" ht="15.75" hidden="1" thickBot="1" x14ac:dyDescent="0.3">
      <c r="A1653" s="262"/>
      <c r="B1653" s="260"/>
      <c r="C1653" s="35" t="s">
        <v>417</v>
      </c>
      <c r="D1653" s="35" t="s">
        <v>16</v>
      </c>
      <c r="E1653" s="36">
        <v>1</v>
      </c>
      <c r="F1653" s="33" t="s">
        <v>416</v>
      </c>
      <c r="G1653" s="33" t="str">
        <f t="shared" si="154"/>
        <v/>
      </c>
      <c r="H1653" s="34"/>
      <c r="I1653" s="30"/>
      <c r="J1653" s="152">
        <v>0</v>
      </c>
      <c r="L1653" s="215">
        <v>1</v>
      </c>
      <c r="M1653" s="33"/>
      <c r="N1653" s="33" t="str">
        <f t="shared" si="155"/>
        <v/>
      </c>
      <c r="O1653" s="34"/>
      <c r="P1653" s="36" t="str">
        <f t="shared" si="150"/>
        <v/>
      </c>
      <c r="Q1653" s="216" t="str">
        <f t="shared" si="151"/>
        <v/>
      </c>
      <c r="R1653" s="216" t="str">
        <f t="shared" si="152"/>
        <v/>
      </c>
      <c r="S1653" s="217" t="str">
        <f t="shared" si="153"/>
        <v/>
      </c>
    </row>
    <row r="1654" spans="1:19" ht="15.75" hidden="1" thickBot="1" x14ac:dyDescent="0.3">
      <c r="A1654" s="263"/>
      <c r="B1654" s="261"/>
      <c r="C1654" s="35"/>
      <c r="D1654" s="35"/>
      <c r="E1654" s="36"/>
      <c r="F1654" s="30" t="s">
        <v>416</v>
      </c>
      <c r="G1654" s="30" t="str">
        <f t="shared" si="154"/>
        <v/>
      </c>
      <c r="H1654" s="34"/>
      <c r="I1654" s="30"/>
      <c r="J1654" s="152">
        <v>0</v>
      </c>
      <c r="L1654" s="215"/>
      <c r="M1654" s="30"/>
      <c r="N1654" s="30" t="str">
        <f t="shared" si="155"/>
        <v/>
      </c>
      <c r="O1654" s="34"/>
      <c r="P1654" s="36" t="str">
        <f t="shared" si="150"/>
        <v/>
      </c>
      <c r="Q1654" s="216" t="str">
        <f t="shared" si="151"/>
        <v/>
      </c>
      <c r="R1654" s="216" t="str">
        <f t="shared" si="152"/>
        <v/>
      </c>
      <c r="S1654" s="217" t="str">
        <f t="shared" si="153"/>
        <v/>
      </c>
    </row>
    <row r="1655" spans="1:19" ht="15.75" hidden="1" thickBot="1" x14ac:dyDescent="0.3">
      <c r="A1655" s="256" t="s">
        <v>418</v>
      </c>
      <c r="B1655" s="259" t="str">
        <f>INDEX(Orçamentária!A:B,MATCH(Composições!A1655,Orçamentária!A:A,0),2)</f>
        <v>Tampa cega metálica para caixas de piso 4 x 2"</v>
      </c>
      <c r="C1655" s="40"/>
      <c r="D1655" s="25" t="s">
        <v>16</v>
      </c>
      <c r="E1655" s="26"/>
      <c r="F1655" s="41" t="s">
        <v>416</v>
      </c>
      <c r="G1655" s="27" t="str">
        <f t="shared" si="154"/>
        <v/>
      </c>
      <c r="H1655" s="28"/>
      <c r="I1655" s="29"/>
      <c r="J1655" s="152">
        <v>0</v>
      </c>
      <c r="L1655" s="218"/>
      <c r="M1655" s="41"/>
      <c r="N1655" s="27" t="str">
        <f t="shared" si="155"/>
        <v/>
      </c>
      <c r="O1655" s="28"/>
      <c r="P1655" s="36" t="str">
        <f t="shared" si="150"/>
        <v/>
      </c>
      <c r="Q1655" s="216" t="str">
        <f t="shared" si="151"/>
        <v/>
      </c>
      <c r="R1655" s="216" t="str">
        <f t="shared" si="152"/>
        <v/>
      </c>
      <c r="S1655" s="217" t="str">
        <f t="shared" si="153"/>
        <v/>
      </c>
    </row>
    <row r="1656" spans="1:19" ht="15.75" hidden="1" thickBot="1" x14ac:dyDescent="0.3">
      <c r="A1656" s="262"/>
      <c r="B1656" s="260"/>
      <c r="C1656" s="31"/>
      <c r="D1656" s="31"/>
      <c r="E1656" s="32"/>
      <c r="F1656" s="42" t="s">
        <v>416</v>
      </c>
      <c r="G1656" s="30" t="str">
        <f t="shared" si="154"/>
        <v/>
      </c>
      <c r="H1656" s="34"/>
      <c r="I1656" s="30"/>
      <c r="J1656" s="152">
        <v>0</v>
      </c>
      <c r="L1656" s="219"/>
      <c r="M1656" s="42"/>
      <c r="N1656" s="30" t="str">
        <f t="shared" si="155"/>
        <v/>
      </c>
      <c r="O1656" s="34"/>
      <c r="P1656" s="36" t="str">
        <f t="shared" si="150"/>
        <v/>
      </c>
      <c r="Q1656" s="216" t="str">
        <f t="shared" si="151"/>
        <v/>
      </c>
      <c r="R1656" s="216" t="str">
        <f t="shared" si="152"/>
        <v/>
      </c>
      <c r="S1656" s="217" t="str">
        <f t="shared" si="153"/>
        <v/>
      </c>
    </row>
    <row r="1657" spans="1:19" ht="15.75" hidden="1" thickBot="1" x14ac:dyDescent="0.3">
      <c r="A1657" s="262"/>
      <c r="B1657" s="260"/>
      <c r="C1657" s="35" t="s">
        <v>1017</v>
      </c>
      <c r="D1657" s="35" t="s">
        <v>583</v>
      </c>
      <c r="E1657" s="36">
        <v>0.1</v>
      </c>
      <c r="F1657" s="30">
        <v>21.584</v>
      </c>
      <c r="G1657" s="30">
        <f t="shared" si="154"/>
        <v>2.1583999999999999</v>
      </c>
      <c r="H1657" s="38">
        <f>SUM(G1657:G1658)</f>
        <v>2.1583999999999999</v>
      </c>
      <c r="I1657" s="39"/>
      <c r="J1657" s="152">
        <v>0</v>
      </c>
      <c r="L1657" s="215">
        <v>0.1</v>
      </c>
      <c r="M1657" s="30">
        <v>18.475904</v>
      </c>
      <c r="N1657" s="30">
        <f t="shared" si="155"/>
        <v>1.8475904000000001</v>
      </c>
      <c r="O1657" s="38">
        <f>SUM(N1657:N1658)</f>
        <v>1.8475904000000001</v>
      </c>
      <c r="P1657" s="36" t="str">
        <f t="shared" si="150"/>
        <v/>
      </c>
      <c r="Q1657" s="216">
        <f t="shared" si="151"/>
        <v>0.14400000000000002</v>
      </c>
      <c r="R1657" s="216">
        <f t="shared" si="152"/>
        <v>0.14399999999999991</v>
      </c>
      <c r="S1657" s="217">
        <f t="shared" si="153"/>
        <v>0.14399999999999991</v>
      </c>
    </row>
    <row r="1658" spans="1:19" ht="15.75" hidden="1" thickBot="1" x14ac:dyDescent="0.3">
      <c r="A1658" s="262"/>
      <c r="B1658" s="260"/>
      <c r="C1658" s="35" t="s">
        <v>419</v>
      </c>
      <c r="D1658" s="35" t="s">
        <v>16</v>
      </c>
      <c r="E1658" s="36">
        <v>1</v>
      </c>
      <c r="F1658" s="33" t="s">
        <v>416</v>
      </c>
      <c r="G1658" s="30" t="str">
        <f t="shared" si="154"/>
        <v/>
      </c>
      <c r="H1658" s="34"/>
      <c r="I1658" s="30"/>
      <c r="J1658" s="152">
        <v>0</v>
      </c>
      <c r="L1658" s="215">
        <v>1</v>
      </c>
      <c r="M1658" s="33"/>
      <c r="N1658" s="30" t="str">
        <f t="shared" si="155"/>
        <v/>
      </c>
      <c r="O1658" s="34"/>
      <c r="P1658" s="36" t="str">
        <f t="shared" si="150"/>
        <v/>
      </c>
      <c r="Q1658" s="216" t="str">
        <f t="shared" si="151"/>
        <v/>
      </c>
      <c r="R1658" s="216" t="str">
        <f t="shared" si="152"/>
        <v/>
      </c>
      <c r="S1658" s="217" t="str">
        <f t="shared" si="153"/>
        <v/>
      </c>
    </row>
    <row r="1659" spans="1:19" ht="15.75" hidden="1" thickBot="1" x14ac:dyDescent="0.3">
      <c r="A1659" s="263"/>
      <c r="B1659" s="261"/>
      <c r="C1659" s="35"/>
      <c r="D1659" s="35"/>
      <c r="E1659" s="36"/>
      <c r="F1659" s="30" t="s">
        <v>416</v>
      </c>
      <c r="G1659" s="30" t="str">
        <f t="shared" si="154"/>
        <v/>
      </c>
      <c r="H1659" s="34"/>
      <c r="I1659" s="30"/>
      <c r="J1659" s="152">
        <v>0</v>
      </c>
      <c r="L1659" s="215"/>
      <c r="M1659" s="30"/>
      <c r="N1659" s="30" t="str">
        <f t="shared" si="155"/>
        <v/>
      </c>
      <c r="O1659" s="34"/>
      <c r="P1659" s="36" t="str">
        <f t="shared" si="150"/>
        <v/>
      </c>
      <c r="Q1659" s="216" t="str">
        <f t="shared" si="151"/>
        <v/>
      </c>
      <c r="R1659" s="216" t="str">
        <f t="shared" si="152"/>
        <v/>
      </c>
      <c r="S1659" s="217" t="str">
        <f t="shared" si="153"/>
        <v/>
      </c>
    </row>
    <row r="1660" spans="1:19" ht="15.75" hidden="1" thickBot="1" x14ac:dyDescent="0.3">
      <c r="A1660" s="256" t="s">
        <v>420</v>
      </c>
      <c r="B1660" s="259" t="str">
        <f>INDEX(Orçamentária!A:B,MATCH(Composições!A1660,Orçamentária!A:A,0),2)</f>
        <v xml:space="preserve">Tampa cega metálica para caixas de piso 4 x 4" </v>
      </c>
      <c r="C1660" s="40"/>
      <c r="D1660" s="25" t="s">
        <v>16</v>
      </c>
      <c r="E1660" s="26"/>
      <c r="F1660" s="41" t="s">
        <v>416</v>
      </c>
      <c r="G1660" s="27" t="str">
        <f t="shared" si="154"/>
        <v/>
      </c>
      <c r="H1660" s="28"/>
      <c r="I1660" s="29"/>
      <c r="J1660" s="152">
        <v>0</v>
      </c>
      <c r="L1660" s="218"/>
      <c r="M1660" s="41"/>
      <c r="N1660" s="27" t="str">
        <f t="shared" si="155"/>
        <v/>
      </c>
      <c r="O1660" s="28"/>
      <c r="P1660" s="36" t="str">
        <f t="shared" si="150"/>
        <v/>
      </c>
      <c r="Q1660" s="216" t="str">
        <f t="shared" si="151"/>
        <v/>
      </c>
      <c r="R1660" s="216" t="str">
        <f t="shared" si="152"/>
        <v/>
      </c>
      <c r="S1660" s="217" t="str">
        <f t="shared" si="153"/>
        <v/>
      </c>
    </row>
    <row r="1661" spans="1:19" ht="15.75" hidden="1" thickBot="1" x14ac:dyDescent="0.3">
      <c r="A1661" s="262"/>
      <c r="B1661" s="260"/>
      <c r="C1661" s="31"/>
      <c r="D1661" s="31"/>
      <c r="E1661" s="32"/>
      <c r="F1661" s="42" t="s">
        <v>416</v>
      </c>
      <c r="G1661" s="30" t="str">
        <f t="shared" si="154"/>
        <v/>
      </c>
      <c r="H1661" s="34"/>
      <c r="I1661" s="30"/>
      <c r="J1661" s="152">
        <v>0</v>
      </c>
      <c r="L1661" s="219"/>
      <c r="M1661" s="42"/>
      <c r="N1661" s="30" t="str">
        <f t="shared" si="155"/>
        <v/>
      </c>
      <c r="O1661" s="34"/>
      <c r="P1661" s="36" t="str">
        <f t="shared" si="150"/>
        <v/>
      </c>
      <c r="Q1661" s="216" t="str">
        <f t="shared" si="151"/>
        <v/>
      </c>
      <c r="R1661" s="216" t="str">
        <f t="shared" si="152"/>
        <v/>
      </c>
      <c r="S1661" s="217" t="str">
        <f t="shared" si="153"/>
        <v/>
      </c>
    </row>
    <row r="1662" spans="1:19" ht="15.75" hidden="1" thickBot="1" x14ac:dyDescent="0.3">
      <c r="A1662" s="262"/>
      <c r="B1662" s="260"/>
      <c r="C1662" s="35" t="s">
        <v>1017</v>
      </c>
      <c r="D1662" s="35" t="s">
        <v>583</v>
      </c>
      <c r="E1662" s="36">
        <v>0.1</v>
      </c>
      <c r="F1662" s="30">
        <v>21.584</v>
      </c>
      <c r="G1662" s="30">
        <f t="shared" si="154"/>
        <v>2.1583999999999999</v>
      </c>
      <c r="H1662" s="38">
        <f>SUM(G1662:G1663)</f>
        <v>2.1583999999999999</v>
      </c>
      <c r="I1662" s="39"/>
      <c r="J1662" s="152">
        <v>0</v>
      </c>
      <c r="L1662" s="215">
        <v>0.1</v>
      </c>
      <c r="M1662" s="30">
        <v>18.475904</v>
      </c>
      <c r="N1662" s="30">
        <f t="shared" si="155"/>
        <v>1.8475904000000001</v>
      </c>
      <c r="O1662" s="38">
        <f>SUM(N1662:N1663)</f>
        <v>1.8475904000000001</v>
      </c>
      <c r="P1662" s="36" t="str">
        <f t="shared" si="150"/>
        <v/>
      </c>
      <c r="Q1662" s="216">
        <f t="shared" si="151"/>
        <v>0.14400000000000002</v>
      </c>
      <c r="R1662" s="216">
        <f t="shared" si="152"/>
        <v>0.14399999999999991</v>
      </c>
      <c r="S1662" s="217">
        <f t="shared" si="153"/>
        <v>0.14399999999999991</v>
      </c>
    </row>
    <row r="1663" spans="1:19" ht="15.75" hidden="1" thickBot="1" x14ac:dyDescent="0.3">
      <c r="A1663" s="262"/>
      <c r="B1663" s="260"/>
      <c r="C1663" s="35" t="s">
        <v>421</v>
      </c>
      <c r="D1663" s="35" t="s">
        <v>16</v>
      </c>
      <c r="E1663" s="36">
        <v>1</v>
      </c>
      <c r="F1663" s="33" t="s">
        <v>416</v>
      </c>
      <c r="G1663" s="30" t="str">
        <f t="shared" si="154"/>
        <v/>
      </c>
      <c r="H1663" s="34"/>
      <c r="I1663" s="30"/>
      <c r="J1663" s="152">
        <v>0</v>
      </c>
      <c r="L1663" s="215">
        <v>1</v>
      </c>
      <c r="M1663" s="33"/>
      <c r="N1663" s="30" t="str">
        <f t="shared" si="155"/>
        <v/>
      </c>
      <c r="O1663" s="34"/>
      <c r="P1663" s="36" t="str">
        <f t="shared" si="150"/>
        <v/>
      </c>
      <c r="Q1663" s="216" t="str">
        <f t="shared" si="151"/>
        <v/>
      </c>
      <c r="R1663" s="216" t="str">
        <f t="shared" si="152"/>
        <v/>
      </c>
      <c r="S1663" s="217" t="str">
        <f t="shared" si="153"/>
        <v/>
      </c>
    </row>
    <row r="1664" spans="1:19" ht="15.75" hidden="1" thickBot="1" x14ac:dyDescent="0.3">
      <c r="A1664" s="263"/>
      <c r="B1664" s="261"/>
      <c r="C1664" s="35"/>
      <c r="D1664" s="35"/>
      <c r="E1664" s="36"/>
      <c r="F1664" s="30" t="s">
        <v>416</v>
      </c>
      <c r="G1664" s="30" t="str">
        <f t="shared" si="154"/>
        <v/>
      </c>
      <c r="H1664" s="34"/>
      <c r="I1664" s="30"/>
      <c r="J1664" s="152">
        <v>0</v>
      </c>
      <c r="L1664" s="215"/>
      <c r="M1664" s="30"/>
      <c r="N1664" s="30" t="str">
        <f t="shared" si="155"/>
        <v/>
      </c>
      <c r="O1664" s="34"/>
      <c r="P1664" s="36" t="str">
        <f t="shared" si="150"/>
        <v/>
      </c>
      <c r="Q1664" s="216" t="str">
        <f t="shared" si="151"/>
        <v/>
      </c>
      <c r="R1664" s="216" t="str">
        <f t="shared" si="152"/>
        <v/>
      </c>
      <c r="S1664" s="217" t="str">
        <f t="shared" si="153"/>
        <v/>
      </c>
    </row>
    <row r="1665" spans="1:19" ht="15.75" hidden="1" thickBot="1" x14ac:dyDescent="0.3">
      <c r="A1665" s="256" t="s">
        <v>422</v>
      </c>
      <c r="B1665" s="259" t="str">
        <f>INDEX(Orçamentária!A:B,MATCH(Composições!A1665,Orçamentária!A:A,0),2)</f>
        <v>Tampa cega para condulete</v>
      </c>
      <c r="C1665" s="40"/>
      <c r="D1665" s="25" t="s">
        <v>16</v>
      </c>
      <c r="E1665" s="26"/>
      <c r="F1665" s="41" t="s">
        <v>416</v>
      </c>
      <c r="G1665" s="27" t="str">
        <f t="shared" si="154"/>
        <v/>
      </c>
      <c r="H1665" s="28"/>
      <c r="I1665" s="29"/>
      <c r="J1665" s="152">
        <v>0</v>
      </c>
      <c r="L1665" s="218"/>
      <c r="M1665" s="41"/>
      <c r="N1665" s="27" t="str">
        <f t="shared" si="155"/>
        <v/>
      </c>
      <c r="O1665" s="28"/>
      <c r="P1665" s="36" t="str">
        <f t="shared" si="150"/>
        <v/>
      </c>
      <c r="Q1665" s="216" t="str">
        <f t="shared" si="151"/>
        <v/>
      </c>
      <c r="R1665" s="216" t="str">
        <f t="shared" si="152"/>
        <v/>
      </c>
      <c r="S1665" s="217" t="str">
        <f t="shared" si="153"/>
        <v/>
      </c>
    </row>
    <row r="1666" spans="1:19" ht="15.75" hidden="1" thickBot="1" x14ac:dyDescent="0.3">
      <c r="A1666" s="262"/>
      <c r="B1666" s="260"/>
      <c r="C1666" s="31"/>
      <c r="D1666" s="31"/>
      <c r="E1666" s="32"/>
      <c r="F1666" s="42" t="s">
        <v>416</v>
      </c>
      <c r="G1666" s="30" t="str">
        <f t="shared" si="154"/>
        <v/>
      </c>
      <c r="H1666" s="34"/>
      <c r="I1666" s="30"/>
      <c r="J1666" s="152">
        <v>0</v>
      </c>
      <c r="L1666" s="219"/>
      <c r="M1666" s="42"/>
      <c r="N1666" s="30" t="str">
        <f t="shared" si="155"/>
        <v/>
      </c>
      <c r="O1666" s="34"/>
      <c r="P1666" s="36" t="str">
        <f t="shared" si="150"/>
        <v/>
      </c>
      <c r="Q1666" s="216" t="str">
        <f t="shared" si="151"/>
        <v/>
      </c>
      <c r="R1666" s="216" t="str">
        <f t="shared" si="152"/>
        <v/>
      </c>
      <c r="S1666" s="217" t="str">
        <f t="shared" si="153"/>
        <v/>
      </c>
    </row>
    <row r="1667" spans="1:19" ht="15.75" hidden="1" thickBot="1" x14ac:dyDescent="0.3">
      <c r="A1667" s="262"/>
      <c r="B1667" s="260"/>
      <c r="C1667" s="35" t="s">
        <v>1017</v>
      </c>
      <c r="D1667" s="35" t="s">
        <v>583</v>
      </c>
      <c r="E1667" s="36">
        <v>0.15</v>
      </c>
      <c r="F1667" s="30">
        <v>21.584</v>
      </c>
      <c r="G1667" s="33">
        <f t="shared" si="154"/>
        <v>3.2376</v>
      </c>
      <c r="H1667" s="38">
        <f>SUM(G1667:G1668)</f>
        <v>3.2376</v>
      </c>
      <c r="I1667" s="39"/>
      <c r="J1667" s="152">
        <v>0</v>
      </c>
      <c r="L1667" s="215">
        <v>0.15</v>
      </c>
      <c r="M1667" s="30">
        <v>18.475904</v>
      </c>
      <c r="N1667" s="33">
        <f t="shared" si="155"/>
        <v>2.7713855999999999</v>
      </c>
      <c r="O1667" s="38">
        <f>SUM(N1667:N1668)</f>
        <v>2.7713855999999999</v>
      </c>
      <c r="P1667" s="36" t="str">
        <f t="shared" si="150"/>
        <v/>
      </c>
      <c r="Q1667" s="216">
        <f t="shared" si="151"/>
        <v>0.14400000000000002</v>
      </c>
      <c r="R1667" s="216">
        <f t="shared" si="152"/>
        <v>0.14400000000000002</v>
      </c>
      <c r="S1667" s="217">
        <f t="shared" si="153"/>
        <v>0.14400000000000002</v>
      </c>
    </row>
    <row r="1668" spans="1:19" ht="26.25" hidden="1" thickBot="1" x14ac:dyDescent="0.3">
      <c r="A1668" s="262"/>
      <c r="B1668" s="260"/>
      <c r="C1668" s="35" t="s">
        <v>423</v>
      </c>
      <c r="D1668" s="35" t="s">
        <v>16</v>
      </c>
      <c r="E1668" s="36">
        <v>1</v>
      </c>
      <c r="F1668" s="33" t="s">
        <v>416</v>
      </c>
      <c r="G1668" s="30" t="str">
        <f t="shared" si="154"/>
        <v/>
      </c>
      <c r="H1668" s="34"/>
      <c r="I1668" s="30"/>
      <c r="J1668" s="152">
        <v>0</v>
      </c>
      <c r="L1668" s="215">
        <v>1</v>
      </c>
      <c r="M1668" s="33"/>
      <c r="N1668" s="30" t="str">
        <f t="shared" si="155"/>
        <v/>
      </c>
      <c r="O1668" s="34"/>
      <c r="P1668" s="36" t="str">
        <f t="shared" si="150"/>
        <v/>
      </c>
      <c r="Q1668" s="216" t="str">
        <f t="shared" si="151"/>
        <v/>
      </c>
      <c r="R1668" s="216" t="str">
        <f t="shared" si="152"/>
        <v/>
      </c>
      <c r="S1668" s="217" t="str">
        <f t="shared" si="153"/>
        <v/>
      </c>
    </row>
    <row r="1669" spans="1:19" ht="15.75" hidden="1" thickBot="1" x14ac:dyDescent="0.3">
      <c r="A1669" s="262"/>
      <c r="B1669" s="260"/>
      <c r="C1669" s="35"/>
      <c r="D1669" s="35"/>
      <c r="E1669" s="36"/>
      <c r="F1669" s="33" t="s">
        <v>416</v>
      </c>
      <c r="G1669" s="30" t="str">
        <f t="shared" si="154"/>
        <v/>
      </c>
      <c r="H1669" s="34"/>
      <c r="I1669" s="30"/>
      <c r="J1669" s="152">
        <v>0</v>
      </c>
      <c r="L1669" s="215"/>
      <c r="M1669" s="33"/>
      <c r="N1669" s="30" t="str">
        <f t="shared" si="155"/>
        <v/>
      </c>
      <c r="O1669" s="34"/>
      <c r="P1669" s="36" t="str">
        <f t="shared" si="150"/>
        <v/>
      </c>
      <c r="Q1669" s="216" t="str">
        <f t="shared" si="151"/>
        <v/>
      </c>
      <c r="R1669" s="216" t="str">
        <f t="shared" si="152"/>
        <v/>
      </c>
      <c r="S1669" s="217" t="str">
        <f t="shared" si="153"/>
        <v/>
      </c>
    </row>
    <row r="1670" spans="1:19" ht="15.75" hidden="1" thickBot="1" x14ac:dyDescent="0.3">
      <c r="A1670" s="256" t="s">
        <v>424</v>
      </c>
      <c r="B1670" s="259" t="str">
        <f>INDEX(Orçamentária!A:B,MATCH(Composições!A1670,Orçamentária!A:A,0),2)</f>
        <v>Tampa RJ45 dupla para condulete</v>
      </c>
      <c r="C1670" s="40"/>
      <c r="D1670" s="25" t="s">
        <v>16</v>
      </c>
      <c r="E1670" s="26"/>
      <c r="F1670" s="41" t="s">
        <v>416</v>
      </c>
      <c r="G1670" s="27" t="str">
        <f t="shared" si="154"/>
        <v/>
      </c>
      <c r="H1670" s="28"/>
      <c r="I1670" s="29"/>
      <c r="J1670" s="152">
        <v>0</v>
      </c>
      <c r="L1670" s="218"/>
      <c r="M1670" s="41"/>
      <c r="N1670" s="27" t="str">
        <f t="shared" si="155"/>
        <v/>
      </c>
      <c r="O1670" s="28"/>
      <c r="P1670" s="36" t="str">
        <f t="shared" si="150"/>
        <v/>
      </c>
      <c r="Q1670" s="216" t="str">
        <f t="shared" si="151"/>
        <v/>
      </c>
      <c r="R1670" s="216" t="str">
        <f t="shared" si="152"/>
        <v/>
      </c>
      <c r="S1670" s="217" t="str">
        <f t="shared" si="153"/>
        <v/>
      </c>
    </row>
    <row r="1671" spans="1:19" ht="15.75" hidden="1" thickBot="1" x14ac:dyDescent="0.3">
      <c r="A1671" s="262"/>
      <c r="B1671" s="260"/>
      <c r="C1671" s="31"/>
      <c r="D1671" s="31"/>
      <c r="E1671" s="32"/>
      <c r="F1671" s="42" t="s">
        <v>416</v>
      </c>
      <c r="G1671" s="30" t="str">
        <f t="shared" si="154"/>
        <v/>
      </c>
      <c r="H1671" s="34"/>
      <c r="I1671" s="30"/>
      <c r="J1671" s="152">
        <v>0</v>
      </c>
      <c r="L1671" s="219"/>
      <c r="M1671" s="42"/>
      <c r="N1671" s="30" t="str">
        <f t="shared" si="155"/>
        <v/>
      </c>
      <c r="O1671" s="34"/>
      <c r="P1671" s="36" t="str">
        <f t="shared" si="150"/>
        <v/>
      </c>
      <c r="Q1671" s="216" t="str">
        <f t="shared" si="151"/>
        <v/>
      </c>
      <c r="R1671" s="216" t="str">
        <f t="shared" si="152"/>
        <v/>
      </c>
      <c r="S1671" s="217" t="str">
        <f t="shared" si="153"/>
        <v/>
      </c>
    </row>
    <row r="1672" spans="1:19" ht="15.75" hidden="1" thickBot="1" x14ac:dyDescent="0.3">
      <c r="A1672" s="262"/>
      <c r="B1672" s="260"/>
      <c r="C1672" s="35" t="s">
        <v>1017</v>
      </c>
      <c r="D1672" s="35" t="s">
        <v>583</v>
      </c>
      <c r="E1672" s="36">
        <v>0.15</v>
      </c>
      <c r="F1672" s="30">
        <v>21.584</v>
      </c>
      <c r="G1672" s="33">
        <f t="shared" si="154"/>
        <v>3.2376</v>
      </c>
      <c r="H1672" s="38">
        <f>SUM(G1672:G1674)</f>
        <v>7.4128500000000006</v>
      </c>
      <c r="I1672" s="39"/>
      <c r="J1672" s="152">
        <v>0</v>
      </c>
      <c r="L1672" s="215">
        <v>0.15</v>
      </c>
      <c r="M1672" s="30">
        <v>18.475904</v>
      </c>
      <c r="N1672" s="33">
        <f t="shared" si="155"/>
        <v>2.7713855999999999</v>
      </c>
      <c r="O1672" s="38">
        <f>SUM(N1672:N1674)</f>
        <v>6.3453996000000004</v>
      </c>
      <c r="P1672" s="36" t="str">
        <f t="shared" ref="P1672:P1735" si="156">IF(ISBLANK(L1672),"",IF($E1672&lt;&gt;L1672,"SIM",""))</f>
        <v/>
      </c>
      <c r="Q1672" s="216">
        <f t="shared" ref="Q1672:Q1735" si="157">IF(M1672="","",1-M1672/$F1672)</f>
        <v>0.14400000000000002</v>
      </c>
      <c r="R1672" s="216">
        <f t="shared" ref="R1672:R1735" si="158">IF(N1672="","",1-N1672/$G1672)</f>
        <v>0.14400000000000002</v>
      </c>
      <c r="S1672" s="217">
        <f t="shared" ref="S1672:S1735" si="159">IF(O1672="","",1-O1672/$H1672)</f>
        <v>0.14400000000000002</v>
      </c>
    </row>
    <row r="1673" spans="1:19" ht="15.75" hidden="1" thickBot="1" x14ac:dyDescent="0.3">
      <c r="A1673" s="262"/>
      <c r="B1673" s="260"/>
      <c r="C1673" s="35" t="s">
        <v>1018</v>
      </c>
      <c r="D1673" s="35" t="s">
        <v>583</v>
      </c>
      <c r="E1673" s="36">
        <v>0.15</v>
      </c>
      <c r="F1673" s="30">
        <v>27.835000000000001</v>
      </c>
      <c r="G1673" s="33">
        <f t="shared" si="154"/>
        <v>4.1752500000000001</v>
      </c>
      <c r="H1673" s="61"/>
      <c r="I1673" s="1"/>
      <c r="J1673" s="152">
        <v>0</v>
      </c>
      <c r="L1673" s="215">
        <v>0.15</v>
      </c>
      <c r="M1673" s="30">
        <v>23.82676</v>
      </c>
      <c r="N1673" s="33">
        <f t="shared" si="155"/>
        <v>3.574014</v>
      </c>
      <c r="O1673" s="61"/>
      <c r="P1673" s="36" t="str">
        <f t="shared" si="156"/>
        <v/>
      </c>
      <c r="Q1673" s="216">
        <f t="shared" si="157"/>
        <v>0.14400000000000002</v>
      </c>
      <c r="R1673" s="216">
        <f t="shared" si="158"/>
        <v>0.14400000000000002</v>
      </c>
      <c r="S1673" s="217" t="str">
        <f t="shared" si="159"/>
        <v/>
      </c>
    </row>
    <row r="1674" spans="1:19" ht="26.25" hidden="1" thickBot="1" x14ac:dyDescent="0.3">
      <c r="A1674" s="262"/>
      <c r="B1674" s="260"/>
      <c r="C1674" s="35" t="s">
        <v>425</v>
      </c>
      <c r="D1674" s="35" t="s">
        <v>16</v>
      </c>
      <c r="E1674" s="36">
        <v>1</v>
      </c>
      <c r="F1674" s="33" t="s">
        <v>416</v>
      </c>
      <c r="G1674" s="30" t="str">
        <f t="shared" si="154"/>
        <v/>
      </c>
      <c r="H1674" s="34"/>
      <c r="I1674" s="30"/>
      <c r="J1674" s="152">
        <v>0</v>
      </c>
      <c r="L1674" s="215">
        <v>1</v>
      </c>
      <c r="M1674" s="33"/>
      <c r="N1674" s="30" t="str">
        <f t="shared" si="155"/>
        <v/>
      </c>
      <c r="O1674" s="34"/>
      <c r="P1674" s="36" t="str">
        <f t="shared" si="156"/>
        <v/>
      </c>
      <c r="Q1674" s="216" t="str">
        <f t="shared" si="157"/>
        <v/>
      </c>
      <c r="R1674" s="216" t="str">
        <f t="shared" si="158"/>
        <v/>
      </c>
      <c r="S1674" s="217" t="str">
        <f t="shared" si="159"/>
        <v/>
      </c>
    </row>
    <row r="1675" spans="1:19" ht="15.75" hidden="1" thickBot="1" x14ac:dyDescent="0.3">
      <c r="A1675" s="263"/>
      <c r="B1675" s="261"/>
      <c r="C1675" s="35"/>
      <c r="D1675" s="35"/>
      <c r="E1675" s="36"/>
      <c r="F1675" s="30" t="s">
        <v>416</v>
      </c>
      <c r="G1675" s="30" t="str">
        <f t="shared" si="154"/>
        <v/>
      </c>
      <c r="H1675" s="34"/>
      <c r="I1675" s="30"/>
      <c r="J1675" s="152">
        <v>0</v>
      </c>
      <c r="L1675" s="215"/>
      <c r="M1675" s="30"/>
      <c r="N1675" s="30" t="str">
        <f t="shared" si="155"/>
        <v/>
      </c>
      <c r="O1675" s="34"/>
      <c r="P1675" s="36" t="str">
        <f t="shared" si="156"/>
        <v/>
      </c>
      <c r="Q1675" s="216" t="str">
        <f t="shared" si="157"/>
        <v/>
      </c>
      <c r="R1675" s="216" t="str">
        <f t="shared" si="158"/>
        <v/>
      </c>
      <c r="S1675" s="217" t="str">
        <f t="shared" si="159"/>
        <v/>
      </c>
    </row>
    <row r="1676" spans="1:19" ht="15.75" hidden="1" thickBot="1" x14ac:dyDescent="0.3">
      <c r="A1676" s="256" t="s">
        <v>426</v>
      </c>
      <c r="B1676" s="259" t="str">
        <f>INDEX(Orçamentária!A:B,MATCH(Composições!A1676,Orçamentária!A:A,0),2)</f>
        <v>Tomada para condulete</v>
      </c>
      <c r="C1676" s="40"/>
      <c r="D1676" s="25" t="s">
        <v>16</v>
      </c>
      <c r="E1676" s="26"/>
      <c r="F1676" s="41" t="s">
        <v>416</v>
      </c>
      <c r="G1676" s="27" t="str">
        <f t="shared" si="154"/>
        <v/>
      </c>
      <c r="H1676" s="28"/>
      <c r="I1676" s="29"/>
      <c r="J1676" s="152">
        <v>0</v>
      </c>
      <c r="L1676" s="218"/>
      <c r="M1676" s="41"/>
      <c r="N1676" s="27" t="str">
        <f t="shared" si="155"/>
        <v/>
      </c>
      <c r="O1676" s="28"/>
      <c r="P1676" s="36" t="str">
        <f t="shared" si="156"/>
        <v/>
      </c>
      <c r="Q1676" s="216" t="str">
        <f t="shared" si="157"/>
        <v/>
      </c>
      <c r="R1676" s="216" t="str">
        <f t="shared" si="158"/>
        <v/>
      </c>
      <c r="S1676" s="217" t="str">
        <f t="shared" si="159"/>
        <v/>
      </c>
    </row>
    <row r="1677" spans="1:19" ht="15.75" hidden="1" thickBot="1" x14ac:dyDescent="0.3">
      <c r="A1677" s="262"/>
      <c r="B1677" s="260"/>
      <c r="C1677" s="31"/>
      <c r="D1677" s="31"/>
      <c r="E1677" s="32"/>
      <c r="F1677" s="42" t="s">
        <v>416</v>
      </c>
      <c r="G1677" s="30" t="str">
        <f t="shared" si="154"/>
        <v/>
      </c>
      <c r="H1677" s="34"/>
      <c r="I1677" s="30"/>
      <c r="J1677" s="152">
        <v>0</v>
      </c>
      <c r="L1677" s="219"/>
      <c r="M1677" s="42"/>
      <c r="N1677" s="30" t="str">
        <f t="shared" si="155"/>
        <v/>
      </c>
      <c r="O1677" s="34"/>
      <c r="P1677" s="36" t="str">
        <f t="shared" si="156"/>
        <v/>
      </c>
      <c r="Q1677" s="216" t="str">
        <f t="shared" si="157"/>
        <v/>
      </c>
      <c r="R1677" s="216" t="str">
        <f t="shared" si="158"/>
        <v/>
      </c>
      <c r="S1677" s="217" t="str">
        <f t="shared" si="159"/>
        <v/>
      </c>
    </row>
    <row r="1678" spans="1:19" ht="15.75" hidden="1" thickBot="1" x14ac:dyDescent="0.3">
      <c r="A1678" s="262"/>
      <c r="B1678" s="260"/>
      <c r="C1678" s="35" t="s">
        <v>1018</v>
      </c>
      <c r="D1678" s="35" t="s">
        <v>583</v>
      </c>
      <c r="E1678" s="36">
        <v>0.308</v>
      </c>
      <c r="F1678" s="30">
        <v>27.835000000000001</v>
      </c>
      <c r="G1678" s="33">
        <f t="shared" si="154"/>
        <v>8.5731800000000007</v>
      </c>
      <c r="H1678" s="38">
        <f>SUM(G1678:G1681)</f>
        <v>21.431052000000001</v>
      </c>
      <c r="I1678" s="39"/>
      <c r="J1678" s="152">
        <v>0</v>
      </c>
      <c r="L1678" s="215">
        <v>0.308</v>
      </c>
      <c r="M1678" s="30">
        <v>23.82676</v>
      </c>
      <c r="N1678" s="33">
        <f t="shared" si="155"/>
        <v>7.3386420799999996</v>
      </c>
      <c r="O1678" s="38">
        <f>SUM(N1678:N1681)</f>
        <v>18.344980511999999</v>
      </c>
      <c r="P1678" s="36" t="str">
        <f t="shared" si="156"/>
        <v/>
      </c>
      <c r="Q1678" s="216">
        <f t="shared" si="157"/>
        <v>0.14400000000000002</v>
      </c>
      <c r="R1678" s="216">
        <f t="shared" si="158"/>
        <v>0.14400000000000013</v>
      </c>
      <c r="S1678" s="217">
        <f t="shared" si="159"/>
        <v>0.14400000000000013</v>
      </c>
    </row>
    <row r="1679" spans="1:19" ht="15.75" hidden="1" thickBot="1" x14ac:dyDescent="0.3">
      <c r="A1679" s="262"/>
      <c r="B1679" s="260"/>
      <c r="C1679" s="35" t="s">
        <v>1017</v>
      </c>
      <c r="D1679" s="35" t="s">
        <v>583</v>
      </c>
      <c r="E1679" s="36">
        <v>0.308</v>
      </c>
      <c r="F1679" s="30">
        <v>21.584</v>
      </c>
      <c r="G1679" s="33">
        <f t="shared" si="154"/>
        <v>6.6478719999999996</v>
      </c>
      <c r="H1679" s="34"/>
      <c r="I1679" s="30"/>
      <c r="J1679" s="152">
        <v>0</v>
      </c>
      <c r="L1679" s="215">
        <v>0.308</v>
      </c>
      <c r="M1679" s="30">
        <v>18.475904</v>
      </c>
      <c r="N1679" s="33">
        <f t="shared" si="155"/>
        <v>5.6905784319999997</v>
      </c>
      <c r="O1679" s="34"/>
      <c r="P1679" s="36" t="str">
        <f t="shared" si="156"/>
        <v/>
      </c>
      <c r="Q1679" s="216">
        <f t="shared" si="157"/>
        <v>0.14400000000000002</v>
      </c>
      <c r="R1679" s="216">
        <f t="shared" si="158"/>
        <v>0.14400000000000002</v>
      </c>
      <c r="S1679" s="217" t="str">
        <f t="shared" si="159"/>
        <v/>
      </c>
    </row>
    <row r="1680" spans="1:19" ht="26.25" hidden="1" thickBot="1" x14ac:dyDescent="0.3">
      <c r="A1680" s="262"/>
      <c r="B1680" s="260"/>
      <c r="C1680" s="35" t="s">
        <v>403</v>
      </c>
      <c r="D1680" s="35" t="s">
        <v>16</v>
      </c>
      <c r="E1680" s="36">
        <v>1</v>
      </c>
      <c r="F1680" s="33">
        <v>6.21</v>
      </c>
      <c r="G1680" s="33">
        <f t="shared" si="154"/>
        <v>6.21</v>
      </c>
      <c r="H1680" s="34"/>
      <c r="I1680" s="30"/>
      <c r="J1680" s="152">
        <v>0</v>
      </c>
      <c r="L1680" s="215">
        <v>1</v>
      </c>
      <c r="M1680" s="33">
        <v>5.31576</v>
      </c>
      <c r="N1680" s="33">
        <f t="shared" si="155"/>
        <v>5.31576</v>
      </c>
      <c r="O1680" s="34"/>
      <c r="P1680" s="36" t="str">
        <f t="shared" si="156"/>
        <v/>
      </c>
      <c r="Q1680" s="216">
        <f t="shared" si="157"/>
        <v>0.14400000000000002</v>
      </c>
      <c r="R1680" s="216">
        <f t="shared" si="158"/>
        <v>0.14400000000000002</v>
      </c>
      <c r="S1680" s="217" t="str">
        <f t="shared" si="159"/>
        <v/>
      </c>
    </row>
    <row r="1681" spans="1:19" ht="26.25" hidden="1" thickBot="1" x14ac:dyDescent="0.3">
      <c r="A1681" s="262"/>
      <c r="B1681" s="260"/>
      <c r="C1681" s="35" t="s">
        <v>5554</v>
      </c>
      <c r="D1681" s="35" t="s">
        <v>16</v>
      </c>
      <c r="E1681" s="36">
        <v>1</v>
      </c>
      <c r="F1681" s="33" t="s">
        <v>416</v>
      </c>
      <c r="G1681" s="30" t="str">
        <f t="shared" si="154"/>
        <v/>
      </c>
      <c r="H1681" s="34"/>
      <c r="I1681" s="30"/>
      <c r="J1681" s="152">
        <v>0</v>
      </c>
      <c r="L1681" s="215">
        <v>1</v>
      </c>
      <c r="M1681" s="33"/>
      <c r="N1681" s="30" t="str">
        <f t="shared" si="155"/>
        <v/>
      </c>
      <c r="O1681" s="34"/>
      <c r="P1681" s="36" t="str">
        <f t="shared" si="156"/>
        <v/>
      </c>
      <c r="Q1681" s="216" t="str">
        <f t="shared" si="157"/>
        <v/>
      </c>
      <c r="R1681" s="216" t="str">
        <f t="shared" si="158"/>
        <v/>
      </c>
      <c r="S1681" s="217" t="str">
        <f t="shared" si="159"/>
        <v/>
      </c>
    </row>
    <row r="1682" spans="1:19" ht="15.75" hidden="1" thickBot="1" x14ac:dyDescent="0.3">
      <c r="A1682" s="263"/>
      <c r="B1682" s="261"/>
      <c r="C1682" s="35"/>
      <c r="D1682" s="35"/>
      <c r="E1682" s="36"/>
      <c r="F1682" s="30" t="s">
        <v>416</v>
      </c>
      <c r="G1682" s="30" t="str">
        <f t="shared" si="154"/>
        <v/>
      </c>
      <c r="H1682" s="34"/>
      <c r="I1682" s="30"/>
      <c r="J1682" s="152">
        <v>0</v>
      </c>
      <c r="L1682" s="215"/>
      <c r="M1682" s="30"/>
      <c r="N1682" s="30" t="str">
        <f t="shared" si="155"/>
        <v/>
      </c>
      <c r="O1682" s="34"/>
      <c r="P1682" s="36" t="str">
        <f t="shared" si="156"/>
        <v/>
      </c>
      <c r="Q1682" s="216" t="str">
        <f t="shared" si="157"/>
        <v/>
      </c>
      <c r="R1682" s="216" t="str">
        <f t="shared" si="158"/>
        <v/>
      </c>
      <c r="S1682" s="217" t="str">
        <f t="shared" si="159"/>
        <v/>
      </c>
    </row>
    <row r="1683" spans="1:19" ht="15.75" hidden="1" thickBot="1" x14ac:dyDescent="0.3">
      <c r="A1683" s="256" t="s">
        <v>427</v>
      </c>
      <c r="B1683" s="259" t="str">
        <f>INDEX(Orçamentária!A:B,MATCH(Composições!A1683,Orçamentária!A:A,0),2)</f>
        <v>Tomada para perfilado e eletrocalha</v>
      </c>
      <c r="C1683" s="40"/>
      <c r="D1683" s="25" t="s">
        <v>16</v>
      </c>
      <c r="E1683" s="26"/>
      <c r="F1683" s="41" t="s">
        <v>416</v>
      </c>
      <c r="G1683" s="27" t="str">
        <f t="shared" ref="G1683:G1746" si="160">IF(ISNUMBER(F1683),E1683*F1683,"")</f>
        <v/>
      </c>
      <c r="H1683" s="28"/>
      <c r="I1683" s="29"/>
      <c r="J1683" s="152">
        <v>0</v>
      </c>
      <c r="L1683" s="218"/>
      <c r="M1683" s="41"/>
      <c r="N1683" s="27" t="str">
        <f t="shared" ref="N1683:N1746" si="161">IF(ISNUMBER(M1683),L1683*M1683,"")</f>
        <v/>
      </c>
      <c r="O1683" s="28"/>
      <c r="P1683" s="36" t="str">
        <f t="shared" si="156"/>
        <v/>
      </c>
      <c r="Q1683" s="216" t="str">
        <f t="shared" si="157"/>
        <v/>
      </c>
      <c r="R1683" s="216" t="str">
        <f t="shared" si="158"/>
        <v/>
      </c>
      <c r="S1683" s="217" t="str">
        <f t="shared" si="159"/>
        <v/>
      </c>
    </row>
    <row r="1684" spans="1:19" ht="15.75" hidden="1" thickBot="1" x14ac:dyDescent="0.3">
      <c r="A1684" s="262"/>
      <c r="B1684" s="260"/>
      <c r="C1684" s="31"/>
      <c r="D1684" s="31"/>
      <c r="E1684" s="32"/>
      <c r="F1684" s="42" t="s">
        <v>416</v>
      </c>
      <c r="G1684" s="30" t="str">
        <f t="shared" si="160"/>
        <v/>
      </c>
      <c r="H1684" s="34"/>
      <c r="I1684" s="30"/>
      <c r="J1684" s="152">
        <v>0</v>
      </c>
      <c r="L1684" s="219"/>
      <c r="M1684" s="42"/>
      <c r="N1684" s="30" t="str">
        <f t="shared" si="161"/>
        <v/>
      </c>
      <c r="O1684" s="34"/>
      <c r="P1684" s="36" t="str">
        <f t="shared" si="156"/>
        <v/>
      </c>
      <c r="Q1684" s="216" t="str">
        <f t="shared" si="157"/>
        <v/>
      </c>
      <c r="R1684" s="216" t="str">
        <f t="shared" si="158"/>
        <v/>
      </c>
      <c r="S1684" s="217" t="str">
        <f t="shared" si="159"/>
        <v/>
      </c>
    </row>
    <row r="1685" spans="1:19" ht="15.75" hidden="1" thickBot="1" x14ac:dyDescent="0.3">
      <c r="A1685" s="262"/>
      <c r="B1685" s="260"/>
      <c r="C1685" s="35" t="s">
        <v>1017</v>
      </c>
      <c r="D1685" s="35" t="s">
        <v>583</v>
      </c>
      <c r="E1685" s="36">
        <v>0.65</v>
      </c>
      <c r="F1685" s="30">
        <v>21.584</v>
      </c>
      <c r="G1685" s="33">
        <f t="shared" si="160"/>
        <v>14.0296</v>
      </c>
      <c r="H1685" s="38">
        <f>SUM(G1685:G1688)</f>
        <v>32.122350000000004</v>
      </c>
      <c r="I1685" s="39"/>
      <c r="J1685" s="152">
        <v>0</v>
      </c>
      <c r="L1685" s="215">
        <v>0.65</v>
      </c>
      <c r="M1685" s="30">
        <v>18.475904</v>
      </c>
      <c r="N1685" s="33">
        <f t="shared" si="161"/>
        <v>12.0093376</v>
      </c>
      <c r="O1685" s="38">
        <f>SUM(N1685:N1688)</f>
        <v>27.4967316</v>
      </c>
      <c r="P1685" s="36" t="str">
        <f t="shared" si="156"/>
        <v/>
      </c>
      <c r="Q1685" s="216">
        <f t="shared" si="157"/>
        <v>0.14400000000000002</v>
      </c>
      <c r="R1685" s="216">
        <f t="shared" si="158"/>
        <v>0.14400000000000002</v>
      </c>
      <c r="S1685" s="217">
        <f t="shared" si="159"/>
        <v>0.14400000000000013</v>
      </c>
    </row>
    <row r="1686" spans="1:19" ht="15.75" hidden="1" thickBot="1" x14ac:dyDescent="0.3">
      <c r="A1686" s="262"/>
      <c r="B1686" s="260"/>
      <c r="C1686" s="35" t="s">
        <v>1018</v>
      </c>
      <c r="D1686" s="35" t="s">
        <v>583</v>
      </c>
      <c r="E1686" s="36">
        <v>0.65</v>
      </c>
      <c r="F1686" s="30">
        <v>27.835000000000001</v>
      </c>
      <c r="G1686" s="33">
        <f t="shared" si="160"/>
        <v>18.092750000000002</v>
      </c>
      <c r="H1686" s="34"/>
      <c r="I1686" s="30"/>
      <c r="J1686" s="152">
        <v>0</v>
      </c>
      <c r="L1686" s="215">
        <v>0.65</v>
      </c>
      <c r="M1686" s="30">
        <v>23.82676</v>
      </c>
      <c r="N1686" s="33">
        <f t="shared" si="161"/>
        <v>15.487394</v>
      </c>
      <c r="O1686" s="34"/>
      <c r="P1686" s="36" t="str">
        <f t="shared" si="156"/>
        <v/>
      </c>
      <c r="Q1686" s="216">
        <f t="shared" si="157"/>
        <v>0.14400000000000002</v>
      </c>
      <c r="R1686" s="216">
        <f t="shared" si="158"/>
        <v>0.14400000000000013</v>
      </c>
      <c r="S1686" s="217" t="str">
        <f t="shared" si="159"/>
        <v/>
      </c>
    </row>
    <row r="1687" spans="1:19" ht="15.75" hidden="1" thickBot="1" x14ac:dyDescent="0.3">
      <c r="A1687" s="262"/>
      <c r="B1687" s="260"/>
      <c r="C1687" s="35" t="s">
        <v>428</v>
      </c>
      <c r="D1687" s="35" t="s">
        <v>16</v>
      </c>
      <c r="E1687" s="36">
        <v>1</v>
      </c>
      <c r="F1687" s="30">
        <v>0</v>
      </c>
      <c r="G1687" s="30">
        <f t="shared" si="160"/>
        <v>0</v>
      </c>
      <c r="H1687" s="34"/>
      <c r="I1687" s="30"/>
      <c r="J1687" s="152">
        <v>0</v>
      </c>
      <c r="L1687" s="215">
        <v>1</v>
      </c>
      <c r="M1687" s="30">
        <v>0</v>
      </c>
      <c r="N1687" s="30">
        <f t="shared" si="161"/>
        <v>0</v>
      </c>
      <c r="O1687" s="34"/>
      <c r="P1687" s="36" t="str">
        <f t="shared" si="156"/>
        <v/>
      </c>
      <c r="Q1687" s="216" t="e">
        <f t="shared" si="157"/>
        <v>#DIV/0!</v>
      </c>
      <c r="R1687" s="216" t="e">
        <f t="shared" si="158"/>
        <v>#DIV/0!</v>
      </c>
      <c r="S1687" s="217" t="str">
        <f t="shared" si="159"/>
        <v/>
      </c>
    </row>
    <row r="1688" spans="1:19" ht="15.75" hidden="1" thickBot="1" x14ac:dyDescent="0.3">
      <c r="A1688" s="262"/>
      <c r="B1688" s="260"/>
      <c r="C1688" s="35" t="s">
        <v>429</v>
      </c>
      <c r="D1688" s="35" t="s">
        <v>16</v>
      </c>
      <c r="E1688" s="36">
        <v>1</v>
      </c>
      <c r="F1688" s="30">
        <v>0</v>
      </c>
      <c r="G1688" s="30">
        <f t="shared" si="160"/>
        <v>0</v>
      </c>
      <c r="H1688" s="34"/>
      <c r="I1688" s="30"/>
      <c r="J1688" s="152">
        <v>0</v>
      </c>
      <c r="L1688" s="215">
        <v>1</v>
      </c>
      <c r="M1688" s="30">
        <v>0</v>
      </c>
      <c r="N1688" s="30">
        <f t="shared" si="161"/>
        <v>0</v>
      </c>
      <c r="O1688" s="34"/>
      <c r="P1688" s="36" t="str">
        <f t="shared" si="156"/>
        <v/>
      </c>
      <c r="Q1688" s="216" t="e">
        <f t="shared" si="157"/>
        <v>#DIV/0!</v>
      </c>
      <c r="R1688" s="216" t="e">
        <f t="shared" si="158"/>
        <v>#DIV/0!</v>
      </c>
      <c r="S1688" s="217" t="str">
        <f t="shared" si="159"/>
        <v/>
      </c>
    </row>
    <row r="1689" spans="1:19" ht="15.75" hidden="1" thickBot="1" x14ac:dyDescent="0.3">
      <c r="A1689" s="263"/>
      <c r="B1689" s="261"/>
      <c r="C1689" s="35"/>
      <c r="D1689" s="35"/>
      <c r="E1689" s="36"/>
      <c r="F1689" s="30" t="s">
        <v>416</v>
      </c>
      <c r="G1689" s="30" t="str">
        <f t="shared" si="160"/>
        <v/>
      </c>
      <c r="H1689" s="34"/>
      <c r="I1689" s="30"/>
      <c r="J1689" s="152">
        <v>0</v>
      </c>
      <c r="L1689" s="215"/>
      <c r="M1689" s="30"/>
      <c r="N1689" s="30" t="str">
        <f t="shared" si="161"/>
        <v/>
      </c>
      <c r="O1689" s="34"/>
      <c r="P1689" s="36" t="str">
        <f t="shared" si="156"/>
        <v/>
      </c>
      <c r="Q1689" s="216" t="str">
        <f t="shared" si="157"/>
        <v/>
      </c>
      <c r="R1689" s="216" t="str">
        <f t="shared" si="158"/>
        <v/>
      </c>
      <c r="S1689" s="217" t="str">
        <f t="shared" si="159"/>
        <v/>
      </c>
    </row>
    <row r="1690" spans="1:19" ht="15.75" hidden="1" thickBot="1" x14ac:dyDescent="0.3">
      <c r="A1690" s="256" t="s">
        <v>430</v>
      </c>
      <c r="B1690" s="259" t="str">
        <f>INDEX(Orçamentária!A:B,MATCH(Composições!A1690,Orçamentária!A:A,0),2)</f>
        <v>Bloco autônomo de emergência</v>
      </c>
      <c r="C1690" s="40"/>
      <c r="D1690" s="25" t="s">
        <v>16</v>
      </c>
      <c r="E1690" s="26"/>
      <c r="F1690" s="41" t="s">
        <v>416</v>
      </c>
      <c r="G1690" s="27" t="str">
        <f t="shared" si="160"/>
        <v/>
      </c>
      <c r="H1690" s="28"/>
      <c r="I1690" s="29"/>
      <c r="J1690" s="152">
        <v>0</v>
      </c>
      <c r="L1690" s="218"/>
      <c r="M1690" s="41"/>
      <c r="N1690" s="27" t="str">
        <f t="shared" si="161"/>
        <v/>
      </c>
      <c r="O1690" s="28"/>
      <c r="P1690" s="36" t="str">
        <f t="shared" si="156"/>
        <v/>
      </c>
      <c r="Q1690" s="216" t="str">
        <f t="shared" si="157"/>
        <v/>
      </c>
      <c r="R1690" s="216" t="str">
        <f t="shared" si="158"/>
        <v/>
      </c>
      <c r="S1690" s="217" t="str">
        <f t="shared" si="159"/>
        <v/>
      </c>
    </row>
    <row r="1691" spans="1:19" ht="15.75" hidden="1" thickBot="1" x14ac:dyDescent="0.3">
      <c r="A1691" s="262"/>
      <c r="B1691" s="260"/>
      <c r="C1691" s="31"/>
      <c r="D1691" s="31"/>
      <c r="E1691" s="32"/>
      <c r="F1691" s="42" t="s">
        <v>416</v>
      </c>
      <c r="G1691" s="30" t="str">
        <f t="shared" si="160"/>
        <v/>
      </c>
      <c r="H1691" s="34"/>
      <c r="I1691" s="30"/>
      <c r="J1691" s="152">
        <v>0</v>
      </c>
      <c r="L1691" s="219"/>
      <c r="M1691" s="42"/>
      <c r="N1691" s="30" t="str">
        <f t="shared" si="161"/>
        <v/>
      </c>
      <c r="O1691" s="34"/>
      <c r="P1691" s="36" t="str">
        <f t="shared" si="156"/>
        <v/>
      </c>
      <c r="Q1691" s="216" t="str">
        <f t="shared" si="157"/>
        <v/>
      </c>
      <c r="R1691" s="216" t="str">
        <f t="shared" si="158"/>
        <v/>
      </c>
      <c r="S1691" s="217" t="str">
        <f t="shared" si="159"/>
        <v/>
      </c>
    </row>
    <row r="1692" spans="1:19" ht="39" hidden="1" thickBot="1" x14ac:dyDescent="0.3">
      <c r="A1692" s="262"/>
      <c r="B1692" s="260"/>
      <c r="C1692" s="35" t="s">
        <v>431</v>
      </c>
      <c r="D1692" s="35" t="s">
        <v>107</v>
      </c>
      <c r="E1692" s="36">
        <v>1</v>
      </c>
      <c r="F1692" s="33" t="s">
        <v>416</v>
      </c>
      <c r="G1692" s="30" t="str">
        <f t="shared" si="160"/>
        <v/>
      </c>
      <c r="H1692" s="38">
        <f>SUM(G1692:G1694)</f>
        <v>6.6108656999999997</v>
      </c>
      <c r="I1692" s="39"/>
      <c r="J1692" s="152">
        <v>0</v>
      </c>
      <c r="L1692" s="215">
        <v>1</v>
      </c>
      <c r="M1692" s="33"/>
      <c r="N1692" s="30" t="str">
        <f t="shared" si="161"/>
        <v/>
      </c>
      <c r="O1692" s="38">
        <f>SUM(N1692:N1694)</f>
        <v>5.6589010391999999</v>
      </c>
      <c r="P1692" s="36" t="str">
        <f t="shared" si="156"/>
        <v/>
      </c>
      <c r="Q1692" s="216" t="str">
        <f t="shared" si="157"/>
        <v/>
      </c>
      <c r="R1692" s="216" t="str">
        <f t="shared" si="158"/>
        <v/>
      </c>
      <c r="S1692" s="217">
        <f t="shared" si="159"/>
        <v>0.14400000000000002</v>
      </c>
    </row>
    <row r="1693" spans="1:19" ht="15.75" hidden="1" thickBot="1" x14ac:dyDescent="0.3">
      <c r="A1693" s="262"/>
      <c r="B1693" s="260"/>
      <c r="C1693" s="35" t="s">
        <v>1017</v>
      </c>
      <c r="D1693" s="35" t="s">
        <v>583</v>
      </c>
      <c r="E1693" s="36">
        <v>7.4800000000000005E-2</v>
      </c>
      <c r="F1693" s="30">
        <v>21.584</v>
      </c>
      <c r="G1693" s="30">
        <f t="shared" si="160"/>
        <v>1.6144832</v>
      </c>
      <c r="H1693" s="34"/>
      <c r="I1693" s="30"/>
      <c r="J1693" s="152">
        <v>0</v>
      </c>
      <c r="L1693" s="215">
        <v>7.4800000000000005E-2</v>
      </c>
      <c r="M1693" s="30">
        <v>18.475904</v>
      </c>
      <c r="N1693" s="30">
        <f t="shared" si="161"/>
        <v>1.3819976192000001</v>
      </c>
      <c r="O1693" s="34"/>
      <c r="P1693" s="36" t="str">
        <f t="shared" si="156"/>
        <v/>
      </c>
      <c r="Q1693" s="216">
        <f t="shared" si="157"/>
        <v>0.14400000000000002</v>
      </c>
      <c r="R1693" s="216">
        <f t="shared" si="158"/>
        <v>0.14399999999999991</v>
      </c>
      <c r="S1693" s="217" t="str">
        <f t="shared" si="159"/>
        <v/>
      </c>
    </row>
    <row r="1694" spans="1:19" ht="15.75" hidden="1" thickBot="1" x14ac:dyDescent="0.3">
      <c r="A1694" s="262"/>
      <c r="B1694" s="260"/>
      <c r="C1694" s="35" t="s">
        <v>1018</v>
      </c>
      <c r="D1694" s="35" t="s">
        <v>583</v>
      </c>
      <c r="E1694" s="36">
        <v>0.17949999999999999</v>
      </c>
      <c r="F1694" s="30">
        <v>27.835000000000001</v>
      </c>
      <c r="G1694" s="30">
        <f t="shared" si="160"/>
        <v>4.9963825000000002</v>
      </c>
      <c r="H1694" s="34"/>
      <c r="I1694" s="30"/>
      <c r="J1694" s="152">
        <v>0</v>
      </c>
      <c r="L1694" s="215">
        <v>0.17949999999999999</v>
      </c>
      <c r="M1694" s="30">
        <v>23.82676</v>
      </c>
      <c r="N1694" s="30">
        <f t="shared" si="161"/>
        <v>4.27690342</v>
      </c>
      <c r="O1694" s="34"/>
      <c r="P1694" s="36" t="str">
        <f t="shared" si="156"/>
        <v/>
      </c>
      <c r="Q1694" s="216">
        <f t="shared" si="157"/>
        <v>0.14400000000000002</v>
      </c>
      <c r="R1694" s="216">
        <f t="shared" si="158"/>
        <v>0.14400000000000002</v>
      </c>
      <c r="S1694" s="217" t="str">
        <f t="shared" si="159"/>
        <v/>
      </c>
    </row>
    <row r="1695" spans="1:19" ht="15.75" hidden="1" thickBot="1" x14ac:dyDescent="0.3">
      <c r="A1695" s="263"/>
      <c r="B1695" s="261"/>
      <c r="C1695" s="35"/>
      <c r="D1695" s="35"/>
      <c r="E1695" s="36"/>
      <c r="F1695" s="30" t="s">
        <v>416</v>
      </c>
      <c r="G1695" s="30" t="str">
        <f t="shared" si="160"/>
        <v/>
      </c>
      <c r="H1695" s="34"/>
      <c r="I1695" s="30"/>
      <c r="J1695" s="152">
        <v>0</v>
      </c>
      <c r="L1695" s="215"/>
      <c r="M1695" s="30"/>
      <c r="N1695" s="30" t="str">
        <f t="shared" si="161"/>
        <v/>
      </c>
      <c r="O1695" s="34"/>
      <c r="P1695" s="36" t="str">
        <f t="shared" si="156"/>
        <v/>
      </c>
      <c r="Q1695" s="216" t="str">
        <f t="shared" si="157"/>
        <v/>
      </c>
      <c r="R1695" s="216" t="str">
        <f t="shared" si="158"/>
        <v/>
      </c>
      <c r="S1695" s="217" t="str">
        <f t="shared" si="159"/>
        <v/>
      </c>
    </row>
    <row r="1696" spans="1:19" ht="15.75" hidden="1" thickBot="1" x14ac:dyDescent="0.3">
      <c r="A1696" s="256" t="s">
        <v>432</v>
      </c>
      <c r="B1696" s="259" t="str">
        <f>INDEX(Orçamentária!A:B,MATCH(Composições!A1696,Orçamentária!A:A,0),2)</f>
        <v>Instalação de luminária reaproveitada</v>
      </c>
      <c r="C1696" s="40"/>
      <c r="D1696" s="25" t="s">
        <v>16</v>
      </c>
      <c r="E1696" s="26"/>
      <c r="F1696" s="41" t="s">
        <v>416</v>
      </c>
      <c r="G1696" s="27" t="str">
        <f t="shared" si="160"/>
        <v/>
      </c>
      <c r="H1696" s="28"/>
      <c r="I1696" s="29"/>
      <c r="J1696" s="152">
        <v>0</v>
      </c>
      <c r="L1696" s="218"/>
      <c r="M1696" s="41"/>
      <c r="N1696" s="27" t="str">
        <f t="shared" si="161"/>
        <v/>
      </c>
      <c r="O1696" s="28"/>
      <c r="P1696" s="36" t="str">
        <f t="shared" si="156"/>
        <v/>
      </c>
      <c r="Q1696" s="216" t="str">
        <f t="shared" si="157"/>
        <v/>
      </c>
      <c r="R1696" s="216" t="str">
        <f t="shared" si="158"/>
        <v/>
      </c>
      <c r="S1696" s="217" t="str">
        <f t="shared" si="159"/>
        <v/>
      </c>
    </row>
    <row r="1697" spans="1:19" ht="15.75" hidden="1" thickBot="1" x14ac:dyDescent="0.3">
      <c r="A1697" s="262"/>
      <c r="B1697" s="260"/>
      <c r="C1697" s="31"/>
      <c r="D1697" s="31"/>
      <c r="E1697" s="32"/>
      <c r="F1697" s="42" t="s">
        <v>416</v>
      </c>
      <c r="G1697" s="30" t="str">
        <f t="shared" si="160"/>
        <v/>
      </c>
      <c r="H1697" s="34"/>
      <c r="I1697" s="30"/>
      <c r="J1697" s="152">
        <v>0</v>
      </c>
      <c r="L1697" s="219"/>
      <c r="M1697" s="42"/>
      <c r="N1697" s="30" t="str">
        <f t="shared" si="161"/>
        <v/>
      </c>
      <c r="O1697" s="34"/>
      <c r="P1697" s="36" t="str">
        <f t="shared" si="156"/>
        <v/>
      </c>
      <c r="Q1697" s="216" t="str">
        <f t="shared" si="157"/>
        <v/>
      </c>
      <c r="R1697" s="216" t="str">
        <f t="shared" si="158"/>
        <v/>
      </c>
      <c r="S1697" s="217" t="str">
        <f t="shared" si="159"/>
        <v/>
      </c>
    </row>
    <row r="1698" spans="1:19" ht="15.75" hidden="1" thickBot="1" x14ac:dyDescent="0.3">
      <c r="A1698" s="262"/>
      <c r="B1698" s="260"/>
      <c r="C1698" s="35" t="s">
        <v>1017</v>
      </c>
      <c r="D1698" s="35" t="s">
        <v>583</v>
      </c>
      <c r="E1698" s="36">
        <v>0.14799999999999999</v>
      </c>
      <c r="F1698" s="30">
        <v>21.584</v>
      </c>
      <c r="G1698" s="30">
        <f t="shared" si="160"/>
        <v>3.1944319999999999</v>
      </c>
      <c r="H1698" s="38">
        <f>SUM(G1698:G1702)</f>
        <v>13.078640500000002</v>
      </c>
      <c r="I1698" s="39"/>
      <c r="J1698" s="152">
        <v>0</v>
      </c>
      <c r="L1698" s="215">
        <v>0.14799999999999999</v>
      </c>
      <c r="M1698" s="30">
        <v>18.475904</v>
      </c>
      <c r="N1698" s="30">
        <f t="shared" si="161"/>
        <v>2.7344337919999999</v>
      </c>
      <c r="O1698" s="38">
        <f>SUM(N1698:N1702)</f>
        <v>11.195316267999999</v>
      </c>
      <c r="P1698" s="36" t="str">
        <f t="shared" si="156"/>
        <v/>
      </c>
      <c r="Q1698" s="216">
        <f t="shared" si="157"/>
        <v>0.14400000000000002</v>
      </c>
      <c r="R1698" s="216">
        <f t="shared" si="158"/>
        <v>0.14400000000000002</v>
      </c>
      <c r="S1698" s="217">
        <f t="shared" si="159"/>
        <v>0.14400000000000024</v>
      </c>
    </row>
    <row r="1699" spans="1:19" ht="15.75" hidden="1" thickBot="1" x14ac:dyDescent="0.3">
      <c r="A1699" s="262"/>
      <c r="B1699" s="260"/>
      <c r="C1699" s="35" t="s">
        <v>1018</v>
      </c>
      <c r="D1699" s="35" t="s">
        <v>583</v>
      </c>
      <c r="E1699" s="36">
        <v>0.35510000000000003</v>
      </c>
      <c r="F1699" s="30">
        <v>27.835000000000001</v>
      </c>
      <c r="G1699" s="30">
        <f t="shared" si="160"/>
        <v>9.8842085000000015</v>
      </c>
      <c r="H1699" s="44"/>
      <c r="I1699" s="45"/>
      <c r="J1699" s="152">
        <v>0</v>
      </c>
      <c r="L1699" s="215">
        <v>0.35510000000000003</v>
      </c>
      <c r="M1699" s="30">
        <v>23.82676</v>
      </c>
      <c r="N1699" s="30">
        <f t="shared" si="161"/>
        <v>8.4608824760000001</v>
      </c>
      <c r="O1699" s="44"/>
      <c r="P1699" s="36" t="str">
        <f t="shared" si="156"/>
        <v/>
      </c>
      <c r="Q1699" s="216">
        <f t="shared" si="157"/>
        <v>0.14400000000000002</v>
      </c>
      <c r="R1699" s="216">
        <f t="shared" si="158"/>
        <v>0.14400000000000013</v>
      </c>
      <c r="S1699" s="217" t="str">
        <f t="shared" si="159"/>
        <v/>
      </c>
    </row>
    <row r="1700" spans="1:19" ht="26.25" hidden="1" thickBot="1" x14ac:dyDescent="0.3">
      <c r="A1700" s="262"/>
      <c r="B1700" s="260"/>
      <c r="C1700" s="35" t="s">
        <v>433</v>
      </c>
      <c r="D1700" s="35" t="s">
        <v>69</v>
      </c>
      <c r="E1700" s="36">
        <v>1.5</v>
      </c>
      <c r="F1700" s="33" t="s">
        <v>416</v>
      </c>
      <c r="G1700" s="30" t="str">
        <f t="shared" si="160"/>
        <v/>
      </c>
      <c r="H1700" s="34"/>
      <c r="I1700" s="30"/>
      <c r="J1700" s="152">
        <v>0</v>
      </c>
      <c r="L1700" s="215">
        <v>1.5</v>
      </c>
      <c r="M1700" s="33"/>
      <c r="N1700" s="30" t="str">
        <f t="shared" si="161"/>
        <v/>
      </c>
      <c r="O1700" s="34"/>
      <c r="P1700" s="36" t="str">
        <f t="shared" si="156"/>
        <v/>
      </c>
      <c r="Q1700" s="216" t="str">
        <f t="shared" si="157"/>
        <v/>
      </c>
      <c r="R1700" s="216" t="str">
        <f t="shared" si="158"/>
        <v/>
      </c>
      <c r="S1700" s="217" t="str">
        <f t="shared" si="159"/>
        <v/>
      </c>
    </row>
    <row r="1701" spans="1:19" ht="15.75" hidden="1" thickBot="1" x14ac:dyDescent="0.3">
      <c r="A1701" s="262"/>
      <c r="B1701" s="260"/>
      <c r="C1701" s="35" t="s">
        <v>434</v>
      </c>
      <c r="D1701" s="35" t="s">
        <v>107</v>
      </c>
      <c r="E1701" s="36">
        <v>1</v>
      </c>
      <c r="F1701" s="33" t="s">
        <v>416</v>
      </c>
      <c r="G1701" s="30" t="str">
        <f t="shared" si="160"/>
        <v/>
      </c>
      <c r="H1701" s="34"/>
      <c r="I1701" s="30"/>
      <c r="J1701" s="152">
        <v>0</v>
      </c>
      <c r="L1701" s="215">
        <v>1</v>
      </c>
      <c r="M1701" s="33"/>
      <c r="N1701" s="30" t="str">
        <f t="shared" si="161"/>
        <v/>
      </c>
      <c r="O1701" s="34"/>
      <c r="P1701" s="36" t="str">
        <f t="shared" si="156"/>
        <v/>
      </c>
      <c r="Q1701" s="216" t="str">
        <f t="shared" si="157"/>
        <v/>
      </c>
      <c r="R1701" s="216" t="str">
        <f t="shared" si="158"/>
        <v/>
      </c>
      <c r="S1701" s="217" t="str">
        <f t="shared" si="159"/>
        <v/>
      </c>
    </row>
    <row r="1702" spans="1:19" ht="15.75" hidden="1" thickBot="1" x14ac:dyDescent="0.3">
      <c r="A1702" s="262"/>
      <c r="B1702" s="260"/>
      <c r="C1702" s="35" t="s">
        <v>435</v>
      </c>
      <c r="D1702" s="35" t="s">
        <v>107</v>
      </c>
      <c r="E1702" s="36">
        <v>1</v>
      </c>
      <c r="F1702" s="33" t="s">
        <v>416</v>
      </c>
      <c r="G1702" s="30" t="str">
        <f t="shared" si="160"/>
        <v/>
      </c>
      <c r="H1702" s="34"/>
      <c r="I1702" s="30"/>
      <c r="J1702" s="152">
        <v>0</v>
      </c>
      <c r="L1702" s="215">
        <v>1</v>
      </c>
      <c r="M1702" s="33"/>
      <c r="N1702" s="30" t="str">
        <f t="shared" si="161"/>
        <v/>
      </c>
      <c r="O1702" s="34"/>
      <c r="P1702" s="36" t="str">
        <f t="shared" si="156"/>
        <v/>
      </c>
      <c r="Q1702" s="216" t="str">
        <f t="shared" si="157"/>
        <v/>
      </c>
      <c r="R1702" s="216" t="str">
        <f t="shared" si="158"/>
        <v/>
      </c>
      <c r="S1702" s="217" t="str">
        <f t="shared" si="159"/>
        <v/>
      </c>
    </row>
    <row r="1703" spans="1:19" ht="15.75" hidden="1" thickBot="1" x14ac:dyDescent="0.3">
      <c r="A1703" s="263"/>
      <c r="B1703" s="261"/>
      <c r="C1703" s="35"/>
      <c r="D1703" s="35"/>
      <c r="E1703" s="36"/>
      <c r="F1703" s="30" t="s">
        <v>416</v>
      </c>
      <c r="G1703" s="30" t="str">
        <f t="shared" si="160"/>
        <v/>
      </c>
      <c r="H1703" s="34"/>
      <c r="I1703" s="30"/>
      <c r="J1703" s="152">
        <v>0</v>
      </c>
      <c r="L1703" s="215"/>
      <c r="M1703" s="30"/>
      <c r="N1703" s="30" t="str">
        <f t="shared" si="161"/>
        <v/>
      </c>
      <c r="O1703" s="34"/>
      <c r="P1703" s="36" t="str">
        <f t="shared" si="156"/>
        <v/>
      </c>
      <c r="Q1703" s="216" t="str">
        <f t="shared" si="157"/>
        <v/>
      </c>
      <c r="R1703" s="216" t="str">
        <f t="shared" si="158"/>
        <v/>
      </c>
      <c r="S1703" s="217" t="str">
        <f t="shared" si="159"/>
        <v/>
      </c>
    </row>
    <row r="1704" spans="1:19" ht="15.75" hidden="1" thickBot="1" x14ac:dyDescent="0.3">
      <c r="A1704" s="256" t="s">
        <v>436</v>
      </c>
      <c r="B1704" s="259" t="str">
        <f>INDEX(Orçamentária!A:B,MATCH(Composições!A1704,Orçamentária!A:A,0),2)</f>
        <v>Luminária 2x14 W de embutir</v>
      </c>
      <c r="C1704" s="40"/>
      <c r="D1704" s="25" t="s">
        <v>16</v>
      </c>
      <c r="E1704" s="26"/>
      <c r="F1704" s="41" t="s">
        <v>416</v>
      </c>
      <c r="G1704" s="27" t="str">
        <f t="shared" si="160"/>
        <v/>
      </c>
      <c r="H1704" s="28"/>
      <c r="I1704" s="29"/>
      <c r="J1704" s="152">
        <v>0</v>
      </c>
      <c r="L1704" s="218"/>
      <c r="M1704" s="41"/>
      <c r="N1704" s="27" t="str">
        <f t="shared" si="161"/>
        <v/>
      </c>
      <c r="O1704" s="28"/>
      <c r="P1704" s="36" t="str">
        <f t="shared" si="156"/>
        <v/>
      </c>
      <c r="Q1704" s="216" t="str">
        <f t="shared" si="157"/>
        <v/>
      </c>
      <c r="R1704" s="216" t="str">
        <f t="shared" si="158"/>
        <v/>
      </c>
      <c r="S1704" s="217" t="str">
        <f t="shared" si="159"/>
        <v/>
      </c>
    </row>
    <row r="1705" spans="1:19" ht="15.75" hidden="1" thickBot="1" x14ac:dyDescent="0.3">
      <c r="A1705" s="262"/>
      <c r="B1705" s="260"/>
      <c r="C1705" s="31"/>
      <c r="D1705" s="31"/>
      <c r="E1705" s="32"/>
      <c r="F1705" s="42" t="s">
        <v>416</v>
      </c>
      <c r="G1705" s="30" t="str">
        <f t="shared" si="160"/>
        <v/>
      </c>
      <c r="H1705" s="34"/>
      <c r="I1705" s="30"/>
      <c r="J1705" s="152">
        <v>0</v>
      </c>
      <c r="L1705" s="219"/>
      <c r="M1705" s="42"/>
      <c r="N1705" s="30" t="str">
        <f t="shared" si="161"/>
        <v/>
      </c>
      <c r="O1705" s="34"/>
      <c r="P1705" s="36" t="str">
        <f t="shared" si="156"/>
        <v/>
      </c>
      <c r="Q1705" s="216" t="str">
        <f t="shared" si="157"/>
        <v/>
      </c>
      <c r="R1705" s="216" t="str">
        <f t="shared" si="158"/>
        <v/>
      </c>
      <c r="S1705" s="217" t="str">
        <f t="shared" si="159"/>
        <v/>
      </c>
    </row>
    <row r="1706" spans="1:19" ht="26.25" hidden="1" thickBot="1" x14ac:dyDescent="0.3">
      <c r="A1706" s="262"/>
      <c r="B1706" s="260"/>
      <c r="C1706" s="35" t="s">
        <v>437</v>
      </c>
      <c r="D1706" s="35" t="s">
        <v>107</v>
      </c>
      <c r="E1706" s="36">
        <v>1</v>
      </c>
      <c r="F1706" s="33" t="s">
        <v>416</v>
      </c>
      <c r="G1706" s="33" t="str">
        <f t="shared" si="160"/>
        <v/>
      </c>
      <c r="H1706" s="38">
        <f>SUM(G1706:G1713)</f>
        <v>13.078640500000002</v>
      </c>
      <c r="I1706" s="39"/>
      <c r="J1706" s="152">
        <v>0</v>
      </c>
      <c r="L1706" s="215">
        <v>1</v>
      </c>
      <c r="M1706" s="33"/>
      <c r="N1706" s="33" t="str">
        <f t="shared" si="161"/>
        <v/>
      </c>
      <c r="O1706" s="38">
        <f>SUM(N1706:N1713)</f>
        <v>11.195316267999999</v>
      </c>
      <c r="P1706" s="36" t="str">
        <f t="shared" si="156"/>
        <v/>
      </c>
      <c r="Q1706" s="216" t="str">
        <f t="shared" si="157"/>
        <v/>
      </c>
      <c r="R1706" s="216" t="str">
        <f t="shared" si="158"/>
        <v/>
      </c>
      <c r="S1706" s="217">
        <f t="shared" si="159"/>
        <v>0.14400000000000024</v>
      </c>
    </row>
    <row r="1707" spans="1:19" ht="26.25" hidden="1" thickBot="1" x14ac:dyDescent="0.3">
      <c r="A1707" s="262"/>
      <c r="B1707" s="260"/>
      <c r="C1707" s="35" t="s">
        <v>5553</v>
      </c>
      <c r="D1707" s="35" t="s">
        <v>107</v>
      </c>
      <c r="E1707" s="36">
        <v>1</v>
      </c>
      <c r="F1707" s="33" t="s">
        <v>416</v>
      </c>
      <c r="G1707" s="33" t="str">
        <f t="shared" si="160"/>
        <v/>
      </c>
      <c r="H1707" s="44"/>
      <c r="I1707" s="45"/>
      <c r="J1707" s="152">
        <v>0</v>
      </c>
      <c r="L1707" s="215">
        <v>1</v>
      </c>
      <c r="M1707" s="33"/>
      <c r="N1707" s="33" t="str">
        <f t="shared" si="161"/>
        <v/>
      </c>
      <c r="O1707" s="44"/>
      <c r="P1707" s="36" t="str">
        <f t="shared" si="156"/>
        <v/>
      </c>
      <c r="Q1707" s="216" t="str">
        <f t="shared" si="157"/>
        <v/>
      </c>
      <c r="R1707" s="216" t="str">
        <f t="shared" si="158"/>
        <v/>
      </c>
      <c r="S1707" s="217" t="str">
        <f t="shared" si="159"/>
        <v/>
      </c>
    </row>
    <row r="1708" spans="1:19" ht="26.25" hidden="1" thickBot="1" x14ac:dyDescent="0.3">
      <c r="A1708" s="262"/>
      <c r="B1708" s="260"/>
      <c r="C1708" s="35" t="s">
        <v>438</v>
      </c>
      <c r="D1708" s="35" t="s">
        <v>107</v>
      </c>
      <c r="E1708" s="36">
        <v>2</v>
      </c>
      <c r="F1708" s="33" t="s">
        <v>416</v>
      </c>
      <c r="G1708" s="33" t="str">
        <f t="shared" si="160"/>
        <v/>
      </c>
      <c r="H1708" s="44"/>
      <c r="I1708" s="45"/>
      <c r="J1708" s="152">
        <v>0</v>
      </c>
      <c r="L1708" s="215">
        <v>2</v>
      </c>
      <c r="M1708" s="33"/>
      <c r="N1708" s="33" t="str">
        <f t="shared" si="161"/>
        <v/>
      </c>
      <c r="O1708" s="44"/>
      <c r="P1708" s="36" t="str">
        <f t="shared" si="156"/>
        <v/>
      </c>
      <c r="Q1708" s="216" t="str">
        <f t="shared" si="157"/>
        <v/>
      </c>
      <c r="R1708" s="216" t="str">
        <f t="shared" si="158"/>
        <v/>
      </c>
      <c r="S1708" s="217" t="str">
        <f t="shared" si="159"/>
        <v/>
      </c>
    </row>
    <row r="1709" spans="1:19" ht="26.25" hidden="1" thickBot="1" x14ac:dyDescent="0.3">
      <c r="A1709" s="262"/>
      <c r="B1709" s="260"/>
      <c r="C1709" s="35" t="s">
        <v>433</v>
      </c>
      <c r="D1709" s="35" t="s">
        <v>69</v>
      </c>
      <c r="E1709" s="36">
        <v>1.5</v>
      </c>
      <c r="F1709" s="33" t="s">
        <v>416</v>
      </c>
      <c r="G1709" s="30" t="str">
        <f t="shared" si="160"/>
        <v/>
      </c>
      <c r="H1709" s="34"/>
      <c r="I1709" s="30"/>
      <c r="J1709" s="152">
        <v>0</v>
      </c>
      <c r="L1709" s="215">
        <v>1.5</v>
      </c>
      <c r="M1709" s="33"/>
      <c r="N1709" s="30" t="str">
        <f t="shared" si="161"/>
        <v/>
      </c>
      <c r="O1709" s="34"/>
      <c r="P1709" s="36" t="str">
        <f t="shared" si="156"/>
        <v/>
      </c>
      <c r="Q1709" s="216" t="str">
        <f t="shared" si="157"/>
        <v/>
      </c>
      <c r="R1709" s="216" t="str">
        <f t="shared" si="158"/>
        <v/>
      </c>
      <c r="S1709" s="217" t="str">
        <f t="shared" si="159"/>
        <v/>
      </c>
    </row>
    <row r="1710" spans="1:19" ht="15.75" hidden="1" thickBot="1" x14ac:dyDescent="0.3">
      <c r="A1710" s="262"/>
      <c r="B1710" s="260"/>
      <c r="C1710" s="35" t="s">
        <v>434</v>
      </c>
      <c r="D1710" s="35" t="s">
        <v>107</v>
      </c>
      <c r="E1710" s="36">
        <v>1</v>
      </c>
      <c r="F1710" s="33" t="s">
        <v>416</v>
      </c>
      <c r="G1710" s="30" t="str">
        <f t="shared" si="160"/>
        <v/>
      </c>
      <c r="H1710" s="34"/>
      <c r="I1710" s="30"/>
      <c r="J1710" s="152">
        <v>0</v>
      </c>
      <c r="L1710" s="215">
        <v>1</v>
      </c>
      <c r="M1710" s="33"/>
      <c r="N1710" s="30" t="str">
        <f t="shared" si="161"/>
        <v/>
      </c>
      <c r="O1710" s="34"/>
      <c r="P1710" s="36" t="str">
        <f t="shared" si="156"/>
        <v/>
      </c>
      <c r="Q1710" s="216" t="str">
        <f t="shared" si="157"/>
        <v/>
      </c>
      <c r="R1710" s="216" t="str">
        <f t="shared" si="158"/>
        <v/>
      </c>
      <c r="S1710" s="217" t="str">
        <f t="shared" si="159"/>
        <v/>
      </c>
    </row>
    <row r="1711" spans="1:19" ht="15.75" hidden="1" thickBot="1" x14ac:dyDescent="0.3">
      <c r="A1711" s="262"/>
      <c r="B1711" s="260"/>
      <c r="C1711" s="35" t="s">
        <v>435</v>
      </c>
      <c r="D1711" s="35" t="s">
        <v>107</v>
      </c>
      <c r="E1711" s="36">
        <v>1</v>
      </c>
      <c r="F1711" s="33" t="s">
        <v>416</v>
      </c>
      <c r="G1711" s="30" t="str">
        <f t="shared" si="160"/>
        <v/>
      </c>
      <c r="H1711" s="34"/>
      <c r="I1711" s="30"/>
      <c r="J1711" s="152">
        <v>0</v>
      </c>
      <c r="L1711" s="215">
        <v>1</v>
      </c>
      <c r="M1711" s="33"/>
      <c r="N1711" s="30" t="str">
        <f t="shared" si="161"/>
        <v/>
      </c>
      <c r="O1711" s="34"/>
      <c r="P1711" s="36" t="str">
        <f t="shared" si="156"/>
        <v/>
      </c>
      <c r="Q1711" s="216" t="str">
        <f t="shared" si="157"/>
        <v/>
      </c>
      <c r="R1711" s="216" t="str">
        <f t="shared" si="158"/>
        <v/>
      </c>
      <c r="S1711" s="217" t="str">
        <f t="shared" si="159"/>
        <v/>
      </c>
    </row>
    <row r="1712" spans="1:19" ht="15.75" hidden="1" thickBot="1" x14ac:dyDescent="0.3">
      <c r="A1712" s="262"/>
      <c r="B1712" s="260"/>
      <c r="C1712" s="35" t="s">
        <v>1017</v>
      </c>
      <c r="D1712" s="35" t="s">
        <v>583</v>
      </c>
      <c r="E1712" s="36">
        <v>0.14799999999999999</v>
      </c>
      <c r="F1712" s="30">
        <v>21.584</v>
      </c>
      <c r="G1712" s="33">
        <f t="shared" si="160"/>
        <v>3.1944319999999999</v>
      </c>
      <c r="H1712" s="34"/>
      <c r="I1712" s="30"/>
      <c r="J1712" s="152">
        <v>0</v>
      </c>
      <c r="L1712" s="215">
        <v>0.14799999999999999</v>
      </c>
      <c r="M1712" s="30">
        <v>18.475904</v>
      </c>
      <c r="N1712" s="33">
        <f t="shared" si="161"/>
        <v>2.7344337919999999</v>
      </c>
      <c r="O1712" s="34"/>
      <c r="P1712" s="36" t="str">
        <f t="shared" si="156"/>
        <v/>
      </c>
      <c r="Q1712" s="216">
        <f t="shared" si="157"/>
        <v>0.14400000000000002</v>
      </c>
      <c r="R1712" s="216">
        <f t="shared" si="158"/>
        <v>0.14400000000000002</v>
      </c>
      <c r="S1712" s="217" t="str">
        <f t="shared" si="159"/>
        <v/>
      </c>
    </row>
    <row r="1713" spans="1:19" ht="15.75" hidden="1" thickBot="1" x14ac:dyDescent="0.3">
      <c r="A1713" s="262"/>
      <c r="B1713" s="260"/>
      <c r="C1713" s="35" t="s">
        <v>1018</v>
      </c>
      <c r="D1713" s="35" t="s">
        <v>583</v>
      </c>
      <c r="E1713" s="36">
        <v>0.35510000000000003</v>
      </c>
      <c r="F1713" s="30">
        <v>27.835000000000001</v>
      </c>
      <c r="G1713" s="30">
        <f t="shared" si="160"/>
        <v>9.8842085000000015</v>
      </c>
      <c r="H1713" s="34"/>
      <c r="I1713" s="30"/>
      <c r="J1713" s="152">
        <v>0</v>
      </c>
      <c r="L1713" s="215">
        <v>0.35510000000000003</v>
      </c>
      <c r="M1713" s="30">
        <v>23.82676</v>
      </c>
      <c r="N1713" s="30">
        <f t="shared" si="161"/>
        <v>8.4608824760000001</v>
      </c>
      <c r="O1713" s="34"/>
      <c r="P1713" s="36" t="str">
        <f t="shared" si="156"/>
        <v/>
      </c>
      <c r="Q1713" s="216">
        <f t="shared" si="157"/>
        <v>0.14400000000000002</v>
      </c>
      <c r="R1713" s="216">
        <f t="shared" si="158"/>
        <v>0.14400000000000013</v>
      </c>
      <c r="S1713" s="217" t="str">
        <f t="shared" si="159"/>
        <v/>
      </c>
    </row>
    <row r="1714" spans="1:19" ht="15.75" hidden="1" thickBot="1" x14ac:dyDescent="0.3">
      <c r="A1714" s="263"/>
      <c r="B1714" s="261"/>
      <c r="C1714" s="35"/>
      <c r="D1714" s="35"/>
      <c r="E1714" s="36"/>
      <c r="F1714" s="30" t="s">
        <v>416</v>
      </c>
      <c r="G1714" s="30" t="str">
        <f t="shared" si="160"/>
        <v/>
      </c>
      <c r="H1714" s="34"/>
      <c r="I1714" s="30"/>
      <c r="J1714" s="152">
        <v>0</v>
      </c>
      <c r="L1714" s="215"/>
      <c r="M1714" s="30"/>
      <c r="N1714" s="30" t="str">
        <f t="shared" si="161"/>
        <v/>
      </c>
      <c r="O1714" s="34"/>
      <c r="P1714" s="36" t="str">
        <f t="shared" si="156"/>
        <v/>
      </c>
      <c r="Q1714" s="216" t="str">
        <f t="shared" si="157"/>
        <v/>
      </c>
      <c r="R1714" s="216" t="str">
        <f t="shared" si="158"/>
        <v/>
      </c>
      <c r="S1714" s="217" t="str">
        <f t="shared" si="159"/>
        <v/>
      </c>
    </row>
    <row r="1715" spans="1:19" ht="15.75" hidden="1" thickBot="1" x14ac:dyDescent="0.3">
      <c r="A1715" s="256" t="s">
        <v>439</v>
      </c>
      <c r="B1715" s="259" t="str">
        <f>INDEX(Orçamentária!A:B,MATCH(Composições!A1715,Orçamentária!A:A,0),2)</f>
        <v>Luminária 2x14 W de sobrepor</v>
      </c>
      <c r="C1715" s="40"/>
      <c r="D1715" s="25" t="s">
        <v>16</v>
      </c>
      <c r="E1715" s="26"/>
      <c r="F1715" s="41" t="s">
        <v>416</v>
      </c>
      <c r="G1715" s="27" t="str">
        <f t="shared" si="160"/>
        <v/>
      </c>
      <c r="H1715" s="28"/>
      <c r="I1715" s="29"/>
      <c r="J1715" s="152">
        <v>0</v>
      </c>
      <c r="L1715" s="218"/>
      <c r="M1715" s="41"/>
      <c r="N1715" s="27" t="str">
        <f t="shared" si="161"/>
        <v/>
      </c>
      <c r="O1715" s="28"/>
      <c r="P1715" s="36" t="str">
        <f t="shared" si="156"/>
        <v/>
      </c>
      <c r="Q1715" s="216" t="str">
        <f t="shared" si="157"/>
        <v/>
      </c>
      <c r="R1715" s="216" t="str">
        <f t="shared" si="158"/>
        <v/>
      </c>
      <c r="S1715" s="217" t="str">
        <f t="shared" si="159"/>
        <v/>
      </c>
    </row>
    <row r="1716" spans="1:19" ht="15.75" hidden="1" thickBot="1" x14ac:dyDescent="0.3">
      <c r="A1716" s="262"/>
      <c r="B1716" s="260"/>
      <c r="C1716" s="31"/>
      <c r="D1716" s="31"/>
      <c r="E1716" s="32"/>
      <c r="F1716" s="42" t="s">
        <v>416</v>
      </c>
      <c r="G1716" s="30" t="str">
        <f t="shared" si="160"/>
        <v/>
      </c>
      <c r="H1716" s="34"/>
      <c r="I1716" s="30"/>
      <c r="J1716" s="152">
        <v>0</v>
      </c>
      <c r="L1716" s="219"/>
      <c r="M1716" s="42"/>
      <c r="N1716" s="30" t="str">
        <f t="shared" si="161"/>
        <v/>
      </c>
      <c r="O1716" s="34"/>
      <c r="P1716" s="36" t="str">
        <f t="shared" si="156"/>
        <v/>
      </c>
      <c r="Q1716" s="216" t="str">
        <f t="shared" si="157"/>
        <v/>
      </c>
      <c r="R1716" s="216" t="str">
        <f t="shared" si="158"/>
        <v/>
      </c>
      <c r="S1716" s="217" t="str">
        <f t="shared" si="159"/>
        <v/>
      </c>
    </row>
    <row r="1717" spans="1:19" ht="26.25" hidden="1" thickBot="1" x14ac:dyDescent="0.3">
      <c r="A1717" s="262"/>
      <c r="B1717" s="260"/>
      <c r="C1717" s="35" t="s">
        <v>440</v>
      </c>
      <c r="D1717" s="35" t="s">
        <v>107</v>
      </c>
      <c r="E1717" s="36">
        <v>1</v>
      </c>
      <c r="F1717" s="33" t="s">
        <v>416</v>
      </c>
      <c r="G1717" s="33" t="str">
        <f t="shared" si="160"/>
        <v/>
      </c>
      <c r="H1717" s="38">
        <f>SUM(G1717:G1724)</f>
        <v>15.262380800000001</v>
      </c>
      <c r="I1717" s="39"/>
      <c r="J1717" s="152">
        <v>0</v>
      </c>
      <c r="L1717" s="215">
        <v>1</v>
      </c>
      <c r="M1717" s="33"/>
      <c r="N1717" s="33" t="str">
        <f t="shared" si="161"/>
        <v/>
      </c>
      <c r="O1717" s="38">
        <f>SUM(N1717:N1724)</f>
        <v>13.064597964799999</v>
      </c>
      <c r="P1717" s="36" t="str">
        <f t="shared" si="156"/>
        <v/>
      </c>
      <c r="Q1717" s="216" t="str">
        <f t="shared" si="157"/>
        <v/>
      </c>
      <c r="R1717" s="216" t="str">
        <f t="shared" si="158"/>
        <v/>
      </c>
      <c r="S1717" s="217">
        <f t="shared" si="159"/>
        <v>0.14400000000000013</v>
      </c>
    </row>
    <row r="1718" spans="1:19" ht="26.25" hidden="1" thickBot="1" x14ac:dyDescent="0.3">
      <c r="A1718" s="262"/>
      <c r="B1718" s="260"/>
      <c r="C1718" s="35" t="s">
        <v>5553</v>
      </c>
      <c r="D1718" s="35" t="s">
        <v>107</v>
      </c>
      <c r="E1718" s="36">
        <v>1</v>
      </c>
      <c r="F1718" s="33" t="s">
        <v>416</v>
      </c>
      <c r="G1718" s="33" t="str">
        <f t="shared" si="160"/>
        <v/>
      </c>
      <c r="H1718" s="44"/>
      <c r="I1718" s="45"/>
      <c r="J1718" s="152">
        <v>0</v>
      </c>
      <c r="L1718" s="215">
        <v>1</v>
      </c>
      <c r="M1718" s="33"/>
      <c r="N1718" s="33" t="str">
        <f t="shared" si="161"/>
        <v/>
      </c>
      <c r="O1718" s="44"/>
      <c r="P1718" s="36" t="str">
        <f t="shared" si="156"/>
        <v/>
      </c>
      <c r="Q1718" s="216" t="str">
        <f t="shared" si="157"/>
        <v/>
      </c>
      <c r="R1718" s="216" t="str">
        <f t="shared" si="158"/>
        <v/>
      </c>
      <c r="S1718" s="217" t="str">
        <f t="shared" si="159"/>
        <v/>
      </c>
    </row>
    <row r="1719" spans="1:19" ht="26.25" hidden="1" thickBot="1" x14ac:dyDescent="0.3">
      <c r="A1719" s="262"/>
      <c r="B1719" s="260"/>
      <c r="C1719" s="35" t="s">
        <v>438</v>
      </c>
      <c r="D1719" s="35" t="s">
        <v>107</v>
      </c>
      <c r="E1719" s="36">
        <v>2</v>
      </c>
      <c r="F1719" s="33" t="s">
        <v>416</v>
      </c>
      <c r="G1719" s="33" t="str">
        <f t="shared" si="160"/>
        <v/>
      </c>
      <c r="H1719" s="44"/>
      <c r="I1719" s="45"/>
      <c r="J1719" s="152">
        <v>0</v>
      </c>
      <c r="L1719" s="215">
        <v>2</v>
      </c>
      <c r="M1719" s="33"/>
      <c r="N1719" s="33" t="str">
        <f t="shared" si="161"/>
        <v/>
      </c>
      <c r="O1719" s="44"/>
      <c r="P1719" s="36" t="str">
        <f t="shared" si="156"/>
        <v/>
      </c>
      <c r="Q1719" s="216" t="str">
        <f t="shared" si="157"/>
        <v/>
      </c>
      <c r="R1719" s="216" t="str">
        <f t="shared" si="158"/>
        <v/>
      </c>
      <c r="S1719" s="217" t="str">
        <f t="shared" si="159"/>
        <v/>
      </c>
    </row>
    <row r="1720" spans="1:19" ht="26.25" hidden="1" thickBot="1" x14ac:dyDescent="0.3">
      <c r="A1720" s="262"/>
      <c r="B1720" s="260"/>
      <c r="C1720" s="35" t="s">
        <v>433</v>
      </c>
      <c r="D1720" s="35" t="s">
        <v>69</v>
      </c>
      <c r="E1720" s="36">
        <v>1.5</v>
      </c>
      <c r="F1720" s="33" t="s">
        <v>416</v>
      </c>
      <c r="G1720" s="30" t="str">
        <f t="shared" si="160"/>
        <v/>
      </c>
      <c r="H1720" s="34"/>
      <c r="I1720" s="30"/>
      <c r="J1720" s="152">
        <v>0</v>
      </c>
      <c r="L1720" s="215">
        <v>1.5</v>
      </c>
      <c r="M1720" s="33"/>
      <c r="N1720" s="30" t="str">
        <f t="shared" si="161"/>
        <v/>
      </c>
      <c r="O1720" s="34"/>
      <c r="P1720" s="36" t="str">
        <f t="shared" si="156"/>
        <v/>
      </c>
      <c r="Q1720" s="216" t="str">
        <f t="shared" si="157"/>
        <v/>
      </c>
      <c r="R1720" s="216" t="str">
        <f t="shared" si="158"/>
        <v/>
      </c>
      <c r="S1720" s="217" t="str">
        <f t="shared" si="159"/>
        <v/>
      </c>
    </row>
    <row r="1721" spans="1:19" ht="15.75" hidden="1" thickBot="1" x14ac:dyDescent="0.3">
      <c r="A1721" s="262"/>
      <c r="B1721" s="260"/>
      <c r="C1721" s="35" t="s">
        <v>434</v>
      </c>
      <c r="D1721" s="35" t="s">
        <v>107</v>
      </c>
      <c r="E1721" s="36">
        <v>1</v>
      </c>
      <c r="F1721" s="33" t="s">
        <v>416</v>
      </c>
      <c r="G1721" s="30" t="str">
        <f t="shared" si="160"/>
        <v/>
      </c>
      <c r="H1721" s="34"/>
      <c r="I1721" s="30"/>
      <c r="J1721" s="152">
        <v>0</v>
      </c>
      <c r="L1721" s="215">
        <v>1</v>
      </c>
      <c r="M1721" s="33"/>
      <c r="N1721" s="30" t="str">
        <f t="shared" si="161"/>
        <v/>
      </c>
      <c r="O1721" s="34"/>
      <c r="P1721" s="36" t="str">
        <f t="shared" si="156"/>
        <v/>
      </c>
      <c r="Q1721" s="216" t="str">
        <f t="shared" si="157"/>
        <v/>
      </c>
      <c r="R1721" s="216" t="str">
        <f t="shared" si="158"/>
        <v/>
      </c>
      <c r="S1721" s="217" t="str">
        <f t="shared" si="159"/>
        <v/>
      </c>
    </row>
    <row r="1722" spans="1:19" ht="15.75" hidden="1" thickBot="1" x14ac:dyDescent="0.3">
      <c r="A1722" s="262"/>
      <c r="B1722" s="260"/>
      <c r="C1722" s="35" t="s">
        <v>435</v>
      </c>
      <c r="D1722" s="35" t="s">
        <v>107</v>
      </c>
      <c r="E1722" s="36">
        <v>1</v>
      </c>
      <c r="F1722" s="33" t="s">
        <v>416</v>
      </c>
      <c r="G1722" s="30" t="str">
        <f t="shared" si="160"/>
        <v/>
      </c>
      <c r="H1722" s="34"/>
      <c r="I1722" s="30"/>
      <c r="J1722" s="152">
        <v>0</v>
      </c>
      <c r="L1722" s="215">
        <v>1</v>
      </c>
      <c r="M1722" s="33"/>
      <c r="N1722" s="30" t="str">
        <f t="shared" si="161"/>
        <v/>
      </c>
      <c r="O1722" s="34"/>
      <c r="P1722" s="36" t="str">
        <f t="shared" si="156"/>
        <v/>
      </c>
      <c r="Q1722" s="216" t="str">
        <f t="shared" si="157"/>
        <v/>
      </c>
      <c r="R1722" s="216" t="str">
        <f t="shared" si="158"/>
        <v/>
      </c>
      <c r="S1722" s="217" t="str">
        <f t="shared" si="159"/>
        <v/>
      </c>
    </row>
    <row r="1723" spans="1:19" ht="15.75" hidden="1" thickBot="1" x14ac:dyDescent="0.3">
      <c r="A1723" s="262"/>
      <c r="B1723" s="260"/>
      <c r="C1723" s="35" t="s">
        <v>1017</v>
      </c>
      <c r="D1723" s="35" t="s">
        <v>583</v>
      </c>
      <c r="E1723" s="36">
        <v>0.17269999999999999</v>
      </c>
      <c r="F1723" s="30">
        <v>21.584</v>
      </c>
      <c r="G1723" s="30">
        <f t="shared" si="160"/>
        <v>3.7275567999999999</v>
      </c>
      <c r="H1723" s="34"/>
      <c r="I1723" s="30"/>
      <c r="J1723" s="152">
        <v>0</v>
      </c>
      <c r="L1723" s="215">
        <v>0.17269999999999999</v>
      </c>
      <c r="M1723" s="30">
        <v>18.475904</v>
      </c>
      <c r="N1723" s="30">
        <f t="shared" si="161"/>
        <v>3.1907886207999998</v>
      </c>
      <c r="O1723" s="34"/>
      <c r="P1723" s="36" t="str">
        <f t="shared" si="156"/>
        <v/>
      </c>
      <c r="Q1723" s="216">
        <f t="shared" si="157"/>
        <v>0.14400000000000002</v>
      </c>
      <c r="R1723" s="216">
        <f t="shared" si="158"/>
        <v>0.14400000000000002</v>
      </c>
      <c r="S1723" s="217" t="str">
        <f t="shared" si="159"/>
        <v/>
      </c>
    </row>
    <row r="1724" spans="1:19" ht="15.75" hidden="1" thickBot="1" x14ac:dyDescent="0.3">
      <c r="A1724" s="262"/>
      <c r="B1724" s="260"/>
      <c r="C1724" s="35" t="s">
        <v>1018</v>
      </c>
      <c r="D1724" s="35" t="s">
        <v>583</v>
      </c>
      <c r="E1724" s="36">
        <v>0.41439999999999999</v>
      </c>
      <c r="F1724" s="30">
        <v>27.835000000000001</v>
      </c>
      <c r="G1724" s="30">
        <f t="shared" si="160"/>
        <v>11.534824</v>
      </c>
      <c r="H1724" s="34"/>
      <c r="I1724" s="30"/>
      <c r="J1724" s="152">
        <v>0</v>
      </c>
      <c r="L1724" s="215">
        <v>0.41439999999999999</v>
      </c>
      <c r="M1724" s="30">
        <v>23.82676</v>
      </c>
      <c r="N1724" s="30">
        <f t="shared" si="161"/>
        <v>9.8738093439999997</v>
      </c>
      <c r="O1724" s="34"/>
      <c r="P1724" s="36" t="str">
        <f t="shared" si="156"/>
        <v/>
      </c>
      <c r="Q1724" s="216">
        <f t="shared" si="157"/>
        <v>0.14400000000000002</v>
      </c>
      <c r="R1724" s="216">
        <f t="shared" si="158"/>
        <v>0.14400000000000002</v>
      </c>
      <c r="S1724" s="217" t="str">
        <f t="shared" si="159"/>
        <v/>
      </c>
    </row>
    <row r="1725" spans="1:19" ht="15.75" hidden="1" thickBot="1" x14ac:dyDescent="0.3">
      <c r="A1725" s="263"/>
      <c r="B1725" s="261"/>
      <c r="C1725" s="35"/>
      <c r="D1725" s="35"/>
      <c r="E1725" s="36"/>
      <c r="F1725" s="30" t="s">
        <v>416</v>
      </c>
      <c r="G1725" s="30" t="str">
        <f t="shared" si="160"/>
        <v/>
      </c>
      <c r="H1725" s="34"/>
      <c r="I1725" s="30"/>
      <c r="J1725" s="152">
        <v>0</v>
      </c>
      <c r="L1725" s="215"/>
      <c r="M1725" s="30"/>
      <c r="N1725" s="30" t="str">
        <f t="shared" si="161"/>
        <v/>
      </c>
      <c r="O1725" s="34"/>
      <c r="P1725" s="36" t="str">
        <f t="shared" si="156"/>
        <v/>
      </c>
      <c r="Q1725" s="216" t="str">
        <f t="shared" si="157"/>
        <v/>
      </c>
      <c r="R1725" s="216" t="str">
        <f t="shared" si="158"/>
        <v/>
      </c>
      <c r="S1725" s="217" t="str">
        <f t="shared" si="159"/>
        <v/>
      </c>
    </row>
    <row r="1726" spans="1:19" ht="15.75" hidden="1" thickBot="1" x14ac:dyDescent="0.3">
      <c r="A1726" s="256" t="s">
        <v>441</v>
      </c>
      <c r="B1726" s="259" t="str">
        <f>INDEX(Orçamentária!A:B,MATCH(Composições!A1726,Orçamentária!A:A,0),2)</f>
        <v>Luminária 2x28 W de embutir</v>
      </c>
      <c r="C1726" s="40"/>
      <c r="D1726" s="25" t="s">
        <v>16</v>
      </c>
      <c r="E1726" s="26"/>
      <c r="F1726" s="41" t="s">
        <v>416</v>
      </c>
      <c r="G1726" s="27" t="str">
        <f t="shared" si="160"/>
        <v/>
      </c>
      <c r="H1726" s="28"/>
      <c r="I1726" s="29"/>
      <c r="J1726" s="152">
        <v>0</v>
      </c>
      <c r="L1726" s="218"/>
      <c r="M1726" s="41"/>
      <c r="N1726" s="27" t="str">
        <f t="shared" si="161"/>
        <v/>
      </c>
      <c r="O1726" s="28"/>
      <c r="P1726" s="36" t="str">
        <f t="shared" si="156"/>
        <v/>
      </c>
      <c r="Q1726" s="216" t="str">
        <f t="shared" si="157"/>
        <v/>
      </c>
      <c r="R1726" s="216" t="str">
        <f t="shared" si="158"/>
        <v/>
      </c>
      <c r="S1726" s="217" t="str">
        <f t="shared" si="159"/>
        <v/>
      </c>
    </row>
    <row r="1727" spans="1:19" ht="15.75" hidden="1" thickBot="1" x14ac:dyDescent="0.3">
      <c r="A1727" s="262"/>
      <c r="B1727" s="260"/>
      <c r="C1727" s="31"/>
      <c r="D1727" s="31"/>
      <c r="E1727" s="32"/>
      <c r="F1727" s="42" t="s">
        <v>416</v>
      </c>
      <c r="G1727" s="30" t="str">
        <f t="shared" si="160"/>
        <v/>
      </c>
      <c r="H1727" s="34"/>
      <c r="I1727" s="30"/>
      <c r="J1727" s="152">
        <v>0</v>
      </c>
      <c r="L1727" s="219"/>
      <c r="M1727" s="42"/>
      <c r="N1727" s="30" t="str">
        <f t="shared" si="161"/>
        <v/>
      </c>
      <c r="O1727" s="34"/>
      <c r="P1727" s="36" t="str">
        <f t="shared" si="156"/>
        <v/>
      </c>
      <c r="Q1727" s="216" t="str">
        <f t="shared" si="157"/>
        <v/>
      </c>
      <c r="R1727" s="216" t="str">
        <f t="shared" si="158"/>
        <v/>
      </c>
      <c r="S1727" s="217" t="str">
        <f t="shared" si="159"/>
        <v/>
      </c>
    </row>
    <row r="1728" spans="1:19" ht="26.25" hidden="1" thickBot="1" x14ac:dyDescent="0.3">
      <c r="A1728" s="262"/>
      <c r="B1728" s="260"/>
      <c r="C1728" s="35" t="s">
        <v>442</v>
      </c>
      <c r="D1728" s="35" t="s">
        <v>107</v>
      </c>
      <c r="E1728" s="36">
        <v>1</v>
      </c>
      <c r="F1728" s="33" t="s">
        <v>416</v>
      </c>
      <c r="G1728" s="30" t="str">
        <f t="shared" si="160"/>
        <v/>
      </c>
      <c r="H1728" s="38">
        <f>SUM(G1728:G1735)</f>
        <v>13.078640500000002</v>
      </c>
      <c r="I1728" s="39"/>
      <c r="J1728" s="152">
        <v>0</v>
      </c>
      <c r="L1728" s="215">
        <v>1</v>
      </c>
      <c r="M1728" s="33"/>
      <c r="N1728" s="30" t="str">
        <f t="shared" si="161"/>
        <v/>
      </c>
      <c r="O1728" s="38">
        <f>SUM(N1728:N1735)</f>
        <v>11.195316267999999</v>
      </c>
      <c r="P1728" s="36" t="str">
        <f t="shared" si="156"/>
        <v/>
      </c>
      <c r="Q1728" s="216" t="str">
        <f t="shared" si="157"/>
        <v/>
      </c>
      <c r="R1728" s="216" t="str">
        <f t="shared" si="158"/>
        <v/>
      </c>
      <c r="S1728" s="217">
        <f t="shared" si="159"/>
        <v>0.14400000000000024</v>
      </c>
    </row>
    <row r="1729" spans="1:19" ht="26.25" hidden="1" thickBot="1" x14ac:dyDescent="0.3">
      <c r="A1729" s="262"/>
      <c r="B1729" s="260"/>
      <c r="C1729" s="35" t="s">
        <v>5552</v>
      </c>
      <c r="D1729" s="35" t="s">
        <v>107</v>
      </c>
      <c r="E1729" s="36">
        <v>1</v>
      </c>
      <c r="F1729" s="33" t="s">
        <v>416</v>
      </c>
      <c r="G1729" s="30" t="str">
        <f t="shared" si="160"/>
        <v/>
      </c>
      <c r="H1729" s="44"/>
      <c r="I1729" s="45"/>
      <c r="J1729" s="152">
        <v>0</v>
      </c>
      <c r="L1729" s="215">
        <v>1</v>
      </c>
      <c r="M1729" s="33"/>
      <c r="N1729" s="30" t="str">
        <f t="shared" si="161"/>
        <v/>
      </c>
      <c r="O1729" s="44"/>
      <c r="P1729" s="36" t="str">
        <f t="shared" si="156"/>
        <v/>
      </c>
      <c r="Q1729" s="216" t="str">
        <f t="shared" si="157"/>
        <v/>
      </c>
      <c r="R1729" s="216" t="str">
        <f t="shared" si="158"/>
        <v/>
      </c>
      <c r="S1729" s="217" t="str">
        <f t="shared" si="159"/>
        <v/>
      </c>
    </row>
    <row r="1730" spans="1:19" ht="26.25" hidden="1" thickBot="1" x14ac:dyDescent="0.3">
      <c r="A1730" s="262"/>
      <c r="B1730" s="260"/>
      <c r="C1730" s="35" t="s">
        <v>443</v>
      </c>
      <c r="D1730" s="35" t="s">
        <v>107</v>
      </c>
      <c r="E1730" s="36">
        <v>2</v>
      </c>
      <c r="F1730" s="33" t="s">
        <v>416</v>
      </c>
      <c r="G1730" s="30" t="str">
        <f t="shared" si="160"/>
        <v/>
      </c>
      <c r="H1730" s="44"/>
      <c r="I1730" s="45"/>
      <c r="J1730" s="152">
        <v>0</v>
      </c>
      <c r="L1730" s="215">
        <v>2</v>
      </c>
      <c r="M1730" s="33"/>
      <c r="N1730" s="30" t="str">
        <f t="shared" si="161"/>
        <v/>
      </c>
      <c r="O1730" s="44"/>
      <c r="P1730" s="36" t="str">
        <f t="shared" si="156"/>
        <v/>
      </c>
      <c r="Q1730" s="216" t="str">
        <f t="shared" si="157"/>
        <v/>
      </c>
      <c r="R1730" s="216" t="str">
        <f t="shared" si="158"/>
        <v/>
      </c>
      <c r="S1730" s="217" t="str">
        <f t="shared" si="159"/>
        <v/>
      </c>
    </row>
    <row r="1731" spans="1:19" ht="26.25" hidden="1" thickBot="1" x14ac:dyDescent="0.3">
      <c r="A1731" s="262"/>
      <c r="B1731" s="260"/>
      <c r="C1731" s="35" t="s">
        <v>433</v>
      </c>
      <c r="D1731" s="35" t="s">
        <v>69</v>
      </c>
      <c r="E1731" s="36">
        <v>1.5</v>
      </c>
      <c r="F1731" s="33" t="s">
        <v>416</v>
      </c>
      <c r="G1731" s="30" t="str">
        <f t="shared" si="160"/>
        <v/>
      </c>
      <c r="H1731" s="34"/>
      <c r="I1731" s="30"/>
      <c r="J1731" s="152">
        <v>0</v>
      </c>
      <c r="L1731" s="215">
        <v>1.5</v>
      </c>
      <c r="M1731" s="33"/>
      <c r="N1731" s="30" t="str">
        <f t="shared" si="161"/>
        <v/>
      </c>
      <c r="O1731" s="34"/>
      <c r="P1731" s="36" t="str">
        <f t="shared" si="156"/>
        <v/>
      </c>
      <c r="Q1731" s="216" t="str">
        <f t="shared" si="157"/>
        <v/>
      </c>
      <c r="R1731" s="216" t="str">
        <f t="shared" si="158"/>
        <v/>
      </c>
      <c r="S1731" s="217" t="str">
        <f t="shared" si="159"/>
        <v/>
      </c>
    </row>
    <row r="1732" spans="1:19" ht="15.75" hidden="1" thickBot="1" x14ac:dyDescent="0.3">
      <c r="A1732" s="262"/>
      <c r="B1732" s="260"/>
      <c r="C1732" s="35" t="s">
        <v>434</v>
      </c>
      <c r="D1732" s="35" t="s">
        <v>107</v>
      </c>
      <c r="E1732" s="36">
        <v>1</v>
      </c>
      <c r="F1732" s="33" t="s">
        <v>416</v>
      </c>
      <c r="G1732" s="30" t="str">
        <f t="shared" si="160"/>
        <v/>
      </c>
      <c r="H1732" s="34"/>
      <c r="I1732" s="30"/>
      <c r="J1732" s="152">
        <v>0</v>
      </c>
      <c r="L1732" s="215">
        <v>1</v>
      </c>
      <c r="M1732" s="33"/>
      <c r="N1732" s="30" t="str">
        <f t="shared" si="161"/>
        <v/>
      </c>
      <c r="O1732" s="34"/>
      <c r="P1732" s="36" t="str">
        <f t="shared" si="156"/>
        <v/>
      </c>
      <c r="Q1732" s="216" t="str">
        <f t="shared" si="157"/>
        <v/>
      </c>
      <c r="R1732" s="216" t="str">
        <f t="shared" si="158"/>
        <v/>
      </c>
      <c r="S1732" s="217" t="str">
        <f t="shared" si="159"/>
        <v/>
      </c>
    </row>
    <row r="1733" spans="1:19" ht="15.75" hidden="1" thickBot="1" x14ac:dyDescent="0.3">
      <c r="A1733" s="262"/>
      <c r="B1733" s="260"/>
      <c r="C1733" s="35" t="s">
        <v>435</v>
      </c>
      <c r="D1733" s="35" t="s">
        <v>107</v>
      </c>
      <c r="E1733" s="36">
        <v>1</v>
      </c>
      <c r="F1733" s="33" t="s">
        <v>416</v>
      </c>
      <c r="G1733" s="30" t="str">
        <f t="shared" si="160"/>
        <v/>
      </c>
      <c r="H1733" s="34"/>
      <c r="I1733" s="30"/>
      <c r="J1733" s="152">
        <v>0</v>
      </c>
      <c r="L1733" s="215">
        <v>1</v>
      </c>
      <c r="M1733" s="33"/>
      <c r="N1733" s="30" t="str">
        <f t="shared" si="161"/>
        <v/>
      </c>
      <c r="O1733" s="34"/>
      <c r="P1733" s="36" t="str">
        <f t="shared" si="156"/>
        <v/>
      </c>
      <c r="Q1733" s="216" t="str">
        <f t="shared" si="157"/>
        <v/>
      </c>
      <c r="R1733" s="216" t="str">
        <f t="shared" si="158"/>
        <v/>
      </c>
      <c r="S1733" s="217" t="str">
        <f t="shared" si="159"/>
        <v/>
      </c>
    </row>
    <row r="1734" spans="1:19" ht="15.75" hidden="1" thickBot="1" x14ac:dyDescent="0.3">
      <c r="A1734" s="262"/>
      <c r="B1734" s="260"/>
      <c r="C1734" s="35" t="s">
        <v>1017</v>
      </c>
      <c r="D1734" s="35" t="s">
        <v>583</v>
      </c>
      <c r="E1734" s="36">
        <v>0.14799999999999999</v>
      </c>
      <c r="F1734" s="30">
        <v>21.584</v>
      </c>
      <c r="G1734" s="33">
        <f t="shared" si="160"/>
        <v>3.1944319999999999</v>
      </c>
      <c r="H1734" s="34"/>
      <c r="I1734" s="30"/>
      <c r="J1734" s="152">
        <v>0</v>
      </c>
      <c r="L1734" s="215">
        <v>0.14799999999999999</v>
      </c>
      <c r="M1734" s="30">
        <v>18.475904</v>
      </c>
      <c r="N1734" s="33">
        <f t="shared" si="161"/>
        <v>2.7344337919999999</v>
      </c>
      <c r="O1734" s="34"/>
      <c r="P1734" s="36" t="str">
        <f t="shared" si="156"/>
        <v/>
      </c>
      <c r="Q1734" s="216">
        <f t="shared" si="157"/>
        <v>0.14400000000000002</v>
      </c>
      <c r="R1734" s="216">
        <f t="shared" si="158"/>
        <v>0.14400000000000002</v>
      </c>
      <c r="S1734" s="217" t="str">
        <f t="shared" si="159"/>
        <v/>
      </c>
    </row>
    <row r="1735" spans="1:19" ht="15.75" hidden="1" thickBot="1" x14ac:dyDescent="0.3">
      <c r="A1735" s="262"/>
      <c r="B1735" s="260"/>
      <c r="C1735" s="35" t="s">
        <v>1018</v>
      </c>
      <c r="D1735" s="35" t="s">
        <v>583</v>
      </c>
      <c r="E1735" s="36">
        <v>0.35510000000000003</v>
      </c>
      <c r="F1735" s="30">
        <v>27.835000000000001</v>
      </c>
      <c r="G1735" s="30">
        <f t="shared" si="160"/>
        <v>9.8842085000000015</v>
      </c>
      <c r="H1735" s="34"/>
      <c r="I1735" s="30"/>
      <c r="J1735" s="152">
        <v>0</v>
      </c>
      <c r="L1735" s="215">
        <v>0.35510000000000003</v>
      </c>
      <c r="M1735" s="30">
        <v>23.82676</v>
      </c>
      <c r="N1735" s="30">
        <f t="shared" si="161"/>
        <v>8.4608824760000001</v>
      </c>
      <c r="O1735" s="34"/>
      <c r="P1735" s="36" t="str">
        <f t="shared" si="156"/>
        <v/>
      </c>
      <c r="Q1735" s="216">
        <f t="shared" si="157"/>
        <v>0.14400000000000002</v>
      </c>
      <c r="R1735" s="216">
        <f t="shared" si="158"/>
        <v>0.14400000000000013</v>
      </c>
      <c r="S1735" s="217" t="str">
        <f t="shared" si="159"/>
        <v/>
      </c>
    </row>
    <row r="1736" spans="1:19" ht="15.75" hidden="1" thickBot="1" x14ac:dyDescent="0.3">
      <c r="A1736" s="263"/>
      <c r="B1736" s="261"/>
      <c r="C1736" s="35"/>
      <c r="D1736" s="35"/>
      <c r="E1736" s="36"/>
      <c r="F1736" s="30" t="s">
        <v>416</v>
      </c>
      <c r="G1736" s="30" t="str">
        <f t="shared" si="160"/>
        <v/>
      </c>
      <c r="H1736" s="34"/>
      <c r="I1736" s="30"/>
      <c r="J1736" s="152">
        <v>0</v>
      </c>
      <c r="L1736" s="215"/>
      <c r="M1736" s="30"/>
      <c r="N1736" s="30" t="str">
        <f t="shared" si="161"/>
        <v/>
      </c>
      <c r="O1736" s="34"/>
      <c r="P1736" s="36" t="str">
        <f t="shared" ref="P1736:P1799" si="162">IF(ISBLANK(L1736),"",IF($E1736&lt;&gt;L1736,"SIM",""))</f>
        <v/>
      </c>
      <c r="Q1736" s="216" t="str">
        <f t="shared" ref="Q1736:Q1799" si="163">IF(M1736="","",1-M1736/$F1736)</f>
        <v/>
      </c>
      <c r="R1736" s="216" t="str">
        <f t="shared" ref="R1736:R1799" si="164">IF(N1736="","",1-N1736/$G1736)</f>
        <v/>
      </c>
      <c r="S1736" s="217" t="str">
        <f t="shared" ref="S1736:S1799" si="165">IF(O1736="","",1-O1736/$H1736)</f>
        <v/>
      </c>
    </row>
    <row r="1737" spans="1:19" ht="15.75" hidden="1" thickBot="1" x14ac:dyDescent="0.3">
      <c r="A1737" s="256" t="s">
        <v>444</v>
      </c>
      <c r="B1737" s="259" t="str">
        <f>INDEX(Orçamentária!A:B,MATCH(Composições!A1737,Orçamentária!A:A,0),2)</f>
        <v>Luminária 2x28 W de sobrepor</v>
      </c>
      <c r="C1737" s="40"/>
      <c r="D1737" s="25" t="s">
        <v>16</v>
      </c>
      <c r="E1737" s="26"/>
      <c r="F1737" s="41" t="s">
        <v>416</v>
      </c>
      <c r="G1737" s="27" t="str">
        <f t="shared" si="160"/>
        <v/>
      </c>
      <c r="H1737" s="28"/>
      <c r="I1737" s="29"/>
      <c r="J1737" s="152">
        <v>0</v>
      </c>
      <c r="L1737" s="218"/>
      <c r="M1737" s="41"/>
      <c r="N1737" s="27" t="str">
        <f t="shared" si="161"/>
        <v/>
      </c>
      <c r="O1737" s="28"/>
      <c r="P1737" s="36" t="str">
        <f t="shared" si="162"/>
        <v/>
      </c>
      <c r="Q1737" s="216" t="str">
        <f t="shared" si="163"/>
        <v/>
      </c>
      <c r="R1737" s="216" t="str">
        <f t="shared" si="164"/>
        <v/>
      </c>
      <c r="S1737" s="217" t="str">
        <f t="shared" si="165"/>
        <v/>
      </c>
    </row>
    <row r="1738" spans="1:19" ht="15.75" hidden="1" thickBot="1" x14ac:dyDescent="0.3">
      <c r="A1738" s="262"/>
      <c r="B1738" s="260"/>
      <c r="C1738" s="31"/>
      <c r="D1738" s="31"/>
      <c r="E1738" s="32"/>
      <c r="F1738" s="42" t="s">
        <v>416</v>
      </c>
      <c r="G1738" s="30" t="str">
        <f t="shared" si="160"/>
        <v/>
      </c>
      <c r="H1738" s="34"/>
      <c r="I1738" s="30"/>
      <c r="J1738" s="152">
        <v>0</v>
      </c>
      <c r="L1738" s="219"/>
      <c r="M1738" s="42"/>
      <c r="N1738" s="30" t="str">
        <f t="shared" si="161"/>
        <v/>
      </c>
      <c r="O1738" s="34"/>
      <c r="P1738" s="36" t="str">
        <f t="shared" si="162"/>
        <v/>
      </c>
      <c r="Q1738" s="216" t="str">
        <f t="shared" si="163"/>
        <v/>
      </c>
      <c r="R1738" s="216" t="str">
        <f t="shared" si="164"/>
        <v/>
      </c>
      <c r="S1738" s="217" t="str">
        <f t="shared" si="165"/>
        <v/>
      </c>
    </row>
    <row r="1739" spans="1:19" ht="26.25" hidden="1" thickBot="1" x14ac:dyDescent="0.3">
      <c r="A1739" s="262"/>
      <c r="B1739" s="260"/>
      <c r="C1739" s="35" t="s">
        <v>445</v>
      </c>
      <c r="D1739" s="35" t="s">
        <v>107</v>
      </c>
      <c r="E1739" s="36">
        <v>1</v>
      </c>
      <c r="F1739" s="33" t="s">
        <v>416</v>
      </c>
      <c r="G1739" s="30" t="str">
        <f t="shared" si="160"/>
        <v/>
      </c>
      <c r="H1739" s="38">
        <f>SUM(G1739:G1746)</f>
        <v>15.262380800000001</v>
      </c>
      <c r="I1739" s="39"/>
      <c r="J1739" s="152">
        <v>0</v>
      </c>
      <c r="L1739" s="215">
        <v>1</v>
      </c>
      <c r="M1739" s="33"/>
      <c r="N1739" s="30" t="str">
        <f t="shared" si="161"/>
        <v/>
      </c>
      <c r="O1739" s="38">
        <f>SUM(N1739:N1746)</f>
        <v>13.064597964799999</v>
      </c>
      <c r="P1739" s="36" t="str">
        <f t="shared" si="162"/>
        <v/>
      </c>
      <c r="Q1739" s="216" t="str">
        <f t="shared" si="163"/>
        <v/>
      </c>
      <c r="R1739" s="216" t="str">
        <f t="shared" si="164"/>
        <v/>
      </c>
      <c r="S1739" s="217">
        <f t="shared" si="165"/>
        <v>0.14400000000000013</v>
      </c>
    </row>
    <row r="1740" spans="1:19" ht="26.25" hidden="1" thickBot="1" x14ac:dyDescent="0.3">
      <c r="A1740" s="262"/>
      <c r="B1740" s="260"/>
      <c r="C1740" s="35" t="s">
        <v>5552</v>
      </c>
      <c r="D1740" s="35" t="s">
        <v>107</v>
      </c>
      <c r="E1740" s="36">
        <v>1</v>
      </c>
      <c r="F1740" s="33" t="s">
        <v>416</v>
      </c>
      <c r="G1740" s="30" t="str">
        <f t="shared" si="160"/>
        <v/>
      </c>
      <c r="H1740" s="44"/>
      <c r="I1740" s="45"/>
      <c r="J1740" s="152">
        <v>0</v>
      </c>
      <c r="L1740" s="215">
        <v>1</v>
      </c>
      <c r="M1740" s="33"/>
      <c r="N1740" s="30" t="str">
        <f t="shared" si="161"/>
        <v/>
      </c>
      <c r="O1740" s="44"/>
      <c r="P1740" s="36" t="str">
        <f t="shared" si="162"/>
        <v/>
      </c>
      <c r="Q1740" s="216" t="str">
        <f t="shared" si="163"/>
        <v/>
      </c>
      <c r="R1740" s="216" t="str">
        <f t="shared" si="164"/>
        <v/>
      </c>
      <c r="S1740" s="217" t="str">
        <f t="shared" si="165"/>
        <v/>
      </c>
    </row>
    <row r="1741" spans="1:19" ht="26.25" hidden="1" thickBot="1" x14ac:dyDescent="0.3">
      <c r="A1741" s="262"/>
      <c r="B1741" s="260"/>
      <c r="C1741" s="35" t="s">
        <v>443</v>
      </c>
      <c r="D1741" s="35" t="s">
        <v>107</v>
      </c>
      <c r="E1741" s="36">
        <v>2</v>
      </c>
      <c r="F1741" s="33" t="s">
        <v>416</v>
      </c>
      <c r="G1741" s="30" t="str">
        <f t="shared" si="160"/>
        <v/>
      </c>
      <c r="H1741" s="44"/>
      <c r="I1741" s="45"/>
      <c r="J1741" s="152">
        <v>0</v>
      </c>
      <c r="L1741" s="215">
        <v>2</v>
      </c>
      <c r="M1741" s="33"/>
      <c r="N1741" s="30" t="str">
        <f t="shared" si="161"/>
        <v/>
      </c>
      <c r="O1741" s="44"/>
      <c r="P1741" s="36" t="str">
        <f t="shared" si="162"/>
        <v/>
      </c>
      <c r="Q1741" s="216" t="str">
        <f t="shared" si="163"/>
        <v/>
      </c>
      <c r="R1741" s="216" t="str">
        <f t="shared" si="164"/>
        <v/>
      </c>
      <c r="S1741" s="217" t="str">
        <f t="shared" si="165"/>
        <v/>
      </c>
    </row>
    <row r="1742" spans="1:19" ht="26.25" hidden="1" thickBot="1" x14ac:dyDescent="0.3">
      <c r="A1742" s="262"/>
      <c r="B1742" s="260"/>
      <c r="C1742" s="35" t="s">
        <v>433</v>
      </c>
      <c r="D1742" s="35" t="s">
        <v>69</v>
      </c>
      <c r="E1742" s="36">
        <v>1.5</v>
      </c>
      <c r="F1742" s="33" t="s">
        <v>416</v>
      </c>
      <c r="G1742" s="30" t="str">
        <f t="shared" si="160"/>
        <v/>
      </c>
      <c r="H1742" s="34"/>
      <c r="I1742" s="30"/>
      <c r="J1742" s="152">
        <v>0</v>
      </c>
      <c r="L1742" s="215">
        <v>1.5</v>
      </c>
      <c r="M1742" s="33"/>
      <c r="N1742" s="30" t="str">
        <f t="shared" si="161"/>
        <v/>
      </c>
      <c r="O1742" s="34"/>
      <c r="P1742" s="36" t="str">
        <f t="shared" si="162"/>
        <v/>
      </c>
      <c r="Q1742" s="216" t="str">
        <f t="shared" si="163"/>
        <v/>
      </c>
      <c r="R1742" s="216" t="str">
        <f t="shared" si="164"/>
        <v/>
      </c>
      <c r="S1742" s="217" t="str">
        <f t="shared" si="165"/>
        <v/>
      </c>
    </row>
    <row r="1743" spans="1:19" ht="15.75" hidden="1" thickBot="1" x14ac:dyDescent="0.3">
      <c r="A1743" s="262"/>
      <c r="B1743" s="260"/>
      <c r="C1743" s="35" t="s">
        <v>434</v>
      </c>
      <c r="D1743" s="35" t="s">
        <v>107</v>
      </c>
      <c r="E1743" s="36">
        <v>1</v>
      </c>
      <c r="F1743" s="33" t="s">
        <v>416</v>
      </c>
      <c r="G1743" s="30" t="str">
        <f t="shared" si="160"/>
        <v/>
      </c>
      <c r="H1743" s="34"/>
      <c r="I1743" s="30"/>
      <c r="J1743" s="152">
        <v>0</v>
      </c>
      <c r="L1743" s="215">
        <v>1</v>
      </c>
      <c r="M1743" s="33"/>
      <c r="N1743" s="30" t="str">
        <f t="shared" si="161"/>
        <v/>
      </c>
      <c r="O1743" s="34"/>
      <c r="P1743" s="36" t="str">
        <f t="shared" si="162"/>
        <v/>
      </c>
      <c r="Q1743" s="216" t="str">
        <f t="shared" si="163"/>
        <v/>
      </c>
      <c r="R1743" s="216" t="str">
        <f t="shared" si="164"/>
        <v/>
      </c>
      <c r="S1743" s="217" t="str">
        <f t="shared" si="165"/>
        <v/>
      </c>
    </row>
    <row r="1744" spans="1:19" ht="15.75" hidden="1" thickBot="1" x14ac:dyDescent="0.3">
      <c r="A1744" s="262"/>
      <c r="B1744" s="260"/>
      <c r="C1744" s="35" t="s">
        <v>435</v>
      </c>
      <c r="D1744" s="35" t="s">
        <v>107</v>
      </c>
      <c r="E1744" s="36">
        <v>1</v>
      </c>
      <c r="F1744" s="33" t="s">
        <v>416</v>
      </c>
      <c r="G1744" s="30" t="str">
        <f t="shared" si="160"/>
        <v/>
      </c>
      <c r="H1744" s="34"/>
      <c r="I1744" s="30"/>
      <c r="J1744" s="152">
        <v>0</v>
      </c>
      <c r="L1744" s="215">
        <v>1</v>
      </c>
      <c r="M1744" s="33"/>
      <c r="N1744" s="30" t="str">
        <f t="shared" si="161"/>
        <v/>
      </c>
      <c r="O1744" s="34"/>
      <c r="P1744" s="36" t="str">
        <f t="shared" si="162"/>
        <v/>
      </c>
      <c r="Q1744" s="216" t="str">
        <f t="shared" si="163"/>
        <v/>
      </c>
      <c r="R1744" s="216" t="str">
        <f t="shared" si="164"/>
        <v/>
      </c>
      <c r="S1744" s="217" t="str">
        <f t="shared" si="165"/>
        <v/>
      </c>
    </row>
    <row r="1745" spans="1:19" ht="15.75" hidden="1" thickBot="1" x14ac:dyDescent="0.3">
      <c r="A1745" s="262"/>
      <c r="B1745" s="260"/>
      <c r="C1745" s="35" t="s">
        <v>1017</v>
      </c>
      <c r="D1745" s="35" t="s">
        <v>583</v>
      </c>
      <c r="E1745" s="36">
        <v>0.17269999999999999</v>
      </c>
      <c r="F1745" s="30">
        <v>21.584</v>
      </c>
      <c r="G1745" s="30">
        <f t="shared" si="160"/>
        <v>3.7275567999999999</v>
      </c>
      <c r="H1745" s="34"/>
      <c r="I1745" s="30"/>
      <c r="J1745" s="152">
        <v>0</v>
      </c>
      <c r="L1745" s="215">
        <v>0.17269999999999999</v>
      </c>
      <c r="M1745" s="30">
        <v>18.475904</v>
      </c>
      <c r="N1745" s="30">
        <f t="shared" si="161"/>
        <v>3.1907886207999998</v>
      </c>
      <c r="O1745" s="34"/>
      <c r="P1745" s="36" t="str">
        <f t="shared" si="162"/>
        <v/>
      </c>
      <c r="Q1745" s="216">
        <f t="shared" si="163"/>
        <v>0.14400000000000002</v>
      </c>
      <c r="R1745" s="216">
        <f t="shared" si="164"/>
        <v>0.14400000000000002</v>
      </c>
      <c r="S1745" s="217" t="str">
        <f t="shared" si="165"/>
        <v/>
      </c>
    </row>
    <row r="1746" spans="1:19" ht="15.75" hidden="1" thickBot="1" x14ac:dyDescent="0.3">
      <c r="A1746" s="262"/>
      <c r="B1746" s="260"/>
      <c r="C1746" s="35" t="s">
        <v>1018</v>
      </c>
      <c r="D1746" s="35" t="s">
        <v>583</v>
      </c>
      <c r="E1746" s="36">
        <v>0.41439999999999999</v>
      </c>
      <c r="F1746" s="30">
        <v>27.835000000000001</v>
      </c>
      <c r="G1746" s="30">
        <f t="shared" si="160"/>
        <v>11.534824</v>
      </c>
      <c r="H1746" s="34"/>
      <c r="I1746" s="30"/>
      <c r="J1746" s="152">
        <v>0</v>
      </c>
      <c r="L1746" s="215">
        <v>0.41439999999999999</v>
      </c>
      <c r="M1746" s="30">
        <v>23.82676</v>
      </c>
      <c r="N1746" s="30">
        <f t="shared" si="161"/>
        <v>9.8738093439999997</v>
      </c>
      <c r="O1746" s="34"/>
      <c r="P1746" s="36" t="str">
        <f t="shared" si="162"/>
        <v/>
      </c>
      <c r="Q1746" s="216">
        <f t="shared" si="163"/>
        <v>0.14400000000000002</v>
      </c>
      <c r="R1746" s="216">
        <f t="shared" si="164"/>
        <v>0.14400000000000002</v>
      </c>
      <c r="S1746" s="217" t="str">
        <f t="shared" si="165"/>
        <v/>
      </c>
    </row>
    <row r="1747" spans="1:19" ht="15.75" hidden="1" thickBot="1" x14ac:dyDescent="0.3">
      <c r="A1747" s="263"/>
      <c r="B1747" s="261"/>
      <c r="C1747" s="35"/>
      <c r="D1747" s="35"/>
      <c r="E1747" s="36"/>
      <c r="F1747" s="30" t="s">
        <v>416</v>
      </c>
      <c r="G1747" s="30" t="str">
        <f t="shared" ref="G1747:G1810" si="166">IF(ISNUMBER(F1747),E1747*F1747,"")</f>
        <v/>
      </c>
      <c r="H1747" s="34"/>
      <c r="I1747" s="30"/>
      <c r="J1747" s="152">
        <v>0</v>
      </c>
      <c r="L1747" s="215"/>
      <c r="M1747" s="30"/>
      <c r="N1747" s="30" t="str">
        <f t="shared" ref="N1747:N1810" si="167">IF(ISNUMBER(M1747),L1747*M1747,"")</f>
        <v/>
      </c>
      <c r="O1747" s="34"/>
      <c r="P1747" s="36" t="str">
        <f t="shared" si="162"/>
        <v/>
      </c>
      <c r="Q1747" s="216" t="str">
        <f t="shared" si="163"/>
        <v/>
      </c>
      <c r="R1747" s="216" t="str">
        <f t="shared" si="164"/>
        <v/>
      </c>
      <c r="S1747" s="217" t="str">
        <f t="shared" si="165"/>
        <v/>
      </c>
    </row>
    <row r="1748" spans="1:19" ht="15.75" hidden="1" thickBot="1" x14ac:dyDescent="0.3">
      <c r="A1748" s="256" t="s">
        <v>446</v>
      </c>
      <c r="B1748" s="259" t="str">
        <f>INDEX(Orçamentária!A:B,MATCH(Composições!A1748,Orçamentária!A:A,0),2)</f>
        <v>Condutor 10 mm²</v>
      </c>
      <c r="C1748" s="40"/>
      <c r="D1748" s="25" t="s">
        <v>69</v>
      </c>
      <c r="E1748" s="26"/>
      <c r="F1748" s="41" t="s">
        <v>416</v>
      </c>
      <c r="G1748" s="27" t="str">
        <f t="shared" si="166"/>
        <v/>
      </c>
      <c r="H1748" s="28"/>
      <c r="I1748" s="29"/>
      <c r="J1748" s="152">
        <v>0</v>
      </c>
      <c r="L1748" s="218"/>
      <c r="M1748" s="41"/>
      <c r="N1748" s="27" t="str">
        <f t="shared" si="167"/>
        <v/>
      </c>
      <c r="O1748" s="28"/>
      <c r="P1748" s="36" t="str">
        <f t="shared" si="162"/>
        <v/>
      </c>
      <c r="Q1748" s="216" t="str">
        <f t="shared" si="163"/>
        <v/>
      </c>
      <c r="R1748" s="216" t="str">
        <f t="shared" si="164"/>
        <v/>
      </c>
      <c r="S1748" s="217" t="str">
        <f t="shared" si="165"/>
        <v/>
      </c>
    </row>
    <row r="1749" spans="1:19" ht="15.75" hidden="1" thickBot="1" x14ac:dyDescent="0.3">
      <c r="A1749" s="262"/>
      <c r="B1749" s="260"/>
      <c r="C1749" s="31"/>
      <c r="D1749" s="31"/>
      <c r="E1749" s="32"/>
      <c r="F1749" s="42" t="s">
        <v>416</v>
      </c>
      <c r="G1749" s="30" t="str">
        <f t="shared" si="166"/>
        <v/>
      </c>
      <c r="H1749" s="34"/>
      <c r="I1749" s="30"/>
      <c r="J1749" s="152">
        <v>0</v>
      </c>
      <c r="L1749" s="219"/>
      <c r="M1749" s="42"/>
      <c r="N1749" s="30" t="str">
        <f t="shared" si="167"/>
        <v/>
      </c>
      <c r="O1749" s="34"/>
      <c r="P1749" s="36" t="str">
        <f t="shared" si="162"/>
        <v/>
      </c>
      <c r="Q1749" s="216" t="str">
        <f t="shared" si="163"/>
        <v/>
      </c>
      <c r="R1749" s="216" t="str">
        <f t="shared" si="164"/>
        <v/>
      </c>
      <c r="S1749" s="217" t="str">
        <f t="shared" si="165"/>
        <v/>
      </c>
    </row>
    <row r="1750" spans="1:19" ht="15.75" hidden="1" thickBot="1" x14ac:dyDescent="0.3">
      <c r="A1750" s="262"/>
      <c r="B1750" s="260"/>
      <c r="C1750" s="35" t="s">
        <v>1017</v>
      </c>
      <c r="D1750" s="35" t="s">
        <v>583</v>
      </c>
      <c r="E1750" s="36">
        <v>8.9999999999999993E-3</v>
      </c>
      <c r="F1750" s="30">
        <v>21.584</v>
      </c>
      <c r="G1750" s="33">
        <f t="shared" si="166"/>
        <v>0.19425599999999998</v>
      </c>
      <c r="H1750" s="38">
        <f>SUM(G1750:G1753)</f>
        <v>0.48391099999999998</v>
      </c>
      <c r="I1750" s="39"/>
      <c r="J1750" s="152">
        <v>0</v>
      </c>
      <c r="L1750" s="215">
        <v>8.9999999999999993E-3</v>
      </c>
      <c r="M1750" s="30">
        <v>18.475904</v>
      </c>
      <c r="N1750" s="33">
        <f t="shared" si="167"/>
        <v>0.166283136</v>
      </c>
      <c r="O1750" s="38">
        <f>SUM(N1750:N1753)</f>
        <v>0.41422781599999997</v>
      </c>
      <c r="P1750" s="36" t="str">
        <f t="shared" si="162"/>
        <v/>
      </c>
      <c r="Q1750" s="216">
        <f t="shared" si="163"/>
        <v>0.14400000000000002</v>
      </c>
      <c r="R1750" s="216">
        <f t="shared" si="164"/>
        <v>0.14399999999999991</v>
      </c>
      <c r="S1750" s="217">
        <f t="shared" si="165"/>
        <v>0.14400000000000002</v>
      </c>
    </row>
    <row r="1751" spans="1:19" ht="15.75" hidden="1" thickBot="1" x14ac:dyDescent="0.3">
      <c r="A1751" s="262"/>
      <c r="B1751" s="260"/>
      <c r="C1751" s="35" t="s">
        <v>1018</v>
      </c>
      <c r="D1751" s="35" t="s">
        <v>583</v>
      </c>
      <c r="E1751" s="36">
        <v>8.9999999999999993E-3</v>
      </c>
      <c r="F1751" s="30">
        <v>27.835000000000001</v>
      </c>
      <c r="G1751" s="33">
        <f t="shared" si="166"/>
        <v>0.25051499999999999</v>
      </c>
      <c r="H1751" s="34"/>
      <c r="I1751" s="30"/>
      <c r="J1751" s="152">
        <v>0</v>
      </c>
      <c r="L1751" s="215">
        <v>8.9999999999999993E-3</v>
      </c>
      <c r="M1751" s="30">
        <v>23.82676</v>
      </c>
      <c r="N1751" s="33">
        <f t="shared" si="167"/>
        <v>0.21444083999999999</v>
      </c>
      <c r="O1751" s="34"/>
      <c r="P1751" s="36" t="str">
        <f t="shared" si="162"/>
        <v/>
      </c>
      <c r="Q1751" s="216">
        <f t="shared" si="163"/>
        <v>0.14400000000000002</v>
      </c>
      <c r="R1751" s="216">
        <f t="shared" si="164"/>
        <v>0.14400000000000002</v>
      </c>
      <c r="S1751" s="217" t="str">
        <f t="shared" si="165"/>
        <v/>
      </c>
    </row>
    <row r="1752" spans="1:19" ht="15.75" hidden="1" thickBot="1" x14ac:dyDescent="0.3">
      <c r="A1752" s="262"/>
      <c r="B1752" s="260"/>
      <c r="C1752" s="35" t="s">
        <v>447</v>
      </c>
      <c r="D1752" s="35" t="s">
        <v>69</v>
      </c>
      <c r="E1752" s="36">
        <v>1.0269999999999999</v>
      </c>
      <c r="F1752" s="33">
        <v>0</v>
      </c>
      <c r="G1752" s="33">
        <f t="shared" si="166"/>
        <v>0</v>
      </c>
      <c r="H1752" s="34"/>
      <c r="I1752" s="30"/>
      <c r="J1752" s="152">
        <v>0</v>
      </c>
      <c r="L1752" s="215">
        <v>1.0269999999999999</v>
      </c>
      <c r="M1752" s="33">
        <v>0</v>
      </c>
      <c r="N1752" s="33">
        <f t="shared" si="167"/>
        <v>0</v>
      </c>
      <c r="O1752" s="34"/>
      <c r="P1752" s="36" t="str">
        <f t="shared" si="162"/>
        <v/>
      </c>
      <c r="Q1752" s="216" t="e">
        <f t="shared" si="163"/>
        <v>#DIV/0!</v>
      </c>
      <c r="R1752" s="216" t="e">
        <f t="shared" si="164"/>
        <v>#DIV/0!</v>
      </c>
      <c r="S1752" s="217" t="str">
        <f t="shared" si="165"/>
        <v/>
      </c>
    </row>
    <row r="1753" spans="1:19" ht="26.25" hidden="1" thickBot="1" x14ac:dyDescent="0.3">
      <c r="A1753" s="262"/>
      <c r="B1753" s="260"/>
      <c r="C1753" s="35" t="s">
        <v>8169</v>
      </c>
      <c r="D1753" s="35" t="s">
        <v>213</v>
      </c>
      <c r="E1753" s="36">
        <v>0.01</v>
      </c>
      <c r="F1753" s="33">
        <v>3.9139999999999997</v>
      </c>
      <c r="G1753" s="33">
        <f t="shared" si="166"/>
        <v>3.9140000000000001E-2</v>
      </c>
      <c r="H1753" s="34"/>
      <c r="I1753" s="30"/>
      <c r="J1753" s="152">
        <v>0</v>
      </c>
      <c r="L1753" s="215">
        <v>0.01</v>
      </c>
      <c r="M1753" s="33">
        <v>3.350384</v>
      </c>
      <c r="N1753" s="33">
        <f t="shared" si="167"/>
        <v>3.350384E-2</v>
      </c>
      <c r="O1753" s="34"/>
      <c r="P1753" s="36" t="str">
        <f t="shared" si="162"/>
        <v/>
      </c>
      <c r="Q1753" s="216">
        <f t="shared" si="163"/>
        <v>0.14399999999999991</v>
      </c>
      <c r="R1753" s="216">
        <f t="shared" si="164"/>
        <v>0.14400000000000002</v>
      </c>
      <c r="S1753" s="217" t="str">
        <f t="shared" si="165"/>
        <v/>
      </c>
    </row>
    <row r="1754" spans="1:19" ht="15.75" hidden="1" thickBot="1" x14ac:dyDescent="0.3">
      <c r="A1754" s="263"/>
      <c r="B1754" s="261"/>
      <c r="C1754" s="35"/>
      <c r="D1754" s="35"/>
      <c r="E1754" s="36"/>
      <c r="F1754" s="30" t="s">
        <v>416</v>
      </c>
      <c r="G1754" s="30" t="str">
        <f t="shared" si="166"/>
        <v/>
      </c>
      <c r="H1754" s="34"/>
      <c r="I1754" s="30"/>
      <c r="J1754" s="152">
        <v>0</v>
      </c>
      <c r="L1754" s="215"/>
      <c r="M1754" s="30"/>
      <c r="N1754" s="30" t="str">
        <f t="shared" si="167"/>
        <v/>
      </c>
      <c r="O1754" s="34"/>
      <c r="P1754" s="36" t="str">
        <f t="shared" si="162"/>
        <v/>
      </c>
      <c r="Q1754" s="216" t="str">
        <f t="shared" si="163"/>
        <v/>
      </c>
      <c r="R1754" s="216" t="str">
        <f t="shared" si="164"/>
        <v/>
      </c>
      <c r="S1754" s="217" t="str">
        <f t="shared" si="165"/>
        <v/>
      </c>
    </row>
    <row r="1755" spans="1:19" ht="15.75" thickBot="1" x14ac:dyDescent="0.3">
      <c r="A1755" s="256" t="s">
        <v>448</v>
      </c>
      <c r="B1755" s="259" t="str">
        <f>INDEX(Orçamentária!A:B,MATCH(Composições!A1755,Orçamentária!A:A,0),2)</f>
        <v>Condutor 16 mm²</v>
      </c>
      <c r="C1755" s="40"/>
      <c r="D1755" s="25" t="s">
        <v>69</v>
      </c>
      <c r="E1755" s="26"/>
      <c r="F1755" s="41" t="s">
        <v>416</v>
      </c>
      <c r="G1755" s="27" t="str">
        <f t="shared" si="166"/>
        <v/>
      </c>
      <c r="H1755" s="28"/>
      <c r="I1755" s="29"/>
      <c r="J1755" s="152">
        <v>500</v>
      </c>
      <c r="L1755" s="218"/>
      <c r="M1755" s="41"/>
      <c r="N1755" s="27" t="str">
        <f t="shared" si="167"/>
        <v/>
      </c>
      <c r="O1755" s="28"/>
      <c r="P1755" s="36" t="str">
        <f t="shared" si="162"/>
        <v/>
      </c>
      <c r="Q1755" s="216" t="str">
        <f t="shared" si="163"/>
        <v/>
      </c>
      <c r="R1755" s="216" t="str">
        <f t="shared" si="164"/>
        <v/>
      </c>
      <c r="S1755" s="217" t="str">
        <f t="shared" si="165"/>
        <v/>
      </c>
    </row>
    <row r="1756" spans="1:19" x14ac:dyDescent="0.25">
      <c r="A1756" s="262"/>
      <c r="B1756" s="260"/>
      <c r="C1756" s="31"/>
      <c r="D1756" s="31"/>
      <c r="E1756" s="32"/>
      <c r="F1756" s="42" t="s">
        <v>416</v>
      </c>
      <c r="G1756" s="30" t="str">
        <f t="shared" si="166"/>
        <v/>
      </c>
      <c r="H1756" s="34"/>
      <c r="I1756" s="30"/>
      <c r="J1756" s="152">
        <v>500</v>
      </c>
      <c r="L1756" s="219"/>
      <c r="M1756" s="42"/>
      <c r="N1756" s="30" t="str">
        <f t="shared" si="167"/>
        <v/>
      </c>
      <c r="O1756" s="34"/>
      <c r="P1756" s="36" t="str">
        <f t="shared" si="162"/>
        <v/>
      </c>
      <c r="Q1756" s="216" t="str">
        <f t="shared" si="163"/>
        <v/>
      </c>
      <c r="R1756" s="216" t="str">
        <f t="shared" si="164"/>
        <v/>
      </c>
      <c r="S1756" s="217" t="str">
        <f t="shared" si="165"/>
        <v/>
      </c>
    </row>
    <row r="1757" spans="1:19" x14ac:dyDescent="0.25">
      <c r="A1757" s="262"/>
      <c r="B1757" s="260"/>
      <c r="C1757" s="35" t="s">
        <v>1017</v>
      </c>
      <c r="D1757" s="35" t="s">
        <v>583</v>
      </c>
      <c r="E1757" s="36">
        <v>1.2999999999999999E-2</v>
      </c>
      <c r="F1757" s="30">
        <v>21.584</v>
      </c>
      <c r="G1757" s="33">
        <f t="shared" si="166"/>
        <v>0.28059200000000001</v>
      </c>
      <c r="H1757" s="38">
        <f>SUM(G1757:G1760)</f>
        <v>23.277640999999996</v>
      </c>
      <c r="I1757" s="39"/>
      <c r="J1757" s="152">
        <v>500</v>
      </c>
      <c r="L1757" s="215">
        <v>1.2999999999999999E-2</v>
      </c>
      <c r="M1757" s="30">
        <v>18.475904</v>
      </c>
      <c r="N1757" s="33">
        <f t="shared" si="167"/>
        <v>0.24018675199999998</v>
      </c>
      <c r="O1757" s="38">
        <f>SUM(N1757:N1760)</f>
        <v>19.925660695999998</v>
      </c>
      <c r="P1757" s="36" t="str">
        <f t="shared" si="162"/>
        <v/>
      </c>
      <c r="Q1757" s="216">
        <f t="shared" si="163"/>
        <v>0.14400000000000002</v>
      </c>
      <c r="R1757" s="216">
        <f t="shared" si="164"/>
        <v>0.14400000000000013</v>
      </c>
      <c r="S1757" s="217">
        <f t="shared" si="165"/>
        <v>0.14399999999999991</v>
      </c>
    </row>
    <row r="1758" spans="1:19" x14ac:dyDescent="0.25">
      <c r="A1758" s="262"/>
      <c r="B1758" s="260"/>
      <c r="C1758" s="35" t="s">
        <v>1018</v>
      </c>
      <c r="D1758" s="35" t="s">
        <v>583</v>
      </c>
      <c r="E1758" s="36">
        <v>1.2999999999999999E-2</v>
      </c>
      <c r="F1758" s="30">
        <v>27.835000000000001</v>
      </c>
      <c r="G1758" s="33">
        <f t="shared" si="166"/>
        <v>0.36185499999999998</v>
      </c>
      <c r="H1758" s="34"/>
      <c r="I1758" s="30"/>
      <c r="J1758" s="152">
        <v>500</v>
      </c>
      <c r="L1758" s="215">
        <v>1.2999999999999999E-2</v>
      </c>
      <c r="M1758" s="30">
        <v>23.82676</v>
      </c>
      <c r="N1758" s="33">
        <f t="shared" si="167"/>
        <v>0.30974787999999998</v>
      </c>
      <c r="O1758" s="34"/>
      <c r="P1758" s="36" t="str">
        <f t="shared" si="162"/>
        <v/>
      </c>
      <c r="Q1758" s="216">
        <f t="shared" si="163"/>
        <v>0.14400000000000002</v>
      </c>
      <c r="R1758" s="216">
        <f t="shared" si="164"/>
        <v>0.14400000000000002</v>
      </c>
      <c r="S1758" s="217" t="str">
        <f t="shared" si="165"/>
        <v/>
      </c>
    </row>
    <row r="1759" spans="1:19" x14ac:dyDescent="0.25">
      <c r="A1759" s="262"/>
      <c r="B1759" s="260"/>
      <c r="C1759" s="35" t="s">
        <v>449</v>
      </c>
      <c r="D1759" s="35" t="s">
        <v>69</v>
      </c>
      <c r="E1759" s="36">
        <v>1.0269999999999999</v>
      </c>
      <c r="F1759" s="33">
        <v>22.001999999999999</v>
      </c>
      <c r="G1759" s="33">
        <f t="shared" si="166"/>
        <v>22.596053999999995</v>
      </c>
      <c r="H1759" s="34"/>
      <c r="I1759" s="30"/>
      <c r="J1759" s="152">
        <v>500</v>
      </c>
      <c r="L1759" s="215">
        <v>1.0269999999999999</v>
      </c>
      <c r="M1759" s="33">
        <v>18.833711999999998</v>
      </c>
      <c r="N1759" s="33">
        <f t="shared" si="167"/>
        <v>19.342222223999997</v>
      </c>
      <c r="O1759" s="34"/>
      <c r="P1759" s="36" t="str">
        <f t="shared" si="162"/>
        <v/>
      </c>
      <c r="Q1759" s="216">
        <f t="shared" si="163"/>
        <v>0.14400000000000002</v>
      </c>
      <c r="R1759" s="216">
        <f t="shared" si="164"/>
        <v>0.14399999999999991</v>
      </c>
      <c r="S1759" s="217" t="str">
        <f t="shared" si="165"/>
        <v/>
      </c>
    </row>
    <row r="1760" spans="1:19" ht="25.5" x14ac:dyDescent="0.25">
      <c r="A1760" s="262"/>
      <c r="B1760" s="260"/>
      <c r="C1760" s="35" t="s">
        <v>8169</v>
      </c>
      <c r="D1760" s="35" t="s">
        <v>213</v>
      </c>
      <c r="E1760" s="36">
        <v>0.01</v>
      </c>
      <c r="F1760" s="33">
        <v>3.9139999999999997</v>
      </c>
      <c r="G1760" s="33">
        <f t="shared" si="166"/>
        <v>3.9140000000000001E-2</v>
      </c>
      <c r="H1760" s="34"/>
      <c r="I1760" s="30"/>
      <c r="J1760" s="152">
        <v>500</v>
      </c>
      <c r="L1760" s="215">
        <v>0.01</v>
      </c>
      <c r="M1760" s="33">
        <v>3.350384</v>
      </c>
      <c r="N1760" s="33">
        <f t="shared" si="167"/>
        <v>3.350384E-2</v>
      </c>
      <c r="O1760" s="34"/>
      <c r="P1760" s="36" t="str">
        <f t="shared" si="162"/>
        <v/>
      </c>
      <c r="Q1760" s="216">
        <f t="shared" si="163"/>
        <v>0.14399999999999991</v>
      </c>
      <c r="R1760" s="216">
        <f t="shared" si="164"/>
        <v>0.14400000000000002</v>
      </c>
      <c r="S1760" s="217" t="str">
        <f t="shared" si="165"/>
        <v/>
      </c>
    </row>
    <row r="1761" spans="1:19" ht="15.75" thickBot="1" x14ac:dyDescent="0.3">
      <c r="A1761" s="263"/>
      <c r="B1761" s="261"/>
      <c r="C1761" s="35"/>
      <c r="D1761" s="35"/>
      <c r="E1761" s="36"/>
      <c r="F1761" s="30" t="s">
        <v>416</v>
      </c>
      <c r="G1761" s="30" t="str">
        <f t="shared" si="166"/>
        <v/>
      </c>
      <c r="H1761" s="34"/>
      <c r="I1761" s="30"/>
      <c r="J1761" s="152">
        <v>500</v>
      </c>
      <c r="L1761" s="215"/>
      <c r="M1761" s="30"/>
      <c r="N1761" s="30" t="str">
        <f t="shared" si="167"/>
        <v/>
      </c>
      <c r="O1761" s="34"/>
      <c r="P1761" s="36" t="str">
        <f t="shared" si="162"/>
        <v/>
      </c>
      <c r="Q1761" s="216" t="str">
        <f t="shared" si="163"/>
        <v/>
      </c>
      <c r="R1761" s="216" t="str">
        <f t="shared" si="164"/>
        <v/>
      </c>
      <c r="S1761" s="217" t="str">
        <f t="shared" si="165"/>
        <v/>
      </c>
    </row>
    <row r="1762" spans="1:19" ht="15.75" thickBot="1" x14ac:dyDescent="0.3">
      <c r="A1762" s="256" t="s">
        <v>450</v>
      </c>
      <c r="B1762" s="259" t="str">
        <f>INDEX(Orçamentária!A:B,MATCH(Composições!A1762,Orçamentária!A:A,0),2)</f>
        <v>Condutor 2,5 mm²</v>
      </c>
      <c r="C1762" s="40"/>
      <c r="D1762" s="25" t="s">
        <v>69</v>
      </c>
      <c r="E1762" s="26"/>
      <c r="F1762" s="41" t="s">
        <v>416</v>
      </c>
      <c r="G1762" s="27" t="str">
        <f t="shared" si="166"/>
        <v/>
      </c>
      <c r="H1762" s="28"/>
      <c r="I1762" s="29"/>
      <c r="J1762" s="152">
        <v>2200</v>
      </c>
      <c r="L1762" s="218"/>
      <c r="M1762" s="41"/>
      <c r="N1762" s="27" t="str">
        <f t="shared" si="167"/>
        <v/>
      </c>
      <c r="O1762" s="28"/>
      <c r="P1762" s="36" t="str">
        <f t="shared" si="162"/>
        <v/>
      </c>
      <c r="Q1762" s="216" t="str">
        <f t="shared" si="163"/>
        <v/>
      </c>
      <c r="R1762" s="216" t="str">
        <f t="shared" si="164"/>
        <v/>
      </c>
      <c r="S1762" s="217" t="str">
        <f t="shared" si="165"/>
        <v/>
      </c>
    </row>
    <row r="1763" spans="1:19" x14ac:dyDescent="0.25">
      <c r="A1763" s="262"/>
      <c r="B1763" s="260"/>
      <c r="C1763" s="31"/>
      <c r="D1763" s="31"/>
      <c r="E1763" s="32"/>
      <c r="F1763" s="42" t="s">
        <v>416</v>
      </c>
      <c r="G1763" s="30" t="str">
        <f t="shared" si="166"/>
        <v/>
      </c>
      <c r="H1763" s="34"/>
      <c r="I1763" s="30"/>
      <c r="J1763" s="152">
        <v>2200</v>
      </c>
      <c r="L1763" s="219"/>
      <c r="M1763" s="42"/>
      <c r="N1763" s="30" t="str">
        <f t="shared" si="167"/>
        <v/>
      </c>
      <c r="O1763" s="34"/>
      <c r="P1763" s="36" t="str">
        <f t="shared" si="162"/>
        <v/>
      </c>
      <c r="Q1763" s="216" t="str">
        <f t="shared" si="163"/>
        <v/>
      </c>
      <c r="R1763" s="216" t="str">
        <f t="shared" si="164"/>
        <v/>
      </c>
      <c r="S1763" s="217" t="str">
        <f t="shared" si="165"/>
        <v/>
      </c>
    </row>
    <row r="1764" spans="1:19" x14ac:dyDescent="0.25">
      <c r="A1764" s="262"/>
      <c r="B1764" s="260"/>
      <c r="C1764" s="35" t="s">
        <v>1017</v>
      </c>
      <c r="D1764" s="35" t="s">
        <v>583</v>
      </c>
      <c r="E1764" s="36">
        <v>0.03</v>
      </c>
      <c r="F1764" s="30">
        <v>21.584</v>
      </c>
      <c r="G1764" s="33">
        <f t="shared" si="166"/>
        <v>0.64751999999999998</v>
      </c>
      <c r="H1764" s="38">
        <f>SUM(G1764:G1767)</f>
        <v>4.564195999999999</v>
      </c>
      <c r="I1764" s="39"/>
      <c r="J1764" s="152">
        <v>2200</v>
      </c>
      <c r="L1764" s="215">
        <v>0.03</v>
      </c>
      <c r="M1764" s="30">
        <v>18.475904</v>
      </c>
      <c r="N1764" s="33">
        <f t="shared" si="167"/>
        <v>0.55427711999999996</v>
      </c>
      <c r="O1764" s="38">
        <f>SUM(N1764:N1767)</f>
        <v>3.9069517759999997</v>
      </c>
      <c r="P1764" s="36" t="str">
        <f t="shared" si="162"/>
        <v/>
      </c>
      <c r="Q1764" s="216">
        <f t="shared" si="163"/>
        <v>0.14400000000000002</v>
      </c>
      <c r="R1764" s="216">
        <f t="shared" si="164"/>
        <v>0.14400000000000002</v>
      </c>
      <c r="S1764" s="217">
        <f t="shared" si="165"/>
        <v>0.14399999999999991</v>
      </c>
    </row>
    <row r="1765" spans="1:19" x14ac:dyDescent="0.25">
      <c r="A1765" s="262"/>
      <c r="B1765" s="260"/>
      <c r="C1765" s="35" t="s">
        <v>1018</v>
      </c>
      <c r="D1765" s="35" t="s">
        <v>583</v>
      </c>
      <c r="E1765" s="36">
        <v>0.03</v>
      </c>
      <c r="F1765" s="30">
        <v>27.835000000000001</v>
      </c>
      <c r="G1765" s="33">
        <f t="shared" si="166"/>
        <v>0.83504999999999996</v>
      </c>
      <c r="H1765" s="34"/>
      <c r="I1765" s="30"/>
      <c r="J1765" s="152">
        <v>2200</v>
      </c>
      <c r="L1765" s="215">
        <v>0.03</v>
      </c>
      <c r="M1765" s="30">
        <v>23.82676</v>
      </c>
      <c r="N1765" s="33">
        <f t="shared" si="167"/>
        <v>0.71480279999999996</v>
      </c>
      <c r="O1765" s="34"/>
      <c r="P1765" s="36" t="str">
        <f t="shared" si="162"/>
        <v/>
      </c>
      <c r="Q1765" s="216">
        <f t="shared" si="163"/>
        <v>0.14400000000000002</v>
      </c>
      <c r="R1765" s="216">
        <f t="shared" si="164"/>
        <v>0.14400000000000002</v>
      </c>
      <c r="S1765" s="217" t="str">
        <f t="shared" si="165"/>
        <v/>
      </c>
    </row>
    <row r="1766" spans="1:19" ht="25.5" x14ac:dyDescent="0.25">
      <c r="A1766" s="262"/>
      <c r="B1766" s="260"/>
      <c r="C1766" s="35" t="s">
        <v>451</v>
      </c>
      <c r="D1766" s="35" t="s">
        <v>69</v>
      </c>
      <c r="E1766" s="36">
        <v>1.19</v>
      </c>
      <c r="F1766" s="33">
        <v>2.56</v>
      </c>
      <c r="G1766" s="33">
        <f t="shared" si="166"/>
        <v>3.0463999999999998</v>
      </c>
      <c r="H1766" s="34"/>
      <c r="I1766" s="30"/>
      <c r="J1766" s="152">
        <v>2200</v>
      </c>
      <c r="L1766" s="215">
        <v>1.19</v>
      </c>
      <c r="M1766" s="33">
        <v>2.19136</v>
      </c>
      <c r="N1766" s="33">
        <f t="shared" si="167"/>
        <v>2.6077184</v>
      </c>
      <c r="O1766" s="34"/>
      <c r="P1766" s="36" t="str">
        <f t="shared" si="162"/>
        <v/>
      </c>
      <c r="Q1766" s="216">
        <f t="shared" si="163"/>
        <v>0.14400000000000002</v>
      </c>
      <c r="R1766" s="216">
        <f t="shared" si="164"/>
        <v>0.14399999999999991</v>
      </c>
      <c r="S1766" s="217" t="str">
        <f t="shared" si="165"/>
        <v/>
      </c>
    </row>
    <row r="1767" spans="1:19" ht="25.5" x14ac:dyDescent="0.25">
      <c r="A1767" s="262"/>
      <c r="B1767" s="260"/>
      <c r="C1767" s="35" t="s">
        <v>8169</v>
      </c>
      <c r="D1767" s="35" t="s">
        <v>213</v>
      </c>
      <c r="E1767" s="36">
        <v>8.9999999999999993E-3</v>
      </c>
      <c r="F1767" s="33">
        <v>3.9139999999999997</v>
      </c>
      <c r="G1767" s="33">
        <f t="shared" si="166"/>
        <v>3.5225999999999993E-2</v>
      </c>
      <c r="H1767" s="34"/>
      <c r="I1767" s="30"/>
      <c r="J1767" s="152">
        <v>2200</v>
      </c>
      <c r="L1767" s="215">
        <v>8.9999999999999993E-3</v>
      </c>
      <c r="M1767" s="33">
        <v>3.350384</v>
      </c>
      <c r="N1767" s="33">
        <f t="shared" si="167"/>
        <v>3.0153455999999999E-2</v>
      </c>
      <c r="O1767" s="34"/>
      <c r="P1767" s="36" t="str">
        <f t="shared" si="162"/>
        <v/>
      </c>
      <c r="Q1767" s="216">
        <f t="shared" si="163"/>
        <v>0.14399999999999991</v>
      </c>
      <c r="R1767" s="216">
        <f t="shared" si="164"/>
        <v>0.14399999999999991</v>
      </c>
      <c r="S1767" s="217" t="str">
        <f t="shared" si="165"/>
        <v/>
      </c>
    </row>
    <row r="1768" spans="1:19" ht="15.75" thickBot="1" x14ac:dyDescent="0.3">
      <c r="A1768" s="263"/>
      <c r="B1768" s="261"/>
      <c r="C1768" s="35"/>
      <c r="D1768" s="35"/>
      <c r="E1768" s="36"/>
      <c r="F1768" s="30" t="s">
        <v>416</v>
      </c>
      <c r="G1768" s="30" t="str">
        <f t="shared" si="166"/>
        <v/>
      </c>
      <c r="H1768" s="34"/>
      <c r="I1768" s="30"/>
      <c r="J1768" s="152">
        <v>2200</v>
      </c>
      <c r="L1768" s="215"/>
      <c r="M1768" s="30"/>
      <c r="N1768" s="30" t="str">
        <f t="shared" si="167"/>
        <v/>
      </c>
      <c r="O1768" s="34"/>
      <c r="P1768" s="36" t="str">
        <f t="shared" si="162"/>
        <v/>
      </c>
      <c r="Q1768" s="216" t="str">
        <f t="shared" si="163"/>
        <v/>
      </c>
      <c r="R1768" s="216" t="str">
        <f t="shared" si="164"/>
        <v/>
      </c>
      <c r="S1768" s="217" t="str">
        <f t="shared" si="165"/>
        <v/>
      </c>
    </row>
    <row r="1769" spans="1:19" ht="15.75" thickBot="1" x14ac:dyDescent="0.3">
      <c r="A1769" s="256" t="s">
        <v>452</v>
      </c>
      <c r="B1769" s="259" t="str">
        <f>INDEX(Orçamentária!A:B,MATCH(Composições!A1769,Orçamentária!A:A,0),2)</f>
        <v>Condutor 3x2,5 mm²</v>
      </c>
      <c r="C1769" s="40"/>
      <c r="D1769" s="25" t="s">
        <v>69</v>
      </c>
      <c r="E1769" s="26"/>
      <c r="F1769" s="41" t="s">
        <v>416</v>
      </c>
      <c r="G1769" s="27" t="str">
        <f t="shared" si="166"/>
        <v/>
      </c>
      <c r="H1769" s="28"/>
      <c r="I1769" s="29"/>
      <c r="J1769" s="152">
        <v>32</v>
      </c>
      <c r="L1769" s="218"/>
      <c r="M1769" s="41"/>
      <c r="N1769" s="27" t="str">
        <f t="shared" si="167"/>
        <v/>
      </c>
      <c r="O1769" s="28"/>
      <c r="P1769" s="36" t="str">
        <f t="shared" si="162"/>
        <v/>
      </c>
      <c r="Q1769" s="216" t="str">
        <f t="shared" si="163"/>
        <v/>
      </c>
      <c r="R1769" s="216" t="str">
        <f t="shared" si="164"/>
        <v/>
      </c>
      <c r="S1769" s="217" t="str">
        <f t="shared" si="165"/>
        <v/>
      </c>
    </row>
    <row r="1770" spans="1:19" x14ac:dyDescent="0.25">
      <c r="A1770" s="262"/>
      <c r="B1770" s="260"/>
      <c r="C1770" s="31"/>
      <c r="D1770" s="31"/>
      <c r="E1770" s="32"/>
      <c r="F1770" s="42" t="s">
        <v>416</v>
      </c>
      <c r="G1770" s="30" t="str">
        <f t="shared" si="166"/>
        <v/>
      </c>
      <c r="H1770" s="34"/>
      <c r="I1770" s="30"/>
      <c r="J1770" s="152">
        <v>32</v>
      </c>
      <c r="L1770" s="219"/>
      <c r="M1770" s="42"/>
      <c r="N1770" s="30" t="str">
        <f t="shared" si="167"/>
        <v/>
      </c>
      <c r="O1770" s="34"/>
      <c r="P1770" s="36" t="str">
        <f t="shared" si="162"/>
        <v/>
      </c>
      <c r="Q1770" s="216" t="str">
        <f t="shared" si="163"/>
        <v/>
      </c>
      <c r="R1770" s="216" t="str">
        <f t="shared" si="164"/>
        <v/>
      </c>
      <c r="S1770" s="217" t="str">
        <f t="shared" si="165"/>
        <v/>
      </c>
    </row>
    <row r="1771" spans="1:19" x14ac:dyDescent="0.25">
      <c r="A1771" s="262"/>
      <c r="B1771" s="260"/>
      <c r="C1771" s="35" t="s">
        <v>1017</v>
      </c>
      <c r="D1771" s="35" t="s">
        <v>583</v>
      </c>
      <c r="E1771" s="36">
        <v>5.1999999999999998E-2</v>
      </c>
      <c r="F1771" s="30">
        <v>21.584</v>
      </c>
      <c r="G1771" s="33">
        <f t="shared" si="166"/>
        <v>1.122368</v>
      </c>
      <c r="H1771" s="38">
        <f>SUM(G1771:G1774)</f>
        <v>12.470113999999997</v>
      </c>
      <c r="I1771" s="39"/>
      <c r="J1771" s="152">
        <v>32</v>
      </c>
      <c r="L1771" s="215">
        <v>5.1999999999999998E-2</v>
      </c>
      <c r="M1771" s="30">
        <v>18.475904</v>
      </c>
      <c r="N1771" s="33">
        <f t="shared" si="167"/>
        <v>0.9607470079999999</v>
      </c>
      <c r="O1771" s="38">
        <f>SUM(N1771:N1774)</f>
        <v>10.674417583999999</v>
      </c>
      <c r="P1771" s="36" t="str">
        <f t="shared" si="162"/>
        <v/>
      </c>
      <c r="Q1771" s="216">
        <f t="shared" si="163"/>
        <v>0.14400000000000002</v>
      </c>
      <c r="R1771" s="216">
        <f t="shared" si="164"/>
        <v>0.14400000000000013</v>
      </c>
      <c r="S1771" s="217">
        <f t="shared" si="165"/>
        <v>0.14399999999999991</v>
      </c>
    </row>
    <row r="1772" spans="1:19" x14ac:dyDescent="0.25">
      <c r="A1772" s="262"/>
      <c r="B1772" s="260"/>
      <c r="C1772" s="35" t="s">
        <v>1018</v>
      </c>
      <c r="D1772" s="35" t="s">
        <v>583</v>
      </c>
      <c r="E1772" s="36">
        <v>5.1999999999999998E-2</v>
      </c>
      <c r="F1772" s="30">
        <v>27.835000000000001</v>
      </c>
      <c r="G1772" s="33">
        <f t="shared" si="166"/>
        <v>1.4474199999999999</v>
      </c>
      <c r="H1772" s="34"/>
      <c r="I1772" s="30"/>
      <c r="J1772" s="152">
        <v>32</v>
      </c>
      <c r="L1772" s="215">
        <v>5.1999999999999998E-2</v>
      </c>
      <c r="M1772" s="30">
        <v>23.82676</v>
      </c>
      <c r="N1772" s="33">
        <f t="shared" si="167"/>
        <v>1.2389915199999999</v>
      </c>
      <c r="O1772" s="34"/>
      <c r="P1772" s="36" t="str">
        <f t="shared" si="162"/>
        <v/>
      </c>
      <c r="Q1772" s="216">
        <f t="shared" si="163"/>
        <v>0.14400000000000002</v>
      </c>
      <c r="R1772" s="216">
        <f t="shared" si="164"/>
        <v>0.14400000000000002</v>
      </c>
      <c r="S1772" s="217" t="str">
        <f t="shared" si="165"/>
        <v/>
      </c>
    </row>
    <row r="1773" spans="1:19" ht="25.5" x14ac:dyDescent="0.25">
      <c r="A1773" s="262"/>
      <c r="B1773" s="260"/>
      <c r="C1773" s="35" t="s">
        <v>453</v>
      </c>
      <c r="D1773" s="35" t="s">
        <v>69</v>
      </c>
      <c r="E1773" s="36">
        <v>1.19</v>
      </c>
      <c r="F1773" s="33">
        <v>8.2899999999999991</v>
      </c>
      <c r="G1773" s="33">
        <f t="shared" si="166"/>
        <v>9.8650999999999982</v>
      </c>
      <c r="H1773" s="34"/>
      <c r="I1773" s="30"/>
      <c r="J1773" s="152">
        <v>32</v>
      </c>
      <c r="L1773" s="215">
        <v>1.19</v>
      </c>
      <c r="M1773" s="33">
        <v>7.0962399999999999</v>
      </c>
      <c r="N1773" s="33">
        <f t="shared" si="167"/>
        <v>8.4445255999999986</v>
      </c>
      <c r="O1773" s="34"/>
      <c r="P1773" s="36" t="str">
        <f t="shared" si="162"/>
        <v/>
      </c>
      <c r="Q1773" s="216">
        <f t="shared" si="163"/>
        <v>0.14399999999999991</v>
      </c>
      <c r="R1773" s="216">
        <f t="shared" si="164"/>
        <v>0.14400000000000002</v>
      </c>
      <c r="S1773" s="217" t="str">
        <f t="shared" si="165"/>
        <v/>
      </c>
    </row>
    <row r="1774" spans="1:19" ht="25.5" x14ac:dyDescent="0.25">
      <c r="A1774" s="262"/>
      <c r="B1774" s="260"/>
      <c r="C1774" s="35" t="s">
        <v>8169</v>
      </c>
      <c r="D1774" s="35" t="s">
        <v>213</v>
      </c>
      <c r="E1774" s="36">
        <v>8.9999999999999993E-3</v>
      </c>
      <c r="F1774" s="33">
        <v>3.9139999999999997</v>
      </c>
      <c r="G1774" s="33">
        <f t="shared" si="166"/>
        <v>3.5225999999999993E-2</v>
      </c>
      <c r="H1774" s="34"/>
      <c r="I1774" s="30"/>
      <c r="J1774" s="152">
        <v>32</v>
      </c>
      <c r="L1774" s="215">
        <v>8.9999999999999993E-3</v>
      </c>
      <c r="M1774" s="33">
        <v>3.350384</v>
      </c>
      <c r="N1774" s="33">
        <f t="shared" si="167"/>
        <v>3.0153455999999999E-2</v>
      </c>
      <c r="O1774" s="34"/>
      <c r="P1774" s="36" t="str">
        <f t="shared" si="162"/>
        <v/>
      </c>
      <c r="Q1774" s="216">
        <f t="shared" si="163"/>
        <v>0.14399999999999991</v>
      </c>
      <c r="R1774" s="216">
        <f t="shared" si="164"/>
        <v>0.14399999999999991</v>
      </c>
      <c r="S1774" s="217" t="str">
        <f t="shared" si="165"/>
        <v/>
      </c>
    </row>
    <row r="1775" spans="1:19" ht="15.75" thickBot="1" x14ac:dyDescent="0.3">
      <c r="A1775" s="263"/>
      <c r="B1775" s="261"/>
      <c r="C1775" s="35"/>
      <c r="D1775" s="35"/>
      <c r="E1775" s="36"/>
      <c r="F1775" s="30" t="s">
        <v>416</v>
      </c>
      <c r="G1775" s="30" t="str">
        <f t="shared" si="166"/>
        <v/>
      </c>
      <c r="H1775" s="34"/>
      <c r="I1775" s="30"/>
      <c r="J1775" s="152">
        <v>32</v>
      </c>
      <c r="L1775" s="215"/>
      <c r="M1775" s="30"/>
      <c r="N1775" s="30" t="str">
        <f t="shared" si="167"/>
        <v/>
      </c>
      <c r="O1775" s="34"/>
      <c r="P1775" s="36" t="str">
        <f t="shared" si="162"/>
        <v/>
      </c>
      <c r="Q1775" s="216" t="str">
        <f t="shared" si="163"/>
        <v/>
      </c>
      <c r="R1775" s="216" t="str">
        <f t="shared" si="164"/>
        <v/>
      </c>
      <c r="S1775" s="217" t="str">
        <f t="shared" si="165"/>
        <v/>
      </c>
    </row>
    <row r="1776" spans="1:19" ht="15.75" hidden="1" thickBot="1" x14ac:dyDescent="0.3">
      <c r="A1776" s="256" t="s">
        <v>454</v>
      </c>
      <c r="B1776" s="259" t="str">
        <f>INDEX(Orçamentária!A:B,MATCH(Composições!A1776,Orçamentária!A:A,0),2)</f>
        <v>Condutor 4 mm²</v>
      </c>
      <c r="C1776" s="40"/>
      <c r="D1776" s="25" t="s">
        <v>69</v>
      </c>
      <c r="E1776" s="26"/>
      <c r="F1776" s="41" t="s">
        <v>416</v>
      </c>
      <c r="G1776" s="27" t="str">
        <f t="shared" si="166"/>
        <v/>
      </c>
      <c r="H1776" s="28"/>
      <c r="I1776" s="29"/>
      <c r="J1776" s="152">
        <v>0</v>
      </c>
      <c r="L1776" s="218"/>
      <c r="M1776" s="41"/>
      <c r="N1776" s="27" t="str">
        <f t="shared" si="167"/>
        <v/>
      </c>
      <c r="O1776" s="28"/>
      <c r="P1776" s="36" t="str">
        <f t="shared" si="162"/>
        <v/>
      </c>
      <c r="Q1776" s="216" t="str">
        <f t="shared" si="163"/>
        <v/>
      </c>
      <c r="R1776" s="216" t="str">
        <f t="shared" si="164"/>
        <v/>
      </c>
      <c r="S1776" s="217" t="str">
        <f t="shared" si="165"/>
        <v/>
      </c>
    </row>
    <row r="1777" spans="1:19" ht="15.75" hidden="1" thickBot="1" x14ac:dyDescent="0.3">
      <c r="A1777" s="262"/>
      <c r="B1777" s="260"/>
      <c r="C1777" s="31"/>
      <c r="D1777" s="31"/>
      <c r="E1777" s="32"/>
      <c r="F1777" s="42" t="s">
        <v>416</v>
      </c>
      <c r="G1777" s="30" t="str">
        <f t="shared" si="166"/>
        <v/>
      </c>
      <c r="H1777" s="34"/>
      <c r="I1777" s="30"/>
      <c r="J1777" s="152">
        <v>0</v>
      </c>
      <c r="L1777" s="219"/>
      <c r="M1777" s="42"/>
      <c r="N1777" s="30" t="str">
        <f t="shared" si="167"/>
        <v/>
      </c>
      <c r="O1777" s="34"/>
      <c r="P1777" s="36" t="str">
        <f t="shared" si="162"/>
        <v/>
      </c>
      <c r="Q1777" s="216" t="str">
        <f t="shared" si="163"/>
        <v/>
      </c>
      <c r="R1777" s="216" t="str">
        <f t="shared" si="164"/>
        <v/>
      </c>
      <c r="S1777" s="217" t="str">
        <f t="shared" si="165"/>
        <v/>
      </c>
    </row>
    <row r="1778" spans="1:19" ht="15.75" hidden="1" thickBot="1" x14ac:dyDescent="0.3">
      <c r="A1778" s="262"/>
      <c r="B1778" s="260"/>
      <c r="C1778" s="35" t="s">
        <v>1017</v>
      </c>
      <c r="D1778" s="35" t="s">
        <v>583</v>
      </c>
      <c r="E1778" s="36">
        <v>0.04</v>
      </c>
      <c r="F1778" s="30">
        <v>21.584</v>
      </c>
      <c r="G1778" s="33">
        <f t="shared" si="166"/>
        <v>0.86336000000000002</v>
      </c>
      <c r="H1778" s="38">
        <f>SUM(G1778:G1781)</f>
        <v>2.0119860000000003</v>
      </c>
      <c r="I1778" s="39"/>
      <c r="J1778" s="152">
        <v>0</v>
      </c>
      <c r="L1778" s="215">
        <v>0.04</v>
      </c>
      <c r="M1778" s="30">
        <v>18.475904</v>
      </c>
      <c r="N1778" s="33">
        <f t="shared" si="167"/>
        <v>0.73903616000000005</v>
      </c>
      <c r="O1778" s="38">
        <f>SUM(N1778:N1781)</f>
        <v>1.7222600160000001</v>
      </c>
      <c r="P1778" s="36" t="str">
        <f t="shared" si="162"/>
        <v/>
      </c>
      <c r="Q1778" s="216">
        <f t="shared" si="163"/>
        <v>0.14400000000000002</v>
      </c>
      <c r="R1778" s="216">
        <f t="shared" si="164"/>
        <v>0.14399999999999991</v>
      </c>
      <c r="S1778" s="217">
        <f t="shared" si="165"/>
        <v>0.14400000000000002</v>
      </c>
    </row>
    <row r="1779" spans="1:19" ht="15.75" hidden="1" thickBot="1" x14ac:dyDescent="0.3">
      <c r="A1779" s="262"/>
      <c r="B1779" s="260"/>
      <c r="C1779" s="35" t="s">
        <v>1018</v>
      </c>
      <c r="D1779" s="35" t="s">
        <v>583</v>
      </c>
      <c r="E1779" s="36">
        <v>0.04</v>
      </c>
      <c r="F1779" s="30">
        <v>27.835000000000001</v>
      </c>
      <c r="G1779" s="33">
        <f t="shared" si="166"/>
        <v>1.1134000000000002</v>
      </c>
      <c r="H1779" s="34"/>
      <c r="I1779" s="30"/>
      <c r="J1779" s="152">
        <v>0</v>
      </c>
      <c r="L1779" s="215">
        <v>0.04</v>
      </c>
      <c r="M1779" s="30">
        <v>23.82676</v>
      </c>
      <c r="N1779" s="33">
        <f t="shared" si="167"/>
        <v>0.95307039999999998</v>
      </c>
      <c r="O1779" s="34"/>
      <c r="P1779" s="36" t="str">
        <f t="shared" si="162"/>
        <v/>
      </c>
      <c r="Q1779" s="216">
        <f t="shared" si="163"/>
        <v>0.14400000000000002</v>
      </c>
      <c r="R1779" s="216">
        <f t="shared" si="164"/>
        <v>0.14400000000000013</v>
      </c>
      <c r="S1779" s="217" t="str">
        <f t="shared" si="165"/>
        <v/>
      </c>
    </row>
    <row r="1780" spans="1:19" ht="26.25" hidden="1" thickBot="1" x14ac:dyDescent="0.3">
      <c r="A1780" s="262"/>
      <c r="B1780" s="260"/>
      <c r="C1780" s="35" t="s">
        <v>455</v>
      </c>
      <c r="D1780" s="35" t="s">
        <v>69</v>
      </c>
      <c r="E1780" s="36">
        <v>1.19</v>
      </c>
      <c r="F1780" s="33" t="s">
        <v>416</v>
      </c>
      <c r="G1780" s="33" t="str">
        <f t="shared" si="166"/>
        <v/>
      </c>
      <c r="H1780" s="34"/>
      <c r="I1780" s="30"/>
      <c r="J1780" s="152">
        <v>0</v>
      </c>
      <c r="L1780" s="215">
        <v>1.19</v>
      </c>
      <c r="M1780" s="33"/>
      <c r="N1780" s="33" t="str">
        <f t="shared" si="167"/>
        <v/>
      </c>
      <c r="O1780" s="34"/>
      <c r="P1780" s="36" t="str">
        <f t="shared" si="162"/>
        <v/>
      </c>
      <c r="Q1780" s="216" t="str">
        <f t="shared" si="163"/>
        <v/>
      </c>
      <c r="R1780" s="216" t="str">
        <f t="shared" si="164"/>
        <v/>
      </c>
      <c r="S1780" s="217" t="str">
        <f t="shared" si="165"/>
        <v/>
      </c>
    </row>
    <row r="1781" spans="1:19" ht="26.25" hidden="1" thickBot="1" x14ac:dyDescent="0.3">
      <c r="A1781" s="262"/>
      <c r="B1781" s="260"/>
      <c r="C1781" s="35" t="s">
        <v>8169</v>
      </c>
      <c r="D1781" s="35" t="s">
        <v>213</v>
      </c>
      <c r="E1781" s="36">
        <v>8.9999999999999993E-3</v>
      </c>
      <c r="F1781" s="33">
        <v>3.9139999999999997</v>
      </c>
      <c r="G1781" s="33">
        <f t="shared" si="166"/>
        <v>3.5225999999999993E-2</v>
      </c>
      <c r="H1781" s="34"/>
      <c r="I1781" s="30"/>
      <c r="J1781" s="152">
        <v>0</v>
      </c>
      <c r="L1781" s="215">
        <v>8.9999999999999993E-3</v>
      </c>
      <c r="M1781" s="33">
        <v>3.350384</v>
      </c>
      <c r="N1781" s="33">
        <f t="shared" si="167"/>
        <v>3.0153455999999999E-2</v>
      </c>
      <c r="O1781" s="34"/>
      <c r="P1781" s="36" t="str">
        <f t="shared" si="162"/>
        <v/>
      </c>
      <c r="Q1781" s="216">
        <f t="shared" si="163"/>
        <v>0.14399999999999991</v>
      </c>
      <c r="R1781" s="216">
        <f t="shared" si="164"/>
        <v>0.14399999999999991</v>
      </c>
      <c r="S1781" s="217" t="str">
        <f t="shared" si="165"/>
        <v/>
      </c>
    </row>
    <row r="1782" spans="1:19" ht="15.75" hidden="1" thickBot="1" x14ac:dyDescent="0.3">
      <c r="A1782" s="263"/>
      <c r="B1782" s="261"/>
      <c r="C1782" s="35"/>
      <c r="D1782" s="35"/>
      <c r="E1782" s="36"/>
      <c r="F1782" s="30" t="s">
        <v>416</v>
      </c>
      <c r="G1782" s="30" t="str">
        <f t="shared" si="166"/>
        <v/>
      </c>
      <c r="H1782" s="34"/>
      <c r="I1782" s="30"/>
      <c r="J1782" s="152">
        <v>0</v>
      </c>
      <c r="L1782" s="215"/>
      <c r="M1782" s="30"/>
      <c r="N1782" s="30" t="str">
        <f t="shared" si="167"/>
        <v/>
      </c>
      <c r="O1782" s="34"/>
      <c r="P1782" s="36" t="str">
        <f t="shared" si="162"/>
        <v/>
      </c>
      <c r="Q1782" s="216" t="str">
        <f t="shared" si="163"/>
        <v/>
      </c>
      <c r="R1782" s="216" t="str">
        <f t="shared" si="164"/>
        <v/>
      </c>
      <c r="S1782" s="217" t="str">
        <f t="shared" si="165"/>
        <v/>
      </c>
    </row>
    <row r="1783" spans="1:19" ht="15.75" thickBot="1" x14ac:dyDescent="0.3">
      <c r="A1783" s="256" t="s">
        <v>456</v>
      </c>
      <c r="B1783" s="259" t="str">
        <f>INDEX(Orçamentária!A:B,MATCH(Composições!A1783,Orçamentária!A:A,0),2)</f>
        <v>Condutor 4x2,5 mm²</v>
      </c>
      <c r="C1783" s="40"/>
      <c r="D1783" s="25" t="s">
        <v>69</v>
      </c>
      <c r="E1783" s="26"/>
      <c r="F1783" s="41" t="s">
        <v>416</v>
      </c>
      <c r="G1783" s="27" t="str">
        <f t="shared" si="166"/>
        <v/>
      </c>
      <c r="H1783" s="28"/>
      <c r="I1783" s="29"/>
      <c r="J1783" s="152">
        <v>222</v>
      </c>
      <c r="L1783" s="218"/>
      <c r="M1783" s="41"/>
      <c r="N1783" s="27" t="str">
        <f t="shared" si="167"/>
        <v/>
      </c>
      <c r="O1783" s="28"/>
      <c r="P1783" s="36" t="str">
        <f t="shared" si="162"/>
        <v/>
      </c>
      <c r="Q1783" s="216" t="str">
        <f t="shared" si="163"/>
        <v/>
      </c>
      <c r="R1783" s="216" t="str">
        <f t="shared" si="164"/>
        <v/>
      </c>
      <c r="S1783" s="217" t="str">
        <f t="shared" si="165"/>
        <v/>
      </c>
    </row>
    <row r="1784" spans="1:19" x14ac:dyDescent="0.25">
      <c r="A1784" s="262"/>
      <c r="B1784" s="260"/>
      <c r="C1784" s="31"/>
      <c r="D1784" s="31"/>
      <c r="E1784" s="32"/>
      <c r="F1784" s="42" t="s">
        <v>416</v>
      </c>
      <c r="G1784" s="30" t="str">
        <f t="shared" si="166"/>
        <v/>
      </c>
      <c r="H1784" s="34"/>
      <c r="I1784" s="30"/>
      <c r="J1784" s="152">
        <v>222</v>
      </c>
      <c r="L1784" s="219"/>
      <c r="M1784" s="42"/>
      <c r="N1784" s="30" t="str">
        <f t="shared" si="167"/>
        <v/>
      </c>
      <c r="O1784" s="34"/>
      <c r="P1784" s="36" t="str">
        <f t="shared" si="162"/>
        <v/>
      </c>
      <c r="Q1784" s="216" t="str">
        <f t="shared" si="163"/>
        <v/>
      </c>
      <c r="R1784" s="216" t="str">
        <f t="shared" si="164"/>
        <v/>
      </c>
      <c r="S1784" s="217" t="str">
        <f t="shared" si="165"/>
        <v/>
      </c>
    </row>
    <row r="1785" spans="1:19" x14ac:dyDescent="0.25">
      <c r="A1785" s="262"/>
      <c r="B1785" s="260"/>
      <c r="C1785" s="35" t="s">
        <v>1017</v>
      </c>
      <c r="D1785" s="35" t="s">
        <v>583</v>
      </c>
      <c r="E1785" s="36">
        <v>8.9999999999999993E-3</v>
      </c>
      <c r="F1785" s="30">
        <v>21.584</v>
      </c>
      <c r="G1785" s="33">
        <f t="shared" si="166"/>
        <v>0.19425599999999998</v>
      </c>
      <c r="H1785" s="38">
        <f>SUM(G1785:G1788)</f>
        <v>11.513890999999999</v>
      </c>
      <c r="I1785" s="39"/>
      <c r="J1785" s="152">
        <v>222</v>
      </c>
      <c r="L1785" s="215">
        <v>8.9999999999999993E-3</v>
      </c>
      <c r="M1785" s="30">
        <v>18.475904</v>
      </c>
      <c r="N1785" s="33">
        <f t="shared" si="167"/>
        <v>0.166283136</v>
      </c>
      <c r="O1785" s="38">
        <f>SUM(N1785:N1788)</f>
        <v>9.8558906959999995</v>
      </c>
      <c r="P1785" s="36" t="str">
        <f t="shared" si="162"/>
        <v/>
      </c>
      <c r="Q1785" s="216">
        <f t="shared" si="163"/>
        <v>0.14400000000000002</v>
      </c>
      <c r="R1785" s="216">
        <f t="shared" si="164"/>
        <v>0.14399999999999991</v>
      </c>
      <c r="S1785" s="217">
        <f t="shared" si="165"/>
        <v>0.14400000000000002</v>
      </c>
    </row>
    <row r="1786" spans="1:19" x14ac:dyDescent="0.25">
      <c r="A1786" s="262"/>
      <c r="B1786" s="260"/>
      <c r="C1786" s="35" t="s">
        <v>1018</v>
      </c>
      <c r="D1786" s="35" t="s">
        <v>583</v>
      </c>
      <c r="E1786" s="36">
        <v>8.9999999999999993E-3</v>
      </c>
      <c r="F1786" s="30">
        <v>27.835000000000001</v>
      </c>
      <c r="G1786" s="33">
        <f t="shared" si="166"/>
        <v>0.25051499999999999</v>
      </c>
      <c r="H1786" s="34"/>
      <c r="I1786" s="30"/>
      <c r="J1786" s="152">
        <v>222</v>
      </c>
      <c r="L1786" s="215">
        <v>8.9999999999999993E-3</v>
      </c>
      <c r="M1786" s="30">
        <v>23.82676</v>
      </c>
      <c r="N1786" s="33">
        <f t="shared" si="167"/>
        <v>0.21444083999999999</v>
      </c>
      <c r="O1786" s="34"/>
      <c r="P1786" s="36" t="str">
        <f t="shared" si="162"/>
        <v/>
      </c>
      <c r="Q1786" s="216">
        <f t="shared" si="163"/>
        <v>0.14400000000000002</v>
      </c>
      <c r="R1786" s="216">
        <f t="shared" si="164"/>
        <v>0.14400000000000002</v>
      </c>
      <c r="S1786" s="217" t="str">
        <f t="shared" si="165"/>
        <v/>
      </c>
    </row>
    <row r="1787" spans="1:19" ht="25.5" x14ac:dyDescent="0.25">
      <c r="A1787" s="262"/>
      <c r="B1787" s="260"/>
      <c r="C1787" s="35" t="s">
        <v>457</v>
      </c>
      <c r="D1787" s="35" t="s">
        <v>69</v>
      </c>
      <c r="E1787" s="36">
        <v>1.0269999999999999</v>
      </c>
      <c r="F1787" s="33">
        <v>10.74</v>
      </c>
      <c r="G1787" s="33">
        <f t="shared" si="166"/>
        <v>11.02998</v>
      </c>
      <c r="H1787" s="34"/>
      <c r="I1787" s="30"/>
      <c r="J1787" s="152">
        <v>222</v>
      </c>
      <c r="L1787" s="215">
        <v>1.0269999999999999</v>
      </c>
      <c r="M1787" s="33">
        <v>9.1934400000000007</v>
      </c>
      <c r="N1787" s="33">
        <f t="shared" si="167"/>
        <v>9.4416628799999991</v>
      </c>
      <c r="O1787" s="34"/>
      <c r="P1787" s="36" t="str">
        <f t="shared" si="162"/>
        <v/>
      </c>
      <c r="Q1787" s="216">
        <f t="shared" si="163"/>
        <v>0.14399999999999991</v>
      </c>
      <c r="R1787" s="216">
        <f t="shared" si="164"/>
        <v>0.14400000000000013</v>
      </c>
      <c r="S1787" s="217" t="str">
        <f t="shared" si="165"/>
        <v/>
      </c>
    </row>
    <row r="1788" spans="1:19" ht="25.5" x14ac:dyDescent="0.25">
      <c r="A1788" s="262"/>
      <c r="B1788" s="260"/>
      <c r="C1788" s="35" t="s">
        <v>8169</v>
      </c>
      <c r="D1788" s="35" t="s">
        <v>213</v>
      </c>
      <c r="E1788" s="36">
        <v>0.01</v>
      </c>
      <c r="F1788" s="33">
        <v>3.9139999999999997</v>
      </c>
      <c r="G1788" s="33">
        <f t="shared" si="166"/>
        <v>3.9140000000000001E-2</v>
      </c>
      <c r="H1788" s="34"/>
      <c r="I1788" s="30"/>
      <c r="J1788" s="152">
        <v>222</v>
      </c>
      <c r="L1788" s="215">
        <v>0.01</v>
      </c>
      <c r="M1788" s="33">
        <v>3.350384</v>
      </c>
      <c r="N1788" s="33">
        <f t="shared" si="167"/>
        <v>3.350384E-2</v>
      </c>
      <c r="O1788" s="34"/>
      <c r="P1788" s="36" t="str">
        <f t="shared" si="162"/>
        <v/>
      </c>
      <c r="Q1788" s="216">
        <f t="shared" si="163"/>
        <v>0.14399999999999991</v>
      </c>
      <c r="R1788" s="216">
        <f t="shared" si="164"/>
        <v>0.14400000000000002</v>
      </c>
      <c r="S1788" s="217" t="str">
        <f t="shared" si="165"/>
        <v/>
      </c>
    </row>
    <row r="1789" spans="1:19" ht="15.75" thickBot="1" x14ac:dyDescent="0.3">
      <c r="A1789" s="263"/>
      <c r="B1789" s="261"/>
      <c r="C1789" s="35"/>
      <c r="D1789" s="35"/>
      <c r="E1789" s="36"/>
      <c r="F1789" s="30" t="s">
        <v>416</v>
      </c>
      <c r="G1789" s="30" t="str">
        <f t="shared" si="166"/>
        <v/>
      </c>
      <c r="H1789" s="34"/>
      <c r="I1789" s="30"/>
      <c r="J1789" s="152">
        <v>222</v>
      </c>
      <c r="L1789" s="215"/>
      <c r="M1789" s="30"/>
      <c r="N1789" s="30" t="str">
        <f t="shared" si="167"/>
        <v/>
      </c>
      <c r="O1789" s="34"/>
      <c r="P1789" s="36" t="str">
        <f t="shared" si="162"/>
        <v/>
      </c>
      <c r="Q1789" s="216" t="str">
        <f t="shared" si="163"/>
        <v/>
      </c>
      <c r="R1789" s="216" t="str">
        <f t="shared" si="164"/>
        <v/>
      </c>
      <c r="S1789" s="217" t="str">
        <f t="shared" si="165"/>
        <v/>
      </c>
    </row>
    <row r="1790" spans="1:19" ht="15.75" thickBot="1" x14ac:dyDescent="0.3">
      <c r="A1790" s="256" t="s">
        <v>458</v>
      </c>
      <c r="B1790" s="259" t="str">
        <f>INDEX(Orçamentária!A:B,MATCH(Composições!A1790,Orçamentária!A:A,0),2)</f>
        <v>Condutor 6 mm²</v>
      </c>
      <c r="C1790" s="40"/>
      <c r="D1790" s="25" t="s">
        <v>69</v>
      </c>
      <c r="E1790" s="26"/>
      <c r="F1790" s="41" t="s">
        <v>416</v>
      </c>
      <c r="G1790" s="27" t="str">
        <f t="shared" si="166"/>
        <v/>
      </c>
      <c r="H1790" s="28"/>
      <c r="I1790" s="29"/>
      <c r="J1790" s="152">
        <v>110</v>
      </c>
      <c r="L1790" s="218"/>
      <c r="M1790" s="41"/>
      <c r="N1790" s="27" t="str">
        <f t="shared" si="167"/>
        <v/>
      </c>
      <c r="O1790" s="28"/>
      <c r="P1790" s="36" t="str">
        <f t="shared" si="162"/>
        <v/>
      </c>
      <c r="Q1790" s="216" t="str">
        <f t="shared" si="163"/>
        <v/>
      </c>
      <c r="R1790" s="216" t="str">
        <f t="shared" si="164"/>
        <v/>
      </c>
      <c r="S1790" s="217" t="str">
        <f t="shared" si="165"/>
        <v/>
      </c>
    </row>
    <row r="1791" spans="1:19" x14ac:dyDescent="0.25">
      <c r="A1791" s="262"/>
      <c r="B1791" s="260"/>
      <c r="C1791" s="31"/>
      <c r="D1791" s="31"/>
      <c r="E1791" s="32"/>
      <c r="F1791" s="42" t="s">
        <v>416</v>
      </c>
      <c r="G1791" s="30" t="str">
        <f t="shared" si="166"/>
        <v/>
      </c>
      <c r="H1791" s="34"/>
      <c r="I1791" s="30"/>
      <c r="J1791" s="152">
        <v>110</v>
      </c>
      <c r="L1791" s="219"/>
      <c r="M1791" s="42"/>
      <c r="N1791" s="30" t="str">
        <f t="shared" si="167"/>
        <v/>
      </c>
      <c r="O1791" s="34"/>
      <c r="P1791" s="36" t="str">
        <f t="shared" si="162"/>
        <v/>
      </c>
      <c r="Q1791" s="216" t="str">
        <f t="shared" si="163"/>
        <v/>
      </c>
      <c r="R1791" s="216" t="str">
        <f t="shared" si="164"/>
        <v/>
      </c>
      <c r="S1791" s="217" t="str">
        <f t="shared" si="165"/>
        <v/>
      </c>
    </row>
    <row r="1792" spans="1:19" x14ac:dyDescent="0.25">
      <c r="A1792" s="262"/>
      <c r="B1792" s="260"/>
      <c r="C1792" s="35" t="s">
        <v>1017</v>
      </c>
      <c r="D1792" s="35" t="s">
        <v>583</v>
      </c>
      <c r="E1792" s="36">
        <v>5.1999999999999998E-2</v>
      </c>
      <c r="F1792" s="30">
        <v>21.584</v>
      </c>
      <c r="G1792" s="30">
        <f t="shared" si="166"/>
        <v>1.122368</v>
      </c>
      <c r="H1792" s="38">
        <f>SUM(G1792:G1795)</f>
        <v>9.280914000000001</v>
      </c>
      <c r="I1792" s="39"/>
      <c r="J1792" s="152">
        <v>110</v>
      </c>
      <c r="L1792" s="215">
        <v>5.1999999999999998E-2</v>
      </c>
      <c r="M1792" s="30">
        <v>18.475904</v>
      </c>
      <c r="N1792" s="30">
        <f t="shared" si="167"/>
        <v>0.9607470079999999</v>
      </c>
      <c r="O1792" s="38">
        <f>SUM(N1792:N1795)</f>
        <v>7.9444623840000004</v>
      </c>
      <c r="P1792" s="36" t="str">
        <f t="shared" si="162"/>
        <v/>
      </c>
      <c r="Q1792" s="216">
        <f t="shared" si="163"/>
        <v>0.14400000000000002</v>
      </c>
      <c r="R1792" s="216">
        <f t="shared" si="164"/>
        <v>0.14400000000000013</v>
      </c>
      <c r="S1792" s="217">
        <f t="shared" si="165"/>
        <v>0.14400000000000002</v>
      </c>
    </row>
    <row r="1793" spans="1:19" x14ac:dyDescent="0.25">
      <c r="A1793" s="262"/>
      <c r="B1793" s="260"/>
      <c r="C1793" s="35" t="s">
        <v>1018</v>
      </c>
      <c r="D1793" s="35" t="s">
        <v>583</v>
      </c>
      <c r="E1793" s="36">
        <v>5.1999999999999998E-2</v>
      </c>
      <c r="F1793" s="30">
        <v>27.835000000000001</v>
      </c>
      <c r="G1793" s="30">
        <f t="shared" si="166"/>
        <v>1.4474199999999999</v>
      </c>
      <c r="H1793" s="34"/>
      <c r="I1793" s="30"/>
      <c r="J1793" s="152">
        <v>110</v>
      </c>
      <c r="L1793" s="215">
        <v>5.1999999999999998E-2</v>
      </c>
      <c r="M1793" s="30">
        <v>23.82676</v>
      </c>
      <c r="N1793" s="30">
        <f t="shared" si="167"/>
        <v>1.2389915199999999</v>
      </c>
      <c r="O1793" s="34"/>
      <c r="P1793" s="36" t="str">
        <f t="shared" si="162"/>
        <v/>
      </c>
      <c r="Q1793" s="216">
        <f t="shared" si="163"/>
        <v>0.14400000000000002</v>
      </c>
      <c r="R1793" s="216">
        <f t="shared" si="164"/>
        <v>0.14400000000000002</v>
      </c>
      <c r="S1793" s="217" t="str">
        <f t="shared" si="165"/>
        <v/>
      </c>
    </row>
    <row r="1794" spans="1:19" ht="25.5" x14ac:dyDescent="0.25">
      <c r="A1794" s="262"/>
      <c r="B1794" s="260"/>
      <c r="C1794" s="35" t="s">
        <v>459</v>
      </c>
      <c r="D1794" s="35" t="s">
        <v>69</v>
      </c>
      <c r="E1794" s="36">
        <v>1.19</v>
      </c>
      <c r="F1794" s="33">
        <v>5.61</v>
      </c>
      <c r="G1794" s="30">
        <f t="shared" si="166"/>
        <v>6.6759000000000004</v>
      </c>
      <c r="H1794" s="34"/>
      <c r="I1794" s="30"/>
      <c r="J1794" s="152">
        <v>110</v>
      </c>
      <c r="L1794" s="215">
        <v>1.19</v>
      </c>
      <c r="M1794" s="33">
        <v>4.8021600000000007</v>
      </c>
      <c r="N1794" s="30">
        <f t="shared" si="167"/>
        <v>5.7145704000000004</v>
      </c>
      <c r="O1794" s="34"/>
      <c r="P1794" s="36" t="str">
        <f t="shared" si="162"/>
        <v/>
      </c>
      <c r="Q1794" s="216">
        <f t="shared" si="163"/>
        <v>0.14399999999999991</v>
      </c>
      <c r="R1794" s="216">
        <f t="shared" si="164"/>
        <v>0.14400000000000002</v>
      </c>
      <c r="S1794" s="217" t="str">
        <f t="shared" si="165"/>
        <v/>
      </c>
    </row>
    <row r="1795" spans="1:19" ht="25.5" x14ac:dyDescent="0.25">
      <c r="A1795" s="262"/>
      <c r="B1795" s="260"/>
      <c r="C1795" s="35" t="s">
        <v>8169</v>
      </c>
      <c r="D1795" s="35" t="s">
        <v>213</v>
      </c>
      <c r="E1795" s="36">
        <v>8.9999999999999993E-3</v>
      </c>
      <c r="F1795" s="33">
        <v>3.9139999999999997</v>
      </c>
      <c r="G1795" s="30">
        <f t="shared" si="166"/>
        <v>3.5225999999999993E-2</v>
      </c>
      <c r="H1795" s="34"/>
      <c r="I1795" s="30"/>
      <c r="J1795" s="152">
        <v>110</v>
      </c>
      <c r="L1795" s="215">
        <v>8.9999999999999993E-3</v>
      </c>
      <c r="M1795" s="33">
        <v>3.350384</v>
      </c>
      <c r="N1795" s="30">
        <f t="shared" si="167"/>
        <v>3.0153455999999999E-2</v>
      </c>
      <c r="O1795" s="34"/>
      <c r="P1795" s="36" t="str">
        <f t="shared" si="162"/>
        <v/>
      </c>
      <c r="Q1795" s="216">
        <f t="shared" si="163"/>
        <v>0.14399999999999991</v>
      </c>
      <c r="R1795" s="216">
        <f t="shared" si="164"/>
        <v>0.14399999999999991</v>
      </c>
      <c r="S1795" s="217" t="str">
        <f t="shared" si="165"/>
        <v/>
      </c>
    </row>
    <row r="1796" spans="1:19" ht="15.75" thickBot="1" x14ac:dyDescent="0.3">
      <c r="A1796" s="263"/>
      <c r="B1796" s="261"/>
      <c r="C1796" s="35"/>
      <c r="D1796" s="35"/>
      <c r="E1796" s="36"/>
      <c r="F1796" s="30" t="s">
        <v>416</v>
      </c>
      <c r="G1796" s="30" t="str">
        <f t="shared" si="166"/>
        <v/>
      </c>
      <c r="H1796" s="34"/>
      <c r="I1796" s="30"/>
      <c r="J1796" s="152">
        <v>110</v>
      </c>
      <c r="L1796" s="215"/>
      <c r="M1796" s="30"/>
      <c r="N1796" s="30" t="str">
        <f t="shared" si="167"/>
        <v/>
      </c>
      <c r="O1796" s="34"/>
      <c r="P1796" s="36" t="str">
        <f t="shared" si="162"/>
        <v/>
      </c>
      <c r="Q1796" s="216" t="str">
        <f t="shared" si="163"/>
        <v/>
      </c>
      <c r="R1796" s="216" t="str">
        <f t="shared" si="164"/>
        <v/>
      </c>
      <c r="S1796" s="217" t="str">
        <f t="shared" si="165"/>
        <v/>
      </c>
    </row>
    <row r="1797" spans="1:19" ht="15.75" thickBot="1" x14ac:dyDescent="0.3">
      <c r="A1797" s="256" t="s">
        <v>460</v>
      </c>
      <c r="B1797" s="259" t="str">
        <f>INDEX(Orçamentária!A:B,MATCH(Composições!A1797,Orçamentária!A:A,0),2)</f>
        <v>Quadro elétrico TTA</v>
      </c>
      <c r="C1797" s="40"/>
      <c r="D1797" s="25" t="s">
        <v>16</v>
      </c>
      <c r="E1797" s="26"/>
      <c r="F1797" s="41" t="s">
        <v>416</v>
      </c>
      <c r="G1797" s="27" t="str">
        <f t="shared" si="166"/>
        <v/>
      </c>
      <c r="H1797" s="28"/>
      <c r="I1797" s="29"/>
      <c r="J1797" s="152">
        <v>1</v>
      </c>
      <c r="L1797" s="218"/>
      <c r="M1797" s="41"/>
      <c r="N1797" s="27" t="str">
        <f t="shared" si="167"/>
        <v/>
      </c>
      <c r="O1797" s="28"/>
      <c r="P1797" s="36" t="str">
        <f t="shared" si="162"/>
        <v/>
      </c>
      <c r="Q1797" s="216" t="str">
        <f t="shared" si="163"/>
        <v/>
      </c>
      <c r="R1797" s="216" t="str">
        <f t="shared" si="164"/>
        <v/>
      </c>
      <c r="S1797" s="217" t="str">
        <f t="shared" si="165"/>
        <v/>
      </c>
    </row>
    <row r="1798" spans="1:19" x14ac:dyDescent="0.25">
      <c r="A1798" s="262"/>
      <c r="B1798" s="260"/>
      <c r="C1798" s="31"/>
      <c r="D1798" s="31"/>
      <c r="E1798" s="32"/>
      <c r="F1798" s="42" t="s">
        <v>416</v>
      </c>
      <c r="G1798" s="30" t="str">
        <f t="shared" si="166"/>
        <v/>
      </c>
      <c r="H1798" s="34"/>
      <c r="I1798" s="30"/>
      <c r="J1798" s="152">
        <v>1</v>
      </c>
      <c r="L1798" s="219"/>
      <c r="M1798" s="42"/>
      <c r="N1798" s="30" t="str">
        <f t="shared" si="167"/>
        <v/>
      </c>
      <c r="O1798" s="34"/>
      <c r="P1798" s="36" t="str">
        <f t="shared" si="162"/>
        <v/>
      </c>
      <c r="Q1798" s="216" t="str">
        <f t="shared" si="163"/>
        <v/>
      </c>
      <c r="R1798" s="216" t="str">
        <f t="shared" si="164"/>
        <v/>
      </c>
      <c r="S1798" s="217" t="str">
        <f t="shared" si="165"/>
        <v/>
      </c>
    </row>
    <row r="1799" spans="1:19" ht="25.5" x14ac:dyDescent="0.25">
      <c r="A1799" s="262"/>
      <c r="B1799" s="260"/>
      <c r="C1799" s="35" t="s">
        <v>6941</v>
      </c>
      <c r="D1799" s="46" t="s">
        <v>16</v>
      </c>
      <c r="E1799" s="36">
        <v>1</v>
      </c>
      <c r="F1799" s="33">
        <v>8246</v>
      </c>
      <c r="G1799" s="30">
        <f t="shared" si="166"/>
        <v>8246</v>
      </c>
      <c r="H1799" s="38">
        <f>SUM(G1799:G1802)</f>
        <v>8293.4176084402498</v>
      </c>
      <c r="I1799" s="39"/>
      <c r="J1799" s="152">
        <v>1</v>
      </c>
      <c r="L1799" s="215">
        <v>1</v>
      </c>
      <c r="M1799" s="33">
        <v>7058.576</v>
      </c>
      <c r="N1799" s="30">
        <f t="shared" si="167"/>
        <v>7058.576</v>
      </c>
      <c r="O1799" s="38">
        <f>SUM(N1799:N1802)</f>
        <v>7099.1654728248532</v>
      </c>
      <c r="P1799" s="36" t="str">
        <f t="shared" si="162"/>
        <v/>
      </c>
      <c r="Q1799" s="216">
        <f t="shared" si="163"/>
        <v>0.14400000000000002</v>
      </c>
      <c r="R1799" s="216">
        <f t="shared" si="164"/>
        <v>0.14400000000000002</v>
      </c>
      <c r="S1799" s="217">
        <f t="shared" si="165"/>
        <v>0.14400000000000013</v>
      </c>
    </row>
    <row r="1800" spans="1:19" ht="38.25" x14ac:dyDescent="0.25">
      <c r="A1800" s="262"/>
      <c r="B1800" s="260"/>
      <c r="C1800" s="35" t="s">
        <v>2897</v>
      </c>
      <c r="D1800" s="46" t="s">
        <v>87</v>
      </c>
      <c r="E1800" s="36">
        <v>1.9199999999999998E-2</v>
      </c>
      <c r="F1800" s="30">
        <v>838.58271563799997</v>
      </c>
      <c r="G1800" s="30">
        <f t="shared" si="166"/>
        <v>16.100788140249598</v>
      </c>
      <c r="H1800" s="34"/>
      <c r="I1800" s="30"/>
      <c r="J1800" s="152">
        <v>1</v>
      </c>
      <c r="L1800" s="215">
        <v>1.9199999999999998E-2</v>
      </c>
      <c r="M1800" s="30">
        <v>717.82680458612799</v>
      </c>
      <c r="N1800" s="30">
        <f t="shared" si="167"/>
        <v>13.782274648053656</v>
      </c>
      <c r="O1800" s="34"/>
      <c r="P1800" s="36" t="str">
        <f t="shared" ref="P1800:P1863" si="168">IF(ISBLANK(L1800),"",IF($E1800&lt;&gt;L1800,"SIM",""))</f>
        <v/>
      </c>
      <c r="Q1800" s="216">
        <f t="shared" ref="Q1800:Q1863" si="169">IF(M1800="","",1-M1800/$F1800)</f>
        <v>0.14400000000000002</v>
      </c>
      <c r="R1800" s="216">
        <f t="shared" ref="R1800:R1863" si="170">IF(N1800="","",1-N1800/$G1800)</f>
        <v>0.14400000000000002</v>
      </c>
      <c r="S1800" s="217" t="str">
        <f t="shared" ref="S1800:S1863" si="171">IF(O1800="","",1-O1800/$H1800)</f>
        <v/>
      </c>
    </row>
    <row r="1801" spans="1:19" x14ac:dyDescent="0.25">
      <c r="A1801" s="262"/>
      <c r="B1801" s="260"/>
      <c r="C1801" s="35" t="s">
        <v>1017</v>
      </c>
      <c r="D1801" s="35" t="s">
        <v>583</v>
      </c>
      <c r="E1801" s="36">
        <v>0.63370000000000004</v>
      </c>
      <c r="F1801" s="30">
        <v>21.584</v>
      </c>
      <c r="G1801" s="30">
        <f t="shared" si="166"/>
        <v>13.677780800000001</v>
      </c>
      <c r="H1801" s="34"/>
      <c r="I1801" s="30"/>
      <c r="J1801" s="152">
        <v>1</v>
      </c>
      <c r="L1801" s="215">
        <v>0.63370000000000004</v>
      </c>
      <c r="M1801" s="30">
        <v>18.475904</v>
      </c>
      <c r="N1801" s="30">
        <f t="shared" si="167"/>
        <v>11.7081803648</v>
      </c>
      <c r="O1801" s="34"/>
      <c r="P1801" s="36" t="str">
        <f t="shared" si="168"/>
        <v/>
      </c>
      <c r="Q1801" s="216">
        <f t="shared" si="169"/>
        <v>0.14400000000000002</v>
      </c>
      <c r="R1801" s="216">
        <f t="shared" si="170"/>
        <v>0.14400000000000002</v>
      </c>
      <c r="S1801" s="217" t="str">
        <f t="shared" si="171"/>
        <v/>
      </c>
    </row>
    <row r="1802" spans="1:19" x14ac:dyDescent="0.25">
      <c r="A1802" s="262"/>
      <c r="B1802" s="260"/>
      <c r="C1802" s="35" t="s">
        <v>1018</v>
      </c>
      <c r="D1802" s="35" t="s">
        <v>583</v>
      </c>
      <c r="E1802" s="36">
        <v>0.63370000000000004</v>
      </c>
      <c r="F1802" s="30">
        <v>27.835000000000001</v>
      </c>
      <c r="G1802" s="33">
        <f t="shared" si="166"/>
        <v>17.639039500000003</v>
      </c>
      <c r="H1802" s="34"/>
      <c r="I1802" s="30"/>
      <c r="J1802" s="152">
        <v>1</v>
      </c>
      <c r="L1802" s="215">
        <v>0.63370000000000004</v>
      </c>
      <c r="M1802" s="30">
        <v>23.82676</v>
      </c>
      <c r="N1802" s="33">
        <f t="shared" si="167"/>
        <v>15.099017812000001</v>
      </c>
      <c r="O1802" s="34"/>
      <c r="P1802" s="36" t="str">
        <f t="shared" si="168"/>
        <v/>
      </c>
      <c r="Q1802" s="216">
        <f t="shared" si="169"/>
        <v>0.14400000000000002</v>
      </c>
      <c r="R1802" s="216">
        <f t="shared" si="170"/>
        <v>0.14400000000000002</v>
      </c>
      <c r="S1802" s="217" t="str">
        <f t="shared" si="171"/>
        <v/>
      </c>
    </row>
    <row r="1803" spans="1:19" ht="15.75" thickBot="1" x14ac:dyDescent="0.3">
      <c r="A1803" s="262"/>
      <c r="B1803" s="261"/>
      <c r="C1803" s="35"/>
      <c r="D1803" s="35"/>
      <c r="E1803" s="36"/>
      <c r="F1803" s="30" t="s">
        <v>416</v>
      </c>
      <c r="G1803" s="30" t="str">
        <f t="shared" si="166"/>
        <v/>
      </c>
      <c r="H1803" s="34"/>
      <c r="I1803" s="30"/>
      <c r="J1803" s="152">
        <v>1</v>
      </c>
      <c r="L1803" s="215"/>
      <c r="M1803" s="30"/>
      <c r="N1803" s="30" t="str">
        <f t="shared" si="167"/>
        <v/>
      </c>
      <c r="O1803" s="34"/>
      <c r="P1803" s="36" t="str">
        <f t="shared" si="168"/>
        <v/>
      </c>
      <c r="Q1803" s="216" t="str">
        <f t="shared" si="169"/>
        <v/>
      </c>
      <c r="R1803" s="216" t="str">
        <f t="shared" si="170"/>
        <v/>
      </c>
      <c r="S1803" s="217" t="str">
        <f t="shared" si="171"/>
        <v/>
      </c>
    </row>
    <row r="1804" spans="1:19" ht="15.75" hidden="1" thickBot="1" x14ac:dyDescent="0.3">
      <c r="A1804" s="256" t="s">
        <v>461</v>
      </c>
      <c r="B1804" s="259" t="str">
        <f>INDEX(Orçamentária!A:B,MATCH(Composições!A1804,Orçamentária!A:A,0),2)</f>
        <v>Instalação de fancolete reaproveitado</v>
      </c>
      <c r="C1804" s="40"/>
      <c r="D1804" s="25" t="s">
        <v>16</v>
      </c>
      <c r="E1804" s="26"/>
      <c r="F1804" s="41" t="s">
        <v>416</v>
      </c>
      <c r="G1804" s="27" t="str">
        <f t="shared" si="166"/>
        <v/>
      </c>
      <c r="H1804" s="28"/>
      <c r="I1804" s="29"/>
      <c r="J1804" s="152">
        <v>0</v>
      </c>
      <c r="L1804" s="218"/>
      <c r="M1804" s="41"/>
      <c r="N1804" s="27" t="str">
        <f t="shared" si="167"/>
        <v/>
      </c>
      <c r="O1804" s="28"/>
      <c r="P1804" s="36" t="str">
        <f t="shared" si="168"/>
        <v/>
      </c>
      <c r="Q1804" s="216" t="str">
        <f t="shared" si="169"/>
        <v/>
      </c>
      <c r="R1804" s="216" t="str">
        <f t="shared" si="170"/>
        <v/>
      </c>
      <c r="S1804" s="217" t="str">
        <f t="shared" si="171"/>
        <v/>
      </c>
    </row>
    <row r="1805" spans="1:19" ht="15.75" hidden="1" thickBot="1" x14ac:dyDescent="0.3">
      <c r="A1805" s="262"/>
      <c r="B1805" s="260"/>
      <c r="C1805" s="31"/>
      <c r="D1805" s="31"/>
      <c r="E1805" s="32"/>
      <c r="F1805" s="42" t="s">
        <v>416</v>
      </c>
      <c r="G1805" s="30" t="str">
        <f t="shared" si="166"/>
        <v/>
      </c>
      <c r="H1805" s="34"/>
      <c r="I1805" s="30"/>
      <c r="J1805" s="152">
        <v>0</v>
      </c>
      <c r="L1805" s="219"/>
      <c r="M1805" s="42"/>
      <c r="N1805" s="30" t="str">
        <f t="shared" si="167"/>
        <v/>
      </c>
      <c r="O1805" s="34"/>
      <c r="P1805" s="36" t="str">
        <f t="shared" si="168"/>
        <v/>
      </c>
      <c r="Q1805" s="216" t="str">
        <f t="shared" si="169"/>
        <v/>
      </c>
      <c r="R1805" s="216" t="str">
        <f t="shared" si="170"/>
        <v/>
      </c>
      <c r="S1805" s="217" t="str">
        <f t="shared" si="171"/>
        <v/>
      </c>
    </row>
    <row r="1806" spans="1:19" ht="26.25" hidden="1" thickBot="1" x14ac:dyDescent="0.3">
      <c r="A1806" s="262"/>
      <c r="B1806" s="260"/>
      <c r="C1806" s="35" t="s">
        <v>2901</v>
      </c>
      <c r="D1806" s="35" t="s">
        <v>583</v>
      </c>
      <c r="E1806" s="36">
        <v>2</v>
      </c>
      <c r="F1806" s="30">
        <v>23.160999999999998</v>
      </c>
      <c r="G1806" s="33">
        <f t="shared" si="166"/>
        <v>46.321999999999996</v>
      </c>
      <c r="H1806" s="38">
        <f>SUM(G1806:G1807)</f>
        <v>104.69</v>
      </c>
      <c r="I1806" s="39"/>
      <c r="J1806" s="152">
        <v>0</v>
      </c>
      <c r="L1806" s="215">
        <v>2</v>
      </c>
      <c r="M1806" s="30">
        <v>19.825816</v>
      </c>
      <c r="N1806" s="33">
        <f t="shared" si="167"/>
        <v>39.651631999999999</v>
      </c>
      <c r="O1806" s="38">
        <f>SUM(N1806:N1807)</f>
        <v>89.614639999999994</v>
      </c>
      <c r="P1806" s="36" t="str">
        <f t="shared" si="168"/>
        <v/>
      </c>
      <c r="Q1806" s="216">
        <f t="shared" si="169"/>
        <v>0.14399999999999991</v>
      </c>
      <c r="R1806" s="216">
        <f t="shared" si="170"/>
        <v>0.14399999999999991</v>
      </c>
      <c r="S1806" s="217">
        <f t="shared" si="171"/>
        <v>0.14400000000000002</v>
      </c>
    </row>
    <row r="1807" spans="1:19" ht="26.25" hidden="1" thickBot="1" x14ac:dyDescent="0.3">
      <c r="A1807" s="262"/>
      <c r="B1807" s="260"/>
      <c r="C1807" s="35" t="s">
        <v>462</v>
      </c>
      <c r="D1807" s="35" t="s">
        <v>583</v>
      </c>
      <c r="E1807" s="36">
        <v>2</v>
      </c>
      <c r="F1807" s="30">
        <v>29.183999999999997</v>
      </c>
      <c r="G1807" s="30">
        <f t="shared" si="166"/>
        <v>58.367999999999995</v>
      </c>
      <c r="H1807" s="34"/>
      <c r="I1807" s="30"/>
      <c r="J1807" s="152">
        <v>0</v>
      </c>
      <c r="L1807" s="215">
        <v>2</v>
      </c>
      <c r="M1807" s="30">
        <v>24.981503999999997</v>
      </c>
      <c r="N1807" s="30">
        <f t="shared" si="167"/>
        <v>49.963007999999995</v>
      </c>
      <c r="O1807" s="34"/>
      <c r="P1807" s="36" t="str">
        <f t="shared" si="168"/>
        <v/>
      </c>
      <c r="Q1807" s="216">
        <f t="shared" si="169"/>
        <v>0.14400000000000002</v>
      </c>
      <c r="R1807" s="216">
        <f t="shared" si="170"/>
        <v>0.14400000000000002</v>
      </c>
      <c r="S1807" s="217" t="str">
        <f t="shared" si="171"/>
        <v/>
      </c>
    </row>
    <row r="1808" spans="1:19" ht="15.75" hidden="1" thickBot="1" x14ac:dyDescent="0.3">
      <c r="A1808" s="263"/>
      <c r="B1808" s="261"/>
      <c r="C1808" s="35"/>
      <c r="D1808" s="35"/>
      <c r="E1808" s="36"/>
      <c r="F1808" s="30" t="s">
        <v>416</v>
      </c>
      <c r="G1808" s="30" t="str">
        <f t="shared" si="166"/>
        <v/>
      </c>
      <c r="H1808" s="34"/>
      <c r="I1808" s="30"/>
      <c r="J1808" s="152">
        <v>0</v>
      </c>
      <c r="L1808" s="215"/>
      <c r="M1808" s="30"/>
      <c r="N1808" s="30" t="str">
        <f t="shared" si="167"/>
        <v/>
      </c>
      <c r="O1808" s="34"/>
      <c r="P1808" s="36" t="str">
        <f t="shared" si="168"/>
        <v/>
      </c>
      <c r="Q1808" s="216" t="str">
        <f t="shared" si="169"/>
        <v/>
      </c>
      <c r="R1808" s="216" t="str">
        <f t="shared" si="170"/>
        <v/>
      </c>
      <c r="S1808" s="217" t="str">
        <f t="shared" si="171"/>
        <v/>
      </c>
    </row>
    <row r="1809" spans="1:19" ht="15.75" hidden="1" thickBot="1" x14ac:dyDescent="0.3">
      <c r="A1809" s="256" t="s">
        <v>463</v>
      </c>
      <c r="B1809" s="259" t="str">
        <f>INDEX(Orçamentária!A:B,MATCH(Composições!A1809,Orçamentária!A:A,0),2)</f>
        <v>Instalação de split reaproveitado</v>
      </c>
      <c r="C1809" s="40"/>
      <c r="D1809" s="25" t="s">
        <v>16</v>
      </c>
      <c r="E1809" s="26"/>
      <c r="F1809" s="41" t="s">
        <v>416</v>
      </c>
      <c r="G1809" s="27" t="str">
        <f t="shared" si="166"/>
        <v/>
      </c>
      <c r="H1809" s="28"/>
      <c r="I1809" s="29"/>
      <c r="J1809" s="152">
        <v>0</v>
      </c>
      <c r="L1809" s="218"/>
      <c r="M1809" s="41"/>
      <c r="N1809" s="27" t="str">
        <f t="shared" si="167"/>
        <v/>
      </c>
      <c r="O1809" s="28"/>
      <c r="P1809" s="36" t="str">
        <f t="shared" si="168"/>
        <v/>
      </c>
      <c r="Q1809" s="216" t="str">
        <f t="shared" si="169"/>
        <v/>
      </c>
      <c r="R1809" s="216" t="str">
        <f t="shared" si="170"/>
        <v/>
      </c>
      <c r="S1809" s="217" t="str">
        <f t="shared" si="171"/>
        <v/>
      </c>
    </row>
    <row r="1810" spans="1:19" ht="15.75" hidden="1" thickBot="1" x14ac:dyDescent="0.3">
      <c r="A1810" s="262"/>
      <c r="B1810" s="260"/>
      <c r="C1810" s="31"/>
      <c r="D1810" s="31"/>
      <c r="E1810" s="32"/>
      <c r="F1810" s="42" t="s">
        <v>416</v>
      </c>
      <c r="G1810" s="30" t="str">
        <f t="shared" si="166"/>
        <v/>
      </c>
      <c r="H1810" s="34"/>
      <c r="I1810" s="30"/>
      <c r="J1810" s="152">
        <v>0</v>
      </c>
      <c r="L1810" s="219"/>
      <c r="M1810" s="42"/>
      <c r="N1810" s="30" t="str">
        <f t="shared" si="167"/>
        <v/>
      </c>
      <c r="O1810" s="34"/>
      <c r="P1810" s="36" t="str">
        <f t="shared" si="168"/>
        <v/>
      </c>
      <c r="Q1810" s="216" t="str">
        <f t="shared" si="169"/>
        <v/>
      </c>
      <c r="R1810" s="216" t="str">
        <f t="shared" si="170"/>
        <v/>
      </c>
      <c r="S1810" s="217" t="str">
        <f t="shared" si="171"/>
        <v/>
      </c>
    </row>
    <row r="1811" spans="1:19" ht="26.25" hidden="1" thickBot="1" x14ac:dyDescent="0.3">
      <c r="A1811" s="262"/>
      <c r="B1811" s="260"/>
      <c r="C1811" s="35" t="s">
        <v>2901</v>
      </c>
      <c r="D1811" s="35" t="s">
        <v>583</v>
      </c>
      <c r="E1811" s="36">
        <v>3</v>
      </c>
      <c r="F1811" s="30">
        <v>23.160999999999998</v>
      </c>
      <c r="G1811" s="33">
        <f t="shared" ref="G1811:G1874" si="172">IF(ISNUMBER(F1811),E1811*F1811,"")</f>
        <v>69.48299999999999</v>
      </c>
      <c r="H1811" s="38">
        <f>SUM(G1811:G1812)</f>
        <v>157.03499999999997</v>
      </c>
      <c r="I1811" s="39"/>
      <c r="J1811" s="152">
        <v>0</v>
      </c>
      <c r="L1811" s="215">
        <v>3</v>
      </c>
      <c r="M1811" s="30">
        <v>19.825816</v>
      </c>
      <c r="N1811" s="33">
        <f t="shared" ref="N1811:N1874" si="173">IF(ISNUMBER(M1811),L1811*M1811,"")</f>
        <v>59.477447999999995</v>
      </c>
      <c r="O1811" s="38">
        <f>SUM(N1811:N1812)</f>
        <v>134.42195999999998</v>
      </c>
      <c r="P1811" s="36" t="str">
        <f t="shared" si="168"/>
        <v/>
      </c>
      <c r="Q1811" s="216">
        <f t="shared" si="169"/>
        <v>0.14399999999999991</v>
      </c>
      <c r="R1811" s="216">
        <f t="shared" si="170"/>
        <v>0.14399999999999991</v>
      </c>
      <c r="S1811" s="217">
        <f t="shared" si="171"/>
        <v>0.14399999999999991</v>
      </c>
    </row>
    <row r="1812" spans="1:19" ht="26.25" hidden="1" thickBot="1" x14ac:dyDescent="0.3">
      <c r="A1812" s="262"/>
      <c r="B1812" s="260"/>
      <c r="C1812" s="35" t="s">
        <v>462</v>
      </c>
      <c r="D1812" s="35" t="s">
        <v>583</v>
      </c>
      <c r="E1812" s="36">
        <v>3</v>
      </c>
      <c r="F1812" s="30">
        <v>29.183999999999997</v>
      </c>
      <c r="G1812" s="30">
        <f t="shared" si="172"/>
        <v>87.551999999999992</v>
      </c>
      <c r="H1812" s="34"/>
      <c r="I1812" s="30"/>
      <c r="J1812" s="152">
        <v>0</v>
      </c>
      <c r="L1812" s="215">
        <v>3</v>
      </c>
      <c r="M1812" s="30">
        <v>24.981503999999997</v>
      </c>
      <c r="N1812" s="30">
        <f t="shared" si="173"/>
        <v>74.944511999999989</v>
      </c>
      <c r="O1812" s="34"/>
      <c r="P1812" s="36" t="str">
        <f t="shared" si="168"/>
        <v/>
      </c>
      <c r="Q1812" s="216">
        <f t="shared" si="169"/>
        <v>0.14400000000000002</v>
      </c>
      <c r="R1812" s="216">
        <f t="shared" si="170"/>
        <v>0.14400000000000002</v>
      </c>
      <c r="S1812" s="217" t="str">
        <f t="shared" si="171"/>
        <v/>
      </c>
    </row>
    <row r="1813" spans="1:19" ht="15.75" hidden="1" thickBot="1" x14ac:dyDescent="0.3">
      <c r="A1813" s="263"/>
      <c r="B1813" s="261"/>
      <c r="C1813" s="35"/>
      <c r="D1813" s="35"/>
      <c r="E1813" s="36"/>
      <c r="F1813" s="30" t="s">
        <v>416</v>
      </c>
      <c r="G1813" s="30" t="str">
        <f t="shared" si="172"/>
        <v/>
      </c>
      <c r="H1813" s="34"/>
      <c r="I1813" s="30"/>
      <c r="J1813" s="152">
        <v>0</v>
      </c>
      <c r="L1813" s="215"/>
      <c r="M1813" s="30"/>
      <c r="N1813" s="30" t="str">
        <f t="shared" si="173"/>
        <v/>
      </c>
      <c r="O1813" s="34"/>
      <c r="P1813" s="36" t="str">
        <f t="shared" si="168"/>
        <v/>
      </c>
      <c r="Q1813" s="216" t="str">
        <f t="shared" si="169"/>
        <v/>
      </c>
      <c r="R1813" s="216" t="str">
        <f t="shared" si="170"/>
        <v/>
      </c>
      <c r="S1813" s="217" t="str">
        <f t="shared" si="171"/>
        <v/>
      </c>
    </row>
    <row r="1814" spans="1:19" ht="15.75" hidden="1" thickBot="1" x14ac:dyDescent="0.3">
      <c r="A1814" s="256" t="s">
        <v>464</v>
      </c>
      <c r="B1814" s="259" t="str">
        <f>INDEX(Orçamentária!A:B,MATCH(Composições!A1814,Orçamentária!A:A,0),2)</f>
        <v>Exaustor axial 340 m3/h</v>
      </c>
      <c r="C1814" s="40"/>
      <c r="D1814" s="25" t="s">
        <v>16</v>
      </c>
      <c r="E1814" s="26"/>
      <c r="F1814" s="41" t="s">
        <v>416</v>
      </c>
      <c r="G1814" s="27" t="str">
        <f t="shared" si="172"/>
        <v/>
      </c>
      <c r="H1814" s="28"/>
      <c r="I1814" s="29"/>
      <c r="J1814" s="152">
        <v>0</v>
      </c>
      <c r="L1814" s="218"/>
      <c r="M1814" s="41"/>
      <c r="N1814" s="27" t="str">
        <f t="shared" si="173"/>
        <v/>
      </c>
      <c r="O1814" s="28"/>
      <c r="P1814" s="36" t="str">
        <f t="shared" si="168"/>
        <v/>
      </c>
      <c r="Q1814" s="216" t="str">
        <f t="shared" si="169"/>
        <v/>
      </c>
      <c r="R1814" s="216" t="str">
        <f t="shared" si="170"/>
        <v/>
      </c>
      <c r="S1814" s="217" t="str">
        <f t="shared" si="171"/>
        <v/>
      </c>
    </row>
    <row r="1815" spans="1:19" ht="15.75" hidden="1" thickBot="1" x14ac:dyDescent="0.3">
      <c r="A1815" s="262"/>
      <c r="B1815" s="260"/>
      <c r="C1815" s="31"/>
      <c r="D1815" s="31"/>
      <c r="E1815" s="32"/>
      <c r="F1815" s="42" t="s">
        <v>416</v>
      </c>
      <c r="G1815" s="30" t="str">
        <f t="shared" si="172"/>
        <v/>
      </c>
      <c r="H1815" s="34"/>
      <c r="I1815" s="30"/>
      <c r="J1815" s="152">
        <v>0</v>
      </c>
      <c r="L1815" s="219"/>
      <c r="M1815" s="42"/>
      <c r="N1815" s="30" t="str">
        <f t="shared" si="173"/>
        <v/>
      </c>
      <c r="O1815" s="34"/>
      <c r="P1815" s="36" t="str">
        <f t="shared" si="168"/>
        <v/>
      </c>
      <c r="Q1815" s="216" t="str">
        <f t="shared" si="169"/>
        <v/>
      </c>
      <c r="R1815" s="216" t="str">
        <f t="shared" si="170"/>
        <v/>
      </c>
      <c r="S1815" s="217" t="str">
        <f t="shared" si="171"/>
        <v/>
      </c>
    </row>
    <row r="1816" spans="1:19" ht="15.75" hidden="1" thickBot="1" x14ac:dyDescent="0.3">
      <c r="A1816" s="262"/>
      <c r="B1816" s="260"/>
      <c r="C1816" s="35" t="s">
        <v>1018</v>
      </c>
      <c r="D1816" s="35" t="s">
        <v>583</v>
      </c>
      <c r="E1816" s="36">
        <v>1</v>
      </c>
      <c r="F1816" s="30">
        <v>27.835000000000001</v>
      </c>
      <c r="G1816" s="33">
        <f t="shared" si="172"/>
        <v>27.835000000000001</v>
      </c>
      <c r="H1816" s="38">
        <f>SUM(G1816:G1818)</f>
        <v>49.418999999999997</v>
      </c>
      <c r="I1816" s="39"/>
      <c r="J1816" s="152">
        <v>0</v>
      </c>
      <c r="L1816" s="215">
        <v>1</v>
      </c>
      <c r="M1816" s="30">
        <v>23.82676</v>
      </c>
      <c r="N1816" s="33">
        <f t="shared" si="173"/>
        <v>23.82676</v>
      </c>
      <c r="O1816" s="38">
        <f>SUM(N1816:N1818)</f>
        <v>42.302664</v>
      </c>
      <c r="P1816" s="36" t="str">
        <f t="shared" si="168"/>
        <v/>
      </c>
      <c r="Q1816" s="216">
        <f t="shared" si="169"/>
        <v>0.14400000000000002</v>
      </c>
      <c r="R1816" s="216">
        <f t="shared" si="170"/>
        <v>0.14400000000000002</v>
      </c>
      <c r="S1816" s="217">
        <f t="shared" si="171"/>
        <v>0.14399999999999991</v>
      </c>
    </row>
    <row r="1817" spans="1:19" ht="15.75" hidden="1" thickBot="1" x14ac:dyDescent="0.3">
      <c r="A1817" s="262"/>
      <c r="B1817" s="260"/>
      <c r="C1817" s="35" t="s">
        <v>1017</v>
      </c>
      <c r="D1817" s="35" t="s">
        <v>583</v>
      </c>
      <c r="E1817" s="36">
        <v>1</v>
      </c>
      <c r="F1817" s="30">
        <v>21.584</v>
      </c>
      <c r="G1817" s="33">
        <f t="shared" si="172"/>
        <v>21.584</v>
      </c>
      <c r="H1817" s="34"/>
      <c r="I1817" s="30"/>
      <c r="J1817" s="152">
        <v>0</v>
      </c>
      <c r="L1817" s="215">
        <v>1</v>
      </c>
      <c r="M1817" s="30">
        <v>18.475904</v>
      </c>
      <c r="N1817" s="33">
        <f t="shared" si="173"/>
        <v>18.475904</v>
      </c>
      <c r="O1817" s="34"/>
      <c r="P1817" s="36" t="str">
        <f t="shared" si="168"/>
        <v/>
      </c>
      <c r="Q1817" s="216">
        <f t="shared" si="169"/>
        <v>0.14400000000000002</v>
      </c>
      <c r="R1817" s="216">
        <f t="shared" si="170"/>
        <v>0.14400000000000002</v>
      </c>
      <c r="S1817" s="217" t="str">
        <f t="shared" si="171"/>
        <v/>
      </c>
    </row>
    <row r="1818" spans="1:19" ht="26.25" hidden="1" thickBot="1" x14ac:dyDescent="0.3">
      <c r="A1818" s="262"/>
      <c r="B1818" s="260"/>
      <c r="C1818" s="35" t="s">
        <v>465</v>
      </c>
      <c r="D1818" s="35" t="s">
        <v>107</v>
      </c>
      <c r="E1818" s="36">
        <v>1</v>
      </c>
      <c r="F1818" s="33" t="s">
        <v>416</v>
      </c>
      <c r="G1818" s="33" t="str">
        <f t="shared" si="172"/>
        <v/>
      </c>
      <c r="H1818" s="34"/>
      <c r="I1818" s="30"/>
      <c r="J1818" s="152">
        <v>0</v>
      </c>
      <c r="L1818" s="215">
        <v>1</v>
      </c>
      <c r="M1818" s="33"/>
      <c r="N1818" s="33" t="str">
        <f t="shared" si="173"/>
        <v/>
      </c>
      <c r="O1818" s="34"/>
      <c r="P1818" s="36" t="str">
        <f t="shared" si="168"/>
        <v/>
      </c>
      <c r="Q1818" s="216" t="str">
        <f t="shared" si="169"/>
        <v/>
      </c>
      <c r="R1818" s="216" t="str">
        <f t="shared" si="170"/>
        <v/>
      </c>
      <c r="S1818" s="217" t="str">
        <f t="shared" si="171"/>
        <v/>
      </c>
    </row>
    <row r="1819" spans="1:19" ht="15.75" hidden="1" thickBot="1" x14ac:dyDescent="0.3">
      <c r="A1819" s="263"/>
      <c r="B1819" s="261"/>
      <c r="C1819" s="35"/>
      <c r="D1819" s="35"/>
      <c r="E1819" s="36"/>
      <c r="F1819" s="30" t="s">
        <v>416</v>
      </c>
      <c r="G1819" s="30" t="str">
        <f t="shared" si="172"/>
        <v/>
      </c>
      <c r="H1819" s="34"/>
      <c r="I1819" s="30"/>
      <c r="J1819" s="152">
        <v>0</v>
      </c>
      <c r="L1819" s="215"/>
      <c r="M1819" s="30"/>
      <c r="N1819" s="30" t="str">
        <f t="shared" si="173"/>
        <v/>
      </c>
      <c r="O1819" s="34"/>
      <c r="P1819" s="36" t="str">
        <f t="shared" si="168"/>
        <v/>
      </c>
      <c r="Q1819" s="216" t="str">
        <f t="shared" si="169"/>
        <v/>
      </c>
      <c r="R1819" s="216" t="str">
        <f t="shared" si="170"/>
        <v/>
      </c>
      <c r="S1819" s="217" t="str">
        <f t="shared" si="171"/>
        <v/>
      </c>
    </row>
    <row r="1820" spans="1:19" ht="15.75" hidden="1" thickBot="1" x14ac:dyDescent="0.3">
      <c r="A1820" s="256" t="s">
        <v>466</v>
      </c>
      <c r="B1820" s="259" t="str">
        <f>INDEX(Orçamentária!A:B,MATCH(Composições!A1820,Orçamentária!A:A,0),2)</f>
        <v>Exaustor axial 865 m3/h</v>
      </c>
      <c r="C1820" s="40"/>
      <c r="D1820" s="25" t="s">
        <v>16</v>
      </c>
      <c r="E1820" s="26"/>
      <c r="F1820" s="41" t="s">
        <v>416</v>
      </c>
      <c r="G1820" s="27" t="str">
        <f t="shared" si="172"/>
        <v/>
      </c>
      <c r="H1820" s="28"/>
      <c r="I1820" s="29"/>
      <c r="J1820" s="152">
        <v>0</v>
      </c>
      <c r="L1820" s="218"/>
      <c r="M1820" s="41"/>
      <c r="N1820" s="27" t="str">
        <f t="shared" si="173"/>
        <v/>
      </c>
      <c r="O1820" s="28"/>
      <c r="P1820" s="36" t="str">
        <f t="shared" si="168"/>
        <v/>
      </c>
      <c r="Q1820" s="216" t="str">
        <f t="shared" si="169"/>
        <v/>
      </c>
      <c r="R1820" s="216" t="str">
        <f t="shared" si="170"/>
        <v/>
      </c>
      <c r="S1820" s="217" t="str">
        <f t="shared" si="171"/>
        <v/>
      </c>
    </row>
    <row r="1821" spans="1:19" ht="15.75" hidden="1" thickBot="1" x14ac:dyDescent="0.3">
      <c r="A1821" s="262"/>
      <c r="B1821" s="260"/>
      <c r="C1821" s="31"/>
      <c r="D1821" s="31"/>
      <c r="E1821" s="32"/>
      <c r="F1821" s="42" t="s">
        <v>416</v>
      </c>
      <c r="G1821" s="30" t="str">
        <f t="shared" si="172"/>
        <v/>
      </c>
      <c r="H1821" s="34"/>
      <c r="I1821" s="30"/>
      <c r="J1821" s="152">
        <v>0</v>
      </c>
      <c r="L1821" s="219"/>
      <c r="M1821" s="42"/>
      <c r="N1821" s="30" t="str">
        <f t="shared" si="173"/>
        <v/>
      </c>
      <c r="O1821" s="34"/>
      <c r="P1821" s="36" t="str">
        <f t="shared" si="168"/>
        <v/>
      </c>
      <c r="Q1821" s="216" t="str">
        <f t="shared" si="169"/>
        <v/>
      </c>
      <c r="R1821" s="216" t="str">
        <f t="shared" si="170"/>
        <v/>
      </c>
      <c r="S1821" s="217" t="str">
        <f t="shared" si="171"/>
        <v/>
      </c>
    </row>
    <row r="1822" spans="1:19" ht="15.75" hidden="1" thickBot="1" x14ac:dyDescent="0.3">
      <c r="A1822" s="262"/>
      <c r="B1822" s="260"/>
      <c r="C1822" s="35" t="s">
        <v>1018</v>
      </c>
      <c r="D1822" s="35" t="s">
        <v>583</v>
      </c>
      <c r="E1822" s="36">
        <v>1</v>
      </c>
      <c r="F1822" s="30">
        <v>27.835000000000001</v>
      </c>
      <c r="G1822" s="33">
        <f t="shared" si="172"/>
        <v>27.835000000000001</v>
      </c>
      <c r="H1822" s="38">
        <f>SUM(G1822:G1824)</f>
        <v>49.418999999999997</v>
      </c>
      <c r="I1822" s="39"/>
      <c r="J1822" s="152">
        <v>0</v>
      </c>
      <c r="L1822" s="215">
        <v>1</v>
      </c>
      <c r="M1822" s="30">
        <v>23.82676</v>
      </c>
      <c r="N1822" s="33">
        <f t="shared" si="173"/>
        <v>23.82676</v>
      </c>
      <c r="O1822" s="38">
        <f>SUM(N1822:N1824)</f>
        <v>42.302664</v>
      </c>
      <c r="P1822" s="36" t="str">
        <f t="shared" si="168"/>
        <v/>
      </c>
      <c r="Q1822" s="216">
        <f t="shared" si="169"/>
        <v>0.14400000000000002</v>
      </c>
      <c r="R1822" s="216">
        <f t="shared" si="170"/>
        <v>0.14400000000000002</v>
      </c>
      <c r="S1822" s="217">
        <f t="shared" si="171"/>
        <v>0.14399999999999991</v>
      </c>
    </row>
    <row r="1823" spans="1:19" ht="15.75" hidden="1" thickBot="1" x14ac:dyDescent="0.3">
      <c r="A1823" s="262"/>
      <c r="B1823" s="260"/>
      <c r="C1823" s="35" t="s">
        <v>1017</v>
      </c>
      <c r="D1823" s="35" t="s">
        <v>583</v>
      </c>
      <c r="E1823" s="36">
        <v>1</v>
      </c>
      <c r="F1823" s="30">
        <v>21.584</v>
      </c>
      <c r="G1823" s="33">
        <f t="shared" si="172"/>
        <v>21.584</v>
      </c>
      <c r="H1823" s="34"/>
      <c r="I1823" s="30"/>
      <c r="J1823" s="152">
        <v>0</v>
      </c>
      <c r="L1823" s="215">
        <v>1</v>
      </c>
      <c r="M1823" s="30">
        <v>18.475904</v>
      </c>
      <c r="N1823" s="33">
        <f t="shared" si="173"/>
        <v>18.475904</v>
      </c>
      <c r="O1823" s="34"/>
      <c r="P1823" s="36" t="str">
        <f t="shared" si="168"/>
        <v/>
      </c>
      <c r="Q1823" s="216">
        <f t="shared" si="169"/>
        <v>0.14400000000000002</v>
      </c>
      <c r="R1823" s="216">
        <f t="shared" si="170"/>
        <v>0.14400000000000002</v>
      </c>
      <c r="S1823" s="217" t="str">
        <f t="shared" si="171"/>
        <v/>
      </c>
    </row>
    <row r="1824" spans="1:19" ht="26.25" hidden="1" thickBot="1" x14ac:dyDescent="0.3">
      <c r="A1824" s="262"/>
      <c r="B1824" s="260"/>
      <c r="C1824" s="35" t="s">
        <v>467</v>
      </c>
      <c r="D1824" s="35" t="s">
        <v>107</v>
      </c>
      <c r="E1824" s="36">
        <v>1</v>
      </c>
      <c r="F1824" s="33" t="s">
        <v>416</v>
      </c>
      <c r="G1824" s="33" t="str">
        <f t="shared" si="172"/>
        <v/>
      </c>
      <c r="H1824" s="34"/>
      <c r="I1824" s="30"/>
      <c r="J1824" s="152">
        <v>0</v>
      </c>
      <c r="L1824" s="215">
        <v>1</v>
      </c>
      <c r="M1824" s="33"/>
      <c r="N1824" s="33" t="str">
        <f t="shared" si="173"/>
        <v/>
      </c>
      <c r="O1824" s="34"/>
      <c r="P1824" s="36" t="str">
        <f t="shared" si="168"/>
        <v/>
      </c>
      <c r="Q1824" s="216" t="str">
        <f t="shared" si="169"/>
        <v/>
      </c>
      <c r="R1824" s="216" t="str">
        <f t="shared" si="170"/>
        <v/>
      </c>
      <c r="S1824" s="217" t="str">
        <f t="shared" si="171"/>
        <v/>
      </c>
    </row>
    <row r="1825" spans="1:19" ht="15.75" hidden="1" thickBot="1" x14ac:dyDescent="0.3">
      <c r="A1825" s="263"/>
      <c r="B1825" s="261"/>
      <c r="C1825" s="35"/>
      <c r="D1825" s="35"/>
      <c r="E1825" s="36"/>
      <c r="F1825" s="30" t="s">
        <v>416</v>
      </c>
      <c r="G1825" s="30" t="str">
        <f t="shared" si="172"/>
        <v/>
      </c>
      <c r="H1825" s="34"/>
      <c r="I1825" s="30"/>
      <c r="J1825" s="152">
        <v>0</v>
      </c>
      <c r="L1825" s="215"/>
      <c r="M1825" s="30"/>
      <c r="N1825" s="30" t="str">
        <f t="shared" si="173"/>
        <v/>
      </c>
      <c r="O1825" s="34"/>
      <c r="P1825" s="36" t="str">
        <f t="shared" si="168"/>
        <v/>
      </c>
      <c r="Q1825" s="216" t="str">
        <f t="shared" si="169"/>
        <v/>
      </c>
      <c r="R1825" s="216" t="str">
        <f t="shared" si="170"/>
        <v/>
      </c>
      <c r="S1825" s="217" t="str">
        <f t="shared" si="171"/>
        <v/>
      </c>
    </row>
    <row r="1826" spans="1:19" ht="15.75" hidden="1" thickBot="1" x14ac:dyDescent="0.3">
      <c r="A1826" s="256" t="s">
        <v>468</v>
      </c>
      <c r="B1826" s="259" t="str">
        <f>INDEX(Orçamentária!A:B,MATCH(Composições!A1826,Orçamentária!A:A,0),2)</f>
        <v>Duto chapa galvanizada # 22</v>
      </c>
      <c r="C1826" s="40"/>
      <c r="D1826" s="25" t="s">
        <v>70</v>
      </c>
      <c r="E1826" s="26"/>
      <c r="F1826" s="41" t="s">
        <v>416</v>
      </c>
      <c r="G1826" s="27" t="str">
        <f t="shared" si="172"/>
        <v/>
      </c>
      <c r="H1826" s="28"/>
      <c r="I1826" s="29"/>
      <c r="J1826" s="152">
        <v>0</v>
      </c>
      <c r="L1826" s="218"/>
      <c r="M1826" s="41"/>
      <c r="N1826" s="27" t="str">
        <f t="shared" si="173"/>
        <v/>
      </c>
      <c r="O1826" s="28"/>
      <c r="P1826" s="36" t="str">
        <f t="shared" si="168"/>
        <v/>
      </c>
      <c r="Q1826" s="216" t="str">
        <f t="shared" si="169"/>
        <v/>
      </c>
      <c r="R1826" s="216" t="str">
        <f t="shared" si="170"/>
        <v/>
      </c>
      <c r="S1826" s="217" t="str">
        <f t="shared" si="171"/>
        <v/>
      </c>
    </row>
    <row r="1827" spans="1:19" ht="15.75" hidden="1" thickBot="1" x14ac:dyDescent="0.3">
      <c r="A1827" s="262"/>
      <c r="B1827" s="260"/>
      <c r="C1827" s="31"/>
      <c r="D1827" s="31"/>
      <c r="E1827" s="32"/>
      <c r="F1827" s="42" t="s">
        <v>416</v>
      </c>
      <c r="G1827" s="30" t="str">
        <f t="shared" si="172"/>
        <v/>
      </c>
      <c r="H1827" s="34"/>
      <c r="I1827" s="30"/>
      <c r="J1827" s="152">
        <v>0</v>
      </c>
      <c r="L1827" s="219"/>
      <c r="M1827" s="42"/>
      <c r="N1827" s="30" t="str">
        <f t="shared" si="173"/>
        <v/>
      </c>
      <c r="O1827" s="34"/>
      <c r="P1827" s="36" t="str">
        <f t="shared" si="168"/>
        <v/>
      </c>
      <c r="Q1827" s="216" t="str">
        <f t="shared" si="169"/>
        <v/>
      </c>
      <c r="R1827" s="216" t="str">
        <f t="shared" si="170"/>
        <v/>
      </c>
      <c r="S1827" s="217" t="str">
        <f t="shared" si="171"/>
        <v/>
      </c>
    </row>
    <row r="1828" spans="1:19" ht="26.25" hidden="1" thickBot="1" x14ac:dyDescent="0.3">
      <c r="A1828" s="262"/>
      <c r="B1828" s="260"/>
      <c r="C1828" s="35" t="s">
        <v>8058</v>
      </c>
      <c r="D1828" s="35" t="s">
        <v>773</v>
      </c>
      <c r="E1828" s="36">
        <v>6.6559999999999997</v>
      </c>
      <c r="F1828" s="33">
        <v>14.3925</v>
      </c>
      <c r="G1828" s="33">
        <f t="shared" si="172"/>
        <v>95.796480000000003</v>
      </c>
      <c r="H1828" s="38">
        <f>SUM(G1828:G1831)</f>
        <v>285.52895999999998</v>
      </c>
      <c r="I1828" s="39"/>
      <c r="J1828" s="152">
        <v>0</v>
      </c>
      <c r="L1828" s="215">
        <v>6.6559999999999997</v>
      </c>
      <c r="M1828" s="33">
        <v>12.319980000000001</v>
      </c>
      <c r="N1828" s="33">
        <f t="shared" si="173"/>
        <v>82.001786879999997</v>
      </c>
      <c r="O1828" s="38">
        <f>SUM(N1828:N1831)</f>
        <v>244.41278975999995</v>
      </c>
      <c r="P1828" s="36" t="str">
        <f t="shared" si="168"/>
        <v/>
      </c>
      <c r="Q1828" s="216">
        <f t="shared" si="169"/>
        <v>0.14399999999999991</v>
      </c>
      <c r="R1828" s="216">
        <f t="shared" si="170"/>
        <v>0.14400000000000002</v>
      </c>
      <c r="S1828" s="217">
        <f t="shared" si="171"/>
        <v>0.14400000000000013</v>
      </c>
    </row>
    <row r="1829" spans="1:19" ht="15.75" hidden="1" thickBot="1" x14ac:dyDescent="0.3">
      <c r="A1829" s="262"/>
      <c r="B1829" s="260"/>
      <c r="C1829" s="35" t="s">
        <v>469</v>
      </c>
      <c r="D1829" s="46" t="s">
        <v>470</v>
      </c>
      <c r="E1829" s="36">
        <v>1</v>
      </c>
      <c r="F1829" s="30">
        <v>0</v>
      </c>
      <c r="G1829" s="33">
        <f t="shared" si="172"/>
        <v>0</v>
      </c>
      <c r="H1829" s="44"/>
      <c r="I1829" s="45"/>
      <c r="J1829" s="152">
        <v>0</v>
      </c>
      <c r="L1829" s="215">
        <v>1</v>
      </c>
      <c r="M1829" s="30">
        <v>0</v>
      </c>
      <c r="N1829" s="33">
        <f t="shared" si="173"/>
        <v>0</v>
      </c>
      <c r="O1829" s="44"/>
      <c r="P1829" s="36" t="str">
        <f t="shared" si="168"/>
        <v/>
      </c>
      <c r="Q1829" s="216" t="e">
        <f t="shared" si="169"/>
        <v>#DIV/0!</v>
      </c>
      <c r="R1829" s="216" t="e">
        <f t="shared" si="170"/>
        <v>#DIV/0!</v>
      </c>
      <c r="S1829" s="217" t="str">
        <f t="shared" si="171"/>
        <v/>
      </c>
    </row>
    <row r="1830" spans="1:19" ht="15.75" hidden="1" thickBot="1" x14ac:dyDescent="0.3">
      <c r="A1830" s="262"/>
      <c r="B1830" s="260"/>
      <c r="C1830" s="35" t="s">
        <v>584</v>
      </c>
      <c r="D1830" s="35" t="s">
        <v>583</v>
      </c>
      <c r="E1830" s="36">
        <v>3.84</v>
      </c>
      <c r="F1830" s="30">
        <v>20.225499999999997</v>
      </c>
      <c r="G1830" s="33">
        <f t="shared" si="172"/>
        <v>77.665919999999986</v>
      </c>
      <c r="H1830" s="34"/>
      <c r="I1830" s="30"/>
      <c r="J1830" s="152">
        <v>0</v>
      </c>
      <c r="L1830" s="215">
        <v>3.84</v>
      </c>
      <c r="M1830" s="30">
        <v>17.313027999999996</v>
      </c>
      <c r="N1830" s="33">
        <f t="shared" si="173"/>
        <v>66.482027519999974</v>
      </c>
      <c r="O1830" s="34"/>
      <c r="P1830" s="36" t="str">
        <f t="shared" si="168"/>
        <v/>
      </c>
      <c r="Q1830" s="216">
        <f t="shared" si="169"/>
        <v>0.14400000000000013</v>
      </c>
      <c r="R1830" s="216">
        <f t="shared" si="170"/>
        <v>0.14400000000000013</v>
      </c>
      <c r="S1830" s="217" t="str">
        <f t="shared" si="171"/>
        <v/>
      </c>
    </row>
    <row r="1831" spans="1:19" ht="26.25" hidden="1" thickBot="1" x14ac:dyDescent="0.3">
      <c r="A1831" s="262"/>
      <c r="B1831" s="260"/>
      <c r="C1831" s="35" t="s">
        <v>462</v>
      </c>
      <c r="D1831" s="35" t="s">
        <v>583</v>
      </c>
      <c r="E1831" s="36">
        <v>3.84</v>
      </c>
      <c r="F1831" s="30">
        <v>29.183999999999997</v>
      </c>
      <c r="G1831" s="33">
        <f t="shared" si="172"/>
        <v>112.06655999999998</v>
      </c>
      <c r="H1831" s="34"/>
      <c r="I1831" s="30"/>
      <c r="J1831" s="152">
        <v>0</v>
      </c>
      <c r="L1831" s="215">
        <v>3.84</v>
      </c>
      <c r="M1831" s="30">
        <v>24.981503999999997</v>
      </c>
      <c r="N1831" s="33">
        <f t="shared" si="173"/>
        <v>95.928975359999981</v>
      </c>
      <c r="O1831" s="34"/>
      <c r="P1831" s="36" t="str">
        <f t="shared" si="168"/>
        <v/>
      </c>
      <c r="Q1831" s="216">
        <f t="shared" si="169"/>
        <v>0.14400000000000002</v>
      </c>
      <c r="R1831" s="216">
        <f t="shared" si="170"/>
        <v>0.14400000000000002</v>
      </c>
      <c r="S1831" s="217" t="str">
        <f t="shared" si="171"/>
        <v/>
      </c>
    </row>
    <row r="1832" spans="1:19" ht="15.75" hidden="1" thickBot="1" x14ac:dyDescent="0.3">
      <c r="A1832" s="263"/>
      <c r="B1832" s="261"/>
      <c r="C1832" s="35"/>
      <c r="D1832" s="35"/>
      <c r="E1832" s="36"/>
      <c r="F1832" s="30" t="s">
        <v>416</v>
      </c>
      <c r="G1832" s="30" t="str">
        <f t="shared" si="172"/>
        <v/>
      </c>
      <c r="H1832" s="34"/>
      <c r="I1832" s="30"/>
      <c r="J1832" s="152">
        <v>0</v>
      </c>
      <c r="L1832" s="215"/>
      <c r="M1832" s="30"/>
      <c r="N1832" s="30" t="str">
        <f t="shared" si="173"/>
        <v/>
      </c>
      <c r="O1832" s="34"/>
      <c r="P1832" s="36" t="str">
        <f t="shared" si="168"/>
        <v/>
      </c>
      <c r="Q1832" s="216" t="str">
        <f t="shared" si="169"/>
        <v/>
      </c>
      <c r="R1832" s="216" t="str">
        <f t="shared" si="170"/>
        <v/>
      </c>
      <c r="S1832" s="217" t="str">
        <f t="shared" si="171"/>
        <v/>
      </c>
    </row>
    <row r="1833" spans="1:19" ht="15.75" hidden="1" thickBot="1" x14ac:dyDescent="0.3">
      <c r="A1833" s="256" t="s">
        <v>471</v>
      </c>
      <c r="B1833" s="259" t="str">
        <f>INDEX(Orçamentária!A:B,MATCH(Composições!A1833,Orçamentária!A:A,0),2)</f>
        <v>Duto flexível 6”</v>
      </c>
      <c r="C1833" s="40"/>
      <c r="D1833" s="25" t="s">
        <v>69</v>
      </c>
      <c r="E1833" s="26"/>
      <c r="F1833" s="41" t="s">
        <v>416</v>
      </c>
      <c r="G1833" s="27" t="str">
        <f t="shared" si="172"/>
        <v/>
      </c>
      <c r="H1833" s="28"/>
      <c r="I1833" s="29"/>
      <c r="J1833" s="152">
        <v>0</v>
      </c>
      <c r="L1833" s="218"/>
      <c r="M1833" s="41"/>
      <c r="N1833" s="27" t="str">
        <f t="shared" si="173"/>
        <v/>
      </c>
      <c r="O1833" s="28"/>
      <c r="P1833" s="36" t="str">
        <f t="shared" si="168"/>
        <v/>
      </c>
      <c r="Q1833" s="216" t="str">
        <f t="shared" si="169"/>
        <v/>
      </c>
      <c r="R1833" s="216" t="str">
        <f t="shared" si="170"/>
        <v/>
      </c>
      <c r="S1833" s="217" t="str">
        <f t="shared" si="171"/>
        <v/>
      </c>
    </row>
    <row r="1834" spans="1:19" ht="15.75" hidden="1" thickBot="1" x14ac:dyDescent="0.3">
      <c r="A1834" s="262"/>
      <c r="B1834" s="260"/>
      <c r="C1834" s="31"/>
      <c r="D1834" s="31"/>
      <c r="E1834" s="32"/>
      <c r="F1834" s="42" t="s">
        <v>416</v>
      </c>
      <c r="G1834" s="30" t="str">
        <f t="shared" si="172"/>
        <v/>
      </c>
      <c r="H1834" s="34"/>
      <c r="I1834" s="30"/>
      <c r="J1834" s="152">
        <v>0</v>
      </c>
      <c r="L1834" s="219"/>
      <c r="M1834" s="42"/>
      <c r="N1834" s="30" t="str">
        <f t="shared" si="173"/>
        <v/>
      </c>
      <c r="O1834" s="34"/>
      <c r="P1834" s="36" t="str">
        <f t="shared" si="168"/>
        <v/>
      </c>
      <c r="Q1834" s="216" t="str">
        <f t="shared" si="169"/>
        <v/>
      </c>
      <c r="R1834" s="216" t="str">
        <f t="shared" si="170"/>
        <v/>
      </c>
      <c r="S1834" s="217" t="str">
        <f t="shared" si="171"/>
        <v/>
      </c>
    </row>
    <row r="1835" spans="1:19" ht="15.75" hidden="1" thickBot="1" x14ac:dyDescent="0.3">
      <c r="A1835" s="262"/>
      <c r="B1835" s="260"/>
      <c r="C1835" s="35" t="s">
        <v>584</v>
      </c>
      <c r="D1835" s="35" t="s">
        <v>583</v>
      </c>
      <c r="E1835" s="36">
        <v>0.4</v>
      </c>
      <c r="F1835" s="30">
        <v>20.225499999999997</v>
      </c>
      <c r="G1835" s="30">
        <f t="shared" si="172"/>
        <v>8.0901999999999994</v>
      </c>
      <c r="H1835" s="38">
        <f>SUM(G1835:G1837)</f>
        <v>19.7638</v>
      </c>
      <c r="I1835" s="39"/>
      <c r="J1835" s="152">
        <v>0</v>
      </c>
      <c r="L1835" s="215">
        <v>0.4</v>
      </c>
      <c r="M1835" s="30">
        <v>17.313027999999996</v>
      </c>
      <c r="N1835" s="30">
        <f t="shared" si="173"/>
        <v>6.9252111999999988</v>
      </c>
      <c r="O1835" s="38">
        <f>SUM(N1835:N1837)</f>
        <v>16.9178128</v>
      </c>
      <c r="P1835" s="36" t="str">
        <f t="shared" si="168"/>
        <v/>
      </c>
      <c r="Q1835" s="216">
        <f t="shared" si="169"/>
        <v>0.14400000000000013</v>
      </c>
      <c r="R1835" s="216">
        <f t="shared" si="170"/>
        <v>0.14400000000000013</v>
      </c>
      <c r="S1835" s="217">
        <f t="shared" si="171"/>
        <v>0.14400000000000002</v>
      </c>
    </row>
    <row r="1836" spans="1:19" ht="26.25" hidden="1" thickBot="1" x14ac:dyDescent="0.3">
      <c r="A1836" s="262"/>
      <c r="B1836" s="260"/>
      <c r="C1836" s="35" t="s">
        <v>462</v>
      </c>
      <c r="D1836" s="35" t="s">
        <v>583</v>
      </c>
      <c r="E1836" s="36">
        <v>0.4</v>
      </c>
      <c r="F1836" s="30">
        <v>29.183999999999997</v>
      </c>
      <c r="G1836" s="30">
        <f t="shared" si="172"/>
        <v>11.6736</v>
      </c>
      <c r="H1836" s="34"/>
      <c r="I1836" s="30"/>
      <c r="J1836" s="152">
        <v>0</v>
      </c>
      <c r="L1836" s="215">
        <v>0.4</v>
      </c>
      <c r="M1836" s="30">
        <v>24.981503999999997</v>
      </c>
      <c r="N1836" s="30">
        <f t="shared" si="173"/>
        <v>9.9926016000000004</v>
      </c>
      <c r="O1836" s="34"/>
      <c r="P1836" s="36" t="str">
        <f t="shared" si="168"/>
        <v/>
      </c>
      <c r="Q1836" s="216">
        <f t="shared" si="169"/>
        <v>0.14400000000000002</v>
      </c>
      <c r="R1836" s="216">
        <f t="shared" si="170"/>
        <v>0.14400000000000002</v>
      </c>
      <c r="S1836" s="217" t="str">
        <f t="shared" si="171"/>
        <v/>
      </c>
    </row>
    <row r="1837" spans="1:19" ht="26.25" hidden="1" thickBot="1" x14ac:dyDescent="0.3">
      <c r="A1837" s="262"/>
      <c r="B1837" s="260"/>
      <c r="C1837" s="35" t="s">
        <v>472</v>
      </c>
      <c r="D1837" s="35" t="s">
        <v>69</v>
      </c>
      <c r="E1837" s="36">
        <v>1.05</v>
      </c>
      <c r="F1837" s="33" t="s">
        <v>416</v>
      </c>
      <c r="G1837" s="30" t="str">
        <f t="shared" si="172"/>
        <v/>
      </c>
      <c r="H1837" s="34"/>
      <c r="I1837" s="30"/>
      <c r="J1837" s="152">
        <v>0</v>
      </c>
      <c r="L1837" s="215">
        <v>1.05</v>
      </c>
      <c r="M1837" s="33"/>
      <c r="N1837" s="30" t="str">
        <f t="shared" si="173"/>
        <v/>
      </c>
      <c r="O1837" s="34"/>
      <c r="P1837" s="36" t="str">
        <f t="shared" si="168"/>
        <v/>
      </c>
      <c r="Q1837" s="216" t="str">
        <f t="shared" si="169"/>
        <v/>
      </c>
      <c r="R1837" s="216" t="str">
        <f t="shared" si="170"/>
        <v/>
      </c>
      <c r="S1837" s="217" t="str">
        <f t="shared" si="171"/>
        <v/>
      </c>
    </row>
    <row r="1838" spans="1:19" ht="15.75" hidden="1" thickBot="1" x14ac:dyDescent="0.3">
      <c r="A1838" s="263"/>
      <c r="B1838" s="261"/>
      <c r="C1838" s="35"/>
      <c r="D1838" s="35"/>
      <c r="E1838" s="36"/>
      <c r="F1838" s="30" t="s">
        <v>416</v>
      </c>
      <c r="G1838" s="30" t="str">
        <f t="shared" si="172"/>
        <v/>
      </c>
      <c r="H1838" s="34"/>
      <c r="I1838" s="30"/>
      <c r="J1838" s="152">
        <v>0</v>
      </c>
      <c r="L1838" s="215"/>
      <c r="M1838" s="30"/>
      <c r="N1838" s="30" t="str">
        <f t="shared" si="173"/>
        <v/>
      </c>
      <c r="O1838" s="34"/>
      <c r="P1838" s="36" t="str">
        <f t="shared" si="168"/>
        <v/>
      </c>
      <c r="Q1838" s="216" t="str">
        <f t="shared" si="169"/>
        <v/>
      </c>
      <c r="R1838" s="216" t="str">
        <f t="shared" si="170"/>
        <v/>
      </c>
      <c r="S1838" s="217" t="str">
        <f t="shared" si="171"/>
        <v/>
      </c>
    </row>
    <row r="1839" spans="1:19" ht="15.75" hidden="1" thickBot="1" x14ac:dyDescent="0.3">
      <c r="A1839" s="256" t="s">
        <v>473</v>
      </c>
      <c r="B1839" s="259" t="str">
        <f>INDEX(Orçamentária!A:B,MATCH(Composições!A1839,Orçamentária!A:A,0),2)</f>
        <v>Duto flexível 8”</v>
      </c>
      <c r="C1839" s="40"/>
      <c r="D1839" s="25" t="s">
        <v>69</v>
      </c>
      <c r="E1839" s="26"/>
      <c r="F1839" s="41" t="s">
        <v>416</v>
      </c>
      <c r="G1839" s="27" t="str">
        <f t="shared" si="172"/>
        <v/>
      </c>
      <c r="H1839" s="28"/>
      <c r="I1839" s="29"/>
      <c r="J1839" s="152">
        <v>0</v>
      </c>
      <c r="L1839" s="218"/>
      <c r="M1839" s="41"/>
      <c r="N1839" s="27" t="str">
        <f t="shared" si="173"/>
        <v/>
      </c>
      <c r="O1839" s="28"/>
      <c r="P1839" s="36" t="str">
        <f t="shared" si="168"/>
        <v/>
      </c>
      <c r="Q1839" s="216" t="str">
        <f t="shared" si="169"/>
        <v/>
      </c>
      <c r="R1839" s="216" t="str">
        <f t="shared" si="170"/>
        <v/>
      </c>
      <c r="S1839" s="217" t="str">
        <f t="shared" si="171"/>
        <v/>
      </c>
    </row>
    <row r="1840" spans="1:19" ht="15.75" hidden="1" thickBot="1" x14ac:dyDescent="0.3">
      <c r="A1840" s="262"/>
      <c r="B1840" s="260"/>
      <c r="C1840" s="31"/>
      <c r="D1840" s="31"/>
      <c r="E1840" s="32"/>
      <c r="F1840" s="42" t="s">
        <v>416</v>
      </c>
      <c r="G1840" s="30" t="str">
        <f t="shared" si="172"/>
        <v/>
      </c>
      <c r="H1840" s="34"/>
      <c r="I1840" s="30"/>
      <c r="J1840" s="152">
        <v>0</v>
      </c>
      <c r="L1840" s="219"/>
      <c r="M1840" s="42"/>
      <c r="N1840" s="30" t="str">
        <f t="shared" si="173"/>
        <v/>
      </c>
      <c r="O1840" s="34"/>
      <c r="P1840" s="36" t="str">
        <f t="shared" si="168"/>
        <v/>
      </c>
      <c r="Q1840" s="216" t="str">
        <f t="shared" si="169"/>
        <v/>
      </c>
      <c r="R1840" s="216" t="str">
        <f t="shared" si="170"/>
        <v/>
      </c>
      <c r="S1840" s="217" t="str">
        <f t="shared" si="171"/>
        <v/>
      </c>
    </row>
    <row r="1841" spans="1:19" ht="15.75" hidden="1" thickBot="1" x14ac:dyDescent="0.3">
      <c r="A1841" s="262"/>
      <c r="B1841" s="260"/>
      <c r="C1841" s="35" t="s">
        <v>584</v>
      </c>
      <c r="D1841" s="35" t="s">
        <v>583</v>
      </c>
      <c r="E1841" s="36">
        <v>0.4</v>
      </c>
      <c r="F1841" s="30">
        <v>20.225499999999997</v>
      </c>
      <c r="G1841" s="30">
        <f t="shared" si="172"/>
        <v>8.0901999999999994</v>
      </c>
      <c r="H1841" s="38">
        <f>SUM(G1841:G1843)</f>
        <v>19.7638</v>
      </c>
      <c r="I1841" s="39"/>
      <c r="J1841" s="152">
        <v>0</v>
      </c>
      <c r="L1841" s="215">
        <v>0.4</v>
      </c>
      <c r="M1841" s="30">
        <v>17.313027999999996</v>
      </c>
      <c r="N1841" s="30">
        <f t="shared" si="173"/>
        <v>6.9252111999999988</v>
      </c>
      <c r="O1841" s="38">
        <f>SUM(N1841:N1843)</f>
        <v>16.9178128</v>
      </c>
      <c r="P1841" s="36" t="str">
        <f t="shared" si="168"/>
        <v/>
      </c>
      <c r="Q1841" s="216">
        <f t="shared" si="169"/>
        <v>0.14400000000000013</v>
      </c>
      <c r="R1841" s="216">
        <f t="shared" si="170"/>
        <v>0.14400000000000013</v>
      </c>
      <c r="S1841" s="217">
        <f t="shared" si="171"/>
        <v>0.14400000000000002</v>
      </c>
    </row>
    <row r="1842" spans="1:19" ht="26.25" hidden="1" thickBot="1" x14ac:dyDescent="0.3">
      <c r="A1842" s="262"/>
      <c r="B1842" s="260"/>
      <c r="C1842" s="35" t="s">
        <v>462</v>
      </c>
      <c r="D1842" s="35" t="s">
        <v>583</v>
      </c>
      <c r="E1842" s="36">
        <v>0.4</v>
      </c>
      <c r="F1842" s="30">
        <v>29.183999999999997</v>
      </c>
      <c r="G1842" s="30">
        <f t="shared" si="172"/>
        <v>11.6736</v>
      </c>
      <c r="H1842" s="34"/>
      <c r="I1842" s="30"/>
      <c r="J1842" s="152">
        <v>0</v>
      </c>
      <c r="L1842" s="215">
        <v>0.4</v>
      </c>
      <c r="M1842" s="30">
        <v>24.981503999999997</v>
      </c>
      <c r="N1842" s="30">
        <f t="shared" si="173"/>
        <v>9.9926016000000004</v>
      </c>
      <c r="O1842" s="34"/>
      <c r="P1842" s="36" t="str">
        <f t="shared" si="168"/>
        <v/>
      </c>
      <c r="Q1842" s="216">
        <f t="shared" si="169"/>
        <v>0.14400000000000002</v>
      </c>
      <c r="R1842" s="216">
        <f t="shared" si="170"/>
        <v>0.14400000000000002</v>
      </c>
      <c r="S1842" s="217" t="str">
        <f t="shared" si="171"/>
        <v/>
      </c>
    </row>
    <row r="1843" spans="1:19" ht="26.25" hidden="1" thickBot="1" x14ac:dyDescent="0.3">
      <c r="A1843" s="262"/>
      <c r="B1843" s="260"/>
      <c r="C1843" s="35" t="s">
        <v>474</v>
      </c>
      <c r="D1843" s="35" t="s">
        <v>69</v>
      </c>
      <c r="E1843" s="36">
        <v>1.05</v>
      </c>
      <c r="F1843" s="33" t="s">
        <v>416</v>
      </c>
      <c r="G1843" s="30" t="str">
        <f t="shared" si="172"/>
        <v/>
      </c>
      <c r="H1843" s="34"/>
      <c r="I1843" s="30"/>
      <c r="J1843" s="152">
        <v>0</v>
      </c>
      <c r="L1843" s="215">
        <v>1.05</v>
      </c>
      <c r="M1843" s="33"/>
      <c r="N1843" s="30" t="str">
        <f t="shared" si="173"/>
        <v/>
      </c>
      <c r="O1843" s="34"/>
      <c r="P1843" s="36" t="str">
        <f t="shared" si="168"/>
        <v/>
      </c>
      <c r="Q1843" s="216" t="str">
        <f t="shared" si="169"/>
        <v/>
      </c>
      <c r="R1843" s="216" t="str">
        <f t="shared" si="170"/>
        <v/>
      </c>
      <c r="S1843" s="217" t="str">
        <f t="shared" si="171"/>
        <v/>
      </c>
    </row>
    <row r="1844" spans="1:19" ht="15.75" hidden="1" thickBot="1" x14ac:dyDescent="0.3">
      <c r="A1844" s="263"/>
      <c r="B1844" s="261"/>
      <c r="C1844" s="35"/>
      <c r="D1844" s="35"/>
      <c r="E1844" s="36"/>
      <c r="F1844" s="30" t="s">
        <v>416</v>
      </c>
      <c r="G1844" s="30" t="str">
        <f t="shared" si="172"/>
        <v/>
      </c>
      <c r="H1844" s="34"/>
      <c r="I1844" s="30"/>
      <c r="J1844" s="152">
        <v>0</v>
      </c>
      <c r="L1844" s="215"/>
      <c r="M1844" s="30"/>
      <c r="N1844" s="30" t="str">
        <f t="shared" si="173"/>
        <v/>
      </c>
      <c r="O1844" s="34"/>
      <c r="P1844" s="36" t="str">
        <f t="shared" si="168"/>
        <v/>
      </c>
      <c r="Q1844" s="216" t="str">
        <f t="shared" si="169"/>
        <v/>
      </c>
      <c r="R1844" s="216" t="str">
        <f t="shared" si="170"/>
        <v/>
      </c>
      <c r="S1844" s="217" t="str">
        <f t="shared" si="171"/>
        <v/>
      </c>
    </row>
    <row r="1845" spans="1:19" ht="15.75" hidden="1" thickBot="1" x14ac:dyDescent="0.3">
      <c r="A1845" s="256" t="s">
        <v>475</v>
      </c>
      <c r="B1845" s="259" t="str">
        <f>INDEX(Orçamentária!A:B,MATCH(Composições!A1845,Orçamentária!A:A,0),2)</f>
        <v>Difusor de ar quadrado 360 x 360 mm</v>
      </c>
      <c r="C1845" s="40"/>
      <c r="D1845" s="25" t="s">
        <v>16</v>
      </c>
      <c r="E1845" s="26"/>
      <c r="F1845" s="41" t="s">
        <v>416</v>
      </c>
      <c r="G1845" s="27" t="str">
        <f t="shared" si="172"/>
        <v/>
      </c>
      <c r="H1845" s="28"/>
      <c r="I1845" s="29"/>
      <c r="J1845" s="152">
        <v>0</v>
      </c>
      <c r="L1845" s="218"/>
      <c r="M1845" s="41"/>
      <c r="N1845" s="27" t="str">
        <f t="shared" si="173"/>
        <v/>
      </c>
      <c r="O1845" s="28"/>
      <c r="P1845" s="36" t="str">
        <f t="shared" si="168"/>
        <v/>
      </c>
      <c r="Q1845" s="216" t="str">
        <f t="shared" si="169"/>
        <v/>
      </c>
      <c r="R1845" s="216" t="str">
        <f t="shared" si="170"/>
        <v/>
      </c>
      <c r="S1845" s="217" t="str">
        <f t="shared" si="171"/>
        <v/>
      </c>
    </row>
    <row r="1846" spans="1:19" ht="15.75" hidden="1" thickBot="1" x14ac:dyDescent="0.3">
      <c r="A1846" s="262"/>
      <c r="B1846" s="260"/>
      <c r="C1846" s="31"/>
      <c r="D1846" s="31"/>
      <c r="E1846" s="32"/>
      <c r="F1846" s="42" t="s">
        <v>416</v>
      </c>
      <c r="G1846" s="30" t="str">
        <f t="shared" si="172"/>
        <v/>
      </c>
      <c r="H1846" s="34"/>
      <c r="I1846" s="30"/>
      <c r="J1846" s="152">
        <v>0</v>
      </c>
      <c r="L1846" s="219"/>
      <c r="M1846" s="42"/>
      <c r="N1846" s="30" t="str">
        <f t="shared" si="173"/>
        <v/>
      </c>
      <c r="O1846" s="34"/>
      <c r="P1846" s="36" t="str">
        <f t="shared" si="168"/>
        <v/>
      </c>
      <c r="Q1846" s="216" t="str">
        <f t="shared" si="169"/>
        <v/>
      </c>
      <c r="R1846" s="216" t="str">
        <f t="shared" si="170"/>
        <v/>
      </c>
      <c r="S1846" s="217" t="str">
        <f t="shared" si="171"/>
        <v/>
      </c>
    </row>
    <row r="1847" spans="1:19" ht="26.25" hidden="1" thickBot="1" x14ac:dyDescent="0.3">
      <c r="A1847" s="262"/>
      <c r="B1847" s="260"/>
      <c r="C1847" s="35" t="s">
        <v>2901</v>
      </c>
      <c r="D1847" s="35" t="s">
        <v>583</v>
      </c>
      <c r="E1847" s="36">
        <v>2.5</v>
      </c>
      <c r="F1847" s="30">
        <v>23.160999999999998</v>
      </c>
      <c r="G1847" s="33">
        <f t="shared" si="172"/>
        <v>57.902499999999996</v>
      </c>
      <c r="H1847" s="38">
        <f>SUM(G1847:G1849)</f>
        <v>130.86249999999998</v>
      </c>
      <c r="I1847" s="39"/>
      <c r="J1847" s="152">
        <v>0</v>
      </c>
      <c r="L1847" s="215">
        <v>2.5</v>
      </c>
      <c r="M1847" s="30">
        <v>19.825816</v>
      </c>
      <c r="N1847" s="33">
        <f t="shared" si="173"/>
        <v>49.564540000000001</v>
      </c>
      <c r="O1847" s="38">
        <f>SUM(N1847:N1849)</f>
        <v>112.0183</v>
      </c>
      <c r="P1847" s="36" t="str">
        <f t="shared" si="168"/>
        <v/>
      </c>
      <c r="Q1847" s="216">
        <f t="shared" si="169"/>
        <v>0.14399999999999991</v>
      </c>
      <c r="R1847" s="216">
        <f t="shared" si="170"/>
        <v>0.14399999999999991</v>
      </c>
      <c r="S1847" s="217">
        <f t="shared" si="171"/>
        <v>0.14399999999999991</v>
      </c>
    </row>
    <row r="1848" spans="1:19" ht="26.25" hidden="1" thickBot="1" x14ac:dyDescent="0.3">
      <c r="A1848" s="262"/>
      <c r="B1848" s="260"/>
      <c r="C1848" s="35" t="s">
        <v>462</v>
      </c>
      <c r="D1848" s="35" t="s">
        <v>583</v>
      </c>
      <c r="E1848" s="36">
        <v>2.5</v>
      </c>
      <c r="F1848" s="30">
        <v>29.183999999999997</v>
      </c>
      <c r="G1848" s="33">
        <f t="shared" si="172"/>
        <v>72.959999999999994</v>
      </c>
      <c r="H1848" s="34"/>
      <c r="I1848" s="30"/>
      <c r="J1848" s="152">
        <v>0</v>
      </c>
      <c r="L1848" s="215">
        <v>2.5</v>
      </c>
      <c r="M1848" s="30">
        <v>24.981503999999997</v>
      </c>
      <c r="N1848" s="33">
        <f t="shared" si="173"/>
        <v>62.453759999999996</v>
      </c>
      <c r="O1848" s="34"/>
      <c r="P1848" s="36" t="str">
        <f t="shared" si="168"/>
        <v/>
      </c>
      <c r="Q1848" s="216">
        <f t="shared" si="169"/>
        <v>0.14400000000000002</v>
      </c>
      <c r="R1848" s="216">
        <f t="shared" si="170"/>
        <v>0.14400000000000002</v>
      </c>
      <c r="S1848" s="217" t="str">
        <f t="shared" si="171"/>
        <v/>
      </c>
    </row>
    <row r="1849" spans="1:19" ht="26.25" hidden="1" thickBot="1" x14ac:dyDescent="0.3">
      <c r="A1849" s="262"/>
      <c r="B1849" s="260"/>
      <c r="C1849" s="35" t="s">
        <v>476</v>
      </c>
      <c r="D1849" s="35" t="s">
        <v>107</v>
      </c>
      <c r="E1849" s="36">
        <v>1</v>
      </c>
      <c r="F1849" s="33" t="s">
        <v>416</v>
      </c>
      <c r="G1849" s="33" t="str">
        <f t="shared" si="172"/>
        <v/>
      </c>
      <c r="H1849" s="34"/>
      <c r="I1849" s="30"/>
      <c r="J1849" s="152">
        <v>0</v>
      </c>
      <c r="L1849" s="215">
        <v>1</v>
      </c>
      <c r="M1849" s="33"/>
      <c r="N1849" s="33" t="str">
        <f t="shared" si="173"/>
        <v/>
      </c>
      <c r="O1849" s="34"/>
      <c r="P1849" s="36" t="str">
        <f t="shared" si="168"/>
        <v/>
      </c>
      <c r="Q1849" s="216" t="str">
        <f t="shared" si="169"/>
        <v/>
      </c>
      <c r="R1849" s="216" t="str">
        <f t="shared" si="170"/>
        <v/>
      </c>
      <c r="S1849" s="217" t="str">
        <f t="shared" si="171"/>
        <v/>
      </c>
    </row>
    <row r="1850" spans="1:19" ht="15.75" hidden="1" thickBot="1" x14ac:dyDescent="0.3">
      <c r="A1850" s="263"/>
      <c r="B1850" s="261"/>
      <c r="C1850" s="35"/>
      <c r="D1850" s="35"/>
      <c r="E1850" s="36"/>
      <c r="F1850" s="30" t="s">
        <v>416</v>
      </c>
      <c r="G1850" s="30" t="str">
        <f t="shared" si="172"/>
        <v/>
      </c>
      <c r="H1850" s="34"/>
      <c r="I1850" s="30"/>
      <c r="J1850" s="152">
        <v>0</v>
      </c>
      <c r="L1850" s="215"/>
      <c r="M1850" s="30"/>
      <c r="N1850" s="30" t="str">
        <f t="shared" si="173"/>
        <v/>
      </c>
      <c r="O1850" s="34"/>
      <c r="P1850" s="36" t="str">
        <f t="shared" si="168"/>
        <v/>
      </c>
      <c r="Q1850" s="216" t="str">
        <f t="shared" si="169"/>
        <v/>
      </c>
      <c r="R1850" s="216" t="str">
        <f t="shared" si="170"/>
        <v/>
      </c>
      <c r="S1850" s="217" t="str">
        <f t="shared" si="171"/>
        <v/>
      </c>
    </row>
    <row r="1851" spans="1:19" ht="15.75" hidden="1" thickBot="1" x14ac:dyDescent="0.3">
      <c r="A1851" s="256" t="s">
        <v>477</v>
      </c>
      <c r="B1851" s="259" t="str">
        <f>INDEX(Orçamentária!A:B,MATCH(Composições!A1851,Orçamentária!A:A,0),2)</f>
        <v>Difusor de ar quadrado com caixa plenum AK6 360 x 360 mm</v>
      </c>
      <c r="C1851" s="40"/>
      <c r="D1851" s="25" t="s">
        <v>16</v>
      </c>
      <c r="E1851" s="26"/>
      <c r="F1851" s="41" t="s">
        <v>416</v>
      </c>
      <c r="G1851" s="27" t="str">
        <f t="shared" si="172"/>
        <v/>
      </c>
      <c r="H1851" s="28"/>
      <c r="I1851" s="29"/>
      <c r="J1851" s="152">
        <v>0</v>
      </c>
      <c r="L1851" s="218"/>
      <c r="M1851" s="41"/>
      <c r="N1851" s="27" t="str">
        <f t="shared" si="173"/>
        <v/>
      </c>
      <c r="O1851" s="28"/>
      <c r="P1851" s="36" t="str">
        <f t="shared" si="168"/>
        <v/>
      </c>
      <c r="Q1851" s="216" t="str">
        <f t="shared" si="169"/>
        <v/>
      </c>
      <c r="R1851" s="216" t="str">
        <f t="shared" si="170"/>
        <v/>
      </c>
      <c r="S1851" s="217" t="str">
        <f t="shared" si="171"/>
        <v/>
      </c>
    </row>
    <row r="1852" spans="1:19" ht="15.75" hidden="1" thickBot="1" x14ac:dyDescent="0.3">
      <c r="A1852" s="262"/>
      <c r="B1852" s="260"/>
      <c r="C1852" s="31"/>
      <c r="D1852" s="31"/>
      <c r="E1852" s="32"/>
      <c r="F1852" s="42" t="s">
        <v>416</v>
      </c>
      <c r="G1852" s="30" t="str">
        <f t="shared" si="172"/>
        <v/>
      </c>
      <c r="H1852" s="34"/>
      <c r="I1852" s="30"/>
      <c r="J1852" s="152">
        <v>0</v>
      </c>
      <c r="L1852" s="219"/>
      <c r="M1852" s="42"/>
      <c r="N1852" s="30" t="str">
        <f t="shared" si="173"/>
        <v/>
      </c>
      <c r="O1852" s="34"/>
      <c r="P1852" s="36" t="str">
        <f t="shared" si="168"/>
        <v/>
      </c>
      <c r="Q1852" s="216" t="str">
        <f t="shared" si="169"/>
        <v/>
      </c>
      <c r="R1852" s="216" t="str">
        <f t="shared" si="170"/>
        <v/>
      </c>
      <c r="S1852" s="217" t="str">
        <f t="shared" si="171"/>
        <v/>
      </c>
    </row>
    <row r="1853" spans="1:19" ht="26.25" hidden="1" thickBot="1" x14ac:dyDescent="0.3">
      <c r="A1853" s="262"/>
      <c r="B1853" s="260"/>
      <c r="C1853" s="35" t="s">
        <v>2901</v>
      </c>
      <c r="D1853" s="35" t="s">
        <v>583</v>
      </c>
      <c r="E1853" s="36">
        <v>2.5</v>
      </c>
      <c r="F1853" s="30">
        <v>23.160999999999998</v>
      </c>
      <c r="G1853" s="33">
        <f t="shared" si="172"/>
        <v>57.902499999999996</v>
      </c>
      <c r="H1853" s="38">
        <f>SUM(G1853:G1855)</f>
        <v>130.86249999999998</v>
      </c>
      <c r="I1853" s="39"/>
      <c r="J1853" s="152">
        <v>0</v>
      </c>
      <c r="L1853" s="215">
        <v>2.5</v>
      </c>
      <c r="M1853" s="30">
        <v>19.825816</v>
      </c>
      <c r="N1853" s="33">
        <f t="shared" si="173"/>
        <v>49.564540000000001</v>
      </c>
      <c r="O1853" s="38">
        <f>SUM(N1853:N1855)</f>
        <v>112.0183</v>
      </c>
      <c r="P1853" s="36" t="str">
        <f t="shared" si="168"/>
        <v/>
      </c>
      <c r="Q1853" s="216">
        <f t="shared" si="169"/>
        <v>0.14399999999999991</v>
      </c>
      <c r="R1853" s="216">
        <f t="shared" si="170"/>
        <v>0.14399999999999991</v>
      </c>
      <c r="S1853" s="217">
        <f t="shared" si="171"/>
        <v>0.14399999999999991</v>
      </c>
    </row>
    <row r="1854" spans="1:19" ht="26.25" hidden="1" thickBot="1" x14ac:dyDescent="0.3">
      <c r="A1854" s="262"/>
      <c r="B1854" s="260"/>
      <c r="C1854" s="35" t="s">
        <v>462</v>
      </c>
      <c r="D1854" s="35" t="s">
        <v>583</v>
      </c>
      <c r="E1854" s="36">
        <v>2.5</v>
      </c>
      <c r="F1854" s="30">
        <v>29.183999999999997</v>
      </c>
      <c r="G1854" s="33">
        <f t="shared" si="172"/>
        <v>72.959999999999994</v>
      </c>
      <c r="H1854" s="34"/>
      <c r="I1854" s="30"/>
      <c r="J1854" s="152">
        <v>0</v>
      </c>
      <c r="L1854" s="215">
        <v>2.5</v>
      </c>
      <c r="M1854" s="30">
        <v>24.981503999999997</v>
      </c>
      <c r="N1854" s="33">
        <f t="shared" si="173"/>
        <v>62.453759999999996</v>
      </c>
      <c r="O1854" s="34"/>
      <c r="P1854" s="36" t="str">
        <f t="shared" si="168"/>
        <v/>
      </c>
      <c r="Q1854" s="216">
        <f t="shared" si="169"/>
        <v>0.14400000000000002</v>
      </c>
      <c r="R1854" s="216">
        <f t="shared" si="170"/>
        <v>0.14400000000000002</v>
      </c>
      <c r="S1854" s="217" t="str">
        <f t="shared" si="171"/>
        <v/>
      </c>
    </row>
    <row r="1855" spans="1:19" ht="26.25" hidden="1" thickBot="1" x14ac:dyDescent="0.3">
      <c r="A1855" s="262"/>
      <c r="B1855" s="260"/>
      <c r="C1855" s="35" t="s">
        <v>478</v>
      </c>
      <c r="D1855" s="35" t="s">
        <v>107</v>
      </c>
      <c r="E1855" s="36">
        <v>1</v>
      </c>
      <c r="F1855" s="33" t="s">
        <v>416</v>
      </c>
      <c r="G1855" s="33" t="str">
        <f t="shared" si="172"/>
        <v/>
      </c>
      <c r="H1855" s="34"/>
      <c r="I1855" s="30"/>
      <c r="J1855" s="152">
        <v>0</v>
      </c>
      <c r="L1855" s="215">
        <v>1</v>
      </c>
      <c r="M1855" s="33"/>
      <c r="N1855" s="33" t="str">
        <f t="shared" si="173"/>
        <v/>
      </c>
      <c r="O1855" s="34"/>
      <c r="P1855" s="36" t="str">
        <f t="shared" si="168"/>
        <v/>
      </c>
      <c r="Q1855" s="216" t="str">
        <f t="shared" si="169"/>
        <v/>
      </c>
      <c r="R1855" s="216" t="str">
        <f t="shared" si="170"/>
        <v/>
      </c>
      <c r="S1855" s="217" t="str">
        <f t="shared" si="171"/>
        <v/>
      </c>
    </row>
    <row r="1856" spans="1:19" ht="15.75" hidden="1" thickBot="1" x14ac:dyDescent="0.3">
      <c r="A1856" s="263"/>
      <c r="B1856" s="261"/>
      <c r="C1856" s="35"/>
      <c r="D1856" s="35"/>
      <c r="E1856" s="36"/>
      <c r="F1856" s="30" t="s">
        <v>416</v>
      </c>
      <c r="G1856" s="30" t="str">
        <f t="shared" si="172"/>
        <v/>
      </c>
      <c r="H1856" s="34"/>
      <c r="I1856" s="30"/>
      <c r="J1856" s="152">
        <v>0</v>
      </c>
      <c r="L1856" s="215"/>
      <c r="M1856" s="30"/>
      <c r="N1856" s="30" t="str">
        <f t="shared" si="173"/>
        <v/>
      </c>
      <c r="O1856" s="34"/>
      <c r="P1856" s="36" t="str">
        <f t="shared" si="168"/>
        <v/>
      </c>
      <c r="Q1856" s="216" t="str">
        <f t="shared" si="169"/>
        <v/>
      </c>
      <c r="R1856" s="216" t="str">
        <f t="shared" si="170"/>
        <v/>
      </c>
      <c r="S1856" s="217" t="str">
        <f t="shared" si="171"/>
        <v/>
      </c>
    </row>
    <row r="1857" spans="1:19" ht="15.75" hidden="1" thickBot="1" x14ac:dyDescent="0.3">
      <c r="A1857" s="256" t="s">
        <v>479</v>
      </c>
      <c r="B1857" s="259" t="str">
        <f>INDEX(Orçamentária!A:B,MATCH(Composições!A1857,Orçamentária!A:A,0),2)</f>
        <v>Difusor de ar quadrado para insuflamento em duas direções perpendiculares 376 x 376 mm</v>
      </c>
      <c r="C1857" s="40"/>
      <c r="D1857" s="25" t="s">
        <v>16</v>
      </c>
      <c r="E1857" s="26"/>
      <c r="F1857" s="41" t="s">
        <v>416</v>
      </c>
      <c r="G1857" s="27" t="str">
        <f t="shared" si="172"/>
        <v/>
      </c>
      <c r="H1857" s="28"/>
      <c r="I1857" s="29"/>
      <c r="J1857" s="152">
        <v>0</v>
      </c>
      <c r="L1857" s="218"/>
      <c r="M1857" s="41"/>
      <c r="N1857" s="27" t="str">
        <f t="shared" si="173"/>
        <v/>
      </c>
      <c r="O1857" s="28"/>
      <c r="P1857" s="36" t="str">
        <f t="shared" si="168"/>
        <v/>
      </c>
      <c r="Q1857" s="216" t="str">
        <f t="shared" si="169"/>
        <v/>
      </c>
      <c r="R1857" s="216" t="str">
        <f t="shared" si="170"/>
        <v/>
      </c>
      <c r="S1857" s="217" t="str">
        <f t="shared" si="171"/>
        <v/>
      </c>
    </row>
    <row r="1858" spans="1:19" ht="15.75" hidden="1" thickBot="1" x14ac:dyDescent="0.3">
      <c r="A1858" s="262"/>
      <c r="B1858" s="260"/>
      <c r="C1858" s="31"/>
      <c r="D1858" s="31"/>
      <c r="E1858" s="32"/>
      <c r="F1858" s="42" t="s">
        <v>416</v>
      </c>
      <c r="G1858" s="30" t="str">
        <f t="shared" si="172"/>
        <v/>
      </c>
      <c r="H1858" s="34"/>
      <c r="I1858" s="30"/>
      <c r="J1858" s="152">
        <v>0</v>
      </c>
      <c r="L1858" s="219"/>
      <c r="M1858" s="42"/>
      <c r="N1858" s="30" t="str">
        <f t="shared" si="173"/>
        <v/>
      </c>
      <c r="O1858" s="34"/>
      <c r="P1858" s="36" t="str">
        <f t="shared" si="168"/>
        <v/>
      </c>
      <c r="Q1858" s="216" t="str">
        <f t="shared" si="169"/>
        <v/>
      </c>
      <c r="R1858" s="216" t="str">
        <f t="shared" si="170"/>
        <v/>
      </c>
      <c r="S1858" s="217" t="str">
        <f t="shared" si="171"/>
        <v/>
      </c>
    </row>
    <row r="1859" spans="1:19" ht="26.25" hidden="1" thickBot="1" x14ac:dyDescent="0.3">
      <c r="A1859" s="262"/>
      <c r="B1859" s="260"/>
      <c r="C1859" s="35" t="s">
        <v>2901</v>
      </c>
      <c r="D1859" s="35" t="s">
        <v>583</v>
      </c>
      <c r="E1859" s="36">
        <v>2.5</v>
      </c>
      <c r="F1859" s="30">
        <v>23.160999999999998</v>
      </c>
      <c r="G1859" s="33">
        <f t="shared" si="172"/>
        <v>57.902499999999996</v>
      </c>
      <c r="H1859" s="38">
        <f>SUM(G1859:G1861)</f>
        <v>130.86249999999998</v>
      </c>
      <c r="I1859" s="39"/>
      <c r="J1859" s="152">
        <v>0</v>
      </c>
      <c r="L1859" s="215">
        <v>2.5</v>
      </c>
      <c r="M1859" s="30">
        <v>19.825816</v>
      </c>
      <c r="N1859" s="33">
        <f t="shared" si="173"/>
        <v>49.564540000000001</v>
      </c>
      <c r="O1859" s="38">
        <f>SUM(N1859:N1861)</f>
        <v>112.0183</v>
      </c>
      <c r="P1859" s="36" t="str">
        <f t="shared" si="168"/>
        <v/>
      </c>
      <c r="Q1859" s="216">
        <f t="shared" si="169"/>
        <v>0.14399999999999991</v>
      </c>
      <c r="R1859" s="216">
        <f t="shared" si="170"/>
        <v>0.14399999999999991</v>
      </c>
      <c r="S1859" s="217">
        <f t="shared" si="171"/>
        <v>0.14399999999999991</v>
      </c>
    </row>
    <row r="1860" spans="1:19" ht="26.25" hidden="1" thickBot="1" x14ac:dyDescent="0.3">
      <c r="A1860" s="262"/>
      <c r="B1860" s="260"/>
      <c r="C1860" s="35" t="s">
        <v>462</v>
      </c>
      <c r="D1860" s="35" t="s">
        <v>583</v>
      </c>
      <c r="E1860" s="36">
        <v>2.5</v>
      </c>
      <c r="F1860" s="30">
        <v>29.183999999999997</v>
      </c>
      <c r="G1860" s="33">
        <f t="shared" si="172"/>
        <v>72.959999999999994</v>
      </c>
      <c r="H1860" s="34"/>
      <c r="I1860" s="30"/>
      <c r="J1860" s="152">
        <v>0</v>
      </c>
      <c r="L1860" s="215">
        <v>2.5</v>
      </c>
      <c r="M1860" s="30">
        <v>24.981503999999997</v>
      </c>
      <c r="N1860" s="33">
        <f t="shared" si="173"/>
        <v>62.453759999999996</v>
      </c>
      <c r="O1860" s="34"/>
      <c r="P1860" s="36" t="str">
        <f t="shared" si="168"/>
        <v/>
      </c>
      <c r="Q1860" s="216">
        <f t="shared" si="169"/>
        <v>0.14400000000000002</v>
      </c>
      <c r="R1860" s="216">
        <f t="shared" si="170"/>
        <v>0.14400000000000002</v>
      </c>
      <c r="S1860" s="217" t="str">
        <f t="shared" si="171"/>
        <v/>
      </c>
    </row>
    <row r="1861" spans="1:19" ht="26.25" hidden="1" thickBot="1" x14ac:dyDescent="0.3">
      <c r="A1861" s="262"/>
      <c r="B1861" s="260"/>
      <c r="C1861" s="35" t="s">
        <v>480</v>
      </c>
      <c r="D1861" s="35" t="s">
        <v>107</v>
      </c>
      <c r="E1861" s="36">
        <v>1</v>
      </c>
      <c r="F1861" s="33" t="s">
        <v>416</v>
      </c>
      <c r="G1861" s="33" t="str">
        <f t="shared" si="172"/>
        <v/>
      </c>
      <c r="H1861" s="34"/>
      <c r="I1861" s="30"/>
      <c r="J1861" s="152">
        <v>0</v>
      </c>
      <c r="L1861" s="215">
        <v>1</v>
      </c>
      <c r="M1861" s="33"/>
      <c r="N1861" s="33" t="str">
        <f t="shared" si="173"/>
        <v/>
      </c>
      <c r="O1861" s="34"/>
      <c r="P1861" s="36" t="str">
        <f t="shared" si="168"/>
        <v/>
      </c>
      <c r="Q1861" s="216" t="str">
        <f t="shared" si="169"/>
        <v/>
      </c>
      <c r="R1861" s="216" t="str">
        <f t="shared" si="170"/>
        <v/>
      </c>
      <c r="S1861" s="217" t="str">
        <f t="shared" si="171"/>
        <v/>
      </c>
    </row>
    <row r="1862" spans="1:19" ht="15.75" hidden="1" thickBot="1" x14ac:dyDescent="0.3">
      <c r="A1862" s="263"/>
      <c r="B1862" s="261"/>
      <c r="C1862" s="35"/>
      <c r="D1862" s="35"/>
      <c r="E1862" s="36"/>
      <c r="F1862" s="30" t="s">
        <v>416</v>
      </c>
      <c r="G1862" s="30" t="str">
        <f t="shared" si="172"/>
        <v/>
      </c>
      <c r="H1862" s="34"/>
      <c r="I1862" s="30"/>
      <c r="J1862" s="152">
        <v>0</v>
      </c>
      <c r="L1862" s="215"/>
      <c r="M1862" s="30"/>
      <c r="N1862" s="30" t="str">
        <f t="shared" si="173"/>
        <v/>
      </c>
      <c r="O1862" s="34"/>
      <c r="P1862" s="36" t="str">
        <f t="shared" si="168"/>
        <v/>
      </c>
      <c r="Q1862" s="216" t="str">
        <f t="shared" si="169"/>
        <v/>
      </c>
      <c r="R1862" s="216" t="str">
        <f t="shared" si="170"/>
        <v/>
      </c>
      <c r="S1862" s="217" t="str">
        <f t="shared" si="171"/>
        <v/>
      </c>
    </row>
    <row r="1863" spans="1:19" ht="15.75" hidden="1" thickBot="1" x14ac:dyDescent="0.3">
      <c r="A1863" s="256" t="s">
        <v>481</v>
      </c>
      <c r="B1863" s="259" t="str">
        <f>INDEX(Orçamentária!A:B,MATCH(Composições!A1863,Orçamentária!A:A,0),2)</f>
        <v>Difusor de ar retangular para insuflamento em duas direções 371 x 208 mm</v>
      </c>
      <c r="C1863" s="40"/>
      <c r="D1863" s="25" t="s">
        <v>16</v>
      </c>
      <c r="E1863" s="26"/>
      <c r="F1863" s="41" t="s">
        <v>416</v>
      </c>
      <c r="G1863" s="27" t="str">
        <f t="shared" si="172"/>
        <v/>
      </c>
      <c r="H1863" s="28"/>
      <c r="I1863" s="29"/>
      <c r="J1863" s="152">
        <v>0</v>
      </c>
      <c r="L1863" s="218"/>
      <c r="M1863" s="41"/>
      <c r="N1863" s="27" t="str">
        <f t="shared" si="173"/>
        <v/>
      </c>
      <c r="O1863" s="28"/>
      <c r="P1863" s="36" t="str">
        <f t="shared" si="168"/>
        <v/>
      </c>
      <c r="Q1863" s="216" t="str">
        <f t="shared" si="169"/>
        <v/>
      </c>
      <c r="R1863" s="216" t="str">
        <f t="shared" si="170"/>
        <v/>
      </c>
      <c r="S1863" s="217" t="str">
        <f t="shared" si="171"/>
        <v/>
      </c>
    </row>
    <row r="1864" spans="1:19" ht="15.75" hidden="1" thickBot="1" x14ac:dyDescent="0.3">
      <c r="A1864" s="262"/>
      <c r="B1864" s="260"/>
      <c r="C1864" s="31"/>
      <c r="D1864" s="31"/>
      <c r="E1864" s="32"/>
      <c r="F1864" s="42" t="s">
        <v>416</v>
      </c>
      <c r="G1864" s="30" t="str">
        <f t="shared" si="172"/>
        <v/>
      </c>
      <c r="H1864" s="34"/>
      <c r="I1864" s="30"/>
      <c r="J1864" s="152">
        <v>0</v>
      </c>
      <c r="L1864" s="219"/>
      <c r="M1864" s="42"/>
      <c r="N1864" s="30" t="str">
        <f t="shared" si="173"/>
        <v/>
      </c>
      <c r="O1864" s="34"/>
      <c r="P1864" s="36" t="str">
        <f t="shared" ref="P1864:P1927" si="174">IF(ISBLANK(L1864),"",IF($E1864&lt;&gt;L1864,"SIM",""))</f>
        <v/>
      </c>
      <c r="Q1864" s="216" t="str">
        <f t="shared" ref="Q1864:Q1927" si="175">IF(M1864="","",1-M1864/$F1864)</f>
        <v/>
      </c>
      <c r="R1864" s="216" t="str">
        <f t="shared" ref="R1864:R1927" si="176">IF(N1864="","",1-N1864/$G1864)</f>
        <v/>
      </c>
      <c r="S1864" s="217" t="str">
        <f t="shared" ref="S1864:S1927" si="177">IF(O1864="","",1-O1864/$H1864)</f>
        <v/>
      </c>
    </row>
    <row r="1865" spans="1:19" ht="26.25" hidden="1" thickBot="1" x14ac:dyDescent="0.3">
      <c r="A1865" s="262"/>
      <c r="B1865" s="260"/>
      <c r="C1865" s="35" t="s">
        <v>2901</v>
      </c>
      <c r="D1865" s="35" t="s">
        <v>583</v>
      </c>
      <c r="E1865" s="36">
        <v>2.5</v>
      </c>
      <c r="F1865" s="30">
        <v>23.160999999999998</v>
      </c>
      <c r="G1865" s="33">
        <f t="shared" si="172"/>
        <v>57.902499999999996</v>
      </c>
      <c r="H1865" s="38">
        <f>SUM(G1865:G1867)</f>
        <v>130.86249999999998</v>
      </c>
      <c r="I1865" s="39"/>
      <c r="J1865" s="152">
        <v>0</v>
      </c>
      <c r="L1865" s="215">
        <v>2.5</v>
      </c>
      <c r="M1865" s="30">
        <v>19.825816</v>
      </c>
      <c r="N1865" s="33">
        <f t="shared" si="173"/>
        <v>49.564540000000001</v>
      </c>
      <c r="O1865" s="38">
        <f>SUM(N1865:N1867)</f>
        <v>112.0183</v>
      </c>
      <c r="P1865" s="36" t="str">
        <f t="shared" si="174"/>
        <v/>
      </c>
      <c r="Q1865" s="216">
        <f t="shared" si="175"/>
        <v>0.14399999999999991</v>
      </c>
      <c r="R1865" s="216">
        <f t="shared" si="176"/>
        <v>0.14399999999999991</v>
      </c>
      <c r="S1865" s="217">
        <f t="shared" si="177"/>
        <v>0.14399999999999991</v>
      </c>
    </row>
    <row r="1866" spans="1:19" ht="26.25" hidden="1" thickBot="1" x14ac:dyDescent="0.3">
      <c r="A1866" s="262"/>
      <c r="B1866" s="260"/>
      <c r="C1866" s="35" t="s">
        <v>462</v>
      </c>
      <c r="D1866" s="35" t="s">
        <v>583</v>
      </c>
      <c r="E1866" s="36">
        <v>2.5</v>
      </c>
      <c r="F1866" s="30">
        <v>29.183999999999997</v>
      </c>
      <c r="G1866" s="33">
        <f t="shared" si="172"/>
        <v>72.959999999999994</v>
      </c>
      <c r="H1866" s="34"/>
      <c r="I1866" s="30"/>
      <c r="J1866" s="152">
        <v>0</v>
      </c>
      <c r="L1866" s="215">
        <v>2.5</v>
      </c>
      <c r="M1866" s="30">
        <v>24.981503999999997</v>
      </c>
      <c r="N1866" s="33">
        <f t="shared" si="173"/>
        <v>62.453759999999996</v>
      </c>
      <c r="O1866" s="34"/>
      <c r="P1866" s="36" t="str">
        <f t="shared" si="174"/>
        <v/>
      </c>
      <c r="Q1866" s="216">
        <f t="shared" si="175"/>
        <v>0.14400000000000002</v>
      </c>
      <c r="R1866" s="216">
        <f t="shared" si="176"/>
        <v>0.14400000000000002</v>
      </c>
      <c r="S1866" s="217" t="str">
        <f t="shared" si="177"/>
        <v/>
      </c>
    </row>
    <row r="1867" spans="1:19" ht="39" hidden="1" thickBot="1" x14ac:dyDescent="0.3">
      <c r="A1867" s="262"/>
      <c r="B1867" s="260"/>
      <c r="C1867" s="35" t="s">
        <v>482</v>
      </c>
      <c r="D1867" s="35" t="s">
        <v>107</v>
      </c>
      <c r="E1867" s="36">
        <v>1</v>
      </c>
      <c r="F1867" s="33" t="s">
        <v>416</v>
      </c>
      <c r="G1867" s="33" t="str">
        <f t="shared" si="172"/>
        <v/>
      </c>
      <c r="H1867" s="34"/>
      <c r="I1867" s="30"/>
      <c r="J1867" s="152">
        <v>0</v>
      </c>
      <c r="L1867" s="215">
        <v>1</v>
      </c>
      <c r="M1867" s="33"/>
      <c r="N1867" s="33" t="str">
        <f t="shared" si="173"/>
        <v/>
      </c>
      <c r="O1867" s="34"/>
      <c r="P1867" s="36" t="str">
        <f t="shared" si="174"/>
        <v/>
      </c>
      <c r="Q1867" s="216" t="str">
        <f t="shared" si="175"/>
        <v/>
      </c>
      <c r="R1867" s="216" t="str">
        <f t="shared" si="176"/>
        <v/>
      </c>
      <c r="S1867" s="217" t="str">
        <f t="shared" si="177"/>
        <v/>
      </c>
    </row>
    <row r="1868" spans="1:19" ht="15.75" hidden="1" thickBot="1" x14ac:dyDescent="0.3">
      <c r="A1868" s="263"/>
      <c r="B1868" s="261"/>
      <c r="C1868" s="35"/>
      <c r="D1868" s="35"/>
      <c r="E1868" s="36"/>
      <c r="F1868" s="30" t="s">
        <v>416</v>
      </c>
      <c r="G1868" s="30" t="str">
        <f t="shared" si="172"/>
        <v/>
      </c>
      <c r="H1868" s="34"/>
      <c r="I1868" s="30"/>
      <c r="J1868" s="152">
        <v>0</v>
      </c>
      <c r="L1868" s="215"/>
      <c r="M1868" s="30"/>
      <c r="N1868" s="30" t="str">
        <f t="shared" si="173"/>
        <v/>
      </c>
      <c r="O1868" s="34"/>
      <c r="P1868" s="36" t="str">
        <f t="shared" si="174"/>
        <v/>
      </c>
      <c r="Q1868" s="216" t="str">
        <f t="shared" si="175"/>
        <v/>
      </c>
      <c r="R1868" s="216" t="str">
        <f t="shared" si="176"/>
        <v/>
      </c>
      <c r="S1868" s="217" t="str">
        <f t="shared" si="177"/>
        <v/>
      </c>
    </row>
    <row r="1869" spans="1:19" ht="15.75" hidden="1" thickBot="1" x14ac:dyDescent="0.3">
      <c r="A1869" s="256" t="s">
        <v>483</v>
      </c>
      <c r="B1869" s="259" t="str">
        <f>INDEX(Orçamentária!A:B,MATCH(Composições!A1869,Orçamentária!A:A,0),2)</f>
        <v>Difusor de ar retangular para insuflamento em três direções 264 x 432 mm</v>
      </c>
      <c r="C1869" s="40"/>
      <c r="D1869" s="25" t="s">
        <v>16</v>
      </c>
      <c r="E1869" s="26"/>
      <c r="F1869" s="41" t="s">
        <v>416</v>
      </c>
      <c r="G1869" s="27" t="str">
        <f t="shared" si="172"/>
        <v/>
      </c>
      <c r="H1869" s="28"/>
      <c r="I1869" s="29"/>
      <c r="J1869" s="152">
        <v>0</v>
      </c>
      <c r="L1869" s="218"/>
      <c r="M1869" s="41"/>
      <c r="N1869" s="27" t="str">
        <f t="shared" si="173"/>
        <v/>
      </c>
      <c r="O1869" s="28"/>
      <c r="P1869" s="36" t="str">
        <f t="shared" si="174"/>
        <v/>
      </c>
      <c r="Q1869" s="216" t="str">
        <f t="shared" si="175"/>
        <v/>
      </c>
      <c r="R1869" s="216" t="str">
        <f t="shared" si="176"/>
        <v/>
      </c>
      <c r="S1869" s="217" t="str">
        <f t="shared" si="177"/>
        <v/>
      </c>
    </row>
    <row r="1870" spans="1:19" ht="15.75" hidden="1" thickBot="1" x14ac:dyDescent="0.3">
      <c r="A1870" s="262"/>
      <c r="B1870" s="260"/>
      <c r="C1870" s="31"/>
      <c r="D1870" s="31"/>
      <c r="E1870" s="32"/>
      <c r="F1870" s="42" t="s">
        <v>416</v>
      </c>
      <c r="G1870" s="30" t="str">
        <f t="shared" si="172"/>
        <v/>
      </c>
      <c r="H1870" s="34"/>
      <c r="I1870" s="30"/>
      <c r="J1870" s="152">
        <v>0</v>
      </c>
      <c r="L1870" s="219"/>
      <c r="M1870" s="42"/>
      <c r="N1870" s="30" t="str">
        <f t="shared" si="173"/>
        <v/>
      </c>
      <c r="O1870" s="34"/>
      <c r="P1870" s="36" t="str">
        <f t="shared" si="174"/>
        <v/>
      </c>
      <c r="Q1870" s="216" t="str">
        <f t="shared" si="175"/>
        <v/>
      </c>
      <c r="R1870" s="216" t="str">
        <f t="shared" si="176"/>
        <v/>
      </c>
      <c r="S1870" s="217" t="str">
        <f t="shared" si="177"/>
        <v/>
      </c>
    </row>
    <row r="1871" spans="1:19" ht="26.25" hidden="1" thickBot="1" x14ac:dyDescent="0.3">
      <c r="A1871" s="262"/>
      <c r="B1871" s="260"/>
      <c r="C1871" s="35" t="s">
        <v>2901</v>
      </c>
      <c r="D1871" s="35" t="s">
        <v>583</v>
      </c>
      <c r="E1871" s="36">
        <v>2.5</v>
      </c>
      <c r="F1871" s="30">
        <v>23.160999999999998</v>
      </c>
      <c r="G1871" s="33">
        <f t="shared" si="172"/>
        <v>57.902499999999996</v>
      </c>
      <c r="H1871" s="38">
        <f>SUM(G1871:G1873)</f>
        <v>130.86249999999998</v>
      </c>
      <c r="I1871" s="39"/>
      <c r="J1871" s="152">
        <v>0</v>
      </c>
      <c r="L1871" s="215">
        <v>2.5</v>
      </c>
      <c r="M1871" s="30">
        <v>19.825816</v>
      </c>
      <c r="N1871" s="33">
        <f t="shared" si="173"/>
        <v>49.564540000000001</v>
      </c>
      <c r="O1871" s="38">
        <f>SUM(N1871:N1873)</f>
        <v>112.0183</v>
      </c>
      <c r="P1871" s="36" t="str">
        <f t="shared" si="174"/>
        <v/>
      </c>
      <c r="Q1871" s="216">
        <f t="shared" si="175"/>
        <v>0.14399999999999991</v>
      </c>
      <c r="R1871" s="216">
        <f t="shared" si="176"/>
        <v>0.14399999999999991</v>
      </c>
      <c r="S1871" s="217">
        <f t="shared" si="177"/>
        <v>0.14399999999999991</v>
      </c>
    </row>
    <row r="1872" spans="1:19" ht="26.25" hidden="1" thickBot="1" x14ac:dyDescent="0.3">
      <c r="A1872" s="262"/>
      <c r="B1872" s="260"/>
      <c r="C1872" s="35" t="s">
        <v>462</v>
      </c>
      <c r="D1872" s="35" t="s">
        <v>583</v>
      </c>
      <c r="E1872" s="36">
        <v>2.5</v>
      </c>
      <c r="F1872" s="30">
        <v>29.183999999999997</v>
      </c>
      <c r="G1872" s="33">
        <f t="shared" si="172"/>
        <v>72.959999999999994</v>
      </c>
      <c r="H1872" s="34"/>
      <c r="I1872" s="30"/>
      <c r="J1872" s="152">
        <v>0</v>
      </c>
      <c r="L1872" s="215">
        <v>2.5</v>
      </c>
      <c r="M1872" s="30">
        <v>24.981503999999997</v>
      </c>
      <c r="N1872" s="33">
        <f t="shared" si="173"/>
        <v>62.453759999999996</v>
      </c>
      <c r="O1872" s="34"/>
      <c r="P1872" s="36" t="str">
        <f t="shared" si="174"/>
        <v/>
      </c>
      <c r="Q1872" s="216">
        <f t="shared" si="175"/>
        <v>0.14400000000000002</v>
      </c>
      <c r="R1872" s="216">
        <f t="shared" si="176"/>
        <v>0.14400000000000002</v>
      </c>
      <c r="S1872" s="217" t="str">
        <f t="shared" si="177"/>
        <v/>
      </c>
    </row>
    <row r="1873" spans="1:19" ht="51.75" hidden="1" thickBot="1" x14ac:dyDescent="0.3">
      <c r="A1873" s="262"/>
      <c r="B1873" s="260"/>
      <c r="C1873" s="35" t="s">
        <v>484</v>
      </c>
      <c r="D1873" s="35" t="s">
        <v>107</v>
      </c>
      <c r="E1873" s="36">
        <v>1</v>
      </c>
      <c r="F1873" s="33" t="s">
        <v>416</v>
      </c>
      <c r="G1873" s="33" t="str">
        <f t="shared" si="172"/>
        <v/>
      </c>
      <c r="H1873" s="34"/>
      <c r="I1873" s="30"/>
      <c r="J1873" s="152">
        <v>0</v>
      </c>
      <c r="L1873" s="215">
        <v>1</v>
      </c>
      <c r="M1873" s="33"/>
      <c r="N1873" s="33" t="str">
        <f t="shared" si="173"/>
        <v/>
      </c>
      <c r="O1873" s="34"/>
      <c r="P1873" s="36" t="str">
        <f t="shared" si="174"/>
        <v/>
      </c>
      <c r="Q1873" s="216" t="str">
        <f t="shared" si="175"/>
        <v/>
      </c>
      <c r="R1873" s="216" t="str">
        <f t="shared" si="176"/>
        <v/>
      </c>
      <c r="S1873" s="217" t="str">
        <f t="shared" si="177"/>
        <v/>
      </c>
    </row>
    <row r="1874" spans="1:19" ht="15.75" hidden="1" thickBot="1" x14ac:dyDescent="0.3">
      <c r="A1874" s="263"/>
      <c r="B1874" s="261"/>
      <c r="C1874" s="35"/>
      <c r="D1874" s="35"/>
      <c r="E1874" s="36"/>
      <c r="F1874" s="30" t="s">
        <v>416</v>
      </c>
      <c r="G1874" s="30" t="str">
        <f t="shared" si="172"/>
        <v/>
      </c>
      <c r="H1874" s="34"/>
      <c r="I1874" s="30"/>
      <c r="J1874" s="152">
        <v>0</v>
      </c>
      <c r="L1874" s="215"/>
      <c r="M1874" s="30"/>
      <c r="N1874" s="30" t="str">
        <f t="shared" si="173"/>
        <v/>
      </c>
      <c r="O1874" s="34"/>
      <c r="P1874" s="36" t="str">
        <f t="shared" si="174"/>
        <v/>
      </c>
      <c r="Q1874" s="216" t="str">
        <f t="shared" si="175"/>
        <v/>
      </c>
      <c r="R1874" s="216" t="str">
        <f t="shared" si="176"/>
        <v/>
      </c>
      <c r="S1874" s="217" t="str">
        <f t="shared" si="177"/>
        <v/>
      </c>
    </row>
    <row r="1875" spans="1:19" ht="15.75" hidden="1" thickBot="1" x14ac:dyDescent="0.3">
      <c r="A1875" s="256" t="s">
        <v>485</v>
      </c>
      <c r="B1875" s="259" t="str">
        <f>INDEX(Orçamentária!A:B,MATCH(Composições!A1875,Orçamentária!A:A,0),2)</f>
        <v>Difusor de ar retangular para insuflamento em três direções 320 x 562 mm</v>
      </c>
      <c r="C1875" s="40"/>
      <c r="D1875" s="25" t="s">
        <v>16</v>
      </c>
      <c r="E1875" s="26"/>
      <c r="F1875" s="41" t="s">
        <v>416</v>
      </c>
      <c r="G1875" s="27" t="str">
        <f t="shared" ref="G1875:G1938" si="178">IF(ISNUMBER(F1875),E1875*F1875,"")</f>
        <v/>
      </c>
      <c r="H1875" s="28"/>
      <c r="I1875" s="29"/>
      <c r="J1875" s="152">
        <v>0</v>
      </c>
      <c r="L1875" s="218"/>
      <c r="M1875" s="41"/>
      <c r="N1875" s="27" t="str">
        <f t="shared" ref="N1875:N1938" si="179">IF(ISNUMBER(M1875),L1875*M1875,"")</f>
        <v/>
      </c>
      <c r="O1875" s="28"/>
      <c r="P1875" s="36" t="str">
        <f t="shared" si="174"/>
        <v/>
      </c>
      <c r="Q1875" s="216" t="str">
        <f t="shared" si="175"/>
        <v/>
      </c>
      <c r="R1875" s="216" t="str">
        <f t="shared" si="176"/>
        <v/>
      </c>
      <c r="S1875" s="217" t="str">
        <f t="shared" si="177"/>
        <v/>
      </c>
    </row>
    <row r="1876" spans="1:19" ht="15.75" hidden="1" thickBot="1" x14ac:dyDescent="0.3">
      <c r="A1876" s="262"/>
      <c r="B1876" s="260"/>
      <c r="C1876" s="31"/>
      <c r="D1876" s="31"/>
      <c r="E1876" s="32"/>
      <c r="F1876" s="42" t="s">
        <v>416</v>
      </c>
      <c r="G1876" s="30" t="str">
        <f t="shared" si="178"/>
        <v/>
      </c>
      <c r="H1876" s="34"/>
      <c r="I1876" s="30"/>
      <c r="J1876" s="152">
        <v>0</v>
      </c>
      <c r="L1876" s="219"/>
      <c r="M1876" s="42"/>
      <c r="N1876" s="30" t="str">
        <f t="shared" si="179"/>
        <v/>
      </c>
      <c r="O1876" s="34"/>
      <c r="P1876" s="36" t="str">
        <f t="shared" si="174"/>
        <v/>
      </c>
      <c r="Q1876" s="216" t="str">
        <f t="shared" si="175"/>
        <v/>
      </c>
      <c r="R1876" s="216" t="str">
        <f t="shared" si="176"/>
        <v/>
      </c>
      <c r="S1876" s="217" t="str">
        <f t="shared" si="177"/>
        <v/>
      </c>
    </row>
    <row r="1877" spans="1:19" ht="26.25" hidden="1" thickBot="1" x14ac:dyDescent="0.3">
      <c r="A1877" s="262"/>
      <c r="B1877" s="260"/>
      <c r="C1877" s="35" t="s">
        <v>2901</v>
      </c>
      <c r="D1877" s="35" t="s">
        <v>583</v>
      </c>
      <c r="E1877" s="36">
        <v>2.5</v>
      </c>
      <c r="F1877" s="30">
        <v>23.160999999999998</v>
      </c>
      <c r="G1877" s="33">
        <f t="shared" si="178"/>
        <v>57.902499999999996</v>
      </c>
      <c r="H1877" s="38">
        <f>SUM(G1877:G1879)</f>
        <v>130.86249999999998</v>
      </c>
      <c r="I1877" s="39"/>
      <c r="J1877" s="152">
        <v>0</v>
      </c>
      <c r="L1877" s="215">
        <v>2.5</v>
      </c>
      <c r="M1877" s="30">
        <v>19.825816</v>
      </c>
      <c r="N1877" s="33">
        <f t="shared" si="179"/>
        <v>49.564540000000001</v>
      </c>
      <c r="O1877" s="38">
        <f>SUM(N1877:N1879)</f>
        <v>112.0183</v>
      </c>
      <c r="P1877" s="36" t="str">
        <f t="shared" si="174"/>
        <v/>
      </c>
      <c r="Q1877" s="216">
        <f t="shared" si="175"/>
        <v>0.14399999999999991</v>
      </c>
      <c r="R1877" s="216">
        <f t="shared" si="176"/>
        <v>0.14399999999999991</v>
      </c>
      <c r="S1877" s="217">
        <f t="shared" si="177"/>
        <v>0.14399999999999991</v>
      </c>
    </row>
    <row r="1878" spans="1:19" ht="26.25" hidden="1" thickBot="1" x14ac:dyDescent="0.3">
      <c r="A1878" s="262"/>
      <c r="B1878" s="260"/>
      <c r="C1878" s="35" t="s">
        <v>462</v>
      </c>
      <c r="D1878" s="35" t="s">
        <v>583</v>
      </c>
      <c r="E1878" s="36">
        <v>2.5</v>
      </c>
      <c r="F1878" s="30">
        <v>29.183999999999997</v>
      </c>
      <c r="G1878" s="33">
        <f t="shared" si="178"/>
        <v>72.959999999999994</v>
      </c>
      <c r="H1878" s="34"/>
      <c r="I1878" s="30"/>
      <c r="J1878" s="152">
        <v>0</v>
      </c>
      <c r="L1878" s="215">
        <v>2.5</v>
      </c>
      <c r="M1878" s="30">
        <v>24.981503999999997</v>
      </c>
      <c r="N1878" s="33">
        <f t="shared" si="179"/>
        <v>62.453759999999996</v>
      </c>
      <c r="O1878" s="34"/>
      <c r="P1878" s="36" t="str">
        <f t="shared" si="174"/>
        <v/>
      </c>
      <c r="Q1878" s="216">
        <f t="shared" si="175"/>
        <v>0.14400000000000002</v>
      </c>
      <c r="R1878" s="216">
        <f t="shared" si="176"/>
        <v>0.14400000000000002</v>
      </c>
      <c r="S1878" s="217" t="str">
        <f t="shared" si="177"/>
        <v/>
      </c>
    </row>
    <row r="1879" spans="1:19" ht="26.25" hidden="1" thickBot="1" x14ac:dyDescent="0.3">
      <c r="A1879" s="262"/>
      <c r="B1879" s="260"/>
      <c r="C1879" s="35" t="s">
        <v>486</v>
      </c>
      <c r="D1879" s="35" t="s">
        <v>107</v>
      </c>
      <c r="E1879" s="36">
        <v>1</v>
      </c>
      <c r="F1879" s="33" t="s">
        <v>416</v>
      </c>
      <c r="G1879" s="33" t="str">
        <f t="shared" si="178"/>
        <v/>
      </c>
      <c r="H1879" s="34"/>
      <c r="I1879" s="30"/>
      <c r="J1879" s="152">
        <v>0</v>
      </c>
      <c r="L1879" s="215">
        <v>1</v>
      </c>
      <c r="M1879" s="33"/>
      <c r="N1879" s="33" t="str">
        <f t="shared" si="179"/>
        <v/>
      </c>
      <c r="O1879" s="34"/>
      <c r="P1879" s="36" t="str">
        <f t="shared" si="174"/>
        <v/>
      </c>
      <c r="Q1879" s="216" t="str">
        <f t="shared" si="175"/>
        <v/>
      </c>
      <c r="R1879" s="216" t="str">
        <f t="shared" si="176"/>
        <v/>
      </c>
      <c r="S1879" s="217" t="str">
        <f t="shared" si="177"/>
        <v/>
      </c>
    </row>
    <row r="1880" spans="1:19" ht="15.75" hidden="1" thickBot="1" x14ac:dyDescent="0.3">
      <c r="A1880" s="263"/>
      <c r="B1880" s="261"/>
      <c r="C1880" s="35"/>
      <c r="D1880" s="35"/>
      <c r="E1880" s="36"/>
      <c r="F1880" s="30" t="s">
        <v>416</v>
      </c>
      <c r="G1880" s="30" t="str">
        <f t="shared" si="178"/>
        <v/>
      </c>
      <c r="H1880" s="34"/>
      <c r="I1880" s="30"/>
      <c r="J1880" s="152">
        <v>0</v>
      </c>
      <c r="L1880" s="215"/>
      <c r="M1880" s="30"/>
      <c r="N1880" s="30" t="str">
        <f t="shared" si="179"/>
        <v/>
      </c>
      <c r="O1880" s="34"/>
      <c r="P1880" s="36" t="str">
        <f t="shared" si="174"/>
        <v/>
      </c>
      <c r="Q1880" s="216" t="str">
        <f t="shared" si="175"/>
        <v/>
      </c>
      <c r="R1880" s="216" t="str">
        <f t="shared" si="176"/>
        <v/>
      </c>
      <c r="S1880" s="217" t="str">
        <f t="shared" si="177"/>
        <v/>
      </c>
    </row>
    <row r="1881" spans="1:19" ht="15.75" hidden="1" thickBot="1" x14ac:dyDescent="0.3">
      <c r="A1881" s="256" t="s">
        <v>487</v>
      </c>
      <c r="B1881" s="259" t="str">
        <f>INDEX(Orçamentária!A:B,MATCH(Composições!A1881,Orçamentária!A:A,0),2)</f>
        <v>Difusor de ar retangular para insuflamento em três direções 371 x 208 mm</v>
      </c>
      <c r="C1881" s="40"/>
      <c r="D1881" s="25" t="s">
        <v>16</v>
      </c>
      <c r="E1881" s="26"/>
      <c r="F1881" s="41" t="s">
        <v>416</v>
      </c>
      <c r="G1881" s="27" t="str">
        <f t="shared" si="178"/>
        <v/>
      </c>
      <c r="H1881" s="28"/>
      <c r="I1881" s="29"/>
      <c r="J1881" s="152">
        <v>0</v>
      </c>
      <c r="L1881" s="218"/>
      <c r="M1881" s="41"/>
      <c r="N1881" s="27" t="str">
        <f t="shared" si="179"/>
        <v/>
      </c>
      <c r="O1881" s="28"/>
      <c r="P1881" s="36" t="str">
        <f t="shared" si="174"/>
        <v/>
      </c>
      <c r="Q1881" s="216" t="str">
        <f t="shared" si="175"/>
        <v/>
      </c>
      <c r="R1881" s="216" t="str">
        <f t="shared" si="176"/>
        <v/>
      </c>
      <c r="S1881" s="217" t="str">
        <f t="shared" si="177"/>
        <v/>
      </c>
    </row>
    <row r="1882" spans="1:19" ht="15.75" hidden="1" thickBot="1" x14ac:dyDescent="0.3">
      <c r="A1882" s="262"/>
      <c r="B1882" s="260"/>
      <c r="C1882" s="31"/>
      <c r="D1882" s="31"/>
      <c r="E1882" s="32"/>
      <c r="F1882" s="42" t="s">
        <v>416</v>
      </c>
      <c r="G1882" s="30" t="str">
        <f t="shared" si="178"/>
        <v/>
      </c>
      <c r="H1882" s="34"/>
      <c r="I1882" s="30"/>
      <c r="J1882" s="152">
        <v>0</v>
      </c>
      <c r="L1882" s="219"/>
      <c r="M1882" s="42"/>
      <c r="N1882" s="30" t="str">
        <f t="shared" si="179"/>
        <v/>
      </c>
      <c r="O1882" s="34"/>
      <c r="P1882" s="36" t="str">
        <f t="shared" si="174"/>
        <v/>
      </c>
      <c r="Q1882" s="216" t="str">
        <f t="shared" si="175"/>
        <v/>
      </c>
      <c r="R1882" s="216" t="str">
        <f t="shared" si="176"/>
        <v/>
      </c>
      <c r="S1882" s="217" t="str">
        <f t="shared" si="177"/>
        <v/>
      </c>
    </row>
    <row r="1883" spans="1:19" ht="26.25" hidden="1" thickBot="1" x14ac:dyDescent="0.3">
      <c r="A1883" s="262"/>
      <c r="B1883" s="260"/>
      <c r="C1883" s="35" t="s">
        <v>2901</v>
      </c>
      <c r="D1883" s="35" t="s">
        <v>583</v>
      </c>
      <c r="E1883" s="36">
        <v>2.5</v>
      </c>
      <c r="F1883" s="30">
        <v>23.160999999999998</v>
      </c>
      <c r="G1883" s="33">
        <f t="shared" si="178"/>
        <v>57.902499999999996</v>
      </c>
      <c r="H1883" s="38">
        <f>SUM(G1883:G1885)</f>
        <v>130.86249999999998</v>
      </c>
      <c r="I1883" s="39"/>
      <c r="J1883" s="152">
        <v>0</v>
      </c>
      <c r="L1883" s="215">
        <v>2.5</v>
      </c>
      <c r="M1883" s="30">
        <v>19.825816</v>
      </c>
      <c r="N1883" s="33">
        <f t="shared" si="179"/>
        <v>49.564540000000001</v>
      </c>
      <c r="O1883" s="38">
        <f>SUM(N1883:N1885)</f>
        <v>112.0183</v>
      </c>
      <c r="P1883" s="36" t="str">
        <f t="shared" si="174"/>
        <v/>
      </c>
      <c r="Q1883" s="216">
        <f t="shared" si="175"/>
        <v>0.14399999999999991</v>
      </c>
      <c r="R1883" s="216">
        <f t="shared" si="176"/>
        <v>0.14399999999999991</v>
      </c>
      <c r="S1883" s="217">
        <f t="shared" si="177"/>
        <v>0.14399999999999991</v>
      </c>
    </row>
    <row r="1884" spans="1:19" ht="26.25" hidden="1" thickBot="1" x14ac:dyDescent="0.3">
      <c r="A1884" s="262"/>
      <c r="B1884" s="260"/>
      <c r="C1884" s="35" t="s">
        <v>462</v>
      </c>
      <c r="D1884" s="35" t="s">
        <v>583</v>
      </c>
      <c r="E1884" s="36">
        <v>2.5</v>
      </c>
      <c r="F1884" s="30">
        <v>29.183999999999997</v>
      </c>
      <c r="G1884" s="33">
        <f t="shared" si="178"/>
        <v>72.959999999999994</v>
      </c>
      <c r="H1884" s="34"/>
      <c r="I1884" s="30"/>
      <c r="J1884" s="152">
        <v>0</v>
      </c>
      <c r="L1884" s="215">
        <v>2.5</v>
      </c>
      <c r="M1884" s="30">
        <v>24.981503999999997</v>
      </c>
      <c r="N1884" s="33">
        <f t="shared" si="179"/>
        <v>62.453759999999996</v>
      </c>
      <c r="O1884" s="34"/>
      <c r="P1884" s="36" t="str">
        <f t="shared" si="174"/>
        <v/>
      </c>
      <c r="Q1884" s="216">
        <f t="shared" si="175"/>
        <v>0.14400000000000002</v>
      </c>
      <c r="R1884" s="216">
        <f t="shared" si="176"/>
        <v>0.14400000000000002</v>
      </c>
      <c r="S1884" s="217" t="str">
        <f t="shared" si="177"/>
        <v/>
      </c>
    </row>
    <row r="1885" spans="1:19" ht="39" hidden="1" thickBot="1" x14ac:dyDescent="0.3">
      <c r="A1885" s="262"/>
      <c r="B1885" s="260"/>
      <c r="C1885" s="35" t="s">
        <v>488</v>
      </c>
      <c r="D1885" s="35" t="s">
        <v>107</v>
      </c>
      <c r="E1885" s="36">
        <v>1</v>
      </c>
      <c r="F1885" s="33" t="s">
        <v>416</v>
      </c>
      <c r="G1885" s="33" t="str">
        <f t="shared" si="178"/>
        <v/>
      </c>
      <c r="H1885" s="34"/>
      <c r="I1885" s="30"/>
      <c r="J1885" s="152">
        <v>0</v>
      </c>
      <c r="L1885" s="215">
        <v>1</v>
      </c>
      <c r="M1885" s="33"/>
      <c r="N1885" s="33" t="str">
        <f t="shared" si="179"/>
        <v/>
      </c>
      <c r="O1885" s="34"/>
      <c r="P1885" s="36" t="str">
        <f t="shared" si="174"/>
        <v/>
      </c>
      <c r="Q1885" s="216" t="str">
        <f t="shared" si="175"/>
        <v/>
      </c>
      <c r="R1885" s="216" t="str">
        <f t="shared" si="176"/>
        <v/>
      </c>
      <c r="S1885" s="217" t="str">
        <f t="shared" si="177"/>
        <v/>
      </c>
    </row>
    <row r="1886" spans="1:19" ht="15.75" hidden="1" thickBot="1" x14ac:dyDescent="0.3">
      <c r="A1886" s="263"/>
      <c r="B1886" s="261"/>
      <c r="C1886" s="35"/>
      <c r="D1886" s="35"/>
      <c r="E1886" s="36"/>
      <c r="F1886" s="30" t="s">
        <v>416</v>
      </c>
      <c r="G1886" s="30" t="str">
        <f t="shared" si="178"/>
        <v/>
      </c>
      <c r="H1886" s="34"/>
      <c r="I1886" s="30"/>
      <c r="J1886" s="152">
        <v>0</v>
      </c>
      <c r="L1886" s="215"/>
      <c r="M1886" s="30"/>
      <c r="N1886" s="30" t="str">
        <f t="shared" si="179"/>
        <v/>
      </c>
      <c r="O1886" s="34"/>
      <c r="P1886" s="36" t="str">
        <f t="shared" si="174"/>
        <v/>
      </c>
      <c r="Q1886" s="216" t="str">
        <f t="shared" si="175"/>
        <v/>
      </c>
      <c r="R1886" s="216" t="str">
        <f t="shared" si="176"/>
        <v/>
      </c>
      <c r="S1886" s="217" t="str">
        <f t="shared" si="177"/>
        <v/>
      </c>
    </row>
    <row r="1887" spans="1:19" ht="15.75" hidden="1" thickBot="1" x14ac:dyDescent="0.3">
      <c r="A1887" s="256" t="s">
        <v>489</v>
      </c>
      <c r="B1887" s="259" t="str">
        <f>INDEX(Orçamentária!A:B,MATCH(Composições!A1887,Orçamentária!A:A,0),2)</f>
        <v>Difusor de ar retangular para insuflamento em uma direção 371 x 208 mm</v>
      </c>
      <c r="C1887" s="40"/>
      <c r="D1887" s="25" t="s">
        <v>16</v>
      </c>
      <c r="E1887" s="26"/>
      <c r="F1887" s="41" t="s">
        <v>416</v>
      </c>
      <c r="G1887" s="27" t="str">
        <f t="shared" si="178"/>
        <v/>
      </c>
      <c r="H1887" s="28"/>
      <c r="I1887" s="29"/>
      <c r="J1887" s="152">
        <v>0</v>
      </c>
      <c r="L1887" s="218"/>
      <c r="M1887" s="41"/>
      <c r="N1887" s="27" t="str">
        <f t="shared" si="179"/>
        <v/>
      </c>
      <c r="O1887" s="28"/>
      <c r="P1887" s="36" t="str">
        <f t="shared" si="174"/>
        <v/>
      </c>
      <c r="Q1887" s="216" t="str">
        <f t="shared" si="175"/>
        <v/>
      </c>
      <c r="R1887" s="216" t="str">
        <f t="shared" si="176"/>
        <v/>
      </c>
      <c r="S1887" s="217" t="str">
        <f t="shared" si="177"/>
        <v/>
      </c>
    </row>
    <row r="1888" spans="1:19" ht="15.75" hidden="1" thickBot="1" x14ac:dyDescent="0.3">
      <c r="A1888" s="262"/>
      <c r="B1888" s="260"/>
      <c r="C1888" s="31"/>
      <c r="D1888" s="31"/>
      <c r="E1888" s="32"/>
      <c r="F1888" s="42" t="s">
        <v>416</v>
      </c>
      <c r="G1888" s="30" t="str">
        <f t="shared" si="178"/>
        <v/>
      </c>
      <c r="H1888" s="34"/>
      <c r="I1888" s="30"/>
      <c r="J1888" s="152">
        <v>0</v>
      </c>
      <c r="L1888" s="219"/>
      <c r="M1888" s="42"/>
      <c r="N1888" s="30" t="str">
        <f t="shared" si="179"/>
        <v/>
      </c>
      <c r="O1888" s="34"/>
      <c r="P1888" s="36" t="str">
        <f t="shared" si="174"/>
        <v/>
      </c>
      <c r="Q1888" s="216" t="str">
        <f t="shared" si="175"/>
        <v/>
      </c>
      <c r="R1888" s="216" t="str">
        <f t="shared" si="176"/>
        <v/>
      </c>
      <c r="S1888" s="217" t="str">
        <f t="shared" si="177"/>
        <v/>
      </c>
    </row>
    <row r="1889" spans="1:19" ht="26.25" hidden="1" thickBot="1" x14ac:dyDescent="0.3">
      <c r="A1889" s="262"/>
      <c r="B1889" s="260"/>
      <c r="C1889" s="35" t="s">
        <v>2901</v>
      </c>
      <c r="D1889" s="35" t="s">
        <v>583</v>
      </c>
      <c r="E1889" s="36">
        <v>2.5</v>
      </c>
      <c r="F1889" s="30">
        <v>23.160999999999998</v>
      </c>
      <c r="G1889" s="30">
        <f t="shared" si="178"/>
        <v>57.902499999999996</v>
      </c>
      <c r="H1889" s="38">
        <f>SUM(G1889:G1891)</f>
        <v>130.86249999999998</v>
      </c>
      <c r="I1889" s="39"/>
      <c r="J1889" s="152">
        <v>0</v>
      </c>
      <c r="L1889" s="215">
        <v>2.5</v>
      </c>
      <c r="M1889" s="30">
        <v>19.825816</v>
      </c>
      <c r="N1889" s="30">
        <f t="shared" si="179"/>
        <v>49.564540000000001</v>
      </c>
      <c r="O1889" s="38">
        <f>SUM(N1889:N1891)</f>
        <v>112.0183</v>
      </c>
      <c r="P1889" s="36" t="str">
        <f t="shared" si="174"/>
        <v/>
      </c>
      <c r="Q1889" s="216">
        <f t="shared" si="175"/>
        <v>0.14399999999999991</v>
      </c>
      <c r="R1889" s="216">
        <f t="shared" si="176"/>
        <v>0.14399999999999991</v>
      </c>
      <c r="S1889" s="217">
        <f t="shared" si="177"/>
        <v>0.14399999999999991</v>
      </c>
    </row>
    <row r="1890" spans="1:19" ht="26.25" hidden="1" thickBot="1" x14ac:dyDescent="0.3">
      <c r="A1890" s="262"/>
      <c r="B1890" s="260"/>
      <c r="C1890" s="35" t="s">
        <v>462</v>
      </c>
      <c r="D1890" s="35" t="s">
        <v>583</v>
      </c>
      <c r="E1890" s="36">
        <v>2.5</v>
      </c>
      <c r="F1890" s="30">
        <v>29.183999999999997</v>
      </c>
      <c r="G1890" s="30">
        <f t="shared" si="178"/>
        <v>72.959999999999994</v>
      </c>
      <c r="H1890" s="34"/>
      <c r="I1890" s="30"/>
      <c r="J1890" s="152">
        <v>0</v>
      </c>
      <c r="L1890" s="215">
        <v>2.5</v>
      </c>
      <c r="M1890" s="30">
        <v>24.981503999999997</v>
      </c>
      <c r="N1890" s="30">
        <f t="shared" si="179"/>
        <v>62.453759999999996</v>
      </c>
      <c r="O1890" s="34"/>
      <c r="P1890" s="36" t="str">
        <f t="shared" si="174"/>
        <v/>
      </c>
      <c r="Q1890" s="216">
        <f t="shared" si="175"/>
        <v>0.14400000000000002</v>
      </c>
      <c r="R1890" s="216">
        <f t="shared" si="176"/>
        <v>0.14400000000000002</v>
      </c>
      <c r="S1890" s="217" t="str">
        <f t="shared" si="177"/>
        <v/>
      </c>
    </row>
    <row r="1891" spans="1:19" ht="39" hidden="1" thickBot="1" x14ac:dyDescent="0.3">
      <c r="A1891" s="262"/>
      <c r="B1891" s="260"/>
      <c r="C1891" s="35" t="s">
        <v>490</v>
      </c>
      <c r="D1891" s="35" t="s">
        <v>107</v>
      </c>
      <c r="E1891" s="36">
        <v>1</v>
      </c>
      <c r="F1891" s="33" t="s">
        <v>416</v>
      </c>
      <c r="G1891" s="30" t="str">
        <f t="shared" si="178"/>
        <v/>
      </c>
      <c r="H1891" s="34"/>
      <c r="I1891" s="30"/>
      <c r="J1891" s="152">
        <v>0</v>
      </c>
      <c r="L1891" s="215">
        <v>1</v>
      </c>
      <c r="M1891" s="33"/>
      <c r="N1891" s="30" t="str">
        <f t="shared" si="179"/>
        <v/>
      </c>
      <c r="O1891" s="34"/>
      <c r="P1891" s="36" t="str">
        <f t="shared" si="174"/>
        <v/>
      </c>
      <c r="Q1891" s="216" t="str">
        <f t="shared" si="175"/>
        <v/>
      </c>
      <c r="R1891" s="216" t="str">
        <f t="shared" si="176"/>
        <v/>
      </c>
      <c r="S1891" s="217" t="str">
        <f t="shared" si="177"/>
        <v/>
      </c>
    </row>
    <row r="1892" spans="1:19" ht="15.75" hidden="1" thickBot="1" x14ac:dyDescent="0.3">
      <c r="A1892" s="263"/>
      <c r="B1892" s="261"/>
      <c r="C1892" s="35"/>
      <c r="D1892" s="35"/>
      <c r="E1892" s="36"/>
      <c r="F1892" s="30" t="s">
        <v>416</v>
      </c>
      <c r="G1892" s="30" t="str">
        <f t="shared" si="178"/>
        <v/>
      </c>
      <c r="H1892" s="34"/>
      <c r="I1892" s="30"/>
      <c r="J1892" s="152">
        <v>0</v>
      </c>
      <c r="L1892" s="215"/>
      <c r="M1892" s="30"/>
      <c r="N1892" s="30" t="str">
        <f t="shared" si="179"/>
        <v/>
      </c>
      <c r="O1892" s="34"/>
      <c r="P1892" s="36" t="str">
        <f t="shared" si="174"/>
        <v/>
      </c>
      <c r="Q1892" s="216" t="str">
        <f t="shared" si="175"/>
        <v/>
      </c>
      <c r="R1892" s="216" t="str">
        <f t="shared" si="176"/>
        <v/>
      </c>
      <c r="S1892" s="217" t="str">
        <f t="shared" si="177"/>
        <v/>
      </c>
    </row>
    <row r="1893" spans="1:19" ht="15.75" hidden="1" thickBot="1" x14ac:dyDescent="0.3">
      <c r="A1893" s="256" t="s">
        <v>491</v>
      </c>
      <c r="B1893" s="259" t="str">
        <f>INDEX(Orçamentária!A:B,MATCH(Composições!A1893,Orçamentária!A:A,0),2)</f>
        <v>Grelha para retorno retangular 425 x 225 mm</v>
      </c>
      <c r="C1893" s="40"/>
      <c r="D1893" s="25" t="s">
        <v>16</v>
      </c>
      <c r="E1893" s="26"/>
      <c r="F1893" s="41" t="s">
        <v>416</v>
      </c>
      <c r="G1893" s="27" t="str">
        <f t="shared" si="178"/>
        <v/>
      </c>
      <c r="H1893" s="28"/>
      <c r="I1893" s="29"/>
      <c r="J1893" s="152">
        <v>0</v>
      </c>
      <c r="L1893" s="218"/>
      <c r="M1893" s="41"/>
      <c r="N1893" s="27" t="str">
        <f t="shared" si="179"/>
        <v/>
      </c>
      <c r="O1893" s="28"/>
      <c r="P1893" s="36" t="str">
        <f t="shared" si="174"/>
        <v/>
      </c>
      <c r="Q1893" s="216" t="str">
        <f t="shared" si="175"/>
        <v/>
      </c>
      <c r="R1893" s="216" t="str">
        <f t="shared" si="176"/>
        <v/>
      </c>
      <c r="S1893" s="217" t="str">
        <f t="shared" si="177"/>
        <v/>
      </c>
    </row>
    <row r="1894" spans="1:19" ht="15.75" hidden="1" thickBot="1" x14ac:dyDescent="0.3">
      <c r="A1894" s="262"/>
      <c r="B1894" s="260"/>
      <c r="C1894" s="31"/>
      <c r="D1894" s="31"/>
      <c r="E1894" s="32"/>
      <c r="F1894" s="42" t="s">
        <v>416</v>
      </c>
      <c r="G1894" s="30" t="str">
        <f t="shared" si="178"/>
        <v/>
      </c>
      <c r="H1894" s="34"/>
      <c r="I1894" s="30"/>
      <c r="J1894" s="152">
        <v>0</v>
      </c>
      <c r="L1894" s="219"/>
      <c r="M1894" s="42"/>
      <c r="N1894" s="30" t="str">
        <f t="shared" si="179"/>
        <v/>
      </c>
      <c r="O1894" s="34"/>
      <c r="P1894" s="36" t="str">
        <f t="shared" si="174"/>
        <v/>
      </c>
      <c r="Q1894" s="216" t="str">
        <f t="shared" si="175"/>
        <v/>
      </c>
      <c r="R1894" s="216" t="str">
        <f t="shared" si="176"/>
        <v/>
      </c>
      <c r="S1894" s="217" t="str">
        <f t="shared" si="177"/>
        <v/>
      </c>
    </row>
    <row r="1895" spans="1:19" ht="26.25" hidden="1" thickBot="1" x14ac:dyDescent="0.3">
      <c r="A1895" s="262"/>
      <c r="B1895" s="260"/>
      <c r="C1895" s="35" t="s">
        <v>2901</v>
      </c>
      <c r="D1895" s="35" t="s">
        <v>583</v>
      </c>
      <c r="E1895" s="36">
        <v>3.5</v>
      </c>
      <c r="F1895" s="30">
        <v>23.160999999999998</v>
      </c>
      <c r="G1895" s="33">
        <f t="shared" si="178"/>
        <v>81.063499999999991</v>
      </c>
      <c r="H1895" s="38">
        <f>SUM(G1895:G1897)</f>
        <v>183.20749999999998</v>
      </c>
      <c r="I1895" s="39"/>
      <c r="J1895" s="152">
        <v>0</v>
      </c>
      <c r="L1895" s="215">
        <v>3.5</v>
      </c>
      <c r="M1895" s="30">
        <v>19.825816</v>
      </c>
      <c r="N1895" s="33">
        <f t="shared" si="179"/>
        <v>69.390355999999997</v>
      </c>
      <c r="O1895" s="38">
        <f>SUM(N1895:N1897)</f>
        <v>156.82561999999999</v>
      </c>
      <c r="P1895" s="36" t="str">
        <f t="shared" si="174"/>
        <v/>
      </c>
      <c r="Q1895" s="216">
        <f t="shared" si="175"/>
        <v>0.14399999999999991</v>
      </c>
      <c r="R1895" s="216">
        <f t="shared" si="176"/>
        <v>0.14399999999999991</v>
      </c>
      <c r="S1895" s="217">
        <f t="shared" si="177"/>
        <v>0.14400000000000002</v>
      </c>
    </row>
    <row r="1896" spans="1:19" ht="26.25" hidden="1" thickBot="1" x14ac:dyDescent="0.3">
      <c r="A1896" s="262"/>
      <c r="B1896" s="260"/>
      <c r="C1896" s="35" t="s">
        <v>462</v>
      </c>
      <c r="D1896" s="35" t="s">
        <v>583</v>
      </c>
      <c r="E1896" s="36">
        <v>3.5</v>
      </c>
      <c r="F1896" s="30">
        <v>29.183999999999997</v>
      </c>
      <c r="G1896" s="33">
        <f t="shared" si="178"/>
        <v>102.14399999999999</v>
      </c>
      <c r="H1896" s="34"/>
      <c r="I1896" s="30"/>
      <c r="J1896" s="152">
        <v>0</v>
      </c>
      <c r="L1896" s="215">
        <v>3.5</v>
      </c>
      <c r="M1896" s="30">
        <v>24.981503999999997</v>
      </c>
      <c r="N1896" s="33">
        <f t="shared" si="179"/>
        <v>87.435263999999989</v>
      </c>
      <c r="O1896" s="34"/>
      <c r="P1896" s="36" t="str">
        <f t="shared" si="174"/>
        <v/>
      </c>
      <c r="Q1896" s="216">
        <f t="shared" si="175"/>
        <v>0.14400000000000002</v>
      </c>
      <c r="R1896" s="216">
        <f t="shared" si="176"/>
        <v>0.14400000000000002</v>
      </c>
      <c r="S1896" s="217" t="str">
        <f t="shared" si="177"/>
        <v/>
      </c>
    </row>
    <row r="1897" spans="1:19" ht="15.75" hidden="1" thickBot="1" x14ac:dyDescent="0.3">
      <c r="A1897" s="262"/>
      <c r="B1897" s="260"/>
      <c r="C1897" s="35" t="s">
        <v>492</v>
      </c>
      <c r="D1897" s="35" t="s">
        <v>107</v>
      </c>
      <c r="E1897" s="36">
        <v>1</v>
      </c>
      <c r="F1897" s="33">
        <v>0</v>
      </c>
      <c r="G1897" s="33">
        <f t="shared" si="178"/>
        <v>0</v>
      </c>
      <c r="H1897" s="34"/>
      <c r="I1897" s="30"/>
      <c r="J1897" s="152">
        <v>0</v>
      </c>
      <c r="L1897" s="215">
        <v>1</v>
      </c>
      <c r="M1897" s="33">
        <v>0</v>
      </c>
      <c r="N1897" s="33">
        <f t="shared" si="179"/>
        <v>0</v>
      </c>
      <c r="O1897" s="34"/>
      <c r="P1897" s="36" t="str">
        <f t="shared" si="174"/>
        <v/>
      </c>
      <c r="Q1897" s="216" t="e">
        <f t="shared" si="175"/>
        <v>#DIV/0!</v>
      </c>
      <c r="R1897" s="216" t="e">
        <f t="shared" si="176"/>
        <v>#DIV/0!</v>
      </c>
      <c r="S1897" s="217" t="str">
        <f t="shared" si="177"/>
        <v/>
      </c>
    </row>
    <row r="1898" spans="1:19" ht="15.75" hidden="1" thickBot="1" x14ac:dyDescent="0.3">
      <c r="A1898" s="263"/>
      <c r="B1898" s="261"/>
      <c r="C1898" s="35"/>
      <c r="D1898" s="35"/>
      <c r="E1898" s="36"/>
      <c r="F1898" s="30" t="s">
        <v>416</v>
      </c>
      <c r="G1898" s="30" t="str">
        <f t="shared" si="178"/>
        <v/>
      </c>
      <c r="H1898" s="34"/>
      <c r="I1898" s="30"/>
      <c r="J1898" s="152">
        <v>0</v>
      </c>
      <c r="L1898" s="215"/>
      <c r="M1898" s="30"/>
      <c r="N1898" s="30" t="str">
        <f t="shared" si="179"/>
        <v/>
      </c>
      <c r="O1898" s="34"/>
      <c r="P1898" s="36" t="str">
        <f t="shared" si="174"/>
        <v/>
      </c>
      <c r="Q1898" s="216" t="str">
        <f t="shared" si="175"/>
        <v/>
      </c>
      <c r="R1898" s="216" t="str">
        <f t="shared" si="176"/>
        <v/>
      </c>
      <c r="S1898" s="217" t="str">
        <f t="shared" si="177"/>
        <v/>
      </c>
    </row>
    <row r="1899" spans="1:19" ht="15.75" hidden="1" thickBot="1" x14ac:dyDescent="0.3">
      <c r="A1899" s="256" t="s">
        <v>493</v>
      </c>
      <c r="B1899" s="259" t="str">
        <f>INDEX(Orçamentária!A:B,MATCH(Composições!A1899,Orçamentária!A:A,0),2)</f>
        <v>Grelha para retorno retangular 525 x 325 mm</v>
      </c>
      <c r="C1899" s="40"/>
      <c r="D1899" s="25" t="s">
        <v>16</v>
      </c>
      <c r="E1899" s="26"/>
      <c r="F1899" s="41" t="s">
        <v>416</v>
      </c>
      <c r="G1899" s="27" t="str">
        <f t="shared" si="178"/>
        <v/>
      </c>
      <c r="H1899" s="28"/>
      <c r="I1899" s="29"/>
      <c r="J1899" s="152">
        <v>0</v>
      </c>
      <c r="L1899" s="218"/>
      <c r="M1899" s="41"/>
      <c r="N1899" s="27" t="str">
        <f t="shared" si="179"/>
        <v/>
      </c>
      <c r="O1899" s="28"/>
      <c r="P1899" s="36" t="str">
        <f t="shared" si="174"/>
        <v/>
      </c>
      <c r="Q1899" s="216" t="str">
        <f t="shared" si="175"/>
        <v/>
      </c>
      <c r="R1899" s="216" t="str">
        <f t="shared" si="176"/>
        <v/>
      </c>
      <c r="S1899" s="217" t="str">
        <f t="shared" si="177"/>
        <v/>
      </c>
    </row>
    <row r="1900" spans="1:19" ht="15.75" hidden="1" thickBot="1" x14ac:dyDescent="0.3">
      <c r="A1900" s="262"/>
      <c r="B1900" s="260"/>
      <c r="C1900" s="31"/>
      <c r="D1900" s="31"/>
      <c r="E1900" s="32"/>
      <c r="F1900" s="42" t="s">
        <v>416</v>
      </c>
      <c r="G1900" s="30" t="str">
        <f t="shared" si="178"/>
        <v/>
      </c>
      <c r="H1900" s="34"/>
      <c r="I1900" s="30"/>
      <c r="J1900" s="152">
        <v>0</v>
      </c>
      <c r="L1900" s="219"/>
      <c r="M1900" s="42"/>
      <c r="N1900" s="30" t="str">
        <f t="shared" si="179"/>
        <v/>
      </c>
      <c r="O1900" s="34"/>
      <c r="P1900" s="36" t="str">
        <f t="shared" si="174"/>
        <v/>
      </c>
      <c r="Q1900" s="216" t="str">
        <f t="shared" si="175"/>
        <v/>
      </c>
      <c r="R1900" s="216" t="str">
        <f t="shared" si="176"/>
        <v/>
      </c>
      <c r="S1900" s="217" t="str">
        <f t="shared" si="177"/>
        <v/>
      </c>
    </row>
    <row r="1901" spans="1:19" ht="26.25" hidden="1" thickBot="1" x14ac:dyDescent="0.3">
      <c r="A1901" s="262"/>
      <c r="B1901" s="260"/>
      <c r="C1901" s="35" t="s">
        <v>2901</v>
      </c>
      <c r="D1901" s="35" t="s">
        <v>583</v>
      </c>
      <c r="E1901" s="36">
        <v>3.5</v>
      </c>
      <c r="F1901" s="30">
        <v>23.160999999999998</v>
      </c>
      <c r="G1901" s="30">
        <f t="shared" si="178"/>
        <v>81.063499999999991</v>
      </c>
      <c r="H1901" s="38">
        <f>SUM(G1901:G1903)</f>
        <v>183.20749999999998</v>
      </c>
      <c r="I1901" s="39"/>
      <c r="J1901" s="152">
        <v>0</v>
      </c>
      <c r="L1901" s="215">
        <v>3.5</v>
      </c>
      <c r="M1901" s="30">
        <v>19.825816</v>
      </c>
      <c r="N1901" s="30">
        <f t="shared" si="179"/>
        <v>69.390355999999997</v>
      </c>
      <c r="O1901" s="38">
        <f>SUM(N1901:N1903)</f>
        <v>156.82561999999999</v>
      </c>
      <c r="P1901" s="36" t="str">
        <f t="shared" si="174"/>
        <v/>
      </c>
      <c r="Q1901" s="216">
        <f t="shared" si="175"/>
        <v>0.14399999999999991</v>
      </c>
      <c r="R1901" s="216">
        <f t="shared" si="176"/>
        <v>0.14399999999999991</v>
      </c>
      <c r="S1901" s="217">
        <f t="shared" si="177"/>
        <v>0.14400000000000002</v>
      </c>
    </row>
    <row r="1902" spans="1:19" ht="26.25" hidden="1" thickBot="1" x14ac:dyDescent="0.3">
      <c r="A1902" s="262"/>
      <c r="B1902" s="260"/>
      <c r="C1902" s="35" t="s">
        <v>462</v>
      </c>
      <c r="D1902" s="35" t="s">
        <v>583</v>
      </c>
      <c r="E1902" s="36">
        <v>3.5</v>
      </c>
      <c r="F1902" s="30">
        <v>29.183999999999997</v>
      </c>
      <c r="G1902" s="30">
        <f t="shared" si="178"/>
        <v>102.14399999999999</v>
      </c>
      <c r="H1902" s="34"/>
      <c r="I1902" s="30"/>
      <c r="J1902" s="152">
        <v>0</v>
      </c>
      <c r="L1902" s="215">
        <v>3.5</v>
      </c>
      <c r="M1902" s="30">
        <v>24.981503999999997</v>
      </c>
      <c r="N1902" s="30">
        <f t="shared" si="179"/>
        <v>87.435263999999989</v>
      </c>
      <c r="O1902" s="34"/>
      <c r="P1902" s="36" t="str">
        <f t="shared" si="174"/>
        <v/>
      </c>
      <c r="Q1902" s="216">
        <f t="shared" si="175"/>
        <v>0.14400000000000002</v>
      </c>
      <c r="R1902" s="216">
        <f t="shared" si="176"/>
        <v>0.14400000000000002</v>
      </c>
      <c r="S1902" s="217" t="str">
        <f t="shared" si="177"/>
        <v/>
      </c>
    </row>
    <row r="1903" spans="1:19" ht="15.75" hidden="1" thickBot="1" x14ac:dyDescent="0.3">
      <c r="A1903" s="262"/>
      <c r="B1903" s="260"/>
      <c r="C1903" s="35" t="s">
        <v>494</v>
      </c>
      <c r="D1903" s="35" t="s">
        <v>107</v>
      </c>
      <c r="E1903" s="36">
        <v>1</v>
      </c>
      <c r="F1903" s="30">
        <v>0</v>
      </c>
      <c r="G1903" s="30">
        <f t="shared" si="178"/>
        <v>0</v>
      </c>
      <c r="H1903" s="34"/>
      <c r="I1903" s="30"/>
      <c r="J1903" s="152">
        <v>0</v>
      </c>
      <c r="L1903" s="215">
        <v>1</v>
      </c>
      <c r="M1903" s="30">
        <v>0</v>
      </c>
      <c r="N1903" s="30">
        <f t="shared" si="179"/>
        <v>0</v>
      </c>
      <c r="O1903" s="34"/>
      <c r="P1903" s="36" t="str">
        <f t="shared" si="174"/>
        <v/>
      </c>
      <c r="Q1903" s="216" t="e">
        <f t="shared" si="175"/>
        <v>#DIV/0!</v>
      </c>
      <c r="R1903" s="216" t="e">
        <f t="shared" si="176"/>
        <v>#DIV/0!</v>
      </c>
      <c r="S1903" s="217" t="str">
        <f t="shared" si="177"/>
        <v/>
      </c>
    </row>
    <row r="1904" spans="1:19" ht="15.75" hidden="1" thickBot="1" x14ac:dyDescent="0.3">
      <c r="A1904" s="263"/>
      <c r="B1904" s="261"/>
      <c r="C1904" s="35"/>
      <c r="D1904" s="35"/>
      <c r="E1904" s="36"/>
      <c r="F1904" s="30" t="s">
        <v>416</v>
      </c>
      <c r="G1904" s="30" t="str">
        <f t="shared" si="178"/>
        <v/>
      </c>
      <c r="H1904" s="34"/>
      <c r="I1904" s="30"/>
      <c r="J1904" s="152">
        <v>0</v>
      </c>
      <c r="L1904" s="215"/>
      <c r="M1904" s="30"/>
      <c r="N1904" s="30" t="str">
        <f t="shared" si="179"/>
        <v/>
      </c>
      <c r="O1904" s="34"/>
      <c r="P1904" s="36" t="str">
        <f t="shared" si="174"/>
        <v/>
      </c>
      <c r="Q1904" s="216" t="str">
        <f t="shared" si="175"/>
        <v/>
      </c>
      <c r="R1904" s="216" t="str">
        <f t="shared" si="176"/>
        <v/>
      </c>
      <c r="S1904" s="217" t="str">
        <f t="shared" si="177"/>
        <v/>
      </c>
    </row>
    <row r="1905" spans="1:19" ht="15.75" hidden="1" thickBot="1" x14ac:dyDescent="0.3">
      <c r="A1905" s="256" t="s">
        <v>495</v>
      </c>
      <c r="B1905" s="259" t="str">
        <f>INDEX(Orçamentária!A:B,MATCH(Composições!A1905,Orçamentária!A:A,0),2)</f>
        <v>Instalação de difusores, grelhas e acessórios de climatização reaproveitados</v>
      </c>
      <c r="C1905" s="40"/>
      <c r="D1905" s="25" t="s">
        <v>16</v>
      </c>
      <c r="E1905" s="26"/>
      <c r="F1905" s="41" t="s">
        <v>416</v>
      </c>
      <c r="G1905" s="27" t="str">
        <f t="shared" si="178"/>
        <v/>
      </c>
      <c r="H1905" s="28"/>
      <c r="I1905" s="29"/>
      <c r="J1905" s="152">
        <v>0</v>
      </c>
      <c r="L1905" s="218"/>
      <c r="M1905" s="41"/>
      <c r="N1905" s="27" t="str">
        <f t="shared" si="179"/>
        <v/>
      </c>
      <c r="O1905" s="28"/>
      <c r="P1905" s="36" t="str">
        <f t="shared" si="174"/>
        <v/>
      </c>
      <c r="Q1905" s="216" t="str">
        <f t="shared" si="175"/>
        <v/>
      </c>
      <c r="R1905" s="216" t="str">
        <f t="shared" si="176"/>
        <v/>
      </c>
      <c r="S1905" s="217" t="str">
        <f t="shared" si="177"/>
        <v/>
      </c>
    </row>
    <row r="1906" spans="1:19" ht="15.75" hidden="1" thickBot="1" x14ac:dyDescent="0.3">
      <c r="A1906" s="262"/>
      <c r="B1906" s="260"/>
      <c r="C1906" s="31"/>
      <c r="D1906" s="31"/>
      <c r="E1906" s="32"/>
      <c r="F1906" s="42" t="s">
        <v>416</v>
      </c>
      <c r="G1906" s="30" t="str">
        <f t="shared" si="178"/>
        <v/>
      </c>
      <c r="H1906" s="34"/>
      <c r="I1906" s="30"/>
      <c r="J1906" s="152">
        <v>0</v>
      </c>
      <c r="L1906" s="219"/>
      <c r="M1906" s="42"/>
      <c r="N1906" s="30" t="str">
        <f t="shared" si="179"/>
        <v/>
      </c>
      <c r="O1906" s="34"/>
      <c r="P1906" s="36" t="str">
        <f t="shared" si="174"/>
        <v/>
      </c>
      <c r="Q1906" s="216" t="str">
        <f t="shared" si="175"/>
        <v/>
      </c>
      <c r="R1906" s="216" t="str">
        <f t="shared" si="176"/>
        <v/>
      </c>
      <c r="S1906" s="217" t="str">
        <f t="shared" si="177"/>
        <v/>
      </c>
    </row>
    <row r="1907" spans="1:19" ht="26.25" hidden="1" thickBot="1" x14ac:dyDescent="0.3">
      <c r="A1907" s="262"/>
      <c r="B1907" s="260"/>
      <c r="C1907" s="35" t="s">
        <v>2901</v>
      </c>
      <c r="D1907" s="35" t="s">
        <v>583</v>
      </c>
      <c r="E1907" s="36">
        <v>2.5</v>
      </c>
      <c r="F1907" s="30">
        <v>23.160999999999998</v>
      </c>
      <c r="G1907" s="30">
        <f t="shared" si="178"/>
        <v>57.902499999999996</v>
      </c>
      <c r="H1907" s="38">
        <f>SUM(G1907:G1908)</f>
        <v>130.86249999999998</v>
      </c>
      <c r="I1907" s="39"/>
      <c r="J1907" s="152">
        <v>0</v>
      </c>
      <c r="L1907" s="215">
        <v>2.5</v>
      </c>
      <c r="M1907" s="30">
        <v>19.825816</v>
      </c>
      <c r="N1907" s="30">
        <f t="shared" si="179"/>
        <v>49.564540000000001</v>
      </c>
      <c r="O1907" s="38">
        <f>SUM(N1907:N1908)</f>
        <v>112.0183</v>
      </c>
      <c r="P1907" s="36" t="str">
        <f t="shared" si="174"/>
        <v/>
      </c>
      <c r="Q1907" s="216">
        <f t="shared" si="175"/>
        <v>0.14399999999999991</v>
      </c>
      <c r="R1907" s="216">
        <f t="shared" si="176"/>
        <v>0.14399999999999991</v>
      </c>
      <c r="S1907" s="217">
        <f t="shared" si="177"/>
        <v>0.14399999999999991</v>
      </c>
    </row>
    <row r="1908" spans="1:19" ht="26.25" hidden="1" thickBot="1" x14ac:dyDescent="0.3">
      <c r="A1908" s="262"/>
      <c r="B1908" s="260"/>
      <c r="C1908" s="35" t="s">
        <v>462</v>
      </c>
      <c r="D1908" s="35" t="s">
        <v>583</v>
      </c>
      <c r="E1908" s="36">
        <v>2.5</v>
      </c>
      <c r="F1908" s="30">
        <v>29.183999999999997</v>
      </c>
      <c r="G1908" s="30">
        <f t="shared" si="178"/>
        <v>72.959999999999994</v>
      </c>
      <c r="H1908" s="34"/>
      <c r="I1908" s="30"/>
      <c r="J1908" s="152">
        <v>0</v>
      </c>
      <c r="L1908" s="215">
        <v>2.5</v>
      </c>
      <c r="M1908" s="30">
        <v>24.981503999999997</v>
      </c>
      <c r="N1908" s="30">
        <f t="shared" si="179"/>
        <v>62.453759999999996</v>
      </c>
      <c r="O1908" s="34"/>
      <c r="P1908" s="36" t="str">
        <f t="shared" si="174"/>
        <v/>
      </c>
      <c r="Q1908" s="216">
        <f t="shared" si="175"/>
        <v>0.14400000000000002</v>
      </c>
      <c r="R1908" s="216">
        <f t="shared" si="176"/>
        <v>0.14400000000000002</v>
      </c>
      <c r="S1908" s="217" t="str">
        <f t="shared" si="177"/>
        <v/>
      </c>
    </row>
    <row r="1909" spans="1:19" ht="15.75" hidden="1" thickBot="1" x14ac:dyDescent="0.3">
      <c r="A1909" s="263"/>
      <c r="B1909" s="261"/>
      <c r="C1909" s="35"/>
      <c r="D1909" s="35"/>
      <c r="E1909" s="36"/>
      <c r="F1909" s="30" t="s">
        <v>416</v>
      </c>
      <c r="G1909" s="30" t="str">
        <f t="shared" si="178"/>
        <v/>
      </c>
      <c r="H1909" s="34"/>
      <c r="I1909" s="30"/>
      <c r="J1909" s="152">
        <v>0</v>
      </c>
      <c r="L1909" s="215"/>
      <c r="M1909" s="30"/>
      <c r="N1909" s="30" t="str">
        <f t="shared" si="179"/>
        <v/>
      </c>
      <c r="O1909" s="34"/>
      <c r="P1909" s="36" t="str">
        <f t="shared" si="174"/>
        <v/>
      </c>
      <c r="Q1909" s="216" t="str">
        <f t="shared" si="175"/>
        <v/>
      </c>
      <c r="R1909" s="216" t="str">
        <f t="shared" si="176"/>
        <v/>
      </c>
      <c r="S1909" s="217" t="str">
        <f t="shared" si="177"/>
        <v/>
      </c>
    </row>
    <row r="1910" spans="1:19" ht="15.75" hidden="1" thickBot="1" x14ac:dyDescent="0.3">
      <c r="A1910" s="256" t="s">
        <v>496</v>
      </c>
      <c r="B1910" s="259" t="str">
        <f>INDEX(Orçamentária!A:B,MATCH(Composições!A1910,Orçamentária!A:A,0),2)</f>
        <v>Instalação de exaustor reaproveitado</v>
      </c>
      <c r="C1910" s="40"/>
      <c r="D1910" s="25" t="s">
        <v>16</v>
      </c>
      <c r="E1910" s="26"/>
      <c r="F1910" s="41" t="s">
        <v>416</v>
      </c>
      <c r="G1910" s="27" t="str">
        <f t="shared" si="178"/>
        <v/>
      </c>
      <c r="H1910" s="28"/>
      <c r="I1910" s="29"/>
      <c r="J1910" s="152">
        <v>0</v>
      </c>
      <c r="L1910" s="218"/>
      <c r="M1910" s="41"/>
      <c r="N1910" s="27" t="str">
        <f t="shared" si="179"/>
        <v/>
      </c>
      <c r="O1910" s="28"/>
      <c r="P1910" s="36" t="str">
        <f t="shared" si="174"/>
        <v/>
      </c>
      <c r="Q1910" s="216" t="str">
        <f t="shared" si="175"/>
        <v/>
      </c>
      <c r="R1910" s="216" t="str">
        <f t="shared" si="176"/>
        <v/>
      </c>
      <c r="S1910" s="217" t="str">
        <f t="shared" si="177"/>
        <v/>
      </c>
    </row>
    <row r="1911" spans="1:19" ht="15.75" hidden="1" thickBot="1" x14ac:dyDescent="0.3">
      <c r="A1911" s="262"/>
      <c r="B1911" s="260"/>
      <c r="C1911" s="31"/>
      <c r="D1911" s="31"/>
      <c r="E1911" s="32"/>
      <c r="F1911" s="42" t="s">
        <v>416</v>
      </c>
      <c r="G1911" s="30" t="str">
        <f t="shared" si="178"/>
        <v/>
      </c>
      <c r="H1911" s="34"/>
      <c r="I1911" s="30"/>
      <c r="J1911" s="152">
        <v>0</v>
      </c>
      <c r="L1911" s="219"/>
      <c r="M1911" s="42"/>
      <c r="N1911" s="30" t="str">
        <f t="shared" si="179"/>
        <v/>
      </c>
      <c r="O1911" s="34"/>
      <c r="P1911" s="36" t="str">
        <f t="shared" si="174"/>
        <v/>
      </c>
      <c r="Q1911" s="216" t="str">
        <f t="shared" si="175"/>
        <v/>
      </c>
      <c r="R1911" s="216" t="str">
        <f t="shared" si="176"/>
        <v/>
      </c>
      <c r="S1911" s="217" t="str">
        <f t="shared" si="177"/>
        <v/>
      </c>
    </row>
    <row r="1912" spans="1:19" ht="15.75" hidden="1" thickBot="1" x14ac:dyDescent="0.3">
      <c r="A1912" s="262"/>
      <c r="B1912" s="260"/>
      <c r="C1912" s="35" t="s">
        <v>1018</v>
      </c>
      <c r="D1912" s="35" t="s">
        <v>583</v>
      </c>
      <c r="E1912" s="36">
        <v>1</v>
      </c>
      <c r="F1912" s="30">
        <v>27.835000000000001</v>
      </c>
      <c r="G1912" s="33">
        <f t="shared" si="178"/>
        <v>27.835000000000001</v>
      </c>
      <c r="H1912" s="38">
        <f>SUM(G1912:G1913)</f>
        <v>49.418999999999997</v>
      </c>
      <c r="I1912" s="39"/>
      <c r="J1912" s="152">
        <v>0</v>
      </c>
      <c r="L1912" s="215">
        <v>1</v>
      </c>
      <c r="M1912" s="30">
        <v>23.82676</v>
      </c>
      <c r="N1912" s="33">
        <f t="shared" si="179"/>
        <v>23.82676</v>
      </c>
      <c r="O1912" s="38">
        <f>SUM(N1912:N1913)</f>
        <v>42.302664</v>
      </c>
      <c r="P1912" s="36" t="str">
        <f t="shared" si="174"/>
        <v/>
      </c>
      <c r="Q1912" s="216">
        <f t="shared" si="175"/>
        <v>0.14400000000000002</v>
      </c>
      <c r="R1912" s="216">
        <f t="shared" si="176"/>
        <v>0.14400000000000002</v>
      </c>
      <c r="S1912" s="217">
        <f t="shared" si="177"/>
        <v>0.14399999999999991</v>
      </c>
    </row>
    <row r="1913" spans="1:19" ht="15.75" hidden="1" thickBot="1" x14ac:dyDescent="0.3">
      <c r="A1913" s="262"/>
      <c r="B1913" s="260"/>
      <c r="C1913" s="35" t="s">
        <v>1017</v>
      </c>
      <c r="D1913" s="35" t="s">
        <v>583</v>
      </c>
      <c r="E1913" s="36">
        <v>1</v>
      </c>
      <c r="F1913" s="30">
        <v>21.584</v>
      </c>
      <c r="G1913" s="33">
        <f t="shared" si="178"/>
        <v>21.584</v>
      </c>
      <c r="H1913" s="34"/>
      <c r="I1913" s="30"/>
      <c r="J1913" s="152">
        <v>0</v>
      </c>
      <c r="L1913" s="215">
        <v>1</v>
      </c>
      <c r="M1913" s="30">
        <v>18.475904</v>
      </c>
      <c r="N1913" s="33">
        <f t="shared" si="179"/>
        <v>18.475904</v>
      </c>
      <c r="O1913" s="34"/>
      <c r="P1913" s="36" t="str">
        <f t="shared" si="174"/>
        <v/>
      </c>
      <c r="Q1913" s="216">
        <f t="shared" si="175"/>
        <v>0.14400000000000002</v>
      </c>
      <c r="R1913" s="216">
        <f t="shared" si="176"/>
        <v>0.14400000000000002</v>
      </c>
      <c r="S1913" s="217" t="str">
        <f t="shared" si="177"/>
        <v/>
      </c>
    </row>
    <row r="1914" spans="1:19" ht="15.75" hidden="1" thickBot="1" x14ac:dyDescent="0.3">
      <c r="A1914" s="263"/>
      <c r="B1914" s="261"/>
      <c r="C1914" s="35"/>
      <c r="D1914" s="35"/>
      <c r="E1914" s="36"/>
      <c r="F1914" s="30" t="s">
        <v>416</v>
      </c>
      <c r="G1914" s="30" t="str">
        <f t="shared" si="178"/>
        <v/>
      </c>
      <c r="H1914" s="34"/>
      <c r="I1914" s="30"/>
      <c r="J1914" s="152">
        <v>0</v>
      </c>
      <c r="L1914" s="215"/>
      <c r="M1914" s="30"/>
      <c r="N1914" s="30" t="str">
        <f t="shared" si="179"/>
        <v/>
      </c>
      <c r="O1914" s="34"/>
      <c r="P1914" s="36" t="str">
        <f t="shared" si="174"/>
        <v/>
      </c>
      <c r="Q1914" s="216" t="str">
        <f t="shared" si="175"/>
        <v/>
      </c>
      <c r="R1914" s="216" t="str">
        <f t="shared" si="176"/>
        <v/>
      </c>
      <c r="S1914" s="217" t="str">
        <f t="shared" si="177"/>
        <v/>
      </c>
    </row>
    <row r="1915" spans="1:19" ht="15.75" hidden="1" thickBot="1" x14ac:dyDescent="0.3">
      <c r="A1915" s="256" t="s">
        <v>497</v>
      </c>
      <c r="B1915" s="259" t="str">
        <f>INDEX(Orçamentária!A:B,MATCH(Composições!A1915,Orçamentária!A:A,0),2)</f>
        <v>Preparação para instalação de difusores/grelhas de ar em portas</v>
      </c>
      <c r="C1915" s="40"/>
      <c r="D1915" s="25" t="s">
        <v>16</v>
      </c>
      <c r="E1915" s="26"/>
      <c r="F1915" s="41" t="s">
        <v>416</v>
      </c>
      <c r="G1915" s="27" t="str">
        <f t="shared" si="178"/>
        <v/>
      </c>
      <c r="H1915" s="28"/>
      <c r="I1915" s="29"/>
      <c r="J1915" s="152">
        <v>0</v>
      </c>
      <c r="L1915" s="218"/>
      <c r="M1915" s="41"/>
      <c r="N1915" s="27" t="str">
        <f t="shared" si="179"/>
        <v/>
      </c>
      <c r="O1915" s="28"/>
      <c r="P1915" s="36" t="str">
        <f t="shared" si="174"/>
        <v/>
      </c>
      <c r="Q1915" s="216" t="str">
        <f t="shared" si="175"/>
        <v/>
      </c>
      <c r="R1915" s="216" t="str">
        <f t="shared" si="176"/>
        <v/>
      </c>
      <c r="S1915" s="217" t="str">
        <f t="shared" si="177"/>
        <v/>
      </c>
    </row>
    <row r="1916" spans="1:19" ht="15.75" hidden="1" thickBot="1" x14ac:dyDescent="0.3">
      <c r="A1916" s="262"/>
      <c r="B1916" s="260"/>
      <c r="C1916" s="31"/>
      <c r="D1916" s="31"/>
      <c r="E1916" s="32"/>
      <c r="F1916" s="42" t="s">
        <v>416</v>
      </c>
      <c r="G1916" s="30" t="str">
        <f t="shared" si="178"/>
        <v/>
      </c>
      <c r="H1916" s="34"/>
      <c r="I1916" s="30"/>
      <c r="J1916" s="152">
        <v>0</v>
      </c>
      <c r="L1916" s="219"/>
      <c r="M1916" s="42"/>
      <c r="N1916" s="30" t="str">
        <f t="shared" si="179"/>
        <v/>
      </c>
      <c r="O1916" s="34"/>
      <c r="P1916" s="36" t="str">
        <f t="shared" si="174"/>
        <v/>
      </c>
      <c r="Q1916" s="216" t="str">
        <f t="shared" si="175"/>
        <v/>
      </c>
      <c r="R1916" s="216" t="str">
        <f t="shared" si="176"/>
        <v/>
      </c>
      <c r="S1916" s="217" t="str">
        <f t="shared" si="177"/>
        <v/>
      </c>
    </row>
    <row r="1917" spans="1:19" ht="15.75" hidden="1" thickBot="1" x14ac:dyDescent="0.3">
      <c r="A1917" s="262"/>
      <c r="B1917" s="260"/>
      <c r="C1917" s="35" t="s">
        <v>2905</v>
      </c>
      <c r="D1917" s="35" t="s">
        <v>583</v>
      </c>
      <c r="E1917" s="36">
        <v>0.75</v>
      </c>
      <c r="F1917" s="30">
        <v>25.4315</v>
      </c>
      <c r="G1917" s="33">
        <f t="shared" si="178"/>
        <v>19.073625</v>
      </c>
      <c r="H1917" s="38">
        <f>SUM(G1917:G1918)</f>
        <v>35.076374999999999</v>
      </c>
      <c r="I1917" s="39"/>
      <c r="J1917" s="152">
        <v>0</v>
      </c>
      <c r="L1917" s="215">
        <v>0.75</v>
      </c>
      <c r="M1917" s="30">
        <v>21.769363999999999</v>
      </c>
      <c r="N1917" s="33">
        <f t="shared" si="179"/>
        <v>16.327023000000001</v>
      </c>
      <c r="O1917" s="38">
        <f>SUM(N1917:N1918)</f>
        <v>30.025377000000002</v>
      </c>
      <c r="P1917" s="36" t="str">
        <f t="shared" si="174"/>
        <v/>
      </c>
      <c r="Q1917" s="216">
        <f t="shared" si="175"/>
        <v>0.14400000000000002</v>
      </c>
      <c r="R1917" s="216">
        <f t="shared" si="176"/>
        <v>0.14400000000000002</v>
      </c>
      <c r="S1917" s="217">
        <f t="shared" si="177"/>
        <v>0.14399999999999991</v>
      </c>
    </row>
    <row r="1918" spans="1:19" ht="15.75" hidden="1" thickBot="1" x14ac:dyDescent="0.3">
      <c r="A1918" s="262"/>
      <c r="B1918" s="260"/>
      <c r="C1918" s="35" t="s">
        <v>660</v>
      </c>
      <c r="D1918" s="35" t="s">
        <v>583</v>
      </c>
      <c r="E1918" s="36">
        <v>0.75</v>
      </c>
      <c r="F1918" s="30">
        <v>21.337</v>
      </c>
      <c r="G1918" s="33">
        <f t="shared" si="178"/>
        <v>16.002749999999999</v>
      </c>
      <c r="H1918" s="34"/>
      <c r="I1918" s="30"/>
      <c r="J1918" s="152">
        <v>0</v>
      </c>
      <c r="L1918" s="215">
        <v>0.75</v>
      </c>
      <c r="M1918" s="30">
        <v>18.264472000000001</v>
      </c>
      <c r="N1918" s="33">
        <f t="shared" si="179"/>
        <v>13.698354000000002</v>
      </c>
      <c r="O1918" s="34"/>
      <c r="P1918" s="36" t="str">
        <f t="shared" si="174"/>
        <v/>
      </c>
      <c r="Q1918" s="216">
        <f t="shared" si="175"/>
        <v>0.14399999999999991</v>
      </c>
      <c r="R1918" s="216">
        <f t="shared" si="176"/>
        <v>0.14399999999999979</v>
      </c>
      <c r="S1918" s="217" t="str">
        <f t="shared" si="177"/>
        <v/>
      </c>
    </row>
    <row r="1919" spans="1:19" ht="15.75" hidden="1" thickBot="1" x14ac:dyDescent="0.3">
      <c r="A1919" s="263"/>
      <c r="B1919" s="261"/>
      <c r="C1919" s="35"/>
      <c r="D1919" s="35"/>
      <c r="E1919" s="36"/>
      <c r="F1919" s="30" t="s">
        <v>416</v>
      </c>
      <c r="G1919" s="30" t="str">
        <f t="shared" si="178"/>
        <v/>
      </c>
      <c r="H1919" s="34"/>
      <c r="I1919" s="30"/>
      <c r="J1919" s="152">
        <v>0</v>
      </c>
      <c r="L1919" s="215"/>
      <c r="M1919" s="30"/>
      <c r="N1919" s="30" t="str">
        <f t="shared" si="179"/>
        <v/>
      </c>
      <c r="O1919" s="34"/>
      <c r="P1919" s="36" t="str">
        <f t="shared" si="174"/>
        <v/>
      </c>
      <c r="Q1919" s="216" t="str">
        <f t="shared" si="175"/>
        <v/>
      </c>
      <c r="R1919" s="216" t="str">
        <f t="shared" si="176"/>
        <v/>
      </c>
      <c r="S1919" s="217" t="str">
        <f t="shared" si="177"/>
        <v/>
      </c>
    </row>
    <row r="1920" spans="1:19" ht="15.75" hidden="1" thickBot="1" x14ac:dyDescent="0.3">
      <c r="A1920" s="256" t="s">
        <v>498</v>
      </c>
      <c r="B1920" s="259" t="str">
        <f>INDEX(Orçamentária!A:B,MATCH(Composições!A1920,Orçamentária!A:A,0),2)</f>
        <v>Bomba para condensado de ar-condicionado para instalação oculta</v>
      </c>
      <c r="C1920" s="40"/>
      <c r="D1920" s="25" t="s">
        <v>16</v>
      </c>
      <c r="E1920" s="26"/>
      <c r="F1920" s="41" t="s">
        <v>416</v>
      </c>
      <c r="G1920" s="27" t="str">
        <f t="shared" si="178"/>
        <v/>
      </c>
      <c r="H1920" s="28"/>
      <c r="I1920" s="29"/>
      <c r="J1920" s="152">
        <v>0</v>
      </c>
      <c r="L1920" s="218"/>
      <c r="M1920" s="41"/>
      <c r="N1920" s="27" t="str">
        <f t="shared" si="179"/>
        <v/>
      </c>
      <c r="O1920" s="28"/>
      <c r="P1920" s="36" t="str">
        <f t="shared" si="174"/>
        <v/>
      </c>
      <c r="Q1920" s="216" t="str">
        <f t="shared" si="175"/>
        <v/>
      </c>
      <c r="R1920" s="216" t="str">
        <f t="shared" si="176"/>
        <v/>
      </c>
      <c r="S1920" s="217" t="str">
        <f t="shared" si="177"/>
        <v/>
      </c>
    </row>
    <row r="1921" spans="1:19" ht="15.75" hidden="1" thickBot="1" x14ac:dyDescent="0.3">
      <c r="A1921" s="262"/>
      <c r="B1921" s="260"/>
      <c r="C1921" s="31"/>
      <c r="D1921" s="31"/>
      <c r="E1921" s="32"/>
      <c r="F1921" s="42" t="s">
        <v>416</v>
      </c>
      <c r="G1921" s="30" t="str">
        <f t="shared" si="178"/>
        <v/>
      </c>
      <c r="H1921" s="34"/>
      <c r="I1921" s="30"/>
      <c r="J1921" s="152">
        <v>0</v>
      </c>
      <c r="L1921" s="219"/>
      <c r="M1921" s="42"/>
      <c r="N1921" s="30" t="str">
        <f t="shared" si="179"/>
        <v/>
      </c>
      <c r="O1921" s="34"/>
      <c r="P1921" s="36" t="str">
        <f t="shared" si="174"/>
        <v/>
      </c>
      <c r="Q1921" s="216" t="str">
        <f t="shared" si="175"/>
        <v/>
      </c>
      <c r="R1921" s="216" t="str">
        <f t="shared" si="176"/>
        <v/>
      </c>
      <c r="S1921" s="217" t="str">
        <f t="shared" si="177"/>
        <v/>
      </c>
    </row>
    <row r="1922" spans="1:19" ht="26.25" hidden="1" thickBot="1" x14ac:dyDescent="0.3">
      <c r="A1922" s="262"/>
      <c r="B1922" s="260"/>
      <c r="C1922" s="35" t="s">
        <v>824</v>
      </c>
      <c r="D1922" s="35" t="s">
        <v>583</v>
      </c>
      <c r="E1922" s="36">
        <v>0.5</v>
      </c>
      <c r="F1922" s="30">
        <v>21.166</v>
      </c>
      <c r="G1922" s="33">
        <f t="shared" si="178"/>
        <v>10.583</v>
      </c>
      <c r="H1922" s="38">
        <f>SUM(G1922:G1924)</f>
        <v>23.982749999999999</v>
      </c>
      <c r="I1922" s="39"/>
      <c r="J1922" s="152">
        <v>0</v>
      </c>
      <c r="L1922" s="215">
        <v>0.5</v>
      </c>
      <c r="M1922" s="30">
        <v>18.118096000000001</v>
      </c>
      <c r="N1922" s="33">
        <f t="shared" si="179"/>
        <v>9.0590480000000007</v>
      </c>
      <c r="O1922" s="38">
        <f>SUM(N1922:N1924)</f>
        <v>20.529234000000002</v>
      </c>
      <c r="P1922" s="36" t="str">
        <f t="shared" si="174"/>
        <v/>
      </c>
      <c r="Q1922" s="216">
        <f t="shared" si="175"/>
        <v>0.14399999999999991</v>
      </c>
      <c r="R1922" s="216">
        <f t="shared" si="176"/>
        <v>0.14399999999999991</v>
      </c>
      <c r="S1922" s="217">
        <f t="shared" si="177"/>
        <v>0.14399999999999991</v>
      </c>
    </row>
    <row r="1923" spans="1:19" ht="26.25" hidden="1" thickBot="1" x14ac:dyDescent="0.3">
      <c r="A1923" s="262"/>
      <c r="B1923" s="260"/>
      <c r="C1923" s="35" t="s">
        <v>825</v>
      </c>
      <c r="D1923" s="35" t="s">
        <v>583</v>
      </c>
      <c r="E1923" s="36">
        <v>0.5</v>
      </c>
      <c r="F1923" s="30">
        <v>26.799499999999998</v>
      </c>
      <c r="G1923" s="33">
        <f t="shared" si="178"/>
        <v>13.399749999999999</v>
      </c>
      <c r="H1923" s="34"/>
      <c r="I1923" s="30"/>
      <c r="J1923" s="152">
        <v>0</v>
      </c>
      <c r="L1923" s="215">
        <v>0.5</v>
      </c>
      <c r="M1923" s="30">
        <v>22.940372</v>
      </c>
      <c r="N1923" s="33">
        <f t="shared" si="179"/>
        <v>11.470186</v>
      </c>
      <c r="O1923" s="34"/>
      <c r="P1923" s="36" t="str">
        <f t="shared" si="174"/>
        <v/>
      </c>
      <c r="Q1923" s="216">
        <f t="shared" si="175"/>
        <v>0.14399999999999991</v>
      </c>
      <c r="R1923" s="216">
        <f t="shared" si="176"/>
        <v>0.14399999999999991</v>
      </c>
      <c r="S1923" s="217" t="str">
        <f t="shared" si="177"/>
        <v/>
      </c>
    </row>
    <row r="1924" spans="1:19" ht="26.25" hidden="1" thickBot="1" x14ac:dyDescent="0.3">
      <c r="A1924" s="262"/>
      <c r="B1924" s="260"/>
      <c r="C1924" s="35" t="s">
        <v>499</v>
      </c>
      <c r="D1924" s="35" t="s">
        <v>16</v>
      </c>
      <c r="E1924" s="36">
        <v>1</v>
      </c>
      <c r="F1924" s="33" t="s">
        <v>416</v>
      </c>
      <c r="G1924" s="30" t="str">
        <f t="shared" si="178"/>
        <v/>
      </c>
      <c r="H1924" s="34"/>
      <c r="I1924" s="30"/>
      <c r="J1924" s="152">
        <v>0</v>
      </c>
      <c r="L1924" s="215">
        <v>1</v>
      </c>
      <c r="M1924" s="33"/>
      <c r="N1924" s="30" t="str">
        <f t="shared" si="179"/>
        <v/>
      </c>
      <c r="O1924" s="34"/>
      <c r="P1924" s="36" t="str">
        <f t="shared" si="174"/>
        <v/>
      </c>
      <c r="Q1924" s="216" t="str">
        <f t="shared" si="175"/>
        <v/>
      </c>
      <c r="R1924" s="216" t="str">
        <f t="shared" si="176"/>
        <v/>
      </c>
      <c r="S1924" s="217" t="str">
        <f t="shared" si="177"/>
        <v/>
      </c>
    </row>
    <row r="1925" spans="1:19" ht="15.75" hidden="1" thickBot="1" x14ac:dyDescent="0.3">
      <c r="A1925" s="263"/>
      <c r="B1925" s="261"/>
      <c r="C1925" s="35"/>
      <c r="D1925" s="35"/>
      <c r="E1925" s="36"/>
      <c r="F1925" s="30" t="s">
        <v>416</v>
      </c>
      <c r="G1925" s="30" t="str">
        <f t="shared" si="178"/>
        <v/>
      </c>
      <c r="H1925" s="34"/>
      <c r="I1925" s="30"/>
      <c r="J1925" s="152">
        <v>0</v>
      </c>
      <c r="L1925" s="215"/>
      <c r="M1925" s="30"/>
      <c r="N1925" s="30" t="str">
        <f t="shared" si="179"/>
        <v/>
      </c>
      <c r="O1925" s="34"/>
      <c r="P1925" s="36" t="str">
        <f t="shared" si="174"/>
        <v/>
      </c>
      <c r="Q1925" s="216" t="str">
        <f t="shared" si="175"/>
        <v/>
      </c>
      <c r="R1925" s="216" t="str">
        <f t="shared" si="176"/>
        <v/>
      </c>
      <c r="S1925" s="217" t="str">
        <f t="shared" si="177"/>
        <v/>
      </c>
    </row>
    <row r="1926" spans="1:19" ht="15.75" hidden="1" thickBot="1" x14ac:dyDescent="0.3">
      <c r="A1926" s="256" t="s">
        <v>500</v>
      </c>
      <c r="B1926" s="259" t="str">
        <f>INDEX(Orçamentária!A:B,MATCH(Composições!A1926,Orçamentária!A:A,0),2)</f>
        <v>Fita aluminizada para refrigeração 48 mm</v>
      </c>
      <c r="C1926" s="40"/>
      <c r="D1926" s="25" t="s">
        <v>69</v>
      </c>
      <c r="E1926" s="26"/>
      <c r="F1926" s="41" t="s">
        <v>416</v>
      </c>
      <c r="G1926" s="27" t="str">
        <f t="shared" si="178"/>
        <v/>
      </c>
      <c r="H1926" s="28"/>
      <c r="I1926" s="29"/>
      <c r="J1926" s="152">
        <v>0</v>
      </c>
      <c r="L1926" s="218"/>
      <c r="M1926" s="41"/>
      <c r="N1926" s="27" t="str">
        <f t="shared" si="179"/>
        <v/>
      </c>
      <c r="O1926" s="28"/>
      <c r="P1926" s="36" t="str">
        <f t="shared" si="174"/>
        <v/>
      </c>
      <c r="Q1926" s="216" t="str">
        <f t="shared" si="175"/>
        <v/>
      </c>
      <c r="R1926" s="216" t="str">
        <f t="shared" si="176"/>
        <v/>
      </c>
      <c r="S1926" s="217" t="str">
        <f t="shared" si="177"/>
        <v/>
      </c>
    </row>
    <row r="1927" spans="1:19" ht="15.75" hidden="1" thickBot="1" x14ac:dyDescent="0.3">
      <c r="A1927" s="262"/>
      <c r="B1927" s="260"/>
      <c r="C1927" s="31"/>
      <c r="D1927" s="31"/>
      <c r="E1927" s="32"/>
      <c r="F1927" s="42" t="s">
        <v>416</v>
      </c>
      <c r="G1927" s="30" t="str">
        <f t="shared" si="178"/>
        <v/>
      </c>
      <c r="H1927" s="34"/>
      <c r="I1927" s="30"/>
      <c r="J1927" s="152">
        <v>0</v>
      </c>
      <c r="L1927" s="219"/>
      <c r="M1927" s="42"/>
      <c r="N1927" s="30" t="str">
        <f t="shared" si="179"/>
        <v/>
      </c>
      <c r="O1927" s="34"/>
      <c r="P1927" s="36" t="str">
        <f t="shared" si="174"/>
        <v/>
      </c>
      <c r="Q1927" s="216" t="str">
        <f t="shared" si="175"/>
        <v/>
      </c>
      <c r="R1927" s="216" t="str">
        <f t="shared" si="176"/>
        <v/>
      </c>
      <c r="S1927" s="217" t="str">
        <f t="shared" si="177"/>
        <v/>
      </c>
    </row>
    <row r="1928" spans="1:19" ht="26.25" hidden="1" thickBot="1" x14ac:dyDescent="0.3">
      <c r="A1928" s="262"/>
      <c r="B1928" s="260"/>
      <c r="C1928" s="35" t="s">
        <v>2901</v>
      </c>
      <c r="D1928" s="35" t="s">
        <v>583</v>
      </c>
      <c r="E1928" s="36">
        <v>0.05</v>
      </c>
      <c r="F1928" s="30">
        <v>23.160999999999998</v>
      </c>
      <c r="G1928" s="30">
        <f t="shared" si="178"/>
        <v>1.15805</v>
      </c>
      <c r="H1928" s="38">
        <f>SUM(G1928:G1929)</f>
        <v>1.15805</v>
      </c>
      <c r="I1928" s="39"/>
      <c r="J1928" s="152">
        <v>0</v>
      </c>
      <c r="L1928" s="215">
        <v>0.05</v>
      </c>
      <c r="M1928" s="30">
        <v>19.825816</v>
      </c>
      <c r="N1928" s="30">
        <f t="shared" si="179"/>
        <v>0.99129080000000003</v>
      </c>
      <c r="O1928" s="38">
        <f>SUM(N1928:N1929)</f>
        <v>0.99129080000000003</v>
      </c>
      <c r="P1928" s="36" t="str">
        <f t="shared" ref="P1928:P1991" si="180">IF(ISBLANK(L1928),"",IF($E1928&lt;&gt;L1928,"SIM",""))</f>
        <v/>
      </c>
      <c r="Q1928" s="216">
        <f t="shared" ref="Q1928:Q1991" si="181">IF(M1928="","",1-M1928/$F1928)</f>
        <v>0.14399999999999991</v>
      </c>
      <c r="R1928" s="216">
        <f t="shared" ref="R1928:R1991" si="182">IF(N1928="","",1-N1928/$G1928)</f>
        <v>0.14400000000000002</v>
      </c>
      <c r="S1928" s="217">
        <f t="shared" ref="S1928:S1991" si="183">IF(O1928="","",1-O1928/$H1928)</f>
        <v>0.14400000000000002</v>
      </c>
    </row>
    <row r="1929" spans="1:19" ht="15.75" hidden="1" thickBot="1" x14ac:dyDescent="0.3">
      <c r="A1929" s="262"/>
      <c r="B1929" s="260"/>
      <c r="C1929" s="35" t="s">
        <v>501</v>
      </c>
      <c r="D1929" s="46" t="s">
        <v>69</v>
      </c>
      <c r="E1929" s="36">
        <v>1</v>
      </c>
      <c r="F1929" s="30" t="s">
        <v>416</v>
      </c>
      <c r="G1929" s="30" t="str">
        <f t="shared" si="178"/>
        <v/>
      </c>
      <c r="H1929" s="34"/>
      <c r="I1929" s="30"/>
      <c r="J1929" s="152">
        <v>0</v>
      </c>
      <c r="L1929" s="215">
        <v>1</v>
      </c>
      <c r="M1929" s="30"/>
      <c r="N1929" s="30" t="str">
        <f t="shared" si="179"/>
        <v/>
      </c>
      <c r="O1929" s="34"/>
      <c r="P1929" s="36" t="str">
        <f t="shared" si="180"/>
        <v/>
      </c>
      <c r="Q1929" s="216" t="str">
        <f t="shared" si="181"/>
        <v/>
      </c>
      <c r="R1929" s="216" t="str">
        <f t="shared" si="182"/>
        <v/>
      </c>
      <c r="S1929" s="217" t="str">
        <f t="shared" si="183"/>
        <v/>
      </c>
    </row>
    <row r="1930" spans="1:19" ht="15.75" hidden="1" thickBot="1" x14ac:dyDescent="0.3">
      <c r="A1930" s="263"/>
      <c r="B1930" s="261"/>
      <c r="C1930" s="35"/>
      <c r="D1930" s="35"/>
      <c r="E1930" s="36"/>
      <c r="F1930" s="30" t="s">
        <v>416</v>
      </c>
      <c r="G1930" s="30" t="str">
        <f t="shared" si="178"/>
        <v/>
      </c>
      <c r="H1930" s="34"/>
      <c r="I1930" s="30"/>
      <c r="J1930" s="152">
        <v>0</v>
      </c>
      <c r="L1930" s="215"/>
      <c r="M1930" s="30"/>
      <c r="N1930" s="30" t="str">
        <f t="shared" si="179"/>
        <v/>
      </c>
      <c r="O1930" s="34"/>
      <c r="P1930" s="36" t="str">
        <f t="shared" si="180"/>
        <v/>
      </c>
      <c r="Q1930" s="216" t="str">
        <f t="shared" si="181"/>
        <v/>
      </c>
      <c r="R1930" s="216" t="str">
        <f t="shared" si="182"/>
        <v/>
      </c>
      <c r="S1930" s="217" t="str">
        <f t="shared" si="183"/>
        <v/>
      </c>
    </row>
    <row r="1931" spans="1:19" ht="15.75" thickBot="1" x14ac:dyDescent="0.3">
      <c r="A1931" s="256" t="s">
        <v>502</v>
      </c>
      <c r="B1931" s="259" t="str">
        <f>INDEX(Orçamentária!A:B,MATCH(Composições!A1931,Orçamentária!A:A,0),2)</f>
        <v>Fita PVC 100 mm para acabamento em refrigeração</v>
      </c>
      <c r="C1931" s="40"/>
      <c r="D1931" s="25" t="s">
        <v>69</v>
      </c>
      <c r="E1931" s="26"/>
      <c r="F1931" s="41" t="s">
        <v>416</v>
      </c>
      <c r="G1931" s="27" t="str">
        <f t="shared" si="178"/>
        <v/>
      </c>
      <c r="H1931" s="28"/>
      <c r="I1931" s="29"/>
      <c r="J1931" s="152">
        <v>890</v>
      </c>
      <c r="L1931" s="218"/>
      <c r="M1931" s="41"/>
      <c r="N1931" s="27" t="str">
        <f t="shared" si="179"/>
        <v/>
      </c>
      <c r="O1931" s="28"/>
      <c r="P1931" s="36" t="str">
        <f t="shared" si="180"/>
        <v/>
      </c>
      <c r="Q1931" s="216" t="str">
        <f t="shared" si="181"/>
        <v/>
      </c>
      <c r="R1931" s="216" t="str">
        <f t="shared" si="182"/>
        <v/>
      </c>
      <c r="S1931" s="217" t="str">
        <f t="shared" si="183"/>
        <v/>
      </c>
    </row>
    <row r="1932" spans="1:19" x14ac:dyDescent="0.25">
      <c r="A1932" s="262"/>
      <c r="B1932" s="260"/>
      <c r="C1932" s="31"/>
      <c r="D1932" s="31"/>
      <c r="E1932" s="32"/>
      <c r="F1932" s="42" t="s">
        <v>416</v>
      </c>
      <c r="G1932" s="30" t="str">
        <f t="shared" si="178"/>
        <v/>
      </c>
      <c r="H1932" s="34"/>
      <c r="I1932" s="30"/>
      <c r="J1932" s="152">
        <v>890</v>
      </c>
      <c r="L1932" s="219"/>
      <c r="M1932" s="42"/>
      <c r="N1932" s="30" t="str">
        <f t="shared" si="179"/>
        <v/>
      </c>
      <c r="O1932" s="34"/>
      <c r="P1932" s="36" t="str">
        <f t="shared" si="180"/>
        <v/>
      </c>
      <c r="Q1932" s="216" t="str">
        <f t="shared" si="181"/>
        <v/>
      </c>
      <c r="R1932" s="216" t="str">
        <f t="shared" si="182"/>
        <v/>
      </c>
      <c r="S1932" s="217" t="str">
        <f t="shared" si="183"/>
        <v/>
      </c>
    </row>
    <row r="1933" spans="1:19" ht="25.5" x14ac:dyDescent="0.25">
      <c r="A1933" s="262"/>
      <c r="B1933" s="260"/>
      <c r="C1933" s="35" t="s">
        <v>2901</v>
      </c>
      <c r="D1933" s="35" t="s">
        <v>583</v>
      </c>
      <c r="E1933" s="36">
        <v>0.05</v>
      </c>
      <c r="F1933" s="30">
        <v>23.160999999999998</v>
      </c>
      <c r="G1933" s="30">
        <f t="shared" si="178"/>
        <v>1.15805</v>
      </c>
      <c r="H1933" s="38">
        <f>SUM(G1933:G1934)</f>
        <v>1.7780499999999999</v>
      </c>
      <c r="I1933" s="39"/>
      <c r="J1933" s="152">
        <v>890</v>
      </c>
      <c r="L1933" s="215">
        <v>0.05</v>
      </c>
      <c r="M1933" s="30">
        <v>19.825816</v>
      </c>
      <c r="N1933" s="30">
        <f t="shared" si="179"/>
        <v>0.99129080000000003</v>
      </c>
      <c r="O1933" s="38">
        <f>SUM(N1933:N1934)</f>
        <v>1.5220107999999999</v>
      </c>
      <c r="P1933" s="36" t="str">
        <f t="shared" si="180"/>
        <v/>
      </c>
      <c r="Q1933" s="216">
        <f t="shared" si="181"/>
        <v>0.14399999999999991</v>
      </c>
      <c r="R1933" s="216">
        <f t="shared" si="182"/>
        <v>0.14400000000000002</v>
      </c>
      <c r="S1933" s="217">
        <f t="shared" si="183"/>
        <v>0.14400000000000002</v>
      </c>
    </row>
    <row r="1934" spans="1:19" x14ac:dyDescent="0.25">
      <c r="A1934" s="262"/>
      <c r="B1934" s="260"/>
      <c r="C1934" s="35" t="s">
        <v>503</v>
      </c>
      <c r="D1934" s="46" t="s">
        <v>69</v>
      </c>
      <c r="E1934" s="36">
        <v>1</v>
      </c>
      <c r="F1934" s="30">
        <v>0.62</v>
      </c>
      <c r="G1934" s="30">
        <f t="shared" si="178"/>
        <v>0.62</v>
      </c>
      <c r="H1934" s="34"/>
      <c r="I1934" s="30"/>
      <c r="J1934" s="152">
        <v>890</v>
      </c>
      <c r="L1934" s="215">
        <v>1</v>
      </c>
      <c r="M1934" s="30">
        <v>0.53071999999999997</v>
      </c>
      <c r="N1934" s="30">
        <f t="shared" si="179"/>
        <v>0.53071999999999997</v>
      </c>
      <c r="O1934" s="34"/>
      <c r="P1934" s="36" t="str">
        <f t="shared" si="180"/>
        <v/>
      </c>
      <c r="Q1934" s="216">
        <f t="shared" si="181"/>
        <v>0.14400000000000002</v>
      </c>
      <c r="R1934" s="216">
        <f t="shared" si="182"/>
        <v>0.14400000000000002</v>
      </c>
      <c r="S1934" s="217" t="str">
        <f t="shared" si="183"/>
        <v/>
      </c>
    </row>
    <row r="1935" spans="1:19" ht="15.75" thickBot="1" x14ac:dyDescent="0.3">
      <c r="A1935" s="263"/>
      <c r="B1935" s="261"/>
      <c r="C1935" s="35"/>
      <c r="D1935" s="35"/>
      <c r="E1935" s="36"/>
      <c r="F1935" s="30" t="s">
        <v>416</v>
      </c>
      <c r="G1935" s="30" t="str">
        <f t="shared" si="178"/>
        <v/>
      </c>
      <c r="H1935" s="34"/>
      <c r="I1935" s="30"/>
      <c r="J1935" s="152">
        <v>890</v>
      </c>
      <c r="L1935" s="215"/>
      <c r="M1935" s="30"/>
      <c r="N1935" s="30" t="str">
        <f t="shared" si="179"/>
        <v/>
      </c>
      <c r="O1935" s="34"/>
      <c r="P1935" s="36" t="str">
        <f t="shared" si="180"/>
        <v/>
      </c>
      <c r="Q1935" s="216" t="str">
        <f t="shared" si="181"/>
        <v/>
      </c>
      <c r="R1935" s="216" t="str">
        <f t="shared" si="182"/>
        <v/>
      </c>
      <c r="S1935" s="217" t="str">
        <f t="shared" si="183"/>
        <v/>
      </c>
    </row>
    <row r="1936" spans="1:19" ht="15.75" hidden="1" thickBot="1" x14ac:dyDescent="0.3">
      <c r="A1936" s="256" t="s">
        <v>504</v>
      </c>
      <c r="B1936" s="259" t="str">
        <f>INDEX(Orçamentária!A:B,MATCH(Composições!A1936,Orçamentária!A:A,0),2)</f>
        <v>Mangueira emborrachada 3/4" para água gelada</v>
      </c>
      <c r="C1936" s="40"/>
      <c r="D1936" s="25" t="s">
        <v>69</v>
      </c>
      <c r="E1936" s="26"/>
      <c r="F1936" s="41" t="s">
        <v>416</v>
      </c>
      <c r="G1936" s="27" t="str">
        <f t="shared" si="178"/>
        <v/>
      </c>
      <c r="H1936" s="28"/>
      <c r="I1936" s="29"/>
      <c r="J1936" s="152">
        <v>0</v>
      </c>
      <c r="L1936" s="218"/>
      <c r="M1936" s="41"/>
      <c r="N1936" s="27" t="str">
        <f t="shared" si="179"/>
        <v/>
      </c>
      <c r="O1936" s="28"/>
      <c r="P1936" s="36" t="str">
        <f t="shared" si="180"/>
        <v/>
      </c>
      <c r="Q1936" s="216" t="str">
        <f t="shared" si="181"/>
        <v/>
      </c>
      <c r="R1936" s="216" t="str">
        <f t="shared" si="182"/>
        <v/>
      </c>
      <c r="S1936" s="217" t="str">
        <f t="shared" si="183"/>
        <v/>
      </c>
    </row>
    <row r="1937" spans="1:19" ht="15.75" hidden="1" thickBot="1" x14ac:dyDescent="0.3">
      <c r="A1937" s="262"/>
      <c r="B1937" s="260"/>
      <c r="C1937" s="31"/>
      <c r="D1937" s="31"/>
      <c r="E1937" s="32"/>
      <c r="F1937" s="42" t="s">
        <v>416</v>
      </c>
      <c r="G1937" s="30" t="str">
        <f t="shared" si="178"/>
        <v/>
      </c>
      <c r="H1937" s="34"/>
      <c r="I1937" s="30"/>
      <c r="J1937" s="152">
        <v>0</v>
      </c>
      <c r="L1937" s="219"/>
      <c r="M1937" s="42"/>
      <c r="N1937" s="30" t="str">
        <f t="shared" si="179"/>
        <v/>
      </c>
      <c r="O1937" s="34"/>
      <c r="P1937" s="36" t="str">
        <f t="shared" si="180"/>
        <v/>
      </c>
      <c r="Q1937" s="216" t="str">
        <f t="shared" si="181"/>
        <v/>
      </c>
      <c r="R1937" s="216" t="str">
        <f t="shared" si="182"/>
        <v/>
      </c>
      <c r="S1937" s="217" t="str">
        <f t="shared" si="183"/>
        <v/>
      </c>
    </row>
    <row r="1938" spans="1:19" ht="26.25" hidden="1" thickBot="1" x14ac:dyDescent="0.3">
      <c r="A1938" s="262"/>
      <c r="B1938" s="260"/>
      <c r="C1938" s="35" t="s">
        <v>2901</v>
      </c>
      <c r="D1938" s="35" t="s">
        <v>583</v>
      </c>
      <c r="E1938" s="36">
        <v>0.05</v>
      </c>
      <c r="F1938" s="30">
        <v>23.160999999999998</v>
      </c>
      <c r="G1938" s="30">
        <f t="shared" si="178"/>
        <v>1.15805</v>
      </c>
      <c r="H1938" s="38">
        <f>SUM(G1938:G1941)</f>
        <v>1.15805</v>
      </c>
      <c r="I1938" s="39"/>
      <c r="J1938" s="152">
        <v>0</v>
      </c>
      <c r="L1938" s="215">
        <v>0.05</v>
      </c>
      <c r="M1938" s="30">
        <v>19.825816</v>
      </c>
      <c r="N1938" s="30">
        <f t="shared" si="179"/>
        <v>0.99129080000000003</v>
      </c>
      <c r="O1938" s="38">
        <f>SUM(N1938:N1941)</f>
        <v>0.99129080000000003</v>
      </c>
      <c r="P1938" s="36" t="str">
        <f t="shared" si="180"/>
        <v/>
      </c>
      <c r="Q1938" s="216">
        <f t="shared" si="181"/>
        <v>0.14399999999999991</v>
      </c>
      <c r="R1938" s="216">
        <f t="shared" si="182"/>
        <v>0.14400000000000002</v>
      </c>
      <c r="S1938" s="217">
        <f t="shared" si="183"/>
        <v>0.14400000000000002</v>
      </c>
    </row>
    <row r="1939" spans="1:19" ht="15.75" hidden="1" thickBot="1" x14ac:dyDescent="0.3">
      <c r="A1939" s="262"/>
      <c r="B1939" s="260"/>
      <c r="C1939" s="35" t="s">
        <v>5787</v>
      </c>
      <c r="D1939" s="35" t="s">
        <v>16</v>
      </c>
      <c r="E1939" s="36">
        <v>1</v>
      </c>
      <c r="F1939" s="30" t="s">
        <v>416</v>
      </c>
      <c r="G1939" s="30" t="str">
        <f t="shared" ref="G1939:G2002" si="184">IF(ISNUMBER(F1939),E1939*F1939,"")</f>
        <v/>
      </c>
      <c r="H1939" s="34"/>
      <c r="I1939" s="30"/>
      <c r="J1939" s="152">
        <v>0</v>
      </c>
      <c r="L1939" s="215">
        <v>1</v>
      </c>
      <c r="M1939" s="30"/>
      <c r="N1939" s="30" t="str">
        <f t="shared" ref="N1939:N2002" si="185">IF(ISNUMBER(M1939),L1939*M1939,"")</f>
        <v/>
      </c>
      <c r="O1939" s="34"/>
      <c r="P1939" s="36" t="str">
        <f t="shared" si="180"/>
        <v/>
      </c>
      <c r="Q1939" s="216" t="str">
        <f t="shared" si="181"/>
        <v/>
      </c>
      <c r="R1939" s="216" t="str">
        <f t="shared" si="182"/>
        <v/>
      </c>
      <c r="S1939" s="217" t="str">
        <f t="shared" si="183"/>
        <v/>
      </c>
    </row>
    <row r="1940" spans="1:19" ht="15.75" hidden="1" thickBot="1" x14ac:dyDescent="0.3">
      <c r="A1940" s="262"/>
      <c r="B1940" s="260"/>
      <c r="C1940" s="35" t="s">
        <v>5788</v>
      </c>
      <c r="D1940" s="35" t="s">
        <v>16</v>
      </c>
      <c r="E1940" s="36">
        <v>1</v>
      </c>
      <c r="F1940" s="30" t="s">
        <v>416</v>
      </c>
      <c r="G1940" s="30" t="str">
        <f t="shared" si="184"/>
        <v/>
      </c>
      <c r="H1940" s="34"/>
      <c r="I1940" s="30"/>
      <c r="J1940" s="152">
        <v>0</v>
      </c>
      <c r="L1940" s="215">
        <v>1</v>
      </c>
      <c r="M1940" s="30"/>
      <c r="N1940" s="30" t="str">
        <f t="shared" si="185"/>
        <v/>
      </c>
      <c r="O1940" s="34"/>
      <c r="P1940" s="36" t="str">
        <f t="shared" si="180"/>
        <v/>
      </c>
      <c r="Q1940" s="216" t="str">
        <f t="shared" si="181"/>
        <v/>
      </c>
      <c r="R1940" s="216" t="str">
        <f t="shared" si="182"/>
        <v/>
      </c>
      <c r="S1940" s="217" t="str">
        <f t="shared" si="183"/>
        <v/>
      </c>
    </row>
    <row r="1941" spans="1:19" ht="15.75" hidden="1" thickBot="1" x14ac:dyDescent="0.3">
      <c r="A1941" s="262"/>
      <c r="B1941" s="260"/>
      <c r="C1941" s="35" t="s">
        <v>505</v>
      </c>
      <c r="D1941" s="46" t="s">
        <v>69</v>
      </c>
      <c r="E1941" s="36">
        <v>1</v>
      </c>
      <c r="F1941" s="30" t="s">
        <v>416</v>
      </c>
      <c r="G1941" s="30" t="str">
        <f t="shared" si="184"/>
        <v/>
      </c>
      <c r="H1941" s="34"/>
      <c r="I1941" s="30"/>
      <c r="J1941" s="152">
        <v>0</v>
      </c>
      <c r="L1941" s="215">
        <v>1</v>
      </c>
      <c r="M1941" s="30"/>
      <c r="N1941" s="30" t="str">
        <f t="shared" si="185"/>
        <v/>
      </c>
      <c r="O1941" s="34"/>
      <c r="P1941" s="36" t="str">
        <f t="shared" si="180"/>
        <v/>
      </c>
      <c r="Q1941" s="216" t="str">
        <f t="shared" si="181"/>
        <v/>
      </c>
      <c r="R1941" s="216" t="str">
        <f t="shared" si="182"/>
        <v/>
      </c>
      <c r="S1941" s="217" t="str">
        <f t="shared" si="183"/>
        <v/>
      </c>
    </row>
    <row r="1942" spans="1:19" ht="15.75" hidden="1" thickBot="1" x14ac:dyDescent="0.3">
      <c r="A1942" s="263"/>
      <c r="B1942" s="261"/>
      <c r="C1942" s="35"/>
      <c r="D1942" s="35"/>
      <c r="E1942" s="36"/>
      <c r="F1942" s="30" t="s">
        <v>416</v>
      </c>
      <c r="G1942" s="30" t="str">
        <f t="shared" si="184"/>
        <v/>
      </c>
      <c r="H1942" s="34"/>
      <c r="I1942" s="30"/>
      <c r="J1942" s="152">
        <v>0</v>
      </c>
      <c r="L1942" s="215"/>
      <c r="M1942" s="30"/>
      <c r="N1942" s="30" t="str">
        <f t="shared" si="185"/>
        <v/>
      </c>
      <c r="O1942" s="34"/>
      <c r="P1942" s="36" t="str">
        <f t="shared" si="180"/>
        <v/>
      </c>
      <c r="Q1942" s="216" t="str">
        <f t="shared" si="181"/>
        <v/>
      </c>
      <c r="R1942" s="216" t="str">
        <f t="shared" si="182"/>
        <v/>
      </c>
      <c r="S1942" s="217" t="str">
        <f t="shared" si="183"/>
        <v/>
      </c>
    </row>
    <row r="1943" spans="1:19" ht="15.75" thickBot="1" x14ac:dyDescent="0.3">
      <c r="A1943" s="256" t="s">
        <v>506</v>
      </c>
      <c r="B1943" s="259" t="str">
        <f>INDEX(Orçamentária!A:B,MATCH(Composições!A1943,Orçamentária!A:A,0),2)</f>
        <v>Suporte para unidade condensadora de aparelho split</v>
      </c>
      <c r="C1943" s="40"/>
      <c r="D1943" s="25" t="s">
        <v>16</v>
      </c>
      <c r="E1943" s="26"/>
      <c r="F1943" s="41" t="s">
        <v>416</v>
      </c>
      <c r="G1943" s="27" t="str">
        <f t="shared" si="184"/>
        <v/>
      </c>
      <c r="H1943" s="28"/>
      <c r="I1943" s="29"/>
      <c r="J1943" s="152">
        <v>21</v>
      </c>
      <c r="L1943" s="218"/>
      <c r="M1943" s="41"/>
      <c r="N1943" s="27" t="str">
        <f t="shared" si="185"/>
        <v/>
      </c>
      <c r="O1943" s="28"/>
      <c r="P1943" s="36" t="str">
        <f t="shared" si="180"/>
        <v/>
      </c>
      <c r="Q1943" s="216" t="str">
        <f t="shared" si="181"/>
        <v/>
      </c>
      <c r="R1943" s="216" t="str">
        <f t="shared" si="182"/>
        <v/>
      </c>
      <c r="S1943" s="217" t="str">
        <f t="shared" si="183"/>
        <v/>
      </c>
    </row>
    <row r="1944" spans="1:19" x14ac:dyDescent="0.25">
      <c r="A1944" s="262"/>
      <c r="B1944" s="260"/>
      <c r="C1944" s="31"/>
      <c r="D1944" s="31"/>
      <c r="E1944" s="32"/>
      <c r="F1944" s="42" t="s">
        <v>416</v>
      </c>
      <c r="G1944" s="30" t="str">
        <f t="shared" si="184"/>
        <v/>
      </c>
      <c r="H1944" s="34"/>
      <c r="I1944" s="30"/>
      <c r="J1944" s="152">
        <v>21</v>
      </c>
      <c r="L1944" s="219"/>
      <c r="M1944" s="42"/>
      <c r="N1944" s="30" t="str">
        <f t="shared" si="185"/>
        <v/>
      </c>
      <c r="O1944" s="34"/>
      <c r="P1944" s="36" t="str">
        <f t="shared" si="180"/>
        <v/>
      </c>
      <c r="Q1944" s="216" t="str">
        <f t="shared" si="181"/>
        <v/>
      </c>
      <c r="R1944" s="216" t="str">
        <f t="shared" si="182"/>
        <v/>
      </c>
      <c r="S1944" s="217" t="str">
        <f t="shared" si="183"/>
        <v/>
      </c>
    </row>
    <row r="1945" spans="1:19" ht="25.5" x14ac:dyDescent="0.25">
      <c r="A1945" s="262"/>
      <c r="B1945" s="260"/>
      <c r="C1945" s="35" t="s">
        <v>824</v>
      </c>
      <c r="D1945" s="35" t="s">
        <v>583</v>
      </c>
      <c r="E1945" s="36">
        <v>0.5</v>
      </c>
      <c r="F1945" s="30">
        <v>21.166</v>
      </c>
      <c r="G1945" s="33">
        <f t="shared" si="184"/>
        <v>10.583</v>
      </c>
      <c r="H1945" s="38">
        <f>SUM(G1945:G1947)</f>
        <v>167.29275000000001</v>
      </c>
      <c r="I1945" s="39"/>
      <c r="J1945" s="152">
        <v>21</v>
      </c>
      <c r="L1945" s="215">
        <v>0.5</v>
      </c>
      <c r="M1945" s="30">
        <v>18.118096000000001</v>
      </c>
      <c r="N1945" s="33">
        <f t="shared" si="185"/>
        <v>9.0590480000000007</v>
      </c>
      <c r="O1945" s="38">
        <f>SUM(N1945:N1947)</f>
        <v>143.202594</v>
      </c>
      <c r="P1945" s="36" t="str">
        <f t="shared" si="180"/>
        <v/>
      </c>
      <c r="Q1945" s="216">
        <f t="shared" si="181"/>
        <v>0.14399999999999991</v>
      </c>
      <c r="R1945" s="216">
        <f t="shared" si="182"/>
        <v>0.14399999999999991</v>
      </c>
      <c r="S1945" s="217">
        <f t="shared" si="183"/>
        <v>0.14400000000000002</v>
      </c>
    </row>
    <row r="1946" spans="1:19" ht="25.5" x14ac:dyDescent="0.25">
      <c r="A1946" s="262"/>
      <c r="B1946" s="260"/>
      <c r="C1946" s="35" t="s">
        <v>825</v>
      </c>
      <c r="D1946" s="35" t="s">
        <v>583</v>
      </c>
      <c r="E1946" s="36">
        <v>0.5</v>
      </c>
      <c r="F1946" s="30">
        <v>26.799499999999998</v>
      </c>
      <c r="G1946" s="33">
        <f t="shared" si="184"/>
        <v>13.399749999999999</v>
      </c>
      <c r="H1946" s="34"/>
      <c r="I1946" s="30"/>
      <c r="J1946" s="152">
        <v>21</v>
      </c>
      <c r="L1946" s="215">
        <v>0.5</v>
      </c>
      <c r="M1946" s="30">
        <v>22.940372</v>
      </c>
      <c r="N1946" s="33">
        <f t="shared" si="185"/>
        <v>11.470186</v>
      </c>
      <c r="O1946" s="34"/>
      <c r="P1946" s="36" t="str">
        <f t="shared" si="180"/>
        <v/>
      </c>
      <c r="Q1946" s="216">
        <f t="shared" si="181"/>
        <v>0.14399999999999991</v>
      </c>
      <c r="R1946" s="216">
        <f t="shared" si="182"/>
        <v>0.14399999999999991</v>
      </c>
      <c r="S1946" s="217" t="str">
        <f t="shared" si="183"/>
        <v/>
      </c>
    </row>
    <row r="1947" spans="1:19" x14ac:dyDescent="0.25">
      <c r="A1947" s="262"/>
      <c r="B1947" s="260"/>
      <c r="C1947" s="35" t="s">
        <v>507</v>
      </c>
      <c r="D1947" s="35" t="s">
        <v>107</v>
      </c>
      <c r="E1947" s="36">
        <v>1</v>
      </c>
      <c r="F1947" s="33">
        <v>143.31</v>
      </c>
      <c r="G1947" s="33">
        <f t="shared" si="184"/>
        <v>143.31</v>
      </c>
      <c r="H1947" s="34"/>
      <c r="I1947" s="30"/>
      <c r="J1947" s="152">
        <v>21</v>
      </c>
      <c r="L1947" s="215">
        <v>1</v>
      </c>
      <c r="M1947" s="33">
        <v>122.67336</v>
      </c>
      <c r="N1947" s="33">
        <f t="shared" si="185"/>
        <v>122.67336</v>
      </c>
      <c r="O1947" s="34"/>
      <c r="P1947" s="36" t="str">
        <f t="shared" si="180"/>
        <v/>
      </c>
      <c r="Q1947" s="216">
        <f t="shared" si="181"/>
        <v>0.14400000000000002</v>
      </c>
      <c r="R1947" s="216">
        <f t="shared" si="182"/>
        <v>0.14400000000000002</v>
      </c>
      <c r="S1947" s="217" t="str">
        <f t="shared" si="183"/>
        <v/>
      </c>
    </row>
    <row r="1948" spans="1:19" ht="15.75" thickBot="1" x14ac:dyDescent="0.3">
      <c r="A1948" s="263"/>
      <c r="B1948" s="261"/>
      <c r="C1948" s="35"/>
      <c r="D1948" s="35"/>
      <c r="E1948" s="36"/>
      <c r="F1948" s="30" t="s">
        <v>416</v>
      </c>
      <c r="G1948" s="30" t="str">
        <f t="shared" si="184"/>
        <v/>
      </c>
      <c r="H1948" s="34"/>
      <c r="I1948" s="30"/>
      <c r="J1948" s="152">
        <v>21</v>
      </c>
      <c r="L1948" s="215"/>
      <c r="M1948" s="30"/>
      <c r="N1948" s="30" t="str">
        <f t="shared" si="185"/>
        <v/>
      </c>
      <c r="O1948" s="34"/>
      <c r="P1948" s="36" t="str">
        <f t="shared" si="180"/>
        <v/>
      </c>
      <c r="Q1948" s="216" t="str">
        <f t="shared" si="181"/>
        <v/>
      </c>
      <c r="R1948" s="216" t="str">
        <f t="shared" si="182"/>
        <v/>
      </c>
      <c r="S1948" s="217" t="str">
        <f t="shared" si="183"/>
        <v/>
      </c>
    </row>
    <row r="1949" spans="1:19" ht="15.75" thickBot="1" x14ac:dyDescent="0.3">
      <c r="A1949" s="256" t="s">
        <v>508</v>
      </c>
      <c r="B1949" s="259" t="str">
        <f>INDEX(Orçamentária!A:B,MATCH(Composições!A1949,Orçamentária!A:A,0),2)</f>
        <v>Suporte para unidade evaporadora de aparelho split ou fancolete</v>
      </c>
      <c r="C1949" s="40"/>
      <c r="D1949" s="25" t="s">
        <v>16</v>
      </c>
      <c r="E1949" s="26"/>
      <c r="F1949" s="41" t="s">
        <v>416</v>
      </c>
      <c r="G1949" s="27" t="str">
        <f t="shared" si="184"/>
        <v/>
      </c>
      <c r="H1949" s="28"/>
      <c r="I1949" s="29"/>
      <c r="J1949" s="152">
        <v>21</v>
      </c>
      <c r="L1949" s="218"/>
      <c r="M1949" s="41"/>
      <c r="N1949" s="27" t="str">
        <f t="shared" si="185"/>
        <v/>
      </c>
      <c r="O1949" s="28"/>
      <c r="P1949" s="36" t="str">
        <f t="shared" si="180"/>
        <v/>
      </c>
      <c r="Q1949" s="216" t="str">
        <f t="shared" si="181"/>
        <v/>
      </c>
      <c r="R1949" s="216" t="str">
        <f t="shared" si="182"/>
        <v/>
      </c>
      <c r="S1949" s="217" t="str">
        <f t="shared" si="183"/>
        <v/>
      </c>
    </row>
    <row r="1950" spans="1:19" x14ac:dyDescent="0.25">
      <c r="A1950" s="262"/>
      <c r="B1950" s="260"/>
      <c r="C1950" s="31"/>
      <c r="D1950" s="31"/>
      <c r="E1950" s="32"/>
      <c r="F1950" s="42" t="s">
        <v>416</v>
      </c>
      <c r="G1950" s="30" t="str">
        <f t="shared" si="184"/>
        <v/>
      </c>
      <c r="H1950" s="34"/>
      <c r="I1950" s="30"/>
      <c r="J1950" s="152">
        <v>21</v>
      </c>
      <c r="L1950" s="219"/>
      <c r="M1950" s="42"/>
      <c r="N1950" s="30" t="str">
        <f t="shared" si="185"/>
        <v/>
      </c>
      <c r="O1950" s="34"/>
      <c r="P1950" s="36" t="str">
        <f t="shared" si="180"/>
        <v/>
      </c>
      <c r="Q1950" s="216" t="str">
        <f t="shared" si="181"/>
        <v/>
      </c>
      <c r="R1950" s="216" t="str">
        <f t="shared" si="182"/>
        <v/>
      </c>
      <c r="S1950" s="217" t="str">
        <f t="shared" si="183"/>
        <v/>
      </c>
    </row>
    <row r="1951" spans="1:19" ht="25.5" x14ac:dyDescent="0.25">
      <c r="A1951" s="262"/>
      <c r="B1951" s="260"/>
      <c r="C1951" s="35" t="s">
        <v>824</v>
      </c>
      <c r="D1951" s="35" t="s">
        <v>583</v>
      </c>
      <c r="E1951" s="36">
        <v>0.5</v>
      </c>
      <c r="F1951" s="30">
        <v>21.166</v>
      </c>
      <c r="G1951" s="33">
        <f t="shared" si="184"/>
        <v>10.583</v>
      </c>
      <c r="H1951" s="38">
        <f>SUM(G1951:G1953)</f>
        <v>147.26275000000001</v>
      </c>
      <c r="I1951" s="39"/>
      <c r="J1951" s="152">
        <v>21</v>
      </c>
      <c r="L1951" s="215">
        <v>0.5</v>
      </c>
      <c r="M1951" s="30">
        <v>18.118096000000001</v>
      </c>
      <c r="N1951" s="33">
        <f t="shared" si="185"/>
        <v>9.0590480000000007</v>
      </c>
      <c r="O1951" s="38">
        <f>SUM(N1951:N1953)</f>
        <v>126.05691400000001</v>
      </c>
      <c r="P1951" s="36" t="str">
        <f t="shared" si="180"/>
        <v/>
      </c>
      <c r="Q1951" s="216">
        <f t="shared" si="181"/>
        <v>0.14399999999999991</v>
      </c>
      <c r="R1951" s="216">
        <f t="shared" si="182"/>
        <v>0.14399999999999991</v>
      </c>
      <c r="S1951" s="217">
        <f t="shared" si="183"/>
        <v>0.14400000000000002</v>
      </c>
    </row>
    <row r="1952" spans="1:19" ht="25.5" x14ac:dyDescent="0.25">
      <c r="A1952" s="262"/>
      <c r="B1952" s="260"/>
      <c r="C1952" s="35" t="s">
        <v>825</v>
      </c>
      <c r="D1952" s="35" t="s">
        <v>583</v>
      </c>
      <c r="E1952" s="36">
        <v>0.5</v>
      </c>
      <c r="F1952" s="30">
        <v>26.799499999999998</v>
      </c>
      <c r="G1952" s="33">
        <f t="shared" si="184"/>
        <v>13.399749999999999</v>
      </c>
      <c r="H1952" s="34"/>
      <c r="I1952" s="30"/>
      <c r="J1952" s="152">
        <v>21</v>
      </c>
      <c r="L1952" s="215">
        <v>0.5</v>
      </c>
      <c r="M1952" s="30">
        <v>22.940372</v>
      </c>
      <c r="N1952" s="33">
        <f t="shared" si="185"/>
        <v>11.470186</v>
      </c>
      <c r="O1952" s="34"/>
      <c r="P1952" s="36" t="str">
        <f t="shared" si="180"/>
        <v/>
      </c>
      <c r="Q1952" s="216">
        <f t="shared" si="181"/>
        <v>0.14399999999999991</v>
      </c>
      <c r="R1952" s="216">
        <f t="shared" si="182"/>
        <v>0.14399999999999991</v>
      </c>
      <c r="S1952" s="217" t="str">
        <f t="shared" si="183"/>
        <v/>
      </c>
    </row>
    <row r="1953" spans="1:19" x14ac:dyDescent="0.25">
      <c r="A1953" s="262"/>
      <c r="B1953" s="260"/>
      <c r="C1953" s="35" t="s">
        <v>509</v>
      </c>
      <c r="D1953" s="35" t="s">
        <v>107</v>
      </c>
      <c r="E1953" s="36">
        <v>1</v>
      </c>
      <c r="F1953" s="33">
        <v>123.28</v>
      </c>
      <c r="G1953" s="33">
        <f t="shared" si="184"/>
        <v>123.28</v>
      </c>
      <c r="H1953" s="34"/>
      <c r="I1953" s="30"/>
      <c r="J1953" s="152">
        <v>21</v>
      </c>
      <c r="L1953" s="215">
        <v>1</v>
      </c>
      <c r="M1953" s="33">
        <v>105.52768</v>
      </c>
      <c r="N1953" s="33">
        <f t="shared" si="185"/>
        <v>105.52768</v>
      </c>
      <c r="O1953" s="34"/>
      <c r="P1953" s="36" t="str">
        <f t="shared" si="180"/>
        <v/>
      </c>
      <c r="Q1953" s="216">
        <f t="shared" si="181"/>
        <v>0.14400000000000002</v>
      </c>
      <c r="R1953" s="216">
        <f t="shared" si="182"/>
        <v>0.14400000000000002</v>
      </c>
      <c r="S1953" s="217" t="str">
        <f t="shared" si="183"/>
        <v/>
      </c>
    </row>
    <row r="1954" spans="1:19" ht="15.75" thickBot="1" x14ac:dyDescent="0.3">
      <c r="A1954" s="263"/>
      <c r="B1954" s="261"/>
      <c r="C1954" s="35"/>
      <c r="D1954" s="35"/>
      <c r="E1954" s="36"/>
      <c r="F1954" s="30" t="s">
        <v>416</v>
      </c>
      <c r="G1954" s="30" t="str">
        <f t="shared" si="184"/>
        <v/>
      </c>
      <c r="H1954" s="34"/>
      <c r="I1954" s="30"/>
      <c r="J1954" s="152">
        <v>21</v>
      </c>
      <c r="L1954" s="215"/>
      <c r="M1954" s="30"/>
      <c r="N1954" s="30" t="str">
        <f t="shared" si="185"/>
        <v/>
      </c>
      <c r="O1954" s="34"/>
      <c r="P1954" s="36" t="str">
        <f t="shared" si="180"/>
        <v/>
      </c>
      <c r="Q1954" s="216" t="str">
        <f t="shared" si="181"/>
        <v/>
      </c>
      <c r="R1954" s="216" t="str">
        <f t="shared" si="182"/>
        <v/>
      </c>
      <c r="S1954" s="217" t="str">
        <f t="shared" si="183"/>
        <v/>
      </c>
    </row>
    <row r="1955" spans="1:19" ht="15.75" hidden="1" thickBot="1" x14ac:dyDescent="0.3">
      <c r="A1955" s="256" t="s">
        <v>510</v>
      </c>
      <c r="B1955" s="259" t="str">
        <f>INDEX(Orçamentária!A:B,MATCH(Composições!A1955,Orçamentária!A:A,0),2)</f>
        <v>Filtro em Y 1"</v>
      </c>
      <c r="C1955" s="40"/>
      <c r="D1955" s="25" t="s">
        <v>16</v>
      </c>
      <c r="E1955" s="26"/>
      <c r="F1955" s="41" t="s">
        <v>416</v>
      </c>
      <c r="G1955" s="27" t="str">
        <f t="shared" si="184"/>
        <v/>
      </c>
      <c r="H1955" s="28"/>
      <c r="I1955" s="29"/>
      <c r="J1955" s="152">
        <v>0</v>
      </c>
      <c r="L1955" s="218"/>
      <c r="M1955" s="41"/>
      <c r="N1955" s="27" t="str">
        <f t="shared" si="185"/>
        <v/>
      </c>
      <c r="O1955" s="28"/>
      <c r="P1955" s="36" t="str">
        <f t="shared" si="180"/>
        <v/>
      </c>
      <c r="Q1955" s="216" t="str">
        <f t="shared" si="181"/>
        <v/>
      </c>
      <c r="R1955" s="216" t="str">
        <f t="shared" si="182"/>
        <v/>
      </c>
      <c r="S1955" s="217" t="str">
        <f t="shared" si="183"/>
        <v/>
      </c>
    </row>
    <row r="1956" spans="1:19" ht="15.75" hidden="1" thickBot="1" x14ac:dyDescent="0.3">
      <c r="A1956" s="262"/>
      <c r="B1956" s="260"/>
      <c r="C1956" s="31"/>
      <c r="D1956" s="31"/>
      <c r="E1956" s="32"/>
      <c r="F1956" s="42" t="s">
        <v>416</v>
      </c>
      <c r="G1956" s="30" t="str">
        <f t="shared" si="184"/>
        <v/>
      </c>
      <c r="H1956" s="34"/>
      <c r="I1956" s="30"/>
      <c r="J1956" s="152">
        <v>0</v>
      </c>
      <c r="L1956" s="219"/>
      <c r="M1956" s="42"/>
      <c r="N1956" s="30" t="str">
        <f t="shared" si="185"/>
        <v/>
      </c>
      <c r="O1956" s="34"/>
      <c r="P1956" s="36" t="str">
        <f t="shared" si="180"/>
        <v/>
      </c>
      <c r="Q1956" s="216" t="str">
        <f t="shared" si="181"/>
        <v/>
      </c>
      <c r="R1956" s="216" t="str">
        <f t="shared" si="182"/>
        <v/>
      </c>
      <c r="S1956" s="217" t="str">
        <f t="shared" si="183"/>
        <v/>
      </c>
    </row>
    <row r="1957" spans="1:19" ht="26.25" hidden="1" thickBot="1" x14ac:dyDescent="0.3">
      <c r="A1957" s="262"/>
      <c r="B1957" s="260"/>
      <c r="C1957" s="35" t="s">
        <v>824</v>
      </c>
      <c r="D1957" s="35" t="s">
        <v>583</v>
      </c>
      <c r="E1957" s="36">
        <v>0.14849999999999999</v>
      </c>
      <c r="F1957" s="30">
        <v>21.166</v>
      </c>
      <c r="G1957" s="30">
        <f t="shared" si="184"/>
        <v>3.143151</v>
      </c>
      <c r="H1957" s="38">
        <f>SUM(G1957:G1960)</f>
        <v>7.3193785499999997</v>
      </c>
      <c r="I1957" s="39"/>
      <c r="J1957" s="152">
        <v>0</v>
      </c>
      <c r="L1957" s="215">
        <v>0.14849999999999999</v>
      </c>
      <c r="M1957" s="30">
        <v>18.118096000000001</v>
      </c>
      <c r="N1957" s="30">
        <f t="shared" si="185"/>
        <v>2.6905372560000003</v>
      </c>
      <c r="O1957" s="38">
        <f>SUM(N1957:N1960)</f>
        <v>6.2653880388000003</v>
      </c>
      <c r="P1957" s="36" t="str">
        <f t="shared" si="180"/>
        <v/>
      </c>
      <c r="Q1957" s="216">
        <f t="shared" si="181"/>
        <v>0.14399999999999991</v>
      </c>
      <c r="R1957" s="216">
        <f t="shared" si="182"/>
        <v>0.14399999999999991</v>
      </c>
      <c r="S1957" s="217">
        <f t="shared" si="183"/>
        <v>0.14399999999999991</v>
      </c>
    </row>
    <row r="1958" spans="1:19" ht="26.25" hidden="1" thickBot="1" x14ac:dyDescent="0.3">
      <c r="A1958" s="262"/>
      <c r="B1958" s="260"/>
      <c r="C1958" s="35" t="s">
        <v>825</v>
      </c>
      <c r="D1958" s="35" t="s">
        <v>583</v>
      </c>
      <c r="E1958" s="36">
        <v>0.14849999999999999</v>
      </c>
      <c r="F1958" s="30">
        <v>26.799499999999998</v>
      </c>
      <c r="G1958" s="30">
        <f t="shared" si="184"/>
        <v>3.9797257499999996</v>
      </c>
      <c r="H1958" s="34"/>
      <c r="I1958" s="30"/>
      <c r="J1958" s="152">
        <v>0</v>
      </c>
      <c r="L1958" s="215">
        <v>0.14849999999999999</v>
      </c>
      <c r="M1958" s="30">
        <v>22.940372</v>
      </c>
      <c r="N1958" s="30">
        <f t="shared" si="185"/>
        <v>3.4066452419999997</v>
      </c>
      <c r="O1958" s="34"/>
      <c r="P1958" s="36" t="str">
        <f t="shared" si="180"/>
        <v/>
      </c>
      <c r="Q1958" s="216">
        <f t="shared" si="181"/>
        <v>0.14399999999999991</v>
      </c>
      <c r="R1958" s="216">
        <f t="shared" si="182"/>
        <v>0.14400000000000002</v>
      </c>
      <c r="S1958" s="217" t="str">
        <f t="shared" si="183"/>
        <v/>
      </c>
    </row>
    <row r="1959" spans="1:19" ht="39" hidden="1" thickBot="1" x14ac:dyDescent="0.3">
      <c r="A1959" s="262"/>
      <c r="B1959" s="260"/>
      <c r="C1959" s="35" t="s">
        <v>511</v>
      </c>
      <c r="D1959" s="35" t="s">
        <v>107</v>
      </c>
      <c r="E1959" s="36">
        <v>1</v>
      </c>
      <c r="F1959" s="33" t="s">
        <v>416</v>
      </c>
      <c r="G1959" s="30" t="str">
        <f t="shared" si="184"/>
        <v/>
      </c>
      <c r="H1959" s="34"/>
      <c r="I1959" s="30"/>
      <c r="J1959" s="152">
        <v>0</v>
      </c>
      <c r="L1959" s="215">
        <v>1</v>
      </c>
      <c r="M1959" s="33"/>
      <c r="N1959" s="30" t="str">
        <f t="shared" si="185"/>
        <v/>
      </c>
      <c r="O1959" s="34"/>
      <c r="P1959" s="36" t="str">
        <f t="shared" si="180"/>
        <v/>
      </c>
      <c r="Q1959" s="216" t="str">
        <f t="shared" si="181"/>
        <v/>
      </c>
      <c r="R1959" s="216" t="str">
        <f t="shared" si="182"/>
        <v/>
      </c>
      <c r="S1959" s="217" t="str">
        <f t="shared" si="183"/>
        <v/>
      </c>
    </row>
    <row r="1960" spans="1:19" ht="15.75" hidden="1" thickBot="1" x14ac:dyDescent="0.3">
      <c r="A1960" s="262"/>
      <c r="B1960" s="260"/>
      <c r="C1960" s="35" t="s">
        <v>244</v>
      </c>
      <c r="D1960" s="35" t="s">
        <v>213</v>
      </c>
      <c r="E1960" s="36">
        <v>1.32E-2</v>
      </c>
      <c r="F1960" s="33">
        <v>14.8865</v>
      </c>
      <c r="G1960" s="30">
        <f t="shared" si="184"/>
        <v>0.1965018</v>
      </c>
      <c r="H1960" s="34"/>
      <c r="I1960" s="30"/>
      <c r="J1960" s="152">
        <v>0</v>
      </c>
      <c r="L1960" s="215">
        <v>1.32E-2</v>
      </c>
      <c r="M1960" s="33">
        <v>12.742844</v>
      </c>
      <c r="N1960" s="30">
        <f t="shared" si="185"/>
        <v>0.1682055408</v>
      </c>
      <c r="O1960" s="34"/>
      <c r="P1960" s="36" t="str">
        <f t="shared" si="180"/>
        <v/>
      </c>
      <c r="Q1960" s="216">
        <f t="shared" si="181"/>
        <v>0.14400000000000002</v>
      </c>
      <c r="R1960" s="216">
        <f t="shared" si="182"/>
        <v>0.14400000000000002</v>
      </c>
      <c r="S1960" s="217" t="str">
        <f t="shared" si="183"/>
        <v/>
      </c>
    </row>
    <row r="1961" spans="1:19" ht="15.75" hidden="1" thickBot="1" x14ac:dyDescent="0.3">
      <c r="A1961" s="263"/>
      <c r="B1961" s="261"/>
      <c r="C1961" s="35"/>
      <c r="D1961" s="35"/>
      <c r="E1961" s="36"/>
      <c r="F1961" s="30" t="s">
        <v>416</v>
      </c>
      <c r="G1961" s="30" t="str">
        <f t="shared" si="184"/>
        <v/>
      </c>
      <c r="H1961" s="34"/>
      <c r="I1961" s="30"/>
      <c r="J1961" s="152">
        <v>0</v>
      </c>
      <c r="L1961" s="215"/>
      <c r="M1961" s="30"/>
      <c r="N1961" s="30" t="str">
        <f t="shared" si="185"/>
        <v/>
      </c>
      <c r="O1961" s="34"/>
      <c r="P1961" s="36" t="str">
        <f t="shared" si="180"/>
        <v/>
      </c>
      <c r="Q1961" s="216" t="str">
        <f t="shared" si="181"/>
        <v/>
      </c>
      <c r="R1961" s="216" t="str">
        <f t="shared" si="182"/>
        <v/>
      </c>
      <c r="S1961" s="217" t="str">
        <f t="shared" si="183"/>
        <v/>
      </c>
    </row>
    <row r="1962" spans="1:19" ht="15.75" hidden="1" thickBot="1" x14ac:dyDescent="0.3">
      <c r="A1962" s="256" t="s">
        <v>512</v>
      </c>
      <c r="B1962" s="259" t="str">
        <f>INDEX(Orçamentária!A:B,MATCH(Composições!A1962,Orçamentária!A:A,0),2)</f>
        <v>Filtro em Y 3/4"</v>
      </c>
      <c r="C1962" s="40"/>
      <c r="D1962" s="25" t="s">
        <v>16</v>
      </c>
      <c r="E1962" s="26"/>
      <c r="F1962" s="41" t="s">
        <v>416</v>
      </c>
      <c r="G1962" s="27" t="str">
        <f t="shared" si="184"/>
        <v/>
      </c>
      <c r="H1962" s="28"/>
      <c r="I1962" s="29"/>
      <c r="J1962" s="152">
        <v>0</v>
      </c>
      <c r="L1962" s="218"/>
      <c r="M1962" s="41"/>
      <c r="N1962" s="27" t="str">
        <f t="shared" si="185"/>
        <v/>
      </c>
      <c r="O1962" s="28"/>
      <c r="P1962" s="36" t="str">
        <f t="shared" si="180"/>
        <v/>
      </c>
      <c r="Q1962" s="216" t="str">
        <f t="shared" si="181"/>
        <v/>
      </c>
      <c r="R1962" s="216" t="str">
        <f t="shared" si="182"/>
        <v/>
      </c>
      <c r="S1962" s="217" t="str">
        <f t="shared" si="183"/>
        <v/>
      </c>
    </row>
    <row r="1963" spans="1:19" ht="15.75" hidden="1" thickBot="1" x14ac:dyDescent="0.3">
      <c r="A1963" s="262"/>
      <c r="B1963" s="260"/>
      <c r="C1963" s="31"/>
      <c r="D1963" s="31"/>
      <c r="E1963" s="32"/>
      <c r="F1963" s="42" t="s">
        <v>416</v>
      </c>
      <c r="G1963" s="30" t="str">
        <f t="shared" si="184"/>
        <v/>
      </c>
      <c r="H1963" s="34"/>
      <c r="I1963" s="30"/>
      <c r="J1963" s="152">
        <v>0</v>
      </c>
      <c r="L1963" s="219"/>
      <c r="M1963" s="42"/>
      <c r="N1963" s="30" t="str">
        <f t="shared" si="185"/>
        <v/>
      </c>
      <c r="O1963" s="34"/>
      <c r="P1963" s="36" t="str">
        <f t="shared" si="180"/>
        <v/>
      </c>
      <c r="Q1963" s="216" t="str">
        <f t="shared" si="181"/>
        <v/>
      </c>
      <c r="R1963" s="216" t="str">
        <f t="shared" si="182"/>
        <v/>
      </c>
      <c r="S1963" s="217" t="str">
        <f t="shared" si="183"/>
        <v/>
      </c>
    </row>
    <row r="1964" spans="1:19" ht="26.25" hidden="1" thickBot="1" x14ac:dyDescent="0.3">
      <c r="A1964" s="262"/>
      <c r="B1964" s="260"/>
      <c r="C1964" s="35" t="s">
        <v>824</v>
      </c>
      <c r="D1964" s="35" t="s">
        <v>583</v>
      </c>
      <c r="E1964" s="36">
        <v>0.11020000000000001</v>
      </c>
      <c r="F1964" s="30">
        <v>21.166</v>
      </c>
      <c r="G1964" s="30">
        <f t="shared" si="184"/>
        <v>2.3324932</v>
      </c>
      <c r="H1964" s="38">
        <f>SUM(G1964:G1967)</f>
        <v>5.4435950000000002</v>
      </c>
      <c r="I1964" s="39"/>
      <c r="J1964" s="152">
        <v>0</v>
      </c>
      <c r="L1964" s="215">
        <v>0.11020000000000001</v>
      </c>
      <c r="M1964" s="30">
        <v>18.118096000000001</v>
      </c>
      <c r="N1964" s="30">
        <f t="shared" si="185"/>
        <v>1.9966141792000003</v>
      </c>
      <c r="O1964" s="38">
        <f>SUM(N1964:N1967)</f>
        <v>4.6597173200000004</v>
      </c>
      <c r="P1964" s="36" t="str">
        <f t="shared" si="180"/>
        <v/>
      </c>
      <c r="Q1964" s="216">
        <f t="shared" si="181"/>
        <v>0.14399999999999991</v>
      </c>
      <c r="R1964" s="216">
        <f t="shared" si="182"/>
        <v>0.14399999999999991</v>
      </c>
      <c r="S1964" s="217">
        <f t="shared" si="183"/>
        <v>0.14399999999999991</v>
      </c>
    </row>
    <row r="1965" spans="1:19" ht="26.25" hidden="1" thickBot="1" x14ac:dyDescent="0.3">
      <c r="A1965" s="262"/>
      <c r="B1965" s="260"/>
      <c r="C1965" s="35" t="s">
        <v>825</v>
      </c>
      <c r="D1965" s="35" t="s">
        <v>583</v>
      </c>
      <c r="E1965" s="36">
        <v>0.11020000000000001</v>
      </c>
      <c r="F1965" s="30">
        <v>26.799499999999998</v>
      </c>
      <c r="G1965" s="30">
        <f t="shared" si="184"/>
        <v>2.9533049</v>
      </c>
      <c r="H1965" s="34"/>
      <c r="I1965" s="30"/>
      <c r="J1965" s="152">
        <v>0</v>
      </c>
      <c r="L1965" s="215">
        <v>0.11020000000000001</v>
      </c>
      <c r="M1965" s="30">
        <v>22.940372</v>
      </c>
      <c r="N1965" s="30">
        <f t="shared" si="185"/>
        <v>2.5280289944000001</v>
      </c>
      <c r="O1965" s="34"/>
      <c r="P1965" s="36" t="str">
        <f t="shared" si="180"/>
        <v/>
      </c>
      <c r="Q1965" s="216">
        <f t="shared" si="181"/>
        <v>0.14399999999999991</v>
      </c>
      <c r="R1965" s="216">
        <f t="shared" si="182"/>
        <v>0.14400000000000002</v>
      </c>
      <c r="S1965" s="217" t="str">
        <f t="shared" si="183"/>
        <v/>
      </c>
    </row>
    <row r="1966" spans="1:19" ht="39" hidden="1" thickBot="1" x14ac:dyDescent="0.3">
      <c r="A1966" s="262"/>
      <c r="B1966" s="260"/>
      <c r="C1966" s="35" t="s">
        <v>513</v>
      </c>
      <c r="D1966" s="35" t="s">
        <v>107</v>
      </c>
      <c r="E1966" s="36">
        <v>1</v>
      </c>
      <c r="F1966" s="33" t="s">
        <v>416</v>
      </c>
      <c r="G1966" s="30" t="str">
        <f t="shared" si="184"/>
        <v/>
      </c>
      <c r="H1966" s="34"/>
      <c r="I1966" s="30"/>
      <c r="J1966" s="152">
        <v>0</v>
      </c>
      <c r="L1966" s="215">
        <v>1</v>
      </c>
      <c r="M1966" s="33"/>
      <c r="N1966" s="30" t="str">
        <f t="shared" si="185"/>
        <v/>
      </c>
      <c r="O1966" s="34"/>
      <c r="P1966" s="36" t="str">
        <f t="shared" si="180"/>
        <v/>
      </c>
      <c r="Q1966" s="216" t="str">
        <f t="shared" si="181"/>
        <v/>
      </c>
      <c r="R1966" s="216" t="str">
        <f t="shared" si="182"/>
        <v/>
      </c>
      <c r="S1966" s="217" t="str">
        <f t="shared" si="183"/>
        <v/>
      </c>
    </row>
    <row r="1967" spans="1:19" ht="15.75" hidden="1" thickBot="1" x14ac:dyDescent="0.3">
      <c r="A1967" s="262"/>
      <c r="B1967" s="260"/>
      <c r="C1967" s="35" t="s">
        <v>244</v>
      </c>
      <c r="D1967" s="35" t="s">
        <v>213</v>
      </c>
      <c r="E1967" s="36">
        <v>1.06E-2</v>
      </c>
      <c r="F1967" s="33">
        <v>14.8865</v>
      </c>
      <c r="G1967" s="30">
        <f t="shared" si="184"/>
        <v>0.15779689999999999</v>
      </c>
      <c r="H1967" s="34"/>
      <c r="I1967" s="30"/>
      <c r="J1967" s="152">
        <v>0</v>
      </c>
      <c r="L1967" s="215">
        <v>1.06E-2</v>
      </c>
      <c r="M1967" s="33">
        <v>12.742844</v>
      </c>
      <c r="N1967" s="30">
        <f t="shared" si="185"/>
        <v>0.13507414640000001</v>
      </c>
      <c r="O1967" s="34"/>
      <c r="P1967" s="36" t="str">
        <f t="shared" si="180"/>
        <v/>
      </c>
      <c r="Q1967" s="216">
        <f t="shared" si="181"/>
        <v>0.14400000000000002</v>
      </c>
      <c r="R1967" s="216">
        <f t="shared" si="182"/>
        <v>0.14399999999999991</v>
      </c>
      <c r="S1967" s="217" t="str">
        <f t="shared" si="183"/>
        <v/>
      </c>
    </row>
    <row r="1968" spans="1:19" ht="15.75" hidden="1" thickBot="1" x14ac:dyDescent="0.3">
      <c r="A1968" s="263"/>
      <c r="B1968" s="261"/>
      <c r="C1968" s="35"/>
      <c r="D1968" s="35"/>
      <c r="E1968" s="36"/>
      <c r="F1968" s="30" t="s">
        <v>416</v>
      </c>
      <c r="G1968" s="30" t="str">
        <f t="shared" si="184"/>
        <v/>
      </c>
      <c r="H1968" s="34"/>
      <c r="I1968" s="30"/>
      <c r="J1968" s="152">
        <v>0</v>
      </c>
      <c r="L1968" s="215"/>
      <c r="M1968" s="30"/>
      <c r="N1968" s="30" t="str">
        <f t="shared" si="185"/>
        <v/>
      </c>
      <c r="O1968" s="34"/>
      <c r="P1968" s="36" t="str">
        <f t="shared" si="180"/>
        <v/>
      </c>
      <c r="Q1968" s="216" t="str">
        <f t="shared" si="181"/>
        <v/>
      </c>
      <c r="R1968" s="216" t="str">
        <f t="shared" si="182"/>
        <v/>
      </c>
      <c r="S1968" s="217" t="str">
        <f t="shared" si="183"/>
        <v/>
      </c>
    </row>
    <row r="1969" spans="1:19" ht="15.75" hidden="1" thickBot="1" x14ac:dyDescent="0.3">
      <c r="A1969" s="256" t="s">
        <v>514</v>
      </c>
      <c r="B1969" s="259" t="str">
        <f>INDEX(Orçamentária!A:B,MATCH(Composições!A1969,Orçamentária!A:A,0),2)</f>
        <v>Válvula de balanceamento e controle independente da pressão (PIBCV) 2 vias 1"</v>
      </c>
      <c r="C1969" s="40"/>
      <c r="D1969" s="25" t="s">
        <v>16</v>
      </c>
      <c r="E1969" s="26"/>
      <c r="F1969" s="41" t="s">
        <v>416</v>
      </c>
      <c r="G1969" s="27" t="str">
        <f t="shared" si="184"/>
        <v/>
      </c>
      <c r="H1969" s="28"/>
      <c r="I1969" s="29"/>
      <c r="J1969" s="152">
        <v>0</v>
      </c>
      <c r="L1969" s="218"/>
      <c r="M1969" s="41"/>
      <c r="N1969" s="27" t="str">
        <f t="shared" si="185"/>
        <v/>
      </c>
      <c r="O1969" s="28"/>
      <c r="P1969" s="36" t="str">
        <f t="shared" si="180"/>
        <v/>
      </c>
      <c r="Q1969" s="216" t="str">
        <f t="shared" si="181"/>
        <v/>
      </c>
      <c r="R1969" s="216" t="str">
        <f t="shared" si="182"/>
        <v/>
      </c>
      <c r="S1969" s="217" t="str">
        <f t="shared" si="183"/>
        <v/>
      </c>
    </row>
    <row r="1970" spans="1:19" ht="15.75" hidden="1" thickBot="1" x14ac:dyDescent="0.3">
      <c r="A1970" s="262"/>
      <c r="B1970" s="260"/>
      <c r="C1970" s="31"/>
      <c r="D1970" s="31"/>
      <c r="E1970" s="32"/>
      <c r="F1970" s="42" t="s">
        <v>416</v>
      </c>
      <c r="G1970" s="30" t="str">
        <f t="shared" si="184"/>
        <v/>
      </c>
      <c r="H1970" s="34"/>
      <c r="I1970" s="30"/>
      <c r="J1970" s="152">
        <v>0</v>
      </c>
      <c r="L1970" s="219"/>
      <c r="M1970" s="42"/>
      <c r="N1970" s="30" t="str">
        <f t="shared" si="185"/>
        <v/>
      </c>
      <c r="O1970" s="34"/>
      <c r="P1970" s="36" t="str">
        <f t="shared" si="180"/>
        <v/>
      </c>
      <c r="Q1970" s="216" t="str">
        <f t="shared" si="181"/>
        <v/>
      </c>
      <c r="R1970" s="216" t="str">
        <f t="shared" si="182"/>
        <v/>
      </c>
      <c r="S1970" s="217" t="str">
        <f t="shared" si="183"/>
        <v/>
      </c>
    </row>
    <row r="1971" spans="1:19" ht="26.25" hidden="1" thickBot="1" x14ac:dyDescent="0.3">
      <c r="A1971" s="262"/>
      <c r="B1971" s="260"/>
      <c r="C1971" s="35" t="s">
        <v>824</v>
      </c>
      <c r="D1971" s="35" t="s">
        <v>583</v>
      </c>
      <c r="E1971" s="36">
        <v>0.14849999999999999</v>
      </c>
      <c r="F1971" s="30">
        <v>21.166</v>
      </c>
      <c r="G1971" s="30">
        <f t="shared" si="184"/>
        <v>3.143151</v>
      </c>
      <c r="H1971" s="38">
        <f>SUM(G1971:G1975)</f>
        <v>7.3193785499999997</v>
      </c>
      <c r="I1971" s="39"/>
      <c r="J1971" s="152">
        <v>0</v>
      </c>
      <c r="L1971" s="215">
        <v>0.14849999999999999</v>
      </c>
      <c r="M1971" s="30">
        <v>18.118096000000001</v>
      </c>
      <c r="N1971" s="30">
        <f t="shared" si="185"/>
        <v>2.6905372560000003</v>
      </c>
      <c r="O1971" s="38">
        <f>SUM(N1971:N1975)</f>
        <v>6.2653880388000003</v>
      </c>
      <c r="P1971" s="36" t="str">
        <f t="shared" si="180"/>
        <v/>
      </c>
      <c r="Q1971" s="216">
        <f t="shared" si="181"/>
        <v>0.14399999999999991</v>
      </c>
      <c r="R1971" s="216">
        <f t="shared" si="182"/>
        <v>0.14399999999999991</v>
      </c>
      <c r="S1971" s="217">
        <f t="shared" si="183"/>
        <v>0.14399999999999991</v>
      </c>
    </row>
    <row r="1972" spans="1:19" ht="26.25" hidden="1" thickBot="1" x14ac:dyDescent="0.3">
      <c r="A1972" s="262"/>
      <c r="B1972" s="260"/>
      <c r="C1972" s="35" t="s">
        <v>825</v>
      </c>
      <c r="D1972" s="35" t="s">
        <v>583</v>
      </c>
      <c r="E1972" s="36">
        <v>0.14849999999999999</v>
      </c>
      <c r="F1972" s="30">
        <v>26.799499999999998</v>
      </c>
      <c r="G1972" s="30">
        <f t="shared" si="184"/>
        <v>3.9797257499999996</v>
      </c>
      <c r="H1972" s="34"/>
      <c r="I1972" s="30"/>
      <c r="J1972" s="152">
        <v>0</v>
      </c>
      <c r="L1972" s="215">
        <v>0.14849999999999999</v>
      </c>
      <c r="M1972" s="30">
        <v>22.940372</v>
      </c>
      <c r="N1972" s="30">
        <f t="shared" si="185"/>
        <v>3.4066452419999997</v>
      </c>
      <c r="O1972" s="34"/>
      <c r="P1972" s="36" t="str">
        <f t="shared" si="180"/>
        <v/>
      </c>
      <c r="Q1972" s="216">
        <f t="shared" si="181"/>
        <v>0.14399999999999991</v>
      </c>
      <c r="R1972" s="216">
        <f t="shared" si="182"/>
        <v>0.14400000000000002</v>
      </c>
      <c r="S1972" s="217" t="str">
        <f t="shared" si="183"/>
        <v/>
      </c>
    </row>
    <row r="1973" spans="1:19" ht="15.75" hidden="1" thickBot="1" x14ac:dyDescent="0.3">
      <c r="A1973" s="262"/>
      <c r="B1973" s="260"/>
      <c r="C1973" s="35" t="s">
        <v>244</v>
      </c>
      <c r="D1973" s="35" t="s">
        <v>213</v>
      </c>
      <c r="E1973" s="36">
        <v>1.32E-2</v>
      </c>
      <c r="F1973" s="33">
        <v>14.8865</v>
      </c>
      <c r="G1973" s="30">
        <f t="shared" si="184"/>
        <v>0.1965018</v>
      </c>
      <c r="H1973" s="34"/>
      <c r="I1973" s="30"/>
      <c r="J1973" s="152">
        <v>0</v>
      </c>
      <c r="L1973" s="215">
        <v>1.32E-2</v>
      </c>
      <c r="M1973" s="33">
        <v>12.742844</v>
      </c>
      <c r="N1973" s="30">
        <f t="shared" si="185"/>
        <v>0.1682055408</v>
      </c>
      <c r="O1973" s="34"/>
      <c r="P1973" s="36" t="str">
        <f t="shared" si="180"/>
        <v/>
      </c>
      <c r="Q1973" s="216">
        <f t="shared" si="181"/>
        <v>0.14400000000000002</v>
      </c>
      <c r="R1973" s="216">
        <f t="shared" si="182"/>
        <v>0.14400000000000002</v>
      </c>
      <c r="S1973" s="217" t="str">
        <f t="shared" si="183"/>
        <v/>
      </c>
    </row>
    <row r="1974" spans="1:19" ht="39" hidden="1" thickBot="1" x14ac:dyDescent="0.3">
      <c r="A1974" s="262"/>
      <c r="B1974" s="260"/>
      <c r="C1974" s="35" t="s">
        <v>515</v>
      </c>
      <c r="D1974" s="35" t="s">
        <v>107</v>
      </c>
      <c r="E1974" s="36">
        <v>1</v>
      </c>
      <c r="F1974" s="33" t="s">
        <v>416</v>
      </c>
      <c r="G1974" s="30" t="str">
        <f t="shared" si="184"/>
        <v/>
      </c>
      <c r="H1974" s="34"/>
      <c r="I1974" s="30"/>
      <c r="J1974" s="152">
        <v>0</v>
      </c>
      <c r="L1974" s="215">
        <v>1</v>
      </c>
      <c r="M1974" s="33"/>
      <c r="N1974" s="30" t="str">
        <f t="shared" si="185"/>
        <v/>
      </c>
      <c r="O1974" s="34"/>
      <c r="P1974" s="36" t="str">
        <f t="shared" si="180"/>
        <v/>
      </c>
      <c r="Q1974" s="216" t="str">
        <f t="shared" si="181"/>
        <v/>
      </c>
      <c r="R1974" s="216" t="str">
        <f t="shared" si="182"/>
        <v/>
      </c>
      <c r="S1974" s="217" t="str">
        <f t="shared" si="183"/>
        <v/>
      </c>
    </row>
    <row r="1975" spans="1:19" ht="39" hidden="1" thickBot="1" x14ac:dyDescent="0.3">
      <c r="A1975" s="262"/>
      <c r="B1975" s="260"/>
      <c r="C1975" s="35" t="s">
        <v>516</v>
      </c>
      <c r="D1975" s="35" t="s">
        <v>107</v>
      </c>
      <c r="E1975" s="36">
        <v>1</v>
      </c>
      <c r="F1975" s="33" t="s">
        <v>416</v>
      </c>
      <c r="G1975" s="30" t="str">
        <f t="shared" si="184"/>
        <v/>
      </c>
      <c r="H1975" s="34"/>
      <c r="I1975" s="30"/>
      <c r="J1975" s="152">
        <v>0</v>
      </c>
      <c r="L1975" s="215">
        <v>1</v>
      </c>
      <c r="M1975" s="33"/>
      <c r="N1975" s="30" t="str">
        <f t="shared" si="185"/>
        <v/>
      </c>
      <c r="O1975" s="34"/>
      <c r="P1975" s="36" t="str">
        <f t="shared" si="180"/>
        <v/>
      </c>
      <c r="Q1975" s="216" t="str">
        <f t="shared" si="181"/>
        <v/>
      </c>
      <c r="R1975" s="216" t="str">
        <f t="shared" si="182"/>
        <v/>
      </c>
      <c r="S1975" s="217" t="str">
        <f t="shared" si="183"/>
        <v/>
      </c>
    </row>
    <row r="1976" spans="1:19" ht="15.75" hidden="1" thickBot="1" x14ac:dyDescent="0.3">
      <c r="A1976" s="263"/>
      <c r="B1976" s="261"/>
      <c r="C1976" s="35"/>
      <c r="D1976" s="35"/>
      <c r="E1976" s="36"/>
      <c r="F1976" s="30" t="s">
        <v>416</v>
      </c>
      <c r="G1976" s="30" t="str">
        <f t="shared" si="184"/>
        <v/>
      </c>
      <c r="H1976" s="34"/>
      <c r="I1976" s="30"/>
      <c r="J1976" s="152">
        <v>0</v>
      </c>
      <c r="L1976" s="215"/>
      <c r="M1976" s="30"/>
      <c r="N1976" s="30" t="str">
        <f t="shared" si="185"/>
        <v/>
      </c>
      <c r="O1976" s="34"/>
      <c r="P1976" s="36" t="str">
        <f t="shared" si="180"/>
        <v/>
      </c>
      <c r="Q1976" s="216" t="str">
        <f t="shared" si="181"/>
        <v/>
      </c>
      <c r="R1976" s="216" t="str">
        <f t="shared" si="182"/>
        <v/>
      </c>
      <c r="S1976" s="217" t="str">
        <f t="shared" si="183"/>
        <v/>
      </c>
    </row>
    <row r="1977" spans="1:19" ht="15.75" hidden="1" thickBot="1" x14ac:dyDescent="0.3">
      <c r="A1977" s="256" t="s">
        <v>517</v>
      </c>
      <c r="B1977" s="259" t="str">
        <f>INDEX(Orçamentária!A:B,MATCH(Composições!A1977,Orçamentária!A:A,0),2)</f>
        <v>Válvula de balanceamento e controle independente da pressão (PIBCV) 2 vias 3/4"</v>
      </c>
      <c r="C1977" s="40"/>
      <c r="D1977" s="25" t="s">
        <v>16</v>
      </c>
      <c r="E1977" s="26"/>
      <c r="F1977" s="41" t="s">
        <v>416</v>
      </c>
      <c r="G1977" s="27" t="str">
        <f t="shared" si="184"/>
        <v/>
      </c>
      <c r="H1977" s="28"/>
      <c r="I1977" s="29"/>
      <c r="J1977" s="152">
        <v>0</v>
      </c>
      <c r="L1977" s="218"/>
      <c r="M1977" s="41"/>
      <c r="N1977" s="27" t="str">
        <f t="shared" si="185"/>
        <v/>
      </c>
      <c r="O1977" s="28"/>
      <c r="P1977" s="36" t="str">
        <f t="shared" si="180"/>
        <v/>
      </c>
      <c r="Q1977" s="216" t="str">
        <f t="shared" si="181"/>
        <v/>
      </c>
      <c r="R1977" s="216" t="str">
        <f t="shared" si="182"/>
        <v/>
      </c>
      <c r="S1977" s="217" t="str">
        <f t="shared" si="183"/>
        <v/>
      </c>
    </row>
    <row r="1978" spans="1:19" ht="15.75" hidden="1" thickBot="1" x14ac:dyDescent="0.3">
      <c r="A1978" s="262"/>
      <c r="B1978" s="260"/>
      <c r="C1978" s="31"/>
      <c r="D1978" s="31"/>
      <c r="E1978" s="32"/>
      <c r="F1978" s="42" t="s">
        <v>416</v>
      </c>
      <c r="G1978" s="30" t="str">
        <f t="shared" si="184"/>
        <v/>
      </c>
      <c r="H1978" s="34"/>
      <c r="I1978" s="30"/>
      <c r="J1978" s="152">
        <v>0</v>
      </c>
      <c r="L1978" s="219"/>
      <c r="M1978" s="42"/>
      <c r="N1978" s="30" t="str">
        <f t="shared" si="185"/>
        <v/>
      </c>
      <c r="O1978" s="34"/>
      <c r="P1978" s="36" t="str">
        <f t="shared" si="180"/>
        <v/>
      </c>
      <c r="Q1978" s="216" t="str">
        <f t="shared" si="181"/>
        <v/>
      </c>
      <c r="R1978" s="216" t="str">
        <f t="shared" si="182"/>
        <v/>
      </c>
      <c r="S1978" s="217" t="str">
        <f t="shared" si="183"/>
        <v/>
      </c>
    </row>
    <row r="1979" spans="1:19" ht="26.25" hidden="1" thickBot="1" x14ac:dyDescent="0.3">
      <c r="A1979" s="262"/>
      <c r="B1979" s="260"/>
      <c r="C1979" s="35" t="s">
        <v>824</v>
      </c>
      <c r="D1979" s="35" t="s">
        <v>583</v>
      </c>
      <c r="E1979" s="36">
        <v>0.11020000000000001</v>
      </c>
      <c r="F1979" s="30">
        <v>21.166</v>
      </c>
      <c r="G1979" s="30">
        <f t="shared" si="184"/>
        <v>2.3324932</v>
      </c>
      <c r="H1979" s="38">
        <f>SUM(G1979:G1983)</f>
        <v>5.4435950000000002</v>
      </c>
      <c r="I1979" s="39"/>
      <c r="J1979" s="152">
        <v>0</v>
      </c>
      <c r="L1979" s="215">
        <v>0.11020000000000001</v>
      </c>
      <c r="M1979" s="30">
        <v>18.118096000000001</v>
      </c>
      <c r="N1979" s="30">
        <f t="shared" si="185"/>
        <v>1.9966141792000003</v>
      </c>
      <c r="O1979" s="38">
        <f>SUM(N1979:N1983)</f>
        <v>4.6597173200000004</v>
      </c>
      <c r="P1979" s="36" t="str">
        <f t="shared" si="180"/>
        <v/>
      </c>
      <c r="Q1979" s="216">
        <f t="shared" si="181"/>
        <v>0.14399999999999991</v>
      </c>
      <c r="R1979" s="216">
        <f t="shared" si="182"/>
        <v>0.14399999999999991</v>
      </c>
      <c r="S1979" s="217">
        <f t="shared" si="183"/>
        <v>0.14399999999999991</v>
      </c>
    </row>
    <row r="1980" spans="1:19" ht="26.25" hidden="1" thickBot="1" x14ac:dyDescent="0.3">
      <c r="A1980" s="262"/>
      <c r="B1980" s="260"/>
      <c r="C1980" s="35" t="s">
        <v>825</v>
      </c>
      <c r="D1980" s="35" t="s">
        <v>583</v>
      </c>
      <c r="E1980" s="36">
        <v>0.11020000000000001</v>
      </c>
      <c r="F1980" s="30">
        <v>26.799499999999998</v>
      </c>
      <c r="G1980" s="30">
        <f t="shared" si="184"/>
        <v>2.9533049</v>
      </c>
      <c r="H1980" s="34"/>
      <c r="I1980" s="30"/>
      <c r="J1980" s="152">
        <v>0</v>
      </c>
      <c r="L1980" s="215">
        <v>0.11020000000000001</v>
      </c>
      <c r="M1980" s="30">
        <v>22.940372</v>
      </c>
      <c r="N1980" s="30">
        <f t="shared" si="185"/>
        <v>2.5280289944000001</v>
      </c>
      <c r="O1980" s="34"/>
      <c r="P1980" s="36" t="str">
        <f t="shared" si="180"/>
        <v/>
      </c>
      <c r="Q1980" s="216">
        <f t="shared" si="181"/>
        <v>0.14399999999999991</v>
      </c>
      <c r="R1980" s="216">
        <f t="shared" si="182"/>
        <v>0.14400000000000002</v>
      </c>
      <c r="S1980" s="217" t="str">
        <f t="shared" si="183"/>
        <v/>
      </c>
    </row>
    <row r="1981" spans="1:19" ht="15.75" hidden="1" thickBot="1" x14ac:dyDescent="0.3">
      <c r="A1981" s="262"/>
      <c r="B1981" s="260"/>
      <c r="C1981" s="35" t="s">
        <v>244</v>
      </c>
      <c r="D1981" s="35" t="s">
        <v>213</v>
      </c>
      <c r="E1981" s="36">
        <v>1.06E-2</v>
      </c>
      <c r="F1981" s="33">
        <v>14.8865</v>
      </c>
      <c r="G1981" s="30">
        <f t="shared" si="184"/>
        <v>0.15779689999999999</v>
      </c>
      <c r="H1981" s="34"/>
      <c r="I1981" s="30"/>
      <c r="J1981" s="152">
        <v>0</v>
      </c>
      <c r="L1981" s="215">
        <v>1.06E-2</v>
      </c>
      <c r="M1981" s="33">
        <v>12.742844</v>
      </c>
      <c r="N1981" s="30">
        <f t="shared" si="185"/>
        <v>0.13507414640000001</v>
      </c>
      <c r="O1981" s="34"/>
      <c r="P1981" s="36" t="str">
        <f t="shared" si="180"/>
        <v/>
      </c>
      <c r="Q1981" s="216">
        <f t="shared" si="181"/>
        <v>0.14400000000000002</v>
      </c>
      <c r="R1981" s="216">
        <f t="shared" si="182"/>
        <v>0.14399999999999991</v>
      </c>
      <c r="S1981" s="217" t="str">
        <f t="shared" si="183"/>
        <v/>
      </c>
    </row>
    <row r="1982" spans="1:19" ht="39" hidden="1" thickBot="1" x14ac:dyDescent="0.3">
      <c r="A1982" s="262"/>
      <c r="B1982" s="260"/>
      <c r="C1982" s="35" t="s">
        <v>515</v>
      </c>
      <c r="D1982" s="35" t="s">
        <v>107</v>
      </c>
      <c r="E1982" s="36">
        <v>1</v>
      </c>
      <c r="F1982" s="33" t="s">
        <v>416</v>
      </c>
      <c r="G1982" s="30" t="str">
        <f t="shared" si="184"/>
        <v/>
      </c>
      <c r="H1982" s="34"/>
      <c r="I1982" s="30"/>
      <c r="J1982" s="152">
        <v>0</v>
      </c>
      <c r="L1982" s="215">
        <v>1</v>
      </c>
      <c r="M1982" s="33"/>
      <c r="N1982" s="30" t="str">
        <f t="shared" si="185"/>
        <v/>
      </c>
      <c r="O1982" s="34"/>
      <c r="P1982" s="36" t="str">
        <f t="shared" si="180"/>
        <v/>
      </c>
      <c r="Q1982" s="216" t="str">
        <f t="shared" si="181"/>
        <v/>
      </c>
      <c r="R1982" s="216" t="str">
        <f t="shared" si="182"/>
        <v/>
      </c>
      <c r="S1982" s="217" t="str">
        <f t="shared" si="183"/>
        <v/>
      </c>
    </row>
    <row r="1983" spans="1:19" ht="39" hidden="1" thickBot="1" x14ac:dyDescent="0.3">
      <c r="A1983" s="262"/>
      <c r="B1983" s="260"/>
      <c r="C1983" s="35" t="s">
        <v>518</v>
      </c>
      <c r="D1983" s="35" t="s">
        <v>107</v>
      </c>
      <c r="E1983" s="36">
        <v>1</v>
      </c>
      <c r="F1983" s="33" t="s">
        <v>416</v>
      </c>
      <c r="G1983" s="30" t="str">
        <f t="shared" si="184"/>
        <v/>
      </c>
      <c r="H1983" s="34"/>
      <c r="I1983" s="30"/>
      <c r="J1983" s="152">
        <v>0</v>
      </c>
      <c r="L1983" s="215">
        <v>1</v>
      </c>
      <c r="M1983" s="33"/>
      <c r="N1983" s="30" t="str">
        <f t="shared" si="185"/>
        <v/>
      </c>
      <c r="O1983" s="34"/>
      <c r="P1983" s="36" t="str">
        <f t="shared" si="180"/>
        <v/>
      </c>
      <c r="Q1983" s="216" t="str">
        <f t="shared" si="181"/>
        <v/>
      </c>
      <c r="R1983" s="216" t="str">
        <f t="shared" si="182"/>
        <v/>
      </c>
      <c r="S1983" s="217" t="str">
        <f t="shared" si="183"/>
        <v/>
      </c>
    </row>
    <row r="1984" spans="1:19" ht="15.75" hidden="1" thickBot="1" x14ac:dyDescent="0.3">
      <c r="A1984" s="263"/>
      <c r="B1984" s="261"/>
      <c r="C1984" s="35"/>
      <c r="D1984" s="35"/>
      <c r="E1984" s="36"/>
      <c r="F1984" s="30" t="s">
        <v>416</v>
      </c>
      <c r="G1984" s="30" t="str">
        <f t="shared" si="184"/>
        <v/>
      </c>
      <c r="H1984" s="34"/>
      <c r="I1984" s="30"/>
      <c r="J1984" s="152">
        <v>0</v>
      </c>
      <c r="L1984" s="215"/>
      <c r="M1984" s="30"/>
      <c r="N1984" s="30" t="str">
        <f t="shared" si="185"/>
        <v/>
      </c>
      <c r="O1984" s="34"/>
      <c r="P1984" s="36" t="str">
        <f t="shared" si="180"/>
        <v/>
      </c>
      <c r="Q1984" s="216" t="str">
        <f t="shared" si="181"/>
        <v/>
      </c>
      <c r="R1984" s="216" t="str">
        <f t="shared" si="182"/>
        <v/>
      </c>
      <c r="S1984" s="217" t="str">
        <f t="shared" si="183"/>
        <v/>
      </c>
    </row>
    <row r="1985" spans="1:19" ht="15.75" hidden="1" thickBot="1" x14ac:dyDescent="0.3">
      <c r="A1985" s="256" t="s">
        <v>519</v>
      </c>
      <c r="B1985" s="259" t="str">
        <f>INDEX(Orçamentária!A:B,MATCH(Composições!A1985,Orçamentária!A:A,0),2)</f>
        <v>Válvula de esfera em bronze 1 1/2"</v>
      </c>
      <c r="C1985" s="40"/>
      <c r="D1985" s="25" t="s">
        <v>16</v>
      </c>
      <c r="E1985" s="26"/>
      <c r="F1985" s="41" t="s">
        <v>416</v>
      </c>
      <c r="G1985" s="27" t="str">
        <f t="shared" si="184"/>
        <v/>
      </c>
      <c r="H1985" s="28"/>
      <c r="I1985" s="29"/>
      <c r="J1985" s="152">
        <v>0</v>
      </c>
      <c r="L1985" s="218"/>
      <c r="M1985" s="41"/>
      <c r="N1985" s="27" t="str">
        <f t="shared" si="185"/>
        <v/>
      </c>
      <c r="O1985" s="28"/>
      <c r="P1985" s="36" t="str">
        <f t="shared" si="180"/>
        <v/>
      </c>
      <c r="Q1985" s="216" t="str">
        <f t="shared" si="181"/>
        <v/>
      </c>
      <c r="R1985" s="216" t="str">
        <f t="shared" si="182"/>
        <v/>
      </c>
      <c r="S1985" s="217" t="str">
        <f t="shared" si="183"/>
        <v/>
      </c>
    </row>
    <row r="1986" spans="1:19" ht="15.75" hidden="1" thickBot="1" x14ac:dyDescent="0.3">
      <c r="A1986" s="262"/>
      <c r="B1986" s="260"/>
      <c r="C1986" s="31"/>
      <c r="D1986" s="31"/>
      <c r="E1986" s="32"/>
      <c r="F1986" s="42" t="s">
        <v>416</v>
      </c>
      <c r="G1986" s="30" t="str">
        <f t="shared" si="184"/>
        <v/>
      </c>
      <c r="H1986" s="34"/>
      <c r="I1986" s="30"/>
      <c r="J1986" s="152">
        <v>0</v>
      </c>
      <c r="L1986" s="219"/>
      <c r="M1986" s="42"/>
      <c r="N1986" s="30" t="str">
        <f t="shared" si="185"/>
        <v/>
      </c>
      <c r="O1986" s="34"/>
      <c r="P1986" s="36" t="str">
        <f t="shared" si="180"/>
        <v/>
      </c>
      <c r="Q1986" s="216" t="str">
        <f t="shared" si="181"/>
        <v/>
      </c>
      <c r="R1986" s="216" t="str">
        <f t="shared" si="182"/>
        <v/>
      </c>
      <c r="S1986" s="217" t="str">
        <f t="shared" si="183"/>
        <v/>
      </c>
    </row>
    <row r="1987" spans="1:19" ht="15.75" hidden="1" thickBot="1" x14ac:dyDescent="0.3">
      <c r="A1987" s="262"/>
      <c r="B1987" s="260"/>
      <c r="C1987" s="35" t="s">
        <v>244</v>
      </c>
      <c r="D1987" s="35" t="s">
        <v>213</v>
      </c>
      <c r="E1987" s="36">
        <v>1.9E-2</v>
      </c>
      <c r="F1987" s="33">
        <v>14.8865</v>
      </c>
      <c r="G1987" s="30">
        <f t="shared" si="184"/>
        <v>0.28284349999999997</v>
      </c>
      <c r="H1987" s="38">
        <f>SUM(G1987:G1990)</f>
        <v>162.37565965000002</v>
      </c>
      <c r="I1987" s="39"/>
      <c r="J1987" s="152">
        <v>0</v>
      </c>
      <c r="L1987" s="215">
        <v>1.9E-2</v>
      </c>
      <c r="M1987" s="33">
        <v>12.742844</v>
      </c>
      <c r="N1987" s="30">
        <f t="shared" si="185"/>
        <v>0.242114036</v>
      </c>
      <c r="O1987" s="38">
        <f>SUM(N1987:N1990)</f>
        <v>138.99356466040001</v>
      </c>
      <c r="P1987" s="36" t="str">
        <f t="shared" si="180"/>
        <v/>
      </c>
      <c r="Q1987" s="216">
        <f t="shared" si="181"/>
        <v>0.14400000000000002</v>
      </c>
      <c r="R1987" s="216">
        <f t="shared" si="182"/>
        <v>0.14399999999999991</v>
      </c>
      <c r="S1987" s="217">
        <f t="shared" si="183"/>
        <v>0.14400000000000002</v>
      </c>
    </row>
    <row r="1988" spans="1:19" ht="26.25" hidden="1" thickBot="1" x14ac:dyDescent="0.3">
      <c r="A1988" s="262"/>
      <c r="B1988" s="260"/>
      <c r="C1988" s="35" t="s">
        <v>520</v>
      </c>
      <c r="D1988" s="35" t="s">
        <v>213</v>
      </c>
      <c r="E1988" s="36">
        <v>1</v>
      </c>
      <c r="F1988" s="33">
        <v>149.46350000000001</v>
      </c>
      <c r="G1988" s="30">
        <f t="shared" si="184"/>
        <v>149.46350000000001</v>
      </c>
      <c r="H1988" s="34"/>
      <c r="I1988" s="30"/>
      <c r="J1988" s="152">
        <v>0</v>
      </c>
      <c r="L1988" s="215">
        <v>1</v>
      </c>
      <c r="M1988" s="33">
        <v>127.94075600000001</v>
      </c>
      <c r="N1988" s="30">
        <f t="shared" si="185"/>
        <v>127.94075600000001</v>
      </c>
      <c r="O1988" s="34"/>
      <c r="P1988" s="36" t="str">
        <f t="shared" si="180"/>
        <v/>
      </c>
      <c r="Q1988" s="216">
        <f t="shared" si="181"/>
        <v>0.14400000000000002</v>
      </c>
      <c r="R1988" s="216">
        <f t="shared" si="182"/>
        <v>0.14400000000000002</v>
      </c>
      <c r="S1988" s="217" t="str">
        <f t="shared" si="183"/>
        <v/>
      </c>
    </row>
    <row r="1989" spans="1:19" ht="26.25" hidden="1" thickBot="1" x14ac:dyDescent="0.3">
      <c r="A1989" s="262"/>
      <c r="B1989" s="260"/>
      <c r="C1989" s="35" t="s">
        <v>824</v>
      </c>
      <c r="D1989" s="35" t="s">
        <v>583</v>
      </c>
      <c r="E1989" s="36">
        <v>0.26329999999999998</v>
      </c>
      <c r="F1989" s="30">
        <v>21.166</v>
      </c>
      <c r="G1989" s="33">
        <f t="shared" si="184"/>
        <v>5.5730078000000001</v>
      </c>
      <c r="H1989" s="34"/>
      <c r="I1989" s="30"/>
      <c r="J1989" s="152">
        <v>0</v>
      </c>
      <c r="L1989" s="215">
        <v>0.26329999999999998</v>
      </c>
      <c r="M1989" s="30">
        <v>18.118096000000001</v>
      </c>
      <c r="N1989" s="33">
        <f t="shared" si="185"/>
        <v>4.7704946768000003</v>
      </c>
      <c r="O1989" s="34"/>
      <c r="P1989" s="36" t="str">
        <f t="shared" si="180"/>
        <v/>
      </c>
      <c r="Q1989" s="216">
        <f t="shared" si="181"/>
        <v>0.14399999999999991</v>
      </c>
      <c r="R1989" s="216">
        <f t="shared" si="182"/>
        <v>0.14399999999999991</v>
      </c>
      <c r="S1989" s="217" t="str">
        <f t="shared" si="183"/>
        <v/>
      </c>
    </row>
    <row r="1990" spans="1:19" ht="26.25" hidden="1" thickBot="1" x14ac:dyDescent="0.3">
      <c r="A1990" s="262"/>
      <c r="B1990" s="260"/>
      <c r="C1990" s="35" t="s">
        <v>825</v>
      </c>
      <c r="D1990" s="35" t="s">
        <v>583</v>
      </c>
      <c r="E1990" s="36">
        <v>0.26329999999999998</v>
      </c>
      <c r="F1990" s="30">
        <v>26.799499999999998</v>
      </c>
      <c r="G1990" s="33">
        <f t="shared" si="184"/>
        <v>7.0563083499999992</v>
      </c>
      <c r="H1990" s="34"/>
      <c r="I1990" s="30"/>
      <c r="J1990" s="152">
        <v>0</v>
      </c>
      <c r="L1990" s="215">
        <v>0.26329999999999998</v>
      </c>
      <c r="M1990" s="30">
        <v>22.940372</v>
      </c>
      <c r="N1990" s="33">
        <f t="shared" si="185"/>
        <v>6.0401999475999997</v>
      </c>
      <c r="O1990" s="34"/>
      <c r="P1990" s="36" t="str">
        <f t="shared" si="180"/>
        <v/>
      </c>
      <c r="Q1990" s="216">
        <f t="shared" si="181"/>
        <v>0.14399999999999991</v>
      </c>
      <c r="R1990" s="216">
        <f t="shared" si="182"/>
        <v>0.14399999999999991</v>
      </c>
      <c r="S1990" s="217" t="str">
        <f t="shared" si="183"/>
        <v/>
      </c>
    </row>
    <row r="1991" spans="1:19" ht="15.75" hidden="1" thickBot="1" x14ac:dyDescent="0.3">
      <c r="A1991" s="263"/>
      <c r="B1991" s="261"/>
      <c r="C1991" s="35"/>
      <c r="D1991" s="35"/>
      <c r="E1991" s="36"/>
      <c r="F1991" s="30" t="s">
        <v>416</v>
      </c>
      <c r="G1991" s="30" t="str">
        <f t="shared" si="184"/>
        <v/>
      </c>
      <c r="H1991" s="34"/>
      <c r="I1991" s="30"/>
      <c r="J1991" s="152">
        <v>0</v>
      </c>
      <c r="L1991" s="215"/>
      <c r="M1991" s="30"/>
      <c r="N1991" s="30" t="str">
        <f t="shared" si="185"/>
        <v/>
      </c>
      <c r="O1991" s="34"/>
      <c r="P1991" s="36" t="str">
        <f t="shared" si="180"/>
        <v/>
      </c>
      <c r="Q1991" s="216" t="str">
        <f t="shared" si="181"/>
        <v/>
      </c>
      <c r="R1991" s="216" t="str">
        <f t="shared" si="182"/>
        <v/>
      </c>
      <c r="S1991" s="217" t="str">
        <f t="shared" si="183"/>
        <v/>
      </c>
    </row>
    <row r="1992" spans="1:19" ht="15.75" hidden="1" thickBot="1" x14ac:dyDescent="0.3">
      <c r="A1992" s="256" t="s">
        <v>521</v>
      </c>
      <c r="B1992" s="259" t="str">
        <f>INDEX(Orçamentária!A:B,MATCH(Composições!A1992,Orçamentária!A:A,0),2)</f>
        <v>Válvula de esfera em bronze 1 1/4"</v>
      </c>
      <c r="C1992" s="40"/>
      <c r="D1992" s="25" t="s">
        <v>16</v>
      </c>
      <c r="E1992" s="26"/>
      <c r="F1992" s="41" t="s">
        <v>416</v>
      </c>
      <c r="G1992" s="27" t="str">
        <f t="shared" si="184"/>
        <v/>
      </c>
      <c r="H1992" s="28"/>
      <c r="I1992" s="29"/>
      <c r="J1992" s="152">
        <v>0</v>
      </c>
      <c r="L1992" s="218"/>
      <c r="M1992" s="41"/>
      <c r="N1992" s="27" t="str">
        <f t="shared" si="185"/>
        <v/>
      </c>
      <c r="O1992" s="28"/>
      <c r="P1992" s="36" t="str">
        <f t="shared" ref="P1992:P2055" si="186">IF(ISBLANK(L1992),"",IF($E1992&lt;&gt;L1992,"SIM",""))</f>
        <v/>
      </c>
      <c r="Q1992" s="216" t="str">
        <f t="shared" ref="Q1992:Q2055" si="187">IF(M1992="","",1-M1992/$F1992)</f>
        <v/>
      </c>
      <c r="R1992" s="216" t="str">
        <f t="shared" ref="R1992:R2055" si="188">IF(N1992="","",1-N1992/$G1992)</f>
        <v/>
      </c>
      <c r="S1992" s="217" t="str">
        <f t="shared" ref="S1992:S2055" si="189">IF(O1992="","",1-O1992/$H1992)</f>
        <v/>
      </c>
    </row>
    <row r="1993" spans="1:19" ht="15.75" hidden="1" thickBot="1" x14ac:dyDescent="0.3">
      <c r="A1993" s="262"/>
      <c r="B1993" s="260"/>
      <c r="C1993" s="31"/>
      <c r="D1993" s="31"/>
      <c r="E1993" s="32"/>
      <c r="F1993" s="42" t="s">
        <v>416</v>
      </c>
      <c r="G1993" s="30" t="str">
        <f t="shared" si="184"/>
        <v/>
      </c>
      <c r="H1993" s="34"/>
      <c r="I1993" s="30"/>
      <c r="J1993" s="152">
        <v>0</v>
      </c>
      <c r="L1993" s="219"/>
      <c r="M1993" s="42"/>
      <c r="N1993" s="30" t="str">
        <f t="shared" si="185"/>
        <v/>
      </c>
      <c r="O1993" s="34"/>
      <c r="P1993" s="36" t="str">
        <f t="shared" si="186"/>
        <v/>
      </c>
      <c r="Q1993" s="216" t="str">
        <f t="shared" si="187"/>
        <v/>
      </c>
      <c r="R1993" s="216" t="str">
        <f t="shared" si="188"/>
        <v/>
      </c>
      <c r="S1993" s="217" t="str">
        <f t="shared" si="189"/>
        <v/>
      </c>
    </row>
    <row r="1994" spans="1:19" ht="15.75" hidden="1" thickBot="1" x14ac:dyDescent="0.3">
      <c r="A1994" s="262"/>
      <c r="B1994" s="260"/>
      <c r="C1994" s="35" t="s">
        <v>244</v>
      </c>
      <c r="D1994" s="35" t="s">
        <v>213</v>
      </c>
      <c r="E1994" s="36">
        <v>1.6799999999999999E-2</v>
      </c>
      <c r="F1994" s="33">
        <v>14.8865</v>
      </c>
      <c r="G1994" s="30">
        <f t="shared" si="184"/>
        <v>0.25009319999999996</v>
      </c>
      <c r="H1994" s="38">
        <f>SUM(G1994:G1997)</f>
        <v>133.97592074999997</v>
      </c>
      <c r="I1994" s="39"/>
      <c r="J1994" s="152">
        <v>0</v>
      </c>
      <c r="L1994" s="215">
        <v>1.6799999999999999E-2</v>
      </c>
      <c r="M1994" s="33">
        <v>12.742844</v>
      </c>
      <c r="N1994" s="30">
        <f t="shared" si="185"/>
        <v>0.21407977919999999</v>
      </c>
      <c r="O1994" s="38">
        <f>SUM(N1994:N1997)</f>
        <v>114.683388162</v>
      </c>
      <c r="P1994" s="36" t="str">
        <f t="shared" si="186"/>
        <v/>
      </c>
      <c r="Q1994" s="216">
        <f t="shared" si="187"/>
        <v>0.14400000000000002</v>
      </c>
      <c r="R1994" s="216">
        <f t="shared" si="188"/>
        <v>0.14399999999999991</v>
      </c>
      <c r="S1994" s="217">
        <f t="shared" si="189"/>
        <v>0.14399999999999979</v>
      </c>
    </row>
    <row r="1995" spans="1:19" ht="26.25" hidden="1" thickBot="1" x14ac:dyDescent="0.3">
      <c r="A1995" s="262"/>
      <c r="B1995" s="260"/>
      <c r="C1995" s="35" t="s">
        <v>522</v>
      </c>
      <c r="D1995" s="35" t="s">
        <v>213</v>
      </c>
      <c r="E1995" s="36">
        <v>1</v>
      </c>
      <c r="F1995" s="33">
        <v>124.032</v>
      </c>
      <c r="G1995" s="30">
        <f t="shared" si="184"/>
        <v>124.032</v>
      </c>
      <c r="H1995" s="34"/>
      <c r="I1995" s="30"/>
      <c r="J1995" s="152">
        <v>0</v>
      </c>
      <c r="L1995" s="215">
        <v>1</v>
      </c>
      <c r="M1995" s="33">
        <v>106.171392</v>
      </c>
      <c r="N1995" s="30">
        <f t="shared" si="185"/>
        <v>106.171392</v>
      </c>
      <c r="O1995" s="34"/>
      <c r="P1995" s="36" t="str">
        <f t="shared" si="186"/>
        <v/>
      </c>
      <c r="Q1995" s="216">
        <f t="shared" si="187"/>
        <v>0.14400000000000002</v>
      </c>
      <c r="R1995" s="216">
        <f t="shared" si="188"/>
        <v>0.14400000000000002</v>
      </c>
      <c r="S1995" s="217" t="str">
        <f t="shared" si="189"/>
        <v/>
      </c>
    </row>
    <row r="1996" spans="1:19" ht="26.25" hidden="1" thickBot="1" x14ac:dyDescent="0.3">
      <c r="A1996" s="262"/>
      <c r="B1996" s="260"/>
      <c r="C1996" s="35" t="s">
        <v>824</v>
      </c>
      <c r="D1996" s="35" t="s">
        <v>583</v>
      </c>
      <c r="E1996" s="36">
        <v>0.2021</v>
      </c>
      <c r="F1996" s="30">
        <v>21.166</v>
      </c>
      <c r="G1996" s="33">
        <f t="shared" si="184"/>
        <v>4.2776486</v>
      </c>
      <c r="H1996" s="34"/>
      <c r="I1996" s="30"/>
      <c r="J1996" s="152">
        <v>0</v>
      </c>
      <c r="L1996" s="215">
        <v>0.2021</v>
      </c>
      <c r="M1996" s="30">
        <v>18.118096000000001</v>
      </c>
      <c r="N1996" s="33">
        <f t="shared" si="185"/>
        <v>3.6616672016000003</v>
      </c>
      <c r="O1996" s="34"/>
      <c r="P1996" s="36" t="str">
        <f t="shared" si="186"/>
        <v/>
      </c>
      <c r="Q1996" s="216">
        <f t="shared" si="187"/>
        <v>0.14399999999999991</v>
      </c>
      <c r="R1996" s="216">
        <f t="shared" si="188"/>
        <v>0.14399999999999991</v>
      </c>
      <c r="S1996" s="217" t="str">
        <f t="shared" si="189"/>
        <v/>
      </c>
    </row>
    <row r="1997" spans="1:19" ht="26.25" hidden="1" thickBot="1" x14ac:dyDescent="0.3">
      <c r="A1997" s="262"/>
      <c r="B1997" s="260"/>
      <c r="C1997" s="35" t="s">
        <v>825</v>
      </c>
      <c r="D1997" s="35" t="s">
        <v>583</v>
      </c>
      <c r="E1997" s="36">
        <v>0.2021</v>
      </c>
      <c r="F1997" s="30">
        <v>26.799499999999998</v>
      </c>
      <c r="G1997" s="33">
        <f t="shared" si="184"/>
        <v>5.4161789499999999</v>
      </c>
      <c r="H1997" s="34"/>
      <c r="I1997" s="30"/>
      <c r="J1997" s="152">
        <v>0</v>
      </c>
      <c r="L1997" s="215">
        <v>0.2021</v>
      </c>
      <c r="M1997" s="30">
        <v>22.940372</v>
      </c>
      <c r="N1997" s="33">
        <f t="shared" si="185"/>
        <v>4.6362491812000002</v>
      </c>
      <c r="O1997" s="34"/>
      <c r="P1997" s="36" t="str">
        <f t="shared" si="186"/>
        <v/>
      </c>
      <c r="Q1997" s="216">
        <f t="shared" si="187"/>
        <v>0.14399999999999991</v>
      </c>
      <c r="R1997" s="216">
        <f t="shared" si="188"/>
        <v>0.14399999999999991</v>
      </c>
      <c r="S1997" s="217" t="str">
        <f t="shared" si="189"/>
        <v/>
      </c>
    </row>
    <row r="1998" spans="1:19" ht="15.75" hidden="1" thickBot="1" x14ac:dyDescent="0.3">
      <c r="A1998" s="263"/>
      <c r="B1998" s="261"/>
      <c r="C1998" s="35"/>
      <c r="D1998" s="35"/>
      <c r="E1998" s="36"/>
      <c r="F1998" s="30" t="s">
        <v>416</v>
      </c>
      <c r="G1998" s="30" t="str">
        <f t="shared" si="184"/>
        <v/>
      </c>
      <c r="H1998" s="34"/>
      <c r="I1998" s="30"/>
      <c r="J1998" s="152">
        <v>0</v>
      </c>
      <c r="L1998" s="215"/>
      <c r="M1998" s="30"/>
      <c r="N1998" s="30" t="str">
        <f t="shared" si="185"/>
        <v/>
      </c>
      <c r="O1998" s="34"/>
      <c r="P1998" s="36" t="str">
        <f t="shared" si="186"/>
        <v/>
      </c>
      <c r="Q1998" s="216" t="str">
        <f t="shared" si="187"/>
        <v/>
      </c>
      <c r="R1998" s="216" t="str">
        <f t="shared" si="188"/>
        <v/>
      </c>
      <c r="S1998" s="217" t="str">
        <f t="shared" si="189"/>
        <v/>
      </c>
    </row>
    <row r="1999" spans="1:19" ht="15.75" hidden="1" thickBot="1" x14ac:dyDescent="0.3">
      <c r="A1999" s="256" t="s">
        <v>523</v>
      </c>
      <c r="B1999" s="259" t="str">
        <f>INDEX(Orçamentária!A:B,MATCH(Composições!A1999,Orçamentária!A:A,0),2)</f>
        <v>Válvula de esfera em bronze 1"</v>
      </c>
      <c r="C1999" s="40"/>
      <c r="D1999" s="25" t="s">
        <v>16</v>
      </c>
      <c r="E1999" s="26"/>
      <c r="F1999" s="41" t="s">
        <v>416</v>
      </c>
      <c r="G1999" s="27" t="str">
        <f t="shared" si="184"/>
        <v/>
      </c>
      <c r="H1999" s="28"/>
      <c r="I1999" s="29"/>
      <c r="J1999" s="152">
        <v>0</v>
      </c>
      <c r="L1999" s="218"/>
      <c r="M1999" s="41"/>
      <c r="N1999" s="27" t="str">
        <f t="shared" si="185"/>
        <v/>
      </c>
      <c r="O1999" s="28"/>
      <c r="P1999" s="36" t="str">
        <f t="shared" si="186"/>
        <v/>
      </c>
      <c r="Q1999" s="216" t="str">
        <f t="shared" si="187"/>
        <v/>
      </c>
      <c r="R1999" s="216" t="str">
        <f t="shared" si="188"/>
        <v/>
      </c>
      <c r="S1999" s="217" t="str">
        <f t="shared" si="189"/>
        <v/>
      </c>
    </row>
    <row r="2000" spans="1:19" ht="15.75" hidden="1" thickBot="1" x14ac:dyDescent="0.3">
      <c r="A2000" s="262"/>
      <c r="B2000" s="260"/>
      <c r="C2000" s="31"/>
      <c r="D2000" s="31"/>
      <c r="E2000" s="32"/>
      <c r="F2000" s="42" t="s">
        <v>416</v>
      </c>
      <c r="G2000" s="30" t="str">
        <f t="shared" si="184"/>
        <v/>
      </c>
      <c r="H2000" s="34"/>
      <c r="I2000" s="30"/>
      <c r="J2000" s="152">
        <v>0</v>
      </c>
      <c r="L2000" s="219"/>
      <c r="M2000" s="42"/>
      <c r="N2000" s="30" t="str">
        <f t="shared" si="185"/>
        <v/>
      </c>
      <c r="O2000" s="34"/>
      <c r="P2000" s="36" t="str">
        <f t="shared" si="186"/>
        <v/>
      </c>
      <c r="Q2000" s="216" t="str">
        <f t="shared" si="187"/>
        <v/>
      </c>
      <c r="R2000" s="216" t="str">
        <f t="shared" si="188"/>
        <v/>
      </c>
      <c r="S2000" s="217" t="str">
        <f t="shared" si="189"/>
        <v/>
      </c>
    </row>
    <row r="2001" spans="1:19" ht="15.75" hidden="1" thickBot="1" x14ac:dyDescent="0.3">
      <c r="A2001" s="262"/>
      <c r="B2001" s="260"/>
      <c r="C2001" s="35" t="s">
        <v>244</v>
      </c>
      <c r="D2001" s="35" t="s">
        <v>213</v>
      </c>
      <c r="E2001" s="36">
        <v>1.32E-2</v>
      </c>
      <c r="F2001" s="33">
        <v>14.8865</v>
      </c>
      <c r="G2001" s="30">
        <f t="shared" si="184"/>
        <v>0.1965018</v>
      </c>
      <c r="H2001" s="38">
        <f>SUM(G2001:G2004)</f>
        <v>90.539378549999981</v>
      </c>
      <c r="I2001" s="39"/>
      <c r="J2001" s="152">
        <v>0</v>
      </c>
      <c r="L2001" s="215">
        <v>1.32E-2</v>
      </c>
      <c r="M2001" s="33">
        <v>12.742844</v>
      </c>
      <c r="N2001" s="30">
        <f t="shared" si="185"/>
        <v>0.1682055408</v>
      </c>
      <c r="O2001" s="38">
        <f>SUM(N2001:N2004)</f>
        <v>77.50170803879999</v>
      </c>
      <c r="P2001" s="36" t="str">
        <f t="shared" si="186"/>
        <v/>
      </c>
      <c r="Q2001" s="216">
        <f t="shared" si="187"/>
        <v>0.14400000000000002</v>
      </c>
      <c r="R2001" s="216">
        <f t="shared" si="188"/>
        <v>0.14400000000000002</v>
      </c>
      <c r="S2001" s="217">
        <f t="shared" si="189"/>
        <v>0.14399999999999991</v>
      </c>
    </row>
    <row r="2002" spans="1:19" ht="15.75" hidden="1" thickBot="1" x14ac:dyDescent="0.3">
      <c r="A2002" s="262"/>
      <c r="B2002" s="260"/>
      <c r="C2002" s="35" t="s">
        <v>8492</v>
      </c>
      <c r="D2002" s="35" t="s">
        <v>213</v>
      </c>
      <c r="E2002" s="36">
        <v>1</v>
      </c>
      <c r="F2002" s="33">
        <v>83.219999999999985</v>
      </c>
      <c r="G2002" s="30">
        <f t="shared" si="184"/>
        <v>83.219999999999985</v>
      </c>
      <c r="H2002" s="34"/>
      <c r="I2002" s="30"/>
      <c r="J2002" s="152">
        <v>0</v>
      </c>
      <c r="L2002" s="215">
        <v>1</v>
      </c>
      <c r="M2002" s="33">
        <v>71.236319999999992</v>
      </c>
      <c r="N2002" s="30">
        <f t="shared" si="185"/>
        <v>71.236319999999992</v>
      </c>
      <c r="O2002" s="34"/>
      <c r="P2002" s="36" t="str">
        <f t="shared" si="186"/>
        <v/>
      </c>
      <c r="Q2002" s="216">
        <f t="shared" si="187"/>
        <v>0.14399999999999991</v>
      </c>
      <c r="R2002" s="216">
        <f t="shared" si="188"/>
        <v>0.14399999999999991</v>
      </c>
      <c r="S2002" s="217" t="str">
        <f t="shared" si="189"/>
        <v/>
      </c>
    </row>
    <row r="2003" spans="1:19" ht="26.25" hidden="1" thickBot="1" x14ac:dyDescent="0.3">
      <c r="A2003" s="262"/>
      <c r="B2003" s="260"/>
      <c r="C2003" s="35" t="s">
        <v>824</v>
      </c>
      <c r="D2003" s="35" t="s">
        <v>583</v>
      </c>
      <c r="E2003" s="36">
        <v>0.14849999999999999</v>
      </c>
      <c r="F2003" s="30">
        <v>21.166</v>
      </c>
      <c r="G2003" s="33">
        <f t="shared" ref="G2003:G2066" si="190">IF(ISNUMBER(F2003),E2003*F2003,"")</f>
        <v>3.143151</v>
      </c>
      <c r="H2003" s="34"/>
      <c r="I2003" s="30"/>
      <c r="J2003" s="152">
        <v>0</v>
      </c>
      <c r="L2003" s="215">
        <v>0.14849999999999999</v>
      </c>
      <c r="M2003" s="30">
        <v>18.118096000000001</v>
      </c>
      <c r="N2003" s="33">
        <f t="shared" ref="N2003:N2066" si="191">IF(ISNUMBER(M2003),L2003*M2003,"")</f>
        <v>2.6905372560000003</v>
      </c>
      <c r="O2003" s="34"/>
      <c r="P2003" s="36" t="str">
        <f t="shared" si="186"/>
        <v/>
      </c>
      <c r="Q2003" s="216">
        <f t="shared" si="187"/>
        <v>0.14399999999999991</v>
      </c>
      <c r="R2003" s="216">
        <f t="shared" si="188"/>
        <v>0.14399999999999991</v>
      </c>
      <c r="S2003" s="217" t="str">
        <f t="shared" si="189"/>
        <v/>
      </c>
    </row>
    <row r="2004" spans="1:19" ht="26.25" hidden="1" thickBot="1" x14ac:dyDescent="0.3">
      <c r="A2004" s="262"/>
      <c r="B2004" s="260"/>
      <c r="C2004" s="35" t="s">
        <v>825</v>
      </c>
      <c r="D2004" s="35" t="s">
        <v>583</v>
      </c>
      <c r="E2004" s="36">
        <v>0.14849999999999999</v>
      </c>
      <c r="F2004" s="30">
        <v>26.799499999999998</v>
      </c>
      <c r="G2004" s="33">
        <f t="shared" si="190"/>
        <v>3.9797257499999996</v>
      </c>
      <c r="H2004" s="34"/>
      <c r="I2004" s="30"/>
      <c r="J2004" s="152">
        <v>0</v>
      </c>
      <c r="L2004" s="215">
        <v>0.14849999999999999</v>
      </c>
      <c r="M2004" s="30">
        <v>22.940372</v>
      </c>
      <c r="N2004" s="33">
        <f t="shared" si="191"/>
        <v>3.4066452419999997</v>
      </c>
      <c r="O2004" s="34"/>
      <c r="P2004" s="36" t="str">
        <f t="shared" si="186"/>
        <v/>
      </c>
      <c r="Q2004" s="216">
        <f t="shared" si="187"/>
        <v>0.14399999999999991</v>
      </c>
      <c r="R2004" s="216">
        <f t="shared" si="188"/>
        <v>0.14400000000000002</v>
      </c>
      <c r="S2004" s="217" t="str">
        <f t="shared" si="189"/>
        <v/>
      </c>
    </row>
    <row r="2005" spans="1:19" ht="15.75" hidden="1" thickBot="1" x14ac:dyDescent="0.3">
      <c r="A2005" s="263"/>
      <c r="B2005" s="261"/>
      <c r="C2005" s="35"/>
      <c r="D2005" s="35"/>
      <c r="E2005" s="36"/>
      <c r="F2005" s="30" t="s">
        <v>416</v>
      </c>
      <c r="G2005" s="30" t="str">
        <f t="shared" si="190"/>
        <v/>
      </c>
      <c r="H2005" s="34"/>
      <c r="I2005" s="30"/>
      <c r="J2005" s="152">
        <v>0</v>
      </c>
      <c r="L2005" s="215"/>
      <c r="M2005" s="30"/>
      <c r="N2005" s="30" t="str">
        <f t="shared" si="191"/>
        <v/>
      </c>
      <c r="O2005" s="34"/>
      <c r="P2005" s="36" t="str">
        <f t="shared" si="186"/>
        <v/>
      </c>
      <c r="Q2005" s="216" t="str">
        <f t="shared" si="187"/>
        <v/>
      </c>
      <c r="R2005" s="216" t="str">
        <f t="shared" si="188"/>
        <v/>
      </c>
      <c r="S2005" s="217" t="str">
        <f t="shared" si="189"/>
        <v/>
      </c>
    </row>
    <row r="2006" spans="1:19" ht="15.75" hidden="1" thickBot="1" x14ac:dyDescent="0.3">
      <c r="A2006" s="256" t="s">
        <v>524</v>
      </c>
      <c r="B2006" s="259" t="str">
        <f>INDEX(Orçamentária!A:B,MATCH(Composições!A2006,Orçamentária!A:A,0),2)</f>
        <v>Válvula de esfera em bronze 3/4"</v>
      </c>
      <c r="C2006" s="40"/>
      <c r="D2006" s="25" t="s">
        <v>16</v>
      </c>
      <c r="E2006" s="26"/>
      <c r="F2006" s="41" t="s">
        <v>416</v>
      </c>
      <c r="G2006" s="27" t="str">
        <f t="shared" si="190"/>
        <v/>
      </c>
      <c r="H2006" s="28"/>
      <c r="I2006" s="29"/>
      <c r="J2006" s="152">
        <v>0</v>
      </c>
      <c r="L2006" s="218"/>
      <c r="M2006" s="41"/>
      <c r="N2006" s="27" t="str">
        <f t="shared" si="191"/>
        <v/>
      </c>
      <c r="O2006" s="28"/>
      <c r="P2006" s="36" t="str">
        <f t="shared" si="186"/>
        <v/>
      </c>
      <c r="Q2006" s="216" t="str">
        <f t="shared" si="187"/>
        <v/>
      </c>
      <c r="R2006" s="216" t="str">
        <f t="shared" si="188"/>
        <v/>
      </c>
      <c r="S2006" s="217" t="str">
        <f t="shared" si="189"/>
        <v/>
      </c>
    </row>
    <row r="2007" spans="1:19" ht="15.75" hidden="1" thickBot="1" x14ac:dyDescent="0.3">
      <c r="A2007" s="262"/>
      <c r="B2007" s="260"/>
      <c r="C2007" s="31"/>
      <c r="D2007" s="31"/>
      <c r="E2007" s="32"/>
      <c r="F2007" s="42" t="s">
        <v>416</v>
      </c>
      <c r="G2007" s="30" t="str">
        <f t="shared" si="190"/>
        <v/>
      </c>
      <c r="H2007" s="34"/>
      <c r="I2007" s="30"/>
      <c r="J2007" s="152">
        <v>0</v>
      </c>
      <c r="L2007" s="219"/>
      <c r="M2007" s="42"/>
      <c r="N2007" s="30" t="str">
        <f t="shared" si="191"/>
        <v/>
      </c>
      <c r="O2007" s="34"/>
      <c r="P2007" s="36" t="str">
        <f t="shared" si="186"/>
        <v/>
      </c>
      <c r="Q2007" s="216" t="str">
        <f t="shared" si="187"/>
        <v/>
      </c>
      <c r="R2007" s="216" t="str">
        <f t="shared" si="188"/>
        <v/>
      </c>
      <c r="S2007" s="217" t="str">
        <f t="shared" si="189"/>
        <v/>
      </c>
    </row>
    <row r="2008" spans="1:19" ht="15.75" hidden="1" thickBot="1" x14ac:dyDescent="0.3">
      <c r="A2008" s="262"/>
      <c r="B2008" s="260"/>
      <c r="C2008" s="35" t="s">
        <v>244</v>
      </c>
      <c r="D2008" s="35" t="s">
        <v>213</v>
      </c>
      <c r="E2008" s="36">
        <v>1.06E-2</v>
      </c>
      <c r="F2008" s="33">
        <v>14.8865</v>
      </c>
      <c r="G2008" s="30">
        <f t="shared" si="190"/>
        <v>0.15779689999999999</v>
      </c>
      <c r="H2008" s="38">
        <f>SUM(G2008:G2011)</f>
        <v>67.089095</v>
      </c>
      <c r="I2008" s="39"/>
      <c r="J2008" s="152">
        <v>0</v>
      </c>
      <c r="L2008" s="215">
        <v>1.06E-2</v>
      </c>
      <c r="M2008" s="33">
        <v>12.742844</v>
      </c>
      <c r="N2008" s="30">
        <f t="shared" si="191"/>
        <v>0.13507414640000001</v>
      </c>
      <c r="O2008" s="38">
        <f>SUM(N2008:N2011)</f>
        <v>57.428265320000001</v>
      </c>
      <c r="P2008" s="36" t="str">
        <f t="shared" si="186"/>
        <v/>
      </c>
      <c r="Q2008" s="216">
        <f t="shared" si="187"/>
        <v>0.14400000000000002</v>
      </c>
      <c r="R2008" s="216">
        <f t="shared" si="188"/>
        <v>0.14399999999999991</v>
      </c>
      <c r="S2008" s="217">
        <f t="shared" si="189"/>
        <v>0.14400000000000002</v>
      </c>
    </row>
    <row r="2009" spans="1:19" ht="15.75" hidden="1" thickBot="1" x14ac:dyDescent="0.3">
      <c r="A2009" s="262"/>
      <c r="B2009" s="260"/>
      <c r="C2009" s="35" t="s">
        <v>8494</v>
      </c>
      <c r="D2009" s="35" t="s">
        <v>213</v>
      </c>
      <c r="E2009" s="36">
        <v>1</v>
      </c>
      <c r="F2009" s="33">
        <v>61.645499999999998</v>
      </c>
      <c r="G2009" s="30">
        <f t="shared" si="190"/>
        <v>61.645499999999998</v>
      </c>
      <c r="H2009" s="34"/>
      <c r="I2009" s="30"/>
      <c r="J2009" s="152">
        <v>0</v>
      </c>
      <c r="L2009" s="215">
        <v>1</v>
      </c>
      <c r="M2009" s="33">
        <v>52.768547999999996</v>
      </c>
      <c r="N2009" s="30">
        <f t="shared" si="191"/>
        <v>52.768547999999996</v>
      </c>
      <c r="O2009" s="34"/>
      <c r="P2009" s="36" t="str">
        <f t="shared" si="186"/>
        <v/>
      </c>
      <c r="Q2009" s="216">
        <f t="shared" si="187"/>
        <v>0.14400000000000002</v>
      </c>
      <c r="R2009" s="216">
        <f t="shared" si="188"/>
        <v>0.14400000000000002</v>
      </c>
      <c r="S2009" s="217" t="str">
        <f t="shared" si="189"/>
        <v/>
      </c>
    </row>
    <row r="2010" spans="1:19" ht="26.25" hidden="1" thickBot="1" x14ac:dyDescent="0.3">
      <c r="A2010" s="262"/>
      <c r="B2010" s="260"/>
      <c r="C2010" s="35" t="s">
        <v>824</v>
      </c>
      <c r="D2010" s="35" t="s">
        <v>583</v>
      </c>
      <c r="E2010" s="36">
        <v>0.11020000000000001</v>
      </c>
      <c r="F2010" s="30">
        <v>21.166</v>
      </c>
      <c r="G2010" s="33">
        <f t="shared" si="190"/>
        <v>2.3324932</v>
      </c>
      <c r="H2010" s="34"/>
      <c r="I2010" s="30"/>
      <c r="J2010" s="152">
        <v>0</v>
      </c>
      <c r="L2010" s="215">
        <v>0.11020000000000001</v>
      </c>
      <c r="M2010" s="30">
        <v>18.118096000000001</v>
      </c>
      <c r="N2010" s="33">
        <f t="shared" si="191"/>
        <v>1.9966141792000003</v>
      </c>
      <c r="O2010" s="34"/>
      <c r="P2010" s="36" t="str">
        <f t="shared" si="186"/>
        <v/>
      </c>
      <c r="Q2010" s="216">
        <f t="shared" si="187"/>
        <v>0.14399999999999991</v>
      </c>
      <c r="R2010" s="216">
        <f t="shared" si="188"/>
        <v>0.14399999999999991</v>
      </c>
      <c r="S2010" s="217" t="str">
        <f t="shared" si="189"/>
        <v/>
      </c>
    </row>
    <row r="2011" spans="1:19" ht="26.25" hidden="1" thickBot="1" x14ac:dyDescent="0.3">
      <c r="A2011" s="262"/>
      <c r="B2011" s="260"/>
      <c r="C2011" s="35" t="s">
        <v>825</v>
      </c>
      <c r="D2011" s="35" t="s">
        <v>583</v>
      </c>
      <c r="E2011" s="36">
        <v>0.11020000000000001</v>
      </c>
      <c r="F2011" s="30">
        <v>26.799499999999998</v>
      </c>
      <c r="G2011" s="33">
        <f t="shared" si="190"/>
        <v>2.9533049</v>
      </c>
      <c r="H2011" s="34"/>
      <c r="I2011" s="30"/>
      <c r="J2011" s="152">
        <v>0</v>
      </c>
      <c r="L2011" s="215">
        <v>0.11020000000000001</v>
      </c>
      <c r="M2011" s="30">
        <v>22.940372</v>
      </c>
      <c r="N2011" s="33">
        <f t="shared" si="191"/>
        <v>2.5280289944000001</v>
      </c>
      <c r="O2011" s="34"/>
      <c r="P2011" s="36" t="str">
        <f t="shared" si="186"/>
        <v/>
      </c>
      <c r="Q2011" s="216">
        <f t="shared" si="187"/>
        <v>0.14399999999999991</v>
      </c>
      <c r="R2011" s="216">
        <f t="shared" si="188"/>
        <v>0.14400000000000002</v>
      </c>
      <c r="S2011" s="217" t="str">
        <f t="shared" si="189"/>
        <v/>
      </c>
    </row>
    <row r="2012" spans="1:19" ht="15.75" hidden="1" thickBot="1" x14ac:dyDescent="0.3">
      <c r="A2012" s="263"/>
      <c r="B2012" s="261"/>
      <c r="C2012" s="35"/>
      <c r="D2012" s="35"/>
      <c r="E2012" s="36"/>
      <c r="F2012" s="30" t="s">
        <v>416</v>
      </c>
      <c r="G2012" s="30" t="str">
        <f t="shared" si="190"/>
        <v/>
      </c>
      <c r="H2012" s="34"/>
      <c r="I2012" s="30"/>
      <c r="J2012" s="152">
        <v>0</v>
      </c>
      <c r="L2012" s="215"/>
      <c r="M2012" s="30"/>
      <c r="N2012" s="30" t="str">
        <f t="shared" si="191"/>
        <v/>
      </c>
      <c r="O2012" s="34"/>
      <c r="P2012" s="36" t="str">
        <f t="shared" si="186"/>
        <v/>
      </c>
      <c r="Q2012" s="216" t="str">
        <f t="shared" si="187"/>
        <v/>
      </c>
      <c r="R2012" s="216" t="str">
        <f t="shared" si="188"/>
        <v/>
      </c>
      <c r="S2012" s="217" t="str">
        <f t="shared" si="189"/>
        <v/>
      </c>
    </row>
    <row r="2013" spans="1:19" ht="15.75" hidden="1" thickBot="1" x14ac:dyDescent="0.3">
      <c r="A2013" s="256" t="s">
        <v>525</v>
      </c>
      <c r="B2013" s="259" t="str">
        <f>INDEX(Orçamentária!A:B,MATCH(Composições!A2013,Orçamentária!A:A,0),2)</f>
        <v>Isolamento elastomérico em formato de prancha autoadesiva</v>
      </c>
      <c r="C2013" s="40"/>
      <c r="D2013" s="25" t="s">
        <v>70</v>
      </c>
      <c r="E2013" s="26"/>
      <c r="F2013" s="41" t="s">
        <v>416</v>
      </c>
      <c r="G2013" s="27" t="str">
        <f t="shared" si="190"/>
        <v/>
      </c>
      <c r="H2013" s="28"/>
      <c r="I2013" s="29"/>
      <c r="J2013" s="152">
        <v>0</v>
      </c>
      <c r="L2013" s="218"/>
      <c r="M2013" s="41"/>
      <c r="N2013" s="27" t="str">
        <f t="shared" si="191"/>
        <v/>
      </c>
      <c r="O2013" s="28"/>
      <c r="P2013" s="36" t="str">
        <f t="shared" si="186"/>
        <v/>
      </c>
      <c r="Q2013" s="216" t="str">
        <f t="shared" si="187"/>
        <v/>
      </c>
      <c r="R2013" s="216" t="str">
        <f t="shared" si="188"/>
        <v/>
      </c>
      <c r="S2013" s="217" t="str">
        <f t="shared" si="189"/>
        <v/>
      </c>
    </row>
    <row r="2014" spans="1:19" ht="15.75" hidden="1" thickBot="1" x14ac:dyDescent="0.3">
      <c r="A2014" s="262"/>
      <c r="B2014" s="260"/>
      <c r="C2014" s="31"/>
      <c r="D2014" s="31"/>
      <c r="E2014" s="32"/>
      <c r="F2014" s="42" t="s">
        <v>416</v>
      </c>
      <c r="G2014" s="30" t="str">
        <f t="shared" si="190"/>
        <v/>
      </c>
      <c r="H2014" s="34"/>
      <c r="I2014" s="30"/>
      <c r="J2014" s="152">
        <v>0</v>
      </c>
      <c r="L2014" s="219"/>
      <c r="M2014" s="42"/>
      <c r="N2014" s="30" t="str">
        <f t="shared" si="191"/>
        <v/>
      </c>
      <c r="O2014" s="34"/>
      <c r="P2014" s="36" t="str">
        <f t="shared" si="186"/>
        <v/>
      </c>
      <c r="Q2014" s="216" t="str">
        <f t="shared" si="187"/>
        <v/>
      </c>
      <c r="R2014" s="216" t="str">
        <f t="shared" si="188"/>
        <v/>
      </c>
      <c r="S2014" s="217" t="str">
        <f t="shared" si="189"/>
        <v/>
      </c>
    </row>
    <row r="2015" spans="1:19" ht="26.25" hidden="1" thickBot="1" x14ac:dyDescent="0.3">
      <c r="A2015" s="262"/>
      <c r="B2015" s="260"/>
      <c r="C2015" s="35" t="s">
        <v>824</v>
      </c>
      <c r="D2015" s="35" t="s">
        <v>583</v>
      </c>
      <c r="E2015" s="36">
        <v>0.1</v>
      </c>
      <c r="F2015" s="30">
        <v>21.166</v>
      </c>
      <c r="G2015" s="33">
        <f t="shared" si="190"/>
        <v>2.1166</v>
      </c>
      <c r="H2015" s="38">
        <f>SUM(G2015:G2017)</f>
        <v>4.7965499999999999</v>
      </c>
      <c r="I2015" s="39"/>
      <c r="J2015" s="152">
        <v>0</v>
      </c>
      <c r="L2015" s="215">
        <v>0.1</v>
      </c>
      <c r="M2015" s="30">
        <v>18.118096000000001</v>
      </c>
      <c r="N2015" s="33">
        <f t="shared" si="191"/>
        <v>1.8118096000000001</v>
      </c>
      <c r="O2015" s="38">
        <f>SUM(N2015:N2017)</f>
        <v>4.1058468000000001</v>
      </c>
      <c r="P2015" s="36" t="str">
        <f t="shared" si="186"/>
        <v/>
      </c>
      <c r="Q2015" s="216">
        <f t="shared" si="187"/>
        <v>0.14399999999999991</v>
      </c>
      <c r="R2015" s="216">
        <f t="shared" si="188"/>
        <v>0.14399999999999991</v>
      </c>
      <c r="S2015" s="217">
        <f t="shared" si="189"/>
        <v>0.14399999999999991</v>
      </c>
    </row>
    <row r="2016" spans="1:19" ht="26.25" hidden="1" thickBot="1" x14ac:dyDescent="0.3">
      <c r="A2016" s="262"/>
      <c r="B2016" s="260"/>
      <c r="C2016" s="35" t="s">
        <v>825</v>
      </c>
      <c r="D2016" s="35" t="s">
        <v>583</v>
      </c>
      <c r="E2016" s="36">
        <v>0.1</v>
      </c>
      <c r="F2016" s="30">
        <v>26.799499999999998</v>
      </c>
      <c r="G2016" s="33">
        <f t="shared" si="190"/>
        <v>2.6799499999999998</v>
      </c>
      <c r="H2016" s="34"/>
      <c r="I2016" s="30"/>
      <c r="J2016" s="152">
        <v>0</v>
      </c>
      <c r="L2016" s="215">
        <v>0.1</v>
      </c>
      <c r="M2016" s="30">
        <v>22.940372</v>
      </c>
      <c r="N2016" s="33">
        <f t="shared" si="191"/>
        <v>2.2940372</v>
      </c>
      <c r="O2016" s="34"/>
      <c r="P2016" s="36" t="str">
        <f t="shared" si="186"/>
        <v/>
      </c>
      <c r="Q2016" s="216">
        <f t="shared" si="187"/>
        <v>0.14399999999999991</v>
      </c>
      <c r="R2016" s="216">
        <f t="shared" si="188"/>
        <v>0.14399999999999991</v>
      </c>
      <c r="S2016" s="217" t="str">
        <f t="shared" si="189"/>
        <v/>
      </c>
    </row>
    <row r="2017" spans="1:19" ht="26.25" hidden="1" thickBot="1" x14ac:dyDescent="0.3">
      <c r="A2017" s="262"/>
      <c r="B2017" s="260"/>
      <c r="C2017" s="35" t="s">
        <v>526</v>
      </c>
      <c r="D2017" s="46" t="s">
        <v>70</v>
      </c>
      <c r="E2017" s="36">
        <v>1.05</v>
      </c>
      <c r="F2017" s="33" t="s">
        <v>416</v>
      </c>
      <c r="G2017" s="33" t="str">
        <f t="shared" si="190"/>
        <v/>
      </c>
      <c r="H2017" s="34"/>
      <c r="I2017" s="30"/>
      <c r="J2017" s="152">
        <v>0</v>
      </c>
      <c r="L2017" s="215">
        <v>1.05</v>
      </c>
      <c r="M2017" s="33"/>
      <c r="N2017" s="33" t="str">
        <f t="shared" si="191"/>
        <v/>
      </c>
      <c r="O2017" s="34"/>
      <c r="P2017" s="36" t="str">
        <f t="shared" si="186"/>
        <v/>
      </c>
      <c r="Q2017" s="216" t="str">
        <f t="shared" si="187"/>
        <v/>
      </c>
      <c r="R2017" s="216" t="str">
        <f t="shared" si="188"/>
        <v/>
      </c>
      <c r="S2017" s="217" t="str">
        <f t="shared" si="189"/>
        <v/>
      </c>
    </row>
    <row r="2018" spans="1:19" ht="15.75" hidden="1" thickBot="1" x14ac:dyDescent="0.3">
      <c r="A2018" s="263"/>
      <c r="B2018" s="261"/>
      <c r="C2018" s="35"/>
      <c r="D2018" s="35"/>
      <c r="E2018" s="36"/>
      <c r="F2018" s="30" t="s">
        <v>416</v>
      </c>
      <c r="G2018" s="30" t="str">
        <f t="shared" si="190"/>
        <v/>
      </c>
      <c r="H2018" s="34"/>
      <c r="I2018" s="30"/>
      <c r="J2018" s="152">
        <v>0</v>
      </c>
      <c r="L2018" s="215"/>
      <c r="M2018" s="30"/>
      <c r="N2018" s="30" t="str">
        <f t="shared" si="191"/>
        <v/>
      </c>
      <c r="O2018" s="34"/>
      <c r="P2018" s="36" t="str">
        <f t="shared" si="186"/>
        <v/>
      </c>
      <c r="Q2018" s="216" t="str">
        <f t="shared" si="187"/>
        <v/>
      </c>
      <c r="R2018" s="216" t="str">
        <f t="shared" si="188"/>
        <v/>
      </c>
      <c r="S2018" s="217" t="str">
        <f t="shared" si="189"/>
        <v/>
      </c>
    </row>
    <row r="2019" spans="1:19" ht="15.75" hidden="1" thickBot="1" x14ac:dyDescent="0.3">
      <c r="A2019" s="256" t="s">
        <v>527</v>
      </c>
      <c r="B2019" s="259" t="str">
        <f>INDEX(Orçamentária!A:B,MATCH(Composições!A2019,Orçamentária!A:A,0),2)</f>
        <v>Isolamento elastomérico para tubulações de cobre de 1 1/8" / tubulações de ferro de 3/4"</v>
      </c>
      <c r="C2019" s="40"/>
      <c r="D2019" s="25" t="s">
        <v>69</v>
      </c>
      <c r="E2019" s="26"/>
      <c r="F2019" s="41" t="s">
        <v>416</v>
      </c>
      <c r="G2019" s="27" t="str">
        <f t="shared" si="190"/>
        <v/>
      </c>
      <c r="H2019" s="28"/>
      <c r="I2019" s="29"/>
      <c r="J2019" s="152">
        <v>0</v>
      </c>
      <c r="L2019" s="218"/>
      <c r="M2019" s="41"/>
      <c r="N2019" s="27" t="str">
        <f t="shared" si="191"/>
        <v/>
      </c>
      <c r="O2019" s="28"/>
      <c r="P2019" s="36" t="str">
        <f t="shared" si="186"/>
        <v/>
      </c>
      <c r="Q2019" s="216" t="str">
        <f t="shared" si="187"/>
        <v/>
      </c>
      <c r="R2019" s="216" t="str">
        <f t="shared" si="188"/>
        <v/>
      </c>
      <c r="S2019" s="217" t="str">
        <f t="shared" si="189"/>
        <v/>
      </c>
    </row>
    <row r="2020" spans="1:19" ht="15.75" hidden="1" thickBot="1" x14ac:dyDescent="0.3">
      <c r="A2020" s="262"/>
      <c r="B2020" s="260"/>
      <c r="C2020" s="31"/>
      <c r="D2020" s="31"/>
      <c r="E2020" s="32"/>
      <c r="F2020" s="42" t="s">
        <v>416</v>
      </c>
      <c r="G2020" s="30" t="str">
        <f t="shared" si="190"/>
        <v/>
      </c>
      <c r="H2020" s="34"/>
      <c r="I2020" s="30"/>
      <c r="J2020" s="152">
        <v>0</v>
      </c>
      <c r="L2020" s="219"/>
      <c r="M2020" s="42"/>
      <c r="N2020" s="30" t="str">
        <f t="shared" si="191"/>
        <v/>
      </c>
      <c r="O2020" s="34"/>
      <c r="P2020" s="36" t="str">
        <f t="shared" si="186"/>
        <v/>
      </c>
      <c r="Q2020" s="216" t="str">
        <f t="shared" si="187"/>
        <v/>
      </c>
      <c r="R2020" s="216" t="str">
        <f t="shared" si="188"/>
        <v/>
      </c>
      <c r="S2020" s="217" t="str">
        <f t="shared" si="189"/>
        <v/>
      </c>
    </row>
    <row r="2021" spans="1:19" ht="51.75" hidden="1" thickBot="1" x14ac:dyDescent="0.3">
      <c r="A2021" s="262"/>
      <c r="B2021" s="260"/>
      <c r="C2021" s="35" t="s">
        <v>528</v>
      </c>
      <c r="D2021" s="46" t="s">
        <v>69</v>
      </c>
      <c r="E2021" s="36">
        <v>1.0210999999999999</v>
      </c>
      <c r="F2021" s="33" t="s">
        <v>416</v>
      </c>
      <c r="G2021" s="33" t="str">
        <f t="shared" si="190"/>
        <v/>
      </c>
      <c r="H2021" s="38">
        <f>SUM(G2021:G2023)</f>
        <v>0.92093759999999991</v>
      </c>
      <c r="I2021" s="39"/>
      <c r="J2021" s="152">
        <v>0</v>
      </c>
      <c r="L2021" s="215">
        <v>1.0210999999999999</v>
      </c>
      <c r="M2021" s="33"/>
      <c r="N2021" s="33" t="str">
        <f t="shared" si="191"/>
        <v/>
      </c>
      <c r="O2021" s="38">
        <f>SUM(N2021:N2023)</f>
        <v>0.78832258560000001</v>
      </c>
      <c r="P2021" s="36" t="str">
        <f t="shared" si="186"/>
        <v/>
      </c>
      <c r="Q2021" s="216" t="str">
        <f t="shared" si="187"/>
        <v/>
      </c>
      <c r="R2021" s="216" t="str">
        <f t="shared" si="188"/>
        <v/>
      </c>
      <c r="S2021" s="217">
        <f t="shared" si="189"/>
        <v>0.14399999999999991</v>
      </c>
    </row>
    <row r="2022" spans="1:19" ht="26.25" hidden="1" thickBot="1" x14ac:dyDescent="0.3">
      <c r="A2022" s="262"/>
      <c r="B2022" s="260"/>
      <c r="C2022" s="35" t="s">
        <v>824</v>
      </c>
      <c r="D2022" s="35" t="s">
        <v>583</v>
      </c>
      <c r="E2022" s="36">
        <f>0.064*0.3</f>
        <v>1.9199999999999998E-2</v>
      </c>
      <c r="F2022" s="30">
        <v>21.166</v>
      </c>
      <c r="G2022" s="33">
        <f t="shared" si="190"/>
        <v>0.40638719999999995</v>
      </c>
      <c r="H2022" s="34"/>
      <c r="I2022" s="30"/>
      <c r="J2022" s="152">
        <v>0</v>
      </c>
      <c r="L2022" s="215">
        <v>1.9199999999999998E-2</v>
      </c>
      <c r="M2022" s="30">
        <v>18.118096000000001</v>
      </c>
      <c r="N2022" s="33">
        <f t="shared" si="191"/>
        <v>0.34786744320000001</v>
      </c>
      <c r="O2022" s="34"/>
      <c r="P2022" s="36" t="str">
        <f t="shared" si="186"/>
        <v/>
      </c>
      <c r="Q2022" s="216">
        <f t="shared" si="187"/>
        <v>0.14399999999999991</v>
      </c>
      <c r="R2022" s="216">
        <f t="shared" si="188"/>
        <v>0.14399999999999991</v>
      </c>
      <c r="S2022" s="217" t="str">
        <f t="shared" si="189"/>
        <v/>
      </c>
    </row>
    <row r="2023" spans="1:19" ht="26.25" hidden="1" thickBot="1" x14ac:dyDescent="0.3">
      <c r="A2023" s="262"/>
      <c r="B2023" s="260"/>
      <c r="C2023" s="35" t="s">
        <v>825</v>
      </c>
      <c r="D2023" s="35" t="s">
        <v>583</v>
      </c>
      <c r="E2023" s="36">
        <f>0.064*0.3</f>
        <v>1.9199999999999998E-2</v>
      </c>
      <c r="F2023" s="30">
        <v>26.799499999999998</v>
      </c>
      <c r="G2023" s="33">
        <f t="shared" si="190"/>
        <v>0.51455039999999996</v>
      </c>
      <c r="H2023" s="34"/>
      <c r="I2023" s="30"/>
      <c r="J2023" s="152">
        <v>0</v>
      </c>
      <c r="L2023" s="215">
        <v>1.9199999999999998E-2</v>
      </c>
      <c r="M2023" s="30">
        <v>22.940372</v>
      </c>
      <c r="N2023" s="33">
        <f t="shared" si="191"/>
        <v>0.44045514239999994</v>
      </c>
      <c r="O2023" s="34"/>
      <c r="P2023" s="36" t="str">
        <f t="shared" si="186"/>
        <v/>
      </c>
      <c r="Q2023" s="216">
        <f t="shared" si="187"/>
        <v>0.14399999999999991</v>
      </c>
      <c r="R2023" s="216">
        <f t="shared" si="188"/>
        <v>0.14400000000000002</v>
      </c>
      <c r="S2023" s="217" t="str">
        <f t="shared" si="189"/>
        <v/>
      </c>
    </row>
    <row r="2024" spans="1:19" ht="15.75" hidden="1" thickBot="1" x14ac:dyDescent="0.3">
      <c r="A2024" s="262"/>
      <c r="B2024" s="260"/>
      <c r="C2024" s="35"/>
      <c r="D2024" s="46"/>
      <c r="E2024" s="36"/>
      <c r="F2024" s="33" t="s">
        <v>416</v>
      </c>
      <c r="G2024" s="33" t="str">
        <f t="shared" si="190"/>
        <v/>
      </c>
      <c r="H2024" s="34"/>
      <c r="I2024" s="30"/>
      <c r="J2024" s="152">
        <v>0</v>
      </c>
      <c r="L2024" s="215"/>
      <c r="M2024" s="33"/>
      <c r="N2024" s="33" t="str">
        <f t="shared" si="191"/>
        <v/>
      </c>
      <c r="O2024" s="34"/>
      <c r="P2024" s="36" t="str">
        <f t="shared" si="186"/>
        <v/>
      </c>
      <c r="Q2024" s="216" t="str">
        <f t="shared" si="187"/>
        <v/>
      </c>
      <c r="R2024" s="216" t="str">
        <f t="shared" si="188"/>
        <v/>
      </c>
      <c r="S2024" s="217" t="str">
        <f t="shared" si="189"/>
        <v/>
      </c>
    </row>
    <row r="2025" spans="1:19" ht="39" hidden="1" thickBot="1" x14ac:dyDescent="0.3">
      <c r="A2025" s="262"/>
      <c r="B2025" s="260"/>
      <c r="C2025" s="51" t="s">
        <v>529</v>
      </c>
      <c r="D2025" s="46"/>
      <c r="E2025" s="36"/>
      <c r="F2025" s="33" t="s">
        <v>416</v>
      </c>
      <c r="G2025" s="33" t="str">
        <f t="shared" si="190"/>
        <v/>
      </c>
      <c r="H2025" s="34"/>
      <c r="I2025" s="30"/>
      <c r="J2025" s="152">
        <v>0</v>
      </c>
      <c r="L2025" s="215"/>
      <c r="M2025" s="33"/>
      <c r="N2025" s="33" t="str">
        <f t="shared" si="191"/>
        <v/>
      </c>
      <c r="O2025" s="34"/>
      <c r="P2025" s="36" t="str">
        <f t="shared" si="186"/>
        <v/>
      </c>
      <c r="Q2025" s="216" t="str">
        <f t="shared" si="187"/>
        <v/>
      </c>
      <c r="R2025" s="216" t="str">
        <f t="shared" si="188"/>
        <v/>
      </c>
      <c r="S2025" s="217" t="str">
        <f t="shared" si="189"/>
        <v/>
      </c>
    </row>
    <row r="2026" spans="1:19" ht="15.75" hidden="1" thickBot="1" x14ac:dyDescent="0.3">
      <c r="A2026" s="263"/>
      <c r="B2026" s="261"/>
      <c r="C2026" s="35"/>
      <c r="D2026" s="35"/>
      <c r="E2026" s="36"/>
      <c r="F2026" s="30" t="s">
        <v>416</v>
      </c>
      <c r="G2026" s="30" t="str">
        <f t="shared" si="190"/>
        <v/>
      </c>
      <c r="H2026" s="34"/>
      <c r="I2026" s="30"/>
      <c r="J2026" s="152">
        <v>0</v>
      </c>
      <c r="L2026" s="215"/>
      <c r="M2026" s="30"/>
      <c r="N2026" s="30" t="str">
        <f t="shared" si="191"/>
        <v/>
      </c>
      <c r="O2026" s="34"/>
      <c r="P2026" s="36" t="str">
        <f t="shared" si="186"/>
        <v/>
      </c>
      <c r="Q2026" s="216" t="str">
        <f t="shared" si="187"/>
        <v/>
      </c>
      <c r="R2026" s="216" t="str">
        <f t="shared" si="188"/>
        <v/>
      </c>
      <c r="S2026" s="217" t="str">
        <f t="shared" si="189"/>
        <v/>
      </c>
    </row>
    <row r="2027" spans="1:19" ht="15.75" thickBot="1" x14ac:dyDescent="0.3">
      <c r="A2027" s="256" t="s">
        <v>530</v>
      </c>
      <c r="B2027" s="259" t="str">
        <f>INDEX(Orçamentária!A:B,MATCH(Composições!A2027,Orçamentária!A:A,0),2)</f>
        <v>Isolamento elastomérico para tubulações de cobre de 1/2"</v>
      </c>
      <c r="C2027" s="40"/>
      <c r="D2027" s="25" t="s">
        <v>69</v>
      </c>
      <c r="E2027" s="26"/>
      <c r="F2027" s="41" t="s">
        <v>416</v>
      </c>
      <c r="G2027" s="27" t="str">
        <f t="shared" si="190"/>
        <v/>
      </c>
      <c r="H2027" s="28"/>
      <c r="I2027" s="29"/>
      <c r="J2027" s="152">
        <v>105</v>
      </c>
      <c r="L2027" s="218"/>
      <c r="M2027" s="41"/>
      <c r="N2027" s="27" t="str">
        <f t="shared" si="191"/>
        <v/>
      </c>
      <c r="O2027" s="28"/>
      <c r="P2027" s="36" t="str">
        <f t="shared" si="186"/>
        <v/>
      </c>
      <c r="Q2027" s="216" t="str">
        <f t="shared" si="187"/>
        <v/>
      </c>
      <c r="R2027" s="216" t="str">
        <f t="shared" si="188"/>
        <v/>
      </c>
      <c r="S2027" s="217" t="str">
        <f t="shared" si="189"/>
        <v/>
      </c>
    </row>
    <row r="2028" spans="1:19" x14ac:dyDescent="0.25">
      <c r="A2028" s="262"/>
      <c r="B2028" s="260"/>
      <c r="C2028" s="31"/>
      <c r="D2028" s="31"/>
      <c r="E2028" s="32"/>
      <c r="F2028" s="42" t="s">
        <v>416</v>
      </c>
      <c r="G2028" s="30" t="str">
        <f t="shared" si="190"/>
        <v/>
      </c>
      <c r="H2028" s="34"/>
      <c r="I2028" s="30"/>
      <c r="J2028" s="152">
        <v>105</v>
      </c>
      <c r="L2028" s="219"/>
      <c r="M2028" s="42"/>
      <c r="N2028" s="30" t="str">
        <f t="shared" si="191"/>
        <v/>
      </c>
      <c r="O2028" s="34"/>
      <c r="P2028" s="36" t="str">
        <f t="shared" si="186"/>
        <v/>
      </c>
      <c r="Q2028" s="216" t="str">
        <f t="shared" si="187"/>
        <v/>
      </c>
      <c r="R2028" s="216" t="str">
        <f t="shared" si="188"/>
        <v/>
      </c>
      <c r="S2028" s="217" t="str">
        <f t="shared" si="189"/>
        <v/>
      </c>
    </row>
    <row r="2029" spans="1:19" ht="38.25" x14ac:dyDescent="0.25">
      <c r="A2029" s="262"/>
      <c r="B2029" s="260"/>
      <c r="C2029" s="35" t="s">
        <v>531</v>
      </c>
      <c r="D2029" s="46" t="s">
        <v>69</v>
      </c>
      <c r="E2029" s="36">
        <v>1.0210999999999999</v>
      </c>
      <c r="F2029" s="33">
        <v>8.65</v>
      </c>
      <c r="G2029" s="33">
        <f t="shared" si="190"/>
        <v>8.832514999999999</v>
      </c>
      <c r="H2029" s="38">
        <f>SUM(G2029:G2031)</f>
        <v>9.7102836499999974</v>
      </c>
      <c r="I2029" s="39"/>
      <c r="J2029" s="152">
        <v>105</v>
      </c>
      <c r="L2029" s="215">
        <v>1.0210999999999999</v>
      </c>
      <c r="M2029" s="33">
        <v>7.4044000000000008</v>
      </c>
      <c r="N2029" s="33">
        <f t="shared" si="191"/>
        <v>7.5606328400000002</v>
      </c>
      <c r="O2029" s="38">
        <f>SUM(N2029:N2031)</f>
        <v>8.3120028044000005</v>
      </c>
      <c r="P2029" s="36" t="str">
        <f t="shared" si="186"/>
        <v/>
      </c>
      <c r="Q2029" s="216">
        <f t="shared" si="187"/>
        <v>0.14399999999999991</v>
      </c>
      <c r="R2029" s="216">
        <f t="shared" si="188"/>
        <v>0.14399999999999991</v>
      </c>
      <c r="S2029" s="217">
        <f t="shared" si="189"/>
        <v>0.14399999999999968</v>
      </c>
    </row>
    <row r="2030" spans="1:19" ht="25.5" x14ac:dyDescent="0.25">
      <c r="A2030" s="262"/>
      <c r="B2030" s="260"/>
      <c r="C2030" s="35" t="s">
        <v>824</v>
      </c>
      <c r="D2030" s="35" t="s">
        <v>583</v>
      </c>
      <c r="E2030" s="36">
        <f>0.061*0.3</f>
        <v>1.83E-2</v>
      </c>
      <c r="F2030" s="30">
        <v>21.166</v>
      </c>
      <c r="G2030" s="33">
        <f t="shared" si="190"/>
        <v>0.38733780000000001</v>
      </c>
      <c r="H2030" s="34"/>
      <c r="I2030" s="30"/>
      <c r="J2030" s="152">
        <v>105</v>
      </c>
      <c r="L2030" s="215">
        <v>1.83E-2</v>
      </c>
      <c r="M2030" s="30">
        <v>18.118096000000001</v>
      </c>
      <c r="N2030" s="33">
        <f t="shared" si="191"/>
        <v>0.33156115680000003</v>
      </c>
      <c r="O2030" s="34"/>
      <c r="P2030" s="36" t="str">
        <f t="shared" si="186"/>
        <v/>
      </c>
      <c r="Q2030" s="216">
        <f t="shared" si="187"/>
        <v>0.14399999999999991</v>
      </c>
      <c r="R2030" s="216">
        <f t="shared" si="188"/>
        <v>0.14399999999999991</v>
      </c>
      <c r="S2030" s="217" t="str">
        <f t="shared" si="189"/>
        <v/>
      </c>
    </row>
    <row r="2031" spans="1:19" ht="25.5" x14ac:dyDescent="0.25">
      <c r="A2031" s="262"/>
      <c r="B2031" s="260"/>
      <c r="C2031" s="35" t="s">
        <v>825</v>
      </c>
      <c r="D2031" s="35" t="s">
        <v>583</v>
      </c>
      <c r="E2031" s="36">
        <f>0.061*0.3</f>
        <v>1.83E-2</v>
      </c>
      <c r="F2031" s="30">
        <v>26.799499999999998</v>
      </c>
      <c r="G2031" s="33">
        <f t="shared" si="190"/>
        <v>0.49043084999999997</v>
      </c>
      <c r="H2031" s="34"/>
      <c r="I2031" s="30"/>
      <c r="J2031" s="152">
        <v>105</v>
      </c>
      <c r="L2031" s="215">
        <v>1.83E-2</v>
      </c>
      <c r="M2031" s="30">
        <v>22.940372</v>
      </c>
      <c r="N2031" s="33">
        <f t="shared" si="191"/>
        <v>0.4198088076</v>
      </c>
      <c r="O2031" s="34"/>
      <c r="P2031" s="36" t="str">
        <f t="shared" si="186"/>
        <v/>
      </c>
      <c r="Q2031" s="216">
        <f t="shared" si="187"/>
        <v>0.14399999999999991</v>
      </c>
      <c r="R2031" s="216">
        <f t="shared" si="188"/>
        <v>0.14399999999999991</v>
      </c>
      <c r="S2031" s="217" t="str">
        <f t="shared" si="189"/>
        <v/>
      </c>
    </row>
    <row r="2032" spans="1:19" x14ac:dyDescent="0.25">
      <c r="A2032" s="262"/>
      <c r="B2032" s="260"/>
      <c r="C2032" s="35"/>
      <c r="D2032" s="46"/>
      <c r="E2032" s="36"/>
      <c r="F2032" s="33" t="s">
        <v>416</v>
      </c>
      <c r="G2032" s="33" t="str">
        <f t="shared" si="190"/>
        <v/>
      </c>
      <c r="H2032" s="34"/>
      <c r="I2032" s="30"/>
      <c r="J2032" s="152">
        <v>105</v>
      </c>
      <c r="L2032" s="215"/>
      <c r="M2032" s="33"/>
      <c r="N2032" s="33" t="str">
        <f t="shared" si="191"/>
        <v/>
      </c>
      <c r="O2032" s="34"/>
      <c r="P2032" s="36" t="str">
        <f t="shared" si="186"/>
        <v/>
      </c>
      <c r="Q2032" s="216" t="str">
        <f t="shared" si="187"/>
        <v/>
      </c>
      <c r="R2032" s="216" t="str">
        <f t="shared" si="188"/>
        <v/>
      </c>
      <c r="S2032" s="217" t="str">
        <f t="shared" si="189"/>
        <v/>
      </c>
    </row>
    <row r="2033" spans="1:19" ht="38.25" x14ac:dyDescent="0.25">
      <c r="A2033" s="262"/>
      <c r="B2033" s="260"/>
      <c r="C2033" s="51" t="s">
        <v>529</v>
      </c>
      <c r="D2033" s="46"/>
      <c r="E2033" s="36"/>
      <c r="F2033" s="33" t="s">
        <v>416</v>
      </c>
      <c r="G2033" s="33" t="str">
        <f t="shared" si="190"/>
        <v/>
      </c>
      <c r="H2033" s="34"/>
      <c r="I2033" s="30"/>
      <c r="J2033" s="152">
        <v>105</v>
      </c>
      <c r="L2033" s="215"/>
      <c r="M2033" s="33"/>
      <c r="N2033" s="33" t="str">
        <f t="shared" si="191"/>
        <v/>
      </c>
      <c r="O2033" s="34"/>
      <c r="P2033" s="36" t="str">
        <f t="shared" si="186"/>
        <v/>
      </c>
      <c r="Q2033" s="216" t="str">
        <f t="shared" si="187"/>
        <v/>
      </c>
      <c r="R2033" s="216" t="str">
        <f t="shared" si="188"/>
        <v/>
      </c>
      <c r="S2033" s="217" t="str">
        <f t="shared" si="189"/>
        <v/>
      </c>
    </row>
    <row r="2034" spans="1:19" ht="15.75" thickBot="1" x14ac:dyDescent="0.3">
      <c r="A2034" s="263"/>
      <c r="B2034" s="261"/>
      <c r="C2034" s="35"/>
      <c r="D2034" s="35"/>
      <c r="E2034" s="36"/>
      <c r="F2034" s="30" t="s">
        <v>416</v>
      </c>
      <c r="G2034" s="30" t="str">
        <f t="shared" si="190"/>
        <v/>
      </c>
      <c r="H2034" s="34"/>
      <c r="I2034" s="30"/>
      <c r="J2034" s="152">
        <v>105</v>
      </c>
      <c r="L2034" s="215"/>
      <c r="M2034" s="30"/>
      <c r="N2034" s="30" t="str">
        <f t="shared" si="191"/>
        <v/>
      </c>
      <c r="O2034" s="34"/>
      <c r="P2034" s="36" t="str">
        <f t="shared" si="186"/>
        <v/>
      </c>
      <c r="Q2034" s="216" t="str">
        <f t="shared" si="187"/>
        <v/>
      </c>
      <c r="R2034" s="216" t="str">
        <f t="shared" si="188"/>
        <v/>
      </c>
      <c r="S2034" s="217" t="str">
        <f t="shared" si="189"/>
        <v/>
      </c>
    </row>
    <row r="2035" spans="1:19" ht="15.75" thickBot="1" x14ac:dyDescent="0.3">
      <c r="A2035" s="256" t="s">
        <v>532</v>
      </c>
      <c r="B2035" s="259" t="str">
        <f>INDEX(Orçamentária!A:B,MATCH(Composições!A2035,Orçamentária!A:A,0),2)</f>
        <v>Isolamento elastomérico para tubulações de cobre de 1/4"</v>
      </c>
      <c r="C2035" s="40"/>
      <c r="D2035" s="25" t="s">
        <v>69</v>
      </c>
      <c r="E2035" s="26"/>
      <c r="F2035" s="41" t="s">
        <v>416</v>
      </c>
      <c r="G2035" s="27" t="str">
        <f t="shared" si="190"/>
        <v/>
      </c>
      <c r="H2035" s="28"/>
      <c r="I2035" s="29"/>
      <c r="J2035" s="152">
        <v>105</v>
      </c>
      <c r="L2035" s="218"/>
      <c r="M2035" s="41"/>
      <c r="N2035" s="27" t="str">
        <f t="shared" si="191"/>
        <v/>
      </c>
      <c r="O2035" s="28"/>
      <c r="P2035" s="36" t="str">
        <f t="shared" si="186"/>
        <v/>
      </c>
      <c r="Q2035" s="216" t="str">
        <f t="shared" si="187"/>
        <v/>
      </c>
      <c r="R2035" s="216" t="str">
        <f t="shared" si="188"/>
        <v/>
      </c>
      <c r="S2035" s="217" t="str">
        <f t="shared" si="189"/>
        <v/>
      </c>
    </row>
    <row r="2036" spans="1:19" x14ac:dyDescent="0.25">
      <c r="A2036" s="262"/>
      <c r="B2036" s="260"/>
      <c r="C2036" s="31"/>
      <c r="D2036" s="31"/>
      <c r="E2036" s="32"/>
      <c r="F2036" s="42" t="s">
        <v>416</v>
      </c>
      <c r="G2036" s="30" t="str">
        <f t="shared" si="190"/>
        <v/>
      </c>
      <c r="H2036" s="34"/>
      <c r="I2036" s="30"/>
      <c r="J2036" s="152">
        <v>105</v>
      </c>
      <c r="L2036" s="219"/>
      <c r="M2036" s="42"/>
      <c r="N2036" s="30" t="str">
        <f t="shared" si="191"/>
        <v/>
      </c>
      <c r="O2036" s="34"/>
      <c r="P2036" s="36" t="str">
        <f t="shared" si="186"/>
        <v/>
      </c>
      <c r="Q2036" s="216" t="str">
        <f t="shared" si="187"/>
        <v/>
      </c>
      <c r="R2036" s="216" t="str">
        <f t="shared" si="188"/>
        <v/>
      </c>
      <c r="S2036" s="217" t="str">
        <f t="shared" si="189"/>
        <v/>
      </c>
    </row>
    <row r="2037" spans="1:19" ht="38.25" x14ac:dyDescent="0.25">
      <c r="A2037" s="262"/>
      <c r="B2037" s="260"/>
      <c r="C2037" s="35" t="s">
        <v>533</v>
      </c>
      <c r="D2037" s="46" t="s">
        <v>69</v>
      </c>
      <c r="E2037" s="36">
        <v>1.0210999999999999</v>
      </c>
      <c r="F2037" s="33">
        <v>7.21</v>
      </c>
      <c r="G2037" s="33">
        <f t="shared" si="190"/>
        <v>7.3621309999999989</v>
      </c>
      <c r="H2037" s="38">
        <f>SUM(G2037:G2039)</f>
        <v>8.1103927999999978</v>
      </c>
      <c r="I2037" s="39"/>
      <c r="J2037" s="152">
        <v>105</v>
      </c>
      <c r="L2037" s="215">
        <v>1.0210999999999999</v>
      </c>
      <c r="M2037" s="33">
        <v>6.1717599999999999</v>
      </c>
      <c r="N2037" s="33">
        <f t="shared" si="191"/>
        <v>6.3019841359999988</v>
      </c>
      <c r="O2037" s="38">
        <f>SUM(N2037:N2039)</f>
        <v>6.9424962367999985</v>
      </c>
      <c r="P2037" s="36" t="str">
        <f t="shared" si="186"/>
        <v/>
      </c>
      <c r="Q2037" s="216">
        <f t="shared" si="187"/>
        <v>0.14400000000000002</v>
      </c>
      <c r="R2037" s="216">
        <f t="shared" si="188"/>
        <v>0.14400000000000002</v>
      </c>
      <c r="S2037" s="217">
        <f t="shared" si="189"/>
        <v>0.14399999999999991</v>
      </c>
    </row>
    <row r="2038" spans="1:19" ht="25.5" x14ac:dyDescent="0.25">
      <c r="A2038" s="262"/>
      <c r="B2038" s="260"/>
      <c r="C2038" s="35" t="s">
        <v>824</v>
      </c>
      <c r="D2038" s="35" t="s">
        <v>583</v>
      </c>
      <c r="E2038" s="36">
        <f>0.052*0.3</f>
        <v>1.5599999999999999E-2</v>
      </c>
      <c r="F2038" s="30">
        <v>21.166</v>
      </c>
      <c r="G2038" s="33">
        <f t="shared" si="190"/>
        <v>0.33018959999999997</v>
      </c>
      <c r="H2038" s="34"/>
      <c r="I2038" s="30"/>
      <c r="J2038" s="152">
        <v>105</v>
      </c>
      <c r="L2038" s="215">
        <v>1.5599999999999999E-2</v>
      </c>
      <c r="M2038" s="30">
        <v>18.118096000000001</v>
      </c>
      <c r="N2038" s="33">
        <f t="shared" si="191"/>
        <v>0.28264229759999998</v>
      </c>
      <c r="O2038" s="34"/>
      <c r="P2038" s="36" t="str">
        <f t="shared" si="186"/>
        <v/>
      </c>
      <c r="Q2038" s="216">
        <f t="shared" si="187"/>
        <v>0.14399999999999991</v>
      </c>
      <c r="R2038" s="216">
        <f t="shared" si="188"/>
        <v>0.14400000000000002</v>
      </c>
      <c r="S2038" s="217" t="str">
        <f t="shared" si="189"/>
        <v/>
      </c>
    </row>
    <row r="2039" spans="1:19" ht="25.5" x14ac:dyDescent="0.25">
      <c r="A2039" s="262"/>
      <c r="B2039" s="260"/>
      <c r="C2039" s="35" t="s">
        <v>825</v>
      </c>
      <c r="D2039" s="35" t="s">
        <v>583</v>
      </c>
      <c r="E2039" s="36">
        <f>0.052*0.3</f>
        <v>1.5599999999999999E-2</v>
      </c>
      <c r="F2039" s="30">
        <v>26.799499999999998</v>
      </c>
      <c r="G2039" s="33">
        <f t="shared" si="190"/>
        <v>0.41807219999999995</v>
      </c>
      <c r="H2039" s="34"/>
      <c r="I2039" s="30"/>
      <c r="J2039" s="152">
        <v>105</v>
      </c>
      <c r="L2039" s="215">
        <v>1.5599999999999999E-2</v>
      </c>
      <c r="M2039" s="30">
        <v>22.940372</v>
      </c>
      <c r="N2039" s="33">
        <f t="shared" si="191"/>
        <v>0.3578698032</v>
      </c>
      <c r="O2039" s="34"/>
      <c r="P2039" s="36" t="str">
        <f t="shared" si="186"/>
        <v/>
      </c>
      <c r="Q2039" s="216">
        <f t="shared" si="187"/>
        <v>0.14399999999999991</v>
      </c>
      <c r="R2039" s="216">
        <f t="shared" si="188"/>
        <v>0.14399999999999991</v>
      </c>
      <c r="S2039" s="217" t="str">
        <f t="shared" si="189"/>
        <v/>
      </c>
    </row>
    <row r="2040" spans="1:19" x14ac:dyDescent="0.25">
      <c r="A2040" s="262"/>
      <c r="B2040" s="260"/>
      <c r="C2040" s="35"/>
      <c r="D2040" s="46"/>
      <c r="E2040" s="36"/>
      <c r="F2040" s="33" t="s">
        <v>416</v>
      </c>
      <c r="G2040" s="33" t="str">
        <f t="shared" si="190"/>
        <v/>
      </c>
      <c r="H2040" s="34"/>
      <c r="I2040" s="30"/>
      <c r="J2040" s="152">
        <v>105</v>
      </c>
      <c r="L2040" s="215"/>
      <c r="M2040" s="33"/>
      <c r="N2040" s="33" t="str">
        <f t="shared" si="191"/>
        <v/>
      </c>
      <c r="O2040" s="34"/>
      <c r="P2040" s="36" t="str">
        <f t="shared" si="186"/>
        <v/>
      </c>
      <c r="Q2040" s="216" t="str">
        <f t="shared" si="187"/>
        <v/>
      </c>
      <c r="R2040" s="216" t="str">
        <f t="shared" si="188"/>
        <v/>
      </c>
      <c r="S2040" s="217" t="str">
        <f t="shared" si="189"/>
        <v/>
      </c>
    </row>
    <row r="2041" spans="1:19" ht="38.25" x14ac:dyDescent="0.25">
      <c r="A2041" s="262"/>
      <c r="B2041" s="260"/>
      <c r="C2041" s="51" t="s">
        <v>529</v>
      </c>
      <c r="D2041" s="46"/>
      <c r="E2041" s="36"/>
      <c r="F2041" s="33" t="s">
        <v>416</v>
      </c>
      <c r="G2041" s="33" t="str">
        <f t="shared" si="190"/>
        <v/>
      </c>
      <c r="H2041" s="34"/>
      <c r="I2041" s="30"/>
      <c r="J2041" s="152">
        <v>105</v>
      </c>
      <c r="L2041" s="215"/>
      <c r="M2041" s="33"/>
      <c r="N2041" s="33" t="str">
        <f t="shared" si="191"/>
        <v/>
      </c>
      <c r="O2041" s="34"/>
      <c r="P2041" s="36" t="str">
        <f t="shared" si="186"/>
        <v/>
      </c>
      <c r="Q2041" s="216" t="str">
        <f t="shared" si="187"/>
        <v/>
      </c>
      <c r="R2041" s="216" t="str">
        <f t="shared" si="188"/>
        <v/>
      </c>
      <c r="S2041" s="217" t="str">
        <f t="shared" si="189"/>
        <v/>
      </c>
    </row>
    <row r="2042" spans="1:19" ht="15.75" thickBot="1" x14ac:dyDescent="0.3">
      <c r="A2042" s="263"/>
      <c r="B2042" s="261"/>
      <c r="C2042" s="35"/>
      <c r="D2042" s="35"/>
      <c r="E2042" s="36"/>
      <c r="F2042" s="30" t="s">
        <v>416</v>
      </c>
      <c r="G2042" s="30" t="str">
        <f t="shared" si="190"/>
        <v/>
      </c>
      <c r="H2042" s="34"/>
      <c r="I2042" s="30"/>
      <c r="J2042" s="152">
        <v>105</v>
      </c>
      <c r="L2042" s="215"/>
      <c r="M2042" s="30"/>
      <c r="N2042" s="30" t="str">
        <f t="shared" si="191"/>
        <v/>
      </c>
      <c r="O2042" s="34"/>
      <c r="P2042" s="36" t="str">
        <f t="shared" si="186"/>
        <v/>
      </c>
      <c r="Q2042" s="216" t="str">
        <f t="shared" si="187"/>
        <v/>
      </c>
      <c r="R2042" s="216" t="str">
        <f t="shared" si="188"/>
        <v/>
      </c>
      <c r="S2042" s="217" t="str">
        <f t="shared" si="189"/>
        <v/>
      </c>
    </row>
    <row r="2043" spans="1:19" ht="15.75" hidden="1" thickBot="1" x14ac:dyDescent="0.3">
      <c r="A2043" s="256" t="s">
        <v>534</v>
      </c>
      <c r="B2043" s="259" t="str">
        <f>INDEX(Orçamentária!A:B,MATCH(Composições!A2043,Orçamentária!A:A,0),2)</f>
        <v>Isolamento elastomérico para tubulações de cobre de 3/4"</v>
      </c>
      <c r="C2043" s="40"/>
      <c r="D2043" s="25" t="s">
        <v>69</v>
      </c>
      <c r="E2043" s="26"/>
      <c r="F2043" s="41" t="s">
        <v>416</v>
      </c>
      <c r="G2043" s="27" t="str">
        <f t="shared" si="190"/>
        <v/>
      </c>
      <c r="H2043" s="28"/>
      <c r="I2043" s="29"/>
      <c r="J2043" s="152">
        <v>0</v>
      </c>
      <c r="L2043" s="218"/>
      <c r="M2043" s="41"/>
      <c r="N2043" s="27" t="str">
        <f t="shared" si="191"/>
        <v/>
      </c>
      <c r="O2043" s="28"/>
      <c r="P2043" s="36" t="str">
        <f t="shared" si="186"/>
        <v/>
      </c>
      <c r="Q2043" s="216" t="str">
        <f t="shared" si="187"/>
        <v/>
      </c>
      <c r="R2043" s="216" t="str">
        <f t="shared" si="188"/>
        <v/>
      </c>
      <c r="S2043" s="217" t="str">
        <f t="shared" si="189"/>
        <v/>
      </c>
    </row>
    <row r="2044" spans="1:19" ht="15.75" hidden="1" thickBot="1" x14ac:dyDescent="0.3">
      <c r="A2044" s="262"/>
      <c r="B2044" s="260"/>
      <c r="C2044" s="31"/>
      <c r="D2044" s="31"/>
      <c r="E2044" s="32"/>
      <c r="F2044" s="42" t="s">
        <v>416</v>
      </c>
      <c r="G2044" s="30" t="str">
        <f t="shared" si="190"/>
        <v/>
      </c>
      <c r="H2044" s="34"/>
      <c r="I2044" s="30"/>
      <c r="J2044" s="152">
        <v>0</v>
      </c>
      <c r="L2044" s="219"/>
      <c r="M2044" s="42"/>
      <c r="N2044" s="30" t="str">
        <f t="shared" si="191"/>
        <v/>
      </c>
      <c r="O2044" s="34"/>
      <c r="P2044" s="36" t="str">
        <f t="shared" si="186"/>
        <v/>
      </c>
      <c r="Q2044" s="216" t="str">
        <f t="shared" si="187"/>
        <v/>
      </c>
      <c r="R2044" s="216" t="str">
        <f t="shared" si="188"/>
        <v/>
      </c>
      <c r="S2044" s="217" t="str">
        <f t="shared" si="189"/>
        <v/>
      </c>
    </row>
    <row r="2045" spans="1:19" ht="39" hidden="1" thickBot="1" x14ac:dyDescent="0.3">
      <c r="A2045" s="262"/>
      <c r="B2045" s="260"/>
      <c r="C2045" s="35" t="s">
        <v>535</v>
      </c>
      <c r="D2045" s="46" t="s">
        <v>69</v>
      </c>
      <c r="E2045" s="36">
        <v>1.0210999999999999</v>
      </c>
      <c r="F2045" s="33">
        <v>17.690000000000001</v>
      </c>
      <c r="G2045" s="33">
        <f t="shared" si="190"/>
        <v>18.063258999999999</v>
      </c>
      <c r="H2045" s="38">
        <f>SUM(G2045:G2047)</f>
        <v>18.984196600000001</v>
      </c>
      <c r="I2045" s="39"/>
      <c r="J2045" s="152">
        <v>0</v>
      </c>
      <c r="L2045" s="215">
        <v>1.0210999999999999</v>
      </c>
      <c r="M2045" s="33">
        <v>15.142640000000002</v>
      </c>
      <c r="N2045" s="33">
        <f t="shared" si="191"/>
        <v>15.462149704</v>
      </c>
      <c r="O2045" s="38">
        <f>SUM(N2045:N2047)</f>
        <v>16.250472289600001</v>
      </c>
      <c r="P2045" s="36" t="str">
        <f t="shared" si="186"/>
        <v/>
      </c>
      <c r="Q2045" s="216">
        <f t="shared" si="187"/>
        <v>0.14399999999999991</v>
      </c>
      <c r="R2045" s="216">
        <f t="shared" si="188"/>
        <v>0.14399999999999991</v>
      </c>
      <c r="S2045" s="217">
        <f t="shared" si="189"/>
        <v>0.14400000000000002</v>
      </c>
    </row>
    <row r="2046" spans="1:19" ht="26.25" hidden="1" thickBot="1" x14ac:dyDescent="0.3">
      <c r="A2046" s="262"/>
      <c r="B2046" s="260"/>
      <c r="C2046" s="35" t="s">
        <v>824</v>
      </c>
      <c r="D2046" s="35" t="s">
        <v>583</v>
      </c>
      <c r="E2046" s="36">
        <f>0.064*0.3</f>
        <v>1.9199999999999998E-2</v>
      </c>
      <c r="F2046" s="30">
        <v>21.166</v>
      </c>
      <c r="G2046" s="33">
        <f t="shared" si="190"/>
        <v>0.40638719999999995</v>
      </c>
      <c r="H2046" s="34"/>
      <c r="I2046" s="30"/>
      <c r="J2046" s="152">
        <v>0</v>
      </c>
      <c r="L2046" s="215">
        <v>1.9199999999999998E-2</v>
      </c>
      <c r="M2046" s="30">
        <v>18.118096000000001</v>
      </c>
      <c r="N2046" s="33">
        <f t="shared" si="191"/>
        <v>0.34786744320000001</v>
      </c>
      <c r="O2046" s="34"/>
      <c r="P2046" s="36" t="str">
        <f t="shared" si="186"/>
        <v/>
      </c>
      <c r="Q2046" s="216">
        <f t="shared" si="187"/>
        <v>0.14399999999999991</v>
      </c>
      <c r="R2046" s="216">
        <f t="shared" si="188"/>
        <v>0.14399999999999991</v>
      </c>
      <c r="S2046" s="217" t="str">
        <f t="shared" si="189"/>
        <v/>
      </c>
    </row>
    <row r="2047" spans="1:19" ht="26.25" hidden="1" thickBot="1" x14ac:dyDescent="0.3">
      <c r="A2047" s="262"/>
      <c r="B2047" s="260"/>
      <c r="C2047" s="35" t="s">
        <v>825</v>
      </c>
      <c r="D2047" s="35" t="s">
        <v>583</v>
      </c>
      <c r="E2047" s="36">
        <f>0.064*0.3</f>
        <v>1.9199999999999998E-2</v>
      </c>
      <c r="F2047" s="30">
        <v>26.799499999999998</v>
      </c>
      <c r="G2047" s="33">
        <f t="shared" si="190"/>
        <v>0.51455039999999996</v>
      </c>
      <c r="H2047" s="34"/>
      <c r="I2047" s="30"/>
      <c r="J2047" s="152">
        <v>0</v>
      </c>
      <c r="L2047" s="215">
        <v>1.9199999999999998E-2</v>
      </c>
      <c r="M2047" s="30">
        <v>22.940372</v>
      </c>
      <c r="N2047" s="33">
        <f t="shared" si="191"/>
        <v>0.44045514239999994</v>
      </c>
      <c r="O2047" s="34"/>
      <c r="P2047" s="36" t="str">
        <f t="shared" si="186"/>
        <v/>
      </c>
      <c r="Q2047" s="216">
        <f t="shared" si="187"/>
        <v>0.14399999999999991</v>
      </c>
      <c r="R2047" s="216">
        <f t="shared" si="188"/>
        <v>0.14400000000000002</v>
      </c>
      <c r="S2047" s="217" t="str">
        <f t="shared" si="189"/>
        <v/>
      </c>
    </row>
    <row r="2048" spans="1:19" ht="15.75" hidden="1" thickBot="1" x14ac:dyDescent="0.3">
      <c r="A2048" s="262"/>
      <c r="B2048" s="260"/>
      <c r="C2048" s="35"/>
      <c r="D2048" s="46"/>
      <c r="E2048" s="36"/>
      <c r="F2048" s="33" t="s">
        <v>416</v>
      </c>
      <c r="G2048" s="33" t="str">
        <f t="shared" si="190"/>
        <v/>
      </c>
      <c r="H2048" s="34"/>
      <c r="I2048" s="30"/>
      <c r="J2048" s="152">
        <v>0</v>
      </c>
      <c r="L2048" s="215"/>
      <c r="M2048" s="33"/>
      <c r="N2048" s="33" t="str">
        <f t="shared" si="191"/>
        <v/>
      </c>
      <c r="O2048" s="34"/>
      <c r="P2048" s="36" t="str">
        <f t="shared" si="186"/>
        <v/>
      </c>
      <c r="Q2048" s="216" t="str">
        <f t="shared" si="187"/>
        <v/>
      </c>
      <c r="R2048" s="216" t="str">
        <f t="shared" si="188"/>
        <v/>
      </c>
      <c r="S2048" s="217" t="str">
        <f t="shared" si="189"/>
        <v/>
      </c>
    </row>
    <row r="2049" spans="1:19" ht="39" hidden="1" thickBot="1" x14ac:dyDescent="0.3">
      <c r="A2049" s="262"/>
      <c r="B2049" s="260"/>
      <c r="C2049" s="51" t="s">
        <v>529</v>
      </c>
      <c r="D2049" s="46"/>
      <c r="E2049" s="36"/>
      <c r="F2049" s="33" t="s">
        <v>416</v>
      </c>
      <c r="G2049" s="33" t="str">
        <f t="shared" si="190"/>
        <v/>
      </c>
      <c r="H2049" s="34"/>
      <c r="I2049" s="30"/>
      <c r="J2049" s="152">
        <v>0</v>
      </c>
      <c r="L2049" s="215"/>
      <c r="M2049" s="33"/>
      <c r="N2049" s="33" t="str">
        <f t="shared" si="191"/>
        <v/>
      </c>
      <c r="O2049" s="34"/>
      <c r="P2049" s="36" t="str">
        <f t="shared" si="186"/>
        <v/>
      </c>
      <c r="Q2049" s="216" t="str">
        <f t="shared" si="187"/>
        <v/>
      </c>
      <c r="R2049" s="216" t="str">
        <f t="shared" si="188"/>
        <v/>
      </c>
      <c r="S2049" s="217" t="str">
        <f t="shared" si="189"/>
        <v/>
      </c>
    </row>
    <row r="2050" spans="1:19" ht="15.75" hidden="1" thickBot="1" x14ac:dyDescent="0.3">
      <c r="A2050" s="263"/>
      <c r="B2050" s="261"/>
      <c r="C2050" s="35"/>
      <c r="D2050" s="35"/>
      <c r="E2050" s="36"/>
      <c r="F2050" s="30" t="s">
        <v>416</v>
      </c>
      <c r="G2050" s="30" t="str">
        <f t="shared" si="190"/>
        <v/>
      </c>
      <c r="H2050" s="34"/>
      <c r="I2050" s="30"/>
      <c r="J2050" s="152">
        <v>0</v>
      </c>
      <c r="L2050" s="215"/>
      <c r="M2050" s="30"/>
      <c r="N2050" s="30" t="str">
        <f t="shared" si="191"/>
        <v/>
      </c>
      <c r="O2050" s="34"/>
      <c r="P2050" s="36" t="str">
        <f t="shared" si="186"/>
        <v/>
      </c>
      <c r="Q2050" s="216" t="str">
        <f t="shared" si="187"/>
        <v/>
      </c>
      <c r="R2050" s="216" t="str">
        <f t="shared" si="188"/>
        <v/>
      </c>
      <c r="S2050" s="217" t="str">
        <f t="shared" si="189"/>
        <v/>
      </c>
    </row>
    <row r="2051" spans="1:19" ht="15.75" thickBot="1" x14ac:dyDescent="0.3">
      <c r="A2051" s="256" t="s">
        <v>536</v>
      </c>
      <c r="B2051" s="259" t="str">
        <f>INDEX(Orçamentária!A:B,MATCH(Composições!A2051,Orçamentária!A:A,0),2)</f>
        <v>Isolamento elastomérico para tubulações de cobre de 3/8"</v>
      </c>
      <c r="C2051" s="40"/>
      <c r="D2051" s="25" t="s">
        <v>69</v>
      </c>
      <c r="E2051" s="26"/>
      <c r="F2051" s="41" t="s">
        <v>416</v>
      </c>
      <c r="G2051" s="27" t="str">
        <f t="shared" si="190"/>
        <v/>
      </c>
      <c r="H2051" s="28"/>
      <c r="I2051" s="29"/>
      <c r="J2051" s="152">
        <v>118</v>
      </c>
      <c r="L2051" s="218"/>
      <c r="M2051" s="41"/>
      <c r="N2051" s="27" t="str">
        <f t="shared" si="191"/>
        <v/>
      </c>
      <c r="O2051" s="28"/>
      <c r="P2051" s="36" t="str">
        <f t="shared" si="186"/>
        <v/>
      </c>
      <c r="Q2051" s="216" t="str">
        <f t="shared" si="187"/>
        <v/>
      </c>
      <c r="R2051" s="216" t="str">
        <f t="shared" si="188"/>
        <v/>
      </c>
      <c r="S2051" s="217" t="str">
        <f t="shared" si="189"/>
        <v/>
      </c>
    </row>
    <row r="2052" spans="1:19" x14ac:dyDescent="0.25">
      <c r="A2052" s="262"/>
      <c r="B2052" s="260"/>
      <c r="C2052" s="31"/>
      <c r="D2052" s="31"/>
      <c r="E2052" s="32"/>
      <c r="F2052" s="42" t="s">
        <v>416</v>
      </c>
      <c r="G2052" s="30" t="str">
        <f t="shared" si="190"/>
        <v/>
      </c>
      <c r="H2052" s="34"/>
      <c r="I2052" s="30"/>
      <c r="J2052" s="152">
        <v>118</v>
      </c>
      <c r="L2052" s="219"/>
      <c r="M2052" s="42"/>
      <c r="N2052" s="30" t="str">
        <f t="shared" si="191"/>
        <v/>
      </c>
      <c r="O2052" s="34"/>
      <c r="P2052" s="36" t="str">
        <f t="shared" si="186"/>
        <v/>
      </c>
      <c r="Q2052" s="216" t="str">
        <f t="shared" si="187"/>
        <v/>
      </c>
      <c r="R2052" s="216" t="str">
        <f t="shared" si="188"/>
        <v/>
      </c>
      <c r="S2052" s="217" t="str">
        <f t="shared" si="189"/>
        <v/>
      </c>
    </row>
    <row r="2053" spans="1:19" ht="38.25" x14ac:dyDescent="0.25">
      <c r="A2053" s="262"/>
      <c r="B2053" s="260"/>
      <c r="C2053" s="35" t="s">
        <v>537</v>
      </c>
      <c r="D2053" s="46" t="s">
        <v>69</v>
      </c>
      <c r="E2053" s="36">
        <v>1.0210999999999999</v>
      </c>
      <c r="F2053" s="33">
        <v>8.51</v>
      </c>
      <c r="G2053" s="33">
        <f t="shared" si="190"/>
        <v>8.6895609999999994</v>
      </c>
      <c r="H2053" s="38">
        <f>SUM(G2053:G2055)</f>
        <v>9.5097710499999994</v>
      </c>
      <c r="I2053" s="39"/>
      <c r="J2053" s="152">
        <v>118</v>
      </c>
      <c r="L2053" s="215">
        <v>1.0210999999999999</v>
      </c>
      <c r="M2053" s="33">
        <v>7.2845599999999999</v>
      </c>
      <c r="N2053" s="33">
        <f t="shared" si="191"/>
        <v>7.4382642159999994</v>
      </c>
      <c r="O2053" s="38">
        <f>SUM(N2053:N2055)</f>
        <v>8.1403640187999997</v>
      </c>
      <c r="P2053" s="36" t="str">
        <f t="shared" si="186"/>
        <v/>
      </c>
      <c r="Q2053" s="216">
        <f t="shared" si="187"/>
        <v>0.14400000000000002</v>
      </c>
      <c r="R2053" s="216">
        <f t="shared" si="188"/>
        <v>0.14400000000000002</v>
      </c>
      <c r="S2053" s="217">
        <f t="shared" si="189"/>
        <v>0.14400000000000002</v>
      </c>
    </row>
    <row r="2054" spans="1:19" ht="25.5" x14ac:dyDescent="0.25">
      <c r="A2054" s="262"/>
      <c r="B2054" s="260"/>
      <c r="C2054" s="35" t="s">
        <v>824</v>
      </c>
      <c r="D2054" s="35" t="s">
        <v>583</v>
      </c>
      <c r="E2054" s="36">
        <f>0.057*0.3</f>
        <v>1.7100000000000001E-2</v>
      </c>
      <c r="F2054" s="30">
        <v>21.166</v>
      </c>
      <c r="G2054" s="33">
        <f t="shared" si="190"/>
        <v>0.3619386</v>
      </c>
      <c r="H2054" s="34"/>
      <c r="I2054" s="30"/>
      <c r="J2054" s="152">
        <v>118</v>
      </c>
      <c r="L2054" s="215">
        <v>1.7100000000000001E-2</v>
      </c>
      <c r="M2054" s="30">
        <v>18.118096000000001</v>
      </c>
      <c r="N2054" s="33">
        <f t="shared" si="191"/>
        <v>0.30981944160000002</v>
      </c>
      <c r="O2054" s="34"/>
      <c r="P2054" s="36" t="str">
        <f t="shared" si="186"/>
        <v/>
      </c>
      <c r="Q2054" s="216">
        <f t="shared" si="187"/>
        <v>0.14399999999999991</v>
      </c>
      <c r="R2054" s="216">
        <f t="shared" si="188"/>
        <v>0.14399999999999991</v>
      </c>
      <c r="S2054" s="217" t="str">
        <f t="shared" si="189"/>
        <v/>
      </c>
    </row>
    <row r="2055" spans="1:19" ht="25.5" x14ac:dyDescent="0.25">
      <c r="A2055" s="262"/>
      <c r="B2055" s="260"/>
      <c r="C2055" s="35" t="s">
        <v>825</v>
      </c>
      <c r="D2055" s="35" t="s">
        <v>583</v>
      </c>
      <c r="E2055" s="36">
        <f>0.057*0.3</f>
        <v>1.7100000000000001E-2</v>
      </c>
      <c r="F2055" s="30">
        <v>26.799499999999998</v>
      </c>
      <c r="G2055" s="33">
        <f t="shared" si="190"/>
        <v>0.45827144999999997</v>
      </c>
      <c r="H2055" s="34"/>
      <c r="I2055" s="30"/>
      <c r="J2055" s="152">
        <v>118</v>
      </c>
      <c r="L2055" s="215">
        <v>1.7100000000000001E-2</v>
      </c>
      <c r="M2055" s="30">
        <v>22.940372</v>
      </c>
      <c r="N2055" s="33">
        <f t="shared" si="191"/>
        <v>0.39228036120000004</v>
      </c>
      <c r="O2055" s="34"/>
      <c r="P2055" s="36" t="str">
        <f t="shared" si="186"/>
        <v/>
      </c>
      <c r="Q2055" s="216">
        <f t="shared" si="187"/>
        <v>0.14399999999999991</v>
      </c>
      <c r="R2055" s="216">
        <f t="shared" si="188"/>
        <v>0.14399999999999991</v>
      </c>
      <c r="S2055" s="217" t="str">
        <f t="shared" si="189"/>
        <v/>
      </c>
    </row>
    <row r="2056" spans="1:19" x14ac:dyDescent="0.25">
      <c r="A2056" s="262"/>
      <c r="B2056" s="260"/>
      <c r="C2056" s="35"/>
      <c r="D2056" s="46"/>
      <c r="E2056" s="36"/>
      <c r="F2056" s="33" t="s">
        <v>416</v>
      </c>
      <c r="G2056" s="33" t="str">
        <f t="shared" si="190"/>
        <v/>
      </c>
      <c r="H2056" s="34"/>
      <c r="I2056" s="30"/>
      <c r="J2056" s="152">
        <v>118</v>
      </c>
      <c r="L2056" s="215"/>
      <c r="M2056" s="33"/>
      <c r="N2056" s="33" t="str">
        <f t="shared" si="191"/>
        <v/>
      </c>
      <c r="O2056" s="34"/>
      <c r="P2056" s="36" t="str">
        <f t="shared" ref="P2056:P2119" si="192">IF(ISBLANK(L2056),"",IF($E2056&lt;&gt;L2056,"SIM",""))</f>
        <v/>
      </c>
      <c r="Q2056" s="216" t="str">
        <f t="shared" ref="Q2056:Q2119" si="193">IF(M2056="","",1-M2056/$F2056)</f>
        <v/>
      </c>
      <c r="R2056" s="216" t="str">
        <f t="shared" ref="R2056:R2119" si="194">IF(N2056="","",1-N2056/$G2056)</f>
        <v/>
      </c>
      <c r="S2056" s="217" t="str">
        <f t="shared" ref="S2056:S2119" si="195">IF(O2056="","",1-O2056/$H2056)</f>
        <v/>
      </c>
    </row>
    <row r="2057" spans="1:19" ht="38.25" x14ac:dyDescent="0.25">
      <c r="A2057" s="262"/>
      <c r="B2057" s="260"/>
      <c r="C2057" s="51" t="s">
        <v>529</v>
      </c>
      <c r="D2057" s="46"/>
      <c r="E2057" s="36"/>
      <c r="F2057" s="33" t="s">
        <v>416</v>
      </c>
      <c r="G2057" s="33" t="str">
        <f t="shared" si="190"/>
        <v/>
      </c>
      <c r="H2057" s="34"/>
      <c r="I2057" s="30"/>
      <c r="J2057" s="152">
        <v>118</v>
      </c>
      <c r="L2057" s="215"/>
      <c r="M2057" s="33"/>
      <c r="N2057" s="33" t="str">
        <f t="shared" si="191"/>
        <v/>
      </c>
      <c r="O2057" s="34"/>
      <c r="P2057" s="36" t="str">
        <f t="shared" si="192"/>
        <v/>
      </c>
      <c r="Q2057" s="216" t="str">
        <f t="shared" si="193"/>
        <v/>
      </c>
      <c r="R2057" s="216" t="str">
        <f t="shared" si="194"/>
        <v/>
      </c>
      <c r="S2057" s="217" t="str">
        <f t="shared" si="195"/>
        <v/>
      </c>
    </row>
    <row r="2058" spans="1:19" ht="15.75" thickBot="1" x14ac:dyDescent="0.3">
      <c r="A2058" s="263"/>
      <c r="B2058" s="261"/>
      <c r="C2058" s="35"/>
      <c r="D2058" s="35"/>
      <c r="E2058" s="36"/>
      <c r="F2058" s="30" t="s">
        <v>416</v>
      </c>
      <c r="G2058" s="30" t="str">
        <f t="shared" si="190"/>
        <v/>
      </c>
      <c r="H2058" s="34"/>
      <c r="I2058" s="30"/>
      <c r="J2058" s="152">
        <v>118</v>
      </c>
      <c r="L2058" s="215"/>
      <c r="M2058" s="30"/>
      <c r="N2058" s="30" t="str">
        <f t="shared" si="191"/>
        <v/>
      </c>
      <c r="O2058" s="34"/>
      <c r="P2058" s="36" t="str">
        <f t="shared" si="192"/>
        <v/>
      </c>
      <c r="Q2058" s="216" t="str">
        <f t="shared" si="193"/>
        <v/>
      </c>
      <c r="R2058" s="216" t="str">
        <f t="shared" si="194"/>
        <v/>
      </c>
      <c r="S2058" s="217" t="str">
        <f t="shared" si="195"/>
        <v/>
      </c>
    </row>
    <row r="2059" spans="1:19" ht="15.75" thickBot="1" x14ac:dyDescent="0.3">
      <c r="A2059" s="256" t="s">
        <v>538</v>
      </c>
      <c r="B2059" s="259" t="str">
        <f>INDEX(Orçamentária!A:B,MATCH(Composições!A2059,Orçamentária!A:A,0),2)</f>
        <v>Isolamento elastomérico para tubulações de cobre de 5/8"</v>
      </c>
      <c r="C2059" s="40"/>
      <c r="D2059" s="25" t="s">
        <v>69</v>
      </c>
      <c r="E2059" s="26"/>
      <c r="F2059" s="41" t="s">
        <v>416</v>
      </c>
      <c r="G2059" s="27" t="str">
        <f t="shared" si="190"/>
        <v/>
      </c>
      <c r="H2059" s="28"/>
      <c r="I2059" s="29"/>
      <c r="J2059" s="152">
        <v>107</v>
      </c>
      <c r="L2059" s="218"/>
      <c r="M2059" s="41"/>
      <c r="N2059" s="27" t="str">
        <f t="shared" si="191"/>
        <v/>
      </c>
      <c r="O2059" s="28"/>
      <c r="P2059" s="36" t="str">
        <f t="shared" si="192"/>
        <v/>
      </c>
      <c r="Q2059" s="216" t="str">
        <f t="shared" si="193"/>
        <v/>
      </c>
      <c r="R2059" s="216" t="str">
        <f t="shared" si="194"/>
        <v/>
      </c>
      <c r="S2059" s="217" t="str">
        <f t="shared" si="195"/>
        <v/>
      </c>
    </row>
    <row r="2060" spans="1:19" x14ac:dyDescent="0.25">
      <c r="A2060" s="262"/>
      <c r="B2060" s="260"/>
      <c r="C2060" s="31"/>
      <c r="D2060" s="31"/>
      <c r="E2060" s="32"/>
      <c r="F2060" s="42" t="s">
        <v>416</v>
      </c>
      <c r="G2060" s="30" t="str">
        <f t="shared" si="190"/>
        <v/>
      </c>
      <c r="H2060" s="34"/>
      <c r="I2060" s="30"/>
      <c r="J2060" s="152">
        <v>107</v>
      </c>
      <c r="L2060" s="219"/>
      <c r="M2060" s="42"/>
      <c r="N2060" s="30" t="str">
        <f t="shared" si="191"/>
        <v/>
      </c>
      <c r="O2060" s="34"/>
      <c r="P2060" s="36" t="str">
        <f t="shared" si="192"/>
        <v/>
      </c>
      <c r="Q2060" s="216" t="str">
        <f t="shared" si="193"/>
        <v/>
      </c>
      <c r="R2060" s="216" t="str">
        <f t="shared" si="194"/>
        <v/>
      </c>
      <c r="S2060" s="217" t="str">
        <f t="shared" si="195"/>
        <v/>
      </c>
    </row>
    <row r="2061" spans="1:19" ht="38.25" x14ac:dyDescent="0.25">
      <c r="A2061" s="262"/>
      <c r="B2061" s="260"/>
      <c r="C2061" s="35" t="s">
        <v>539</v>
      </c>
      <c r="D2061" s="46" t="s">
        <v>69</v>
      </c>
      <c r="E2061" s="36">
        <v>1.0210999999999999</v>
      </c>
      <c r="F2061" s="33">
        <v>10.98</v>
      </c>
      <c r="G2061" s="33">
        <f t="shared" si="190"/>
        <v>11.211677999999999</v>
      </c>
      <c r="H2061" s="38">
        <f>SUM(G2061:G2063)</f>
        <v>12.132615599999998</v>
      </c>
      <c r="I2061" s="39"/>
      <c r="J2061" s="152">
        <v>107</v>
      </c>
      <c r="L2061" s="215">
        <v>1.0210999999999999</v>
      </c>
      <c r="M2061" s="33">
        <v>9.3988800000000001</v>
      </c>
      <c r="N2061" s="33">
        <f t="shared" si="191"/>
        <v>9.5971963679999988</v>
      </c>
      <c r="O2061" s="38">
        <f>SUM(N2061:N2063)</f>
        <v>10.385518953599998</v>
      </c>
      <c r="P2061" s="36" t="str">
        <f t="shared" si="192"/>
        <v/>
      </c>
      <c r="Q2061" s="216">
        <f t="shared" si="193"/>
        <v>0.14400000000000002</v>
      </c>
      <c r="R2061" s="216">
        <f t="shared" si="194"/>
        <v>0.14400000000000002</v>
      </c>
      <c r="S2061" s="217">
        <f t="shared" si="195"/>
        <v>0.14400000000000002</v>
      </c>
    </row>
    <row r="2062" spans="1:19" ht="25.5" x14ac:dyDescent="0.25">
      <c r="A2062" s="262"/>
      <c r="B2062" s="260"/>
      <c r="C2062" s="35" t="s">
        <v>824</v>
      </c>
      <c r="D2062" s="35" t="s">
        <v>583</v>
      </c>
      <c r="E2062" s="36">
        <f>0.064*0.3</f>
        <v>1.9199999999999998E-2</v>
      </c>
      <c r="F2062" s="30">
        <v>21.166</v>
      </c>
      <c r="G2062" s="33">
        <f t="shared" si="190"/>
        <v>0.40638719999999995</v>
      </c>
      <c r="H2062" s="34"/>
      <c r="I2062" s="30"/>
      <c r="J2062" s="152">
        <v>107</v>
      </c>
      <c r="L2062" s="215">
        <v>1.9199999999999998E-2</v>
      </c>
      <c r="M2062" s="30">
        <v>18.118096000000001</v>
      </c>
      <c r="N2062" s="33">
        <f t="shared" si="191"/>
        <v>0.34786744320000001</v>
      </c>
      <c r="O2062" s="34"/>
      <c r="P2062" s="36" t="str">
        <f t="shared" si="192"/>
        <v/>
      </c>
      <c r="Q2062" s="216">
        <f t="shared" si="193"/>
        <v>0.14399999999999991</v>
      </c>
      <c r="R2062" s="216">
        <f t="shared" si="194"/>
        <v>0.14399999999999991</v>
      </c>
      <c r="S2062" s="217" t="str">
        <f t="shared" si="195"/>
        <v/>
      </c>
    </row>
    <row r="2063" spans="1:19" ht="25.5" x14ac:dyDescent="0.25">
      <c r="A2063" s="262"/>
      <c r="B2063" s="260"/>
      <c r="C2063" s="35" t="s">
        <v>825</v>
      </c>
      <c r="D2063" s="35" t="s">
        <v>583</v>
      </c>
      <c r="E2063" s="36">
        <f>0.064*0.3</f>
        <v>1.9199999999999998E-2</v>
      </c>
      <c r="F2063" s="30">
        <v>26.799499999999998</v>
      </c>
      <c r="G2063" s="33">
        <f t="shared" si="190"/>
        <v>0.51455039999999996</v>
      </c>
      <c r="H2063" s="34"/>
      <c r="I2063" s="30"/>
      <c r="J2063" s="152">
        <v>107</v>
      </c>
      <c r="L2063" s="215">
        <v>1.9199999999999998E-2</v>
      </c>
      <c r="M2063" s="30">
        <v>22.940372</v>
      </c>
      <c r="N2063" s="33">
        <f t="shared" si="191"/>
        <v>0.44045514239999994</v>
      </c>
      <c r="O2063" s="34"/>
      <c r="P2063" s="36" t="str">
        <f t="shared" si="192"/>
        <v/>
      </c>
      <c r="Q2063" s="216">
        <f t="shared" si="193"/>
        <v>0.14399999999999991</v>
      </c>
      <c r="R2063" s="216">
        <f t="shared" si="194"/>
        <v>0.14400000000000002</v>
      </c>
      <c r="S2063" s="217" t="str">
        <f t="shared" si="195"/>
        <v/>
      </c>
    </row>
    <row r="2064" spans="1:19" x14ac:dyDescent="0.25">
      <c r="A2064" s="262"/>
      <c r="B2064" s="260"/>
      <c r="C2064" s="35"/>
      <c r="D2064" s="46"/>
      <c r="E2064" s="36"/>
      <c r="F2064" s="33" t="s">
        <v>416</v>
      </c>
      <c r="G2064" s="33" t="str">
        <f t="shared" si="190"/>
        <v/>
      </c>
      <c r="H2064" s="34"/>
      <c r="I2064" s="30"/>
      <c r="J2064" s="152">
        <v>107</v>
      </c>
      <c r="L2064" s="215"/>
      <c r="M2064" s="33"/>
      <c r="N2064" s="33" t="str">
        <f t="shared" si="191"/>
        <v/>
      </c>
      <c r="O2064" s="34"/>
      <c r="P2064" s="36" t="str">
        <f t="shared" si="192"/>
        <v/>
      </c>
      <c r="Q2064" s="216" t="str">
        <f t="shared" si="193"/>
        <v/>
      </c>
      <c r="R2064" s="216" t="str">
        <f t="shared" si="194"/>
        <v/>
      </c>
      <c r="S2064" s="217" t="str">
        <f t="shared" si="195"/>
        <v/>
      </c>
    </row>
    <row r="2065" spans="1:19" ht="38.25" x14ac:dyDescent="0.25">
      <c r="A2065" s="262"/>
      <c r="B2065" s="260"/>
      <c r="C2065" s="51" t="s">
        <v>529</v>
      </c>
      <c r="D2065" s="46"/>
      <c r="E2065" s="36"/>
      <c r="F2065" s="33" t="s">
        <v>416</v>
      </c>
      <c r="G2065" s="33" t="str">
        <f t="shared" si="190"/>
        <v/>
      </c>
      <c r="H2065" s="34"/>
      <c r="I2065" s="30"/>
      <c r="J2065" s="152">
        <v>107</v>
      </c>
      <c r="L2065" s="215"/>
      <c r="M2065" s="33"/>
      <c r="N2065" s="33" t="str">
        <f t="shared" si="191"/>
        <v/>
      </c>
      <c r="O2065" s="34"/>
      <c r="P2065" s="36" t="str">
        <f t="shared" si="192"/>
        <v/>
      </c>
      <c r="Q2065" s="216" t="str">
        <f t="shared" si="193"/>
        <v/>
      </c>
      <c r="R2065" s="216" t="str">
        <f t="shared" si="194"/>
        <v/>
      </c>
      <c r="S2065" s="217" t="str">
        <f t="shared" si="195"/>
        <v/>
      </c>
    </row>
    <row r="2066" spans="1:19" ht="15.75" thickBot="1" x14ac:dyDescent="0.3">
      <c r="A2066" s="263"/>
      <c r="B2066" s="261"/>
      <c r="C2066" s="35"/>
      <c r="D2066" s="35"/>
      <c r="E2066" s="36"/>
      <c r="F2066" s="30" t="s">
        <v>416</v>
      </c>
      <c r="G2066" s="30" t="str">
        <f t="shared" si="190"/>
        <v/>
      </c>
      <c r="H2066" s="34"/>
      <c r="I2066" s="30"/>
      <c r="J2066" s="152">
        <v>107</v>
      </c>
      <c r="L2066" s="215"/>
      <c r="M2066" s="30"/>
      <c r="N2066" s="30" t="str">
        <f t="shared" si="191"/>
        <v/>
      </c>
      <c r="O2066" s="34"/>
      <c r="P2066" s="36" t="str">
        <f t="shared" si="192"/>
        <v/>
      </c>
      <c r="Q2066" s="216" t="str">
        <f t="shared" si="193"/>
        <v/>
      </c>
      <c r="R2066" s="216" t="str">
        <f t="shared" si="194"/>
        <v/>
      </c>
      <c r="S2066" s="217" t="str">
        <f t="shared" si="195"/>
        <v/>
      </c>
    </row>
    <row r="2067" spans="1:19" ht="15.75" thickBot="1" x14ac:dyDescent="0.3">
      <c r="A2067" s="256" t="s">
        <v>540</v>
      </c>
      <c r="B2067" s="259" t="str">
        <f>INDEX(Orçamentária!A:B,MATCH(Composições!A2067,Orçamentária!A:A,0),2)</f>
        <v>Isolamento elastomérico para tubulações de cobre de 7/8" / tubulações de ferro de 1/2"</v>
      </c>
      <c r="C2067" s="40"/>
      <c r="D2067" s="25" t="s">
        <v>69</v>
      </c>
      <c r="E2067" s="26"/>
      <c r="F2067" s="41" t="s">
        <v>416</v>
      </c>
      <c r="G2067" s="27" t="str">
        <f t="shared" ref="G2067:G2130" si="196">IF(ISNUMBER(F2067),E2067*F2067,"")</f>
        <v/>
      </c>
      <c r="H2067" s="28"/>
      <c r="I2067" s="29"/>
      <c r="J2067" s="152">
        <v>10</v>
      </c>
      <c r="L2067" s="218"/>
      <c r="M2067" s="41"/>
      <c r="N2067" s="27" t="str">
        <f t="shared" ref="N2067:N2130" si="197">IF(ISNUMBER(M2067),L2067*M2067,"")</f>
        <v/>
      </c>
      <c r="O2067" s="28"/>
      <c r="P2067" s="36" t="str">
        <f t="shared" si="192"/>
        <v/>
      </c>
      <c r="Q2067" s="216" t="str">
        <f t="shared" si="193"/>
        <v/>
      </c>
      <c r="R2067" s="216" t="str">
        <f t="shared" si="194"/>
        <v/>
      </c>
      <c r="S2067" s="217" t="str">
        <f t="shared" si="195"/>
        <v/>
      </c>
    </row>
    <row r="2068" spans="1:19" x14ac:dyDescent="0.25">
      <c r="A2068" s="262"/>
      <c r="B2068" s="260"/>
      <c r="C2068" s="31"/>
      <c r="D2068" s="31"/>
      <c r="E2068" s="32"/>
      <c r="F2068" s="42" t="s">
        <v>416</v>
      </c>
      <c r="G2068" s="30" t="str">
        <f t="shared" si="196"/>
        <v/>
      </c>
      <c r="H2068" s="34"/>
      <c r="I2068" s="30"/>
      <c r="J2068" s="152">
        <v>10</v>
      </c>
      <c r="L2068" s="219"/>
      <c r="M2068" s="42"/>
      <c r="N2068" s="30" t="str">
        <f t="shared" si="197"/>
        <v/>
      </c>
      <c r="O2068" s="34"/>
      <c r="P2068" s="36" t="str">
        <f t="shared" si="192"/>
        <v/>
      </c>
      <c r="Q2068" s="216" t="str">
        <f t="shared" si="193"/>
        <v/>
      </c>
      <c r="R2068" s="216" t="str">
        <f t="shared" si="194"/>
        <v/>
      </c>
      <c r="S2068" s="217" t="str">
        <f t="shared" si="195"/>
        <v/>
      </c>
    </row>
    <row r="2069" spans="1:19" ht="38.25" x14ac:dyDescent="0.25">
      <c r="A2069" s="262"/>
      <c r="B2069" s="260"/>
      <c r="C2069" s="35" t="s">
        <v>541</v>
      </c>
      <c r="D2069" s="46" t="s">
        <v>69</v>
      </c>
      <c r="E2069" s="36">
        <v>1.0210999999999999</v>
      </c>
      <c r="F2069" s="33">
        <v>15.89</v>
      </c>
      <c r="G2069" s="33">
        <f t="shared" si="196"/>
        <v>16.225279</v>
      </c>
      <c r="H2069" s="38">
        <f>SUM(G2069:G2071)</f>
        <v>17.146216600000002</v>
      </c>
      <c r="I2069" s="39"/>
      <c r="J2069" s="152">
        <v>10</v>
      </c>
      <c r="L2069" s="215">
        <v>1.0210999999999999</v>
      </c>
      <c r="M2069" s="33">
        <v>13.601840000000001</v>
      </c>
      <c r="N2069" s="33">
        <f t="shared" si="197"/>
        <v>13.888838824</v>
      </c>
      <c r="O2069" s="38">
        <f>SUM(N2069:N2071)</f>
        <v>14.6771614096</v>
      </c>
      <c r="P2069" s="36" t="str">
        <f t="shared" si="192"/>
        <v/>
      </c>
      <c r="Q2069" s="216">
        <f t="shared" si="193"/>
        <v>0.14400000000000002</v>
      </c>
      <c r="R2069" s="216">
        <f t="shared" si="194"/>
        <v>0.14400000000000002</v>
      </c>
      <c r="S2069" s="217">
        <f t="shared" si="195"/>
        <v>0.14400000000000013</v>
      </c>
    </row>
    <row r="2070" spans="1:19" ht="25.5" x14ac:dyDescent="0.25">
      <c r="A2070" s="262"/>
      <c r="B2070" s="260"/>
      <c r="C2070" s="35" t="s">
        <v>824</v>
      </c>
      <c r="D2070" s="35" t="s">
        <v>583</v>
      </c>
      <c r="E2070" s="36">
        <f>0.064*0.3</f>
        <v>1.9199999999999998E-2</v>
      </c>
      <c r="F2070" s="30">
        <v>21.166</v>
      </c>
      <c r="G2070" s="33">
        <f t="shared" si="196"/>
        <v>0.40638719999999995</v>
      </c>
      <c r="H2070" s="34"/>
      <c r="I2070" s="30"/>
      <c r="J2070" s="152">
        <v>10</v>
      </c>
      <c r="L2070" s="215">
        <v>1.9199999999999998E-2</v>
      </c>
      <c r="M2070" s="30">
        <v>18.118096000000001</v>
      </c>
      <c r="N2070" s="33">
        <f t="shared" si="197"/>
        <v>0.34786744320000001</v>
      </c>
      <c r="O2070" s="34"/>
      <c r="P2070" s="36" t="str">
        <f t="shared" si="192"/>
        <v/>
      </c>
      <c r="Q2070" s="216">
        <f t="shared" si="193"/>
        <v>0.14399999999999991</v>
      </c>
      <c r="R2070" s="216">
        <f t="shared" si="194"/>
        <v>0.14399999999999991</v>
      </c>
      <c r="S2070" s="217" t="str">
        <f t="shared" si="195"/>
        <v/>
      </c>
    </row>
    <row r="2071" spans="1:19" ht="25.5" x14ac:dyDescent="0.25">
      <c r="A2071" s="262"/>
      <c r="B2071" s="260"/>
      <c r="C2071" s="35" t="s">
        <v>825</v>
      </c>
      <c r="D2071" s="35" t="s">
        <v>583</v>
      </c>
      <c r="E2071" s="36">
        <f>0.064*0.3</f>
        <v>1.9199999999999998E-2</v>
      </c>
      <c r="F2071" s="30">
        <v>26.799499999999998</v>
      </c>
      <c r="G2071" s="33">
        <f t="shared" si="196"/>
        <v>0.51455039999999996</v>
      </c>
      <c r="H2071" s="34"/>
      <c r="I2071" s="30"/>
      <c r="J2071" s="152">
        <v>10</v>
      </c>
      <c r="L2071" s="215">
        <v>1.9199999999999998E-2</v>
      </c>
      <c r="M2071" s="30">
        <v>22.940372</v>
      </c>
      <c r="N2071" s="33">
        <f t="shared" si="197"/>
        <v>0.44045514239999994</v>
      </c>
      <c r="O2071" s="34"/>
      <c r="P2071" s="36" t="str">
        <f t="shared" si="192"/>
        <v/>
      </c>
      <c r="Q2071" s="216">
        <f t="shared" si="193"/>
        <v>0.14399999999999991</v>
      </c>
      <c r="R2071" s="216">
        <f t="shared" si="194"/>
        <v>0.14400000000000002</v>
      </c>
      <c r="S2071" s="217" t="str">
        <f t="shared" si="195"/>
        <v/>
      </c>
    </row>
    <row r="2072" spans="1:19" x14ac:dyDescent="0.25">
      <c r="A2072" s="262"/>
      <c r="B2072" s="260"/>
      <c r="C2072" s="35"/>
      <c r="D2072" s="46"/>
      <c r="E2072" s="36"/>
      <c r="F2072" s="33" t="s">
        <v>416</v>
      </c>
      <c r="G2072" s="33" t="str">
        <f t="shared" si="196"/>
        <v/>
      </c>
      <c r="H2072" s="34"/>
      <c r="I2072" s="30"/>
      <c r="J2072" s="152">
        <v>10</v>
      </c>
      <c r="L2072" s="215"/>
      <c r="M2072" s="33"/>
      <c r="N2072" s="33" t="str">
        <f t="shared" si="197"/>
        <v/>
      </c>
      <c r="O2072" s="34"/>
      <c r="P2072" s="36" t="str">
        <f t="shared" si="192"/>
        <v/>
      </c>
      <c r="Q2072" s="216" t="str">
        <f t="shared" si="193"/>
        <v/>
      </c>
      <c r="R2072" s="216" t="str">
        <f t="shared" si="194"/>
        <v/>
      </c>
      <c r="S2072" s="217" t="str">
        <f t="shared" si="195"/>
        <v/>
      </c>
    </row>
    <row r="2073" spans="1:19" ht="38.25" x14ac:dyDescent="0.25">
      <c r="A2073" s="262"/>
      <c r="B2073" s="260"/>
      <c r="C2073" s="51" t="s">
        <v>529</v>
      </c>
      <c r="D2073" s="46"/>
      <c r="E2073" s="36"/>
      <c r="F2073" s="33" t="s">
        <v>416</v>
      </c>
      <c r="G2073" s="33" t="str">
        <f t="shared" si="196"/>
        <v/>
      </c>
      <c r="H2073" s="34"/>
      <c r="I2073" s="30"/>
      <c r="J2073" s="152">
        <v>10</v>
      </c>
      <c r="L2073" s="215"/>
      <c r="M2073" s="33"/>
      <c r="N2073" s="33" t="str">
        <f t="shared" si="197"/>
        <v/>
      </c>
      <c r="O2073" s="34"/>
      <c r="P2073" s="36" t="str">
        <f t="shared" si="192"/>
        <v/>
      </c>
      <c r="Q2073" s="216" t="str">
        <f t="shared" si="193"/>
        <v/>
      </c>
      <c r="R2073" s="216" t="str">
        <f t="shared" si="194"/>
        <v/>
      </c>
      <c r="S2073" s="217" t="str">
        <f t="shared" si="195"/>
        <v/>
      </c>
    </row>
    <row r="2074" spans="1:19" ht="15.75" thickBot="1" x14ac:dyDescent="0.3">
      <c r="A2074" s="263"/>
      <c r="B2074" s="261"/>
      <c r="C2074" s="35"/>
      <c r="D2074" s="35"/>
      <c r="E2074" s="36"/>
      <c r="F2074" s="30" t="s">
        <v>416</v>
      </c>
      <c r="G2074" s="30" t="str">
        <f t="shared" si="196"/>
        <v/>
      </c>
      <c r="H2074" s="34"/>
      <c r="I2074" s="30"/>
      <c r="J2074" s="152">
        <v>10</v>
      </c>
      <c r="L2074" s="215"/>
      <c r="M2074" s="30"/>
      <c r="N2074" s="30" t="str">
        <f t="shared" si="197"/>
        <v/>
      </c>
      <c r="O2074" s="34"/>
      <c r="P2074" s="36" t="str">
        <f t="shared" si="192"/>
        <v/>
      </c>
      <c r="Q2074" s="216" t="str">
        <f t="shared" si="193"/>
        <v/>
      </c>
      <c r="R2074" s="216" t="str">
        <f t="shared" si="194"/>
        <v/>
      </c>
      <c r="S2074" s="217" t="str">
        <f t="shared" si="195"/>
        <v/>
      </c>
    </row>
    <row r="2075" spans="1:19" ht="15.75" hidden="1" thickBot="1" x14ac:dyDescent="0.3">
      <c r="A2075" s="256" t="s">
        <v>542</v>
      </c>
      <c r="B2075" s="259" t="str">
        <f>INDEX(Orçamentária!A:B,MATCH(Composições!A2075,Orçamentária!A:A,0),2)</f>
        <v>Isolamento elastomérico para tubulações de cobre de 1"</v>
      </c>
      <c r="C2075" s="40"/>
      <c r="D2075" s="25" t="s">
        <v>69</v>
      </c>
      <c r="E2075" s="26"/>
      <c r="F2075" s="41" t="s">
        <v>416</v>
      </c>
      <c r="G2075" s="27" t="str">
        <f t="shared" si="196"/>
        <v/>
      </c>
      <c r="H2075" s="28"/>
      <c r="I2075" s="29"/>
      <c r="J2075" s="152">
        <v>0</v>
      </c>
      <c r="L2075" s="218"/>
      <c r="M2075" s="41"/>
      <c r="N2075" s="27" t="str">
        <f t="shared" si="197"/>
        <v/>
      </c>
      <c r="O2075" s="28"/>
      <c r="P2075" s="36" t="str">
        <f t="shared" si="192"/>
        <v/>
      </c>
      <c r="Q2075" s="216" t="str">
        <f t="shared" si="193"/>
        <v/>
      </c>
      <c r="R2075" s="216" t="str">
        <f t="shared" si="194"/>
        <v/>
      </c>
      <c r="S2075" s="217" t="str">
        <f t="shared" si="195"/>
        <v/>
      </c>
    </row>
    <row r="2076" spans="1:19" ht="15.75" hidden="1" thickBot="1" x14ac:dyDescent="0.3">
      <c r="A2076" s="262"/>
      <c r="B2076" s="260"/>
      <c r="C2076" s="31"/>
      <c r="D2076" s="31"/>
      <c r="E2076" s="32"/>
      <c r="F2076" s="42" t="s">
        <v>416</v>
      </c>
      <c r="G2076" s="30" t="str">
        <f t="shared" si="196"/>
        <v/>
      </c>
      <c r="H2076" s="34"/>
      <c r="I2076" s="30"/>
      <c r="J2076" s="152">
        <v>0</v>
      </c>
      <c r="L2076" s="219"/>
      <c r="M2076" s="42"/>
      <c r="N2076" s="30" t="str">
        <f t="shared" si="197"/>
        <v/>
      </c>
      <c r="O2076" s="34"/>
      <c r="P2076" s="36" t="str">
        <f t="shared" si="192"/>
        <v/>
      </c>
      <c r="Q2076" s="216" t="str">
        <f t="shared" si="193"/>
        <v/>
      </c>
      <c r="R2076" s="216" t="str">
        <f t="shared" si="194"/>
        <v/>
      </c>
      <c r="S2076" s="217" t="str">
        <f t="shared" si="195"/>
        <v/>
      </c>
    </row>
    <row r="2077" spans="1:19" ht="39" hidden="1" thickBot="1" x14ac:dyDescent="0.3">
      <c r="A2077" s="262"/>
      <c r="B2077" s="260"/>
      <c r="C2077" s="35" t="s">
        <v>543</v>
      </c>
      <c r="D2077" s="46" t="s">
        <v>69</v>
      </c>
      <c r="E2077" s="36">
        <v>1.0210999999999999</v>
      </c>
      <c r="F2077" s="33" t="s">
        <v>416</v>
      </c>
      <c r="G2077" s="33" t="str">
        <f t="shared" si="196"/>
        <v/>
      </c>
      <c r="H2077" s="38">
        <f>SUM(G2077:G2079)</f>
        <v>0.92093759999999991</v>
      </c>
      <c r="I2077" s="39"/>
      <c r="J2077" s="152">
        <v>0</v>
      </c>
      <c r="L2077" s="215">
        <v>1.0210999999999999</v>
      </c>
      <c r="M2077" s="33"/>
      <c r="N2077" s="33" t="str">
        <f t="shared" si="197"/>
        <v/>
      </c>
      <c r="O2077" s="38">
        <f>SUM(N2077:N2079)</f>
        <v>0.78832258560000001</v>
      </c>
      <c r="P2077" s="36" t="str">
        <f t="shared" si="192"/>
        <v/>
      </c>
      <c r="Q2077" s="216" t="str">
        <f t="shared" si="193"/>
        <v/>
      </c>
      <c r="R2077" s="216" t="str">
        <f t="shared" si="194"/>
        <v/>
      </c>
      <c r="S2077" s="217">
        <f t="shared" si="195"/>
        <v>0.14399999999999991</v>
      </c>
    </row>
    <row r="2078" spans="1:19" ht="26.25" hidden="1" thickBot="1" x14ac:dyDescent="0.3">
      <c r="A2078" s="262"/>
      <c r="B2078" s="260"/>
      <c r="C2078" s="35" t="s">
        <v>824</v>
      </c>
      <c r="D2078" s="35" t="s">
        <v>583</v>
      </c>
      <c r="E2078" s="36">
        <f>0.064*0.3</f>
        <v>1.9199999999999998E-2</v>
      </c>
      <c r="F2078" s="30">
        <v>21.166</v>
      </c>
      <c r="G2078" s="33">
        <f t="shared" si="196"/>
        <v>0.40638719999999995</v>
      </c>
      <c r="H2078" s="34"/>
      <c r="I2078" s="30"/>
      <c r="J2078" s="152">
        <v>0</v>
      </c>
      <c r="L2078" s="215">
        <v>1.9199999999999998E-2</v>
      </c>
      <c r="M2078" s="30">
        <v>18.118096000000001</v>
      </c>
      <c r="N2078" s="33">
        <f t="shared" si="197"/>
        <v>0.34786744320000001</v>
      </c>
      <c r="O2078" s="34"/>
      <c r="P2078" s="36" t="str">
        <f t="shared" si="192"/>
        <v/>
      </c>
      <c r="Q2078" s="216">
        <f t="shared" si="193"/>
        <v>0.14399999999999991</v>
      </c>
      <c r="R2078" s="216">
        <f t="shared" si="194"/>
        <v>0.14399999999999991</v>
      </c>
      <c r="S2078" s="217" t="str">
        <f t="shared" si="195"/>
        <v/>
      </c>
    </row>
    <row r="2079" spans="1:19" ht="26.25" hidden="1" thickBot="1" x14ac:dyDescent="0.3">
      <c r="A2079" s="262"/>
      <c r="B2079" s="260"/>
      <c r="C2079" s="35" t="s">
        <v>825</v>
      </c>
      <c r="D2079" s="35" t="s">
        <v>583</v>
      </c>
      <c r="E2079" s="36">
        <f>0.064*0.3</f>
        <v>1.9199999999999998E-2</v>
      </c>
      <c r="F2079" s="30">
        <v>26.799499999999998</v>
      </c>
      <c r="G2079" s="33">
        <f t="shared" si="196"/>
        <v>0.51455039999999996</v>
      </c>
      <c r="H2079" s="34"/>
      <c r="I2079" s="30"/>
      <c r="J2079" s="152">
        <v>0</v>
      </c>
      <c r="L2079" s="215">
        <v>1.9199999999999998E-2</v>
      </c>
      <c r="M2079" s="30">
        <v>22.940372</v>
      </c>
      <c r="N2079" s="33">
        <f t="shared" si="197"/>
        <v>0.44045514239999994</v>
      </c>
      <c r="O2079" s="34"/>
      <c r="P2079" s="36" t="str">
        <f t="shared" si="192"/>
        <v/>
      </c>
      <c r="Q2079" s="216">
        <f t="shared" si="193"/>
        <v>0.14399999999999991</v>
      </c>
      <c r="R2079" s="216">
        <f t="shared" si="194"/>
        <v>0.14400000000000002</v>
      </c>
      <c r="S2079" s="217" t="str">
        <f t="shared" si="195"/>
        <v/>
      </c>
    </row>
    <row r="2080" spans="1:19" ht="15.75" hidden="1" thickBot="1" x14ac:dyDescent="0.3">
      <c r="A2080" s="262"/>
      <c r="B2080" s="260"/>
      <c r="C2080" s="35"/>
      <c r="D2080" s="46"/>
      <c r="E2080" s="36"/>
      <c r="F2080" s="33" t="s">
        <v>416</v>
      </c>
      <c r="G2080" s="33" t="str">
        <f t="shared" si="196"/>
        <v/>
      </c>
      <c r="H2080" s="34"/>
      <c r="I2080" s="30"/>
      <c r="J2080" s="152">
        <v>0</v>
      </c>
      <c r="L2080" s="215"/>
      <c r="M2080" s="33"/>
      <c r="N2080" s="33" t="str">
        <f t="shared" si="197"/>
        <v/>
      </c>
      <c r="O2080" s="34"/>
      <c r="P2080" s="36" t="str">
        <f t="shared" si="192"/>
        <v/>
      </c>
      <c r="Q2080" s="216" t="str">
        <f t="shared" si="193"/>
        <v/>
      </c>
      <c r="R2080" s="216" t="str">
        <f t="shared" si="194"/>
        <v/>
      </c>
      <c r="S2080" s="217" t="str">
        <f t="shared" si="195"/>
        <v/>
      </c>
    </row>
    <row r="2081" spans="1:19" ht="39" hidden="1" thickBot="1" x14ac:dyDescent="0.3">
      <c r="A2081" s="262"/>
      <c r="B2081" s="260"/>
      <c r="C2081" s="51" t="s">
        <v>529</v>
      </c>
      <c r="D2081" s="46"/>
      <c r="E2081" s="36"/>
      <c r="F2081" s="33" t="s">
        <v>416</v>
      </c>
      <c r="G2081" s="33" t="str">
        <f t="shared" si="196"/>
        <v/>
      </c>
      <c r="H2081" s="34"/>
      <c r="I2081" s="30"/>
      <c r="J2081" s="152">
        <v>0</v>
      </c>
      <c r="L2081" s="215"/>
      <c r="M2081" s="33"/>
      <c r="N2081" s="33" t="str">
        <f t="shared" si="197"/>
        <v/>
      </c>
      <c r="O2081" s="34"/>
      <c r="P2081" s="36" t="str">
        <f t="shared" si="192"/>
        <v/>
      </c>
      <c r="Q2081" s="216" t="str">
        <f t="shared" si="193"/>
        <v/>
      </c>
      <c r="R2081" s="216" t="str">
        <f t="shared" si="194"/>
        <v/>
      </c>
      <c r="S2081" s="217" t="str">
        <f t="shared" si="195"/>
        <v/>
      </c>
    </row>
    <row r="2082" spans="1:19" ht="15.75" hidden="1" thickBot="1" x14ac:dyDescent="0.3">
      <c r="A2082" s="263"/>
      <c r="B2082" s="261"/>
      <c r="C2082" s="35"/>
      <c r="D2082" s="35"/>
      <c r="E2082" s="36"/>
      <c r="F2082" s="30" t="s">
        <v>416</v>
      </c>
      <c r="G2082" s="30" t="str">
        <f t="shared" si="196"/>
        <v/>
      </c>
      <c r="H2082" s="34"/>
      <c r="I2082" s="30"/>
      <c r="J2082" s="152">
        <v>0</v>
      </c>
      <c r="L2082" s="215"/>
      <c r="M2082" s="30"/>
      <c r="N2082" s="30" t="str">
        <f t="shared" si="197"/>
        <v/>
      </c>
      <c r="O2082" s="34"/>
      <c r="P2082" s="36" t="str">
        <f t="shared" si="192"/>
        <v/>
      </c>
      <c r="Q2082" s="216" t="str">
        <f t="shared" si="193"/>
        <v/>
      </c>
      <c r="R2082" s="216" t="str">
        <f t="shared" si="194"/>
        <v/>
      </c>
      <c r="S2082" s="217" t="str">
        <f t="shared" si="195"/>
        <v/>
      </c>
    </row>
    <row r="2083" spans="1:19" ht="15.75" hidden="1" thickBot="1" x14ac:dyDescent="0.3">
      <c r="A2083" s="256" t="s">
        <v>544</v>
      </c>
      <c r="B2083" s="259" t="str">
        <f>INDEX(Orçamentária!A:B,MATCH(Composições!A2083,Orçamentária!A:A,0),2)</f>
        <v>Isolamento elastomérico para tubulações de ferro de 1 1/2"</v>
      </c>
      <c r="C2083" s="40"/>
      <c r="D2083" s="25" t="s">
        <v>69</v>
      </c>
      <c r="E2083" s="26"/>
      <c r="F2083" s="41" t="s">
        <v>416</v>
      </c>
      <c r="G2083" s="27" t="str">
        <f t="shared" si="196"/>
        <v/>
      </c>
      <c r="H2083" s="28"/>
      <c r="I2083" s="29"/>
      <c r="J2083" s="152">
        <v>0</v>
      </c>
      <c r="L2083" s="218"/>
      <c r="M2083" s="41"/>
      <c r="N2083" s="27" t="str">
        <f t="shared" si="197"/>
        <v/>
      </c>
      <c r="O2083" s="28"/>
      <c r="P2083" s="36" t="str">
        <f t="shared" si="192"/>
        <v/>
      </c>
      <c r="Q2083" s="216" t="str">
        <f t="shared" si="193"/>
        <v/>
      </c>
      <c r="R2083" s="216" t="str">
        <f t="shared" si="194"/>
        <v/>
      </c>
      <c r="S2083" s="217" t="str">
        <f t="shared" si="195"/>
        <v/>
      </c>
    </row>
    <row r="2084" spans="1:19" ht="15.75" hidden="1" thickBot="1" x14ac:dyDescent="0.3">
      <c r="A2084" s="262"/>
      <c r="B2084" s="260"/>
      <c r="C2084" s="31"/>
      <c r="D2084" s="31"/>
      <c r="E2084" s="32"/>
      <c r="F2084" s="42" t="s">
        <v>416</v>
      </c>
      <c r="G2084" s="30" t="str">
        <f t="shared" si="196"/>
        <v/>
      </c>
      <c r="H2084" s="34"/>
      <c r="I2084" s="30"/>
      <c r="J2084" s="152">
        <v>0</v>
      </c>
      <c r="L2084" s="219"/>
      <c r="M2084" s="42"/>
      <c r="N2084" s="30" t="str">
        <f t="shared" si="197"/>
        <v/>
      </c>
      <c r="O2084" s="34"/>
      <c r="P2084" s="36" t="str">
        <f t="shared" si="192"/>
        <v/>
      </c>
      <c r="Q2084" s="216" t="str">
        <f t="shared" si="193"/>
        <v/>
      </c>
      <c r="R2084" s="216" t="str">
        <f t="shared" si="194"/>
        <v/>
      </c>
      <c r="S2084" s="217" t="str">
        <f t="shared" si="195"/>
        <v/>
      </c>
    </row>
    <row r="2085" spans="1:19" ht="39" hidden="1" thickBot="1" x14ac:dyDescent="0.3">
      <c r="A2085" s="262"/>
      <c r="B2085" s="260"/>
      <c r="C2085" s="35" t="s">
        <v>545</v>
      </c>
      <c r="D2085" s="46" t="s">
        <v>69</v>
      </c>
      <c r="E2085" s="36">
        <v>1.0210999999999999</v>
      </c>
      <c r="F2085" s="33" t="s">
        <v>416</v>
      </c>
      <c r="G2085" s="33" t="str">
        <f t="shared" si="196"/>
        <v/>
      </c>
      <c r="H2085" s="38">
        <f>SUM(G2085:G2087)</f>
        <v>0.92093759999999991</v>
      </c>
      <c r="I2085" s="39"/>
      <c r="J2085" s="152">
        <v>0</v>
      </c>
      <c r="L2085" s="215">
        <v>1.0210999999999999</v>
      </c>
      <c r="M2085" s="33"/>
      <c r="N2085" s="33" t="str">
        <f t="shared" si="197"/>
        <v/>
      </c>
      <c r="O2085" s="38">
        <f>SUM(N2085:N2087)</f>
        <v>0.78832258560000001</v>
      </c>
      <c r="P2085" s="36" t="str">
        <f t="shared" si="192"/>
        <v/>
      </c>
      <c r="Q2085" s="216" t="str">
        <f t="shared" si="193"/>
        <v/>
      </c>
      <c r="R2085" s="216" t="str">
        <f t="shared" si="194"/>
        <v/>
      </c>
      <c r="S2085" s="217">
        <f t="shared" si="195"/>
        <v>0.14399999999999991</v>
      </c>
    </row>
    <row r="2086" spans="1:19" ht="26.25" hidden="1" thickBot="1" x14ac:dyDescent="0.3">
      <c r="A2086" s="262"/>
      <c r="B2086" s="260"/>
      <c r="C2086" s="35" t="s">
        <v>824</v>
      </c>
      <c r="D2086" s="35" t="s">
        <v>583</v>
      </c>
      <c r="E2086" s="36">
        <f>0.064*0.3</f>
        <v>1.9199999999999998E-2</v>
      </c>
      <c r="F2086" s="30">
        <v>21.166</v>
      </c>
      <c r="G2086" s="33">
        <f t="shared" si="196"/>
        <v>0.40638719999999995</v>
      </c>
      <c r="H2086" s="34"/>
      <c r="I2086" s="30"/>
      <c r="J2086" s="152">
        <v>0</v>
      </c>
      <c r="L2086" s="215">
        <v>1.9199999999999998E-2</v>
      </c>
      <c r="M2086" s="30">
        <v>18.118096000000001</v>
      </c>
      <c r="N2086" s="33">
        <f t="shared" si="197"/>
        <v>0.34786744320000001</v>
      </c>
      <c r="O2086" s="34"/>
      <c r="P2086" s="36" t="str">
        <f t="shared" si="192"/>
        <v/>
      </c>
      <c r="Q2086" s="216">
        <f t="shared" si="193"/>
        <v>0.14399999999999991</v>
      </c>
      <c r="R2086" s="216">
        <f t="shared" si="194"/>
        <v>0.14399999999999991</v>
      </c>
      <c r="S2086" s="217" t="str">
        <f t="shared" si="195"/>
        <v/>
      </c>
    </row>
    <row r="2087" spans="1:19" ht="26.25" hidden="1" thickBot="1" x14ac:dyDescent="0.3">
      <c r="A2087" s="262"/>
      <c r="B2087" s="260"/>
      <c r="C2087" s="35" t="s">
        <v>825</v>
      </c>
      <c r="D2087" s="35" t="s">
        <v>583</v>
      </c>
      <c r="E2087" s="36">
        <f>0.064*0.3</f>
        <v>1.9199999999999998E-2</v>
      </c>
      <c r="F2087" s="30">
        <v>26.799499999999998</v>
      </c>
      <c r="G2087" s="33">
        <f t="shared" si="196"/>
        <v>0.51455039999999996</v>
      </c>
      <c r="H2087" s="34"/>
      <c r="I2087" s="30"/>
      <c r="J2087" s="152">
        <v>0</v>
      </c>
      <c r="L2087" s="215">
        <v>1.9199999999999998E-2</v>
      </c>
      <c r="M2087" s="30">
        <v>22.940372</v>
      </c>
      <c r="N2087" s="33">
        <f t="shared" si="197"/>
        <v>0.44045514239999994</v>
      </c>
      <c r="O2087" s="34"/>
      <c r="P2087" s="36" t="str">
        <f t="shared" si="192"/>
        <v/>
      </c>
      <c r="Q2087" s="216">
        <f t="shared" si="193"/>
        <v>0.14399999999999991</v>
      </c>
      <c r="R2087" s="216">
        <f t="shared" si="194"/>
        <v>0.14400000000000002</v>
      </c>
      <c r="S2087" s="217" t="str">
        <f t="shared" si="195"/>
        <v/>
      </c>
    </row>
    <row r="2088" spans="1:19" ht="15.75" hidden="1" thickBot="1" x14ac:dyDescent="0.3">
      <c r="A2088" s="262"/>
      <c r="B2088" s="260"/>
      <c r="C2088" s="35"/>
      <c r="D2088" s="46"/>
      <c r="E2088" s="36"/>
      <c r="F2088" s="33" t="s">
        <v>416</v>
      </c>
      <c r="G2088" s="33" t="str">
        <f t="shared" si="196"/>
        <v/>
      </c>
      <c r="H2088" s="34"/>
      <c r="I2088" s="30"/>
      <c r="J2088" s="152">
        <v>0</v>
      </c>
      <c r="L2088" s="215"/>
      <c r="M2088" s="33"/>
      <c r="N2088" s="33" t="str">
        <f t="shared" si="197"/>
        <v/>
      </c>
      <c r="O2088" s="34"/>
      <c r="P2088" s="36" t="str">
        <f t="shared" si="192"/>
        <v/>
      </c>
      <c r="Q2088" s="216" t="str">
        <f t="shared" si="193"/>
        <v/>
      </c>
      <c r="R2088" s="216" t="str">
        <f t="shared" si="194"/>
        <v/>
      </c>
      <c r="S2088" s="217" t="str">
        <f t="shared" si="195"/>
        <v/>
      </c>
    </row>
    <row r="2089" spans="1:19" ht="39" hidden="1" thickBot="1" x14ac:dyDescent="0.3">
      <c r="A2089" s="262"/>
      <c r="B2089" s="260"/>
      <c r="C2089" s="51" t="s">
        <v>529</v>
      </c>
      <c r="D2089" s="46"/>
      <c r="E2089" s="36"/>
      <c r="F2089" s="33" t="s">
        <v>416</v>
      </c>
      <c r="G2089" s="33" t="str">
        <f t="shared" si="196"/>
        <v/>
      </c>
      <c r="H2089" s="34"/>
      <c r="I2089" s="30"/>
      <c r="J2089" s="152">
        <v>0</v>
      </c>
      <c r="L2089" s="215"/>
      <c r="M2089" s="33"/>
      <c r="N2089" s="33" t="str">
        <f t="shared" si="197"/>
        <v/>
      </c>
      <c r="O2089" s="34"/>
      <c r="P2089" s="36" t="str">
        <f t="shared" si="192"/>
        <v/>
      </c>
      <c r="Q2089" s="216" t="str">
        <f t="shared" si="193"/>
        <v/>
      </c>
      <c r="R2089" s="216" t="str">
        <f t="shared" si="194"/>
        <v/>
      </c>
      <c r="S2089" s="217" t="str">
        <f t="shared" si="195"/>
        <v/>
      </c>
    </row>
    <row r="2090" spans="1:19" ht="15.75" hidden="1" thickBot="1" x14ac:dyDescent="0.3">
      <c r="A2090" s="263"/>
      <c r="B2090" s="261"/>
      <c r="C2090" s="35"/>
      <c r="D2090" s="35"/>
      <c r="E2090" s="36"/>
      <c r="F2090" s="30" t="s">
        <v>416</v>
      </c>
      <c r="G2090" s="30" t="str">
        <f t="shared" si="196"/>
        <v/>
      </c>
      <c r="H2090" s="34"/>
      <c r="I2090" s="30"/>
      <c r="J2090" s="152">
        <v>0</v>
      </c>
      <c r="L2090" s="215"/>
      <c r="M2090" s="30"/>
      <c r="N2090" s="30" t="str">
        <f t="shared" si="197"/>
        <v/>
      </c>
      <c r="O2090" s="34"/>
      <c r="P2090" s="36" t="str">
        <f t="shared" si="192"/>
        <v/>
      </c>
      <c r="Q2090" s="216" t="str">
        <f t="shared" si="193"/>
        <v/>
      </c>
      <c r="R2090" s="216" t="str">
        <f t="shared" si="194"/>
        <v/>
      </c>
      <c r="S2090" s="217" t="str">
        <f t="shared" si="195"/>
        <v/>
      </c>
    </row>
    <row r="2091" spans="1:19" ht="15.75" hidden="1" thickBot="1" x14ac:dyDescent="0.3">
      <c r="A2091" s="256" t="s">
        <v>546</v>
      </c>
      <c r="B2091" s="259" t="str">
        <f>INDEX(Orçamentária!A:B,MATCH(Composições!A2091,Orçamentária!A:A,0),2)</f>
        <v>Isolamento elastomérico para tubulações de cobre 1 5/8" / tubulações de ferro de 1 1/4"</v>
      </c>
      <c r="C2091" s="40"/>
      <c r="D2091" s="25" t="s">
        <v>69</v>
      </c>
      <c r="E2091" s="26"/>
      <c r="F2091" s="41" t="s">
        <v>416</v>
      </c>
      <c r="G2091" s="27" t="str">
        <f t="shared" si="196"/>
        <v/>
      </c>
      <c r="H2091" s="28"/>
      <c r="I2091" s="29"/>
      <c r="J2091" s="152">
        <v>0</v>
      </c>
      <c r="L2091" s="218"/>
      <c r="M2091" s="41"/>
      <c r="N2091" s="27" t="str">
        <f t="shared" si="197"/>
        <v/>
      </c>
      <c r="O2091" s="28"/>
      <c r="P2091" s="36" t="str">
        <f t="shared" si="192"/>
        <v/>
      </c>
      <c r="Q2091" s="216" t="str">
        <f t="shared" si="193"/>
        <v/>
      </c>
      <c r="R2091" s="216" t="str">
        <f t="shared" si="194"/>
        <v/>
      </c>
      <c r="S2091" s="217" t="str">
        <f t="shared" si="195"/>
        <v/>
      </c>
    </row>
    <row r="2092" spans="1:19" ht="15.75" hidden="1" thickBot="1" x14ac:dyDescent="0.3">
      <c r="A2092" s="262"/>
      <c r="B2092" s="260"/>
      <c r="C2092" s="31"/>
      <c r="D2092" s="31"/>
      <c r="E2092" s="32"/>
      <c r="F2092" s="42" t="s">
        <v>416</v>
      </c>
      <c r="G2092" s="30" t="str">
        <f t="shared" si="196"/>
        <v/>
      </c>
      <c r="H2092" s="34"/>
      <c r="I2092" s="30"/>
      <c r="J2092" s="152">
        <v>0</v>
      </c>
      <c r="L2092" s="219"/>
      <c r="M2092" s="42"/>
      <c r="N2092" s="30" t="str">
        <f t="shared" si="197"/>
        <v/>
      </c>
      <c r="O2092" s="34"/>
      <c r="P2092" s="36" t="str">
        <f t="shared" si="192"/>
        <v/>
      </c>
      <c r="Q2092" s="216" t="str">
        <f t="shared" si="193"/>
        <v/>
      </c>
      <c r="R2092" s="216" t="str">
        <f t="shared" si="194"/>
        <v/>
      </c>
      <c r="S2092" s="217" t="str">
        <f t="shared" si="195"/>
        <v/>
      </c>
    </row>
    <row r="2093" spans="1:19" ht="39" hidden="1" thickBot="1" x14ac:dyDescent="0.3">
      <c r="A2093" s="262"/>
      <c r="B2093" s="260"/>
      <c r="C2093" s="35" t="s">
        <v>547</v>
      </c>
      <c r="D2093" s="46" t="s">
        <v>69</v>
      </c>
      <c r="E2093" s="36">
        <v>1.0210999999999999</v>
      </c>
      <c r="F2093" s="33" t="s">
        <v>416</v>
      </c>
      <c r="G2093" s="33" t="str">
        <f t="shared" si="196"/>
        <v/>
      </c>
      <c r="H2093" s="38">
        <f>SUM(G2093:G2095)</f>
        <v>0.92093759999999991</v>
      </c>
      <c r="I2093" s="39"/>
      <c r="J2093" s="152">
        <v>0</v>
      </c>
      <c r="L2093" s="215">
        <v>1.0210999999999999</v>
      </c>
      <c r="M2093" s="33"/>
      <c r="N2093" s="33" t="str">
        <f t="shared" si="197"/>
        <v/>
      </c>
      <c r="O2093" s="38">
        <f>SUM(N2093:N2095)</f>
        <v>0.78832258560000001</v>
      </c>
      <c r="P2093" s="36" t="str">
        <f t="shared" si="192"/>
        <v/>
      </c>
      <c r="Q2093" s="216" t="str">
        <f t="shared" si="193"/>
        <v/>
      </c>
      <c r="R2093" s="216" t="str">
        <f t="shared" si="194"/>
        <v/>
      </c>
      <c r="S2093" s="217">
        <f t="shared" si="195"/>
        <v>0.14399999999999991</v>
      </c>
    </row>
    <row r="2094" spans="1:19" ht="26.25" hidden="1" thickBot="1" x14ac:dyDescent="0.3">
      <c r="A2094" s="262"/>
      <c r="B2094" s="260"/>
      <c r="C2094" s="35" t="s">
        <v>824</v>
      </c>
      <c r="D2094" s="35" t="s">
        <v>583</v>
      </c>
      <c r="E2094" s="36">
        <f>0.064*0.3</f>
        <v>1.9199999999999998E-2</v>
      </c>
      <c r="F2094" s="30">
        <v>21.166</v>
      </c>
      <c r="G2094" s="33">
        <f t="shared" si="196"/>
        <v>0.40638719999999995</v>
      </c>
      <c r="H2094" s="34"/>
      <c r="I2094" s="30"/>
      <c r="J2094" s="152">
        <v>0</v>
      </c>
      <c r="L2094" s="215">
        <v>1.9199999999999998E-2</v>
      </c>
      <c r="M2094" s="30">
        <v>18.118096000000001</v>
      </c>
      <c r="N2094" s="33">
        <f t="shared" si="197"/>
        <v>0.34786744320000001</v>
      </c>
      <c r="O2094" s="34"/>
      <c r="P2094" s="36" t="str">
        <f t="shared" si="192"/>
        <v/>
      </c>
      <c r="Q2094" s="216">
        <f t="shared" si="193"/>
        <v>0.14399999999999991</v>
      </c>
      <c r="R2094" s="216">
        <f t="shared" si="194"/>
        <v>0.14399999999999991</v>
      </c>
      <c r="S2094" s="217" t="str">
        <f t="shared" si="195"/>
        <v/>
      </c>
    </row>
    <row r="2095" spans="1:19" ht="26.25" hidden="1" thickBot="1" x14ac:dyDescent="0.3">
      <c r="A2095" s="262"/>
      <c r="B2095" s="260"/>
      <c r="C2095" s="35" t="s">
        <v>825</v>
      </c>
      <c r="D2095" s="35" t="s">
        <v>583</v>
      </c>
      <c r="E2095" s="36">
        <f>0.064*0.3</f>
        <v>1.9199999999999998E-2</v>
      </c>
      <c r="F2095" s="30">
        <v>26.799499999999998</v>
      </c>
      <c r="G2095" s="33">
        <f t="shared" si="196"/>
        <v>0.51455039999999996</v>
      </c>
      <c r="H2095" s="34"/>
      <c r="I2095" s="30"/>
      <c r="J2095" s="152">
        <v>0</v>
      </c>
      <c r="L2095" s="215">
        <v>1.9199999999999998E-2</v>
      </c>
      <c r="M2095" s="30">
        <v>22.940372</v>
      </c>
      <c r="N2095" s="33">
        <f t="shared" si="197"/>
        <v>0.44045514239999994</v>
      </c>
      <c r="O2095" s="34"/>
      <c r="P2095" s="36" t="str">
        <f t="shared" si="192"/>
        <v/>
      </c>
      <c r="Q2095" s="216">
        <f t="shared" si="193"/>
        <v>0.14399999999999991</v>
      </c>
      <c r="R2095" s="216">
        <f t="shared" si="194"/>
        <v>0.14400000000000002</v>
      </c>
      <c r="S2095" s="217" t="str">
        <f t="shared" si="195"/>
        <v/>
      </c>
    </row>
    <row r="2096" spans="1:19" ht="15.75" hidden="1" thickBot="1" x14ac:dyDescent="0.3">
      <c r="A2096" s="262"/>
      <c r="B2096" s="260"/>
      <c r="C2096" s="35"/>
      <c r="D2096" s="46"/>
      <c r="E2096" s="36"/>
      <c r="F2096" s="33" t="s">
        <v>416</v>
      </c>
      <c r="G2096" s="33" t="str">
        <f t="shared" si="196"/>
        <v/>
      </c>
      <c r="H2096" s="34"/>
      <c r="I2096" s="30"/>
      <c r="J2096" s="152">
        <v>0</v>
      </c>
      <c r="L2096" s="215"/>
      <c r="M2096" s="33"/>
      <c r="N2096" s="33" t="str">
        <f t="shared" si="197"/>
        <v/>
      </c>
      <c r="O2096" s="34"/>
      <c r="P2096" s="36" t="str">
        <f t="shared" si="192"/>
        <v/>
      </c>
      <c r="Q2096" s="216" t="str">
        <f t="shared" si="193"/>
        <v/>
      </c>
      <c r="R2096" s="216" t="str">
        <f t="shared" si="194"/>
        <v/>
      </c>
      <c r="S2096" s="217" t="str">
        <f t="shared" si="195"/>
        <v/>
      </c>
    </row>
    <row r="2097" spans="1:19" ht="39" hidden="1" thickBot="1" x14ac:dyDescent="0.3">
      <c r="A2097" s="262"/>
      <c r="B2097" s="260"/>
      <c r="C2097" s="51" t="s">
        <v>529</v>
      </c>
      <c r="D2097" s="46"/>
      <c r="E2097" s="36"/>
      <c r="F2097" s="33" t="s">
        <v>416</v>
      </c>
      <c r="G2097" s="33" t="str">
        <f t="shared" si="196"/>
        <v/>
      </c>
      <c r="H2097" s="34"/>
      <c r="I2097" s="30"/>
      <c r="J2097" s="152">
        <v>0</v>
      </c>
      <c r="L2097" s="215"/>
      <c r="M2097" s="33"/>
      <c r="N2097" s="33" t="str">
        <f t="shared" si="197"/>
        <v/>
      </c>
      <c r="O2097" s="34"/>
      <c r="P2097" s="36" t="str">
        <f t="shared" si="192"/>
        <v/>
      </c>
      <c r="Q2097" s="216" t="str">
        <f t="shared" si="193"/>
        <v/>
      </c>
      <c r="R2097" s="216" t="str">
        <f t="shared" si="194"/>
        <v/>
      </c>
      <c r="S2097" s="217" t="str">
        <f t="shared" si="195"/>
        <v/>
      </c>
    </row>
    <row r="2098" spans="1:19" ht="15.75" hidden="1" thickBot="1" x14ac:dyDescent="0.3">
      <c r="A2098" s="263"/>
      <c r="B2098" s="261"/>
      <c r="C2098" s="35"/>
      <c r="D2098" s="35"/>
      <c r="E2098" s="36"/>
      <c r="F2098" s="30" t="s">
        <v>416</v>
      </c>
      <c r="G2098" s="30" t="str">
        <f t="shared" si="196"/>
        <v/>
      </c>
      <c r="H2098" s="34"/>
      <c r="I2098" s="30"/>
      <c r="J2098" s="152">
        <v>0</v>
      </c>
      <c r="L2098" s="215"/>
      <c r="M2098" s="30"/>
      <c r="N2098" s="30" t="str">
        <f t="shared" si="197"/>
        <v/>
      </c>
      <c r="O2098" s="34"/>
      <c r="P2098" s="36" t="str">
        <f t="shared" si="192"/>
        <v/>
      </c>
      <c r="Q2098" s="216" t="str">
        <f t="shared" si="193"/>
        <v/>
      </c>
      <c r="R2098" s="216" t="str">
        <f t="shared" si="194"/>
        <v/>
      </c>
      <c r="S2098" s="217" t="str">
        <f t="shared" si="195"/>
        <v/>
      </c>
    </row>
    <row r="2099" spans="1:19" ht="15.75" hidden="1" thickBot="1" x14ac:dyDescent="0.3">
      <c r="A2099" s="256" t="s">
        <v>548</v>
      </c>
      <c r="B2099" s="259" t="str">
        <f>INDEX(Orçamentária!A:B,MATCH(Composições!A2099,Orçamentária!A:A,0),2)</f>
        <v>Isolamento elastomérico para tubulações de cobre 1 3/8" / tubulações de ferro de 1"</v>
      </c>
      <c r="C2099" s="40"/>
      <c r="D2099" s="25" t="s">
        <v>69</v>
      </c>
      <c r="E2099" s="26"/>
      <c r="F2099" s="41" t="s">
        <v>416</v>
      </c>
      <c r="G2099" s="27" t="str">
        <f t="shared" si="196"/>
        <v/>
      </c>
      <c r="H2099" s="28"/>
      <c r="I2099" s="29"/>
      <c r="J2099" s="152">
        <v>0</v>
      </c>
      <c r="L2099" s="218"/>
      <c r="M2099" s="41"/>
      <c r="N2099" s="27" t="str">
        <f t="shared" si="197"/>
        <v/>
      </c>
      <c r="O2099" s="28"/>
      <c r="P2099" s="36" t="str">
        <f t="shared" si="192"/>
        <v/>
      </c>
      <c r="Q2099" s="216" t="str">
        <f t="shared" si="193"/>
        <v/>
      </c>
      <c r="R2099" s="216" t="str">
        <f t="shared" si="194"/>
        <v/>
      </c>
      <c r="S2099" s="217" t="str">
        <f t="shared" si="195"/>
        <v/>
      </c>
    </row>
    <row r="2100" spans="1:19" ht="15.75" hidden="1" thickBot="1" x14ac:dyDescent="0.3">
      <c r="A2100" s="262"/>
      <c r="B2100" s="260"/>
      <c r="C2100" s="31"/>
      <c r="D2100" s="31"/>
      <c r="E2100" s="32"/>
      <c r="F2100" s="42" t="s">
        <v>416</v>
      </c>
      <c r="G2100" s="30" t="str">
        <f t="shared" si="196"/>
        <v/>
      </c>
      <c r="H2100" s="34"/>
      <c r="I2100" s="30"/>
      <c r="J2100" s="152">
        <v>0</v>
      </c>
      <c r="L2100" s="219"/>
      <c r="M2100" s="42"/>
      <c r="N2100" s="30" t="str">
        <f t="shared" si="197"/>
        <v/>
      </c>
      <c r="O2100" s="34"/>
      <c r="P2100" s="36" t="str">
        <f t="shared" si="192"/>
        <v/>
      </c>
      <c r="Q2100" s="216" t="str">
        <f t="shared" si="193"/>
        <v/>
      </c>
      <c r="R2100" s="216" t="str">
        <f t="shared" si="194"/>
        <v/>
      </c>
      <c r="S2100" s="217" t="str">
        <f t="shared" si="195"/>
        <v/>
      </c>
    </row>
    <row r="2101" spans="1:19" ht="39" hidden="1" thickBot="1" x14ac:dyDescent="0.3">
      <c r="A2101" s="262"/>
      <c r="B2101" s="260"/>
      <c r="C2101" s="35" t="s">
        <v>549</v>
      </c>
      <c r="D2101" s="46" t="s">
        <v>69</v>
      </c>
      <c r="E2101" s="36">
        <v>1.0210999999999999</v>
      </c>
      <c r="F2101" s="33" t="s">
        <v>416</v>
      </c>
      <c r="G2101" s="33" t="str">
        <f t="shared" si="196"/>
        <v/>
      </c>
      <c r="H2101" s="38">
        <f>SUM(G2101:G2103)</f>
        <v>0.92093759999999991</v>
      </c>
      <c r="I2101" s="39"/>
      <c r="J2101" s="152">
        <v>0</v>
      </c>
      <c r="L2101" s="215">
        <v>1.0210999999999999</v>
      </c>
      <c r="M2101" s="33"/>
      <c r="N2101" s="33" t="str">
        <f t="shared" si="197"/>
        <v/>
      </c>
      <c r="O2101" s="38">
        <f>SUM(N2101:N2103)</f>
        <v>0.78832258560000001</v>
      </c>
      <c r="P2101" s="36" t="str">
        <f t="shared" si="192"/>
        <v/>
      </c>
      <c r="Q2101" s="216" t="str">
        <f t="shared" si="193"/>
        <v/>
      </c>
      <c r="R2101" s="216" t="str">
        <f t="shared" si="194"/>
        <v/>
      </c>
      <c r="S2101" s="217">
        <f t="shared" si="195"/>
        <v>0.14399999999999991</v>
      </c>
    </row>
    <row r="2102" spans="1:19" ht="26.25" hidden="1" thickBot="1" x14ac:dyDescent="0.3">
      <c r="A2102" s="262"/>
      <c r="B2102" s="260"/>
      <c r="C2102" s="35" t="s">
        <v>824</v>
      </c>
      <c r="D2102" s="35" t="s">
        <v>583</v>
      </c>
      <c r="E2102" s="36">
        <f>0.064*0.3</f>
        <v>1.9199999999999998E-2</v>
      </c>
      <c r="F2102" s="30">
        <v>21.166</v>
      </c>
      <c r="G2102" s="33">
        <f t="shared" si="196"/>
        <v>0.40638719999999995</v>
      </c>
      <c r="H2102" s="34"/>
      <c r="I2102" s="30"/>
      <c r="J2102" s="152">
        <v>0</v>
      </c>
      <c r="L2102" s="215">
        <v>1.9199999999999998E-2</v>
      </c>
      <c r="M2102" s="30">
        <v>18.118096000000001</v>
      </c>
      <c r="N2102" s="33">
        <f t="shared" si="197"/>
        <v>0.34786744320000001</v>
      </c>
      <c r="O2102" s="34"/>
      <c r="P2102" s="36" t="str">
        <f t="shared" si="192"/>
        <v/>
      </c>
      <c r="Q2102" s="216">
        <f t="shared" si="193"/>
        <v>0.14399999999999991</v>
      </c>
      <c r="R2102" s="216">
        <f t="shared" si="194"/>
        <v>0.14399999999999991</v>
      </c>
      <c r="S2102" s="217" t="str">
        <f t="shared" si="195"/>
        <v/>
      </c>
    </row>
    <row r="2103" spans="1:19" ht="26.25" hidden="1" thickBot="1" x14ac:dyDescent="0.3">
      <c r="A2103" s="262"/>
      <c r="B2103" s="260"/>
      <c r="C2103" s="35" t="s">
        <v>825</v>
      </c>
      <c r="D2103" s="35" t="s">
        <v>583</v>
      </c>
      <c r="E2103" s="36">
        <f>0.064*0.3</f>
        <v>1.9199999999999998E-2</v>
      </c>
      <c r="F2103" s="30">
        <v>26.799499999999998</v>
      </c>
      <c r="G2103" s="33">
        <f t="shared" si="196"/>
        <v>0.51455039999999996</v>
      </c>
      <c r="H2103" s="34"/>
      <c r="I2103" s="30"/>
      <c r="J2103" s="152">
        <v>0</v>
      </c>
      <c r="L2103" s="215">
        <v>1.9199999999999998E-2</v>
      </c>
      <c r="M2103" s="30">
        <v>22.940372</v>
      </c>
      <c r="N2103" s="33">
        <f t="shared" si="197"/>
        <v>0.44045514239999994</v>
      </c>
      <c r="O2103" s="34"/>
      <c r="P2103" s="36" t="str">
        <f t="shared" si="192"/>
        <v/>
      </c>
      <c r="Q2103" s="216">
        <f t="shared" si="193"/>
        <v>0.14399999999999991</v>
      </c>
      <c r="R2103" s="216">
        <f t="shared" si="194"/>
        <v>0.14400000000000002</v>
      </c>
      <c r="S2103" s="217" t="str">
        <f t="shared" si="195"/>
        <v/>
      </c>
    </row>
    <row r="2104" spans="1:19" ht="15.75" hidden="1" thickBot="1" x14ac:dyDescent="0.3">
      <c r="A2104" s="262"/>
      <c r="B2104" s="260"/>
      <c r="C2104" s="35"/>
      <c r="D2104" s="46"/>
      <c r="E2104" s="36"/>
      <c r="F2104" s="33" t="s">
        <v>416</v>
      </c>
      <c r="G2104" s="33" t="str">
        <f t="shared" si="196"/>
        <v/>
      </c>
      <c r="H2104" s="34"/>
      <c r="I2104" s="30"/>
      <c r="J2104" s="152">
        <v>0</v>
      </c>
      <c r="L2104" s="215"/>
      <c r="M2104" s="33"/>
      <c r="N2104" s="33" t="str">
        <f t="shared" si="197"/>
        <v/>
      </c>
      <c r="O2104" s="34"/>
      <c r="P2104" s="36" t="str">
        <f t="shared" si="192"/>
        <v/>
      </c>
      <c r="Q2104" s="216" t="str">
        <f t="shared" si="193"/>
        <v/>
      </c>
      <c r="R2104" s="216" t="str">
        <f t="shared" si="194"/>
        <v/>
      </c>
      <c r="S2104" s="217" t="str">
        <f t="shared" si="195"/>
        <v/>
      </c>
    </row>
    <row r="2105" spans="1:19" ht="39" hidden="1" thickBot="1" x14ac:dyDescent="0.3">
      <c r="A2105" s="262"/>
      <c r="B2105" s="260"/>
      <c r="C2105" s="51" t="s">
        <v>529</v>
      </c>
      <c r="D2105" s="46"/>
      <c r="E2105" s="36"/>
      <c r="F2105" s="33" t="s">
        <v>416</v>
      </c>
      <c r="G2105" s="33" t="str">
        <f t="shared" si="196"/>
        <v/>
      </c>
      <c r="H2105" s="34"/>
      <c r="I2105" s="30"/>
      <c r="J2105" s="152">
        <v>0</v>
      </c>
      <c r="L2105" s="215"/>
      <c r="M2105" s="33"/>
      <c r="N2105" s="33" t="str">
        <f t="shared" si="197"/>
        <v/>
      </c>
      <c r="O2105" s="34"/>
      <c r="P2105" s="36" t="str">
        <f t="shared" si="192"/>
        <v/>
      </c>
      <c r="Q2105" s="216" t="str">
        <f t="shared" si="193"/>
        <v/>
      </c>
      <c r="R2105" s="216" t="str">
        <f t="shared" si="194"/>
        <v/>
      </c>
      <c r="S2105" s="217" t="str">
        <f t="shared" si="195"/>
        <v/>
      </c>
    </row>
    <row r="2106" spans="1:19" ht="15.75" hidden="1" thickBot="1" x14ac:dyDescent="0.3">
      <c r="A2106" s="263"/>
      <c r="B2106" s="261"/>
      <c r="C2106" s="35"/>
      <c r="D2106" s="35"/>
      <c r="E2106" s="36"/>
      <c r="F2106" s="30" t="s">
        <v>416</v>
      </c>
      <c r="G2106" s="30" t="str">
        <f t="shared" si="196"/>
        <v/>
      </c>
      <c r="H2106" s="34"/>
      <c r="I2106" s="30"/>
      <c r="J2106" s="152">
        <v>0</v>
      </c>
      <c r="L2106" s="215"/>
      <c r="M2106" s="30"/>
      <c r="N2106" s="30" t="str">
        <f t="shared" si="197"/>
        <v/>
      </c>
      <c r="O2106" s="34"/>
      <c r="P2106" s="36" t="str">
        <f t="shared" si="192"/>
        <v/>
      </c>
      <c r="Q2106" s="216" t="str">
        <f t="shared" si="193"/>
        <v/>
      </c>
      <c r="R2106" s="216" t="str">
        <f t="shared" si="194"/>
        <v/>
      </c>
      <c r="S2106" s="217" t="str">
        <f t="shared" si="195"/>
        <v/>
      </c>
    </row>
    <row r="2107" spans="1:19" ht="15.75" hidden="1" thickBot="1" x14ac:dyDescent="0.3">
      <c r="A2107" s="256" t="s">
        <v>550</v>
      </c>
      <c r="B2107" s="259" t="str">
        <f>INDEX(Orçamentária!A:B,MATCH(Composições!A2107,Orçamentária!A:A,0),2)</f>
        <v>Proteção mecânica em alumínio</v>
      </c>
      <c r="C2107" s="40"/>
      <c r="D2107" s="25" t="s">
        <v>70</v>
      </c>
      <c r="E2107" s="26"/>
      <c r="F2107" s="41" t="s">
        <v>416</v>
      </c>
      <c r="G2107" s="27" t="str">
        <f t="shared" si="196"/>
        <v/>
      </c>
      <c r="H2107" s="28"/>
      <c r="I2107" s="29"/>
      <c r="J2107" s="152">
        <v>0</v>
      </c>
      <c r="L2107" s="218"/>
      <c r="M2107" s="41"/>
      <c r="N2107" s="27" t="str">
        <f t="shared" si="197"/>
        <v/>
      </c>
      <c r="O2107" s="28"/>
      <c r="P2107" s="36" t="str">
        <f t="shared" si="192"/>
        <v/>
      </c>
      <c r="Q2107" s="216" t="str">
        <f t="shared" si="193"/>
        <v/>
      </c>
      <c r="R2107" s="216" t="str">
        <f t="shared" si="194"/>
        <v/>
      </c>
      <c r="S2107" s="217" t="str">
        <f t="shared" si="195"/>
        <v/>
      </c>
    </row>
    <row r="2108" spans="1:19" ht="15.75" hidden="1" thickBot="1" x14ac:dyDescent="0.3">
      <c r="A2108" s="262"/>
      <c r="B2108" s="260"/>
      <c r="C2108" s="31"/>
      <c r="D2108" s="31"/>
      <c r="E2108" s="32"/>
      <c r="F2108" s="42" t="s">
        <v>416</v>
      </c>
      <c r="G2108" s="30" t="str">
        <f t="shared" si="196"/>
        <v/>
      </c>
      <c r="H2108" s="34"/>
      <c r="I2108" s="30"/>
      <c r="J2108" s="152">
        <v>0</v>
      </c>
      <c r="L2108" s="219"/>
      <c r="M2108" s="42"/>
      <c r="N2108" s="30" t="str">
        <f t="shared" si="197"/>
        <v/>
      </c>
      <c r="O2108" s="34"/>
      <c r="P2108" s="36" t="str">
        <f t="shared" si="192"/>
        <v/>
      </c>
      <c r="Q2108" s="216" t="str">
        <f t="shared" si="193"/>
        <v/>
      </c>
      <c r="R2108" s="216" t="str">
        <f t="shared" si="194"/>
        <v/>
      </c>
      <c r="S2108" s="217" t="str">
        <f t="shared" si="195"/>
        <v/>
      </c>
    </row>
    <row r="2109" spans="1:19" ht="26.25" hidden="1" thickBot="1" x14ac:dyDescent="0.3">
      <c r="A2109" s="262"/>
      <c r="B2109" s="260"/>
      <c r="C2109" s="35" t="s">
        <v>824</v>
      </c>
      <c r="D2109" s="35" t="s">
        <v>583</v>
      </c>
      <c r="E2109" s="36">
        <v>0.2</v>
      </c>
      <c r="F2109" s="30">
        <v>21.166</v>
      </c>
      <c r="G2109" s="33">
        <f t="shared" si="196"/>
        <v>4.2332000000000001</v>
      </c>
      <c r="H2109" s="38">
        <f>SUM(G2109:G2111)</f>
        <v>9.5930999999999997</v>
      </c>
      <c r="I2109" s="39"/>
      <c r="J2109" s="152">
        <v>0</v>
      </c>
      <c r="L2109" s="215">
        <v>0.2</v>
      </c>
      <c r="M2109" s="30">
        <v>18.118096000000001</v>
      </c>
      <c r="N2109" s="33">
        <f t="shared" si="197"/>
        <v>3.6236192000000003</v>
      </c>
      <c r="O2109" s="38">
        <f>SUM(N2109:N2111)</f>
        <v>8.2116936000000003</v>
      </c>
      <c r="P2109" s="36" t="str">
        <f t="shared" si="192"/>
        <v/>
      </c>
      <c r="Q2109" s="216">
        <f t="shared" si="193"/>
        <v>0.14399999999999991</v>
      </c>
      <c r="R2109" s="216">
        <f t="shared" si="194"/>
        <v>0.14399999999999991</v>
      </c>
      <c r="S2109" s="217">
        <f t="shared" si="195"/>
        <v>0.14399999999999991</v>
      </c>
    </row>
    <row r="2110" spans="1:19" ht="26.25" hidden="1" thickBot="1" x14ac:dyDescent="0.3">
      <c r="A2110" s="262"/>
      <c r="B2110" s="260"/>
      <c r="C2110" s="35" t="s">
        <v>825</v>
      </c>
      <c r="D2110" s="35" t="s">
        <v>583</v>
      </c>
      <c r="E2110" s="36">
        <v>0.2</v>
      </c>
      <c r="F2110" s="30">
        <v>26.799499999999998</v>
      </c>
      <c r="G2110" s="33">
        <f t="shared" si="196"/>
        <v>5.3598999999999997</v>
      </c>
      <c r="H2110" s="34"/>
      <c r="I2110" s="30"/>
      <c r="J2110" s="152">
        <v>0</v>
      </c>
      <c r="L2110" s="215">
        <v>0.2</v>
      </c>
      <c r="M2110" s="30">
        <v>22.940372</v>
      </c>
      <c r="N2110" s="33">
        <f t="shared" si="197"/>
        <v>4.5880744</v>
      </c>
      <c r="O2110" s="34"/>
      <c r="P2110" s="36" t="str">
        <f t="shared" si="192"/>
        <v/>
      </c>
      <c r="Q2110" s="216">
        <f t="shared" si="193"/>
        <v>0.14399999999999991</v>
      </c>
      <c r="R2110" s="216">
        <f t="shared" si="194"/>
        <v>0.14399999999999991</v>
      </c>
      <c r="S2110" s="217" t="str">
        <f t="shared" si="195"/>
        <v/>
      </c>
    </row>
    <row r="2111" spans="1:19" ht="15.75" hidden="1" thickBot="1" x14ac:dyDescent="0.3">
      <c r="A2111" s="262"/>
      <c r="B2111" s="260"/>
      <c r="C2111" s="35" t="s">
        <v>551</v>
      </c>
      <c r="D2111" s="46" t="s">
        <v>70</v>
      </c>
      <c r="E2111" s="36">
        <v>1.05</v>
      </c>
      <c r="F2111" s="33" t="s">
        <v>416</v>
      </c>
      <c r="G2111" s="33" t="str">
        <f t="shared" si="196"/>
        <v/>
      </c>
      <c r="H2111" s="34"/>
      <c r="I2111" s="30"/>
      <c r="J2111" s="152">
        <v>0</v>
      </c>
      <c r="L2111" s="215">
        <v>1.05</v>
      </c>
      <c r="M2111" s="33"/>
      <c r="N2111" s="33" t="str">
        <f t="shared" si="197"/>
        <v/>
      </c>
      <c r="O2111" s="34"/>
      <c r="P2111" s="36" t="str">
        <f t="shared" si="192"/>
        <v/>
      </c>
      <c r="Q2111" s="216" t="str">
        <f t="shared" si="193"/>
        <v/>
      </c>
      <c r="R2111" s="216" t="str">
        <f t="shared" si="194"/>
        <v/>
      </c>
      <c r="S2111" s="217" t="str">
        <f t="shared" si="195"/>
        <v/>
      </c>
    </row>
    <row r="2112" spans="1:19" ht="15.75" hidden="1" thickBot="1" x14ac:dyDescent="0.3">
      <c r="A2112" s="263"/>
      <c r="B2112" s="261"/>
      <c r="C2112" s="35"/>
      <c r="D2112" s="35"/>
      <c r="E2112" s="36"/>
      <c r="F2112" s="30" t="s">
        <v>416</v>
      </c>
      <c r="G2112" s="30" t="str">
        <f t="shared" si="196"/>
        <v/>
      </c>
      <c r="H2112" s="34"/>
      <c r="I2112" s="30"/>
      <c r="J2112" s="152">
        <v>0</v>
      </c>
      <c r="L2112" s="215"/>
      <c r="M2112" s="30"/>
      <c r="N2112" s="30" t="str">
        <f t="shared" si="197"/>
        <v/>
      </c>
      <c r="O2112" s="34"/>
      <c r="P2112" s="36" t="str">
        <f t="shared" si="192"/>
        <v/>
      </c>
      <c r="Q2112" s="216" t="str">
        <f t="shared" si="193"/>
        <v/>
      </c>
      <c r="R2112" s="216" t="str">
        <f t="shared" si="194"/>
        <v/>
      </c>
      <c r="S2112" s="217" t="str">
        <f t="shared" si="195"/>
        <v/>
      </c>
    </row>
    <row r="2113" spans="1:19" ht="15.75" hidden="1" thickBot="1" x14ac:dyDescent="0.3">
      <c r="A2113" s="256" t="s">
        <v>552</v>
      </c>
      <c r="B2113" s="259" t="str">
        <f>INDEX(Orçamentária!A:B,MATCH(Composições!A2113,Orçamentária!A:A,0),2)</f>
        <v>Tubo de aço-carbono galvanizado 1 1/2"</v>
      </c>
      <c r="C2113" s="40"/>
      <c r="D2113" s="25" t="s">
        <v>69</v>
      </c>
      <c r="E2113" s="26"/>
      <c r="F2113" s="41" t="s">
        <v>416</v>
      </c>
      <c r="G2113" s="27" t="str">
        <f t="shared" si="196"/>
        <v/>
      </c>
      <c r="H2113" s="28"/>
      <c r="I2113" s="29"/>
      <c r="J2113" s="152">
        <v>0</v>
      </c>
      <c r="L2113" s="218"/>
      <c r="M2113" s="41"/>
      <c r="N2113" s="27" t="str">
        <f t="shared" si="197"/>
        <v/>
      </c>
      <c r="O2113" s="28"/>
      <c r="P2113" s="36" t="str">
        <f t="shared" si="192"/>
        <v/>
      </c>
      <c r="Q2113" s="216" t="str">
        <f t="shared" si="193"/>
        <v/>
      </c>
      <c r="R2113" s="216" t="str">
        <f t="shared" si="194"/>
        <v/>
      </c>
      <c r="S2113" s="217" t="str">
        <f t="shared" si="195"/>
        <v/>
      </c>
    </row>
    <row r="2114" spans="1:19" ht="15.75" hidden="1" thickBot="1" x14ac:dyDescent="0.3">
      <c r="A2114" s="262"/>
      <c r="B2114" s="260"/>
      <c r="C2114" s="31"/>
      <c r="D2114" s="31"/>
      <c r="E2114" s="32"/>
      <c r="F2114" s="42" t="s">
        <v>416</v>
      </c>
      <c r="G2114" s="30" t="str">
        <f t="shared" si="196"/>
        <v/>
      </c>
      <c r="H2114" s="34"/>
      <c r="I2114" s="30"/>
      <c r="J2114" s="152">
        <v>0</v>
      </c>
      <c r="L2114" s="219"/>
      <c r="M2114" s="42"/>
      <c r="N2114" s="30" t="str">
        <f t="shared" si="197"/>
        <v/>
      </c>
      <c r="O2114" s="34"/>
      <c r="P2114" s="36" t="str">
        <f t="shared" si="192"/>
        <v/>
      </c>
      <c r="Q2114" s="216" t="str">
        <f t="shared" si="193"/>
        <v/>
      </c>
      <c r="R2114" s="216" t="str">
        <f t="shared" si="194"/>
        <v/>
      </c>
      <c r="S2114" s="217" t="str">
        <f t="shared" si="195"/>
        <v/>
      </c>
    </row>
    <row r="2115" spans="1:19" ht="26.25" hidden="1" thickBot="1" x14ac:dyDescent="0.3">
      <c r="A2115" s="262"/>
      <c r="B2115" s="260"/>
      <c r="C2115" s="35" t="s">
        <v>825</v>
      </c>
      <c r="D2115" s="35" t="s">
        <v>583</v>
      </c>
      <c r="E2115" s="36">
        <v>0.29199999999999998</v>
      </c>
      <c r="F2115" s="30">
        <v>26.799499999999998</v>
      </c>
      <c r="G2115" s="30">
        <f t="shared" si="196"/>
        <v>7.8254539999999988</v>
      </c>
      <c r="H2115" s="38">
        <f>SUM(G2115:G2117)</f>
        <v>61.394196499999993</v>
      </c>
      <c r="I2115" s="39"/>
      <c r="J2115" s="152">
        <v>0</v>
      </c>
      <c r="L2115" s="215">
        <v>0.29199999999999998</v>
      </c>
      <c r="M2115" s="30">
        <v>22.940372</v>
      </c>
      <c r="N2115" s="30">
        <f t="shared" si="197"/>
        <v>6.6985886239999992</v>
      </c>
      <c r="O2115" s="38">
        <f>SUM(N2115:N2117)</f>
        <v>52.553432203999989</v>
      </c>
      <c r="P2115" s="36" t="str">
        <f t="shared" si="192"/>
        <v/>
      </c>
      <c r="Q2115" s="216">
        <f t="shared" si="193"/>
        <v>0.14399999999999991</v>
      </c>
      <c r="R2115" s="216">
        <f t="shared" si="194"/>
        <v>0.14400000000000002</v>
      </c>
      <c r="S2115" s="217">
        <f t="shared" si="195"/>
        <v>0.14400000000000002</v>
      </c>
    </row>
    <row r="2116" spans="1:19" ht="26.25" hidden="1" thickBot="1" x14ac:dyDescent="0.3">
      <c r="A2116" s="262"/>
      <c r="B2116" s="260"/>
      <c r="C2116" s="35" t="s">
        <v>824</v>
      </c>
      <c r="D2116" s="35" t="s">
        <v>583</v>
      </c>
      <c r="E2116" s="36">
        <v>0.29199999999999998</v>
      </c>
      <c r="F2116" s="30">
        <v>21.166</v>
      </c>
      <c r="G2116" s="30">
        <f t="shared" si="196"/>
        <v>6.180472</v>
      </c>
      <c r="H2116" s="34"/>
      <c r="I2116" s="30"/>
      <c r="J2116" s="152">
        <v>0</v>
      </c>
      <c r="L2116" s="215">
        <v>0.29199999999999998</v>
      </c>
      <c r="M2116" s="30">
        <v>18.118096000000001</v>
      </c>
      <c r="N2116" s="30">
        <f t="shared" si="197"/>
        <v>5.2904840320000002</v>
      </c>
      <c r="O2116" s="34"/>
      <c r="P2116" s="36" t="str">
        <f t="shared" si="192"/>
        <v/>
      </c>
      <c r="Q2116" s="216">
        <f t="shared" si="193"/>
        <v>0.14399999999999991</v>
      </c>
      <c r="R2116" s="216">
        <f t="shared" si="194"/>
        <v>0.14400000000000002</v>
      </c>
      <c r="S2116" s="217" t="str">
        <f t="shared" si="195"/>
        <v/>
      </c>
    </row>
    <row r="2117" spans="1:19" ht="26.25" hidden="1" thickBot="1" x14ac:dyDescent="0.3">
      <c r="A2117" s="262"/>
      <c r="B2117" s="260"/>
      <c r="C2117" s="35" t="s">
        <v>553</v>
      </c>
      <c r="D2117" s="35" t="s">
        <v>385</v>
      </c>
      <c r="E2117" s="36">
        <v>1.0389999999999999</v>
      </c>
      <c r="F2117" s="33">
        <v>45.609499999999997</v>
      </c>
      <c r="G2117" s="30">
        <f t="shared" si="196"/>
        <v>47.38827049999999</v>
      </c>
      <c r="H2117" s="34"/>
      <c r="I2117" s="30"/>
      <c r="J2117" s="152">
        <v>0</v>
      </c>
      <c r="L2117" s="215">
        <v>1.0389999999999999</v>
      </c>
      <c r="M2117" s="33">
        <v>39.041731999999996</v>
      </c>
      <c r="N2117" s="30">
        <f t="shared" si="197"/>
        <v>40.564359547999992</v>
      </c>
      <c r="O2117" s="34"/>
      <c r="P2117" s="36" t="str">
        <f t="shared" si="192"/>
        <v/>
      </c>
      <c r="Q2117" s="216">
        <f t="shared" si="193"/>
        <v>0.14400000000000002</v>
      </c>
      <c r="R2117" s="216">
        <f t="shared" si="194"/>
        <v>0.14400000000000002</v>
      </c>
      <c r="S2117" s="217" t="str">
        <f t="shared" si="195"/>
        <v/>
      </c>
    </row>
    <row r="2118" spans="1:19" ht="15.75" hidden="1" thickBot="1" x14ac:dyDescent="0.3">
      <c r="A2118" s="263"/>
      <c r="B2118" s="261"/>
      <c r="C2118" s="35"/>
      <c r="D2118" s="35"/>
      <c r="E2118" s="36"/>
      <c r="F2118" s="30" t="s">
        <v>416</v>
      </c>
      <c r="G2118" s="30" t="str">
        <f t="shared" si="196"/>
        <v/>
      </c>
      <c r="H2118" s="34"/>
      <c r="I2118" s="30"/>
      <c r="J2118" s="152">
        <v>0</v>
      </c>
      <c r="L2118" s="215"/>
      <c r="M2118" s="30"/>
      <c r="N2118" s="30" t="str">
        <f t="shared" si="197"/>
        <v/>
      </c>
      <c r="O2118" s="34"/>
      <c r="P2118" s="36" t="str">
        <f t="shared" si="192"/>
        <v/>
      </c>
      <c r="Q2118" s="216" t="str">
        <f t="shared" si="193"/>
        <v/>
      </c>
      <c r="R2118" s="216" t="str">
        <f t="shared" si="194"/>
        <v/>
      </c>
      <c r="S2118" s="217" t="str">
        <f t="shared" si="195"/>
        <v/>
      </c>
    </row>
    <row r="2119" spans="1:19" ht="15.75" hidden="1" thickBot="1" x14ac:dyDescent="0.3">
      <c r="A2119" s="256" t="s">
        <v>554</v>
      </c>
      <c r="B2119" s="259" t="str">
        <f>INDEX(Orçamentária!A:B,MATCH(Composições!A2119,Orçamentária!A:A,0),2)</f>
        <v>Tubo de aço-carbono galvanizado 1 1/4"</v>
      </c>
      <c r="C2119" s="40"/>
      <c r="D2119" s="25" t="s">
        <v>69</v>
      </c>
      <c r="E2119" s="26"/>
      <c r="F2119" s="41" t="s">
        <v>416</v>
      </c>
      <c r="G2119" s="27" t="str">
        <f t="shared" si="196"/>
        <v/>
      </c>
      <c r="H2119" s="28"/>
      <c r="I2119" s="29"/>
      <c r="J2119" s="152">
        <v>0</v>
      </c>
      <c r="L2119" s="218"/>
      <c r="M2119" s="41"/>
      <c r="N2119" s="27" t="str">
        <f t="shared" si="197"/>
        <v/>
      </c>
      <c r="O2119" s="28"/>
      <c r="P2119" s="36" t="str">
        <f t="shared" si="192"/>
        <v/>
      </c>
      <c r="Q2119" s="216" t="str">
        <f t="shared" si="193"/>
        <v/>
      </c>
      <c r="R2119" s="216" t="str">
        <f t="shared" si="194"/>
        <v/>
      </c>
      <c r="S2119" s="217" t="str">
        <f t="shared" si="195"/>
        <v/>
      </c>
    </row>
    <row r="2120" spans="1:19" ht="15.75" hidden="1" thickBot="1" x14ac:dyDescent="0.3">
      <c r="A2120" s="262"/>
      <c r="B2120" s="260"/>
      <c r="C2120" s="31"/>
      <c r="D2120" s="31"/>
      <c r="E2120" s="32"/>
      <c r="F2120" s="42" t="s">
        <v>416</v>
      </c>
      <c r="G2120" s="30" t="str">
        <f t="shared" si="196"/>
        <v/>
      </c>
      <c r="H2120" s="34"/>
      <c r="I2120" s="30"/>
      <c r="J2120" s="152">
        <v>0</v>
      </c>
      <c r="L2120" s="219"/>
      <c r="M2120" s="42"/>
      <c r="N2120" s="30" t="str">
        <f t="shared" si="197"/>
        <v/>
      </c>
      <c r="O2120" s="34"/>
      <c r="P2120" s="36" t="str">
        <f t="shared" ref="P2120:P2183" si="198">IF(ISBLANK(L2120),"",IF($E2120&lt;&gt;L2120,"SIM",""))</f>
        <v/>
      </c>
      <c r="Q2120" s="216" t="str">
        <f t="shared" ref="Q2120:Q2183" si="199">IF(M2120="","",1-M2120/$F2120)</f>
        <v/>
      </c>
      <c r="R2120" s="216" t="str">
        <f t="shared" ref="R2120:R2183" si="200">IF(N2120="","",1-N2120/$G2120)</f>
        <v/>
      </c>
      <c r="S2120" s="217" t="str">
        <f t="shared" ref="S2120:S2183" si="201">IF(O2120="","",1-O2120/$H2120)</f>
        <v/>
      </c>
    </row>
    <row r="2121" spans="1:19" ht="26.25" hidden="1" thickBot="1" x14ac:dyDescent="0.3">
      <c r="A2121" s="262"/>
      <c r="B2121" s="260"/>
      <c r="C2121" s="35" t="s">
        <v>825</v>
      </c>
      <c r="D2121" s="35" t="s">
        <v>583</v>
      </c>
      <c r="E2121" s="36">
        <v>0.27500000000000002</v>
      </c>
      <c r="F2121" s="30">
        <v>26.799499999999998</v>
      </c>
      <c r="G2121" s="30">
        <f t="shared" si="196"/>
        <v>7.3698625</v>
      </c>
      <c r="H2121" s="38">
        <f>SUM(G2121:G2123)</f>
        <v>56.679935499999999</v>
      </c>
      <c r="I2121" s="39"/>
      <c r="J2121" s="152">
        <v>0</v>
      </c>
      <c r="L2121" s="215">
        <v>0.27500000000000002</v>
      </c>
      <c r="M2121" s="30">
        <v>22.940372</v>
      </c>
      <c r="N2121" s="30">
        <f t="shared" si="197"/>
        <v>6.3086023000000004</v>
      </c>
      <c r="O2121" s="38">
        <f>SUM(N2121:N2123)</f>
        <v>48.518024787999998</v>
      </c>
      <c r="P2121" s="36" t="str">
        <f t="shared" si="198"/>
        <v/>
      </c>
      <c r="Q2121" s="216">
        <f t="shared" si="199"/>
        <v>0.14399999999999991</v>
      </c>
      <c r="R2121" s="216">
        <f t="shared" si="200"/>
        <v>0.14399999999999991</v>
      </c>
      <c r="S2121" s="217">
        <f t="shared" si="201"/>
        <v>0.14400000000000002</v>
      </c>
    </row>
    <row r="2122" spans="1:19" ht="26.25" hidden="1" thickBot="1" x14ac:dyDescent="0.3">
      <c r="A2122" s="262"/>
      <c r="B2122" s="260"/>
      <c r="C2122" s="35" t="s">
        <v>824</v>
      </c>
      <c r="D2122" s="35" t="s">
        <v>583</v>
      </c>
      <c r="E2122" s="36">
        <v>0.27500000000000002</v>
      </c>
      <c r="F2122" s="30">
        <v>21.166</v>
      </c>
      <c r="G2122" s="30">
        <f t="shared" si="196"/>
        <v>5.8206500000000005</v>
      </c>
      <c r="H2122" s="34"/>
      <c r="I2122" s="30"/>
      <c r="J2122" s="152">
        <v>0</v>
      </c>
      <c r="L2122" s="215">
        <v>0.27500000000000002</v>
      </c>
      <c r="M2122" s="30">
        <v>18.118096000000001</v>
      </c>
      <c r="N2122" s="30">
        <f t="shared" si="197"/>
        <v>4.9824764000000004</v>
      </c>
      <c r="O2122" s="34"/>
      <c r="P2122" s="36" t="str">
        <f t="shared" si="198"/>
        <v/>
      </c>
      <c r="Q2122" s="216">
        <f t="shared" si="199"/>
        <v>0.14399999999999991</v>
      </c>
      <c r="R2122" s="216">
        <f t="shared" si="200"/>
        <v>0.14400000000000002</v>
      </c>
      <c r="S2122" s="217" t="str">
        <f t="shared" si="201"/>
        <v/>
      </c>
    </row>
    <row r="2123" spans="1:19" ht="26.25" hidden="1" thickBot="1" x14ac:dyDescent="0.3">
      <c r="A2123" s="262"/>
      <c r="B2123" s="260"/>
      <c r="C2123" s="35" t="s">
        <v>3063</v>
      </c>
      <c r="D2123" s="35" t="s">
        <v>385</v>
      </c>
      <c r="E2123" s="36">
        <v>1.0389999999999999</v>
      </c>
      <c r="F2123" s="30">
        <v>41.856999999999999</v>
      </c>
      <c r="G2123" s="30">
        <f t="shared" si="196"/>
        <v>43.489422999999995</v>
      </c>
      <c r="H2123" s="34"/>
      <c r="I2123" s="30"/>
      <c r="J2123" s="152">
        <v>0</v>
      </c>
      <c r="L2123" s="215">
        <v>1.0389999999999999</v>
      </c>
      <c r="M2123" s="30">
        <v>35.829591999999998</v>
      </c>
      <c r="N2123" s="30">
        <f t="shared" si="197"/>
        <v>37.226946087999998</v>
      </c>
      <c r="O2123" s="34"/>
      <c r="P2123" s="36" t="str">
        <f t="shared" si="198"/>
        <v/>
      </c>
      <c r="Q2123" s="216">
        <f t="shared" si="199"/>
        <v>0.14400000000000002</v>
      </c>
      <c r="R2123" s="216">
        <f t="shared" si="200"/>
        <v>0.14399999999999991</v>
      </c>
      <c r="S2123" s="217" t="str">
        <f t="shared" si="201"/>
        <v/>
      </c>
    </row>
    <row r="2124" spans="1:19" ht="15.75" hidden="1" thickBot="1" x14ac:dyDescent="0.3">
      <c r="A2124" s="263"/>
      <c r="B2124" s="261"/>
      <c r="C2124" s="35"/>
      <c r="D2124" s="35"/>
      <c r="E2124" s="36"/>
      <c r="F2124" s="30" t="s">
        <v>416</v>
      </c>
      <c r="G2124" s="30" t="str">
        <f t="shared" si="196"/>
        <v/>
      </c>
      <c r="H2124" s="34"/>
      <c r="I2124" s="30"/>
      <c r="J2124" s="152">
        <v>0</v>
      </c>
      <c r="L2124" s="215"/>
      <c r="M2124" s="30"/>
      <c r="N2124" s="30" t="str">
        <f t="shared" si="197"/>
        <v/>
      </c>
      <c r="O2124" s="34"/>
      <c r="P2124" s="36" t="str">
        <f t="shared" si="198"/>
        <v/>
      </c>
      <c r="Q2124" s="216" t="str">
        <f t="shared" si="199"/>
        <v/>
      </c>
      <c r="R2124" s="216" t="str">
        <f t="shared" si="200"/>
        <v/>
      </c>
      <c r="S2124" s="217" t="str">
        <f t="shared" si="201"/>
        <v/>
      </c>
    </row>
    <row r="2125" spans="1:19" ht="15.75" hidden="1" thickBot="1" x14ac:dyDescent="0.3">
      <c r="A2125" s="256" t="s">
        <v>555</v>
      </c>
      <c r="B2125" s="259" t="str">
        <f>INDEX(Orçamentária!A:B,MATCH(Composições!A2125,Orçamentária!A:A,0),2)</f>
        <v>Tubo de aço-carbono galvanizado 1"</v>
      </c>
      <c r="C2125" s="40"/>
      <c r="D2125" s="25" t="s">
        <v>69</v>
      </c>
      <c r="E2125" s="26"/>
      <c r="F2125" s="41" t="s">
        <v>416</v>
      </c>
      <c r="G2125" s="27" t="str">
        <f t="shared" si="196"/>
        <v/>
      </c>
      <c r="H2125" s="28"/>
      <c r="I2125" s="29"/>
      <c r="J2125" s="152">
        <v>0</v>
      </c>
      <c r="L2125" s="218"/>
      <c r="M2125" s="41"/>
      <c r="N2125" s="27" t="str">
        <f t="shared" si="197"/>
        <v/>
      </c>
      <c r="O2125" s="28"/>
      <c r="P2125" s="36" t="str">
        <f t="shared" si="198"/>
        <v/>
      </c>
      <c r="Q2125" s="216" t="str">
        <f t="shared" si="199"/>
        <v/>
      </c>
      <c r="R2125" s="216" t="str">
        <f t="shared" si="200"/>
        <v/>
      </c>
      <c r="S2125" s="217" t="str">
        <f t="shared" si="201"/>
        <v/>
      </c>
    </row>
    <row r="2126" spans="1:19" ht="15.75" hidden="1" thickBot="1" x14ac:dyDescent="0.3">
      <c r="A2126" s="262"/>
      <c r="B2126" s="260"/>
      <c r="C2126" s="31"/>
      <c r="D2126" s="31"/>
      <c r="E2126" s="32"/>
      <c r="F2126" s="42" t="s">
        <v>416</v>
      </c>
      <c r="G2126" s="30" t="str">
        <f t="shared" si="196"/>
        <v/>
      </c>
      <c r="H2126" s="34"/>
      <c r="I2126" s="30"/>
      <c r="J2126" s="152">
        <v>0</v>
      </c>
      <c r="L2126" s="219"/>
      <c r="M2126" s="42"/>
      <c r="N2126" s="30" t="str">
        <f t="shared" si="197"/>
        <v/>
      </c>
      <c r="O2126" s="34"/>
      <c r="P2126" s="36" t="str">
        <f t="shared" si="198"/>
        <v/>
      </c>
      <c r="Q2126" s="216" t="str">
        <f t="shared" si="199"/>
        <v/>
      </c>
      <c r="R2126" s="216" t="str">
        <f t="shared" si="200"/>
        <v/>
      </c>
      <c r="S2126" s="217" t="str">
        <f t="shared" si="201"/>
        <v/>
      </c>
    </row>
    <row r="2127" spans="1:19" ht="26.25" hidden="1" thickBot="1" x14ac:dyDescent="0.3">
      <c r="A2127" s="262"/>
      <c r="B2127" s="260"/>
      <c r="C2127" s="35" t="s">
        <v>825</v>
      </c>
      <c r="D2127" s="35" t="s">
        <v>583</v>
      </c>
      <c r="E2127" s="36">
        <v>0.29699999999999999</v>
      </c>
      <c r="F2127" s="30">
        <v>26.799499999999998</v>
      </c>
      <c r="G2127" s="33">
        <f t="shared" si="196"/>
        <v>7.9594514999999992</v>
      </c>
      <c r="H2127" s="38">
        <f>SUM(G2127:G2129)</f>
        <v>46.699957499999996</v>
      </c>
      <c r="I2127" s="39"/>
      <c r="J2127" s="152">
        <v>0</v>
      </c>
      <c r="L2127" s="215">
        <v>0.29699999999999999</v>
      </c>
      <c r="M2127" s="30">
        <v>22.940372</v>
      </c>
      <c r="N2127" s="33">
        <f t="shared" si="197"/>
        <v>6.8132904839999995</v>
      </c>
      <c r="O2127" s="38">
        <f>SUM(N2127:N2129)</f>
        <v>39.975163620000004</v>
      </c>
      <c r="P2127" s="36" t="str">
        <f t="shared" si="198"/>
        <v/>
      </c>
      <c r="Q2127" s="216">
        <f t="shared" si="199"/>
        <v>0.14399999999999991</v>
      </c>
      <c r="R2127" s="216">
        <f t="shared" si="200"/>
        <v>0.14400000000000002</v>
      </c>
      <c r="S2127" s="217">
        <f t="shared" si="201"/>
        <v>0.14399999999999991</v>
      </c>
    </row>
    <row r="2128" spans="1:19" ht="26.25" hidden="1" thickBot="1" x14ac:dyDescent="0.3">
      <c r="A2128" s="262"/>
      <c r="B2128" s="260"/>
      <c r="C2128" s="35" t="s">
        <v>824</v>
      </c>
      <c r="D2128" s="35" t="s">
        <v>583</v>
      </c>
      <c r="E2128" s="36">
        <v>0.29699999999999999</v>
      </c>
      <c r="F2128" s="30">
        <v>21.166</v>
      </c>
      <c r="G2128" s="33">
        <f t="shared" si="196"/>
        <v>6.2863020000000001</v>
      </c>
      <c r="H2128" s="34"/>
      <c r="I2128" s="30"/>
      <c r="J2128" s="152">
        <v>0</v>
      </c>
      <c r="L2128" s="215">
        <v>0.29699999999999999</v>
      </c>
      <c r="M2128" s="30">
        <v>18.118096000000001</v>
      </c>
      <c r="N2128" s="33">
        <f t="shared" si="197"/>
        <v>5.3810745120000005</v>
      </c>
      <c r="O2128" s="34"/>
      <c r="P2128" s="36" t="str">
        <f t="shared" si="198"/>
        <v/>
      </c>
      <c r="Q2128" s="216">
        <f t="shared" si="199"/>
        <v>0.14399999999999991</v>
      </c>
      <c r="R2128" s="216">
        <f t="shared" si="200"/>
        <v>0.14399999999999991</v>
      </c>
      <c r="S2128" s="217" t="str">
        <f t="shared" si="201"/>
        <v/>
      </c>
    </row>
    <row r="2129" spans="1:19" ht="26.25" hidden="1" thickBot="1" x14ac:dyDescent="0.3">
      <c r="A2129" s="262"/>
      <c r="B2129" s="260"/>
      <c r="C2129" s="35" t="s">
        <v>3064</v>
      </c>
      <c r="D2129" s="35" t="s">
        <v>385</v>
      </c>
      <c r="E2129" s="36">
        <v>1.0389999999999999</v>
      </c>
      <c r="F2129" s="30">
        <v>31.236000000000001</v>
      </c>
      <c r="G2129" s="33">
        <f t="shared" si="196"/>
        <v>32.454203999999997</v>
      </c>
      <c r="H2129" s="34"/>
      <c r="I2129" s="30"/>
      <c r="J2129" s="152">
        <v>0</v>
      </c>
      <c r="L2129" s="215">
        <v>1.0389999999999999</v>
      </c>
      <c r="M2129" s="30">
        <v>26.738016000000002</v>
      </c>
      <c r="N2129" s="33">
        <f t="shared" si="197"/>
        <v>27.780798623999999</v>
      </c>
      <c r="O2129" s="34"/>
      <c r="P2129" s="36" t="str">
        <f t="shared" si="198"/>
        <v/>
      </c>
      <c r="Q2129" s="216">
        <f t="shared" si="199"/>
        <v>0.14399999999999991</v>
      </c>
      <c r="R2129" s="216">
        <f t="shared" si="200"/>
        <v>0.14399999999999991</v>
      </c>
      <c r="S2129" s="217" t="str">
        <f t="shared" si="201"/>
        <v/>
      </c>
    </row>
    <row r="2130" spans="1:19" ht="15.75" hidden="1" thickBot="1" x14ac:dyDescent="0.3">
      <c r="A2130" s="263"/>
      <c r="B2130" s="261"/>
      <c r="C2130" s="35"/>
      <c r="D2130" s="35"/>
      <c r="E2130" s="36"/>
      <c r="F2130" s="30" t="s">
        <v>416</v>
      </c>
      <c r="G2130" s="30" t="str">
        <f t="shared" si="196"/>
        <v/>
      </c>
      <c r="H2130" s="34"/>
      <c r="I2130" s="30"/>
      <c r="J2130" s="152">
        <v>0</v>
      </c>
      <c r="L2130" s="215"/>
      <c r="M2130" s="30"/>
      <c r="N2130" s="30" t="str">
        <f t="shared" si="197"/>
        <v/>
      </c>
      <c r="O2130" s="34"/>
      <c r="P2130" s="36" t="str">
        <f t="shared" si="198"/>
        <v/>
      </c>
      <c r="Q2130" s="216" t="str">
        <f t="shared" si="199"/>
        <v/>
      </c>
      <c r="R2130" s="216" t="str">
        <f t="shared" si="200"/>
        <v/>
      </c>
      <c r="S2130" s="217" t="str">
        <f t="shared" si="201"/>
        <v/>
      </c>
    </row>
    <row r="2131" spans="1:19" ht="15.75" hidden="1" thickBot="1" x14ac:dyDescent="0.3">
      <c r="A2131" s="256" t="s">
        <v>556</v>
      </c>
      <c r="B2131" s="259" t="str">
        <f>INDEX(Orçamentária!A:B,MATCH(Composições!A2131,Orçamentária!A:A,0),2)</f>
        <v>Tubo de aço-carbono galvanizado 3/4"</v>
      </c>
      <c r="C2131" s="40"/>
      <c r="D2131" s="25" t="s">
        <v>69</v>
      </c>
      <c r="E2131" s="26"/>
      <c r="F2131" s="41" t="s">
        <v>416</v>
      </c>
      <c r="G2131" s="27" t="str">
        <f t="shared" ref="G2131:G2194" si="202">IF(ISNUMBER(F2131),E2131*F2131,"")</f>
        <v/>
      </c>
      <c r="H2131" s="28"/>
      <c r="I2131" s="29"/>
      <c r="J2131" s="152">
        <v>0</v>
      </c>
      <c r="L2131" s="218"/>
      <c r="M2131" s="41"/>
      <c r="N2131" s="27" t="str">
        <f t="shared" ref="N2131:N2194" si="203">IF(ISNUMBER(M2131),L2131*M2131,"")</f>
        <v/>
      </c>
      <c r="O2131" s="28"/>
      <c r="P2131" s="36" t="str">
        <f t="shared" si="198"/>
        <v/>
      </c>
      <c r="Q2131" s="216" t="str">
        <f t="shared" si="199"/>
        <v/>
      </c>
      <c r="R2131" s="216" t="str">
        <f t="shared" si="200"/>
        <v/>
      </c>
      <c r="S2131" s="217" t="str">
        <f t="shared" si="201"/>
        <v/>
      </c>
    </row>
    <row r="2132" spans="1:19" ht="15.75" hidden="1" thickBot="1" x14ac:dyDescent="0.3">
      <c r="A2132" s="262"/>
      <c r="B2132" s="260"/>
      <c r="C2132" s="31"/>
      <c r="D2132" s="31"/>
      <c r="E2132" s="32"/>
      <c r="F2132" s="42" t="s">
        <v>416</v>
      </c>
      <c r="G2132" s="30" t="str">
        <f t="shared" si="202"/>
        <v/>
      </c>
      <c r="H2132" s="34"/>
      <c r="I2132" s="30"/>
      <c r="J2132" s="152">
        <v>0</v>
      </c>
      <c r="L2132" s="219"/>
      <c r="M2132" s="42"/>
      <c r="N2132" s="30" t="str">
        <f t="shared" si="203"/>
        <v/>
      </c>
      <c r="O2132" s="34"/>
      <c r="P2132" s="36" t="str">
        <f t="shared" si="198"/>
        <v/>
      </c>
      <c r="Q2132" s="216" t="str">
        <f t="shared" si="199"/>
        <v/>
      </c>
      <c r="R2132" s="216" t="str">
        <f t="shared" si="200"/>
        <v/>
      </c>
      <c r="S2132" s="217" t="str">
        <f t="shared" si="201"/>
        <v/>
      </c>
    </row>
    <row r="2133" spans="1:19" ht="26.25" hidden="1" thickBot="1" x14ac:dyDescent="0.3">
      <c r="A2133" s="262"/>
      <c r="B2133" s="260"/>
      <c r="C2133" s="35" t="s">
        <v>825</v>
      </c>
      <c r="D2133" s="35" t="s">
        <v>583</v>
      </c>
      <c r="E2133" s="36">
        <v>0.29699999999999999</v>
      </c>
      <c r="F2133" s="30">
        <v>26.799499999999998</v>
      </c>
      <c r="G2133" s="30">
        <f t="shared" si="202"/>
        <v>7.9594514999999992</v>
      </c>
      <c r="H2133" s="38">
        <f>SUM(G2133:G2135)</f>
        <v>43.077483999999998</v>
      </c>
      <c r="I2133" s="39"/>
      <c r="J2133" s="152">
        <v>0</v>
      </c>
      <c r="L2133" s="215">
        <v>0.29699999999999999</v>
      </c>
      <c r="M2133" s="30">
        <v>22.940372</v>
      </c>
      <c r="N2133" s="30">
        <f t="shared" si="203"/>
        <v>6.8132904839999995</v>
      </c>
      <c r="O2133" s="38">
        <f>SUM(N2133:N2135)</f>
        <v>36.874326304</v>
      </c>
      <c r="P2133" s="36" t="str">
        <f t="shared" si="198"/>
        <v/>
      </c>
      <c r="Q2133" s="216">
        <f t="shared" si="199"/>
        <v>0.14399999999999991</v>
      </c>
      <c r="R2133" s="216">
        <f t="shared" si="200"/>
        <v>0.14400000000000002</v>
      </c>
      <c r="S2133" s="217">
        <f t="shared" si="201"/>
        <v>0.14400000000000002</v>
      </c>
    </row>
    <row r="2134" spans="1:19" ht="26.25" hidden="1" thickBot="1" x14ac:dyDescent="0.3">
      <c r="A2134" s="262"/>
      <c r="B2134" s="260"/>
      <c r="C2134" s="35" t="s">
        <v>824</v>
      </c>
      <c r="D2134" s="35" t="s">
        <v>583</v>
      </c>
      <c r="E2134" s="36">
        <v>0.29699999999999999</v>
      </c>
      <c r="F2134" s="30">
        <v>21.166</v>
      </c>
      <c r="G2134" s="30">
        <f t="shared" si="202"/>
        <v>6.2863020000000001</v>
      </c>
      <c r="H2134" s="34"/>
      <c r="I2134" s="30"/>
      <c r="J2134" s="152">
        <v>0</v>
      </c>
      <c r="L2134" s="215">
        <v>0.29699999999999999</v>
      </c>
      <c r="M2134" s="30">
        <v>18.118096000000001</v>
      </c>
      <c r="N2134" s="30">
        <f t="shared" si="203"/>
        <v>5.3810745120000005</v>
      </c>
      <c r="O2134" s="34"/>
      <c r="P2134" s="36" t="str">
        <f t="shared" si="198"/>
        <v/>
      </c>
      <c r="Q2134" s="216">
        <f t="shared" si="199"/>
        <v>0.14399999999999991</v>
      </c>
      <c r="R2134" s="216">
        <f t="shared" si="200"/>
        <v>0.14399999999999991</v>
      </c>
      <c r="S2134" s="217" t="str">
        <f t="shared" si="201"/>
        <v/>
      </c>
    </row>
    <row r="2135" spans="1:19" ht="26.25" hidden="1" thickBot="1" x14ac:dyDescent="0.3">
      <c r="A2135" s="262"/>
      <c r="B2135" s="260"/>
      <c r="C2135" s="35" t="s">
        <v>557</v>
      </c>
      <c r="D2135" s="35" t="s">
        <v>385</v>
      </c>
      <c r="E2135" s="36">
        <v>1.0389999999999999</v>
      </c>
      <c r="F2135" s="33">
        <v>27.749500000000001</v>
      </c>
      <c r="G2135" s="30">
        <f t="shared" si="202"/>
        <v>28.831730499999999</v>
      </c>
      <c r="H2135" s="34"/>
      <c r="I2135" s="30"/>
      <c r="J2135" s="152">
        <v>0</v>
      </c>
      <c r="L2135" s="215">
        <v>1.0389999999999999</v>
      </c>
      <c r="M2135" s="33">
        <v>23.753572000000002</v>
      </c>
      <c r="N2135" s="30">
        <f t="shared" si="203"/>
        <v>24.679961307999999</v>
      </c>
      <c r="O2135" s="34"/>
      <c r="P2135" s="36" t="str">
        <f t="shared" si="198"/>
        <v/>
      </c>
      <c r="Q2135" s="216">
        <f t="shared" si="199"/>
        <v>0.14400000000000002</v>
      </c>
      <c r="R2135" s="216">
        <f t="shared" si="200"/>
        <v>0.14400000000000002</v>
      </c>
      <c r="S2135" s="217" t="str">
        <f t="shared" si="201"/>
        <v/>
      </c>
    </row>
    <row r="2136" spans="1:19" ht="15.75" hidden="1" thickBot="1" x14ac:dyDescent="0.3">
      <c r="A2136" s="263"/>
      <c r="B2136" s="261"/>
      <c r="C2136" s="35"/>
      <c r="D2136" s="35"/>
      <c r="E2136" s="36"/>
      <c r="F2136" s="30" t="s">
        <v>416</v>
      </c>
      <c r="G2136" s="30" t="str">
        <f t="shared" si="202"/>
        <v/>
      </c>
      <c r="H2136" s="34"/>
      <c r="I2136" s="30"/>
      <c r="J2136" s="152">
        <v>0</v>
      </c>
      <c r="L2136" s="215"/>
      <c r="M2136" s="30"/>
      <c r="N2136" s="30" t="str">
        <f t="shared" si="203"/>
        <v/>
      </c>
      <c r="O2136" s="34"/>
      <c r="P2136" s="36" t="str">
        <f t="shared" si="198"/>
        <v/>
      </c>
      <c r="Q2136" s="216" t="str">
        <f t="shared" si="199"/>
        <v/>
      </c>
      <c r="R2136" s="216" t="str">
        <f t="shared" si="200"/>
        <v/>
      </c>
      <c r="S2136" s="217" t="str">
        <f t="shared" si="201"/>
        <v/>
      </c>
    </row>
    <row r="2137" spans="1:19" ht="15.75" thickBot="1" x14ac:dyDescent="0.3">
      <c r="A2137" s="256" t="s">
        <v>558</v>
      </c>
      <c r="B2137" s="259" t="str">
        <f>INDEX(Orçamentária!A:B,MATCH(Composições!A2137,Orçamentária!A:A,0),2)</f>
        <v>Tubo de cobre de 1/2"</v>
      </c>
      <c r="C2137" s="40"/>
      <c r="D2137" s="25" t="s">
        <v>69</v>
      </c>
      <c r="E2137" s="26"/>
      <c r="F2137" s="41" t="s">
        <v>416</v>
      </c>
      <c r="G2137" s="27" t="str">
        <f t="shared" si="202"/>
        <v/>
      </c>
      <c r="H2137" s="28"/>
      <c r="I2137" s="29"/>
      <c r="J2137" s="152">
        <v>105</v>
      </c>
      <c r="L2137" s="218"/>
      <c r="M2137" s="41"/>
      <c r="N2137" s="27" t="str">
        <f t="shared" si="203"/>
        <v/>
      </c>
      <c r="O2137" s="28"/>
      <c r="P2137" s="36" t="str">
        <f t="shared" si="198"/>
        <v/>
      </c>
      <c r="Q2137" s="216" t="str">
        <f t="shared" si="199"/>
        <v/>
      </c>
      <c r="R2137" s="216" t="str">
        <f t="shared" si="200"/>
        <v/>
      </c>
      <c r="S2137" s="217" t="str">
        <f t="shared" si="201"/>
        <v/>
      </c>
    </row>
    <row r="2138" spans="1:19" x14ac:dyDescent="0.25">
      <c r="A2138" s="262"/>
      <c r="B2138" s="260"/>
      <c r="C2138" s="31"/>
      <c r="D2138" s="31"/>
      <c r="E2138" s="32"/>
      <c r="F2138" s="42" t="s">
        <v>416</v>
      </c>
      <c r="G2138" s="30" t="str">
        <f t="shared" si="202"/>
        <v/>
      </c>
      <c r="H2138" s="34"/>
      <c r="I2138" s="30"/>
      <c r="J2138" s="152">
        <v>105</v>
      </c>
      <c r="L2138" s="219"/>
      <c r="M2138" s="42"/>
      <c r="N2138" s="30" t="str">
        <f t="shared" si="203"/>
        <v/>
      </c>
      <c r="O2138" s="34"/>
      <c r="P2138" s="36" t="str">
        <f t="shared" si="198"/>
        <v/>
      </c>
      <c r="Q2138" s="216" t="str">
        <f t="shared" si="199"/>
        <v/>
      </c>
      <c r="R2138" s="216" t="str">
        <f t="shared" si="200"/>
        <v/>
      </c>
      <c r="S2138" s="217" t="str">
        <f t="shared" si="201"/>
        <v/>
      </c>
    </row>
    <row r="2139" spans="1:19" ht="25.5" x14ac:dyDescent="0.25">
      <c r="A2139" s="262"/>
      <c r="B2139" s="260"/>
      <c r="C2139" s="35" t="s">
        <v>8461</v>
      </c>
      <c r="D2139" s="35" t="s">
        <v>385</v>
      </c>
      <c r="E2139" s="36">
        <v>1.0210999999999999</v>
      </c>
      <c r="F2139" s="33">
        <v>42.968499999999992</v>
      </c>
      <c r="G2139" s="33">
        <f t="shared" si="202"/>
        <v>43.875135349999987</v>
      </c>
      <c r="H2139" s="38">
        <f>SUM(G2139:G2141)</f>
        <v>45.923262199999989</v>
      </c>
      <c r="I2139" s="39"/>
      <c r="J2139" s="152">
        <v>105</v>
      </c>
      <c r="L2139" s="215">
        <v>1.0210999999999999</v>
      </c>
      <c r="M2139" s="33">
        <v>36.781035999999993</v>
      </c>
      <c r="N2139" s="33">
        <f t="shared" si="203"/>
        <v>37.557115859599989</v>
      </c>
      <c r="O2139" s="38">
        <f>SUM(N2139:N2141)</f>
        <v>39.31031244319999</v>
      </c>
      <c r="P2139" s="36" t="str">
        <f t="shared" si="198"/>
        <v/>
      </c>
      <c r="Q2139" s="216">
        <f t="shared" si="199"/>
        <v>0.14400000000000002</v>
      </c>
      <c r="R2139" s="216">
        <f t="shared" si="200"/>
        <v>0.14400000000000002</v>
      </c>
      <c r="S2139" s="217">
        <f t="shared" si="201"/>
        <v>0.14400000000000002</v>
      </c>
    </row>
    <row r="2140" spans="1:19" ht="25.5" x14ac:dyDescent="0.25">
      <c r="A2140" s="262"/>
      <c r="B2140" s="260"/>
      <c r="C2140" s="35" t="s">
        <v>824</v>
      </c>
      <c r="D2140" s="35" t="s">
        <v>583</v>
      </c>
      <c r="E2140" s="36">
        <f>0.061*0.7</f>
        <v>4.2699999999999995E-2</v>
      </c>
      <c r="F2140" s="30">
        <v>21.166</v>
      </c>
      <c r="G2140" s="33">
        <f t="shared" si="202"/>
        <v>0.90378819999999993</v>
      </c>
      <c r="H2140" s="34"/>
      <c r="I2140" s="30"/>
      <c r="J2140" s="152">
        <v>105</v>
      </c>
      <c r="L2140" s="215">
        <v>4.2699999999999995E-2</v>
      </c>
      <c r="M2140" s="30">
        <v>18.118096000000001</v>
      </c>
      <c r="N2140" s="33">
        <f t="shared" si="203"/>
        <v>0.77364269919999995</v>
      </c>
      <c r="O2140" s="34"/>
      <c r="P2140" s="36" t="str">
        <f t="shared" si="198"/>
        <v/>
      </c>
      <c r="Q2140" s="216">
        <f t="shared" si="199"/>
        <v>0.14399999999999991</v>
      </c>
      <c r="R2140" s="216">
        <f t="shared" si="200"/>
        <v>0.14400000000000002</v>
      </c>
      <c r="S2140" s="217" t="str">
        <f t="shared" si="201"/>
        <v/>
      </c>
    </row>
    <row r="2141" spans="1:19" ht="25.5" x14ac:dyDescent="0.25">
      <c r="A2141" s="262"/>
      <c r="B2141" s="260"/>
      <c r="C2141" s="35" t="s">
        <v>825</v>
      </c>
      <c r="D2141" s="35" t="s">
        <v>583</v>
      </c>
      <c r="E2141" s="36">
        <f>0.061*0.7</f>
        <v>4.2699999999999995E-2</v>
      </c>
      <c r="F2141" s="30">
        <v>26.799499999999998</v>
      </c>
      <c r="G2141" s="33">
        <f t="shared" si="202"/>
        <v>1.1443386499999999</v>
      </c>
      <c r="H2141" s="34"/>
      <c r="I2141" s="30"/>
      <c r="J2141" s="152">
        <v>105</v>
      </c>
      <c r="L2141" s="215">
        <v>4.2699999999999995E-2</v>
      </c>
      <c r="M2141" s="30">
        <v>22.940372</v>
      </c>
      <c r="N2141" s="33">
        <f t="shared" si="203"/>
        <v>0.97955388439999991</v>
      </c>
      <c r="O2141" s="34"/>
      <c r="P2141" s="36" t="str">
        <f t="shared" si="198"/>
        <v/>
      </c>
      <c r="Q2141" s="216">
        <f t="shared" si="199"/>
        <v>0.14399999999999991</v>
      </c>
      <c r="R2141" s="216">
        <f t="shared" si="200"/>
        <v>0.14400000000000002</v>
      </c>
      <c r="S2141" s="217" t="str">
        <f t="shared" si="201"/>
        <v/>
      </c>
    </row>
    <row r="2142" spans="1:19" x14ac:dyDescent="0.25">
      <c r="A2142" s="262"/>
      <c r="B2142" s="260"/>
      <c r="C2142" s="35"/>
      <c r="D2142" s="46"/>
      <c r="E2142" s="36"/>
      <c r="F2142" s="30" t="s">
        <v>416</v>
      </c>
      <c r="G2142" s="33" t="str">
        <f t="shared" si="202"/>
        <v/>
      </c>
      <c r="H2142" s="34"/>
      <c r="I2142" s="30"/>
      <c r="J2142" s="152">
        <v>105</v>
      </c>
      <c r="L2142" s="215"/>
      <c r="M2142" s="30"/>
      <c r="N2142" s="33" t="str">
        <f t="shared" si="203"/>
        <v/>
      </c>
      <c r="O2142" s="34"/>
      <c r="P2142" s="36" t="str">
        <f t="shared" si="198"/>
        <v/>
      </c>
      <c r="Q2142" s="216" t="str">
        <f t="shared" si="199"/>
        <v/>
      </c>
      <c r="R2142" s="216" t="str">
        <f t="shared" si="200"/>
        <v/>
      </c>
      <c r="S2142" s="217" t="str">
        <f t="shared" si="201"/>
        <v/>
      </c>
    </row>
    <row r="2143" spans="1:19" ht="38.25" x14ac:dyDescent="0.25">
      <c r="A2143" s="262"/>
      <c r="B2143" s="260"/>
      <c r="C2143" s="51" t="s">
        <v>529</v>
      </c>
      <c r="D2143" s="46"/>
      <c r="E2143" s="36"/>
      <c r="F2143" s="30" t="s">
        <v>416</v>
      </c>
      <c r="G2143" s="33" t="str">
        <f t="shared" si="202"/>
        <v/>
      </c>
      <c r="H2143" s="34"/>
      <c r="I2143" s="30"/>
      <c r="J2143" s="152">
        <v>105</v>
      </c>
      <c r="L2143" s="215"/>
      <c r="M2143" s="30"/>
      <c r="N2143" s="33" t="str">
        <f t="shared" si="203"/>
        <v/>
      </c>
      <c r="O2143" s="34"/>
      <c r="P2143" s="36" t="str">
        <f t="shared" si="198"/>
        <v/>
      </c>
      <c r="Q2143" s="216" t="str">
        <f t="shared" si="199"/>
        <v/>
      </c>
      <c r="R2143" s="216" t="str">
        <f t="shared" si="200"/>
        <v/>
      </c>
      <c r="S2143" s="217" t="str">
        <f t="shared" si="201"/>
        <v/>
      </c>
    </row>
    <row r="2144" spans="1:19" ht="15.75" thickBot="1" x14ac:dyDescent="0.3">
      <c r="A2144" s="263"/>
      <c r="B2144" s="261"/>
      <c r="C2144" s="35"/>
      <c r="D2144" s="35"/>
      <c r="E2144" s="36"/>
      <c r="F2144" s="30" t="s">
        <v>416</v>
      </c>
      <c r="G2144" s="30" t="str">
        <f t="shared" si="202"/>
        <v/>
      </c>
      <c r="H2144" s="34"/>
      <c r="I2144" s="30"/>
      <c r="J2144" s="152">
        <v>105</v>
      </c>
      <c r="L2144" s="215"/>
      <c r="M2144" s="30"/>
      <c r="N2144" s="30" t="str">
        <f t="shared" si="203"/>
        <v/>
      </c>
      <c r="O2144" s="34"/>
      <c r="P2144" s="36" t="str">
        <f t="shared" si="198"/>
        <v/>
      </c>
      <c r="Q2144" s="216" t="str">
        <f t="shared" si="199"/>
        <v/>
      </c>
      <c r="R2144" s="216" t="str">
        <f t="shared" si="200"/>
        <v/>
      </c>
      <c r="S2144" s="217" t="str">
        <f t="shared" si="201"/>
        <v/>
      </c>
    </row>
    <row r="2145" spans="1:19" ht="15.75" thickBot="1" x14ac:dyDescent="0.3">
      <c r="A2145" s="256" t="s">
        <v>559</v>
      </c>
      <c r="B2145" s="259" t="str">
        <f>INDEX(Orçamentária!A:B,MATCH(Composições!A2145,Orçamentária!A:A,0),2)</f>
        <v>Tubo de cobre de 1/4"</v>
      </c>
      <c r="C2145" s="40"/>
      <c r="D2145" s="25" t="s">
        <v>69</v>
      </c>
      <c r="E2145" s="26"/>
      <c r="F2145" s="41" t="s">
        <v>416</v>
      </c>
      <c r="G2145" s="27" t="str">
        <f t="shared" si="202"/>
        <v/>
      </c>
      <c r="H2145" s="28"/>
      <c r="I2145" s="29"/>
      <c r="J2145" s="152">
        <v>105</v>
      </c>
      <c r="L2145" s="218"/>
      <c r="M2145" s="41"/>
      <c r="N2145" s="27" t="str">
        <f t="shared" si="203"/>
        <v/>
      </c>
      <c r="O2145" s="28"/>
      <c r="P2145" s="36" t="str">
        <f t="shared" si="198"/>
        <v/>
      </c>
      <c r="Q2145" s="216" t="str">
        <f t="shared" si="199"/>
        <v/>
      </c>
      <c r="R2145" s="216" t="str">
        <f t="shared" si="200"/>
        <v/>
      </c>
      <c r="S2145" s="217" t="str">
        <f t="shared" si="201"/>
        <v/>
      </c>
    </row>
    <row r="2146" spans="1:19" x14ac:dyDescent="0.25">
      <c r="A2146" s="262"/>
      <c r="B2146" s="260"/>
      <c r="C2146" s="31"/>
      <c r="D2146" s="31"/>
      <c r="E2146" s="32"/>
      <c r="F2146" s="42" t="s">
        <v>416</v>
      </c>
      <c r="G2146" s="30" t="str">
        <f t="shared" si="202"/>
        <v/>
      </c>
      <c r="H2146" s="34"/>
      <c r="I2146" s="30"/>
      <c r="J2146" s="152">
        <v>105</v>
      </c>
      <c r="L2146" s="219"/>
      <c r="M2146" s="42"/>
      <c r="N2146" s="30" t="str">
        <f t="shared" si="203"/>
        <v/>
      </c>
      <c r="O2146" s="34"/>
      <c r="P2146" s="36" t="str">
        <f t="shared" si="198"/>
        <v/>
      </c>
      <c r="Q2146" s="216" t="str">
        <f t="shared" si="199"/>
        <v/>
      </c>
      <c r="R2146" s="216" t="str">
        <f t="shared" si="200"/>
        <v/>
      </c>
      <c r="S2146" s="217" t="str">
        <f t="shared" si="201"/>
        <v/>
      </c>
    </row>
    <row r="2147" spans="1:19" ht="25.5" x14ac:dyDescent="0.25">
      <c r="A2147" s="262"/>
      <c r="B2147" s="260"/>
      <c r="C2147" s="35" t="s">
        <v>8462</v>
      </c>
      <c r="D2147" s="35" t="s">
        <v>385</v>
      </c>
      <c r="E2147" s="36">
        <v>1.0210999999999999</v>
      </c>
      <c r="F2147" s="33">
        <v>20.596</v>
      </c>
      <c r="G2147" s="33">
        <f t="shared" si="202"/>
        <v>21.030575599999999</v>
      </c>
      <c r="H2147" s="38">
        <f>SUM(G2147:G2149)</f>
        <v>22.776519799999999</v>
      </c>
      <c r="I2147" s="39"/>
      <c r="J2147" s="152">
        <v>105</v>
      </c>
      <c r="L2147" s="215">
        <v>1.0210999999999999</v>
      </c>
      <c r="M2147" s="33">
        <v>17.630175999999999</v>
      </c>
      <c r="N2147" s="33">
        <f t="shared" si="203"/>
        <v>18.002172713599997</v>
      </c>
      <c r="O2147" s="38">
        <f>SUM(N2147:N2149)</f>
        <v>19.496700948799997</v>
      </c>
      <c r="P2147" s="36" t="str">
        <f t="shared" si="198"/>
        <v/>
      </c>
      <c r="Q2147" s="216">
        <f t="shared" si="199"/>
        <v>0.14400000000000002</v>
      </c>
      <c r="R2147" s="216">
        <f t="shared" si="200"/>
        <v>0.14400000000000013</v>
      </c>
      <c r="S2147" s="217">
        <f t="shared" si="201"/>
        <v>0.14400000000000013</v>
      </c>
    </row>
    <row r="2148" spans="1:19" ht="25.5" x14ac:dyDescent="0.25">
      <c r="A2148" s="262"/>
      <c r="B2148" s="260"/>
      <c r="C2148" s="35" t="s">
        <v>824</v>
      </c>
      <c r="D2148" s="35" t="s">
        <v>583</v>
      </c>
      <c r="E2148" s="36">
        <f>0.052*0.7</f>
        <v>3.6399999999999995E-2</v>
      </c>
      <c r="F2148" s="30">
        <v>21.166</v>
      </c>
      <c r="G2148" s="33">
        <f t="shared" si="202"/>
        <v>0.77044239999999986</v>
      </c>
      <c r="H2148" s="34"/>
      <c r="I2148" s="30"/>
      <c r="J2148" s="152">
        <v>105</v>
      </c>
      <c r="L2148" s="215">
        <v>3.6399999999999995E-2</v>
      </c>
      <c r="M2148" s="30">
        <v>18.118096000000001</v>
      </c>
      <c r="N2148" s="33">
        <f t="shared" si="203"/>
        <v>0.65949869439999997</v>
      </c>
      <c r="O2148" s="34"/>
      <c r="P2148" s="36" t="str">
        <f t="shared" si="198"/>
        <v/>
      </c>
      <c r="Q2148" s="216">
        <f t="shared" si="199"/>
        <v>0.14399999999999991</v>
      </c>
      <c r="R2148" s="216">
        <f t="shared" si="200"/>
        <v>0.14399999999999991</v>
      </c>
      <c r="S2148" s="217" t="str">
        <f t="shared" si="201"/>
        <v/>
      </c>
    </row>
    <row r="2149" spans="1:19" ht="25.5" x14ac:dyDescent="0.25">
      <c r="A2149" s="262"/>
      <c r="B2149" s="260"/>
      <c r="C2149" s="35" t="s">
        <v>825</v>
      </c>
      <c r="D2149" s="35" t="s">
        <v>583</v>
      </c>
      <c r="E2149" s="36">
        <f>0.052*0.7</f>
        <v>3.6399999999999995E-2</v>
      </c>
      <c r="F2149" s="30">
        <v>26.799499999999998</v>
      </c>
      <c r="G2149" s="33">
        <f t="shared" si="202"/>
        <v>0.97550179999999975</v>
      </c>
      <c r="H2149" s="34"/>
      <c r="I2149" s="30"/>
      <c r="J2149" s="152">
        <v>105</v>
      </c>
      <c r="L2149" s="215">
        <v>3.6399999999999995E-2</v>
      </c>
      <c r="M2149" s="30">
        <v>22.940372</v>
      </c>
      <c r="N2149" s="33">
        <f t="shared" si="203"/>
        <v>0.83502954079999991</v>
      </c>
      <c r="O2149" s="34"/>
      <c r="P2149" s="36" t="str">
        <f t="shared" si="198"/>
        <v/>
      </c>
      <c r="Q2149" s="216">
        <f t="shared" si="199"/>
        <v>0.14399999999999991</v>
      </c>
      <c r="R2149" s="216">
        <f t="shared" si="200"/>
        <v>0.14399999999999991</v>
      </c>
      <c r="S2149" s="217" t="str">
        <f t="shared" si="201"/>
        <v/>
      </c>
    </row>
    <row r="2150" spans="1:19" x14ac:dyDescent="0.25">
      <c r="A2150" s="262"/>
      <c r="B2150" s="260"/>
      <c r="C2150" s="35"/>
      <c r="D2150" s="46"/>
      <c r="E2150" s="36"/>
      <c r="F2150" s="33" t="s">
        <v>416</v>
      </c>
      <c r="G2150" s="33" t="str">
        <f t="shared" si="202"/>
        <v/>
      </c>
      <c r="H2150" s="34"/>
      <c r="I2150" s="30"/>
      <c r="J2150" s="152">
        <v>105</v>
      </c>
      <c r="L2150" s="215"/>
      <c r="M2150" s="33"/>
      <c r="N2150" s="33" t="str">
        <f t="shared" si="203"/>
        <v/>
      </c>
      <c r="O2150" s="34"/>
      <c r="P2150" s="36" t="str">
        <f t="shared" si="198"/>
        <v/>
      </c>
      <c r="Q2150" s="216" t="str">
        <f t="shared" si="199"/>
        <v/>
      </c>
      <c r="R2150" s="216" t="str">
        <f t="shared" si="200"/>
        <v/>
      </c>
      <c r="S2150" s="217" t="str">
        <f t="shared" si="201"/>
        <v/>
      </c>
    </row>
    <row r="2151" spans="1:19" ht="38.25" x14ac:dyDescent="0.25">
      <c r="A2151" s="262"/>
      <c r="B2151" s="260"/>
      <c r="C2151" s="51" t="s">
        <v>529</v>
      </c>
      <c r="D2151" s="46"/>
      <c r="E2151" s="36"/>
      <c r="F2151" s="33" t="s">
        <v>416</v>
      </c>
      <c r="G2151" s="33" t="str">
        <f t="shared" si="202"/>
        <v/>
      </c>
      <c r="H2151" s="34"/>
      <c r="I2151" s="30"/>
      <c r="J2151" s="152">
        <v>105</v>
      </c>
      <c r="L2151" s="215"/>
      <c r="M2151" s="33"/>
      <c r="N2151" s="33" t="str">
        <f t="shared" si="203"/>
        <v/>
      </c>
      <c r="O2151" s="34"/>
      <c r="P2151" s="36" t="str">
        <f t="shared" si="198"/>
        <v/>
      </c>
      <c r="Q2151" s="216" t="str">
        <f t="shared" si="199"/>
        <v/>
      </c>
      <c r="R2151" s="216" t="str">
        <f t="shared" si="200"/>
        <v/>
      </c>
      <c r="S2151" s="217" t="str">
        <f t="shared" si="201"/>
        <v/>
      </c>
    </row>
    <row r="2152" spans="1:19" ht="15.75" thickBot="1" x14ac:dyDescent="0.3">
      <c r="A2152" s="263"/>
      <c r="B2152" s="261"/>
      <c r="C2152" s="35"/>
      <c r="D2152" s="35"/>
      <c r="E2152" s="36"/>
      <c r="F2152" s="30" t="s">
        <v>416</v>
      </c>
      <c r="G2152" s="30" t="str">
        <f t="shared" si="202"/>
        <v/>
      </c>
      <c r="H2152" s="34"/>
      <c r="I2152" s="30"/>
      <c r="J2152" s="152">
        <v>105</v>
      </c>
      <c r="L2152" s="215"/>
      <c r="M2152" s="30"/>
      <c r="N2152" s="30" t="str">
        <f t="shared" si="203"/>
        <v/>
      </c>
      <c r="O2152" s="34"/>
      <c r="P2152" s="36" t="str">
        <f t="shared" si="198"/>
        <v/>
      </c>
      <c r="Q2152" s="216" t="str">
        <f t="shared" si="199"/>
        <v/>
      </c>
      <c r="R2152" s="216" t="str">
        <f t="shared" si="200"/>
        <v/>
      </c>
      <c r="S2152" s="217" t="str">
        <f t="shared" si="201"/>
        <v/>
      </c>
    </row>
    <row r="2153" spans="1:19" ht="15.75" hidden="1" thickBot="1" x14ac:dyDescent="0.3">
      <c r="A2153" s="256" t="s">
        <v>560</v>
      </c>
      <c r="B2153" s="259" t="str">
        <f>INDEX(Orçamentária!A:B,MATCH(Composições!A2153,Orçamentária!A:A,0),2)</f>
        <v>Tubo de cobre de 3/4"</v>
      </c>
      <c r="C2153" s="40"/>
      <c r="D2153" s="25" t="s">
        <v>69</v>
      </c>
      <c r="E2153" s="26"/>
      <c r="F2153" s="41" t="s">
        <v>416</v>
      </c>
      <c r="G2153" s="27" t="str">
        <f t="shared" si="202"/>
        <v/>
      </c>
      <c r="H2153" s="28"/>
      <c r="I2153" s="29"/>
      <c r="J2153" s="152">
        <v>0</v>
      </c>
      <c r="L2153" s="218"/>
      <c r="M2153" s="41"/>
      <c r="N2153" s="27" t="str">
        <f t="shared" si="203"/>
        <v/>
      </c>
      <c r="O2153" s="28"/>
      <c r="P2153" s="36" t="str">
        <f t="shared" si="198"/>
        <v/>
      </c>
      <c r="Q2153" s="216" t="str">
        <f t="shared" si="199"/>
        <v/>
      </c>
      <c r="R2153" s="216" t="str">
        <f t="shared" si="200"/>
        <v/>
      </c>
      <c r="S2153" s="217" t="str">
        <f t="shared" si="201"/>
        <v/>
      </c>
    </row>
    <row r="2154" spans="1:19" ht="15.75" hidden="1" thickBot="1" x14ac:dyDescent="0.3">
      <c r="A2154" s="262"/>
      <c r="B2154" s="260"/>
      <c r="C2154" s="31"/>
      <c r="D2154" s="31"/>
      <c r="E2154" s="32"/>
      <c r="F2154" s="42" t="s">
        <v>416</v>
      </c>
      <c r="G2154" s="30" t="str">
        <f t="shared" si="202"/>
        <v/>
      </c>
      <c r="H2154" s="34"/>
      <c r="I2154" s="30"/>
      <c r="J2154" s="152">
        <v>0</v>
      </c>
      <c r="L2154" s="219"/>
      <c r="M2154" s="42"/>
      <c r="N2154" s="30" t="str">
        <f t="shared" si="203"/>
        <v/>
      </c>
      <c r="O2154" s="34"/>
      <c r="P2154" s="36" t="str">
        <f t="shared" si="198"/>
        <v/>
      </c>
      <c r="Q2154" s="216" t="str">
        <f t="shared" si="199"/>
        <v/>
      </c>
      <c r="R2154" s="216" t="str">
        <f t="shared" si="200"/>
        <v/>
      </c>
      <c r="S2154" s="217" t="str">
        <f t="shared" si="201"/>
        <v/>
      </c>
    </row>
    <row r="2155" spans="1:19" ht="26.25" hidden="1" thickBot="1" x14ac:dyDescent="0.3">
      <c r="A2155" s="262"/>
      <c r="B2155" s="260"/>
      <c r="C2155" s="35" t="s">
        <v>8463</v>
      </c>
      <c r="D2155" s="35" t="s">
        <v>385</v>
      </c>
      <c r="E2155" s="36">
        <v>1.0210999999999999</v>
      </c>
      <c r="F2155" s="33">
        <v>64.638000000000005</v>
      </c>
      <c r="G2155" s="33">
        <f t="shared" si="202"/>
        <v>66.0018618</v>
      </c>
      <c r="H2155" s="38">
        <f>SUM(G2155:G2157)</f>
        <v>68.150716200000005</v>
      </c>
      <c r="I2155" s="39"/>
      <c r="J2155" s="152">
        <v>0</v>
      </c>
      <c r="L2155" s="215">
        <v>1.0210999999999999</v>
      </c>
      <c r="M2155" s="33">
        <v>55.330128000000002</v>
      </c>
      <c r="N2155" s="33">
        <f t="shared" si="203"/>
        <v>56.497593700799996</v>
      </c>
      <c r="O2155" s="38">
        <f>SUM(N2155:N2157)</f>
        <v>58.337013067199997</v>
      </c>
      <c r="P2155" s="36" t="str">
        <f t="shared" si="198"/>
        <v/>
      </c>
      <c r="Q2155" s="216">
        <f t="shared" si="199"/>
        <v>0.14400000000000002</v>
      </c>
      <c r="R2155" s="216">
        <f t="shared" si="200"/>
        <v>0.14400000000000002</v>
      </c>
      <c r="S2155" s="217">
        <f t="shared" si="201"/>
        <v>0.14400000000000013</v>
      </c>
    </row>
    <row r="2156" spans="1:19" ht="26.25" hidden="1" thickBot="1" x14ac:dyDescent="0.3">
      <c r="A2156" s="262"/>
      <c r="B2156" s="260"/>
      <c r="C2156" s="35" t="s">
        <v>824</v>
      </c>
      <c r="D2156" s="35" t="s">
        <v>583</v>
      </c>
      <c r="E2156" s="36">
        <f>0.064*0.7</f>
        <v>4.48E-2</v>
      </c>
      <c r="F2156" s="30">
        <v>21.166</v>
      </c>
      <c r="G2156" s="33">
        <f t="shared" si="202"/>
        <v>0.94823679999999999</v>
      </c>
      <c r="H2156" s="34"/>
      <c r="I2156" s="30"/>
      <c r="J2156" s="152">
        <v>0</v>
      </c>
      <c r="L2156" s="215">
        <v>4.48E-2</v>
      </c>
      <c r="M2156" s="30">
        <v>18.118096000000001</v>
      </c>
      <c r="N2156" s="33">
        <f t="shared" si="203"/>
        <v>0.81169070080000005</v>
      </c>
      <c r="O2156" s="34"/>
      <c r="P2156" s="36" t="str">
        <f t="shared" si="198"/>
        <v/>
      </c>
      <c r="Q2156" s="216">
        <f t="shared" si="199"/>
        <v>0.14399999999999991</v>
      </c>
      <c r="R2156" s="216">
        <f t="shared" si="200"/>
        <v>0.14399999999999991</v>
      </c>
      <c r="S2156" s="217" t="str">
        <f t="shared" si="201"/>
        <v/>
      </c>
    </row>
    <row r="2157" spans="1:19" ht="26.25" hidden="1" thickBot="1" x14ac:dyDescent="0.3">
      <c r="A2157" s="262"/>
      <c r="B2157" s="260"/>
      <c r="C2157" s="35" t="s">
        <v>825</v>
      </c>
      <c r="D2157" s="35" t="s">
        <v>583</v>
      </c>
      <c r="E2157" s="36">
        <f>0.064*0.7</f>
        <v>4.48E-2</v>
      </c>
      <c r="F2157" s="30">
        <v>26.799499999999998</v>
      </c>
      <c r="G2157" s="33">
        <f t="shared" si="202"/>
        <v>1.2006176</v>
      </c>
      <c r="H2157" s="34"/>
      <c r="I2157" s="30"/>
      <c r="J2157" s="152">
        <v>0</v>
      </c>
      <c r="L2157" s="215">
        <v>4.48E-2</v>
      </c>
      <c r="M2157" s="30">
        <v>22.940372</v>
      </c>
      <c r="N2157" s="33">
        <f t="shared" si="203"/>
        <v>1.0277286656</v>
      </c>
      <c r="O2157" s="34"/>
      <c r="P2157" s="36" t="str">
        <f t="shared" si="198"/>
        <v/>
      </c>
      <c r="Q2157" s="216">
        <f t="shared" si="199"/>
        <v>0.14399999999999991</v>
      </c>
      <c r="R2157" s="216">
        <f t="shared" si="200"/>
        <v>0.14400000000000002</v>
      </c>
      <c r="S2157" s="217" t="str">
        <f t="shared" si="201"/>
        <v/>
      </c>
    </row>
    <row r="2158" spans="1:19" ht="15.75" hidden="1" thickBot="1" x14ac:dyDescent="0.3">
      <c r="A2158" s="262"/>
      <c r="B2158" s="260"/>
      <c r="C2158" s="35"/>
      <c r="D2158" s="46"/>
      <c r="E2158" s="36"/>
      <c r="F2158" s="33" t="s">
        <v>416</v>
      </c>
      <c r="G2158" s="33" t="str">
        <f t="shared" si="202"/>
        <v/>
      </c>
      <c r="H2158" s="34"/>
      <c r="I2158" s="30"/>
      <c r="J2158" s="152">
        <v>0</v>
      </c>
      <c r="L2158" s="215"/>
      <c r="M2158" s="33"/>
      <c r="N2158" s="33" t="str">
        <f t="shared" si="203"/>
        <v/>
      </c>
      <c r="O2158" s="34"/>
      <c r="P2158" s="36" t="str">
        <f t="shared" si="198"/>
        <v/>
      </c>
      <c r="Q2158" s="216" t="str">
        <f t="shared" si="199"/>
        <v/>
      </c>
      <c r="R2158" s="216" t="str">
        <f t="shared" si="200"/>
        <v/>
      </c>
      <c r="S2158" s="217" t="str">
        <f t="shared" si="201"/>
        <v/>
      </c>
    </row>
    <row r="2159" spans="1:19" ht="39" hidden="1" thickBot="1" x14ac:dyDescent="0.3">
      <c r="A2159" s="262"/>
      <c r="B2159" s="260"/>
      <c r="C2159" s="51" t="s">
        <v>529</v>
      </c>
      <c r="D2159" s="46"/>
      <c r="E2159" s="36"/>
      <c r="F2159" s="33" t="s">
        <v>416</v>
      </c>
      <c r="G2159" s="33" t="str">
        <f t="shared" si="202"/>
        <v/>
      </c>
      <c r="H2159" s="34"/>
      <c r="I2159" s="30"/>
      <c r="J2159" s="152">
        <v>0</v>
      </c>
      <c r="L2159" s="215"/>
      <c r="M2159" s="33"/>
      <c r="N2159" s="33" t="str">
        <f t="shared" si="203"/>
        <v/>
      </c>
      <c r="O2159" s="34"/>
      <c r="P2159" s="36" t="str">
        <f t="shared" si="198"/>
        <v/>
      </c>
      <c r="Q2159" s="216" t="str">
        <f t="shared" si="199"/>
        <v/>
      </c>
      <c r="R2159" s="216" t="str">
        <f t="shared" si="200"/>
        <v/>
      </c>
      <c r="S2159" s="217" t="str">
        <f t="shared" si="201"/>
        <v/>
      </c>
    </row>
    <row r="2160" spans="1:19" ht="15.75" hidden="1" thickBot="1" x14ac:dyDescent="0.3">
      <c r="A2160" s="263"/>
      <c r="B2160" s="261"/>
      <c r="C2160" s="35"/>
      <c r="D2160" s="35"/>
      <c r="E2160" s="36"/>
      <c r="F2160" s="30" t="s">
        <v>416</v>
      </c>
      <c r="G2160" s="30" t="str">
        <f t="shared" si="202"/>
        <v/>
      </c>
      <c r="H2160" s="34"/>
      <c r="I2160" s="30"/>
      <c r="J2160" s="152">
        <v>0</v>
      </c>
      <c r="L2160" s="215"/>
      <c r="M2160" s="30"/>
      <c r="N2160" s="30" t="str">
        <f t="shared" si="203"/>
        <v/>
      </c>
      <c r="O2160" s="34"/>
      <c r="P2160" s="36" t="str">
        <f t="shared" si="198"/>
        <v/>
      </c>
      <c r="Q2160" s="216" t="str">
        <f t="shared" si="199"/>
        <v/>
      </c>
      <c r="R2160" s="216" t="str">
        <f t="shared" si="200"/>
        <v/>
      </c>
      <c r="S2160" s="217" t="str">
        <f t="shared" si="201"/>
        <v/>
      </c>
    </row>
    <row r="2161" spans="1:19" ht="15.75" thickBot="1" x14ac:dyDescent="0.3">
      <c r="A2161" s="256" t="s">
        <v>561</v>
      </c>
      <c r="B2161" s="259" t="str">
        <f>INDEX(Orçamentária!A:B,MATCH(Composições!A2161,Orçamentária!A:A,0),2)</f>
        <v>Tubo de cobre de 3/8"</v>
      </c>
      <c r="C2161" s="40"/>
      <c r="D2161" s="25" t="s">
        <v>69</v>
      </c>
      <c r="E2161" s="26"/>
      <c r="F2161" s="41" t="s">
        <v>416</v>
      </c>
      <c r="G2161" s="27" t="str">
        <f t="shared" si="202"/>
        <v/>
      </c>
      <c r="H2161" s="28"/>
      <c r="I2161" s="29"/>
      <c r="J2161" s="152">
        <v>118</v>
      </c>
      <c r="L2161" s="218"/>
      <c r="M2161" s="41"/>
      <c r="N2161" s="27" t="str">
        <f t="shared" si="203"/>
        <v/>
      </c>
      <c r="O2161" s="28"/>
      <c r="P2161" s="36" t="str">
        <f t="shared" si="198"/>
        <v/>
      </c>
      <c r="Q2161" s="216" t="str">
        <f t="shared" si="199"/>
        <v/>
      </c>
      <c r="R2161" s="216" t="str">
        <f t="shared" si="200"/>
        <v/>
      </c>
      <c r="S2161" s="217" t="str">
        <f t="shared" si="201"/>
        <v/>
      </c>
    </row>
    <row r="2162" spans="1:19" x14ac:dyDescent="0.25">
      <c r="A2162" s="262"/>
      <c r="B2162" s="260"/>
      <c r="C2162" s="31"/>
      <c r="D2162" s="31"/>
      <c r="E2162" s="32"/>
      <c r="F2162" s="42" t="s">
        <v>416</v>
      </c>
      <c r="G2162" s="30" t="str">
        <f t="shared" si="202"/>
        <v/>
      </c>
      <c r="H2162" s="34"/>
      <c r="I2162" s="30"/>
      <c r="J2162" s="152">
        <v>118</v>
      </c>
      <c r="L2162" s="219"/>
      <c r="M2162" s="42"/>
      <c r="N2162" s="30" t="str">
        <f t="shared" si="203"/>
        <v/>
      </c>
      <c r="O2162" s="34"/>
      <c r="P2162" s="36" t="str">
        <f t="shared" si="198"/>
        <v/>
      </c>
      <c r="Q2162" s="216" t="str">
        <f t="shared" si="199"/>
        <v/>
      </c>
      <c r="R2162" s="216" t="str">
        <f t="shared" si="200"/>
        <v/>
      </c>
      <c r="S2162" s="217" t="str">
        <f t="shared" si="201"/>
        <v/>
      </c>
    </row>
    <row r="2163" spans="1:19" ht="25.5" x14ac:dyDescent="0.25">
      <c r="A2163" s="262"/>
      <c r="B2163" s="260"/>
      <c r="C2163" s="35" t="s">
        <v>8464</v>
      </c>
      <c r="D2163" s="35" t="s">
        <v>385</v>
      </c>
      <c r="E2163" s="36">
        <v>1.0210999999999999</v>
      </c>
      <c r="F2163" s="33">
        <v>31.682500000000001</v>
      </c>
      <c r="G2163" s="33">
        <f t="shared" si="202"/>
        <v>32.351000749999997</v>
      </c>
      <c r="H2163" s="38">
        <f>SUM(G2163:G2165)</f>
        <v>34.2648242</v>
      </c>
      <c r="I2163" s="39"/>
      <c r="J2163" s="152">
        <v>118</v>
      </c>
      <c r="L2163" s="215">
        <v>1.0210999999999999</v>
      </c>
      <c r="M2163" s="33">
        <v>27.120220000000003</v>
      </c>
      <c r="N2163" s="33">
        <f t="shared" si="203"/>
        <v>27.692456642</v>
      </c>
      <c r="O2163" s="38">
        <f>SUM(N2163:N2165)</f>
        <v>29.3306895152</v>
      </c>
      <c r="P2163" s="36" t="str">
        <f t="shared" si="198"/>
        <v/>
      </c>
      <c r="Q2163" s="216">
        <f t="shared" si="199"/>
        <v>0.14399999999999991</v>
      </c>
      <c r="R2163" s="216">
        <f t="shared" si="200"/>
        <v>0.14399999999999991</v>
      </c>
      <c r="S2163" s="217">
        <f t="shared" si="201"/>
        <v>0.14400000000000002</v>
      </c>
    </row>
    <row r="2164" spans="1:19" ht="25.5" x14ac:dyDescent="0.25">
      <c r="A2164" s="262"/>
      <c r="B2164" s="260"/>
      <c r="C2164" s="35" t="s">
        <v>824</v>
      </c>
      <c r="D2164" s="35" t="s">
        <v>583</v>
      </c>
      <c r="E2164" s="36">
        <f>0.057*0.7</f>
        <v>3.9899999999999998E-2</v>
      </c>
      <c r="F2164" s="30">
        <v>21.166</v>
      </c>
      <c r="G2164" s="33">
        <f t="shared" si="202"/>
        <v>0.84452339999999992</v>
      </c>
      <c r="H2164" s="34"/>
      <c r="I2164" s="30"/>
      <c r="J2164" s="152">
        <v>118</v>
      </c>
      <c r="L2164" s="215">
        <v>3.9899999999999998E-2</v>
      </c>
      <c r="M2164" s="30">
        <v>18.118096000000001</v>
      </c>
      <c r="N2164" s="33">
        <f t="shared" si="203"/>
        <v>0.72291203039999996</v>
      </c>
      <c r="O2164" s="34"/>
      <c r="P2164" s="36" t="str">
        <f t="shared" si="198"/>
        <v/>
      </c>
      <c r="Q2164" s="216">
        <f t="shared" si="199"/>
        <v>0.14399999999999991</v>
      </c>
      <c r="R2164" s="216">
        <f t="shared" si="200"/>
        <v>0.14400000000000002</v>
      </c>
      <c r="S2164" s="217" t="str">
        <f t="shared" si="201"/>
        <v/>
      </c>
    </row>
    <row r="2165" spans="1:19" ht="25.5" x14ac:dyDescent="0.25">
      <c r="A2165" s="262"/>
      <c r="B2165" s="260"/>
      <c r="C2165" s="35" t="s">
        <v>825</v>
      </c>
      <c r="D2165" s="35" t="s">
        <v>583</v>
      </c>
      <c r="E2165" s="36">
        <f>0.057*0.7</f>
        <v>3.9899999999999998E-2</v>
      </c>
      <c r="F2165" s="30">
        <v>26.799499999999998</v>
      </c>
      <c r="G2165" s="33">
        <f t="shared" si="202"/>
        <v>1.0693000499999998</v>
      </c>
      <c r="H2165" s="34"/>
      <c r="I2165" s="30"/>
      <c r="J2165" s="152">
        <v>118</v>
      </c>
      <c r="L2165" s="215">
        <v>3.9899999999999998E-2</v>
      </c>
      <c r="M2165" s="30">
        <v>22.940372</v>
      </c>
      <c r="N2165" s="33">
        <f t="shared" si="203"/>
        <v>0.91532084279999992</v>
      </c>
      <c r="O2165" s="34"/>
      <c r="P2165" s="36" t="str">
        <f t="shared" si="198"/>
        <v/>
      </c>
      <c r="Q2165" s="216">
        <f t="shared" si="199"/>
        <v>0.14399999999999991</v>
      </c>
      <c r="R2165" s="216">
        <f t="shared" si="200"/>
        <v>0.14399999999999991</v>
      </c>
      <c r="S2165" s="217" t="str">
        <f t="shared" si="201"/>
        <v/>
      </c>
    </row>
    <row r="2166" spans="1:19" x14ac:dyDescent="0.25">
      <c r="A2166" s="262"/>
      <c r="B2166" s="260"/>
      <c r="C2166" s="35"/>
      <c r="D2166" s="46"/>
      <c r="E2166" s="36"/>
      <c r="F2166" s="33" t="s">
        <v>416</v>
      </c>
      <c r="G2166" s="33" t="str">
        <f t="shared" si="202"/>
        <v/>
      </c>
      <c r="H2166" s="34"/>
      <c r="I2166" s="30"/>
      <c r="J2166" s="152">
        <v>118</v>
      </c>
      <c r="L2166" s="215"/>
      <c r="M2166" s="33"/>
      <c r="N2166" s="33" t="str">
        <f t="shared" si="203"/>
        <v/>
      </c>
      <c r="O2166" s="34"/>
      <c r="P2166" s="36" t="str">
        <f t="shared" si="198"/>
        <v/>
      </c>
      <c r="Q2166" s="216" t="str">
        <f t="shared" si="199"/>
        <v/>
      </c>
      <c r="R2166" s="216" t="str">
        <f t="shared" si="200"/>
        <v/>
      </c>
      <c r="S2166" s="217" t="str">
        <f t="shared" si="201"/>
        <v/>
      </c>
    </row>
    <row r="2167" spans="1:19" ht="38.25" x14ac:dyDescent="0.25">
      <c r="A2167" s="262"/>
      <c r="B2167" s="260"/>
      <c r="C2167" s="51" t="s">
        <v>529</v>
      </c>
      <c r="D2167" s="46"/>
      <c r="E2167" s="36"/>
      <c r="F2167" s="33" t="s">
        <v>416</v>
      </c>
      <c r="G2167" s="33" t="str">
        <f t="shared" si="202"/>
        <v/>
      </c>
      <c r="H2167" s="34"/>
      <c r="I2167" s="30"/>
      <c r="J2167" s="152">
        <v>118</v>
      </c>
      <c r="L2167" s="215"/>
      <c r="M2167" s="33"/>
      <c r="N2167" s="33" t="str">
        <f t="shared" si="203"/>
        <v/>
      </c>
      <c r="O2167" s="34"/>
      <c r="P2167" s="36" t="str">
        <f t="shared" si="198"/>
        <v/>
      </c>
      <c r="Q2167" s="216" t="str">
        <f t="shared" si="199"/>
        <v/>
      </c>
      <c r="R2167" s="216" t="str">
        <f t="shared" si="200"/>
        <v/>
      </c>
      <c r="S2167" s="217" t="str">
        <f t="shared" si="201"/>
        <v/>
      </c>
    </row>
    <row r="2168" spans="1:19" ht="15.75" thickBot="1" x14ac:dyDescent="0.3">
      <c r="A2168" s="263"/>
      <c r="B2168" s="261"/>
      <c r="C2168" s="35"/>
      <c r="D2168" s="35"/>
      <c r="E2168" s="36"/>
      <c r="F2168" s="30" t="s">
        <v>416</v>
      </c>
      <c r="G2168" s="30" t="str">
        <f t="shared" si="202"/>
        <v/>
      </c>
      <c r="H2168" s="34"/>
      <c r="I2168" s="30"/>
      <c r="J2168" s="152">
        <v>118</v>
      </c>
      <c r="L2168" s="215"/>
      <c r="M2168" s="30"/>
      <c r="N2168" s="30" t="str">
        <f t="shared" si="203"/>
        <v/>
      </c>
      <c r="O2168" s="34"/>
      <c r="P2168" s="36" t="str">
        <f t="shared" si="198"/>
        <v/>
      </c>
      <c r="Q2168" s="216" t="str">
        <f t="shared" si="199"/>
        <v/>
      </c>
      <c r="R2168" s="216" t="str">
        <f t="shared" si="200"/>
        <v/>
      </c>
      <c r="S2168" s="217" t="str">
        <f t="shared" si="201"/>
        <v/>
      </c>
    </row>
    <row r="2169" spans="1:19" ht="15.75" thickBot="1" x14ac:dyDescent="0.3">
      <c r="A2169" s="256" t="s">
        <v>562</v>
      </c>
      <c r="B2169" s="259" t="str">
        <f>INDEX(Orçamentária!A:B,MATCH(Composições!A2169,Orçamentária!A:A,0),2)</f>
        <v>Tubo de cobre de 5/8"</v>
      </c>
      <c r="C2169" s="40"/>
      <c r="D2169" s="25" t="s">
        <v>69</v>
      </c>
      <c r="E2169" s="26"/>
      <c r="F2169" s="41" t="s">
        <v>416</v>
      </c>
      <c r="G2169" s="27" t="str">
        <f t="shared" si="202"/>
        <v/>
      </c>
      <c r="H2169" s="28"/>
      <c r="I2169" s="29"/>
      <c r="J2169" s="152">
        <v>107</v>
      </c>
      <c r="L2169" s="218"/>
      <c r="M2169" s="41"/>
      <c r="N2169" s="27" t="str">
        <f t="shared" si="203"/>
        <v/>
      </c>
      <c r="O2169" s="28"/>
      <c r="P2169" s="36" t="str">
        <f t="shared" si="198"/>
        <v/>
      </c>
      <c r="Q2169" s="216" t="str">
        <f t="shared" si="199"/>
        <v/>
      </c>
      <c r="R2169" s="216" t="str">
        <f t="shared" si="200"/>
        <v/>
      </c>
      <c r="S2169" s="217" t="str">
        <f t="shared" si="201"/>
        <v/>
      </c>
    </row>
    <row r="2170" spans="1:19" x14ac:dyDescent="0.25">
      <c r="A2170" s="262"/>
      <c r="B2170" s="260"/>
      <c r="C2170" s="31"/>
      <c r="D2170" s="31"/>
      <c r="E2170" s="32"/>
      <c r="F2170" s="42" t="s">
        <v>416</v>
      </c>
      <c r="G2170" s="30" t="str">
        <f t="shared" si="202"/>
        <v/>
      </c>
      <c r="H2170" s="34"/>
      <c r="I2170" s="30"/>
      <c r="J2170" s="152">
        <v>107</v>
      </c>
      <c r="L2170" s="219"/>
      <c r="M2170" s="42"/>
      <c r="N2170" s="30" t="str">
        <f t="shared" si="203"/>
        <v/>
      </c>
      <c r="O2170" s="34"/>
      <c r="P2170" s="36" t="str">
        <f t="shared" si="198"/>
        <v/>
      </c>
      <c r="Q2170" s="216" t="str">
        <f t="shared" si="199"/>
        <v/>
      </c>
      <c r="R2170" s="216" t="str">
        <f t="shared" si="200"/>
        <v/>
      </c>
      <c r="S2170" s="217" t="str">
        <f t="shared" si="201"/>
        <v/>
      </c>
    </row>
    <row r="2171" spans="1:19" ht="25.5" x14ac:dyDescent="0.25">
      <c r="A2171" s="262"/>
      <c r="B2171" s="260"/>
      <c r="C2171" s="35" t="s">
        <v>8465</v>
      </c>
      <c r="D2171" s="35" t="s">
        <v>385</v>
      </c>
      <c r="E2171" s="36">
        <v>1.0210999999999999</v>
      </c>
      <c r="F2171" s="33">
        <v>53.446999999999996</v>
      </c>
      <c r="G2171" s="33">
        <f t="shared" si="202"/>
        <v>54.574731699999987</v>
      </c>
      <c r="H2171" s="38">
        <f>SUM(G2171:G2173)</f>
        <v>56.723586099999984</v>
      </c>
      <c r="I2171" s="39"/>
      <c r="J2171" s="152">
        <v>107</v>
      </c>
      <c r="L2171" s="215">
        <v>1.0210999999999999</v>
      </c>
      <c r="M2171" s="33">
        <v>45.750631999999996</v>
      </c>
      <c r="N2171" s="33">
        <f t="shared" si="203"/>
        <v>46.715970335199991</v>
      </c>
      <c r="O2171" s="38">
        <f>SUM(N2171:N2173)</f>
        <v>48.555389701599992</v>
      </c>
      <c r="P2171" s="36" t="str">
        <f t="shared" si="198"/>
        <v/>
      </c>
      <c r="Q2171" s="216">
        <f t="shared" si="199"/>
        <v>0.14400000000000002</v>
      </c>
      <c r="R2171" s="216">
        <f t="shared" si="200"/>
        <v>0.14399999999999991</v>
      </c>
      <c r="S2171" s="217">
        <f t="shared" si="201"/>
        <v>0.14399999999999991</v>
      </c>
    </row>
    <row r="2172" spans="1:19" ht="25.5" x14ac:dyDescent="0.25">
      <c r="A2172" s="262"/>
      <c r="B2172" s="260"/>
      <c r="C2172" s="35" t="s">
        <v>824</v>
      </c>
      <c r="D2172" s="35" t="s">
        <v>583</v>
      </c>
      <c r="E2172" s="36">
        <f>0.064*0.7</f>
        <v>4.48E-2</v>
      </c>
      <c r="F2172" s="30">
        <v>21.166</v>
      </c>
      <c r="G2172" s="33">
        <f t="shared" si="202"/>
        <v>0.94823679999999999</v>
      </c>
      <c r="H2172" s="34"/>
      <c r="I2172" s="30"/>
      <c r="J2172" s="152">
        <v>107</v>
      </c>
      <c r="L2172" s="215">
        <v>4.48E-2</v>
      </c>
      <c r="M2172" s="30">
        <v>18.118096000000001</v>
      </c>
      <c r="N2172" s="33">
        <f t="shared" si="203"/>
        <v>0.81169070080000005</v>
      </c>
      <c r="O2172" s="34"/>
      <c r="P2172" s="36" t="str">
        <f t="shared" si="198"/>
        <v/>
      </c>
      <c r="Q2172" s="216">
        <f t="shared" si="199"/>
        <v>0.14399999999999991</v>
      </c>
      <c r="R2172" s="216">
        <f t="shared" si="200"/>
        <v>0.14399999999999991</v>
      </c>
      <c r="S2172" s="217" t="str">
        <f t="shared" si="201"/>
        <v/>
      </c>
    </row>
    <row r="2173" spans="1:19" ht="25.5" x14ac:dyDescent="0.25">
      <c r="A2173" s="262"/>
      <c r="B2173" s="260"/>
      <c r="C2173" s="35" t="s">
        <v>825</v>
      </c>
      <c r="D2173" s="35" t="s">
        <v>583</v>
      </c>
      <c r="E2173" s="36">
        <f>0.064*0.7</f>
        <v>4.48E-2</v>
      </c>
      <c r="F2173" s="30">
        <v>26.799499999999998</v>
      </c>
      <c r="G2173" s="33">
        <f t="shared" si="202"/>
        <v>1.2006176</v>
      </c>
      <c r="H2173" s="34"/>
      <c r="I2173" s="30"/>
      <c r="J2173" s="152">
        <v>107</v>
      </c>
      <c r="L2173" s="215">
        <v>4.48E-2</v>
      </c>
      <c r="M2173" s="30">
        <v>22.940372</v>
      </c>
      <c r="N2173" s="33">
        <f t="shared" si="203"/>
        <v>1.0277286656</v>
      </c>
      <c r="O2173" s="34"/>
      <c r="P2173" s="36" t="str">
        <f t="shared" si="198"/>
        <v/>
      </c>
      <c r="Q2173" s="216">
        <f t="shared" si="199"/>
        <v>0.14399999999999991</v>
      </c>
      <c r="R2173" s="216">
        <f t="shared" si="200"/>
        <v>0.14400000000000002</v>
      </c>
      <c r="S2173" s="217" t="str">
        <f t="shared" si="201"/>
        <v/>
      </c>
    </row>
    <row r="2174" spans="1:19" x14ac:dyDescent="0.25">
      <c r="A2174" s="262"/>
      <c r="B2174" s="260"/>
      <c r="C2174" s="35"/>
      <c r="D2174" s="46"/>
      <c r="E2174" s="36"/>
      <c r="F2174" s="33" t="s">
        <v>416</v>
      </c>
      <c r="G2174" s="33" t="str">
        <f t="shared" si="202"/>
        <v/>
      </c>
      <c r="H2174" s="34"/>
      <c r="I2174" s="30"/>
      <c r="J2174" s="152">
        <v>107</v>
      </c>
      <c r="L2174" s="215"/>
      <c r="M2174" s="33"/>
      <c r="N2174" s="33" t="str">
        <f t="shared" si="203"/>
        <v/>
      </c>
      <c r="O2174" s="34"/>
      <c r="P2174" s="36" t="str">
        <f t="shared" si="198"/>
        <v/>
      </c>
      <c r="Q2174" s="216" t="str">
        <f t="shared" si="199"/>
        <v/>
      </c>
      <c r="R2174" s="216" t="str">
        <f t="shared" si="200"/>
        <v/>
      </c>
      <c r="S2174" s="217" t="str">
        <f t="shared" si="201"/>
        <v/>
      </c>
    </row>
    <row r="2175" spans="1:19" ht="38.25" x14ac:dyDescent="0.25">
      <c r="A2175" s="262"/>
      <c r="B2175" s="260"/>
      <c r="C2175" s="51" t="s">
        <v>529</v>
      </c>
      <c r="D2175" s="46"/>
      <c r="E2175" s="36"/>
      <c r="F2175" s="33" t="s">
        <v>416</v>
      </c>
      <c r="G2175" s="33" t="str">
        <f t="shared" si="202"/>
        <v/>
      </c>
      <c r="H2175" s="34"/>
      <c r="I2175" s="30"/>
      <c r="J2175" s="152">
        <v>107</v>
      </c>
      <c r="L2175" s="215"/>
      <c r="M2175" s="33"/>
      <c r="N2175" s="33" t="str">
        <f t="shared" si="203"/>
        <v/>
      </c>
      <c r="O2175" s="34"/>
      <c r="P2175" s="36" t="str">
        <f t="shared" si="198"/>
        <v/>
      </c>
      <c r="Q2175" s="216" t="str">
        <f t="shared" si="199"/>
        <v/>
      </c>
      <c r="R2175" s="216" t="str">
        <f t="shared" si="200"/>
        <v/>
      </c>
      <c r="S2175" s="217" t="str">
        <f t="shared" si="201"/>
        <v/>
      </c>
    </row>
    <row r="2176" spans="1:19" ht="15.75" thickBot="1" x14ac:dyDescent="0.3">
      <c r="A2176" s="263"/>
      <c r="B2176" s="261"/>
      <c r="C2176" s="35"/>
      <c r="D2176" s="35"/>
      <c r="E2176" s="36"/>
      <c r="F2176" s="30" t="s">
        <v>416</v>
      </c>
      <c r="G2176" s="30" t="str">
        <f t="shared" si="202"/>
        <v/>
      </c>
      <c r="H2176" s="34"/>
      <c r="I2176" s="30"/>
      <c r="J2176" s="152">
        <v>107</v>
      </c>
      <c r="L2176" s="215"/>
      <c r="M2176" s="30"/>
      <c r="N2176" s="30" t="str">
        <f t="shared" si="203"/>
        <v/>
      </c>
      <c r="O2176" s="34"/>
      <c r="P2176" s="36" t="str">
        <f t="shared" si="198"/>
        <v/>
      </c>
      <c r="Q2176" s="216" t="str">
        <f t="shared" si="199"/>
        <v/>
      </c>
      <c r="R2176" s="216" t="str">
        <f t="shared" si="200"/>
        <v/>
      </c>
      <c r="S2176" s="217" t="str">
        <f t="shared" si="201"/>
        <v/>
      </c>
    </row>
    <row r="2177" spans="1:19" ht="15.75" thickBot="1" x14ac:dyDescent="0.3">
      <c r="A2177" s="256" t="s">
        <v>563</v>
      </c>
      <c r="B2177" s="259" t="str">
        <f>INDEX(Orçamentária!A:B,MATCH(Composições!A2177,Orçamentária!A:A,0),2)</f>
        <v>Tubo de cobre de 7/8"</v>
      </c>
      <c r="C2177" s="40"/>
      <c r="D2177" s="25" t="s">
        <v>69</v>
      </c>
      <c r="E2177" s="26"/>
      <c r="F2177" s="41" t="s">
        <v>416</v>
      </c>
      <c r="G2177" s="27" t="str">
        <f t="shared" si="202"/>
        <v/>
      </c>
      <c r="H2177" s="28"/>
      <c r="I2177" s="29"/>
      <c r="J2177" s="152">
        <v>10</v>
      </c>
      <c r="L2177" s="218"/>
      <c r="M2177" s="41"/>
      <c r="N2177" s="27" t="str">
        <f t="shared" si="203"/>
        <v/>
      </c>
      <c r="O2177" s="28"/>
      <c r="P2177" s="36" t="str">
        <f t="shared" si="198"/>
        <v/>
      </c>
      <c r="Q2177" s="216" t="str">
        <f t="shared" si="199"/>
        <v/>
      </c>
      <c r="R2177" s="216" t="str">
        <f t="shared" si="200"/>
        <v/>
      </c>
      <c r="S2177" s="217" t="str">
        <f t="shared" si="201"/>
        <v/>
      </c>
    </row>
    <row r="2178" spans="1:19" x14ac:dyDescent="0.25">
      <c r="A2178" s="262"/>
      <c r="B2178" s="260"/>
      <c r="C2178" s="31"/>
      <c r="D2178" s="31"/>
      <c r="E2178" s="32"/>
      <c r="F2178" s="42" t="s">
        <v>416</v>
      </c>
      <c r="G2178" s="30" t="str">
        <f t="shared" si="202"/>
        <v/>
      </c>
      <c r="H2178" s="34"/>
      <c r="I2178" s="30"/>
      <c r="J2178" s="152">
        <v>10</v>
      </c>
      <c r="L2178" s="219"/>
      <c r="M2178" s="42"/>
      <c r="N2178" s="30" t="str">
        <f t="shared" si="203"/>
        <v/>
      </c>
      <c r="O2178" s="34"/>
      <c r="P2178" s="36" t="str">
        <f t="shared" si="198"/>
        <v/>
      </c>
      <c r="Q2178" s="216" t="str">
        <f t="shared" si="199"/>
        <v/>
      </c>
      <c r="R2178" s="216" t="str">
        <f t="shared" si="200"/>
        <v/>
      </c>
      <c r="S2178" s="217" t="str">
        <f t="shared" si="201"/>
        <v/>
      </c>
    </row>
    <row r="2179" spans="1:19" ht="25.5" x14ac:dyDescent="0.25">
      <c r="A2179" s="262"/>
      <c r="B2179" s="260"/>
      <c r="C2179" s="35" t="s">
        <v>564</v>
      </c>
      <c r="D2179" s="46" t="s">
        <v>69</v>
      </c>
      <c r="E2179" s="36">
        <v>1.0210999999999999</v>
      </c>
      <c r="F2179" s="33">
        <v>47.404999999999994</v>
      </c>
      <c r="G2179" s="33">
        <f t="shared" si="202"/>
        <v>48.405245499999992</v>
      </c>
      <c r="H2179" s="38">
        <f>SUM(G2179:G2181)</f>
        <v>50.55409989999999</v>
      </c>
      <c r="I2179" s="39"/>
      <c r="J2179" s="152">
        <v>10</v>
      </c>
      <c r="L2179" s="215">
        <v>1.0210999999999999</v>
      </c>
      <c r="M2179" s="33">
        <v>40.578679999999991</v>
      </c>
      <c r="N2179" s="33">
        <f t="shared" si="203"/>
        <v>41.434890147999987</v>
      </c>
      <c r="O2179" s="38">
        <f>SUM(N2179:N2181)</f>
        <v>43.274309514399988</v>
      </c>
      <c r="P2179" s="36" t="str">
        <f t="shared" si="198"/>
        <v/>
      </c>
      <c r="Q2179" s="216">
        <f t="shared" si="199"/>
        <v>0.14400000000000013</v>
      </c>
      <c r="R2179" s="216">
        <f t="shared" si="200"/>
        <v>0.14400000000000013</v>
      </c>
      <c r="S2179" s="217">
        <f t="shared" si="201"/>
        <v>0.14400000000000002</v>
      </c>
    </row>
    <row r="2180" spans="1:19" ht="25.5" x14ac:dyDescent="0.25">
      <c r="A2180" s="262"/>
      <c r="B2180" s="260"/>
      <c r="C2180" s="35" t="s">
        <v>824</v>
      </c>
      <c r="D2180" s="35" t="s">
        <v>583</v>
      </c>
      <c r="E2180" s="36">
        <f>0.064*0.7</f>
        <v>4.48E-2</v>
      </c>
      <c r="F2180" s="30">
        <v>21.166</v>
      </c>
      <c r="G2180" s="33">
        <f t="shared" si="202"/>
        <v>0.94823679999999999</v>
      </c>
      <c r="H2180" s="34"/>
      <c r="I2180" s="30"/>
      <c r="J2180" s="152">
        <v>10</v>
      </c>
      <c r="L2180" s="215">
        <v>4.48E-2</v>
      </c>
      <c r="M2180" s="30">
        <v>18.118096000000001</v>
      </c>
      <c r="N2180" s="33">
        <f t="shared" si="203"/>
        <v>0.81169070080000005</v>
      </c>
      <c r="O2180" s="34"/>
      <c r="P2180" s="36" t="str">
        <f t="shared" si="198"/>
        <v/>
      </c>
      <c r="Q2180" s="216">
        <f t="shared" si="199"/>
        <v>0.14399999999999991</v>
      </c>
      <c r="R2180" s="216">
        <f t="shared" si="200"/>
        <v>0.14399999999999991</v>
      </c>
      <c r="S2180" s="217" t="str">
        <f t="shared" si="201"/>
        <v/>
      </c>
    </row>
    <row r="2181" spans="1:19" ht="25.5" x14ac:dyDescent="0.25">
      <c r="A2181" s="262"/>
      <c r="B2181" s="260"/>
      <c r="C2181" s="35" t="s">
        <v>825</v>
      </c>
      <c r="D2181" s="35" t="s">
        <v>583</v>
      </c>
      <c r="E2181" s="36">
        <f>0.064*0.7</f>
        <v>4.48E-2</v>
      </c>
      <c r="F2181" s="30">
        <v>26.799499999999998</v>
      </c>
      <c r="G2181" s="33">
        <f t="shared" si="202"/>
        <v>1.2006176</v>
      </c>
      <c r="H2181" s="34"/>
      <c r="I2181" s="30"/>
      <c r="J2181" s="152">
        <v>10</v>
      </c>
      <c r="L2181" s="215">
        <v>4.48E-2</v>
      </c>
      <c r="M2181" s="30">
        <v>22.940372</v>
      </c>
      <c r="N2181" s="33">
        <f t="shared" si="203"/>
        <v>1.0277286656</v>
      </c>
      <c r="O2181" s="34"/>
      <c r="P2181" s="36" t="str">
        <f t="shared" si="198"/>
        <v/>
      </c>
      <c r="Q2181" s="216">
        <f t="shared" si="199"/>
        <v>0.14399999999999991</v>
      </c>
      <c r="R2181" s="216">
        <f t="shared" si="200"/>
        <v>0.14400000000000002</v>
      </c>
      <c r="S2181" s="217" t="str">
        <f t="shared" si="201"/>
        <v/>
      </c>
    </row>
    <row r="2182" spans="1:19" x14ac:dyDescent="0.25">
      <c r="A2182" s="262"/>
      <c r="B2182" s="260"/>
      <c r="C2182" s="35"/>
      <c r="D2182" s="46"/>
      <c r="E2182" s="36"/>
      <c r="F2182" s="33" t="s">
        <v>416</v>
      </c>
      <c r="G2182" s="33" t="str">
        <f t="shared" si="202"/>
        <v/>
      </c>
      <c r="H2182" s="34"/>
      <c r="I2182" s="30"/>
      <c r="J2182" s="152">
        <v>10</v>
      </c>
      <c r="L2182" s="215"/>
      <c r="M2182" s="33"/>
      <c r="N2182" s="33" t="str">
        <f t="shared" si="203"/>
        <v/>
      </c>
      <c r="O2182" s="34"/>
      <c r="P2182" s="36" t="str">
        <f t="shared" si="198"/>
        <v/>
      </c>
      <c r="Q2182" s="216" t="str">
        <f t="shared" si="199"/>
        <v/>
      </c>
      <c r="R2182" s="216" t="str">
        <f t="shared" si="200"/>
        <v/>
      </c>
      <c r="S2182" s="217" t="str">
        <f t="shared" si="201"/>
        <v/>
      </c>
    </row>
    <row r="2183" spans="1:19" ht="38.25" x14ac:dyDescent="0.25">
      <c r="A2183" s="262"/>
      <c r="B2183" s="260"/>
      <c r="C2183" s="51" t="s">
        <v>529</v>
      </c>
      <c r="D2183" s="46"/>
      <c r="E2183" s="36"/>
      <c r="F2183" s="33" t="s">
        <v>416</v>
      </c>
      <c r="G2183" s="33" t="str">
        <f t="shared" si="202"/>
        <v/>
      </c>
      <c r="H2183" s="34"/>
      <c r="I2183" s="30"/>
      <c r="J2183" s="152">
        <v>10</v>
      </c>
      <c r="L2183" s="215"/>
      <c r="M2183" s="33"/>
      <c r="N2183" s="33" t="str">
        <f t="shared" si="203"/>
        <v/>
      </c>
      <c r="O2183" s="34"/>
      <c r="P2183" s="36" t="str">
        <f t="shared" si="198"/>
        <v/>
      </c>
      <c r="Q2183" s="216" t="str">
        <f t="shared" si="199"/>
        <v/>
      </c>
      <c r="R2183" s="216" t="str">
        <f t="shared" si="200"/>
        <v/>
      </c>
      <c r="S2183" s="217" t="str">
        <f t="shared" si="201"/>
        <v/>
      </c>
    </row>
    <row r="2184" spans="1:19" ht="15.75" thickBot="1" x14ac:dyDescent="0.3">
      <c r="A2184" s="263"/>
      <c r="B2184" s="261"/>
      <c r="C2184" s="35"/>
      <c r="D2184" s="35"/>
      <c r="E2184" s="36"/>
      <c r="F2184" s="30" t="s">
        <v>416</v>
      </c>
      <c r="G2184" s="30" t="str">
        <f t="shared" si="202"/>
        <v/>
      </c>
      <c r="H2184" s="34"/>
      <c r="I2184" s="30"/>
      <c r="J2184" s="152">
        <v>10</v>
      </c>
      <c r="L2184" s="215"/>
      <c r="M2184" s="30"/>
      <c r="N2184" s="30" t="str">
        <f t="shared" si="203"/>
        <v/>
      </c>
      <c r="O2184" s="34"/>
      <c r="P2184" s="36" t="str">
        <f t="shared" ref="P2184:P2247" si="204">IF(ISBLANK(L2184),"",IF($E2184&lt;&gt;L2184,"SIM",""))</f>
        <v/>
      </c>
      <c r="Q2184" s="216" t="str">
        <f t="shared" ref="Q2184:Q2247" si="205">IF(M2184="","",1-M2184/$F2184)</f>
        <v/>
      </c>
      <c r="R2184" s="216" t="str">
        <f t="shared" ref="R2184:R2247" si="206">IF(N2184="","",1-N2184/$G2184)</f>
        <v/>
      </c>
      <c r="S2184" s="217" t="str">
        <f t="shared" ref="S2184:S2247" si="207">IF(O2184="","",1-O2184/$H2184)</f>
        <v/>
      </c>
    </row>
    <row r="2185" spans="1:19" ht="15.75" hidden="1" thickBot="1" x14ac:dyDescent="0.3">
      <c r="A2185" s="256" t="s">
        <v>565</v>
      </c>
      <c r="B2185" s="259" t="str">
        <f>INDEX(Orçamentária!A:B,MATCH(Composições!A2185,Orçamentária!A:A,0),2)</f>
        <v>Tubo de cobre de 1"</v>
      </c>
      <c r="C2185" s="40"/>
      <c r="D2185" s="25" t="s">
        <v>69</v>
      </c>
      <c r="E2185" s="26"/>
      <c r="F2185" s="41" t="s">
        <v>416</v>
      </c>
      <c r="G2185" s="27" t="str">
        <f t="shared" si="202"/>
        <v/>
      </c>
      <c r="H2185" s="28"/>
      <c r="I2185" s="29"/>
      <c r="J2185" s="152">
        <v>0</v>
      </c>
      <c r="L2185" s="218"/>
      <c r="M2185" s="41"/>
      <c r="N2185" s="27" t="str">
        <f t="shared" si="203"/>
        <v/>
      </c>
      <c r="O2185" s="28"/>
      <c r="P2185" s="36" t="str">
        <f t="shared" si="204"/>
        <v/>
      </c>
      <c r="Q2185" s="216" t="str">
        <f t="shared" si="205"/>
        <v/>
      </c>
      <c r="R2185" s="216" t="str">
        <f t="shared" si="206"/>
        <v/>
      </c>
      <c r="S2185" s="217" t="str">
        <f t="shared" si="207"/>
        <v/>
      </c>
    </row>
    <row r="2186" spans="1:19" ht="15.75" hidden="1" thickBot="1" x14ac:dyDescent="0.3">
      <c r="A2186" s="262"/>
      <c r="B2186" s="260"/>
      <c r="C2186" s="31"/>
      <c r="D2186" s="31"/>
      <c r="E2186" s="32"/>
      <c r="F2186" s="42" t="s">
        <v>416</v>
      </c>
      <c r="G2186" s="30" t="str">
        <f t="shared" si="202"/>
        <v/>
      </c>
      <c r="H2186" s="34"/>
      <c r="I2186" s="30"/>
      <c r="J2186" s="152">
        <v>0</v>
      </c>
      <c r="L2186" s="219"/>
      <c r="M2186" s="42"/>
      <c r="N2186" s="30" t="str">
        <f t="shared" si="203"/>
        <v/>
      </c>
      <c r="O2186" s="34"/>
      <c r="P2186" s="36" t="str">
        <f t="shared" si="204"/>
        <v/>
      </c>
      <c r="Q2186" s="216" t="str">
        <f t="shared" si="205"/>
        <v/>
      </c>
      <c r="R2186" s="216" t="str">
        <f t="shared" si="206"/>
        <v/>
      </c>
      <c r="S2186" s="217" t="str">
        <f t="shared" si="207"/>
        <v/>
      </c>
    </row>
    <row r="2187" spans="1:19" ht="26.25" hidden="1" thickBot="1" x14ac:dyDescent="0.3">
      <c r="A2187" s="262"/>
      <c r="B2187" s="260"/>
      <c r="C2187" s="35" t="s">
        <v>566</v>
      </c>
      <c r="D2187" s="46" t="s">
        <v>69</v>
      </c>
      <c r="E2187" s="36">
        <v>1.0210999999999999</v>
      </c>
      <c r="F2187" s="33">
        <v>0</v>
      </c>
      <c r="G2187" s="33">
        <f t="shared" si="202"/>
        <v>0</v>
      </c>
      <c r="H2187" s="38">
        <f>SUM(G2187:G2189)</f>
        <v>2.1488543999999998</v>
      </c>
      <c r="I2187" s="39"/>
      <c r="J2187" s="152">
        <v>0</v>
      </c>
      <c r="L2187" s="215">
        <v>1.0210999999999999</v>
      </c>
      <c r="M2187" s="33">
        <v>0</v>
      </c>
      <c r="N2187" s="33">
        <f t="shared" si="203"/>
        <v>0</v>
      </c>
      <c r="O2187" s="38">
        <f>SUM(N2187:N2189)</f>
        <v>1.8394193664</v>
      </c>
      <c r="P2187" s="36" t="str">
        <f t="shared" si="204"/>
        <v/>
      </c>
      <c r="Q2187" s="216" t="e">
        <f t="shared" si="205"/>
        <v>#DIV/0!</v>
      </c>
      <c r="R2187" s="216" t="e">
        <f t="shared" si="206"/>
        <v>#DIV/0!</v>
      </c>
      <c r="S2187" s="217">
        <f t="shared" si="207"/>
        <v>0.14399999999999991</v>
      </c>
    </row>
    <row r="2188" spans="1:19" ht="26.25" hidden="1" thickBot="1" x14ac:dyDescent="0.3">
      <c r="A2188" s="262"/>
      <c r="B2188" s="260"/>
      <c r="C2188" s="35" t="s">
        <v>824</v>
      </c>
      <c r="D2188" s="35" t="s">
        <v>583</v>
      </c>
      <c r="E2188" s="36">
        <f>0.064*0.7</f>
        <v>4.48E-2</v>
      </c>
      <c r="F2188" s="30">
        <v>21.166</v>
      </c>
      <c r="G2188" s="33">
        <f t="shared" si="202"/>
        <v>0.94823679999999999</v>
      </c>
      <c r="H2188" s="34"/>
      <c r="I2188" s="30"/>
      <c r="J2188" s="152">
        <v>0</v>
      </c>
      <c r="L2188" s="215">
        <v>4.48E-2</v>
      </c>
      <c r="M2188" s="30">
        <v>18.118096000000001</v>
      </c>
      <c r="N2188" s="33">
        <f t="shared" si="203"/>
        <v>0.81169070080000005</v>
      </c>
      <c r="O2188" s="34"/>
      <c r="P2188" s="36" t="str">
        <f t="shared" si="204"/>
        <v/>
      </c>
      <c r="Q2188" s="216">
        <f t="shared" si="205"/>
        <v>0.14399999999999991</v>
      </c>
      <c r="R2188" s="216">
        <f t="shared" si="206"/>
        <v>0.14399999999999991</v>
      </c>
      <c r="S2188" s="217" t="str">
        <f t="shared" si="207"/>
        <v/>
      </c>
    </row>
    <row r="2189" spans="1:19" ht="26.25" hidden="1" thickBot="1" x14ac:dyDescent="0.3">
      <c r="A2189" s="262"/>
      <c r="B2189" s="260"/>
      <c r="C2189" s="35" t="s">
        <v>825</v>
      </c>
      <c r="D2189" s="35" t="s">
        <v>583</v>
      </c>
      <c r="E2189" s="36">
        <f>0.064*0.7</f>
        <v>4.48E-2</v>
      </c>
      <c r="F2189" s="30">
        <v>26.799499999999998</v>
      </c>
      <c r="G2189" s="33">
        <f t="shared" si="202"/>
        <v>1.2006176</v>
      </c>
      <c r="H2189" s="34"/>
      <c r="I2189" s="30"/>
      <c r="J2189" s="152">
        <v>0</v>
      </c>
      <c r="L2189" s="215">
        <v>4.48E-2</v>
      </c>
      <c r="M2189" s="30">
        <v>22.940372</v>
      </c>
      <c r="N2189" s="33">
        <f t="shared" si="203"/>
        <v>1.0277286656</v>
      </c>
      <c r="O2189" s="34"/>
      <c r="P2189" s="36" t="str">
        <f t="shared" si="204"/>
        <v/>
      </c>
      <c r="Q2189" s="216">
        <f t="shared" si="205"/>
        <v>0.14399999999999991</v>
      </c>
      <c r="R2189" s="216">
        <f t="shared" si="206"/>
        <v>0.14400000000000002</v>
      </c>
      <c r="S2189" s="217" t="str">
        <f t="shared" si="207"/>
        <v/>
      </c>
    </row>
    <row r="2190" spans="1:19" ht="15.75" hidden="1" thickBot="1" x14ac:dyDescent="0.3">
      <c r="A2190" s="262"/>
      <c r="B2190" s="260"/>
      <c r="C2190" s="35"/>
      <c r="D2190" s="46"/>
      <c r="E2190" s="36"/>
      <c r="F2190" s="33" t="s">
        <v>416</v>
      </c>
      <c r="G2190" s="33" t="str">
        <f t="shared" si="202"/>
        <v/>
      </c>
      <c r="H2190" s="34"/>
      <c r="I2190" s="30"/>
      <c r="J2190" s="152">
        <v>0</v>
      </c>
      <c r="L2190" s="215"/>
      <c r="M2190" s="33"/>
      <c r="N2190" s="33" t="str">
        <f t="shared" si="203"/>
        <v/>
      </c>
      <c r="O2190" s="34"/>
      <c r="P2190" s="36" t="str">
        <f t="shared" si="204"/>
        <v/>
      </c>
      <c r="Q2190" s="216" t="str">
        <f t="shared" si="205"/>
        <v/>
      </c>
      <c r="R2190" s="216" t="str">
        <f t="shared" si="206"/>
        <v/>
      </c>
      <c r="S2190" s="217" t="str">
        <f t="shared" si="207"/>
        <v/>
      </c>
    </row>
    <row r="2191" spans="1:19" ht="39" hidden="1" thickBot="1" x14ac:dyDescent="0.3">
      <c r="A2191" s="262"/>
      <c r="B2191" s="260"/>
      <c r="C2191" s="51" t="s">
        <v>529</v>
      </c>
      <c r="D2191" s="46"/>
      <c r="E2191" s="36"/>
      <c r="F2191" s="33" t="s">
        <v>416</v>
      </c>
      <c r="G2191" s="33" t="str">
        <f t="shared" si="202"/>
        <v/>
      </c>
      <c r="H2191" s="34"/>
      <c r="I2191" s="30"/>
      <c r="J2191" s="152">
        <v>0</v>
      </c>
      <c r="L2191" s="215"/>
      <c r="M2191" s="33"/>
      <c r="N2191" s="33" t="str">
        <f t="shared" si="203"/>
        <v/>
      </c>
      <c r="O2191" s="34"/>
      <c r="P2191" s="36" t="str">
        <f t="shared" si="204"/>
        <v/>
      </c>
      <c r="Q2191" s="216" t="str">
        <f t="shared" si="205"/>
        <v/>
      </c>
      <c r="R2191" s="216" t="str">
        <f t="shared" si="206"/>
        <v/>
      </c>
      <c r="S2191" s="217" t="str">
        <f t="shared" si="207"/>
        <v/>
      </c>
    </row>
    <row r="2192" spans="1:19" ht="15.75" hidden="1" thickBot="1" x14ac:dyDescent="0.3">
      <c r="A2192" s="263"/>
      <c r="B2192" s="261"/>
      <c r="C2192" s="35"/>
      <c r="D2192" s="35"/>
      <c r="E2192" s="36"/>
      <c r="F2192" s="30" t="s">
        <v>416</v>
      </c>
      <c r="G2192" s="30" t="str">
        <f t="shared" si="202"/>
        <v/>
      </c>
      <c r="H2192" s="34"/>
      <c r="I2192" s="30"/>
      <c r="J2192" s="152">
        <v>0</v>
      </c>
      <c r="L2192" s="215"/>
      <c r="M2192" s="30"/>
      <c r="N2192" s="30" t="str">
        <f t="shared" si="203"/>
        <v/>
      </c>
      <c r="O2192" s="34"/>
      <c r="P2192" s="36" t="str">
        <f t="shared" si="204"/>
        <v/>
      </c>
      <c r="Q2192" s="216" t="str">
        <f t="shared" si="205"/>
        <v/>
      </c>
      <c r="R2192" s="216" t="str">
        <f t="shared" si="206"/>
        <v/>
      </c>
      <c r="S2192" s="217" t="str">
        <f t="shared" si="207"/>
        <v/>
      </c>
    </row>
    <row r="2193" spans="1:19" ht="15.75" thickBot="1" x14ac:dyDescent="0.3">
      <c r="A2193" s="256" t="s">
        <v>567</v>
      </c>
      <c r="B2193" s="259" t="str">
        <f>INDEX(Orçamentária!A:B,MATCH(Composições!A2193,Orçamentária!A:A,0),2)</f>
        <v>Tubo de cobre de 1 1/8"</v>
      </c>
      <c r="C2193" s="40"/>
      <c r="D2193" s="25" t="s">
        <v>69</v>
      </c>
      <c r="E2193" s="26"/>
      <c r="F2193" s="41" t="s">
        <v>416</v>
      </c>
      <c r="G2193" s="27" t="str">
        <f t="shared" si="202"/>
        <v/>
      </c>
      <c r="H2193" s="28"/>
      <c r="I2193" s="29"/>
      <c r="J2193" s="152">
        <v>1</v>
      </c>
      <c r="L2193" s="218"/>
      <c r="M2193" s="41"/>
      <c r="N2193" s="27" t="str">
        <f t="shared" si="203"/>
        <v/>
      </c>
      <c r="O2193" s="28"/>
      <c r="P2193" s="36" t="str">
        <f t="shared" si="204"/>
        <v/>
      </c>
      <c r="Q2193" s="216" t="str">
        <f t="shared" si="205"/>
        <v/>
      </c>
      <c r="R2193" s="216" t="str">
        <f t="shared" si="206"/>
        <v/>
      </c>
      <c r="S2193" s="217" t="str">
        <f t="shared" si="207"/>
        <v/>
      </c>
    </row>
    <row r="2194" spans="1:19" x14ac:dyDescent="0.25">
      <c r="A2194" s="262"/>
      <c r="B2194" s="260"/>
      <c r="C2194" s="31"/>
      <c r="D2194" s="31"/>
      <c r="E2194" s="32"/>
      <c r="F2194" s="42" t="s">
        <v>416</v>
      </c>
      <c r="G2194" s="30" t="str">
        <f t="shared" si="202"/>
        <v/>
      </c>
      <c r="H2194" s="34"/>
      <c r="I2194" s="30"/>
      <c r="J2194" s="152">
        <v>1</v>
      </c>
      <c r="L2194" s="219"/>
      <c r="M2194" s="42"/>
      <c r="N2194" s="30" t="str">
        <f t="shared" si="203"/>
        <v/>
      </c>
      <c r="O2194" s="34"/>
      <c r="P2194" s="36" t="str">
        <f t="shared" si="204"/>
        <v/>
      </c>
      <c r="Q2194" s="216" t="str">
        <f t="shared" si="205"/>
        <v/>
      </c>
      <c r="R2194" s="216" t="str">
        <f t="shared" si="206"/>
        <v/>
      </c>
      <c r="S2194" s="217" t="str">
        <f t="shared" si="207"/>
        <v/>
      </c>
    </row>
    <row r="2195" spans="1:19" ht="25.5" x14ac:dyDescent="0.25">
      <c r="A2195" s="262"/>
      <c r="B2195" s="260"/>
      <c r="C2195" s="35" t="s">
        <v>568</v>
      </c>
      <c r="D2195" s="46" t="s">
        <v>69</v>
      </c>
      <c r="E2195" s="36">
        <v>1.0210999999999999</v>
      </c>
      <c r="F2195" s="33">
        <v>60.182499999999997</v>
      </c>
      <c r="G2195" s="33">
        <f t="shared" ref="G2195:G2242" si="208">IF(ISNUMBER(F2195),E2195*F2195,"")</f>
        <v>61.452350749999994</v>
      </c>
      <c r="H2195" s="38">
        <f>SUM(G2195:G2197)</f>
        <v>63.601205149999991</v>
      </c>
      <c r="I2195" s="39"/>
      <c r="J2195" s="152">
        <v>1</v>
      </c>
      <c r="L2195" s="215">
        <v>1.0210999999999999</v>
      </c>
      <c r="M2195" s="33">
        <v>51.516219999999997</v>
      </c>
      <c r="N2195" s="33">
        <f t="shared" ref="N2195:N2242" si="209">IF(ISNUMBER(M2195),L2195*M2195,"")</f>
        <v>52.603212241999991</v>
      </c>
      <c r="O2195" s="38">
        <f>SUM(N2195:N2197)</f>
        <v>54.442631608399992</v>
      </c>
      <c r="P2195" s="36" t="str">
        <f t="shared" si="204"/>
        <v/>
      </c>
      <c r="Q2195" s="216">
        <f t="shared" si="205"/>
        <v>0.14400000000000002</v>
      </c>
      <c r="R2195" s="216">
        <f t="shared" si="206"/>
        <v>0.14400000000000002</v>
      </c>
      <c r="S2195" s="217">
        <f t="shared" si="207"/>
        <v>0.14400000000000002</v>
      </c>
    </row>
    <row r="2196" spans="1:19" ht="25.5" x14ac:dyDescent="0.25">
      <c r="A2196" s="262"/>
      <c r="B2196" s="260"/>
      <c r="C2196" s="35" t="s">
        <v>824</v>
      </c>
      <c r="D2196" s="35" t="s">
        <v>583</v>
      </c>
      <c r="E2196" s="36">
        <f>0.064*0.7</f>
        <v>4.48E-2</v>
      </c>
      <c r="F2196" s="30">
        <v>21.166</v>
      </c>
      <c r="G2196" s="33">
        <f t="shared" si="208"/>
        <v>0.94823679999999999</v>
      </c>
      <c r="H2196" s="34"/>
      <c r="I2196" s="30"/>
      <c r="J2196" s="152">
        <v>1</v>
      </c>
      <c r="L2196" s="215">
        <v>4.48E-2</v>
      </c>
      <c r="M2196" s="30">
        <v>18.118096000000001</v>
      </c>
      <c r="N2196" s="33">
        <f t="shared" si="209"/>
        <v>0.81169070080000005</v>
      </c>
      <c r="O2196" s="34"/>
      <c r="P2196" s="36" t="str">
        <f t="shared" si="204"/>
        <v/>
      </c>
      <c r="Q2196" s="216">
        <f t="shared" si="205"/>
        <v>0.14399999999999991</v>
      </c>
      <c r="R2196" s="216">
        <f t="shared" si="206"/>
        <v>0.14399999999999991</v>
      </c>
      <c r="S2196" s="217" t="str">
        <f t="shared" si="207"/>
        <v/>
      </c>
    </row>
    <row r="2197" spans="1:19" ht="25.5" x14ac:dyDescent="0.25">
      <c r="A2197" s="262"/>
      <c r="B2197" s="260"/>
      <c r="C2197" s="35" t="s">
        <v>825</v>
      </c>
      <c r="D2197" s="35" t="s">
        <v>583</v>
      </c>
      <c r="E2197" s="36">
        <f>0.064*0.7</f>
        <v>4.48E-2</v>
      </c>
      <c r="F2197" s="30">
        <v>26.799499999999998</v>
      </c>
      <c r="G2197" s="33">
        <f t="shared" si="208"/>
        <v>1.2006176</v>
      </c>
      <c r="H2197" s="34"/>
      <c r="I2197" s="30"/>
      <c r="J2197" s="152">
        <v>1</v>
      </c>
      <c r="L2197" s="215">
        <v>4.48E-2</v>
      </c>
      <c r="M2197" s="30">
        <v>22.940372</v>
      </c>
      <c r="N2197" s="33">
        <f t="shared" si="209"/>
        <v>1.0277286656</v>
      </c>
      <c r="O2197" s="34"/>
      <c r="P2197" s="36" t="str">
        <f t="shared" si="204"/>
        <v/>
      </c>
      <c r="Q2197" s="216">
        <f t="shared" si="205"/>
        <v>0.14399999999999991</v>
      </c>
      <c r="R2197" s="216">
        <f t="shared" si="206"/>
        <v>0.14400000000000002</v>
      </c>
      <c r="S2197" s="217" t="str">
        <f t="shared" si="207"/>
        <v/>
      </c>
    </row>
    <row r="2198" spans="1:19" x14ac:dyDescent="0.25">
      <c r="A2198" s="262"/>
      <c r="B2198" s="260"/>
      <c r="C2198" s="35"/>
      <c r="D2198" s="46"/>
      <c r="E2198" s="36"/>
      <c r="F2198" s="33" t="s">
        <v>416</v>
      </c>
      <c r="G2198" s="33" t="str">
        <f t="shared" si="208"/>
        <v/>
      </c>
      <c r="H2198" s="34"/>
      <c r="I2198" s="30"/>
      <c r="J2198" s="152">
        <v>1</v>
      </c>
      <c r="L2198" s="215"/>
      <c r="M2198" s="33"/>
      <c r="N2198" s="33" t="str">
        <f t="shared" si="209"/>
        <v/>
      </c>
      <c r="O2198" s="34"/>
      <c r="P2198" s="36" t="str">
        <f t="shared" si="204"/>
        <v/>
      </c>
      <c r="Q2198" s="216" t="str">
        <f t="shared" si="205"/>
        <v/>
      </c>
      <c r="R2198" s="216" t="str">
        <f t="shared" si="206"/>
        <v/>
      </c>
      <c r="S2198" s="217" t="str">
        <f t="shared" si="207"/>
        <v/>
      </c>
    </row>
    <row r="2199" spans="1:19" ht="38.25" x14ac:dyDescent="0.25">
      <c r="A2199" s="262"/>
      <c r="B2199" s="260"/>
      <c r="C2199" s="51" t="s">
        <v>529</v>
      </c>
      <c r="D2199" s="46"/>
      <c r="E2199" s="36"/>
      <c r="F2199" s="33" t="s">
        <v>416</v>
      </c>
      <c r="G2199" s="33" t="str">
        <f t="shared" si="208"/>
        <v/>
      </c>
      <c r="H2199" s="34"/>
      <c r="I2199" s="30"/>
      <c r="J2199" s="152">
        <v>1</v>
      </c>
      <c r="L2199" s="215"/>
      <c r="M2199" s="33"/>
      <c r="N2199" s="33" t="str">
        <f t="shared" si="209"/>
        <v/>
      </c>
      <c r="O2199" s="34"/>
      <c r="P2199" s="36" t="str">
        <f t="shared" si="204"/>
        <v/>
      </c>
      <c r="Q2199" s="216" t="str">
        <f t="shared" si="205"/>
        <v/>
      </c>
      <c r="R2199" s="216" t="str">
        <f t="shared" si="206"/>
        <v/>
      </c>
      <c r="S2199" s="217" t="str">
        <f t="shared" si="207"/>
        <v/>
      </c>
    </row>
    <row r="2200" spans="1:19" ht="15.75" thickBot="1" x14ac:dyDescent="0.3">
      <c r="A2200" s="263"/>
      <c r="B2200" s="261"/>
      <c r="C2200" s="35"/>
      <c r="D2200" s="35"/>
      <c r="E2200" s="36"/>
      <c r="F2200" s="30" t="s">
        <v>416</v>
      </c>
      <c r="G2200" s="30" t="str">
        <f t="shared" si="208"/>
        <v/>
      </c>
      <c r="H2200" s="34"/>
      <c r="I2200" s="30"/>
      <c r="J2200" s="152">
        <v>1</v>
      </c>
      <c r="L2200" s="215"/>
      <c r="M2200" s="30"/>
      <c r="N2200" s="30" t="str">
        <f t="shared" si="209"/>
        <v/>
      </c>
      <c r="O2200" s="34"/>
      <c r="P2200" s="36" t="str">
        <f t="shared" si="204"/>
        <v/>
      </c>
      <c r="Q2200" s="216" t="str">
        <f t="shared" si="205"/>
        <v/>
      </c>
      <c r="R2200" s="216" t="str">
        <f t="shared" si="206"/>
        <v/>
      </c>
      <c r="S2200" s="217" t="str">
        <f t="shared" si="207"/>
        <v/>
      </c>
    </row>
    <row r="2201" spans="1:19" ht="15.75" hidden="1" thickBot="1" x14ac:dyDescent="0.3">
      <c r="A2201" s="256" t="s">
        <v>569</v>
      </c>
      <c r="B2201" s="259" t="str">
        <f>INDEX(Orçamentária!A:B,MATCH(Composições!A2201,Orçamentária!A:A,0),2)</f>
        <v>Instalação de armários reaproveitados</v>
      </c>
      <c r="C2201" s="40"/>
      <c r="D2201" s="25" t="s">
        <v>70</v>
      </c>
      <c r="E2201" s="26"/>
      <c r="F2201" s="41" t="s">
        <v>416</v>
      </c>
      <c r="G2201" s="27" t="str">
        <f t="shared" si="208"/>
        <v/>
      </c>
      <c r="H2201" s="28"/>
      <c r="I2201" s="29"/>
      <c r="J2201" s="152">
        <v>0</v>
      </c>
      <c r="L2201" s="218"/>
      <c r="M2201" s="41"/>
      <c r="N2201" s="27" t="str">
        <f t="shared" si="209"/>
        <v/>
      </c>
      <c r="O2201" s="28"/>
      <c r="P2201" s="36" t="str">
        <f t="shared" si="204"/>
        <v/>
      </c>
      <c r="Q2201" s="216" t="str">
        <f t="shared" si="205"/>
        <v/>
      </c>
      <c r="R2201" s="216" t="str">
        <f t="shared" si="206"/>
        <v/>
      </c>
      <c r="S2201" s="217" t="str">
        <f t="shared" si="207"/>
        <v/>
      </c>
    </row>
    <row r="2202" spans="1:19" ht="15.75" hidden="1" thickBot="1" x14ac:dyDescent="0.3">
      <c r="A2202" s="262"/>
      <c r="B2202" s="260"/>
      <c r="C2202" s="31"/>
      <c r="D2202" s="31"/>
      <c r="E2202" s="32"/>
      <c r="F2202" s="42" t="s">
        <v>416</v>
      </c>
      <c r="G2202" s="30" t="str">
        <f t="shared" si="208"/>
        <v/>
      </c>
      <c r="H2202" s="34"/>
      <c r="I2202" s="30"/>
      <c r="J2202" s="152">
        <v>0</v>
      </c>
      <c r="L2202" s="219"/>
      <c r="M2202" s="42"/>
      <c r="N2202" s="30" t="str">
        <f t="shared" si="209"/>
        <v/>
      </c>
      <c r="O2202" s="34"/>
      <c r="P2202" s="36" t="str">
        <f t="shared" si="204"/>
        <v/>
      </c>
      <c r="Q2202" s="216" t="str">
        <f t="shared" si="205"/>
        <v/>
      </c>
      <c r="R2202" s="216" t="str">
        <f t="shared" si="206"/>
        <v/>
      </c>
      <c r="S2202" s="217" t="str">
        <f t="shared" si="207"/>
        <v/>
      </c>
    </row>
    <row r="2203" spans="1:19" ht="15.75" hidden="1" thickBot="1" x14ac:dyDescent="0.3">
      <c r="A2203" s="262"/>
      <c r="B2203" s="260"/>
      <c r="C2203" s="35" t="s">
        <v>2905</v>
      </c>
      <c r="D2203" s="35" t="s">
        <v>583</v>
      </c>
      <c r="E2203" s="36">
        <v>1.8</v>
      </c>
      <c r="F2203" s="30">
        <v>25.4315</v>
      </c>
      <c r="G2203" s="30">
        <f t="shared" si="208"/>
        <v>45.776699999999998</v>
      </c>
      <c r="H2203" s="38">
        <f>SUM(G2203:G2204)</f>
        <v>112.98824999999999</v>
      </c>
      <c r="I2203" s="39"/>
      <c r="J2203" s="152">
        <v>0</v>
      </c>
      <c r="L2203" s="215">
        <v>1.8</v>
      </c>
      <c r="M2203" s="30">
        <v>21.769363999999999</v>
      </c>
      <c r="N2203" s="30">
        <f t="shared" si="209"/>
        <v>39.184855200000001</v>
      </c>
      <c r="O2203" s="38">
        <f>SUM(N2203:N2204)</f>
        <v>96.717941999999994</v>
      </c>
      <c r="P2203" s="36" t="str">
        <f t="shared" si="204"/>
        <v/>
      </c>
      <c r="Q2203" s="216">
        <f t="shared" si="205"/>
        <v>0.14400000000000002</v>
      </c>
      <c r="R2203" s="216">
        <f t="shared" si="206"/>
        <v>0.14399999999999991</v>
      </c>
      <c r="S2203" s="217">
        <f t="shared" si="207"/>
        <v>0.14400000000000002</v>
      </c>
    </row>
    <row r="2204" spans="1:19" ht="15.75" hidden="1" thickBot="1" x14ac:dyDescent="0.3">
      <c r="A2204" s="262"/>
      <c r="B2204" s="260"/>
      <c r="C2204" s="35" t="s">
        <v>660</v>
      </c>
      <c r="D2204" s="35" t="s">
        <v>583</v>
      </c>
      <c r="E2204" s="36">
        <v>3.15</v>
      </c>
      <c r="F2204" s="30">
        <v>21.337</v>
      </c>
      <c r="G2204" s="30">
        <f t="shared" si="208"/>
        <v>67.211550000000003</v>
      </c>
      <c r="H2204" s="34"/>
      <c r="I2204" s="30"/>
      <c r="J2204" s="152">
        <v>0</v>
      </c>
      <c r="L2204" s="215">
        <v>3.15</v>
      </c>
      <c r="M2204" s="30">
        <v>18.264472000000001</v>
      </c>
      <c r="N2204" s="30">
        <f t="shared" si="209"/>
        <v>57.5330868</v>
      </c>
      <c r="O2204" s="34"/>
      <c r="P2204" s="36" t="str">
        <f t="shared" si="204"/>
        <v/>
      </c>
      <c r="Q2204" s="216">
        <f t="shared" si="205"/>
        <v>0.14399999999999991</v>
      </c>
      <c r="R2204" s="216">
        <f t="shared" si="206"/>
        <v>0.14400000000000002</v>
      </c>
      <c r="S2204" s="217" t="str">
        <f t="shared" si="207"/>
        <v/>
      </c>
    </row>
    <row r="2205" spans="1:19" ht="15.75" hidden="1" thickBot="1" x14ac:dyDescent="0.3">
      <c r="A2205" s="263"/>
      <c r="B2205" s="261"/>
      <c r="C2205" s="35"/>
      <c r="D2205" s="35"/>
      <c r="E2205" s="36"/>
      <c r="F2205" s="30" t="s">
        <v>416</v>
      </c>
      <c r="G2205" s="30" t="str">
        <f t="shared" si="208"/>
        <v/>
      </c>
      <c r="H2205" s="34"/>
      <c r="I2205" s="30"/>
      <c r="J2205" s="152">
        <v>0</v>
      </c>
      <c r="L2205" s="215"/>
      <c r="M2205" s="30"/>
      <c r="N2205" s="30" t="str">
        <f t="shared" si="209"/>
        <v/>
      </c>
      <c r="O2205" s="34"/>
      <c r="P2205" s="36" t="str">
        <f t="shared" si="204"/>
        <v/>
      </c>
      <c r="Q2205" s="216" t="str">
        <f t="shared" si="205"/>
        <v/>
      </c>
      <c r="R2205" s="216" t="str">
        <f t="shared" si="206"/>
        <v/>
      </c>
      <c r="S2205" s="217" t="str">
        <f t="shared" si="207"/>
        <v/>
      </c>
    </row>
    <row r="2206" spans="1:19" ht="15.75" hidden="1" thickBot="1" x14ac:dyDescent="0.3">
      <c r="A2206" s="256" t="s">
        <v>570</v>
      </c>
      <c r="B2206" s="259" t="str">
        <f>INDEX(Orçamentária!A:B,MATCH(Composições!A2206,Orçamentária!A:A,0),2)</f>
        <v>Mesa/tampo de MDF, fixada em parede com mão-francesa</v>
      </c>
      <c r="C2206" s="40"/>
      <c r="D2206" s="25" t="s">
        <v>70</v>
      </c>
      <c r="E2206" s="26"/>
      <c r="F2206" s="41" t="s">
        <v>416</v>
      </c>
      <c r="G2206" s="27" t="str">
        <f t="shared" si="208"/>
        <v/>
      </c>
      <c r="H2206" s="28"/>
      <c r="I2206" s="29"/>
      <c r="J2206" s="152">
        <v>0</v>
      </c>
      <c r="L2206" s="218"/>
      <c r="M2206" s="41"/>
      <c r="N2206" s="27" t="str">
        <f t="shared" si="209"/>
        <v/>
      </c>
      <c r="O2206" s="28"/>
      <c r="P2206" s="36" t="str">
        <f t="shared" si="204"/>
        <v/>
      </c>
      <c r="Q2206" s="216" t="str">
        <f t="shared" si="205"/>
        <v/>
      </c>
      <c r="R2206" s="216" t="str">
        <f t="shared" si="206"/>
        <v/>
      </c>
      <c r="S2206" s="217" t="str">
        <f t="shared" si="207"/>
        <v/>
      </c>
    </row>
    <row r="2207" spans="1:19" ht="15.75" hidden="1" thickBot="1" x14ac:dyDescent="0.3">
      <c r="A2207" s="262"/>
      <c r="B2207" s="260"/>
      <c r="C2207" s="31"/>
      <c r="D2207" s="31"/>
      <c r="E2207" s="32"/>
      <c r="F2207" s="42" t="s">
        <v>416</v>
      </c>
      <c r="G2207" s="30" t="str">
        <f t="shared" si="208"/>
        <v/>
      </c>
      <c r="H2207" s="34"/>
      <c r="I2207" s="30"/>
      <c r="J2207" s="152">
        <v>0</v>
      </c>
      <c r="L2207" s="219"/>
      <c r="M2207" s="42"/>
      <c r="N2207" s="30" t="str">
        <f t="shared" si="209"/>
        <v/>
      </c>
      <c r="O2207" s="34"/>
      <c r="P2207" s="36" t="str">
        <f t="shared" si="204"/>
        <v/>
      </c>
      <c r="Q2207" s="216" t="str">
        <f t="shared" si="205"/>
        <v/>
      </c>
      <c r="R2207" s="216" t="str">
        <f t="shared" si="206"/>
        <v/>
      </c>
      <c r="S2207" s="217" t="str">
        <f t="shared" si="207"/>
        <v/>
      </c>
    </row>
    <row r="2208" spans="1:19" ht="15.75" hidden="1" thickBot="1" x14ac:dyDescent="0.3">
      <c r="A2208" s="262"/>
      <c r="B2208" s="260"/>
      <c r="C2208" s="35" t="s">
        <v>2905</v>
      </c>
      <c r="D2208" s="35" t="s">
        <v>583</v>
      </c>
      <c r="E2208" s="36">
        <v>1.8</v>
      </c>
      <c r="F2208" s="30">
        <v>25.4315</v>
      </c>
      <c r="G2208" s="30">
        <f t="shared" si="208"/>
        <v>45.776699999999998</v>
      </c>
      <c r="H2208" s="38">
        <f>SUM(G2208:G2211)</f>
        <v>215.441475</v>
      </c>
      <c r="I2208" s="39"/>
      <c r="J2208" s="152">
        <v>0</v>
      </c>
      <c r="L2208" s="215">
        <v>1.8</v>
      </c>
      <c r="M2208" s="30">
        <v>21.769363999999999</v>
      </c>
      <c r="N2208" s="30">
        <f t="shared" si="209"/>
        <v>39.184855200000001</v>
      </c>
      <c r="O2208" s="38">
        <f>SUM(N2208:N2211)</f>
        <v>184.41790259999999</v>
      </c>
      <c r="P2208" s="36" t="str">
        <f t="shared" si="204"/>
        <v/>
      </c>
      <c r="Q2208" s="216">
        <f t="shared" si="205"/>
        <v>0.14400000000000002</v>
      </c>
      <c r="R2208" s="216">
        <f t="shared" si="206"/>
        <v>0.14399999999999991</v>
      </c>
      <c r="S2208" s="217">
        <f t="shared" si="207"/>
        <v>0.14400000000000002</v>
      </c>
    </row>
    <row r="2209" spans="1:19" ht="15.75" hidden="1" thickBot="1" x14ac:dyDescent="0.3">
      <c r="A2209" s="262"/>
      <c r="B2209" s="260"/>
      <c r="C2209" s="35" t="s">
        <v>660</v>
      </c>
      <c r="D2209" s="35" t="s">
        <v>583</v>
      </c>
      <c r="E2209" s="36">
        <f>3.15/2</f>
        <v>1.575</v>
      </c>
      <c r="F2209" s="30">
        <v>21.337</v>
      </c>
      <c r="G2209" s="33">
        <f t="shared" si="208"/>
        <v>33.605775000000001</v>
      </c>
      <c r="H2209" s="43"/>
      <c r="I2209" s="39"/>
      <c r="J2209" s="152">
        <v>0</v>
      </c>
      <c r="L2209" s="215">
        <v>1.575</v>
      </c>
      <c r="M2209" s="30">
        <v>18.264472000000001</v>
      </c>
      <c r="N2209" s="33">
        <f t="shared" si="209"/>
        <v>28.7665434</v>
      </c>
      <c r="O2209" s="43"/>
      <c r="P2209" s="36" t="str">
        <f t="shared" si="204"/>
        <v/>
      </c>
      <c r="Q2209" s="216">
        <f t="shared" si="205"/>
        <v>0.14399999999999991</v>
      </c>
      <c r="R2209" s="216">
        <f t="shared" si="206"/>
        <v>0.14400000000000002</v>
      </c>
      <c r="S2209" s="217" t="str">
        <f t="shared" si="207"/>
        <v/>
      </c>
    </row>
    <row r="2210" spans="1:19" ht="26.25" hidden="1" thickBot="1" x14ac:dyDescent="0.3">
      <c r="A2210" s="262"/>
      <c r="B2210" s="260"/>
      <c r="C2210" s="35" t="s">
        <v>2941</v>
      </c>
      <c r="D2210" s="35" t="s">
        <v>213</v>
      </c>
      <c r="E2210" s="36">
        <v>2</v>
      </c>
      <c r="F2210" s="33">
        <v>25.4315</v>
      </c>
      <c r="G2210" s="30">
        <f t="shared" si="208"/>
        <v>50.863</v>
      </c>
      <c r="H2210" s="43"/>
      <c r="I2210" s="39"/>
      <c r="J2210" s="152">
        <v>0</v>
      </c>
      <c r="L2210" s="215">
        <v>2</v>
      </c>
      <c r="M2210" s="33">
        <v>21.769363999999999</v>
      </c>
      <c r="N2210" s="30">
        <f t="shared" si="209"/>
        <v>43.538727999999999</v>
      </c>
      <c r="O2210" s="43"/>
      <c r="P2210" s="36" t="str">
        <f t="shared" si="204"/>
        <v/>
      </c>
      <c r="Q2210" s="216">
        <f t="shared" si="205"/>
        <v>0.14400000000000002</v>
      </c>
      <c r="R2210" s="216">
        <f t="shared" si="206"/>
        <v>0.14400000000000002</v>
      </c>
      <c r="S2210" s="217" t="str">
        <f t="shared" si="207"/>
        <v/>
      </c>
    </row>
    <row r="2211" spans="1:19" ht="26.25" hidden="1" thickBot="1" x14ac:dyDescent="0.3">
      <c r="A2211" s="262"/>
      <c r="B2211" s="260"/>
      <c r="C2211" s="35" t="s">
        <v>8060</v>
      </c>
      <c r="D2211" s="35" t="s">
        <v>861</v>
      </c>
      <c r="E2211" s="36">
        <v>1</v>
      </c>
      <c r="F2211" s="33">
        <v>85.195999999999998</v>
      </c>
      <c r="G2211" s="30">
        <f t="shared" si="208"/>
        <v>85.195999999999998</v>
      </c>
      <c r="H2211" s="34"/>
      <c r="I2211" s="30"/>
      <c r="J2211" s="152">
        <v>0</v>
      </c>
      <c r="L2211" s="215">
        <v>1</v>
      </c>
      <c r="M2211" s="33">
        <v>72.927775999999994</v>
      </c>
      <c r="N2211" s="30">
        <f t="shared" si="209"/>
        <v>72.927775999999994</v>
      </c>
      <c r="O2211" s="34"/>
      <c r="P2211" s="36" t="str">
        <f t="shared" si="204"/>
        <v/>
      </c>
      <c r="Q2211" s="216">
        <f t="shared" si="205"/>
        <v>0.14400000000000002</v>
      </c>
      <c r="R2211" s="216">
        <f t="shared" si="206"/>
        <v>0.14400000000000002</v>
      </c>
      <c r="S2211" s="217" t="str">
        <f t="shared" si="207"/>
        <v/>
      </c>
    </row>
    <row r="2212" spans="1:19" ht="15.75" hidden="1" thickBot="1" x14ac:dyDescent="0.3">
      <c r="A2212" s="263"/>
      <c r="B2212" s="261"/>
      <c r="C2212" s="35"/>
      <c r="D2212" s="35"/>
      <c r="E2212" s="36"/>
      <c r="F2212" s="30" t="s">
        <v>416</v>
      </c>
      <c r="G2212" s="30" t="str">
        <f t="shared" si="208"/>
        <v/>
      </c>
      <c r="H2212" s="34"/>
      <c r="I2212" s="30"/>
      <c r="J2212" s="152">
        <v>0</v>
      </c>
      <c r="L2212" s="215"/>
      <c r="M2212" s="30"/>
      <c r="N2212" s="30" t="str">
        <f t="shared" si="209"/>
        <v/>
      </c>
      <c r="O2212" s="34"/>
      <c r="P2212" s="36" t="str">
        <f t="shared" si="204"/>
        <v/>
      </c>
      <c r="Q2212" s="216" t="str">
        <f t="shared" si="205"/>
        <v/>
      </c>
      <c r="R2212" s="216" t="str">
        <f t="shared" si="206"/>
        <v/>
      </c>
      <c r="S2212" s="217" t="str">
        <f t="shared" si="207"/>
        <v/>
      </c>
    </row>
    <row r="2213" spans="1:19" ht="15.75" hidden="1" thickBot="1" x14ac:dyDescent="0.3">
      <c r="A2213" s="256" t="s">
        <v>571</v>
      </c>
      <c r="B2213" s="259" t="str">
        <f>INDEX(Orçamentária!A:B,MATCH(Composições!A2213,Orçamentária!A:A,0),2)</f>
        <v>Painel de TV em compensado</v>
      </c>
      <c r="C2213" s="40"/>
      <c r="D2213" s="25" t="s">
        <v>70</v>
      </c>
      <c r="E2213" s="26"/>
      <c r="F2213" s="41" t="s">
        <v>416</v>
      </c>
      <c r="G2213" s="27" t="str">
        <f t="shared" si="208"/>
        <v/>
      </c>
      <c r="H2213" s="28"/>
      <c r="I2213" s="29"/>
      <c r="J2213" s="152">
        <v>0</v>
      </c>
      <c r="L2213" s="218"/>
      <c r="M2213" s="41"/>
      <c r="N2213" s="27" t="str">
        <f t="shared" si="209"/>
        <v/>
      </c>
      <c r="O2213" s="28"/>
      <c r="P2213" s="36" t="str">
        <f t="shared" si="204"/>
        <v/>
      </c>
      <c r="Q2213" s="216" t="str">
        <f t="shared" si="205"/>
        <v/>
      </c>
      <c r="R2213" s="216" t="str">
        <f t="shared" si="206"/>
        <v/>
      </c>
      <c r="S2213" s="217" t="str">
        <f t="shared" si="207"/>
        <v/>
      </c>
    </row>
    <row r="2214" spans="1:19" ht="15.75" hidden="1" thickBot="1" x14ac:dyDescent="0.3">
      <c r="A2214" s="262"/>
      <c r="B2214" s="260"/>
      <c r="C2214" s="31"/>
      <c r="D2214" s="31"/>
      <c r="E2214" s="32"/>
      <c r="F2214" s="42" t="s">
        <v>416</v>
      </c>
      <c r="G2214" s="30" t="str">
        <f t="shared" si="208"/>
        <v/>
      </c>
      <c r="H2214" s="34"/>
      <c r="I2214" s="30"/>
      <c r="J2214" s="152">
        <v>0</v>
      </c>
      <c r="L2214" s="219"/>
      <c r="M2214" s="42"/>
      <c r="N2214" s="30" t="str">
        <f t="shared" si="209"/>
        <v/>
      </c>
      <c r="O2214" s="34"/>
      <c r="P2214" s="36" t="str">
        <f t="shared" si="204"/>
        <v/>
      </c>
      <c r="Q2214" s="216" t="str">
        <f t="shared" si="205"/>
        <v/>
      </c>
      <c r="R2214" s="216" t="str">
        <f t="shared" si="206"/>
        <v/>
      </c>
      <c r="S2214" s="217" t="str">
        <f t="shared" si="207"/>
        <v/>
      </c>
    </row>
    <row r="2215" spans="1:19" ht="15.75" hidden="1" thickBot="1" x14ac:dyDescent="0.3">
      <c r="A2215" s="262"/>
      <c r="B2215" s="260"/>
      <c r="C2215" s="35" t="s">
        <v>2905</v>
      </c>
      <c r="D2215" s="35" t="s">
        <v>583</v>
      </c>
      <c r="E2215" s="36">
        <v>1.6</v>
      </c>
      <c r="F2215" s="30">
        <v>25.4315</v>
      </c>
      <c r="G2215" s="33">
        <f t="shared" si="208"/>
        <v>40.690400000000004</v>
      </c>
      <c r="H2215" s="38">
        <f>SUM(G2215:G2218)</f>
        <v>233.8596</v>
      </c>
      <c r="I2215" s="39"/>
      <c r="J2215" s="152">
        <v>0</v>
      </c>
      <c r="L2215" s="215">
        <v>1.6</v>
      </c>
      <c r="M2215" s="30">
        <v>21.769363999999999</v>
      </c>
      <c r="N2215" s="33">
        <f t="shared" si="209"/>
        <v>34.830982400000003</v>
      </c>
      <c r="O2215" s="38">
        <f>SUM(N2215:N2218)</f>
        <v>200.1838176</v>
      </c>
      <c r="P2215" s="36" t="str">
        <f t="shared" si="204"/>
        <v/>
      </c>
      <c r="Q2215" s="216">
        <f t="shared" si="205"/>
        <v>0.14400000000000002</v>
      </c>
      <c r="R2215" s="216">
        <f t="shared" si="206"/>
        <v>0.14400000000000002</v>
      </c>
      <c r="S2215" s="217">
        <f t="shared" si="207"/>
        <v>0.14400000000000002</v>
      </c>
    </row>
    <row r="2216" spans="1:19" ht="15.75" hidden="1" thickBot="1" x14ac:dyDescent="0.3">
      <c r="A2216" s="262"/>
      <c r="B2216" s="260"/>
      <c r="C2216" s="35" t="s">
        <v>660</v>
      </c>
      <c r="D2216" s="35" t="s">
        <v>583</v>
      </c>
      <c r="E2216" s="36">
        <v>1.6</v>
      </c>
      <c r="F2216" s="30">
        <v>21.337</v>
      </c>
      <c r="G2216" s="33">
        <f t="shared" si="208"/>
        <v>34.139200000000002</v>
      </c>
      <c r="H2216" s="43"/>
      <c r="I2216" s="39"/>
      <c r="J2216" s="152">
        <v>0</v>
      </c>
      <c r="L2216" s="215">
        <v>1.6</v>
      </c>
      <c r="M2216" s="30">
        <v>18.264472000000001</v>
      </c>
      <c r="N2216" s="33">
        <f t="shared" si="209"/>
        <v>29.223155200000004</v>
      </c>
      <c r="O2216" s="43"/>
      <c r="P2216" s="36" t="str">
        <f t="shared" si="204"/>
        <v/>
      </c>
      <c r="Q2216" s="216">
        <f t="shared" si="205"/>
        <v>0.14399999999999991</v>
      </c>
      <c r="R2216" s="216">
        <f t="shared" si="206"/>
        <v>0.14399999999999991</v>
      </c>
      <c r="S2216" s="217" t="str">
        <f t="shared" si="207"/>
        <v/>
      </c>
    </row>
    <row r="2217" spans="1:19" ht="26.25" hidden="1" thickBot="1" x14ac:dyDescent="0.3">
      <c r="A2217" s="262"/>
      <c r="B2217" s="260"/>
      <c r="C2217" s="35" t="s">
        <v>8067</v>
      </c>
      <c r="D2217" s="35" t="s">
        <v>861</v>
      </c>
      <c r="E2217" s="36">
        <v>1.2</v>
      </c>
      <c r="F2217" s="33">
        <v>132.52500000000001</v>
      </c>
      <c r="G2217" s="30">
        <f t="shared" si="208"/>
        <v>159.03</v>
      </c>
      <c r="H2217" s="34"/>
      <c r="I2217" s="30"/>
      <c r="J2217" s="152">
        <v>0</v>
      </c>
      <c r="L2217" s="215">
        <v>1.2</v>
      </c>
      <c r="M2217" s="33">
        <v>113.4414</v>
      </c>
      <c r="N2217" s="30">
        <f t="shared" si="209"/>
        <v>136.12968000000001</v>
      </c>
      <c r="O2217" s="34"/>
      <c r="P2217" s="36" t="str">
        <f t="shared" si="204"/>
        <v/>
      </c>
      <c r="Q2217" s="216">
        <f t="shared" si="205"/>
        <v>0.14400000000000002</v>
      </c>
      <c r="R2217" s="216">
        <f t="shared" si="206"/>
        <v>0.14399999999999991</v>
      </c>
      <c r="S2217" s="217" t="str">
        <f t="shared" si="207"/>
        <v/>
      </c>
    </row>
    <row r="2218" spans="1:19" ht="15.75" hidden="1" thickBot="1" x14ac:dyDescent="0.3">
      <c r="A2218" s="262"/>
      <c r="B2218" s="260"/>
      <c r="C2218" s="35" t="s">
        <v>6812</v>
      </c>
      <c r="D2218" s="35" t="s">
        <v>70</v>
      </c>
      <c r="E2218" s="36">
        <v>1</v>
      </c>
      <c r="F2218" s="33" t="s">
        <v>416</v>
      </c>
      <c r="G2218" s="30" t="str">
        <f t="shared" si="208"/>
        <v/>
      </c>
      <c r="H2218" s="34"/>
      <c r="I2218" s="30"/>
      <c r="J2218" s="152">
        <v>0</v>
      </c>
      <c r="L2218" s="215">
        <v>1</v>
      </c>
      <c r="M2218" s="33"/>
      <c r="N2218" s="30" t="str">
        <f t="shared" si="209"/>
        <v/>
      </c>
      <c r="O2218" s="34"/>
      <c r="P2218" s="36" t="str">
        <f t="shared" si="204"/>
        <v/>
      </c>
      <c r="Q2218" s="216" t="str">
        <f t="shared" si="205"/>
        <v/>
      </c>
      <c r="R2218" s="216" t="str">
        <f t="shared" si="206"/>
        <v/>
      </c>
      <c r="S2218" s="217" t="str">
        <f t="shared" si="207"/>
        <v/>
      </c>
    </row>
    <row r="2219" spans="1:19" ht="15.75" hidden="1" thickBot="1" x14ac:dyDescent="0.3">
      <c r="A2219" s="263"/>
      <c r="B2219" s="261"/>
      <c r="C2219" s="35"/>
      <c r="D2219" s="35"/>
      <c r="E2219" s="36"/>
      <c r="F2219" s="30" t="s">
        <v>416</v>
      </c>
      <c r="G2219" s="30" t="str">
        <f t="shared" si="208"/>
        <v/>
      </c>
      <c r="H2219" s="34"/>
      <c r="I2219" s="30"/>
      <c r="J2219" s="152">
        <v>0</v>
      </c>
      <c r="L2219" s="215"/>
      <c r="M2219" s="30"/>
      <c r="N2219" s="30" t="str">
        <f t="shared" si="209"/>
        <v/>
      </c>
      <c r="O2219" s="34"/>
      <c r="P2219" s="36" t="str">
        <f t="shared" si="204"/>
        <v/>
      </c>
      <c r="Q2219" s="216" t="str">
        <f t="shared" si="205"/>
        <v/>
      </c>
      <c r="R2219" s="216" t="str">
        <f t="shared" si="206"/>
        <v/>
      </c>
      <c r="S2219" s="217" t="str">
        <f t="shared" si="207"/>
        <v/>
      </c>
    </row>
    <row r="2220" spans="1:19" ht="15.75" hidden="1" thickBot="1" x14ac:dyDescent="0.3">
      <c r="A2220" s="256" t="s">
        <v>572</v>
      </c>
      <c r="B2220" s="259" t="str">
        <f>INDEX(Orçamentária!A:B,MATCH(Composições!A2220,Orçamentária!A:A,0),2)</f>
        <v>Painel de TV em MDF</v>
      </c>
      <c r="C2220" s="40"/>
      <c r="D2220" s="25" t="s">
        <v>70</v>
      </c>
      <c r="E2220" s="26"/>
      <c r="F2220" s="41" t="s">
        <v>416</v>
      </c>
      <c r="G2220" s="27" t="str">
        <f t="shared" si="208"/>
        <v/>
      </c>
      <c r="H2220" s="28"/>
      <c r="I2220" s="29"/>
      <c r="J2220" s="152">
        <v>0</v>
      </c>
      <c r="L2220" s="218"/>
      <c r="M2220" s="41"/>
      <c r="N2220" s="27" t="str">
        <f t="shared" si="209"/>
        <v/>
      </c>
      <c r="O2220" s="28"/>
      <c r="P2220" s="36" t="str">
        <f t="shared" si="204"/>
        <v/>
      </c>
      <c r="Q2220" s="216" t="str">
        <f t="shared" si="205"/>
        <v/>
      </c>
      <c r="R2220" s="216" t="str">
        <f t="shared" si="206"/>
        <v/>
      </c>
      <c r="S2220" s="217" t="str">
        <f t="shared" si="207"/>
        <v/>
      </c>
    </row>
    <row r="2221" spans="1:19" ht="15.75" hidden="1" thickBot="1" x14ac:dyDescent="0.3">
      <c r="A2221" s="262"/>
      <c r="B2221" s="260"/>
      <c r="C2221" s="31"/>
      <c r="D2221" s="31"/>
      <c r="E2221" s="32"/>
      <c r="F2221" s="42" t="s">
        <v>416</v>
      </c>
      <c r="G2221" s="30" t="str">
        <f t="shared" si="208"/>
        <v/>
      </c>
      <c r="H2221" s="34"/>
      <c r="I2221" s="30"/>
      <c r="J2221" s="152">
        <v>0</v>
      </c>
      <c r="L2221" s="219"/>
      <c r="M2221" s="42"/>
      <c r="N2221" s="30" t="str">
        <f t="shared" si="209"/>
        <v/>
      </c>
      <c r="O2221" s="34"/>
      <c r="P2221" s="36" t="str">
        <f t="shared" si="204"/>
        <v/>
      </c>
      <c r="Q2221" s="216" t="str">
        <f t="shared" si="205"/>
        <v/>
      </c>
      <c r="R2221" s="216" t="str">
        <f t="shared" si="206"/>
        <v/>
      </c>
      <c r="S2221" s="217" t="str">
        <f t="shared" si="207"/>
        <v/>
      </c>
    </row>
    <row r="2222" spans="1:19" ht="15.75" hidden="1" thickBot="1" x14ac:dyDescent="0.3">
      <c r="A2222" s="262"/>
      <c r="B2222" s="260"/>
      <c r="C2222" s="35" t="s">
        <v>2905</v>
      </c>
      <c r="D2222" s="35" t="s">
        <v>583</v>
      </c>
      <c r="E2222" s="36">
        <v>2.4</v>
      </c>
      <c r="F2222" s="30">
        <v>25.4315</v>
      </c>
      <c r="G2222" s="33">
        <f t="shared" si="208"/>
        <v>61.035599999999995</v>
      </c>
      <c r="H2222" s="38">
        <f>SUM(G2222:G2224)</f>
        <v>179.0598</v>
      </c>
      <c r="I2222" s="39"/>
      <c r="J2222" s="152">
        <v>0</v>
      </c>
      <c r="L2222" s="215">
        <v>2.4</v>
      </c>
      <c r="M2222" s="30">
        <v>21.769363999999999</v>
      </c>
      <c r="N2222" s="33">
        <f t="shared" si="209"/>
        <v>52.246473599999995</v>
      </c>
      <c r="O2222" s="38">
        <f>SUM(N2222:N2224)</f>
        <v>153.2751888</v>
      </c>
      <c r="P2222" s="36" t="str">
        <f t="shared" si="204"/>
        <v/>
      </c>
      <c r="Q2222" s="216">
        <f t="shared" si="205"/>
        <v>0.14400000000000002</v>
      </c>
      <c r="R2222" s="216">
        <f t="shared" si="206"/>
        <v>0.14400000000000002</v>
      </c>
      <c r="S2222" s="217">
        <f t="shared" si="207"/>
        <v>0.14400000000000002</v>
      </c>
    </row>
    <row r="2223" spans="1:19" ht="15.75" hidden="1" thickBot="1" x14ac:dyDescent="0.3">
      <c r="A2223" s="262"/>
      <c r="B2223" s="260"/>
      <c r="C2223" s="35" t="s">
        <v>660</v>
      </c>
      <c r="D2223" s="35" t="s">
        <v>583</v>
      </c>
      <c r="E2223" s="36">
        <v>2.4</v>
      </c>
      <c r="F2223" s="30">
        <v>21.337</v>
      </c>
      <c r="G2223" s="33">
        <f t="shared" si="208"/>
        <v>51.208799999999997</v>
      </c>
      <c r="H2223" s="34"/>
      <c r="I2223" s="30"/>
      <c r="J2223" s="152">
        <v>0</v>
      </c>
      <c r="L2223" s="215">
        <v>2.4</v>
      </c>
      <c r="M2223" s="30">
        <v>18.264472000000001</v>
      </c>
      <c r="N2223" s="33">
        <f t="shared" si="209"/>
        <v>43.834732800000005</v>
      </c>
      <c r="O2223" s="34"/>
      <c r="P2223" s="36" t="str">
        <f t="shared" si="204"/>
        <v/>
      </c>
      <c r="Q2223" s="216">
        <f t="shared" si="205"/>
        <v>0.14399999999999991</v>
      </c>
      <c r="R2223" s="216">
        <f t="shared" si="206"/>
        <v>0.14399999999999979</v>
      </c>
      <c r="S2223" s="217" t="str">
        <f t="shared" si="207"/>
        <v/>
      </c>
    </row>
    <row r="2224" spans="1:19" ht="15.75" hidden="1" thickBot="1" x14ac:dyDescent="0.3">
      <c r="A2224" s="262"/>
      <c r="B2224" s="260"/>
      <c r="C2224" s="35" t="s">
        <v>8059</v>
      </c>
      <c r="D2224" s="35" t="s">
        <v>861</v>
      </c>
      <c r="E2224" s="36">
        <v>1.2</v>
      </c>
      <c r="F2224" s="33">
        <v>55.679499999999997</v>
      </c>
      <c r="G2224" s="30">
        <f t="shared" si="208"/>
        <v>66.815399999999997</v>
      </c>
      <c r="H2224" s="34"/>
      <c r="I2224" s="30"/>
      <c r="J2224" s="152">
        <v>0</v>
      </c>
      <c r="L2224" s="215">
        <v>1.2</v>
      </c>
      <c r="M2224" s="33">
        <v>47.661651999999997</v>
      </c>
      <c r="N2224" s="30">
        <f t="shared" si="209"/>
        <v>57.193982399999996</v>
      </c>
      <c r="O2224" s="34"/>
      <c r="P2224" s="36" t="str">
        <f t="shared" si="204"/>
        <v/>
      </c>
      <c r="Q2224" s="216">
        <f t="shared" si="205"/>
        <v>0.14400000000000002</v>
      </c>
      <c r="R2224" s="216">
        <f t="shared" si="206"/>
        <v>0.14400000000000002</v>
      </c>
      <c r="S2224" s="217" t="str">
        <f t="shared" si="207"/>
        <v/>
      </c>
    </row>
    <row r="2225" spans="1:19" ht="15.75" hidden="1" thickBot="1" x14ac:dyDescent="0.3">
      <c r="A2225" s="263"/>
      <c r="B2225" s="261"/>
      <c r="C2225" s="35"/>
      <c r="D2225" s="35"/>
      <c r="E2225" s="36"/>
      <c r="F2225" s="30" t="s">
        <v>416</v>
      </c>
      <c r="G2225" s="30" t="str">
        <f t="shared" si="208"/>
        <v/>
      </c>
      <c r="H2225" s="34"/>
      <c r="I2225" s="30"/>
      <c r="J2225" s="152">
        <v>0</v>
      </c>
      <c r="L2225" s="215"/>
      <c r="M2225" s="30"/>
      <c r="N2225" s="30" t="str">
        <f t="shared" si="209"/>
        <v/>
      </c>
      <c r="O2225" s="34"/>
      <c r="P2225" s="36" t="str">
        <f t="shared" si="204"/>
        <v/>
      </c>
      <c r="Q2225" s="216" t="str">
        <f t="shared" si="205"/>
        <v/>
      </c>
      <c r="R2225" s="216" t="str">
        <f t="shared" si="206"/>
        <v/>
      </c>
      <c r="S2225" s="217" t="str">
        <f t="shared" si="207"/>
        <v/>
      </c>
    </row>
    <row r="2226" spans="1:19" ht="15.75" hidden="1" thickBot="1" x14ac:dyDescent="0.3">
      <c r="A2226" s="256" t="s">
        <v>573</v>
      </c>
      <c r="B2226" s="259" t="str">
        <f>INDEX(Orçamentária!A:B,MATCH(Composições!A2226,Orçamentária!A:A,0),2)</f>
        <v>Painel para TV de 90 x 120 cm</v>
      </c>
      <c r="C2226" s="40"/>
      <c r="D2226" s="25" t="s">
        <v>16</v>
      </c>
      <c r="E2226" s="26"/>
      <c r="F2226" s="41" t="s">
        <v>416</v>
      </c>
      <c r="G2226" s="27" t="str">
        <f t="shared" si="208"/>
        <v/>
      </c>
      <c r="H2226" s="28"/>
      <c r="I2226" s="29"/>
      <c r="J2226" s="152">
        <v>0</v>
      </c>
      <c r="L2226" s="218"/>
      <c r="M2226" s="41"/>
      <c r="N2226" s="27" t="str">
        <f t="shared" si="209"/>
        <v/>
      </c>
      <c r="O2226" s="28"/>
      <c r="P2226" s="36" t="str">
        <f t="shared" si="204"/>
        <v/>
      </c>
      <c r="Q2226" s="216" t="str">
        <f t="shared" si="205"/>
        <v/>
      </c>
      <c r="R2226" s="216" t="str">
        <f t="shared" si="206"/>
        <v/>
      </c>
      <c r="S2226" s="217" t="str">
        <f t="shared" si="207"/>
        <v/>
      </c>
    </row>
    <row r="2227" spans="1:19" ht="15.75" hidden="1" thickBot="1" x14ac:dyDescent="0.3">
      <c r="A2227" s="262"/>
      <c r="B2227" s="260"/>
      <c r="C2227" s="31"/>
      <c r="D2227" s="31"/>
      <c r="E2227" s="32"/>
      <c r="F2227" s="42" t="s">
        <v>416</v>
      </c>
      <c r="G2227" s="30" t="str">
        <f t="shared" si="208"/>
        <v/>
      </c>
      <c r="H2227" s="34"/>
      <c r="I2227" s="30"/>
      <c r="J2227" s="152">
        <v>0</v>
      </c>
      <c r="L2227" s="219"/>
      <c r="M2227" s="42"/>
      <c r="N2227" s="30" t="str">
        <f t="shared" si="209"/>
        <v/>
      </c>
      <c r="O2227" s="34"/>
      <c r="P2227" s="36" t="str">
        <f t="shared" si="204"/>
        <v/>
      </c>
      <c r="Q2227" s="216" t="str">
        <f t="shared" si="205"/>
        <v/>
      </c>
      <c r="R2227" s="216" t="str">
        <f t="shared" si="206"/>
        <v/>
      </c>
      <c r="S2227" s="217" t="str">
        <f t="shared" si="207"/>
        <v/>
      </c>
    </row>
    <row r="2228" spans="1:19" ht="15.75" hidden="1" thickBot="1" x14ac:dyDescent="0.3">
      <c r="A2228" s="262"/>
      <c r="B2228" s="260"/>
      <c r="C2228" s="35" t="s">
        <v>2905</v>
      </c>
      <c r="D2228" s="35" t="s">
        <v>583</v>
      </c>
      <c r="E2228" s="36">
        <v>1</v>
      </c>
      <c r="F2228" s="30">
        <v>25.4315</v>
      </c>
      <c r="G2228" s="33">
        <f t="shared" si="208"/>
        <v>25.4315</v>
      </c>
      <c r="H2228" s="38">
        <f>SUM(G2228:G2230)</f>
        <v>46.768500000000003</v>
      </c>
      <c r="I2228" s="39"/>
      <c r="J2228" s="152">
        <v>0</v>
      </c>
      <c r="L2228" s="215">
        <v>1</v>
      </c>
      <c r="M2228" s="30">
        <v>21.769363999999999</v>
      </c>
      <c r="N2228" s="33">
        <f t="shared" si="209"/>
        <v>21.769363999999999</v>
      </c>
      <c r="O2228" s="38">
        <f>SUM(N2228:N2230)</f>
        <v>40.033836000000001</v>
      </c>
      <c r="P2228" s="36" t="str">
        <f t="shared" si="204"/>
        <v/>
      </c>
      <c r="Q2228" s="216">
        <f t="shared" si="205"/>
        <v>0.14400000000000002</v>
      </c>
      <c r="R2228" s="216">
        <f t="shared" si="206"/>
        <v>0.14400000000000002</v>
      </c>
      <c r="S2228" s="217">
        <f t="shared" si="207"/>
        <v>0.14400000000000002</v>
      </c>
    </row>
    <row r="2229" spans="1:19" ht="15.75" hidden="1" thickBot="1" x14ac:dyDescent="0.3">
      <c r="A2229" s="262"/>
      <c r="B2229" s="260"/>
      <c r="C2229" s="35" t="s">
        <v>660</v>
      </c>
      <c r="D2229" s="35" t="s">
        <v>583</v>
      </c>
      <c r="E2229" s="36">
        <v>1</v>
      </c>
      <c r="F2229" s="30">
        <v>21.337</v>
      </c>
      <c r="G2229" s="33">
        <f t="shared" si="208"/>
        <v>21.337</v>
      </c>
      <c r="H2229" s="34"/>
      <c r="I2229" s="30"/>
      <c r="J2229" s="152">
        <v>0</v>
      </c>
      <c r="L2229" s="215">
        <v>1</v>
      </c>
      <c r="M2229" s="30">
        <v>18.264472000000001</v>
      </c>
      <c r="N2229" s="33">
        <f t="shared" si="209"/>
        <v>18.264472000000001</v>
      </c>
      <c r="O2229" s="34"/>
      <c r="P2229" s="36" t="str">
        <f t="shared" si="204"/>
        <v/>
      </c>
      <c r="Q2229" s="216">
        <f t="shared" si="205"/>
        <v>0.14399999999999991</v>
      </c>
      <c r="R2229" s="216">
        <f t="shared" si="206"/>
        <v>0.14399999999999991</v>
      </c>
      <c r="S2229" s="217" t="str">
        <f t="shared" si="207"/>
        <v/>
      </c>
    </row>
    <row r="2230" spans="1:19" ht="26.25" hidden="1" thickBot="1" x14ac:dyDescent="0.3">
      <c r="A2230" s="262"/>
      <c r="B2230" s="260"/>
      <c r="C2230" s="35" t="s">
        <v>574</v>
      </c>
      <c r="D2230" s="35" t="s">
        <v>16</v>
      </c>
      <c r="E2230" s="36">
        <v>1</v>
      </c>
      <c r="F2230" s="33" t="s">
        <v>416</v>
      </c>
      <c r="G2230" s="30" t="str">
        <f t="shared" si="208"/>
        <v/>
      </c>
      <c r="H2230" s="34"/>
      <c r="I2230" s="30"/>
      <c r="J2230" s="152">
        <v>0</v>
      </c>
      <c r="L2230" s="215">
        <v>1</v>
      </c>
      <c r="M2230" s="33"/>
      <c r="N2230" s="30" t="str">
        <f t="shared" si="209"/>
        <v/>
      </c>
      <c r="O2230" s="34"/>
      <c r="P2230" s="36" t="str">
        <f t="shared" si="204"/>
        <v/>
      </c>
      <c r="Q2230" s="216" t="str">
        <f t="shared" si="205"/>
        <v/>
      </c>
      <c r="R2230" s="216" t="str">
        <f t="shared" si="206"/>
        <v/>
      </c>
      <c r="S2230" s="217" t="str">
        <f t="shared" si="207"/>
        <v/>
      </c>
    </row>
    <row r="2231" spans="1:19" ht="15.75" hidden="1" thickBot="1" x14ac:dyDescent="0.3">
      <c r="A2231" s="263"/>
      <c r="B2231" s="261"/>
      <c r="C2231" s="35"/>
      <c r="D2231" s="35"/>
      <c r="E2231" s="36"/>
      <c r="F2231" s="30" t="s">
        <v>416</v>
      </c>
      <c r="G2231" s="30" t="str">
        <f t="shared" si="208"/>
        <v/>
      </c>
      <c r="H2231" s="34"/>
      <c r="I2231" s="30"/>
      <c r="J2231" s="152">
        <v>0</v>
      </c>
      <c r="L2231" s="215"/>
      <c r="M2231" s="30"/>
      <c r="N2231" s="30" t="str">
        <f t="shared" si="209"/>
        <v/>
      </c>
      <c r="O2231" s="34"/>
      <c r="P2231" s="36" t="str">
        <f t="shared" si="204"/>
        <v/>
      </c>
      <c r="Q2231" s="216" t="str">
        <f t="shared" si="205"/>
        <v/>
      </c>
      <c r="R2231" s="216" t="str">
        <f t="shared" si="206"/>
        <v/>
      </c>
      <c r="S2231" s="217" t="str">
        <f t="shared" si="207"/>
        <v/>
      </c>
    </row>
    <row r="2232" spans="1:19" ht="15.75" hidden="1" thickBot="1" x14ac:dyDescent="0.3">
      <c r="A2232" s="256" t="s">
        <v>575</v>
      </c>
      <c r="B2232" s="259" t="str">
        <f>INDEX(Orçamentária!A:B,MATCH(Composições!A2232,Orçamentária!A:A,0),2)</f>
        <v>Batentes e guarnições em madeira, com verniz ou esmalte</v>
      </c>
      <c r="C2232" s="40"/>
      <c r="D2232" s="25" t="s">
        <v>16</v>
      </c>
      <c r="E2232" s="26"/>
      <c r="F2232" s="41" t="s">
        <v>416</v>
      </c>
      <c r="G2232" s="27" t="str">
        <f t="shared" si="208"/>
        <v/>
      </c>
      <c r="H2232" s="28"/>
      <c r="I2232" s="29"/>
      <c r="J2232" s="152">
        <v>0</v>
      </c>
      <c r="L2232" s="218"/>
      <c r="M2232" s="41"/>
      <c r="N2232" s="27" t="str">
        <f t="shared" si="209"/>
        <v/>
      </c>
      <c r="O2232" s="28"/>
      <c r="P2232" s="36" t="str">
        <f t="shared" si="204"/>
        <v/>
      </c>
      <c r="Q2232" s="216" t="str">
        <f t="shared" si="205"/>
        <v/>
      </c>
      <c r="R2232" s="216" t="str">
        <f t="shared" si="206"/>
        <v/>
      </c>
      <c r="S2232" s="217" t="str">
        <f t="shared" si="207"/>
        <v/>
      </c>
    </row>
    <row r="2233" spans="1:19" ht="15.75" hidden="1" thickBot="1" x14ac:dyDescent="0.3">
      <c r="A2233" s="262"/>
      <c r="B2233" s="260"/>
      <c r="C2233" s="31"/>
      <c r="D2233" s="31"/>
      <c r="E2233" s="32"/>
      <c r="F2233" s="42" t="s">
        <v>416</v>
      </c>
      <c r="G2233" s="30" t="str">
        <f t="shared" si="208"/>
        <v/>
      </c>
      <c r="H2233" s="34"/>
      <c r="I2233" s="30"/>
      <c r="J2233" s="152">
        <v>0</v>
      </c>
      <c r="L2233" s="219"/>
      <c r="M2233" s="42"/>
      <c r="N2233" s="30" t="str">
        <f t="shared" si="209"/>
        <v/>
      </c>
      <c r="O2233" s="34"/>
      <c r="P2233" s="36" t="str">
        <f t="shared" si="204"/>
        <v/>
      </c>
      <c r="Q2233" s="216" t="str">
        <f t="shared" si="205"/>
        <v/>
      </c>
      <c r="R2233" s="216" t="str">
        <f t="shared" si="206"/>
        <v/>
      </c>
      <c r="S2233" s="217" t="str">
        <f t="shared" si="207"/>
        <v/>
      </c>
    </row>
    <row r="2234" spans="1:19" ht="51.75" hidden="1" thickBot="1" x14ac:dyDescent="0.3">
      <c r="A2234" s="262"/>
      <c r="B2234" s="260"/>
      <c r="C2234" s="35" t="s">
        <v>8523</v>
      </c>
      <c r="D2234" s="35" t="s">
        <v>1273</v>
      </c>
      <c r="E2234" s="36">
        <v>1</v>
      </c>
      <c r="F2234" s="33">
        <v>152.9785</v>
      </c>
      <c r="G2234" s="33">
        <f t="shared" si="208"/>
        <v>152.9785</v>
      </c>
      <c r="H2234" s="38">
        <f>SUM(G2234:G2242)</f>
        <v>322.13263004999999</v>
      </c>
      <c r="I2234" s="39"/>
      <c r="J2234" s="152">
        <v>0</v>
      </c>
      <c r="L2234" s="215">
        <v>1</v>
      </c>
      <c r="M2234" s="33">
        <v>130.94959599999999</v>
      </c>
      <c r="N2234" s="33">
        <f t="shared" si="209"/>
        <v>130.94959599999999</v>
      </c>
      <c r="O2234" s="38">
        <f>SUM(N2234:N2242)</f>
        <v>275.74553132279993</v>
      </c>
      <c r="P2234" s="36" t="str">
        <f t="shared" si="204"/>
        <v/>
      </c>
      <c r="Q2234" s="216">
        <f t="shared" si="205"/>
        <v>0.14400000000000013</v>
      </c>
      <c r="R2234" s="216">
        <f t="shared" si="206"/>
        <v>0.14400000000000013</v>
      </c>
      <c r="S2234" s="217">
        <f t="shared" si="207"/>
        <v>0.14400000000000013</v>
      </c>
    </row>
    <row r="2235" spans="1:19" ht="15.75" hidden="1" thickBot="1" x14ac:dyDescent="0.3">
      <c r="A2235" s="262"/>
      <c r="B2235" s="260"/>
      <c r="C2235" s="35" t="s">
        <v>1274</v>
      </c>
      <c r="D2235" s="35" t="s">
        <v>773</v>
      </c>
      <c r="E2235" s="36">
        <v>1.0999999999999999E-2</v>
      </c>
      <c r="F2235" s="33">
        <v>28.462</v>
      </c>
      <c r="G2235" s="33">
        <f t="shared" si="208"/>
        <v>0.31308199999999997</v>
      </c>
      <c r="H2235" s="34"/>
      <c r="I2235" s="30"/>
      <c r="J2235" s="152">
        <v>0</v>
      </c>
      <c r="L2235" s="215">
        <v>1.0999999999999999E-2</v>
      </c>
      <c r="M2235" s="33">
        <v>24.363472000000002</v>
      </c>
      <c r="N2235" s="33">
        <f t="shared" si="209"/>
        <v>0.26799819200000002</v>
      </c>
      <c r="O2235" s="34"/>
      <c r="P2235" s="36" t="str">
        <f t="shared" si="204"/>
        <v/>
      </c>
      <c r="Q2235" s="216">
        <f t="shared" si="205"/>
        <v>0.14399999999999991</v>
      </c>
      <c r="R2235" s="216">
        <f t="shared" si="206"/>
        <v>0.14399999999999979</v>
      </c>
      <c r="S2235" s="217" t="str">
        <f t="shared" si="207"/>
        <v/>
      </c>
    </row>
    <row r="2236" spans="1:19" ht="15.75" hidden="1" thickBot="1" x14ac:dyDescent="0.3">
      <c r="A2236" s="262"/>
      <c r="B2236" s="260"/>
      <c r="C2236" s="35" t="s">
        <v>73</v>
      </c>
      <c r="D2236" s="35" t="s">
        <v>773</v>
      </c>
      <c r="E2236" s="36">
        <v>2.4E-2</v>
      </c>
      <c r="F2236" s="30">
        <v>21.602999999999998</v>
      </c>
      <c r="G2236" s="33">
        <f t="shared" si="208"/>
        <v>0.51847199999999993</v>
      </c>
      <c r="H2236" s="34"/>
      <c r="I2236" s="30"/>
      <c r="J2236" s="152">
        <v>0</v>
      </c>
      <c r="L2236" s="215">
        <v>2.4E-2</v>
      </c>
      <c r="M2236" s="30">
        <v>18.492167999999999</v>
      </c>
      <c r="N2236" s="33">
        <f t="shared" si="209"/>
        <v>0.44381203200000002</v>
      </c>
      <c r="O2236" s="34"/>
      <c r="P2236" s="36" t="str">
        <f t="shared" si="204"/>
        <v/>
      </c>
      <c r="Q2236" s="216">
        <f t="shared" si="205"/>
        <v>0.14399999999999991</v>
      </c>
      <c r="R2236" s="216">
        <f t="shared" si="206"/>
        <v>0.14399999999999979</v>
      </c>
      <c r="S2236" s="217" t="str">
        <f t="shared" si="207"/>
        <v/>
      </c>
    </row>
    <row r="2237" spans="1:19" ht="15.75" hidden="1" thickBot="1" x14ac:dyDescent="0.3">
      <c r="A2237" s="262"/>
      <c r="B2237" s="260"/>
      <c r="C2237" s="35" t="s">
        <v>582</v>
      </c>
      <c r="D2237" s="35" t="s">
        <v>583</v>
      </c>
      <c r="E2237" s="36">
        <f>2.741+0.068</f>
        <v>2.8090000000000002</v>
      </c>
      <c r="F2237" s="30">
        <v>25.725999999999996</v>
      </c>
      <c r="G2237" s="33">
        <f t="shared" si="208"/>
        <v>72.264333999999991</v>
      </c>
      <c r="H2237" s="34"/>
      <c r="I2237" s="30"/>
      <c r="J2237" s="152">
        <v>0</v>
      </c>
      <c r="L2237" s="215">
        <v>2.8090000000000002</v>
      </c>
      <c r="M2237" s="30">
        <v>22.021455999999997</v>
      </c>
      <c r="N2237" s="33">
        <f t="shared" si="209"/>
        <v>61.858269903999997</v>
      </c>
      <c r="O2237" s="34"/>
      <c r="P2237" s="36" t="str">
        <f t="shared" si="204"/>
        <v/>
      </c>
      <c r="Q2237" s="216">
        <f t="shared" si="205"/>
        <v>0.14400000000000002</v>
      </c>
      <c r="R2237" s="216">
        <f t="shared" si="206"/>
        <v>0.14399999999999991</v>
      </c>
      <c r="S2237" s="217" t="str">
        <f t="shared" si="207"/>
        <v/>
      </c>
    </row>
    <row r="2238" spans="1:19" ht="15.75" hidden="1" thickBot="1" x14ac:dyDescent="0.3">
      <c r="A2238" s="262"/>
      <c r="B2238" s="260"/>
      <c r="C2238" s="35" t="s">
        <v>584</v>
      </c>
      <c r="D2238" s="35" t="s">
        <v>583</v>
      </c>
      <c r="E2238" s="36">
        <f>1.375+0.034</f>
        <v>1.409</v>
      </c>
      <c r="F2238" s="30">
        <v>20.225499999999997</v>
      </c>
      <c r="G2238" s="33">
        <f t="shared" si="208"/>
        <v>28.497729499999995</v>
      </c>
      <c r="H2238" s="34"/>
      <c r="I2238" s="30"/>
      <c r="J2238" s="152">
        <v>0</v>
      </c>
      <c r="L2238" s="215">
        <v>1.409</v>
      </c>
      <c r="M2238" s="30">
        <v>17.313027999999996</v>
      </c>
      <c r="N2238" s="33">
        <f t="shared" si="209"/>
        <v>24.394056451999994</v>
      </c>
      <c r="O2238" s="34"/>
      <c r="P2238" s="36" t="str">
        <f t="shared" si="204"/>
        <v/>
      </c>
      <c r="Q2238" s="216">
        <f t="shared" si="205"/>
        <v>0.14400000000000013</v>
      </c>
      <c r="R2238" s="216">
        <f t="shared" si="206"/>
        <v>0.14400000000000002</v>
      </c>
      <c r="S2238" s="217" t="str">
        <f t="shared" si="207"/>
        <v/>
      </c>
    </row>
    <row r="2239" spans="1:19" ht="15.75" hidden="1" thickBot="1" x14ac:dyDescent="0.3">
      <c r="A2239" s="262"/>
      <c r="B2239" s="260"/>
      <c r="C2239" s="35" t="s">
        <v>2937</v>
      </c>
      <c r="D2239" s="35" t="s">
        <v>773</v>
      </c>
      <c r="E2239" s="36">
        <v>6.0000000000000001E-3</v>
      </c>
      <c r="F2239" s="30">
        <v>24.281999999999996</v>
      </c>
      <c r="G2239" s="33">
        <f t="shared" si="208"/>
        <v>0.14569199999999999</v>
      </c>
      <c r="H2239" s="34"/>
      <c r="I2239" s="30"/>
      <c r="J2239" s="152">
        <v>0</v>
      </c>
      <c r="L2239" s="215">
        <v>6.0000000000000001E-3</v>
      </c>
      <c r="M2239" s="30">
        <v>20.785391999999998</v>
      </c>
      <c r="N2239" s="33">
        <f t="shared" si="209"/>
        <v>0.12471235199999998</v>
      </c>
      <c r="O2239" s="34"/>
      <c r="P2239" s="36" t="str">
        <f t="shared" si="204"/>
        <v/>
      </c>
      <c r="Q2239" s="216">
        <f t="shared" si="205"/>
        <v>0.14399999999999991</v>
      </c>
      <c r="R2239" s="216">
        <f t="shared" si="206"/>
        <v>0.14400000000000002</v>
      </c>
      <c r="S2239" s="217" t="str">
        <f t="shared" si="207"/>
        <v/>
      </c>
    </row>
    <row r="2240" spans="1:19" ht="39" hidden="1" thickBot="1" x14ac:dyDescent="0.3">
      <c r="A2240" s="262"/>
      <c r="B2240" s="260"/>
      <c r="C2240" s="35" t="s">
        <v>8524</v>
      </c>
      <c r="D2240" s="35" t="s">
        <v>385</v>
      </c>
      <c r="E2240" s="36">
        <f>(2.1*2+0.8)*1.163</f>
        <v>5.8150000000000004</v>
      </c>
      <c r="F2240" s="33">
        <v>8.9774999999999991</v>
      </c>
      <c r="G2240" s="33">
        <f t="shared" si="208"/>
        <v>52.204162499999995</v>
      </c>
      <c r="H2240" s="34"/>
      <c r="I2240" s="30"/>
      <c r="J2240" s="152">
        <v>0</v>
      </c>
      <c r="L2240" s="215">
        <v>5.8150000000000004</v>
      </c>
      <c r="M2240" s="33">
        <v>7.6847399999999997</v>
      </c>
      <c r="N2240" s="33">
        <f t="shared" si="209"/>
        <v>44.6867631</v>
      </c>
      <c r="O2240" s="34"/>
      <c r="P2240" s="36" t="str">
        <f t="shared" si="204"/>
        <v/>
      </c>
      <c r="Q2240" s="216">
        <f t="shared" si="205"/>
        <v>0.14399999999999991</v>
      </c>
      <c r="R2240" s="216">
        <f t="shared" si="206"/>
        <v>0.14399999999999991</v>
      </c>
      <c r="S2240" s="217" t="str">
        <f t="shared" si="207"/>
        <v/>
      </c>
    </row>
    <row r="2241" spans="1:19" ht="15.75" hidden="1" thickBot="1" x14ac:dyDescent="0.3">
      <c r="A2241" s="262"/>
      <c r="B2241" s="260"/>
      <c r="C2241" s="35" t="s">
        <v>143</v>
      </c>
      <c r="D2241" s="49" t="s">
        <v>75</v>
      </c>
      <c r="E2241" s="36">
        <f>ROUND(0.108*0.15*(2*2.1+0.8),4)</f>
        <v>8.1000000000000003E-2</v>
      </c>
      <c r="F2241" s="33" t="s">
        <v>416</v>
      </c>
      <c r="G2241" s="30" t="str">
        <f t="shared" si="208"/>
        <v/>
      </c>
      <c r="H2241" s="34"/>
      <c r="I2241" s="30"/>
      <c r="J2241" s="152">
        <v>0</v>
      </c>
      <c r="L2241" s="215">
        <v>8.1000000000000003E-2</v>
      </c>
      <c r="M2241" s="33"/>
      <c r="N2241" s="30" t="str">
        <f t="shared" si="209"/>
        <v/>
      </c>
      <c r="O2241" s="34"/>
      <c r="P2241" s="36" t="str">
        <f t="shared" si="204"/>
        <v/>
      </c>
      <c r="Q2241" s="216" t="str">
        <f t="shared" si="205"/>
        <v/>
      </c>
      <c r="R2241" s="216" t="str">
        <f t="shared" si="206"/>
        <v/>
      </c>
      <c r="S2241" s="217" t="str">
        <f t="shared" si="207"/>
        <v/>
      </c>
    </row>
    <row r="2242" spans="1:19" ht="15.75" hidden="1" thickBot="1" x14ac:dyDescent="0.3">
      <c r="A2242" s="262"/>
      <c r="B2242" s="260"/>
      <c r="C2242" s="35" t="s">
        <v>956</v>
      </c>
      <c r="D2242" s="35" t="s">
        <v>583</v>
      </c>
      <c r="E2242" s="36">
        <f>ROUND(0.7076*0.15*(2*2.1+0.8),4)</f>
        <v>0.53069999999999995</v>
      </c>
      <c r="F2242" s="30">
        <v>28.6615</v>
      </c>
      <c r="G2242" s="30">
        <f t="shared" si="208"/>
        <v>15.210658049999999</v>
      </c>
      <c r="H2242" s="34"/>
      <c r="I2242" s="30"/>
      <c r="J2242" s="152">
        <v>0</v>
      </c>
      <c r="L2242" s="215">
        <v>0.53069999999999995</v>
      </c>
      <c r="M2242" s="30">
        <v>24.534244000000001</v>
      </c>
      <c r="N2242" s="30">
        <f t="shared" si="209"/>
        <v>13.020323290799999</v>
      </c>
      <c r="O2242" s="34"/>
      <c r="P2242" s="36" t="str">
        <f t="shared" si="204"/>
        <v/>
      </c>
      <c r="Q2242" s="216">
        <f t="shared" si="205"/>
        <v>0.14400000000000002</v>
      </c>
      <c r="R2242" s="216">
        <f t="shared" si="206"/>
        <v>0.14400000000000002</v>
      </c>
      <c r="S2242" s="217" t="str">
        <f t="shared" si="207"/>
        <v/>
      </c>
    </row>
    <row r="2243" spans="1:19" ht="15.75" hidden="1" thickBot="1" x14ac:dyDescent="0.3">
      <c r="A2243" s="262"/>
      <c r="B2243" s="260"/>
      <c r="C2243" s="35"/>
      <c r="D2243" s="35"/>
      <c r="E2243" s="36"/>
      <c r="F2243" s="30" t="s">
        <v>416</v>
      </c>
      <c r="G2243" s="30"/>
      <c r="H2243" s="34"/>
      <c r="I2243" s="30"/>
      <c r="J2243" s="152">
        <v>0</v>
      </c>
      <c r="L2243" s="215"/>
      <c r="M2243" s="30"/>
      <c r="N2243" s="30"/>
      <c r="O2243" s="34"/>
      <c r="P2243" s="36" t="str">
        <f t="shared" si="204"/>
        <v/>
      </c>
      <c r="Q2243" s="216" t="str">
        <f t="shared" si="205"/>
        <v/>
      </c>
      <c r="R2243" s="216" t="str">
        <f t="shared" si="206"/>
        <v/>
      </c>
      <c r="S2243" s="217" t="str">
        <f t="shared" si="207"/>
        <v/>
      </c>
    </row>
    <row r="2244" spans="1:19" ht="39" hidden="1" thickBot="1" x14ac:dyDescent="0.3">
      <c r="A2244" s="262"/>
      <c r="B2244" s="260"/>
      <c r="C2244" s="51" t="s">
        <v>2954</v>
      </c>
      <c r="D2244" s="35"/>
      <c r="E2244" s="36"/>
      <c r="F2244" s="30" t="s">
        <v>416</v>
      </c>
      <c r="G2244" s="30"/>
      <c r="H2244" s="34"/>
      <c r="I2244" s="30"/>
      <c r="J2244" s="152">
        <v>0</v>
      </c>
      <c r="L2244" s="215"/>
      <c r="M2244" s="30"/>
      <c r="N2244" s="30"/>
      <c r="O2244" s="34"/>
      <c r="P2244" s="36" t="str">
        <f t="shared" si="204"/>
        <v/>
      </c>
      <c r="Q2244" s="216" t="str">
        <f t="shared" si="205"/>
        <v/>
      </c>
      <c r="R2244" s="216" t="str">
        <f t="shared" si="206"/>
        <v/>
      </c>
      <c r="S2244" s="217" t="str">
        <f t="shared" si="207"/>
        <v/>
      </c>
    </row>
    <row r="2245" spans="1:19" ht="15.75" hidden="1" thickBot="1" x14ac:dyDescent="0.3">
      <c r="A2245" s="263"/>
      <c r="B2245" s="261"/>
      <c r="C2245" s="35"/>
      <c r="D2245" s="35"/>
      <c r="E2245" s="36"/>
      <c r="F2245" s="30" t="s">
        <v>416</v>
      </c>
      <c r="G2245" s="30" t="str">
        <f t="shared" ref="G2245:G2258" si="210">IF(ISNUMBER(F2245),E2245*F2245,"")</f>
        <v/>
      </c>
      <c r="H2245" s="34"/>
      <c r="I2245" s="30"/>
      <c r="J2245" s="152">
        <v>0</v>
      </c>
      <c r="L2245" s="215"/>
      <c r="M2245" s="30"/>
      <c r="N2245" s="30" t="str">
        <f t="shared" ref="N2245:N2258" si="211">IF(ISNUMBER(M2245),L2245*M2245,"")</f>
        <v/>
      </c>
      <c r="O2245" s="34"/>
      <c r="P2245" s="36" t="str">
        <f t="shared" si="204"/>
        <v/>
      </c>
      <c r="Q2245" s="216" t="str">
        <f t="shared" si="205"/>
        <v/>
      </c>
      <c r="R2245" s="216" t="str">
        <f t="shared" si="206"/>
        <v/>
      </c>
      <c r="S2245" s="217" t="str">
        <f t="shared" si="207"/>
        <v/>
      </c>
    </row>
    <row r="2246" spans="1:19" ht="15.75" hidden="1" thickBot="1" x14ac:dyDescent="0.3">
      <c r="A2246" s="256" t="s">
        <v>577</v>
      </c>
      <c r="B2246" s="259" t="str">
        <f>INDEX(Orçamentária!A:B,MATCH(Composições!A2246,Orçamentária!A:A,0),2)</f>
        <v>Chapa de proteção para porta – Linha Acessibilidade</v>
      </c>
      <c r="C2246" s="145"/>
      <c r="D2246" s="25" t="s">
        <v>70</v>
      </c>
      <c r="E2246" s="26"/>
      <c r="F2246" s="41" t="s">
        <v>416</v>
      </c>
      <c r="G2246" s="27" t="str">
        <f t="shared" si="210"/>
        <v/>
      </c>
      <c r="H2246" s="28"/>
      <c r="I2246" s="29"/>
      <c r="J2246" s="152">
        <v>0</v>
      </c>
      <c r="L2246" s="218"/>
      <c r="M2246" s="41"/>
      <c r="N2246" s="27" t="str">
        <f t="shared" si="211"/>
        <v/>
      </c>
      <c r="O2246" s="28"/>
      <c r="P2246" s="36" t="str">
        <f t="shared" si="204"/>
        <v/>
      </c>
      <c r="Q2246" s="216" t="str">
        <f t="shared" si="205"/>
        <v/>
      </c>
      <c r="R2246" s="216" t="str">
        <f t="shared" si="206"/>
        <v/>
      </c>
      <c r="S2246" s="217" t="str">
        <f t="shared" si="207"/>
        <v/>
      </c>
    </row>
    <row r="2247" spans="1:19" ht="15.75" hidden="1" thickBot="1" x14ac:dyDescent="0.3">
      <c r="A2247" s="262"/>
      <c r="B2247" s="260"/>
      <c r="C2247" s="31"/>
      <c r="D2247" s="31"/>
      <c r="E2247" s="32"/>
      <c r="F2247" s="42" t="s">
        <v>416</v>
      </c>
      <c r="G2247" s="30" t="str">
        <f t="shared" si="210"/>
        <v/>
      </c>
      <c r="H2247" s="34"/>
      <c r="I2247" s="30"/>
      <c r="J2247" s="152">
        <v>0</v>
      </c>
      <c r="L2247" s="219"/>
      <c r="M2247" s="42"/>
      <c r="N2247" s="30" t="str">
        <f t="shared" si="211"/>
        <v/>
      </c>
      <c r="O2247" s="34"/>
      <c r="P2247" s="36" t="str">
        <f t="shared" si="204"/>
        <v/>
      </c>
      <c r="Q2247" s="216" t="str">
        <f t="shared" si="205"/>
        <v/>
      </c>
      <c r="R2247" s="216" t="str">
        <f t="shared" si="206"/>
        <v/>
      </c>
      <c r="S2247" s="217" t="str">
        <f t="shared" si="207"/>
        <v/>
      </c>
    </row>
    <row r="2248" spans="1:19" ht="15.75" hidden="1" thickBot="1" x14ac:dyDescent="0.3">
      <c r="A2248" s="262"/>
      <c r="B2248" s="260"/>
      <c r="C2248" s="35" t="s">
        <v>584</v>
      </c>
      <c r="D2248" s="35" t="s">
        <v>583</v>
      </c>
      <c r="E2248" s="36">
        <v>0.3</v>
      </c>
      <c r="F2248" s="30">
        <v>20.225499999999997</v>
      </c>
      <c r="G2248" s="33">
        <f t="shared" si="210"/>
        <v>6.0676499999999987</v>
      </c>
      <c r="H2248" s="38">
        <f>SUM(G2248:G2250)</f>
        <v>13.697099999999999</v>
      </c>
      <c r="I2248" s="39"/>
      <c r="J2248" s="152">
        <v>0</v>
      </c>
      <c r="L2248" s="215">
        <v>0.3</v>
      </c>
      <c r="M2248" s="30">
        <v>17.313027999999996</v>
      </c>
      <c r="N2248" s="33">
        <f t="shared" si="211"/>
        <v>5.1939083999999989</v>
      </c>
      <c r="O2248" s="38">
        <f>SUM(N2248:N2250)</f>
        <v>11.724717599999998</v>
      </c>
      <c r="P2248" s="36" t="str">
        <f t="shared" ref="P2248:P2311" si="212">IF(ISBLANK(L2248),"",IF($E2248&lt;&gt;L2248,"SIM",""))</f>
        <v/>
      </c>
      <c r="Q2248" s="216">
        <f t="shared" ref="Q2248:Q2311" si="213">IF(M2248="","",1-M2248/$F2248)</f>
        <v>0.14400000000000013</v>
      </c>
      <c r="R2248" s="216">
        <f t="shared" ref="R2248:R2311" si="214">IF(N2248="","",1-N2248/$G2248)</f>
        <v>0.14400000000000002</v>
      </c>
      <c r="S2248" s="217">
        <f t="shared" ref="S2248:S2311" si="215">IF(O2248="","",1-O2248/$H2248)</f>
        <v>0.14400000000000002</v>
      </c>
    </row>
    <row r="2249" spans="1:19" ht="15.75" hidden="1" thickBot="1" x14ac:dyDescent="0.3">
      <c r="A2249" s="262"/>
      <c r="B2249" s="260"/>
      <c r="C2249" s="35" t="s">
        <v>2905</v>
      </c>
      <c r="D2249" s="35" t="s">
        <v>583</v>
      </c>
      <c r="E2249" s="36">
        <v>0.3</v>
      </c>
      <c r="F2249" s="30">
        <v>25.4315</v>
      </c>
      <c r="G2249" s="33">
        <f t="shared" si="210"/>
        <v>7.6294499999999994</v>
      </c>
      <c r="H2249" s="44"/>
      <c r="I2249" s="45"/>
      <c r="J2249" s="152">
        <v>0</v>
      </c>
      <c r="L2249" s="215">
        <v>0.3</v>
      </c>
      <c r="M2249" s="30">
        <v>21.769363999999999</v>
      </c>
      <c r="N2249" s="33">
        <f t="shared" si="211"/>
        <v>6.5308091999999993</v>
      </c>
      <c r="O2249" s="44"/>
      <c r="P2249" s="36" t="str">
        <f t="shared" si="212"/>
        <v/>
      </c>
      <c r="Q2249" s="216">
        <f t="shared" si="213"/>
        <v>0.14400000000000002</v>
      </c>
      <c r="R2249" s="216">
        <f t="shared" si="214"/>
        <v>0.14400000000000002</v>
      </c>
      <c r="S2249" s="217" t="str">
        <f t="shared" si="215"/>
        <v/>
      </c>
    </row>
    <row r="2250" spans="1:19" ht="39" hidden="1" thickBot="1" x14ac:dyDescent="0.3">
      <c r="A2250" s="262"/>
      <c r="B2250" s="260"/>
      <c r="C2250" s="35" t="s">
        <v>578</v>
      </c>
      <c r="D2250" s="46" t="s">
        <v>70</v>
      </c>
      <c r="E2250" s="36">
        <v>1</v>
      </c>
      <c r="F2250" s="33" t="s">
        <v>416</v>
      </c>
      <c r="G2250" s="33" t="str">
        <f t="shared" si="210"/>
        <v/>
      </c>
      <c r="H2250" s="34"/>
      <c r="I2250" s="30"/>
      <c r="J2250" s="152">
        <v>0</v>
      </c>
      <c r="L2250" s="215">
        <v>1</v>
      </c>
      <c r="M2250" s="33"/>
      <c r="N2250" s="33" t="str">
        <f t="shared" si="211"/>
        <v/>
      </c>
      <c r="O2250" s="34"/>
      <c r="P2250" s="36" t="str">
        <f t="shared" si="212"/>
        <v/>
      </c>
      <c r="Q2250" s="216" t="str">
        <f t="shared" si="213"/>
        <v/>
      </c>
      <c r="R2250" s="216" t="str">
        <f t="shared" si="214"/>
        <v/>
      </c>
      <c r="S2250" s="217" t="str">
        <f t="shared" si="215"/>
        <v/>
      </c>
    </row>
    <row r="2251" spans="1:19" ht="15.75" hidden="1" thickBot="1" x14ac:dyDescent="0.3">
      <c r="A2251" s="263"/>
      <c r="B2251" s="261"/>
      <c r="C2251" s="35"/>
      <c r="D2251" s="35"/>
      <c r="E2251" s="36"/>
      <c r="F2251" s="30" t="s">
        <v>416</v>
      </c>
      <c r="G2251" s="30" t="str">
        <f t="shared" si="210"/>
        <v/>
      </c>
      <c r="H2251" s="34"/>
      <c r="I2251" s="30"/>
      <c r="J2251" s="152">
        <v>0</v>
      </c>
      <c r="L2251" s="215"/>
      <c r="M2251" s="30"/>
      <c r="N2251" s="30" t="str">
        <f t="shared" si="211"/>
        <v/>
      </c>
      <c r="O2251" s="34"/>
      <c r="P2251" s="36" t="str">
        <f t="shared" si="212"/>
        <v/>
      </c>
      <c r="Q2251" s="216" t="str">
        <f t="shared" si="213"/>
        <v/>
      </c>
      <c r="R2251" s="216" t="str">
        <f t="shared" si="214"/>
        <v/>
      </c>
      <c r="S2251" s="217" t="str">
        <f t="shared" si="215"/>
        <v/>
      </c>
    </row>
    <row r="2252" spans="1:19" ht="15.75" hidden="1" thickBot="1" x14ac:dyDescent="0.3">
      <c r="A2252" s="256" t="s">
        <v>579</v>
      </c>
      <c r="B2252" s="259" t="str">
        <f>INDEX(Orçamentária!A:B,MATCH(Composições!A2252,Orçamentária!A:A,0),2)</f>
        <v>Folha de porta em madeira 2,10 x 0,60m, pintada</v>
      </c>
      <c r="C2252" s="40"/>
      <c r="D2252" s="25" t="s">
        <v>16</v>
      </c>
      <c r="E2252" s="26"/>
      <c r="F2252" s="41" t="s">
        <v>416</v>
      </c>
      <c r="G2252" s="27" t="str">
        <f t="shared" si="210"/>
        <v/>
      </c>
      <c r="H2252" s="28"/>
      <c r="I2252" s="29"/>
      <c r="J2252" s="152">
        <v>0</v>
      </c>
      <c r="L2252" s="218"/>
      <c r="M2252" s="41"/>
      <c r="N2252" s="27" t="str">
        <f t="shared" si="211"/>
        <v/>
      </c>
      <c r="O2252" s="28"/>
      <c r="P2252" s="36" t="str">
        <f t="shared" si="212"/>
        <v/>
      </c>
      <c r="Q2252" s="216" t="str">
        <f t="shared" si="213"/>
        <v/>
      </c>
      <c r="R2252" s="216" t="str">
        <f t="shared" si="214"/>
        <v/>
      </c>
      <c r="S2252" s="217" t="str">
        <f t="shared" si="215"/>
        <v/>
      </c>
    </row>
    <row r="2253" spans="1:19" ht="15.75" hidden="1" thickBot="1" x14ac:dyDescent="0.3">
      <c r="A2253" s="262"/>
      <c r="B2253" s="260"/>
      <c r="C2253" s="31"/>
      <c r="D2253" s="31"/>
      <c r="E2253" s="32"/>
      <c r="F2253" s="42" t="s">
        <v>416</v>
      </c>
      <c r="G2253" s="30" t="str">
        <f t="shared" si="210"/>
        <v/>
      </c>
      <c r="H2253" s="34"/>
      <c r="I2253" s="30"/>
      <c r="J2253" s="152">
        <v>0</v>
      </c>
      <c r="L2253" s="219"/>
      <c r="M2253" s="42"/>
      <c r="N2253" s="30" t="str">
        <f t="shared" si="211"/>
        <v/>
      </c>
      <c r="O2253" s="34"/>
      <c r="P2253" s="36" t="str">
        <f t="shared" si="212"/>
        <v/>
      </c>
      <c r="Q2253" s="216" t="str">
        <f t="shared" si="213"/>
        <v/>
      </c>
      <c r="R2253" s="216" t="str">
        <f t="shared" si="214"/>
        <v/>
      </c>
      <c r="S2253" s="217" t="str">
        <f t="shared" si="215"/>
        <v/>
      </c>
    </row>
    <row r="2254" spans="1:19" ht="51.75" hidden="1" thickBot="1" x14ac:dyDescent="0.3">
      <c r="A2254" s="262"/>
      <c r="B2254" s="260"/>
      <c r="C2254" s="35" t="s">
        <v>8335</v>
      </c>
      <c r="D2254" s="35" t="s">
        <v>213</v>
      </c>
      <c r="E2254" s="36">
        <v>1</v>
      </c>
      <c r="F2254" s="33">
        <v>225.46350000000001</v>
      </c>
      <c r="G2254" s="33">
        <f t="shared" si="210"/>
        <v>225.46350000000001</v>
      </c>
      <c r="H2254" s="38">
        <f>SUM(G2254:G2258)</f>
        <v>313.32890880000002</v>
      </c>
      <c r="I2254" s="39"/>
      <c r="J2254" s="152">
        <v>0</v>
      </c>
      <c r="L2254" s="215">
        <v>1</v>
      </c>
      <c r="M2254" s="33">
        <v>192.996756</v>
      </c>
      <c r="N2254" s="33">
        <f t="shared" si="211"/>
        <v>192.996756</v>
      </c>
      <c r="O2254" s="38">
        <f>SUM(N2254:N2258)</f>
        <v>268.20954593279998</v>
      </c>
      <c r="P2254" s="36" t="str">
        <f t="shared" si="212"/>
        <v/>
      </c>
      <c r="Q2254" s="216">
        <f t="shared" si="213"/>
        <v>0.14400000000000002</v>
      </c>
      <c r="R2254" s="216">
        <f t="shared" si="214"/>
        <v>0.14400000000000002</v>
      </c>
      <c r="S2254" s="217">
        <f t="shared" si="215"/>
        <v>0.14400000000000013</v>
      </c>
    </row>
    <row r="2255" spans="1:19" ht="15.75" hidden="1" thickBot="1" x14ac:dyDescent="0.3">
      <c r="A2255" s="262"/>
      <c r="B2255" s="260"/>
      <c r="C2255" s="35" t="s">
        <v>582</v>
      </c>
      <c r="D2255" s="35" t="s">
        <v>583</v>
      </c>
      <c r="E2255" s="36">
        <f>ROUND(1.282*0.8,4)</f>
        <v>1.0256000000000001</v>
      </c>
      <c r="F2255" s="30">
        <v>25.725999999999996</v>
      </c>
      <c r="G2255" s="33">
        <f t="shared" si="210"/>
        <v>26.384585599999998</v>
      </c>
      <c r="H2255" s="34"/>
      <c r="I2255" s="30"/>
      <c r="J2255" s="152">
        <v>0</v>
      </c>
      <c r="L2255" s="215">
        <v>1.0256000000000001</v>
      </c>
      <c r="M2255" s="30">
        <v>22.021455999999997</v>
      </c>
      <c r="N2255" s="33">
        <f t="shared" si="211"/>
        <v>22.5852052736</v>
      </c>
      <c r="O2255" s="34"/>
      <c r="P2255" s="36" t="str">
        <f t="shared" si="212"/>
        <v/>
      </c>
      <c r="Q2255" s="216">
        <f t="shared" si="213"/>
        <v>0.14400000000000002</v>
      </c>
      <c r="R2255" s="216">
        <f t="shared" si="214"/>
        <v>0.14399999999999991</v>
      </c>
      <c r="S2255" s="217" t="str">
        <f t="shared" si="215"/>
        <v/>
      </c>
    </row>
    <row r="2256" spans="1:19" ht="15.75" hidden="1" thickBot="1" x14ac:dyDescent="0.3">
      <c r="A2256" s="262"/>
      <c r="B2256" s="260"/>
      <c r="C2256" s="35" t="s">
        <v>584</v>
      </c>
      <c r="D2256" s="35" t="s">
        <v>583</v>
      </c>
      <c r="E2256" s="36">
        <f>ROUND(0.641*0.8,4)</f>
        <v>0.51280000000000003</v>
      </c>
      <c r="F2256" s="30">
        <v>20.225499999999997</v>
      </c>
      <c r="G2256" s="33">
        <f t="shared" si="210"/>
        <v>10.3716364</v>
      </c>
      <c r="H2256" s="34"/>
      <c r="I2256" s="30"/>
      <c r="J2256" s="152">
        <v>0</v>
      </c>
      <c r="L2256" s="215">
        <v>0.51280000000000003</v>
      </c>
      <c r="M2256" s="30">
        <v>17.313027999999996</v>
      </c>
      <c r="N2256" s="33">
        <f t="shared" si="211"/>
        <v>8.8781207583999979</v>
      </c>
      <c r="O2256" s="34"/>
      <c r="P2256" s="36" t="str">
        <f t="shared" si="212"/>
        <v/>
      </c>
      <c r="Q2256" s="216">
        <f t="shared" si="213"/>
        <v>0.14400000000000013</v>
      </c>
      <c r="R2256" s="216">
        <f t="shared" si="214"/>
        <v>0.14400000000000024</v>
      </c>
      <c r="S2256" s="217" t="str">
        <f t="shared" si="215"/>
        <v/>
      </c>
    </row>
    <row r="2257" spans="1:19" ht="15.75" hidden="1" thickBot="1" x14ac:dyDescent="0.3">
      <c r="A2257" s="262"/>
      <c r="B2257" s="260"/>
      <c r="C2257" s="35" t="s">
        <v>143</v>
      </c>
      <c r="D2257" s="49" t="s">
        <v>75</v>
      </c>
      <c r="E2257" s="36">
        <f>ROUND(0.108*(2*0.6*2.1),4)</f>
        <v>0.2722</v>
      </c>
      <c r="F2257" s="33" t="s">
        <v>416</v>
      </c>
      <c r="G2257" s="30" t="str">
        <f t="shared" si="210"/>
        <v/>
      </c>
      <c r="H2257" s="34"/>
      <c r="I2257" s="30"/>
      <c r="J2257" s="152">
        <v>0</v>
      </c>
      <c r="L2257" s="215">
        <v>0.2722</v>
      </c>
      <c r="M2257" s="33"/>
      <c r="N2257" s="30" t="str">
        <f t="shared" si="211"/>
        <v/>
      </c>
      <c r="O2257" s="34"/>
      <c r="P2257" s="36" t="str">
        <f t="shared" si="212"/>
        <v/>
      </c>
      <c r="Q2257" s="216" t="str">
        <f t="shared" si="213"/>
        <v/>
      </c>
      <c r="R2257" s="216" t="str">
        <f t="shared" si="214"/>
        <v/>
      </c>
      <c r="S2257" s="217" t="str">
        <f t="shared" si="215"/>
        <v/>
      </c>
    </row>
    <row r="2258" spans="1:19" ht="15.75" hidden="1" thickBot="1" x14ac:dyDescent="0.3">
      <c r="A2258" s="262"/>
      <c r="B2258" s="260"/>
      <c r="C2258" s="35" t="s">
        <v>956</v>
      </c>
      <c r="D2258" s="35" t="s">
        <v>583</v>
      </c>
      <c r="E2258" s="36">
        <f>ROUND(0.7076*(2*0.6*2.1),4)</f>
        <v>1.7831999999999999</v>
      </c>
      <c r="F2258" s="30">
        <v>28.6615</v>
      </c>
      <c r="G2258" s="30">
        <f t="shared" si="210"/>
        <v>51.109186799999996</v>
      </c>
      <c r="H2258" s="34"/>
      <c r="I2258" s="30"/>
      <c r="J2258" s="152">
        <v>0</v>
      </c>
      <c r="L2258" s="215">
        <v>1.7831999999999999</v>
      </c>
      <c r="M2258" s="30">
        <v>24.534244000000001</v>
      </c>
      <c r="N2258" s="30">
        <f t="shared" si="211"/>
        <v>43.749463900800002</v>
      </c>
      <c r="O2258" s="34"/>
      <c r="P2258" s="36" t="str">
        <f t="shared" si="212"/>
        <v/>
      </c>
      <c r="Q2258" s="216">
        <f t="shared" si="213"/>
        <v>0.14400000000000002</v>
      </c>
      <c r="R2258" s="216">
        <f t="shared" si="214"/>
        <v>0.14399999999999991</v>
      </c>
      <c r="S2258" s="217" t="str">
        <f t="shared" si="215"/>
        <v/>
      </c>
    </row>
    <row r="2259" spans="1:19" ht="15.75" hidden="1" thickBot="1" x14ac:dyDescent="0.3">
      <c r="A2259" s="262"/>
      <c r="B2259" s="260"/>
      <c r="C2259" s="35"/>
      <c r="D2259" s="35"/>
      <c r="E2259" s="36"/>
      <c r="F2259" s="30" t="s">
        <v>416</v>
      </c>
      <c r="G2259" s="30"/>
      <c r="H2259" s="34"/>
      <c r="I2259" s="30"/>
      <c r="J2259" s="152">
        <v>0</v>
      </c>
      <c r="L2259" s="215"/>
      <c r="M2259" s="30"/>
      <c r="N2259" s="30"/>
      <c r="O2259" s="34"/>
      <c r="P2259" s="36" t="str">
        <f t="shared" si="212"/>
        <v/>
      </c>
      <c r="Q2259" s="216" t="str">
        <f t="shared" si="213"/>
        <v/>
      </c>
      <c r="R2259" s="216" t="str">
        <f t="shared" si="214"/>
        <v/>
      </c>
      <c r="S2259" s="217" t="str">
        <f t="shared" si="215"/>
        <v/>
      </c>
    </row>
    <row r="2260" spans="1:19" ht="39" hidden="1" thickBot="1" x14ac:dyDescent="0.3">
      <c r="A2260" s="262"/>
      <c r="B2260" s="260"/>
      <c r="C2260" s="51" t="s">
        <v>2954</v>
      </c>
      <c r="D2260" s="35"/>
      <c r="E2260" s="36"/>
      <c r="F2260" s="30" t="s">
        <v>416</v>
      </c>
      <c r="G2260" s="30"/>
      <c r="H2260" s="34"/>
      <c r="I2260" s="30"/>
      <c r="J2260" s="152">
        <v>0</v>
      </c>
      <c r="L2260" s="215"/>
      <c r="M2260" s="30"/>
      <c r="N2260" s="30"/>
      <c r="O2260" s="34"/>
      <c r="P2260" s="36" t="str">
        <f t="shared" si="212"/>
        <v/>
      </c>
      <c r="Q2260" s="216" t="str">
        <f t="shared" si="213"/>
        <v/>
      </c>
      <c r="R2260" s="216" t="str">
        <f t="shared" si="214"/>
        <v/>
      </c>
      <c r="S2260" s="217" t="str">
        <f t="shared" si="215"/>
        <v/>
      </c>
    </row>
    <row r="2261" spans="1:19" ht="15.75" hidden="1" thickBot="1" x14ac:dyDescent="0.3">
      <c r="A2261" s="262"/>
      <c r="B2261" s="260"/>
      <c r="C2261" s="35"/>
      <c r="D2261" s="46"/>
      <c r="E2261" s="36"/>
      <c r="F2261" s="33" t="s">
        <v>416</v>
      </c>
      <c r="G2261" s="33" t="str">
        <f t="shared" ref="G2261:G2268" si="216">IF(ISNUMBER(F2261),E2261*F2261,"")</f>
        <v/>
      </c>
      <c r="H2261" s="34"/>
      <c r="I2261" s="30"/>
      <c r="J2261" s="152">
        <v>0</v>
      </c>
      <c r="L2261" s="215"/>
      <c r="M2261" s="33"/>
      <c r="N2261" s="33" t="str">
        <f t="shared" ref="N2261:N2268" si="217">IF(ISNUMBER(M2261),L2261*M2261,"")</f>
        <v/>
      </c>
      <c r="O2261" s="34"/>
      <c r="P2261" s="36" t="str">
        <f t="shared" si="212"/>
        <v/>
      </c>
      <c r="Q2261" s="216" t="str">
        <f t="shared" si="213"/>
        <v/>
      </c>
      <c r="R2261" s="216" t="str">
        <f t="shared" si="214"/>
        <v/>
      </c>
      <c r="S2261" s="217" t="str">
        <f t="shared" si="215"/>
        <v/>
      </c>
    </row>
    <row r="2262" spans="1:19" ht="15.75" hidden="1" thickBot="1" x14ac:dyDescent="0.3">
      <c r="A2262" s="256" t="s">
        <v>585</v>
      </c>
      <c r="B2262" s="259" t="str">
        <f>INDEX(Orçamentária!A:B,MATCH(Composições!A2262,Orçamentária!A:A,0),2)</f>
        <v>Folha de porta em madeira 2,10 x 0,70m, pintada</v>
      </c>
      <c r="C2262" s="40"/>
      <c r="D2262" s="25" t="s">
        <v>16</v>
      </c>
      <c r="E2262" s="26"/>
      <c r="F2262" s="41" t="s">
        <v>416</v>
      </c>
      <c r="G2262" s="27" t="str">
        <f t="shared" si="216"/>
        <v/>
      </c>
      <c r="H2262" s="28"/>
      <c r="I2262" s="29"/>
      <c r="J2262" s="152">
        <v>0</v>
      </c>
      <c r="L2262" s="218"/>
      <c r="M2262" s="41"/>
      <c r="N2262" s="27" t="str">
        <f t="shared" si="217"/>
        <v/>
      </c>
      <c r="O2262" s="28"/>
      <c r="P2262" s="36" t="str">
        <f t="shared" si="212"/>
        <v/>
      </c>
      <c r="Q2262" s="216" t="str">
        <f t="shared" si="213"/>
        <v/>
      </c>
      <c r="R2262" s="216" t="str">
        <f t="shared" si="214"/>
        <v/>
      </c>
      <c r="S2262" s="217" t="str">
        <f t="shared" si="215"/>
        <v/>
      </c>
    </row>
    <row r="2263" spans="1:19" ht="15.75" hidden="1" thickBot="1" x14ac:dyDescent="0.3">
      <c r="A2263" s="262"/>
      <c r="B2263" s="260"/>
      <c r="C2263" s="31"/>
      <c r="D2263" s="31"/>
      <c r="E2263" s="32"/>
      <c r="F2263" s="42" t="s">
        <v>416</v>
      </c>
      <c r="G2263" s="30" t="str">
        <f t="shared" si="216"/>
        <v/>
      </c>
      <c r="H2263" s="34"/>
      <c r="I2263" s="30"/>
      <c r="J2263" s="152">
        <v>0</v>
      </c>
      <c r="L2263" s="219"/>
      <c r="M2263" s="42"/>
      <c r="N2263" s="30" t="str">
        <f t="shared" si="217"/>
        <v/>
      </c>
      <c r="O2263" s="34"/>
      <c r="P2263" s="36" t="str">
        <f t="shared" si="212"/>
        <v/>
      </c>
      <c r="Q2263" s="216" t="str">
        <f t="shared" si="213"/>
        <v/>
      </c>
      <c r="R2263" s="216" t="str">
        <f t="shared" si="214"/>
        <v/>
      </c>
      <c r="S2263" s="217" t="str">
        <f t="shared" si="215"/>
        <v/>
      </c>
    </row>
    <row r="2264" spans="1:19" ht="51.75" hidden="1" thickBot="1" x14ac:dyDescent="0.3">
      <c r="A2264" s="262"/>
      <c r="B2264" s="260"/>
      <c r="C2264" s="35" t="s">
        <v>8330</v>
      </c>
      <c r="D2264" s="35" t="s">
        <v>213</v>
      </c>
      <c r="E2264" s="36">
        <v>1</v>
      </c>
      <c r="F2264" s="33">
        <v>227.905</v>
      </c>
      <c r="G2264" s="33">
        <f t="shared" si="216"/>
        <v>227.905</v>
      </c>
      <c r="H2264" s="38">
        <f>SUM(G2264:G2268)</f>
        <v>328.07031244999996</v>
      </c>
      <c r="I2264" s="39"/>
      <c r="J2264" s="152">
        <v>0</v>
      </c>
      <c r="L2264" s="215">
        <v>1</v>
      </c>
      <c r="M2264" s="33">
        <v>195.08668</v>
      </c>
      <c r="N2264" s="33">
        <f t="shared" si="217"/>
        <v>195.08668</v>
      </c>
      <c r="O2264" s="38">
        <f>SUM(N2264:N2268)</f>
        <v>280.82818745719999</v>
      </c>
      <c r="P2264" s="36" t="str">
        <f t="shared" si="212"/>
        <v/>
      </c>
      <c r="Q2264" s="216">
        <f t="shared" si="213"/>
        <v>0.14400000000000002</v>
      </c>
      <c r="R2264" s="216">
        <f t="shared" si="214"/>
        <v>0.14400000000000002</v>
      </c>
      <c r="S2264" s="217">
        <f t="shared" si="215"/>
        <v>0.14399999999999991</v>
      </c>
    </row>
    <row r="2265" spans="1:19" ht="15.75" hidden="1" thickBot="1" x14ac:dyDescent="0.3">
      <c r="A2265" s="262"/>
      <c r="B2265" s="260"/>
      <c r="C2265" s="35" t="s">
        <v>582</v>
      </c>
      <c r="D2265" s="35" t="s">
        <v>583</v>
      </c>
      <c r="E2265" s="36">
        <f>ROUND(1.414*0.8,4)</f>
        <v>1.1312</v>
      </c>
      <c r="F2265" s="30">
        <v>25.725999999999996</v>
      </c>
      <c r="G2265" s="33">
        <f t="shared" si="216"/>
        <v>29.101251199999993</v>
      </c>
      <c r="H2265" s="34"/>
      <c r="I2265" s="30"/>
      <c r="J2265" s="152">
        <v>0</v>
      </c>
      <c r="L2265" s="215">
        <v>1.1312</v>
      </c>
      <c r="M2265" s="30">
        <v>22.021455999999997</v>
      </c>
      <c r="N2265" s="33">
        <f t="shared" si="217"/>
        <v>24.910671027199996</v>
      </c>
      <c r="O2265" s="34"/>
      <c r="P2265" s="36" t="str">
        <f t="shared" si="212"/>
        <v/>
      </c>
      <c r="Q2265" s="216">
        <f t="shared" si="213"/>
        <v>0.14400000000000002</v>
      </c>
      <c r="R2265" s="216">
        <f t="shared" si="214"/>
        <v>0.14399999999999991</v>
      </c>
      <c r="S2265" s="217" t="str">
        <f t="shared" si="215"/>
        <v/>
      </c>
    </row>
    <row r="2266" spans="1:19" ht="15.75" hidden="1" thickBot="1" x14ac:dyDescent="0.3">
      <c r="A2266" s="262"/>
      <c r="B2266" s="260"/>
      <c r="C2266" s="35" t="s">
        <v>584</v>
      </c>
      <c r="D2266" s="35" t="s">
        <v>583</v>
      </c>
      <c r="E2266" s="36">
        <f>ROUND(0.707*0.8,4)</f>
        <v>0.56559999999999999</v>
      </c>
      <c r="F2266" s="30">
        <v>20.225499999999997</v>
      </c>
      <c r="G2266" s="33">
        <f t="shared" si="216"/>
        <v>11.439542799999998</v>
      </c>
      <c r="H2266" s="34"/>
      <c r="I2266" s="30"/>
      <c r="J2266" s="152">
        <v>0</v>
      </c>
      <c r="L2266" s="215">
        <v>0.56559999999999999</v>
      </c>
      <c r="M2266" s="30">
        <v>17.313027999999996</v>
      </c>
      <c r="N2266" s="33">
        <f t="shared" si="217"/>
        <v>9.7922486367999966</v>
      </c>
      <c r="O2266" s="34"/>
      <c r="P2266" s="36" t="str">
        <f t="shared" si="212"/>
        <v/>
      </c>
      <c r="Q2266" s="216">
        <f t="shared" si="213"/>
        <v>0.14400000000000013</v>
      </c>
      <c r="R2266" s="216">
        <f t="shared" si="214"/>
        <v>0.14400000000000013</v>
      </c>
      <c r="S2266" s="217" t="str">
        <f t="shared" si="215"/>
        <v/>
      </c>
    </row>
    <row r="2267" spans="1:19" ht="15.75" hidden="1" thickBot="1" x14ac:dyDescent="0.3">
      <c r="A2267" s="262"/>
      <c r="B2267" s="260"/>
      <c r="C2267" s="35" t="s">
        <v>143</v>
      </c>
      <c r="D2267" s="49" t="s">
        <v>75</v>
      </c>
      <c r="E2267" s="36">
        <f>ROUND(0.108*(2*0.7*2.1),4)</f>
        <v>0.3175</v>
      </c>
      <c r="F2267" s="33" t="s">
        <v>416</v>
      </c>
      <c r="G2267" s="30" t="str">
        <f t="shared" si="216"/>
        <v/>
      </c>
      <c r="H2267" s="34"/>
      <c r="I2267" s="30"/>
      <c r="J2267" s="152">
        <v>0</v>
      </c>
      <c r="L2267" s="215">
        <v>0.3175</v>
      </c>
      <c r="M2267" s="33"/>
      <c r="N2267" s="30" t="str">
        <f t="shared" si="217"/>
        <v/>
      </c>
      <c r="O2267" s="34"/>
      <c r="P2267" s="36" t="str">
        <f t="shared" si="212"/>
        <v/>
      </c>
      <c r="Q2267" s="216" t="str">
        <f t="shared" si="213"/>
        <v/>
      </c>
      <c r="R2267" s="216" t="str">
        <f t="shared" si="214"/>
        <v/>
      </c>
      <c r="S2267" s="217" t="str">
        <f t="shared" si="215"/>
        <v/>
      </c>
    </row>
    <row r="2268" spans="1:19" ht="15.75" hidden="1" thickBot="1" x14ac:dyDescent="0.3">
      <c r="A2268" s="262"/>
      <c r="B2268" s="260"/>
      <c r="C2268" s="35" t="s">
        <v>956</v>
      </c>
      <c r="D2268" s="35" t="s">
        <v>583</v>
      </c>
      <c r="E2268" s="36">
        <f>ROUND(0.7076*(2*0.7*2.1),4)</f>
        <v>2.0802999999999998</v>
      </c>
      <c r="F2268" s="30">
        <v>28.6615</v>
      </c>
      <c r="G2268" s="30">
        <f t="shared" si="216"/>
        <v>59.624518449999997</v>
      </c>
      <c r="H2268" s="34"/>
      <c r="I2268" s="30"/>
      <c r="J2268" s="152">
        <v>0</v>
      </c>
      <c r="L2268" s="215">
        <v>2.0802999999999998</v>
      </c>
      <c r="M2268" s="30">
        <v>24.534244000000001</v>
      </c>
      <c r="N2268" s="30">
        <f t="shared" si="217"/>
        <v>51.038587793199994</v>
      </c>
      <c r="O2268" s="34"/>
      <c r="P2268" s="36" t="str">
        <f t="shared" si="212"/>
        <v/>
      </c>
      <c r="Q2268" s="216">
        <f t="shared" si="213"/>
        <v>0.14400000000000002</v>
      </c>
      <c r="R2268" s="216">
        <f t="shared" si="214"/>
        <v>0.14400000000000002</v>
      </c>
      <c r="S2268" s="217" t="str">
        <f t="shared" si="215"/>
        <v/>
      </c>
    </row>
    <row r="2269" spans="1:19" ht="15.75" hidden="1" thickBot="1" x14ac:dyDescent="0.3">
      <c r="A2269" s="262"/>
      <c r="B2269" s="260"/>
      <c r="C2269" s="35"/>
      <c r="D2269" s="35"/>
      <c r="E2269" s="36"/>
      <c r="F2269" s="30" t="s">
        <v>416</v>
      </c>
      <c r="G2269" s="30"/>
      <c r="H2269" s="34"/>
      <c r="I2269" s="30"/>
      <c r="J2269" s="152">
        <v>0</v>
      </c>
      <c r="L2269" s="215"/>
      <c r="M2269" s="30"/>
      <c r="N2269" s="30"/>
      <c r="O2269" s="34"/>
      <c r="P2269" s="36" t="str">
        <f t="shared" si="212"/>
        <v/>
      </c>
      <c r="Q2269" s="216" t="str">
        <f t="shared" si="213"/>
        <v/>
      </c>
      <c r="R2269" s="216" t="str">
        <f t="shared" si="214"/>
        <v/>
      </c>
      <c r="S2269" s="217" t="str">
        <f t="shared" si="215"/>
        <v/>
      </c>
    </row>
    <row r="2270" spans="1:19" ht="39" hidden="1" thickBot="1" x14ac:dyDescent="0.3">
      <c r="A2270" s="262"/>
      <c r="B2270" s="260"/>
      <c r="C2270" s="51" t="s">
        <v>2954</v>
      </c>
      <c r="D2270" s="35"/>
      <c r="E2270" s="36"/>
      <c r="F2270" s="30" t="s">
        <v>416</v>
      </c>
      <c r="G2270" s="30"/>
      <c r="H2270" s="34"/>
      <c r="I2270" s="30"/>
      <c r="J2270" s="152">
        <v>0</v>
      </c>
      <c r="L2270" s="215"/>
      <c r="M2270" s="30"/>
      <c r="N2270" s="30"/>
      <c r="O2270" s="34"/>
      <c r="P2270" s="36" t="str">
        <f t="shared" si="212"/>
        <v/>
      </c>
      <c r="Q2270" s="216" t="str">
        <f t="shared" si="213"/>
        <v/>
      </c>
      <c r="R2270" s="216" t="str">
        <f t="shared" si="214"/>
        <v/>
      </c>
      <c r="S2270" s="217" t="str">
        <f t="shared" si="215"/>
        <v/>
      </c>
    </row>
    <row r="2271" spans="1:19" ht="15.75" hidden="1" thickBot="1" x14ac:dyDescent="0.3">
      <c r="A2271" s="262"/>
      <c r="B2271" s="260"/>
      <c r="C2271" s="35"/>
      <c r="D2271" s="46"/>
      <c r="E2271" s="36"/>
      <c r="F2271" s="33" t="s">
        <v>416</v>
      </c>
      <c r="G2271" s="33" t="str">
        <f t="shared" ref="G2271:G2278" si="218">IF(ISNUMBER(F2271),E2271*F2271,"")</f>
        <v/>
      </c>
      <c r="H2271" s="34"/>
      <c r="I2271" s="30"/>
      <c r="J2271" s="152">
        <v>0</v>
      </c>
      <c r="L2271" s="215"/>
      <c r="M2271" s="33"/>
      <c r="N2271" s="33" t="str">
        <f t="shared" ref="N2271:N2278" si="219">IF(ISNUMBER(M2271),L2271*M2271,"")</f>
        <v/>
      </c>
      <c r="O2271" s="34"/>
      <c r="P2271" s="36" t="str">
        <f t="shared" si="212"/>
        <v/>
      </c>
      <c r="Q2271" s="216" t="str">
        <f t="shared" si="213"/>
        <v/>
      </c>
      <c r="R2271" s="216" t="str">
        <f t="shared" si="214"/>
        <v/>
      </c>
      <c r="S2271" s="217" t="str">
        <f t="shared" si="215"/>
        <v/>
      </c>
    </row>
    <row r="2272" spans="1:19" ht="15.75" hidden="1" thickBot="1" x14ac:dyDescent="0.3">
      <c r="A2272" s="256" t="s">
        <v>586</v>
      </c>
      <c r="B2272" s="259" t="str">
        <f>INDEX(Orçamentária!A:B,MATCH(Composições!A2272,Orçamentária!A:A,0),2)</f>
        <v>Folha de porta em madeira 2,10 x 0,80m, pintada</v>
      </c>
      <c r="C2272" s="40"/>
      <c r="D2272" s="25" t="s">
        <v>16</v>
      </c>
      <c r="E2272" s="26"/>
      <c r="F2272" s="41" t="s">
        <v>416</v>
      </c>
      <c r="G2272" s="27" t="str">
        <f t="shared" si="218"/>
        <v/>
      </c>
      <c r="H2272" s="28"/>
      <c r="I2272" s="29"/>
      <c r="J2272" s="152">
        <v>0</v>
      </c>
      <c r="L2272" s="218"/>
      <c r="M2272" s="41"/>
      <c r="N2272" s="27" t="str">
        <f t="shared" si="219"/>
        <v/>
      </c>
      <c r="O2272" s="28"/>
      <c r="P2272" s="36" t="str">
        <f t="shared" si="212"/>
        <v/>
      </c>
      <c r="Q2272" s="216" t="str">
        <f t="shared" si="213"/>
        <v/>
      </c>
      <c r="R2272" s="216" t="str">
        <f t="shared" si="214"/>
        <v/>
      </c>
      <c r="S2272" s="217" t="str">
        <f t="shared" si="215"/>
        <v/>
      </c>
    </row>
    <row r="2273" spans="1:19" ht="15.75" hidden="1" thickBot="1" x14ac:dyDescent="0.3">
      <c r="A2273" s="262"/>
      <c r="B2273" s="260"/>
      <c r="C2273" s="31"/>
      <c r="D2273" s="31"/>
      <c r="E2273" s="32"/>
      <c r="F2273" s="42" t="s">
        <v>416</v>
      </c>
      <c r="G2273" s="30" t="str">
        <f t="shared" si="218"/>
        <v/>
      </c>
      <c r="H2273" s="34"/>
      <c r="I2273" s="30"/>
      <c r="J2273" s="152">
        <v>0</v>
      </c>
      <c r="L2273" s="219"/>
      <c r="M2273" s="42"/>
      <c r="N2273" s="30" t="str">
        <f t="shared" si="219"/>
        <v/>
      </c>
      <c r="O2273" s="34"/>
      <c r="P2273" s="36" t="str">
        <f t="shared" si="212"/>
        <v/>
      </c>
      <c r="Q2273" s="216" t="str">
        <f t="shared" si="213"/>
        <v/>
      </c>
      <c r="R2273" s="216" t="str">
        <f t="shared" si="214"/>
        <v/>
      </c>
      <c r="S2273" s="217" t="str">
        <f t="shared" si="215"/>
        <v/>
      </c>
    </row>
    <row r="2274" spans="1:19" ht="51.75" hidden="1" thickBot="1" x14ac:dyDescent="0.3">
      <c r="A2274" s="262"/>
      <c r="B2274" s="260"/>
      <c r="C2274" s="35" t="s">
        <v>8332</v>
      </c>
      <c r="D2274" s="35" t="s">
        <v>213</v>
      </c>
      <c r="E2274" s="36">
        <v>1</v>
      </c>
      <c r="F2274" s="33">
        <v>282.4255</v>
      </c>
      <c r="G2274" s="33">
        <f t="shared" si="218"/>
        <v>282.4255</v>
      </c>
      <c r="H2274" s="38">
        <f>SUM(G2274:G2278)</f>
        <v>394.89358224999995</v>
      </c>
      <c r="I2274" s="39"/>
      <c r="J2274" s="152">
        <v>0</v>
      </c>
      <c r="L2274" s="215">
        <v>1</v>
      </c>
      <c r="M2274" s="33">
        <v>241.75622799999999</v>
      </c>
      <c r="N2274" s="33">
        <f t="shared" si="219"/>
        <v>241.75622799999999</v>
      </c>
      <c r="O2274" s="38">
        <f>SUM(N2274:N2278)</f>
        <v>338.02890640600003</v>
      </c>
      <c r="P2274" s="36" t="str">
        <f t="shared" si="212"/>
        <v/>
      </c>
      <c r="Q2274" s="216">
        <f t="shared" si="213"/>
        <v>0.14400000000000002</v>
      </c>
      <c r="R2274" s="216">
        <f t="shared" si="214"/>
        <v>0.14400000000000002</v>
      </c>
      <c r="S2274" s="217">
        <f t="shared" si="215"/>
        <v>0.14399999999999979</v>
      </c>
    </row>
    <row r="2275" spans="1:19" ht="15.75" hidden="1" thickBot="1" x14ac:dyDescent="0.3">
      <c r="A2275" s="262"/>
      <c r="B2275" s="260"/>
      <c r="C2275" s="35" t="s">
        <v>582</v>
      </c>
      <c r="D2275" s="35" t="s">
        <v>583</v>
      </c>
      <c r="E2275" s="36">
        <f>ROUND(1.546*0.8,4)</f>
        <v>1.2367999999999999</v>
      </c>
      <c r="F2275" s="30">
        <v>25.725999999999996</v>
      </c>
      <c r="G2275" s="33">
        <f t="shared" si="218"/>
        <v>31.817916799999992</v>
      </c>
      <c r="H2275" s="34"/>
      <c r="I2275" s="30"/>
      <c r="J2275" s="152">
        <v>0</v>
      </c>
      <c r="L2275" s="215">
        <v>1.2367999999999999</v>
      </c>
      <c r="M2275" s="30">
        <v>22.021455999999997</v>
      </c>
      <c r="N2275" s="33">
        <f t="shared" si="219"/>
        <v>27.236136780799995</v>
      </c>
      <c r="O2275" s="34"/>
      <c r="P2275" s="36" t="str">
        <f t="shared" si="212"/>
        <v/>
      </c>
      <c r="Q2275" s="216">
        <f t="shared" si="213"/>
        <v>0.14400000000000002</v>
      </c>
      <c r="R2275" s="216">
        <f t="shared" si="214"/>
        <v>0.14399999999999991</v>
      </c>
      <c r="S2275" s="217" t="str">
        <f t="shared" si="215"/>
        <v/>
      </c>
    </row>
    <row r="2276" spans="1:19" ht="15.75" hidden="1" thickBot="1" x14ac:dyDescent="0.3">
      <c r="A2276" s="262"/>
      <c r="B2276" s="260"/>
      <c r="C2276" s="35" t="s">
        <v>584</v>
      </c>
      <c r="D2276" s="35" t="s">
        <v>583</v>
      </c>
      <c r="E2276" s="36">
        <f>ROUND(0.773*0.8,4)</f>
        <v>0.61839999999999995</v>
      </c>
      <c r="F2276" s="30">
        <v>20.225499999999997</v>
      </c>
      <c r="G2276" s="33">
        <f t="shared" si="218"/>
        <v>12.507449199999996</v>
      </c>
      <c r="H2276" s="34"/>
      <c r="I2276" s="30"/>
      <c r="J2276" s="152">
        <v>0</v>
      </c>
      <c r="L2276" s="215">
        <v>0.61839999999999995</v>
      </c>
      <c r="M2276" s="30">
        <v>17.313027999999996</v>
      </c>
      <c r="N2276" s="33">
        <f t="shared" si="219"/>
        <v>10.706376515199997</v>
      </c>
      <c r="O2276" s="34"/>
      <c r="P2276" s="36" t="str">
        <f t="shared" si="212"/>
        <v/>
      </c>
      <c r="Q2276" s="216">
        <f t="shared" si="213"/>
        <v>0.14400000000000013</v>
      </c>
      <c r="R2276" s="216">
        <f t="shared" si="214"/>
        <v>0.14400000000000002</v>
      </c>
      <c r="S2276" s="217" t="str">
        <f t="shared" si="215"/>
        <v/>
      </c>
    </row>
    <row r="2277" spans="1:19" ht="15.75" hidden="1" thickBot="1" x14ac:dyDescent="0.3">
      <c r="A2277" s="262"/>
      <c r="B2277" s="260"/>
      <c r="C2277" s="35" t="s">
        <v>143</v>
      </c>
      <c r="D2277" s="49" t="s">
        <v>75</v>
      </c>
      <c r="E2277" s="36">
        <f>ROUND(0.108*(2*0.8*2.1),4)</f>
        <v>0.3629</v>
      </c>
      <c r="F2277" s="33" t="s">
        <v>416</v>
      </c>
      <c r="G2277" s="30" t="str">
        <f t="shared" si="218"/>
        <v/>
      </c>
      <c r="H2277" s="34"/>
      <c r="I2277" s="30"/>
      <c r="J2277" s="152">
        <v>0</v>
      </c>
      <c r="L2277" s="215">
        <v>0.3629</v>
      </c>
      <c r="M2277" s="33"/>
      <c r="N2277" s="30" t="str">
        <f t="shared" si="219"/>
        <v/>
      </c>
      <c r="O2277" s="34"/>
      <c r="P2277" s="36" t="str">
        <f t="shared" si="212"/>
        <v/>
      </c>
      <c r="Q2277" s="216" t="str">
        <f t="shared" si="213"/>
        <v/>
      </c>
      <c r="R2277" s="216" t="str">
        <f t="shared" si="214"/>
        <v/>
      </c>
      <c r="S2277" s="217" t="str">
        <f t="shared" si="215"/>
        <v/>
      </c>
    </row>
    <row r="2278" spans="1:19" ht="15.75" hidden="1" thickBot="1" x14ac:dyDescent="0.3">
      <c r="A2278" s="262"/>
      <c r="B2278" s="260"/>
      <c r="C2278" s="35" t="s">
        <v>956</v>
      </c>
      <c r="D2278" s="35" t="s">
        <v>583</v>
      </c>
      <c r="E2278" s="36">
        <f>ROUND(0.7076*(2*0.8*2.1),4)</f>
        <v>2.3774999999999999</v>
      </c>
      <c r="F2278" s="30">
        <v>28.6615</v>
      </c>
      <c r="G2278" s="30">
        <f t="shared" si="218"/>
        <v>68.142716249999992</v>
      </c>
      <c r="H2278" s="34"/>
      <c r="I2278" s="30"/>
      <c r="J2278" s="152">
        <v>0</v>
      </c>
      <c r="L2278" s="215">
        <v>2.3774999999999999</v>
      </c>
      <c r="M2278" s="30">
        <v>24.534244000000001</v>
      </c>
      <c r="N2278" s="30">
        <f t="shared" si="219"/>
        <v>58.330165110000003</v>
      </c>
      <c r="O2278" s="34"/>
      <c r="P2278" s="36" t="str">
        <f t="shared" si="212"/>
        <v/>
      </c>
      <c r="Q2278" s="216">
        <f t="shared" si="213"/>
        <v>0.14400000000000002</v>
      </c>
      <c r="R2278" s="216">
        <f t="shared" si="214"/>
        <v>0.14399999999999991</v>
      </c>
      <c r="S2278" s="217" t="str">
        <f t="shared" si="215"/>
        <v/>
      </c>
    </row>
    <row r="2279" spans="1:19" ht="15.75" hidden="1" thickBot="1" x14ac:dyDescent="0.3">
      <c r="A2279" s="262"/>
      <c r="B2279" s="260"/>
      <c r="C2279" s="35"/>
      <c r="D2279" s="35"/>
      <c r="E2279" s="36"/>
      <c r="F2279" s="30" t="s">
        <v>416</v>
      </c>
      <c r="G2279" s="30"/>
      <c r="H2279" s="34"/>
      <c r="I2279" s="30"/>
      <c r="J2279" s="152">
        <v>0</v>
      </c>
      <c r="L2279" s="215"/>
      <c r="M2279" s="30"/>
      <c r="N2279" s="30"/>
      <c r="O2279" s="34"/>
      <c r="P2279" s="36" t="str">
        <f t="shared" si="212"/>
        <v/>
      </c>
      <c r="Q2279" s="216" t="str">
        <f t="shared" si="213"/>
        <v/>
      </c>
      <c r="R2279" s="216" t="str">
        <f t="shared" si="214"/>
        <v/>
      </c>
      <c r="S2279" s="217" t="str">
        <f t="shared" si="215"/>
        <v/>
      </c>
    </row>
    <row r="2280" spans="1:19" ht="39" hidden="1" thickBot="1" x14ac:dyDescent="0.3">
      <c r="A2280" s="262"/>
      <c r="B2280" s="260"/>
      <c r="C2280" s="51" t="s">
        <v>2954</v>
      </c>
      <c r="D2280" s="35"/>
      <c r="E2280" s="36"/>
      <c r="F2280" s="30" t="s">
        <v>416</v>
      </c>
      <c r="G2280" s="30"/>
      <c r="H2280" s="34"/>
      <c r="I2280" s="30"/>
      <c r="J2280" s="152">
        <v>0</v>
      </c>
      <c r="L2280" s="215"/>
      <c r="M2280" s="30"/>
      <c r="N2280" s="30"/>
      <c r="O2280" s="34"/>
      <c r="P2280" s="36" t="str">
        <f t="shared" si="212"/>
        <v/>
      </c>
      <c r="Q2280" s="216" t="str">
        <f t="shared" si="213"/>
        <v/>
      </c>
      <c r="R2280" s="216" t="str">
        <f t="shared" si="214"/>
        <v/>
      </c>
      <c r="S2280" s="217" t="str">
        <f t="shared" si="215"/>
        <v/>
      </c>
    </row>
    <row r="2281" spans="1:19" ht="15.75" hidden="1" thickBot="1" x14ac:dyDescent="0.3">
      <c r="A2281" s="262"/>
      <c r="B2281" s="260"/>
      <c r="C2281" s="35"/>
      <c r="D2281" s="46"/>
      <c r="E2281" s="36"/>
      <c r="F2281" s="33" t="s">
        <v>416</v>
      </c>
      <c r="G2281" s="33" t="str">
        <f t="shared" ref="G2281:G2288" si="220">IF(ISNUMBER(F2281),E2281*F2281,"")</f>
        <v/>
      </c>
      <c r="H2281" s="34"/>
      <c r="I2281" s="30"/>
      <c r="J2281" s="152">
        <v>0</v>
      </c>
      <c r="L2281" s="215"/>
      <c r="M2281" s="33"/>
      <c r="N2281" s="33" t="str">
        <f t="shared" ref="N2281:N2288" si="221">IF(ISNUMBER(M2281),L2281*M2281,"")</f>
        <v/>
      </c>
      <c r="O2281" s="34"/>
      <c r="P2281" s="36" t="str">
        <f t="shared" si="212"/>
        <v/>
      </c>
      <c r="Q2281" s="216" t="str">
        <f t="shared" si="213"/>
        <v/>
      </c>
      <c r="R2281" s="216" t="str">
        <f t="shared" si="214"/>
        <v/>
      </c>
      <c r="S2281" s="217" t="str">
        <f t="shared" si="215"/>
        <v/>
      </c>
    </row>
    <row r="2282" spans="1:19" ht="15.75" hidden="1" thickBot="1" x14ac:dyDescent="0.3">
      <c r="A2282" s="256" t="s">
        <v>587</v>
      </c>
      <c r="B2282" s="259" t="str">
        <f>INDEX(Orçamentária!A:B,MATCH(Composições!A2282,Orçamentária!A:A,0),2)</f>
        <v>Folha de porta em madeira 2,10 x 0,90m, pintada</v>
      </c>
      <c r="C2282" s="40"/>
      <c r="D2282" s="25" t="s">
        <v>16</v>
      </c>
      <c r="E2282" s="26"/>
      <c r="F2282" s="41" t="s">
        <v>416</v>
      </c>
      <c r="G2282" s="27" t="str">
        <f t="shared" si="220"/>
        <v/>
      </c>
      <c r="H2282" s="28"/>
      <c r="I2282" s="29"/>
      <c r="J2282" s="152">
        <v>0</v>
      </c>
      <c r="L2282" s="218"/>
      <c r="M2282" s="41"/>
      <c r="N2282" s="27" t="str">
        <f t="shared" si="221"/>
        <v/>
      </c>
      <c r="O2282" s="28"/>
      <c r="P2282" s="36" t="str">
        <f t="shared" si="212"/>
        <v/>
      </c>
      <c r="Q2282" s="216" t="str">
        <f t="shared" si="213"/>
        <v/>
      </c>
      <c r="R2282" s="216" t="str">
        <f t="shared" si="214"/>
        <v/>
      </c>
      <c r="S2282" s="217" t="str">
        <f t="shared" si="215"/>
        <v/>
      </c>
    </row>
    <row r="2283" spans="1:19" ht="15.75" hidden="1" thickBot="1" x14ac:dyDescent="0.3">
      <c r="A2283" s="262"/>
      <c r="B2283" s="260"/>
      <c r="C2283" s="31"/>
      <c r="D2283" s="31"/>
      <c r="E2283" s="32"/>
      <c r="F2283" s="42" t="s">
        <v>416</v>
      </c>
      <c r="G2283" s="30" t="str">
        <f t="shared" si="220"/>
        <v/>
      </c>
      <c r="H2283" s="34"/>
      <c r="I2283" s="30"/>
      <c r="J2283" s="152">
        <v>0</v>
      </c>
      <c r="L2283" s="219"/>
      <c r="M2283" s="42"/>
      <c r="N2283" s="30" t="str">
        <f t="shared" si="221"/>
        <v/>
      </c>
      <c r="O2283" s="34"/>
      <c r="P2283" s="36" t="str">
        <f t="shared" si="212"/>
        <v/>
      </c>
      <c r="Q2283" s="216" t="str">
        <f t="shared" si="213"/>
        <v/>
      </c>
      <c r="R2283" s="216" t="str">
        <f t="shared" si="214"/>
        <v/>
      </c>
      <c r="S2283" s="217" t="str">
        <f t="shared" si="215"/>
        <v/>
      </c>
    </row>
    <row r="2284" spans="1:19" ht="51.75" hidden="1" thickBot="1" x14ac:dyDescent="0.3">
      <c r="A2284" s="262"/>
      <c r="B2284" s="260"/>
      <c r="C2284" s="35" t="s">
        <v>8333</v>
      </c>
      <c r="D2284" s="35" t="s">
        <v>213</v>
      </c>
      <c r="E2284" s="36">
        <v>1</v>
      </c>
      <c r="F2284" s="33">
        <v>323.11399999999998</v>
      </c>
      <c r="G2284" s="33">
        <f t="shared" si="220"/>
        <v>323.11399999999998</v>
      </c>
      <c r="H2284" s="38">
        <f>SUM(G2284:G2288)</f>
        <v>447.88485204999995</v>
      </c>
      <c r="I2284" s="39"/>
      <c r="J2284" s="152">
        <v>0</v>
      </c>
      <c r="L2284" s="215">
        <v>1</v>
      </c>
      <c r="M2284" s="33">
        <v>276.58558399999998</v>
      </c>
      <c r="N2284" s="33">
        <f t="shared" si="221"/>
        <v>276.58558399999998</v>
      </c>
      <c r="O2284" s="38">
        <f>SUM(N2284:N2288)</f>
        <v>383.38943335479996</v>
      </c>
      <c r="P2284" s="36" t="str">
        <f t="shared" si="212"/>
        <v/>
      </c>
      <c r="Q2284" s="216">
        <f t="shared" si="213"/>
        <v>0.14400000000000002</v>
      </c>
      <c r="R2284" s="216">
        <f t="shared" si="214"/>
        <v>0.14400000000000002</v>
      </c>
      <c r="S2284" s="217">
        <f t="shared" si="215"/>
        <v>0.14400000000000002</v>
      </c>
    </row>
    <row r="2285" spans="1:19" ht="15.75" hidden="1" thickBot="1" x14ac:dyDescent="0.3">
      <c r="A2285" s="262"/>
      <c r="B2285" s="260"/>
      <c r="C2285" s="35" t="s">
        <v>582</v>
      </c>
      <c r="D2285" s="35" t="s">
        <v>583</v>
      </c>
      <c r="E2285" s="36">
        <f>ROUND(1.678*0.8,4)</f>
        <v>1.3424</v>
      </c>
      <c r="F2285" s="30">
        <v>25.725999999999996</v>
      </c>
      <c r="G2285" s="33">
        <f t="shared" si="220"/>
        <v>34.534582399999998</v>
      </c>
      <c r="H2285" s="34"/>
      <c r="I2285" s="30"/>
      <c r="J2285" s="152">
        <v>0</v>
      </c>
      <c r="L2285" s="215">
        <v>1.3424</v>
      </c>
      <c r="M2285" s="30">
        <v>22.021455999999997</v>
      </c>
      <c r="N2285" s="33">
        <f t="shared" si="221"/>
        <v>29.561602534399995</v>
      </c>
      <c r="O2285" s="34"/>
      <c r="P2285" s="36" t="str">
        <f t="shared" si="212"/>
        <v/>
      </c>
      <c r="Q2285" s="216">
        <f t="shared" si="213"/>
        <v>0.14400000000000002</v>
      </c>
      <c r="R2285" s="216">
        <f t="shared" si="214"/>
        <v>0.14400000000000013</v>
      </c>
      <c r="S2285" s="217" t="str">
        <f t="shared" si="215"/>
        <v/>
      </c>
    </row>
    <row r="2286" spans="1:19" ht="15.75" hidden="1" thickBot="1" x14ac:dyDescent="0.3">
      <c r="A2286" s="262"/>
      <c r="B2286" s="260"/>
      <c r="C2286" s="35" t="s">
        <v>584</v>
      </c>
      <c r="D2286" s="35" t="s">
        <v>583</v>
      </c>
      <c r="E2286" s="36">
        <f>ROUND(0.839*0.8,4)</f>
        <v>0.67120000000000002</v>
      </c>
      <c r="F2286" s="30">
        <v>20.225499999999997</v>
      </c>
      <c r="G2286" s="33">
        <f t="shared" si="220"/>
        <v>13.575355599999998</v>
      </c>
      <c r="H2286" s="34"/>
      <c r="I2286" s="30"/>
      <c r="J2286" s="152">
        <v>0</v>
      </c>
      <c r="L2286" s="215">
        <v>0.67120000000000002</v>
      </c>
      <c r="M2286" s="30">
        <v>17.313027999999996</v>
      </c>
      <c r="N2286" s="33">
        <f t="shared" si="221"/>
        <v>11.620504393599997</v>
      </c>
      <c r="O2286" s="34"/>
      <c r="P2286" s="36" t="str">
        <f t="shared" si="212"/>
        <v/>
      </c>
      <c r="Q2286" s="216">
        <f t="shared" si="213"/>
        <v>0.14400000000000013</v>
      </c>
      <c r="R2286" s="216">
        <f t="shared" si="214"/>
        <v>0.14400000000000013</v>
      </c>
      <c r="S2286" s="217" t="str">
        <f t="shared" si="215"/>
        <v/>
      </c>
    </row>
    <row r="2287" spans="1:19" ht="15.75" hidden="1" thickBot="1" x14ac:dyDescent="0.3">
      <c r="A2287" s="262"/>
      <c r="B2287" s="260"/>
      <c r="C2287" s="35" t="s">
        <v>143</v>
      </c>
      <c r="D2287" s="49" t="s">
        <v>75</v>
      </c>
      <c r="E2287" s="36">
        <f>ROUND(0.108*(2*0.9*2.1),4)</f>
        <v>0.40820000000000001</v>
      </c>
      <c r="F2287" s="33" t="s">
        <v>416</v>
      </c>
      <c r="G2287" s="30" t="str">
        <f t="shared" si="220"/>
        <v/>
      </c>
      <c r="H2287" s="34"/>
      <c r="I2287" s="30"/>
      <c r="J2287" s="152">
        <v>0</v>
      </c>
      <c r="L2287" s="215">
        <v>0.40820000000000001</v>
      </c>
      <c r="M2287" s="33"/>
      <c r="N2287" s="30" t="str">
        <f t="shared" si="221"/>
        <v/>
      </c>
      <c r="O2287" s="34"/>
      <c r="P2287" s="36" t="str">
        <f t="shared" si="212"/>
        <v/>
      </c>
      <c r="Q2287" s="216" t="str">
        <f t="shared" si="213"/>
        <v/>
      </c>
      <c r="R2287" s="216" t="str">
        <f t="shared" si="214"/>
        <v/>
      </c>
      <c r="S2287" s="217" t="str">
        <f t="shared" si="215"/>
        <v/>
      </c>
    </row>
    <row r="2288" spans="1:19" ht="15.75" hidden="1" thickBot="1" x14ac:dyDescent="0.3">
      <c r="A2288" s="262"/>
      <c r="B2288" s="260"/>
      <c r="C2288" s="35" t="s">
        <v>956</v>
      </c>
      <c r="D2288" s="35" t="s">
        <v>583</v>
      </c>
      <c r="E2288" s="36">
        <f>ROUND(0.7076*(2*0.9*2.1),4)</f>
        <v>2.6747000000000001</v>
      </c>
      <c r="F2288" s="30">
        <v>28.6615</v>
      </c>
      <c r="G2288" s="30">
        <f t="shared" si="220"/>
        <v>76.660914050000002</v>
      </c>
      <c r="H2288" s="34"/>
      <c r="I2288" s="30"/>
      <c r="J2288" s="152">
        <v>0</v>
      </c>
      <c r="L2288" s="215">
        <v>2.6747000000000001</v>
      </c>
      <c r="M2288" s="30">
        <v>24.534244000000001</v>
      </c>
      <c r="N2288" s="30">
        <f t="shared" si="221"/>
        <v>65.621742426800012</v>
      </c>
      <c r="O2288" s="34"/>
      <c r="P2288" s="36" t="str">
        <f t="shared" si="212"/>
        <v/>
      </c>
      <c r="Q2288" s="216">
        <f t="shared" si="213"/>
        <v>0.14400000000000002</v>
      </c>
      <c r="R2288" s="216">
        <f t="shared" si="214"/>
        <v>0.14399999999999991</v>
      </c>
      <c r="S2288" s="217" t="str">
        <f t="shared" si="215"/>
        <v/>
      </c>
    </row>
    <row r="2289" spans="1:19" ht="15.75" hidden="1" thickBot="1" x14ac:dyDescent="0.3">
      <c r="A2289" s="262"/>
      <c r="B2289" s="260"/>
      <c r="C2289" s="35"/>
      <c r="D2289" s="35"/>
      <c r="E2289" s="36"/>
      <c r="F2289" s="30" t="s">
        <v>416</v>
      </c>
      <c r="G2289" s="30"/>
      <c r="H2289" s="34"/>
      <c r="I2289" s="30"/>
      <c r="J2289" s="152">
        <v>0</v>
      </c>
      <c r="L2289" s="215"/>
      <c r="M2289" s="30"/>
      <c r="N2289" s="30"/>
      <c r="O2289" s="34"/>
      <c r="P2289" s="36" t="str">
        <f t="shared" si="212"/>
        <v/>
      </c>
      <c r="Q2289" s="216" t="str">
        <f t="shared" si="213"/>
        <v/>
      </c>
      <c r="R2289" s="216" t="str">
        <f t="shared" si="214"/>
        <v/>
      </c>
      <c r="S2289" s="217" t="str">
        <f t="shared" si="215"/>
        <v/>
      </c>
    </row>
    <row r="2290" spans="1:19" ht="39" hidden="1" thickBot="1" x14ac:dyDescent="0.3">
      <c r="A2290" s="262"/>
      <c r="B2290" s="260"/>
      <c r="C2290" s="51" t="s">
        <v>2954</v>
      </c>
      <c r="D2290" s="35"/>
      <c r="E2290" s="36"/>
      <c r="F2290" s="30" t="s">
        <v>416</v>
      </c>
      <c r="G2290" s="30"/>
      <c r="H2290" s="34"/>
      <c r="I2290" s="30"/>
      <c r="J2290" s="152">
        <v>0</v>
      </c>
      <c r="L2290" s="215"/>
      <c r="M2290" s="30"/>
      <c r="N2290" s="30"/>
      <c r="O2290" s="34"/>
      <c r="P2290" s="36" t="str">
        <f t="shared" si="212"/>
        <v/>
      </c>
      <c r="Q2290" s="216" t="str">
        <f t="shared" si="213"/>
        <v/>
      </c>
      <c r="R2290" s="216" t="str">
        <f t="shared" si="214"/>
        <v/>
      </c>
      <c r="S2290" s="217" t="str">
        <f t="shared" si="215"/>
        <v/>
      </c>
    </row>
    <row r="2291" spans="1:19" ht="15.75" hidden="1" thickBot="1" x14ac:dyDescent="0.3">
      <c r="A2291" s="262"/>
      <c r="B2291" s="260"/>
      <c r="C2291" s="35"/>
      <c r="D2291" s="46"/>
      <c r="E2291" s="36"/>
      <c r="F2291" s="33" t="s">
        <v>416</v>
      </c>
      <c r="G2291" s="33" t="str">
        <f t="shared" ref="G2291:G2298" si="222">IF(ISNUMBER(F2291),E2291*F2291,"")</f>
        <v/>
      </c>
      <c r="H2291" s="34"/>
      <c r="I2291" s="30"/>
      <c r="J2291" s="152">
        <v>0</v>
      </c>
      <c r="L2291" s="215"/>
      <c r="M2291" s="33"/>
      <c r="N2291" s="33" t="str">
        <f t="shared" ref="N2291:N2298" si="223">IF(ISNUMBER(M2291),L2291*M2291,"")</f>
        <v/>
      </c>
      <c r="O2291" s="34"/>
      <c r="P2291" s="36" t="str">
        <f t="shared" si="212"/>
        <v/>
      </c>
      <c r="Q2291" s="216" t="str">
        <f t="shared" si="213"/>
        <v/>
      </c>
      <c r="R2291" s="216" t="str">
        <f t="shared" si="214"/>
        <v/>
      </c>
      <c r="S2291" s="217" t="str">
        <f t="shared" si="215"/>
        <v/>
      </c>
    </row>
    <row r="2292" spans="1:19" ht="15.75" hidden="1" thickBot="1" x14ac:dyDescent="0.3">
      <c r="A2292" s="256" t="s">
        <v>588</v>
      </c>
      <c r="B2292" s="259" t="str">
        <f>INDEX(Orçamentária!A:B,MATCH(Composições!A2292,Orçamentária!A:A,0),2)</f>
        <v>Folha de porta em madeira 2,10 x 1,0m, pintada</v>
      </c>
      <c r="C2292" s="40"/>
      <c r="D2292" s="25" t="s">
        <v>16</v>
      </c>
      <c r="E2292" s="26"/>
      <c r="F2292" s="41" t="s">
        <v>416</v>
      </c>
      <c r="G2292" s="27" t="str">
        <f t="shared" si="222"/>
        <v/>
      </c>
      <c r="H2292" s="28"/>
      <c r="I2292" s="29"/>
      <c r="J2292" s="152">
        <v>0</v>
      </c>
      <c r="L2292" s="218"/>
      <c r="M2292" s="41"/>
      <c r="N2292" s="27" t="str">
        <f t="shared" si="223"/>
        <v/>
      </c>
      <c r="O2292" s="28"/>
      <c r="P2292" s="36" t="str">
        <f t="shared" si="212"/>
        <v/>
      </c>
      <c r="Q2292" s="216" t="str">
        <f t="shared" si="213"/>
        <v/>
      </c>
      <c r="R2292" s="216" t="str">
        <f t="shared" si="214"/>
        <v/>
      </c>
      <c r="S2292" s="217" t="str">
        <f t="shared" si="215"/>
        <v/>
      </c>
    </row>
    <row r="2293" spans="1:19" ht="15.75" hidden="1" thickBot="1" x14ac:dyDescent="0.3">
      <c r="A2293" s="262"/>
      <c r="B2293" s="260"/>
      <c r="C2293" s="31"/>
      <c r="D2293" s="31"/>
      <c r="E2293" s="32"/>
      <c r="F2293" s="42" t="s">
        <v>416</v>
      </c>
      <c r="G2293" s="30" t="str">
        <f t="shared" si="222"/>
        <v/>
      </c>
      <c r="H2293" s="34"/>
      <c r="I2293" s="30"/>
      <c r="J2293" s="152">
        <v>0</v>
      </c>
      <c r="L2293" s="219"/>
      <c r="M2293" s="42"/>
      <c r="N2293" s="30" t="str">
        <f t="shared" si="223"/>
        <v/>
      </c>
      <c r="O2293" s="34"/>
      <c r="P2293" s="36" t="str">
        <f t="shared" si="212"/>
        <v/>
      </c>
      <c r="Q2293" s="216" t="str">
        <f t="shared" si="213"/>
        <v/>
      </c>
      <c r="R2293" s="216" t="str">
        <f t="shared" si="214"/>
        <v/>
      </c>
      <c r="S2293" s="217" t="str">
        <f t="shared" si="215"/>
        <v/>
      </c>
    </row>
    <row r="2294" spans="1:19" ht="51.75" hidden="1" thickBot="1" x14ac:dyDescent="0.3">
      <c r="A2294" s="262"/>
      <c r="B2294" s="260"/>
      <c r="C2294" s="35" t="s">
        <v>8328</v>
      </c>
      <c r="D2294" s="35" t="s">
        <v>213</v>
      </c>
      <c r="E2294" s="36">
        <v>1</v>
      </c>
      <c r="F2294" s="33">
        <v>346.08499999999998</v>
      </c>
      <c r="G2294" s="33">
        <f t="shared" si="222"/>
        <v>346.08499999999998</v>
      </c>
      <c r="H2294" s="38">
        <f>SUM(G2294:G2298)</f>
        <v>479.37404985000001</v>
      </c>
      <c r="I2294" s="39"/>
      <c r="J2294" s="152">
        <v>0</v>
      </c>
      <c r="L2294" s="215">
        <v>1</v>
      </c>
      <c r="M2294" s="33">
        <v>296.24876</v>
      </c>
      <c r="N2294" s="33">
        <f t="shared" si="223"/>
        <v>296.24876</v>
      </c>
      <c r="O2294" s="38">
        <f>SUM(N2294:N2298)</f>
        <v>410.34418667160003</v>
      </c>
      <c r="P2294" s="36" t="str">
        <f t="shared" si="212"/>
        <v/>
      </c>
      <c r="Q2294" s="216">
        <f t="shared" si="213"/>
        <v>0.14399999999999991</v>
      </c>
      <c r="R2294" s="216">
        <f t="shared" si="214"/>
        <v>0.14399999999999991</v>
      </c>
      <c r="S2294" s="217">
        <f t="shared" si="215"/>
        <v>0.14399999999999991</v>
      </c>
    </row>
    <row r="2295" spans="1:19" ht="15.75" hidden="1" thickBot="1" x14ac:dyDescent="0.3">
      <c r="A2295" s="262"/>
      <c r="B2295" s="260"/>
      <c r="C2295" s="35" t="s">
        <v>582</v>
      </c>
      <c r="D2295" s="35" t="s">
        <v>583</v>
      </c>
      <c r="E2295" s="36">
        <f>ROUND(1.678*0.8,4)</f>
        <v>1.3424</v>
      </c>
      <c r="F2295" s="30">
        <v>25.725999999999996</v>
      </c>
      <c r="G2295" s="33">
        <f t="shared" si="222"/>
        <v>34.534582399999998</v>
      </c>
      <c r="H2295" s="34"/>
      <c r="I2295" s="30"/>
      <c r="J2295" s="152">
        <v>0</v>
      </c>
      <c r="L2295" s="215">
        <v>1.3424</v>
      </c>
      <c r="M2295" s="30">
        <v>22.021455999999997</v>
      </c>
      <c r="N2295" s="33">
        <f t="shared" si="223"/>
        <v>29.561602534399995</v>
      </c>
      <c r="O2295" s="34"/>
      <c r="P2295" s="36" t="str">
        <f t="shared" si="212"/>
        <v/>
      </c>
      <c r="Q2295" s="216">
        <f t="shared" si="213"/>
        <v>0.14400000000000002</v>
      </c>
      <c r="R2295" s="216">
        <f t="shared" si="214"/>
        <v>0.14400000000000013</v>
      </c>
      <c r="S2295" s="217" t="str">
        <f t="shared" si="215"/>
        <v/>
      </c>
    </row>
    <row r="2296" spans="1:19" ht="15.75" hidden="1" thickBot="1" x14ac:dyDescent="0.3">
      <c r="A2296" s="262"/>
      <c r="B2296" s="260"/>
      <c r="C2296" s="35" t="s">
        <v>584</v>
      </c>
      <c r="D2296" s="35" t="s">
        <v>583</v>
      </c>
      <c r="E2296" s="36">
        <f>ROUND(0.839*0.8,4)</f>
        <v>0.67120000000000002</v>
      </c>
      <c r="F2296" s="30">
        <v>20.225499999999997</v>
      </c>
      <c r="G2296" s="33">
        <f t="shared" si="222"/>
        <v>13.575355599999998</v>
      </c>
      <c r="H2296" s="34"/>
      <c r="I2296" s="30"/>
      <c r="J2296" s="152">
        <v>0</v>
      </c>
      <c r="L2296" s="215">
        <v>0.67120000000000002</v>
      </c>
      <c r="M2296" s="30">
        <v>17.313027999999996</v>
      </c>
      <c r="N2296" s="33">
        <f t="shared" si="223"/>
        <v>11.620504393599997</v>
      </c>
      <c r="O2296" s="34"/>
      <c r="P2296" s="36" t="str">
        <f t="shared" si="212"/>
        <v/>
      </c>
      <c r="Q2296" s="216">
        <f t="shared" si="213"/>
        <v>0.14400000000000013</v>
      </c>
      <c r="R2296" s="216">
        <f t="shared" si="214"/>
        <v>0.14400000000000013</v>
      </c>
      <c r="S2296" s="217" t="str">
        <f t="shared" si="215"/>
        <v/>
      </c>
    </row>
    <row r="2297" spans="1:19" ht="15.75" hidden="1" thickBot="1" x14ac:dyDescent="0.3">
      <c r="A2297" s="262"/>
      <c r="B2297" s="260"/>
      <c r="C2297" s="35" t="s">
        <v>143</v>
      </c>
      <c r="D2297" s="49" t="s">
        <v>75</v>
      </c>
      <c r="E2297" s="36">
        <f>ROUND(0.108*(2*1*2.1),4)</f>
        <v>0.4536</v>
      </c>
      <c r="F2297" s="33" t="s">
        <v>416</v>
      </c>
      <c r="G2297" s="30" t="str">
        <f t="shared" si="222"/>
        <v/>
      </c>
      <c r="H2297" s="34"/>
      <c r="I2297" s="30"/>
      <c r="J2297" s="152">
        <v>0</v>
      </c>
      <c r="L2297" s="215">
        <v>0.4536</v>
      </c>
      <c r="M2297" s="33"/>
      <c r="N2297" s="30" t="str">
        <f t="shared" si="223"/>
        <v/>
      </c>
      <c r="O2297" s="34"/>
      <c r="P2297" s="36" t="str">
        <f t="shared" si="212"/>
        <v/>
      </c>
      <c r="Q2297" s="216" t="str">
        <f t="shared" si="213"/>
        <v/>
      </c>
      <c r="R2297" s="216" t="str">
        <f t="shared" si="214"/>
        <v/>
      </c>
      <c r="S2297" s="217" t="str">
        <f t="shared" si="215"/>
        <v/>
      </c>
    </row>
    <row r="2298" spans="1:19" ht="15.75" hidden="1" thickBot="1" x14ac:dyDescent="0.3">
      <c r="A2298" s="262"/>
      <c r="B2298" s="260"/>
      <c r="C2298" s="35" t="s">
        <v>956</v>
      </c>
      <c r="D2298" s="35" t="s">
        <v>583</v>
      </c>
      <c r="E2298" s="36">
        <f>ROUND(0.7076*(2*1*2.1),4)</f>
        <v>2.9719000000000002</v>
      </c>
      <c r="F2298" s="30">
        <v>28.6615</v>
      </c>
      <c r="G2298" s="30">
        <f t="shared" si="222"/>
        <v>85.179111850000012</v>
      </c>
      <c r="H2298" s="34"/>
      <c r="I2298" s="30"/>
      <c r="J2298" s="152">
        <v>0</v>
      </c>
      <c r="L2298" s="215">
        <v>2.9719000000000002</v>
      </c>
      <c r="M2298" s="30">
        <v>24.534244000000001</v>
      </c>
      <c r="N2298" s="30">
        <f t="shared" si="223"/>
        <v>72.913319743600013</v>
      </c>
      <c r="O2298" s="34"/>
      <c r="P2298" s="36" t="str">
        <f t="shared" si="212"/>
        <v/>
      </c>
      <c r="Q2298" s="216">
        <f t="shared" si="213"/>
        <v>0.14400000000000002</v>
      </c>
      <c r="R2298" s="216">
        <f t="shared" si="214"/>
        <v>0.14400000000000002</v>
      </c>
      <c r="S2298" s="217" t="str">
        <f t="shared" si="215"/>
        <v/>
      </c>
    </row>
    <row r="2299" spans="1:19" ht="15.75" hidden="1" thickBot="1" x14ac:dyDescent="0.3">
      <c r="A2299" s="262"/>
      <c r="B2299" s="260"/>
      <c r="C2299" s="35"/>
      <c r="D2299" s="35"/>
      <c r="E2299" s="36"/>
      <c r="F2299" s="30" t="s">
        <v>416</v>
      </c>
      <c r="G2299" s="30"/>
      <c r="H2299" s="34"/>
      <c r="I2299" s="30"/>
      <c r="J2299" s="152">
        <v>0</v>
      </c>
      <c r="L2299" s="215"/>
      <c r="M2299" s="30"/>
      <c r="N2299" s="30"/>
      <c r="O2299" s="34"/>
      <c r="P2299" s="36" t="str">
        <f t="shared" si="212"/>
        <v/>
      </c>
      <c r="Q2299" s="216" t="str">
        <f t="shared" si="213"/>
        <v/>
      </c>
      <c r="R2299" s="216" t="str">
        <f t="shared" si="214"/>
        <v/>
      </c>
      <c r="S2299" s="217" t="str">
        <f t="shared" si="215"/>
        <v/>
      </c>
    </row>
    <row r="2300" spans="1:19" ht="39" hidden="1" thickBot="1" x14ac:dyDescent="0.3">
      <c r="A2300" s="262"/>
      <c r="B2300" s="260"/>
      <c r="C2300" s="51" t="s">
        <v>2954</v>
      </c>
      <c r="D2300" s="35"/>
      <c r="E2300" s="36"/>
      <c r="F2300" s="30" t="s">
        <v>416</v>
      </c>
      <c r="G2300" s="30"/>
      <c r="H2300" s="34"/>
      <c r="I2300" s="30"/>
      <c r="J2300" s="152">
        <v>0</v>
      </c>
      <c r="L2300" s="215"/>
      <c r="M2300" s="30"/>
      <c r="N2300" s="30"/>
      <c r="O2300" s="34"/>
      <c r="P2300" s="36" t="str">
        <f t="shared" si="212"/>
        <v/>
      </c>
      <c r="Q2300" s="216" t="str">
        <f t="shared" si="213"/>
        <v/>
      </c>
      <c r="R2300" s="216" t="str">
        <f t="shared" si="214"/>
        <v/>
      </c>
      <c r="S2300" s="217" t="str">
        <f t="shared" si="215"/>
        <v/>
      </c>
    </row>
    <row r="2301" spans="1:19" ht="15.75" hidden="1" thickBot="1" x14ac:dyDescent="0.3">
      <c r="A2301" s="262"/>
      <c r="B2301" s="260"/>
      <c r="C2301" s="35"/>
      <c r="D2301" s="46"/>
      <c r="E2301" s="36"/>
      <c r="F2301" s="33" t="s">
        <v>416</v>
      </c>
      <c r="G2301" s="33" t="str">
        <f t="shared" ref="G2301:G2364" si="224">IF(ISNUMBER(F2301),E2301*F2301,"")</f>
        <v/>
      </c>
      <c r="H2301" s="34"/>
      <c r="I2301" s="30"/>
      <c r="J2301" s="152">
        <v>0</v>
      </c>
      <c r="L2301" s="215"/>
      <c r="M2301" s="33"/>
      <c r="N2301" s="33" t="str">
        <f t="shared" ref="N2301:N2364" si="225">IF(ISNUMBER(M2301),L2301*M2301,"")</f>
        <v/>
      </c>
      <c r="O2301" s="34"/>
      <c r="P2301" s="36" t="str">
        <f t="shared" si="212"/>
        <v/>
      </c>
      <c r="Q2301" s="216" t="str">
        <f t="shared" si="213"/>
        <v/>
      </c>
      <c r="R2301" s="216" t="str">
        <f t="shared" si="214"/>
        <v/>
      </c>
      <c r="S2301" s="217" t="str">
        <f t="shared" si="215"/>
        <v/>
      </c>
    </row>
    <row r="2302" spans="1:19" ht="15.75" hidden="1" thickBot="1" x14ac:dyDescent="0.3">
      <c r="A2302" s="256" t="s">
        <v>589</v>
      </c>
      <c r="B2302" s="259" t="str">
        <f>INDEX(Orçamentária!A:B,MATCH(Composições!A2302,Orçamentária!A:A,0),2)</f>
        <v>Instalação de batentes de madeira reaproveitados</v>
      </c>
      <c r="C2302" s="40"/>
      <c r="D2302" s="25" t="s">
        <v>16</v>
      </c>
      <c r="E2302" s="26"/>
      <c r="F2302" s="41" t="s">
        <v>416</v>
      </c>
      <c r="G2302" s="27" t="str">
        <f t="shared" si="224"/>
        <v/>
      </c>
      <c r="H2302" s="28"/>
      <c r="I2302" s="29"/>
      <c r="J2302" s="152">
        <v>0</v>
      </c>
      <c r="L2302" s="218"/>
      <c r="M2302" s="41"/>
      <c r="N2302" s="27" t="str">
        <f t="shared" si="225"/>
        <v/>
      </c>
      <c r="O2302" s="28"/>
      <c r="P2302" s="36" t="str">
        <f t="shared" si="212"/>
        <v/>
      </c>
      <c r="Q2302" s="216" t="str">
        <f t="shared" si="213"/>
        <v/>
      </c>
      <c r="R2302" s="216" t="str">
        <f t="shared" si="214"/>
        <v/>
      </c>
      <c r="S2302" s="217" t="str">
        <f t="shared" si="215"/>
        <v/>
      </c>
    </row>
    <row r="2303" spans="1:19" ht="15.75" hidden="1" thickBot="1" x14ac:dyDescent="0.3">
      <c r="A2303" s="262"/>
      <c r="B2303" s="260"/>
      <c r="C2303" s="31"/>
      <c r="D2303" s="31"/>
      <c r="E2303" s="32"/>
      <c r="F2303" s="42" t="s">
        <v>416</v>
      </c>
      <c r="G2303" s="30" t="str">
        <f t="shared" si="224"/>
        <v/>
      </c>
      <c r="H2303" s="34"/>
      <c r="I2303" s="30"/>
      <c r="J2303" s="152">
        <v>0</v>
      </c>
      <c r="L2303" s="219"/>
      <c r="M2303" s="42"/>
      <c r="N2303" s="30" t="str">
        <f t="shared" si="225"/>
        <v/>
      </c>
      <c r="O2303" s="34"/>
      <c r="P2303" s="36" t="str">
        <f t="shared" si="212"/>
        <v/>
      </c>
      <c r="Q2303" s="216" t="str">
        <f t="shared" si="213"/>
        <v/>
      </c>
      <c r="R2303" s="216" t="str">
        <f t="shared" si="214"/>
        <v/>
      </c>
      <c r="S2303" s="217" t="str">
        <f t="shared" si="215"/>
        <v/>
      </c>
    </row>
    <row r="2304" spans="1:19" ht="15.75" hidden="1" thickBot="1" x14ac:dyDescent="0.3">
      <c r="A2304" s="262"/>
      <c r="B2304" s="260"/>
      <c r="C2304" s="35" t="s">
        <v>1274</v>
      </c>
      <c r="D2304" s="35" t="s">
        <v>773</v>
      </c>
      <c r="E2304" s="36">
        <v>1.0999999999999999E-2</v>
      </c>
      <c r="F2304" s="33">
        <v>28.462</v>
      </c>
      <c r="G2304" s="30">
        <f t="shared" si="224"/>
        <v>0.31308199999999997</v>
      </c>
      <c r="H2304" s="38">
        <f>SUM(G2304:G2307)</f>
        <v>98.792523499999987</v>
      </c>
      <c r="I2304" s="39"/>
      <c r="J2304" s="152">
        <v>0</v>
      </c>
      <c r="L2304" s="215">
        <v>1.0999999999999999E-2</v>
      </c>
      <c r="M2304" s="33">
        <v>24.363472000000002</v>
      </c>
      <c r="N2304" s="30">
        <f t="shared" si="225"/>
        <v>0.26799819200000002</v>
      </c>
      <c r="O2304" s="38">
        <f>SUM(N2304:N2307)</f>
        <v>84.566400115999983</v>
      </c>
      <c r="P2304" s="36" t="str">
        <f t="shared" si="212"/>
        <v/>
      </c>
      <c r="Q2304" s="216">
        <f t="shared" si="213"/>
        <v>0.14399999999999991</v>
      </c>
      <c r="R2304" s="216">
        <f t="shared" si="214"/>
        <v>0.14399999999999979</v>
      </c>
      <c r="S2304" s="217">
        <f t="shared" si="215"/>
        <v>0.14400000000000002</v>
      </c>
    </row>
    <row r="2305" spans="1:19" ht="15.75" hidden="1" thickBot="1" x14ac:dyDescent="0.3">
      <c r="A2305" s="262"/>
      <c r="B2305" s="260"/>
      <c r="C2305" s="35" t="s">
        <v>73</v>
      </c>
      <c r="D2305" s="35" t="s">
        <v>773</v>
      </c>
      <c r="E2305" s="36">
        <v>2.4E-2</v>
      </c>
      <c r="F2305" s="33">
        <v>21.602999999999998</v>
      </c>
      <c r="G2305" s="30">
        <f t="shared" si="224"/>
        <v>0.51847199999999993</v>
      </c>
      <c r="H2305" s="34"/>
      <c r="I2305" s="30"/>
      <c r="J2305" s="152">
        <v>0</v>
      </c>
      <c r="L2305" s="215">
        <v>2.4E-2</v>
      </c>
      <c r="M2305" s="33">
        <v>18.492167999999999</v>
      </c>
      <c r="N2305" s="30">
        <f t="shared" si="225"/>
        <v>0.44381203200000002</v>
      </c>
      <c r="O2305" s="34"/>
      <c r="P2305" s="36" t="str">
        <f t="shared" si="212"/>
        <v/>
      </c>
      <c r="Q2305" s="216">
        <f t="shared" si="213"/>
        <v>0.14399999999999991</v>
      </c>
      <c r="R2305" s="216">
        <f t="shared" si="214"/>
        <v>0.14399999999999979</v>
      </c>
      <c r="S2305" s="217" t="str">
        <f t="shared" si="215"/>
        <v/>
      </c>
    </row>
    <row r="2306" spans="1:19" ht="15.75" hidden="1" thickBot="1" x14ac:dyDescent="0.3">
      <c r="A2306" s="262"/>
      <c r="B2306" s="260"/>
      <c r="C2306" s="35" t="s">
        <v>582</v>
      </c>
      <c r="D2306" s="35" t="s">
        <v>583</v>
      </c>
      <c r="E2306" s="36">
        <v>2.7410000000000001</v>
      </c>
      <c r="F2306" s="30">
        <v>25.725999999999996</v>
      </c>
      <c r="G2306" s="30">
        <f t="shared" si="224"/>
        <v>70.514965999999987</v>
      </c>
      <c r="H2306" s="34"/>
      <c r="I2306" s="30"/>
      <c r="J2306" s="152">
        <v>0</v>
      </c>
      <c r="L2306" s="215">
        <v>2.7410000000000001</v>
      </c>
      <c r="M2306" s="30">
        <v>22.021455999999997</v>
      </c>
      <c r="N2306" s="30">
        <f t="shared" si="225"/>
        <v>60.360810895999997</v>
      </c>
      <c r="O2306" s="34"/>
      <c r="P2306" s="36" t="str">
        <f t="shared" si="212"/>
        <v/>
      </c>
      <c r="Q2306" s="216">
        <f t="shared" si="213"/>
        <v>0.14400000000000002</v>
      </c>
      <c r="R2306" s="216">
        <f t="shared" si="214"/>
        <v>0.14399999999999991</v>
      </c>
      <c r="S2306" s="217" t="str">
        <f t="shared" si="215"/>
        <v/>
      </c>
    </row>
    <row r="2307" spans="1:19" ht="15.75" hidden="1" thickBot="1" x14ac:dyDescent="0.3">
      <c r="A2307" s="262"/>
      <c r="B2307" s="260"/>
      <c r="C2307" s="35" t="s">
        <v>584</v>
      </c>
      <c r="D2307" s="35" t="s">
        <v>583</v>
      </c>
      <c r="E2307" s="36">
        <v>1.357</v>
      </c>
      <c r="F2307" s="30">
        <v>20.225499999999997</v>
      </c>
      <c r="G2307" s="30">
        <f t="shared" si="224"/>
        <v>27.446003499999996</v>
      </c>
      <c r="H2307" s="34"/>
      <c r="I2307" s="30"/>
      <c r="J2307" s="152">
        <v>0</v>
      </c>
      <c r="L2307" s="215">
        <v>1.357</v>
      </c>
      <c r="M2307" s="30">
        <v>17.313027999999996</v>
      </c>
      <c r="N2307" s="30">
        <f t="shared" si="225"/>
        <v>23.493778995999993</v>
      </c>
      <c r="O2307" s="34"/>
      <c r="P2307" s="36" t="str">
        <f t="shared" si="212"/>
        <v/>
      </c>
      <c r="Q2307" s="216">
        <f t="shared" si="213"/>
        <v>0.14400000000000013</v>
      </c>
      <c r="R2307" s="216">
        <f t="shared" si="214"/>
        <v>0.14400000000000013</v>
      </c>
      <c r="S2307" s="217" t="str">
        <f t="shared" si="215"/>
        <v/>
      </c>
    </row>
    <row r="2308" spans="1:19" ht="15.75" hidden="1" thickBot="1" x14ac:dyDescent="0.3">
      <c r="A2308" s="262"/>
      <c r="B2308" s="260"/>
      <c r="C2308" s="35"/>
      <c r="D2308" s="35"/>
      <c r="E2308" s="36"/>
      <c r="F2308" s="30" t="s">
        <v>416</v>
      </c>
      <c r="G2308" s="33" t="str">
        <f t="shared" si="224"/>
        <v/>
      </c>
      <c r="H2308" s="34"/>
      <c r="I2308" s="30"/>
      <c r="J2308" s="152">
        <v>0</v>
      </c>
      <c r="L2308" s="215"/>
      <c r="M2308" s="30"/>
      <c r="N2308" s="33" t="str">
        <f t="shared" si="225"/>
        <v/>
      </c>
      <c r="O2308" s="34"/>
      <c r="P2308" s="36" t="str">
        <f t="shared" si="212"/>
        <v/>
      </c>
      <c r="Q2308" s="216" t="str">
        <f t="shared" si="213"/>
        <v/>
      </c>
      <c r="R2308" s="216" t="str">
        <f t="shared" si="214"/>
        <v/>
      </c>
      <c r="S2308" s="217" t="str">
        <f t="shared" si="215"/>
        <v/>
      </c>
    </row>
    <row r="2309" spans="1:19" ht="15.75" hidden="1" thickBot="1" x14ac:dyDescent="0.3">
      <c r="A2309" s="256" t="s">
        <v>590</v>
      </c>
      <c r="B2309" s="259" t="str">
        <f>INDEX(Orçamentária!A:B,MATCH(Composições!A2309,Orçamentária!A:A,0),2)</f>
        <v>Instalação de folhas de portas e dobradiças reaproveitadas</v>
      </c>
      <c r="C2309" s="40"/>
      <c r="D2309" s="25" t="s">
        <v>16</v>
      </c>
      <c r="E2309" s="26"/>
      <c r="F2309" s="41" t="s">
        <v>416</v>
      </c>
      <c r="G2309" s="27" t="str">
        <f t="shared" si="224"/>
        <v/>
      </c>
      <c r="H2309" s="28"/>
      <c r="I2309" s="29"/>
      <c r="J2309" s="152">
        <v>0</v>
      </c>
      <c r="L2309" s="218"/>
      <c r="M2309" s="41"/>
      <c r="N2309" s="27" t="str">
        <f t="shared" si="225"/>
        <v/>
      </c>
      <c r="O2309" s="28"/>
      <c r="P2309" s="36" t="str">
        <f t="shared" si="212"/>
        <v/>
      </c>
      <c r="Q2309" s="216" t="str">
        <f t="shared" si="213"/>
        <v/>
      </c>
      <c r="R2309" s="216" t="str">
        <f t="shared" si="214"/>
        <v/>
      </c>
      <c r="S2309" s="217" t="str">
        <f t="shared" si="215"/>
        <v/>
      </c>
    </row>
    <row r="2310" spans="1:19" ht="15.75" hidden="1" thickBot="1" x14ac:dyDescent="0.3">
      <c r="A2310" s="262"/>
      <c r="B2310" s="260"/>
      <c r="C2310" s="31"/>
      <c r="D2310" s="31"/>
      <c r="E2310" s="32"/>
      <c r="F2310" s="42" t="s">
        <v>416</v>
      </c>
      <c r="G2310" s="33" t="str">
        <f t="shared" si="224"/>
        <v/>
      </c>
      <c r="H2310" s="34"/>
      <c r="I2310" s="30"/>
      <c r="J2310" s="152">
        <v>0</v>
      </c>
      <c r="L2310" s="219"/>
      <c r="M2310" s="42"/>
      <c r="N2310" s="33" t="str">
        <f t="shared" si="225"/>
        <v/>
      </c>
      <c r="O2310" s="34"/>
      <c r="P2310" s="36" t="str">
        <f t="shared" si="212"/>
        <v/>
      </c>
      <c r="Q2310" s="216" t="str">
        <f t="shared" si="213"/>
        <v/>
      </c>
      <c r="R2310" s="216" t="str">
        <f t="shared" si="214"/>
        <v/>
      </c>
      <c r="S2310" s="217" t="str">
        <f t="shared" si="215"/>
        <v/>
      </c>
    </row>
    <row r="2311" spans="1:19" ht="26.25" hidden="1" thickBot="1" x14ac:dyDescent="0.3">
      <c r="A2311" s="262"/>
      <c r="B2311" s="260"/>
      <c r="C2311" s="35" t="s">
        <v>581</v>
      </c>
      <c r="D2311" s="35" t="s">
        <v>213</v>
      </c>
      <c r="E2311" s="36">
        <v>19.8</v>
      </c>
      <c r="F2311" s="30">
        <v>8.5499999999999993E-2</v>
      </c>
      <c r="G2311" s="33">
        <f t="shared" si="224"/>
        <v>1.6928999999999998</v>
      </c>
      <c r="H2311" s="38">
        <f>SUM(G2311:G2314)</f>
        <v>71.879944999999992</v>
      </c>
      <c r="I2311" s="39"/>
      <c r="J2311" s="152">
        <v>0</v>
      </c>
      <c r="L2311" s="215">
        <v>19.8</v>
      </c>
      <c r="M2311" s="30">
        <v>7.3187999999999989E-2</v>
      </c>
      <c r="N2311" s="33">
        <f t="shared" si="225"/>
        <v>1.4491223999999998</v>
      </c>
      <c r="O2311" s="38">
        <f>SUM(N2311:N2314)</f>
        <v>61.529232919999991</v>
      </c>
      <c r="P2311" s="36" t="str">
        <f t="shared" si="212"/>
        <v/>
      </c>
      <c r="Q2311" s="216">
        <f t="shared" si="213"/>
        <v>0.14400000000000002</v>
      </c>
      <c r="R2311" s="216">
        <f t="shared" si="214"/>
        <v>0.14400000000000002</v>
      </c>
      <c r="S2311" s="217">
        <f t="shared" si="215"/>
        <v>0.14400000000000002</v>
      </c>
    </row>
    <row r="2312" spans="1:19" ht="15.75" hidden="1" thickBot="1" x14ac:dyDescent="0.3">
      <c r="A2312" s="262"/>
      <c r="B2312" s="260"/>
      <c r="C2312" s="35" t="s">
        <v>582</v>
      </c>
      <c r="D2312" s="35" t="s">
        <v>583</v>
      </c>
      <c r="E2312" s="36">
        <v>1.546</v>
      </c>
      <c r="F2312" s="30">
        <v>25.725999999999996</v>
      </c>
      <c r="G2312" s="33">
        <f t="shared" si="224"/>
        <v>39.772395999999993</v>
      </c>
      <c r="H2312" s="34"/>
      <c r="I2312" s="30"/>
      <c r="J2312" s="152">
        <v>0</v>
      </c>
      <c r="L2312" s="215">
        <v>1.546</v>
      </c>
      <c r="M2312" s="30">
        <v>22.021455999999997</v>
      </c>
      <c r="N2312" s="33">
        <f t="shared" si="225"/>
        <v>34.045170975999994</v>
      </c>
      <c r="O2312" s="34"/>
      <c r="P2312" s="36" t="str">
        <f t="shared" ref="P2312:P2375" si="226">IF(ISBLANK(L2312),"",IF($E2312&lt;&gt;L2312,"SIM",""))</f>
        <v/>
      </c>
      <c r="Q2312" s="216">
        <f t="shared" ref="Q2312:Q2375" si="227">IF(M2312="","",1-M2312/$F2312)</f>
        <v>0.14400000000000002</v>
      </c>
      <c r="R2312" s="216">
        <f t="shared" ref="R2312:R2375" si="228">IF(N2312="","",1-N2312/$G2312)</f>
        <v>0.14400000000000002</v>
      </c>
      <c r="S2312" s="217" t="str">
        <f t="shared" ref="S2312:S2375" si="229">IF(O2312="","",1-O2312/$H2312)</f>
        <v/>
      </c>
    </row>
    <row r="2313" spans="1:19" ht="15.75" hidden="1" thickBot="1" x14ac:dyDescent="0.3">
      <c r="A2313" s="262"/>
      <c r="B2313" s="260"/>
      <c r="C2313" s="35" t="s">
        <v>591</v>
      </c>
      <c r="D2313" s="35" t="s">
        <v>583</v>
      </c>
      <c r="E2313" s="36">
        <v>0.221</v>
      </c>
      <c r="F2313" s="30">
        <v>27.160499999999999</v>
      </c>
      <c r="G2313" s="33">
        <f t="shared" si="224"/>
        <v>6.0024705000000003</v>
      </c>
      <c r="H2313" s="34"/>
      <c r="I2313" s="30"/>
      <c r="J2313" s="152">
        <v>0</v>
      </c>
      <c r="L2313" s="215">
        <v>0.221</v>
      </c>
      <c r="M2313" s="30">
        <v>23.249388</v>
      </c>
      <c r="N2313" s="33">
        <f t="shared" si="225"/>
        <v>5.1381147479999996</v>
      </c>
      <c r="O2313" s="34"/>
      <c r="P2313" s="36" t="str">
        <f t="shared" si="226"/>
        <v/>
      </c>
      <c r="Q2313" s="216">
        <f t="shared" si="227"/>
        <v>0.14400000000000002</v>
      </c>
      <c r="R2313" s="216">
        <f t="shared" si="228"/>
        <v>0.14400000000000013</v>
      </c>
      <c r="S2313" s="217" t="str">
        <f t="shared" si="229"/>
        <v/>
      </c>
    </row>
    <row r="2314" spans="1:19" ht="15.75" hidden="1" thickBot="1" x14ac:dyDescent="0.3">
      <c r="A2314" s="262"/>
      <c r="B2314" s="260"/>
      <c r="C2314" s="35" t="s">
        <v>584</v>
      </c>
      <c r="D2314" s="35" t="s">
        <v>583</v>
      </c>
      <c r="E2314" s="36">
        <v>1.2070000000000001</v>
      </c>
      <c r="F2314" s="30">
        <v>20.225499999999997</v>
      </c>
      <c r="G2314" s="33">
        <f t="shared" si="224"/>
        <v>24.412178499999996</v>
      </c>
      <c r="H2314" s="34"/>
      <c r="I2314" s="30"/>
      <c r="J2314" s="152">
        <v>0</v>
      </c>
      <c r="L2314" s="215">
        <v>1.2070000000000001</v>
      </c>
      <c r="M2314" s="30">
        <v>17.313027999999996</v>
      </c>
      <c r="N2314" s="33">
        <f t="shared" si="225"/>
        <v>20.896824795999997</v>
      </c>
      <c r="O2314" s="34"/>
      <c r="P2314" s="36" t="str">
        <f t="shared" si="226"/>
        <v/>
      </c>
      <c r="Q2314" s="216">
        <f t="shared" si="227"/>
        <v>0.14400000000000013</v>
      </c>
      <c r="R2314" s="216">
        <f t="shared" si="228"/>
        <v>0.14400000000000002</v>
      </c>
      <c r="S2314" s="217" t="str">
        <f t="shared" si="229"/>
        <v/>
      </c>
    </row>
    <row r="2315" spans="1:19" ht="15.75" hidden="1" thickBot="1" x14ac:dyDescent="0.3">
      <c r="A2315" s="262"/>
      <c r="B2315" s="260"/>
      <c r="C2315" s="35"/>
      <c r="D2315" s="35"/>
      <c r="E2315" s="36"/>
      <c r="F2315" s="30" t="s">
        <v>416</v>
      </c>
      <c r="G2315" s="33" t="str">
        <f t="shared" si="224"/>
        <v/>
      </c>
      <c r="H2315" s="34"/>
      <c r="I2315" s="30"/>
      <c r="J2315" s="152">
        <v>0</v>
      </c>
      <c r="L2315" s="215"/>
      <c r="M2315" s="30"/>
      <c r="N2315" s="33" t="str">
        <f t="shared" si="225"/>
        <v/>
      </c>
      <c r="O2315" s="34"/>
      <c r="P2315" s="36" t="str">
        <f t="shared" si="226"/>
        <v/>
      </c>
      <c r="Q2315" s="216" t="str">
        <f t="shared" si="227"/>
        <v/>
      </c>
      <c r="R2315" s="216" t="str">
        <f t="shared" si="228"/>
        <v/>
      </c>
      <c r="S2315" s="217" t="str">
        <f t="shared" si="229"/>
        <v/>
      </c>
    </row>
    <row r="2316" spans="1:19" ht="15.75" hidden="1" thickBot="1" x14ac:dyDescent="0.3">
      <c r="A2316" s="256" t="s">
        <v>592</v>
      </c>
      <c r="B2316" s="259" t="str">
        <f>INDEX(Orçamentária!A:B,MATCH(Composições!A2316,Orçamentária!A:A,0),2)</f>
        <v>Dobradiça para porta</v>
      </c>
      <c r="C2316" s="40"/>
      <c r="D2316" s="25" t="s">
        <v>16</v>
      </c>
      <c r="E2316" s="26"/>
      <c r="F2316" s="41" t="s">
        <v>416</v>
      </c>
      <c r="G2316" s="27" t="str">
        <f t="shared" si="224"/>
        <v/>
      </c>
      <c r="H2316" s="28"/>
      <c r="I2316" s="29"/>
      <c r="J2316" s="152">
        <v>0</v>
      </c>
      <c r="L2316" s="218"/>
      <c r="M2316" s="41"/>
      <c r="N2316" s="27" t="str">
        <f t="shared" si="225"/>
        <v/>
      </c>
      <c r="O2316" s="28"/>
      <c r="P2316" s="36" t="str">
        <f t="shared" si="226"/>
        <v/>
      </c>
      <c r="Q2316" s="216" t="str">
        <f t="shared" si="227"/>
        <v/>
      </c>
      <c r="R2316" s="216" t="str">
        <f t="shared" si="228"/>
        <v/>
      </c>
      <c r="S2316" s="217" t="str">
        <f t="shared" si="229"/>
        <v/>
      </c>
    </row>
    <row r="2317" spans="1:19" ht="15.75" hidden="1" thickBot="1" x14ac:dyDescent="0.3">
      <c r="A2317" s="262"/>
      <c r="B2317" s="260"/>
      <c r="C2317" s="31"/>
      <c r="D2317" s="31"/>
      <c r="E2317" s="32"/>
      <c r="F2317" s="42" t="s">
        <v>416</v>
      </c>
      <c r="G2317" s="33" t="str">
        <f t="shared" si="224"/>
        <v/>
      </c>
      <c r="H2317" s="34"/>
      <c r="I2317" s="30"/>
      <c r="J2317" s="152">
        <v>0</v>
      </c>
      <c r="L2317" s="219"/>
      <c r="M2317" s="42"/>
      <c r="N2317" s="33" t="str">
        <f t="shared" si="225"/>
        <v/>
      </c>
      <c r="O2317" s="34"/>
      <c r="P2317" s="36" t="str">
        <f t="shared" si="226"/>
        <v/>
      </c>
      <c r="Q2317" s="216" t="str">
        <f t="shared" si="227"/>
        <v/>
      </c>
      <c r="R2317" s="216" t="str">
        <f t="shared" si="228"/>
        <v/>
      </c>
      <c r="S2317" s="217" t="str">
        <f t="shared" si="229"/>
        <v/>
      </c>
    </row>
    <row r="2318" spans="1:19" ht="26.25" hidden="1" thickBot="1" x14ac:dyDescent="0.3">
      <c r="A2318" s="262"/>
      <c r="B2318" s="260"/>
      <c r="C2318" s="35" t="s">
        <v>580</v>
      </c>
      <c r="D2318" s="35" t="s">
        <v>213</v>
      </c>
      <c r="E2318" s="36">
        <v>1</v>
      </c>
      <c r="F2318" s="33">
        <v>30.371499999999997</v>
      </c>
      <c r="G2318" s="33">
        <f t="shared" si="224"/>
        <v>30.371499999999997</v>
      </c>
      <c r="H2318" s="38">
        <f>SUM(G2318:G2320)</f>
        <v>63.199794999999995</v>
      </c>
      <c r="I2318" s="39"/>
      <c r="J2318" s="152">
        <v>0</v>
      </c>
      <c r="L2318" s="215">
        <v>1</v>
      </c>
      <c r="M2318" s="33">
        <v>25.998003999999998</v>
      </c>
      <c r="N2318" s="33">
        <f t="shared" si="225"/>
        <v>25.998003999999998</v>
      </c>
      <c r="O2318" s="38">
        <f>SUM(N2318:N2320)</f>
        <v>54.099024519999986</v>
      </c>
      <c r="P2318" s="36" t="str">
        <f t="shared" si="226"/>
        <v/>
      </c>
      <c r="Q2318" s="216">
        <f t="shared" si="227"/>
        <v>0.14400000000000002</v>
      </c>
      <c r="R2318" s="216">
        <f t="shared" si="228"/>
        <v>0.14400000000000002</v>
      </c>
      <c r="S2318" s="217">
        <f t="shared" si="229"/>
        <v>0.14400000000000013</v>
      </c>
    </row>
    <row r="2319" spans="1:19" ht="15.75" hidden="1" thickBot="1" x14ac:dyDescent="0.3">
      <c r="A2319" s="262"/>
      <c r="B2319" s="260"/>
      <c r="C2319" s="35" t="s">
        <v>584</v>
      </c>
      <c r="D2319" s="35" t="s">
        <v>583</v>
      </c>
      <c r="E2319" s="36">
        <v>0.45800000000000002</v>
      </c>
      <c r="F2319" s="30">
        <v>20.225499999999997</v>
      </c>
      <c r="G2319" s="33">
        <f t="shared" si="224"/>
        <v>9.2632789999999989</v>
      </c>
      <c r="H2319" s="34"/>
      <c r="I2319" s="30"/>
      <c r="J2319" s="152">
        <v>0</v>
      </c>
      <c r="L2319" s="215">
        <v>0.45800000000000002</v>
      </c>
      <c r="M2319" s="30">
        <v>17.313027999999996</v>
      </c>
      <c r="N2319" s="33">
        <f t="shared" si="225"/>
        <v>7.9293668239999979</v>
      </c>
      <c r="O2319" s="34"/>
      <c r="P2319" s="36" t="str">
        <f t="shared" si="226"/>
        <v/>
      </c>
      <c r="Q2319" s="216">
        <f t="shared" si="227"/>
        <v>0.14400000000000013</v>
      </c>
      <c r="R2319" s="216">
        <f t="shared" si="228"/>
        <v>0.14400000000000013</v>
      </c>
      <c r="S2319" s="217" t="str">
        <f t="shared" si="229"/>
        <v/>
      </c>
    </row>
    <row r="2320" spans="1:19" ht="15.75" hidden="1" thickBot="1" x14ac:dyDescent="0.3">
      <c r="A2320" s="262"/>
      <c r="B2320" s="260"/>
      <c r="C2320" s="35" t="s">
        <v>582</v>
      </c>
      <c r="D2320" s="35" t="s">
        <v>583</v>
      </c>
      <c r="E2320" s="36">
        <v>0.91600000000000004</v>
      </c>
      <c r="F2320" s="30">
        <v>25.725999999999996</v>
      </c>
      <c r="G2320" s="33">
        <f t="shared" si="224"/>
        <v>23.565015999999996</v>
      </c>
      <c r="H2320" s="34"/>
      <c r="I2320" s="30"/>
      <c r="J2320" s="152">
        <v>0</v>
      </c>
      <c r="L2320" s="215">
        <v>0.91600000000000004</v>
      </c>
      <c r="M2320" s="30">
        <v>22.021455999999997</v>
      </c>
      <c r="N2320" s="33">
        <f t="shared" si="225"/>
        <v>20.171653695999996</v>
      </c>
      <c r="O2320" s="34"/>
      <c r="P2320" s="36" t="str">
        <f t="shared" si="226"/>
        <v/>
      </c>
      <c r="Q2320" s="216">
        <f t="shared" si="227"/>
        <v>0.14400000000000002</v>
      </c>
      <c r="R2320" s="216">
        <f t="shared" si="228"/>
        <v>0.14400000000000002</v>
      </c>
      <c r="S2320" s="217" t="str">
        <f t="shared" si="229"/>
        <v/>
      </c>
    </row>
    <row r="2321" spans="1:19" ht="15.75" hidden="1" thickBot="1" x14ac:dyDescent="0.3">
      <c r="A2321" s="263"/>
      <c r="B2321" s="261"/>
      <c r="C2321" s="35"/>
      <c r="D2321" s="35"/>
      <c r="E2321" s="36"/>
      <c r="F2321" s="30" t="s">
        <v>416</v>
      </c>
      <c r="G2321" s="33" t="str">
        <f t="shared" si="224"/>
        <v/>
      </c>
      <c r="H2321" s="34"/>
      <c r="I2321" s="30"/>
      <c r="J2321" s="152">
        <v>0</v>
      </c>
      <c r="L2321" s="215"/>
      <c r="M2321" s="30"/>
      <c r="N2321" s="33" t="str">
        <f t="shared" si="225"/>
        <v/>
      </c>
      <c r="O2321" s="34"/>
      <c r="P2321" s="36" t="str">
        <f t="shared" si="226"/>
        <v/>
      </c>
      <c r="Q2321" s="216" t="str">
        <f t="shared" si="227"/>
        <v/>
      </c>
      <c r="R2321" s="216" t="str">
        <f t="shared" si="228"/>
        <v/>
      </c>
      <c r="S2321" s="217" t="str">
        <f t="shared" si="229"/>
        <v/>
      </c>
    </row>
    <row r="2322" spans="1:19" ht="15.75" hidden="1" thickBot="1" x14ac:dyDescent="0.3">
      <c r="A2322" s="256" t="s">
        <v>593</v>
      </c>
      <c r="B2322" s="259" t="str">
        <f>INDEX(Orçamentária!A:B,MATCH(Composições!A2322,Orçamentária!A:A,0),2)</f>
        <v>Fechadura para banheiro maçaneta em barra</v>
      </c>
      <c r="C2322" s="40"/>
      <c r="D2322" s="25" t="s">
        <v>16</v>
      </c>
      <c r="E2322" s="26"/>
      <c r="F2322" s="41" t="s">
        <v>416</v>
      </c>
      <c r="G2322" s="27" t="str">
        <f t="shared" si="224"/>
        <v/>
      </c>
      <c r="H2322" s="28"/>
      <c r="I2322" s="29"/>
      <c r="J2322" s="152">
        <v>0</v>
      </c>
      <c r="L2322" s="218"/>
      <c r="M2322" s="41"/>
      <c r="N2322" s="27" t="str">
        <f t="shared" si="225"/>
        <v/>
      </c>
      <c r="O2322" s="28"/>
      <c r="P2322" s="36" t="str">
        <f t="shared" si="226"/>
        <v/>
      </c>
      <c r="Q2322" s="216" t="str">
        <f t="shared" si="227"/>
        <v/>
      </c>
      <c r="R2322" s="216" t="str">
        <f t="shared" si="228"/>
        <v/>
      </c>
      <c r="S2322" s="217" t="str">
        <f t="shared" si="229"/>
        <v/>
      </c>
    </row>
    <row r="2323" spans="1:19" ht="15.75" hidden="1" thickBot="1" x14ac:dyDescent="0.3">
      <c r="A2323" s="262"/>
      <c r="B2323" s="260"/>
      <c r="C2323" s="31"/>
      <c r="D2323" s="31"/>
      <c r="E2323" s="32"/>
      <c r="F2323" s="42" t="s">
        <v>416</v>
      </c>
      <c r="G2323" s="33" t="str">
        <f t="shared" si="224"/>
        <v/>
      </c>
      <c r="H2323" s="34"/>
      <c r="I2323" s="30"/>
      <c r="J2323" s="152">
        <v>0</v>
      </c>
      <c r="L2323" s="219"/>
      <c r="M2323" s="42"/>
      <c r="N2323" s="33" t="str">
        <f t="shared" si="225"/>
        <v/>
      </c>
      <c r="O2323" s="34"/>
      <c r="P2323" s="36" t="str">
        <f t="shared" si="226"/>
        <v/>
      </c>
      <c r="Q2323" s="216" t="str">
        <f t="shared" si="227"/>
        <v/>
      </c>
      <c r="R2323" s="216" t="str">
        <f t="shared" si="228"/>
        <v/>
      </c>
      <c r="S2323" s="217" t="str">
        <f t="shared" si="229"/>
        <v/>
      </c>
    </row>
    <row r="2324" spans="1:19" ht="39" hidden="1" thickBot="1" x14ac:dyDescent="0.3">
      <c r="A2324" s="262"/>
      <c r="B2324" s="260"/>
      <c r="C2324" s="35" t="s">
        <v>594</v>
      </c>
      <c r="D2324" s="46" t="s">
        <v>107</v>
      </c>
      <c r="E2324" s="36">
        <v>1</v>
      </c>
      <c r="F2324" s="33" t="s">
        <v>416</v>
      </c>
      <c r="G2324" s="33" t="str">
        <f t="shared" si="224"/>
        <v/>
      </c>
      <c r="H2324" s="38">
        <f>SUM(G2324:G2326)</f>
        <v>27.498433999999996</v>
      </c>
      <c r="I2324" s="39"/>
      <c r="J2324" s="152">
        <v>0</v>
      </c>
      <c r="L2324" s="215">
        <v>1</v>
      </c>
      <c r="M2324" s="33"/>
      <c r="N2324" s="33" t="str">
        <f t="shared" si="225"/>
        <v/>
      </c>
      <c r="O2324" s="38">
        <f>SUM(N2324:N2326)</f>
        <v>23.538659503999998</v>
      </c>
      <c r="P2324" s="36" t="str">
        <f t="shared" si="226"/>
        <v/>
      </c>
      <c r="Q2324" s="216" t="str">
        <f t="shared" si="227"/>
        <v/>
      </c>
      <c r="R2324" s="216" t="str">
        <f t="shared" si="228"/>
        <v/>
      </c>
      <c r="S2324" s="217">
        <f t="shared" si="229"/>
        <v>0.14399999999999991</v>
      </c>
    </row>
    <row r="2325" spans="1:19" ht="15.75" hidden="1" thickBot="1" x14ac:dyDescent="0.3">
      <c r="A2325" s="262"/>
      <c r="B2325" s="260"/>
      <c r="C2325" s="35" t="s">
        <v>582</v>
      </c>
      <c r="D2325" s="35" t="s">
        <v>583</v>
      </c>
      <c r="E2325" s="36">
        <v>0.76700000000000002</v>
      </c>
      <c r="F2325" s="30">
        <v>25.725999999999996</v>
      </c>
      <c r="G2325" s="33">
        <f t="shared" si="224"/>
        <v>19.731841999999997</v>
      </c>
      <c r="H2325" s="34"/>
      <c r="I2325" s="30"/>
      <c r="J2325" s="152">
        <v>0</v>
      </c>
      <c r="L2325" s="215">
        <v>0.76700000000000002</v>
      </c>
      <c r="M2325" s="30">
        <v>22.021455999999997</v>
      </c>
      <c r="N2325" s="33">
        <f t="shared" si="225"/>
        <v>16.890456751999999</v>
      </c>
      <c r="O2325" s="34"/>
      <c r="P2325" s="36" t="str">
        <f t="shared" si="226"/>
        <v/>
      </c>
      <c r="Q2325" s="216">
        <f t="shared" si="227"/>
        <v>0.14400000000000002</v>
      </c>
      <c r="R2325" s="216">
        <f t="shared" si="228"/>
        <v>0.14399999999999991</v>
      </c>
      <c r="S2325" s="217" t="str">
        <f t="shared" si="229"/>
        <v/>
      </c>
    </row>
    <row r="2326" spans="1:19" ht="15.75" hidden="1" thickBot="1" x14ac:dyDescent="0.3">
      <c r="A2326" s="262"/>
      <c r="B2326" s="260"/>
      <c r="C2326" s="35" t="s">
        <v>584</v>
      </c>
      <c r="D2326" s="35" t="s">
        <v>583</v>
      </c>
      <c r="E2326" s="36">
        <v>0.38400000000000001</v>
      </c>
      <c r="F2326" s="30">
        <v>20.225499999999997</v>
      </c>
      <c r="G2326" s="33">
        <f t="shared" si="224"/>
        <v>7.7665919999999993</v>
      </c>
      <c r="H2326" s="34"/>
      <c r="I2326" s="30"/>
      <c r="J2326" s="152">
        <v>0</v>
      </c>
      <c r="L2326" s="215">
        <v>0.38400000000000001</v>
      </c>
      <c r="M2326" s="30">
        <v>17.313027999999996</v>
      </c>
      <c r="N2326" s="33">
        <f t="shared" si="225"/>
        <v>6.6482027519999987</v>
      </c>
      <c r="O2326" s="34"/>
      <c r="P2326" s="36" t="str">
        <f t="shared" si="226"/>
        <v/>
      </c>
      <c r="Q2326" s="216">
        <f t="shared" si="227"/>
        <v>0.14400000000000013</v>
      </c>
      <c r="R2326" s="216">
        <f t="shared" si="228"/>
        <v>0.14400000000000013</v>
      </c>
      <c r="S2326" s="217" t="str">
        <f t="shared" si="229"/>
        <v/>
      </c>
    </row>
    <row r="2327" spans="1:19" ht="15.75" hidden="1" thickBot="1" x14ac:dyDescent="0.3">
      <c r="A2327" s="263"/>
      <c r="B2327" s="261"/>
      <c r="C2327" s="35"/>
      <c r="D2327" s="35"/>
      <c r="E2327" s="36"/>
      <c r="F2327" s="30" t="s">
        <v>416</v>
      </c>
      <c r="G2327" s="33" t="str">
        <f t="shared" si="224"/>
        <v/>
      </c>
      <c r="H2327" s="34"/>
      <c r="I2327" s="30"/>
      <c r="J2327" s="152">
        <v>0</v>
      </c>
      <c r="L2327" s="215"/>
      <c r="M2327" s="30"/>
      <c r="N2327" s="33" t="str">
        <f t="shared" si="225"/>
        <v/>
      </c>
      <c r="O2327" s="34"/>
      <c r="P2327" s="36" t="str">
        <f t="shared" si="226"/>
        <v/>
      </c>
      <c r="Q2327" s="216" t="str">
        <f t="shared" si="227"/>
        <v/>
      </c>
      <c r="R2327" s="216" t="str">
        <f t="shared" si="228"/>
        <v/>
      </c>
      <c r="S2327" s="217" t="str">
        <f t="shared" si="229"/>
        <v/>
      </c>
    </row>
    <row r="2328" spans="1:19" ht="15.75" hidden="1" thickBot="1" x14ac:dyDescent="0.3">
      <c r="A2328" s="256" t="s">
        <v>595</v>
      </c>
      <c r="B2328" s="259" t="str">
        <f>INDEX(Orçamentária!A:B,MATCH(Composições!A2328,Orçamentária!A:A,0),2)</f>
        <v>Fechadura para porta externa maçaneta em barra</v>
      </c>
      <c r="C2328" s="40"/>
      <c r="D2328" s="25" t="s">
        <v>16</v>
      </c>
      <c r="E2328" s="26"/>
      <c r="F2328" s="41" t="s">
        <v>416</v>
      </c>
      <c r="G2328" s="27" t="str">
        <f t="shared" si="224"/>
        <v/>
      </c>
      <c r="H2328" s="28"/>
      <c r="I2328" s="29"/>
      <c r="J2328" s="152">
        <v>0</v>
      </c>
      <c r="L2328" s="218"/>
      <c r="M2328" s="41"/>
      <c r="N2328" s="27" t="str">
        <f t="shared" si="225"/>
        <v/>
      </c>
      <c r="O2328" s="28"/>
      <c r="P2328" s="36" t="str">
        <f t="shared" si="226"/>
        <v/>
      </c>
      <c r="Q2328" s="216" t="str">
        <f t="shared" si="227"/>
        <v/>
      </c>
      <c r="R2328" s="216" t="str">
        <f t="shared" si="228"/>
        <v/>
      </c>
      <c r="S2328" s="217" t="str">
        <f t="shared" si="229"/>
        <v/>
      </c>
    </row>
    <row r="2329" spans="1:19" ht="15.75" hidden="1" thickBot="1" x14ac:dyDescent="0.3">
      <c r="A2329" s="262"/>
      <c r="B2329" s="260"/>
      <c r="C2329" s="31"/>
      <c r="D2329" s="31"/>
      <c r="E2329" s="32"/>
      <c r="F2329" s="42" t="s">
        <v>416</v>
      </c>
      <c r="G2329" s="33" t="str">
        <f t="shared" si="224"/>
        <v/>
      </c>
      <c r="H2329" s="34"/>
      <c r="I2329" s="30"/>
      <c r="J2329" s="152">
        <v>0</v>
      </c>
      <c r="L2329" s="219"/>
      <c r="M2329" s="42"/>
      <c r="N2329" s="33" t="str">
        <f t="shared" si="225"/>
        <v/>
      </c>
      <c r="O2329" s="34"/>
      <c r="P2329" s="36" t="str">
        <f t="shared" si="226"/>
        <v/>
      </c>
      <c r="Q2329" s="216" t="str">
        <f t="shared" si="227"/>
        <v/>
      </c>
      <c r="R2329" s="216" t="str">
        <f t="shared" si="228"/>
        <v/>
      </c>
      <c r="S2329" s="217" t="str">
        <f t="shared" si="229"/>
        <v/>
      </c>
    </row>
    <row r="2330" spans="1:19" ht="39" hidden="1" thickBot="1" x14ac:dyDescent="0.3">
      <c r="A2330" s="262"/>
      <c r="B2330" s="260"/>
      <c r="C2330" s="35" t="s">
        <v>596</v>
      </c>
      <c r="D2330" s="46" t="s">
        <v>107</v>
      </c>
      <c r="E2330" s="36">
        <v>1</v>
      </c>
      <c r="F2330" s="33" t="s">
        <v>416</v>
      </c>
      <c r="G2330" s="33" t="str">
        <f t="shared" si="224"/>
        <v/>
      </c>
      <c r="H2330" s="38">
        <f>SUM(G2330:G2332)</f>
        <v>35.910427499999997</v>
      </c>
      <c r="I2330" s="39"/>
      <c r="J2330" s="152">
        <v>0</v>
      </c>
      <c r="L2330" s="215">
        <v>1</v>
      </c>
      <c r="M2330" s="33"/>
      <c r="N2330" s="33" t="str">
        <f t="shared" si="225"/>
        <v/>
      </c>
      <c r="O2330" s="38">
        <f>SUM(N2330:N2332)</f>
        <v>30.739325939999993</v>
      </c>
      <c r="P2330" s="36" t="str">
        <f t="shared" si="226"/>
        <v/>
      </c>
      <c r="Q2330" s="216" t="str">
        <f t="shared" si="227"/>
        <v/>
      </c>
      <c r="R2330" s="216" t="str">
        <f t="shared" si="228"/>
        <v/>
      </c>
      <c r="S2330" s="217">
        <f t="shared" si="229"/>
        <v>0.14400000000000013</v>
      </c>
    </row>
    <row r="2331" spans="1:19" ht="15.75" hidden="1" thickBot="1" x14ac:dyDescent="0.3">
      <c r="A2331" s="262"/>
      <c r="B2331" s="260"/>
      <c r="C2331" s="35" t="s">
        <v>582</v>
      </c>
      <c r="D2331" s="35" t="s">
        <v>583</v>
      </c>
      <c r="E2331" s="36">
        <v>1.002</v>
      </c>
      <c r="F2331" s="30">
        <v>25.725999999999996</v>
      </c>
      <c r="G2331" s="33">
        <f t="shared" si="224"/>
        <v>25.777451999999997</v>
      </c>
      <c r="H2331" s="34"/>
      <c r="I2331" s="30"/>
      <c r="J2331" s="152">
        <v>0</v>
      </c>
      <c r="L2331" s="215">
        <v>1.002</v>
      </c>
      <c r="M2331" s="30">
        <v>22.021455999999997</v>
      </c>
      <c r="N2331" s="33">
        <f t="shared" si="225"/>
        <v>22.065498911999995</v>
      </c>
      <c r="O2331" s="34"/>
      <c r="P2331" s="36" t="str">
        <f t="shared" si="226"/>
        <v/>
      </c>
      <c r="Q2331" s="216">
        <f t="shared" si="227"/>
        <v>0.14400000000000002</v>
      </c>
      <c r="R2331" s="216">
        <f t="shared" si="228"/>
        <v>0.14400000000000002</v>
      </c>
      <c r="S2331" s="217" t="str">
        <f t="shared" si="229"/>
        <v/>
      </c>
    </row>
    <row r="2332" spans="1:19" ht="15.75" hidden="1" thickBot="1" x14ac:dyDescent="0.3">
      <c r="A2332" s="262"/>
      <c r="B2332" s="260"/>
      <c r="C2332" s="35" t="s">
        <v>584</v>
      </c>
      <c r="D2332" s="35" t="s">
        <v>583</v>
      </c>
      <c r="E2332" s="36">
        <v>0.501</v>
      </c>
      <c r="F2332" s="30">
        <v>20.225499999999997</v>
      </c>
      <c r="G2332" s="33">
        <f t="shared" si="224"/>
        <v>10.132975499999999</v>
      </c>
      <c r="H2332" s="34"/>
      <c r="I2332" s="30"/>
      <c r="J2332" s="152">
        <v>0</v>
      </c>
      <c r="L2332" s="215">
        <v>0.501</v>
      </c>
      <c r="M2332" s="30">
        <v>17.313027999999996</v>
      </c>
      <c r="N2332" s="33">
        <f t="shared" si="225"/>
        <v>8.6738270279999981</v>
      </c>
      <c r="O2332" s="34"/>
      <c r="P2332" s="36" t="str">
        <f t="shared" si="226"/>
        <v/>
      </c>
      <c r="Q2332" s="216">
        <f t="shared" si="227"/>
        <v>0.14400000000000013</v>
      </c>
      <c r="R2332" s="216">
        <f t="shared" si="228"/>
        <v>0.14400000000000013</v>
      </c>
      <c r="S2332" s="217" t="str">
        <f t="shared" si="229"/>
        <v/>
      </c>
    </row>
    <row r="2333" spans="1:19" ht="15.75" hidden="1" thickBot="1" x14ac:dyDescent="0.3">
      <c r="A2333" s="263"/>
      <c r="B2333" s="261"/>
      <c r="C2333" s="35"/>
      <c r="D2333" s="35"/>
      <c r="E2333" s="36"/>
      <c r="F2333" s="30" t="s">
        <v>416</v>
      </c>
      <c r="G2333" s="33" t="str">
        <f t="shared" si="224"/>
        <v/>
      </c>
      <c r="H2333" s="34"/>
      <c r="I2333" s="30"/>
      <c r="J2333" s="152">
        <v>0</v>
      </c>
      <c r="L2333" s="215"/>
      <c r="M2333" s="30"/>
      <c r="N2333" s="33" t="str">
        <f t="shared" si="225"/>
        <v/>
      </c>
      <c r="O2333" s="34"/>
      <c r="P2333" s="36" t="str">
        <f t="shared" si="226"/>
        <v/>
      </c>
      <c r="Q2333" s="216" t="str">
        <f t="shared" si="227"/>
        <v/>
      </c>
      <c r="R2333" s="216" t="str">
        <f t="shared" si="228"/>
        <v/>
      </c>
      <c r="S2333" s="217" t="str">
        <f t="shared" si="229"/>
        <v/>
      </c>
    </row>
    <row r="2334" spans="1:19" ht="15.75" hidden="1" thickBot="1" x14ac:dyDescent="0.3">
      <c r="A2334" s="256" t="s">
        <v>597</v>
      </c>
      <c r="B2334" s="259" t="str">
        <f>INDEX(Orçamentária!A:B,MATCH(Composições!A2334,Orçamentária!A:A,0),2)</f>
        <v>Fechadura para porta interna maçaneta tubular</v>
      </c>
      <c r="C2334" s="40"/>
      <c r="D2334" s="25" t="s">
        <v>16</v>
      </c>
      <c r="E2334" s="26"/>
      <c r="F2334" s="41" t="s">
        <v>416</v>
      </c>
      <c r="G2334" s="27" t="str">
        <f t="shared" si="224"/>
        <v/>
      </c>
      <c r="H2334" s="28"/>
      <c r="I2334" s="29"/>
      <c r="J2334" s="152">
        <v>0</v>
      </c>
      <c r="L2334" s="218"/>
      <c r="M2334" s="41"/>
      <c r="N2334" s="27" t="str">
        <f t="shared" si="225"/>
        <v/>
      </c>
      <c r="O2334" s="28"/>
      <c r="P2334" s="36" t="str">
        <f t="shared" si="226"/>
        <v/>
      </c>
      <c r="Q2334" s="216" t="str">
        <f t="shared" si="227"/>
        <v/>
      </c>
      <c r="R2334" s="216" t="str">
        <f t="shared" si="228"/>
        <v/>
      </c>
      <c r="S2334" s="217" t="str">
        <f t="shared" si="229"/>
        <v/>
      </c>
    </row>
    <row r="2335" spans="1:19" ht="15.75" hidden="1" thickBot="1" x14ac:dyDescent="0.3">
      <c r="A2335" s="262"/>
      <c r="B2335" s="260"/>
      <c r="C2335" s="31"/>
      <c r="D2335" s="31"/>
      <c r="E2335" s="32"/>
      <c r="F2335" s="42" t="s">
        <v>416</v>
      </c>
      <c r="G2335" s="33" t="str">
        <f t="shared" si="224"/>
        <v/>
      </c>
      <c r="H2335" s="34"/>
      <c r="I2335" s="30"/>
      <c r="J2335" s="152">
        <v>0</v>
      </c>
      <c r="L2335" s="219"/>
      <c r="M2335" s="42"/>
      <c r="N2335" s="33" t="str">
        <f t="shared" si="225"/>
        <v/>
      </c>
      <c r="O2335" s="34"/>
      <c r="P2335" s="36" t="str">
        <f t="shared" si="226"/>
        <v/>
      </c>
      <c r="Q2335" s="216" t="str">
        <f t="shared" si="227"/>
        <v/>
      </c>
      <c r="R2335" s="216" t="str">
        <f t="shared" si="228"/>
        <v/>
      </c>
      <c r="S2335" s="217" t="str">
        <f t="shared" si="229"/>
        <v/>
      </c>
    </row>
    <row r="2336" spans="1:19" ht="39" hidden="1" thickBot="1" x14ac:dyDescent="0.3">
      <c r="A2336" s="262"/>
      <c r="B2336" s="260"/>
      <c r="C2336" s="35" t="s">
        <v>598</v>
      </c>
      <c r="D2336" s="46" t="s">
        <v>107</v>
      </c>
      <c r="E2336" s="36">
        <v>1</v>
      </c>
      <c r="F2336" s="33" t="s">
        <v>416</v>
      </c>
      <c r="G2336" s="33" t="str">
        <f t="shared" si="224"/>
        <v/>
      </c>
      <c r="H2336" s="38">
        <f>SUM(G2336:G2338)</f>
        <v>35.910427499999997</v>
      </c>
      <c r="I2336" s="39"/>
      <c r="J2336" s="152">
        <v>0</v>
      </c>
      <c r="L2336" s="215">
        <v>1</v>
      </c>
      <c r="M2336" s="33"/>
      <c r="N2336" s="33" t="str">
        <f t="shared" si="225"/>
        <v/>
      </c>
      <c r="O2336" s="38">
        <f>SUM(N2336:N2338)</f>
        <v>30.739325939999993</v>
      </c>
      <c r="P2336" s="36" t="str">
        <f t="shared" si="226"/>
        <v/>
      </c>
      <c r="Q2336" s="216" t="str">
        <f t="shared" si="227"/>
        <v/>
      </c>
      <c r="R2336" s="216" t="str">
        <f t="shared" si="228"/>
        <v/>
      </c>
      <c r="S2336" s="217">
        <f t="shared" si="229"/>
        <v>0.14400000000000013</v>
      </c>
    </row>
    <row r="2337" spans="1:19" ht="15.75" hidden="1" thickBot="1" x14ac:dyDescent="0.3">
      <c r="A2337" s="262"/>
      <c r="B2337" s="260"/>
      <c r="C2337" s="35" t="s">
        <v>582</v>
      </c>
      <c r="D2337" s="35" t="s">
        <v>583</v>
      </c>
      <c r="E2337" s="36">
        <v>1.002</v>
      </c>
      <c r="F2337" s="30">
        <v>25.725999999999996</v>
      </c>
      <c r="G2337" s="33">
        <f t="shared" si="224"/>
        <v>25.777451999999997</v>
      </c>
      <c r="H2337" s="34"/>
      <c r="I2337" s="30"/>
      <c r="J2337" s="152">
        <v>0</v>
      </c>
      <c r="L2337" s="215">
        <v>1.002</v>
      </c>
      <c r="M2337" s="30">
        <v>22.021455999999997</v>
      </c>
      <c r="N2337" s="33">
        <f t="shared" si="225"/>
        <v>22.065498911999995</v>
      </c>
      <c r="O2337" s="34"/>
      <c r="P2337" s="36" t="str">
        <f t="shared" si="226"/>
        <v/>
      </c>
      <c r="Q2337" s="216">
        <f t="shared" si="227"/>
        <v>0.14400000000000002</v>
      </c>
      <c r="R2337" s="216">
        <f t="shared" si="228"/>
        <v>0.14400000000000002</v>
      </c>
      <c r="S2337" s="217" t="str">
        <f t="shared" si="229"/>
        <v/>
      </c>
    </row>
    <row r="2338" spans="1:19" ht="15.75" hidden="1" thickBot="1" x14ac:dyDescent="0.3">
      <c r="A2338" s="262"/>
      <c r="B2338" s="260"/>
      <c r="C2338" s="35" t="s">
        <v>584</v>
      </c>
      <c r="D2338" s="35" t="s">
        <v>583</v>
      </c>
      <c r="E2338" s="36">
        <v>0.501</v>
      </c>
      <c r="F2338" s="30">
        <v>20.225499999999997</v>
      </c>
      <c r="G2338" s="33">
        <f t="shared" si="224"/>
        <v>10.132975499999999</v>
      </c>
      <c r="H2338" s="34"/>
      <c r="I2338" s="30"/>
      <c r="J2338" s="152">
        <v>0</v>
      </c>
      <c r="L2338" s="215">
        <v>0.501</v>
      </c>
      <c r="M2338" s="30">
        <v>17.313027999999996</v>
      </c>
      <c r="N2338" s="33">
        <f t="shared" si="225"/>
        <v>8.6738270279999981</v>
      </c>
      <c r="O2338" s="34"/>
      <c r="P2338" s="36" t="str">
        <f t="shared" si="226"/>
        <v/>
      </c>
      <c r="Q2338" s="216">
        <f t="shared" si="227"/>
        <v>0.14400000000000013</v>
      </c>
      <c r="R2338" s="216">
        <f t="shared" si="228"/>
        <v>0.14400000000000013</v>
      </c>
      <c r="S2338" s="217" t="str">
        <f t="shared" si="229"/>
        <v/>
      </c>
    </row>
    <row r="2339" spans="1:19" ht="15.75" hidden="1" thickBot="1" x14ac:dyDescent="0.3">
      <c r="A2339" s="263"/>
      <c r="B2339" s="261"/>
      <c r="C2339" s="35"/>
      <c r="D2339" s="35"/>
      <c r="E2339" s="36"/>
      <c r="F2339" s="30" t="s">
        <v>416</v>
      </c>
      <c r="G2339" s="33" t="str">
        <f t="shared" si="224"/>
        <v/>
      </c>
      <c r="H2339" s="34"/>
      <c r="I2339" s="30"/>
      <c r="J2339" s="152">
        <v>0</v>
      </c>
      <c r="L2339" s="215"/>
      <c r="M2339" s="30"/>
      <c r="N2339" s="33" t="str">
        <f t="shared" si="225"/>
        <v/>
      </c>
      <c r="O2339" s="34"/>
      <c r="P2339" s="36" t="str">
        <f t="shared" si="226"/>
        <v/>
      </c>
      <c r="Q2339" s="216" t="str">
        <f t="shared" si="227"/>
        <v/>
      </c>
      <c r="R2339" s="216" t="str">
        <f t="shared" si="228"/>
        <v/>
      </c>
      <c r="S2339" s="217" t="str">
        <f t="shared" si="229"/>
        <v/>
      </c>
    </row>
    <row r="2340" spans="1:19" ht="15.75" hidden="1" thickBot="1" x14ac:dyDescent="0.3">
      <c r="A2340" s="256" t="s">
        <v>599</v>
      </c>
      <c r="B2340" s="259" t="str">
        <f>INDEX(Orçamentária!A:B,MATCH(Composições!A2340,Orçamentária!A:A,0),2)</f>
        <v>Instalação de fechadura/puxador de porta reaproveitados</v>
      </c>
      <c r="C2340" s="40"/>
      <c r="D2340" s="25" t="s">
        <v>16</v>
      </c>
      <c r="E2340" s="26"/>
      <c r="F2340" s="41" t="s">
        <v>416</v>
      </c>
      <c r="G2340" s="27" t="str">
        <f t="shared" si="224"/>
        <v/>
      </c>
      <c r="H2340" s="28"/>
      <c r="I2340" s="29"/>
      <c r="J2340" s="152">
        <v>0</v>
      </c>
      <c r="L2340" s="218"/>
      <c r="M2340" s="41"/>
      <c r="N2340" s="27" t="str">
        <f t="shared" si="225"/>
        <v/>
      </c>
      <c r="O2340" s="28"/>
      <c r="P2340" s="36" t="str">
        <f t="shared" si="226"/>
        <v/>
      </c>
      <c r="Q2340" s="216" t="str">
        <f t="shared" si="227"/>
        <v/>
      </c>
      <c r="R2340" s="216" t="str">
        <f t="shared" si="228"/>
        <v/>
      </c>
      <c r="S2340" s="217" t="str">
        <f t="shared" si="229"/>
        <v/>
      </c>
    </row>
    <row r="2341" spans="1:19" ht="15.75" hidden="1" thickBot="1" x14ac:dyDescent="0.3">
      <c r="A2341" s="262"/>
      <c r="B2341" s="260"/>
      <c r="C2341" s="31"/>
      <c r="D2341" s="31"/>
      <c r="E2341" s="32"/>
      <c r="F2341" s="42" t="s">
        <v>416</v>
      </c>
      <c r="G2341" s="33" t="str">
        <f t="shared" si="224"/>
        <v/>
      </c>
      <c r="H2341" s="34"/>
      <c r="I2341" s="30"/>
      <c r="J2341" s="152">
        <v>0</v>
      </c>
      <c r="L2341" s="219"/>
      <c r="M2341" s="42"/>
      <c r="N2341" s="33" t="str">
        <f t="shared" si="225"/>
        <v/>
      </c>
      <c r="O2341" s="34"/>
      <c r="P2341" s="36" t="str">
        <f t="shared" si="226"/>
        <v/>
      </c>
      <c r="Q2341" s="216" t="str">
        <f t="shared" si="227"/>
        <v/>
      </c>
      <c r="R2341" s="216" t="str">
        <f t="shared" si="228"/>
        <v/>
      </c>
      <c r="S2341" s="217" t="str">
        <f t="shared" si="229"/>
        <v/>
      </c>
    </row>
    <row r="2342" spans="1:19" ht="15.75" hidden="1" thickBot="1" x14ac:dyDescent="0.3">
      <c r="A2342" s="262"/>
      <c r="B2342" s="260"/>
      <c r="C2342" s="35" t="s">
        <v>582</v>
      </c>
      <c r="D2342" s="35" t="s">
        <v>583</v>
      </c>
      <c r="E2342" s="36">
        <v>1.002</v>
      </c>
      <c r="F2342" s="30">
        <v>25.725999999999996</v>
      </c>
      <c r="G2342" s="33">
        <f t="shared" si="224"/>
        <v>25.777451999999997</v>
      </c>
      <c r="H2342" s="38">
        <f>SUM(G2342:G2343)</f>
        <v>35.910427499999997</v>
      </c>
      <c r="I2342" s="39"/>
      <c r="J2342" s="152">
        <v>0</v>
      </c>
      <c r="L2342" s="215">
        <v>1.002</v>
      </c>
      <c r="M2342" s="30">
        <v>22.021455999999997</v>
      </c>
      <c r="N2342" s="33">
        <f t="shared" si="225"/>
        <v>22.065498911999995</v>
      </c>
      <c r="O2342" s="38">
        <f>SUM(N2342:N2343)</f>
        <v>30.739325939999993</v>
      </c>
      <c r="P2342" s="36" t="str">
        <f t="shared" si="226"/>
        <v/>
      </c>
      <c r="Q2342" s="216">
        <f t="shared" si="227"/>
        <v>0.14400000000000002</v>
      </c>
      <c r="R2342" s="216">
        <f t="shared" si="228"/>
        <v>0.14400000000000002</v>
      </c>
      <c r="S2342" s="217">
        <f t="shared" si="229"/>
        <v>0.14400000000000013</v>
      </c>
    </row>
    <row r="2343" spans="1:19" ht="15.75" hidden="1" thickBot="1" x14ac:dyDescent="0.3">
      <c r="A2343" s="262"/>
      <c r="B2343" s="260"/>
      <c r="C2343" s="35" t="s">
        <v>584</v>
      </c>
      <c r="D2343" s="35" t="s">
        <v>583</v>
      </c>
      <c r="E2343" s="36">
        <v>0.501</v>
      </c>
      <c r="F2343" s="30">
        <v>20.225499999999997</v>
      </c>
      <c r="G2343" s="33">
        <f t="shared" si="224"/>
        <v>10.132975499999999</v>
      </c>
      <c r="H2343" s="34"/>
      <c r="I2343" s="30"/>
      <c r="J2343" s="152">
        <v>0</v>
      </c>
      <c r="L2343" s="215">
        <v>0.501</v>
      </c>
      <c r="M2343" s="30">
        <v>17.313027999999996</v>
      </c>
      <c r="N2343" s="33">
        <f t="shared" si="225"/>
        <v>8.6738270279999981</v>
      </c>
      <c r="O2343" s="34"/>
      <c r="P2343" s="36" t="str">
        <f t="shared" si="226"/>
        <v/>
      </c>
      <c r="Q2343" s="216">
        <f t="shared" si="227"/>
        <v>0.14400000000000013</v>
      </c>
      <c r="R2343" s="216">
        <f t="shared" si="228"/>
        <v>0.14400000000000013</v>
      </c>
      <c r="S2343" s="217" t="str">
        <f t="shared" si="229"/>
        <v/>
      </c>
    </row>
    <row r="2344" spans="1:19" ht="15.75" hidden="1" thickBot="1" x14ac:dyDescent="0.3">
      <c r="A2344" s="263"/>
      <c r="B2344" s="261"/>
      <c r="C2344" s="35"/>
      <c r="D2344" s="35"/>
      <c r="E2344" s="36"/>
      <c r="F2344" s="30" t="s">
        <v>416</v>
      </c>
      <c r="G2344" s="33" t="str">
        <f t="shared" si="224"/>
        <v/>
      </c>
      <c r="H2344" s="34"/>
      <c r="I2344" s="30"/>
      <c r="J2344" s="152">
        <v>0</v>
      </c>
      <c r="L2344" s="215"/>
      <c r="M2344" s="30"/>
      <c r="N2344" s="33" t="str">
        <f t="shared" si="225"/>
        <v/>
      </c>
      <c r="O2344" s="34"/>
      <c r="P2344" s="36" t="str">
        <f t="shared" si="226"/>
        <v/>
      </c>
      <c r="Q2344" s="216" t="str">
        <f t="shared" si="227"/>
        <v/>
      </c>
      <c r="R2344" s="216" t="str">
        <f t="shared" si="228"/>
        <v/>
      </c>
      <c r="S2344" s="217" t="str">
        <f t="shared" si="229"/>
        <v/>
      </c>
    </row>
    <row r="2345" spans="1:19" ht="15.75" hidden="1" thickBot="1" x14ac:dyDescent="0.3">
      <c r="A2345" s="256" t="s">
        <v>600</v>
      </c>
      <c r="B2345" s="259" t="str">
        <f>INDEX(Orçamentária!A:B,MATCH(Composições!A2345,Orçamentária!A:A,0),2)</f>
        <v>Mola hidráulica aérea</v>
      </c>
      <c r="C2345" s="40"/>
      <c r="D2345" s="25" t="s">
        <v>16</v>
      </c>
      <c r="E2345" s="26"/>
      <c r="F2345" s="41" t="s">
        <v>416</v>
      </c>
      <c r="G2345" s="27" t="str">
        <f t="shared" si="224"/>
        <v/>
      </c>
      <c r="H2345" s="28"/>
      <c r="I2345" s="29"/>
      <c r="J2345" s="152">
        <v>0</v>
      </c>
      <c r="L2345" s="218"/>
      <c r="M2345" s="41"/>
      <c r="N2345" s="27" t="str">
        <f t="shared" si="225"/>
        <v/>
      </c>
      <c r="O2345" s="28"/>
      <c r="P2345" s="36" t="str">
        <f t="shared" si="226"/>
        <v/>
      </c>
      <c r="Q2345" s="216" t="str">
        <f t="shared" si="227"/>
        <v/>
      </c>
      <c r="R2345" s="216" t="str">
        <f t="shared" si="228"/>
        <v/>
      </c>
      <c r="S2345" s="217" t="str">
        <f t="shared" si="229"/>
        <v/>
      </c>
    </row>
    <row r="2346" spans="1:19" ht="15.75" hidden="1" thickBot="1" x14ac:dyDescent="0.3">
      <c r="A2346" s="262"/>
      <c r="B2346" s="260"/>
      <c r="C2346" s="31"/>
      <c r="D2346" s="31"/>
      <c r="E2346" s="32"/>
      <c r="F2346" s="42" t="s">
        <v>416</v>
      </c>
      <c r="G2346" s="33" t="str">
        <f t="shared" si="224"/>
        <v/>
      </c>
      <c r="H2346" s="34"/>
      <c r="I2346" s="30"/>
      <c r="J2346" s="152">
        <v>0</v>
      </c>
      <c r="L2346" s="219"/>
      <c r="M2346" s="42"/>
      <c r="N2346" s="33" t="str">
        <f t="shared" si="225"/>
        <v/>
      </c>
      <c r="O2346" s="34"/>
      <c r="P2346" s="36" t="str">
        <f t="shared" si="226"/>
        <v/>
      </c>
      <c r="Q2346" s="216" t="str">
        <f t="shared" si="227"/>
        <v/>
      </c>
      <c r="R2346" s="216" t="str">
        <f t="shared" si="228"/>
        <v/>
      </c>
      <c r="S2346" s="217" t="str">
        <f t="shared" si="229"/>
        <v/>
      </c>
    </row>
    <row r="2347" spans="1:19" ht="15.75" hidden="1" thickBot="1" x14ac:dyDescent="0.3">
      <c r="A2347" s="262"/>
      <c r="B2347" s="260"/>
      <c r="C2347" s="35" t="s">
        <v>2905</v>
      </c>
      <c r="D2347" s="35" t="s">
        <v>583</v>
      </c>
      <c r="E2347" s="36">
        <v>1</v>
      </c>
      <c r="F2347" s="30">
        <v>25.4315</v>
      </c>
      <c r="G2347" s="33">
        <f t="shared" si="224"/>
        <v>25.4315</v>
      </c>
      <c r="H2347" s="38">
        <f>SUM(G2347:G2348)</f>
        <v>25.4315</v>
      </c>
      <c r="I2347" s="39"/>
      <c r="J2347" s="152">
        <v>0</v>
      </c>
      <c r="L2347" s="215">
        <v>1</v>
      </c>
      <c r="M2347" s="30">
        <v>21.769363999999999</v>
      </c>
      <c r="N2347" s="33">
        <f t="shared" si="225"/>
        <v>21.769363999999999</v>
      </c>
      <c r="O2347" s="38">
        <f>SUM(N2347:N2348)</f>
        <v>21.769363999999999</v>
      </c>
      <c r="P2347" s="36" t="str">
        <f t="shared" si="226"/>
        <v/>
      </c>
      <c r="Q2347" s="216">
        <f t="shared" si="227"/>
        <v>0.14400000000000002</v>
      </c>
      <c r="R2347" s="216">
        <f t="shared" si="228"/>
        <v>0.14400000000000002</v>
      </c>
      <c r="S2347" s="217">
        <f t="shared" si="229"/>
        <v>0.14400000000000002</v>
      </c>
    </row>
    <row r="2348" spans="1:19" ht="26.25" hidden="1" thickBot="1" x14ac:dyDescent="0.3">
      <c r="A2348" s="262"/>
      <c r="B2348" s="260"/>
      <c r="C2348" s="35" t="s">
        <v>601</v>
      </c>
      <c r="D2348" s="35" t="s">
        <v>16</v>
      </c>
      <c r="E2348" s="36">
        <v>1</v>
      </c>
      <c r="F2348" s="33" t="s">
        <v>416</v>
      </c>
      <c r="G2348" s="33" t="str">
        <f t="shared" si="224"/>
        <v/>
      </c>
      <c r="H2348" s="34"/>
      <c r="I2348" s="30"/>
      <c r="J2348" s="152">
        <v>0</v>
      </c>
      <c r="L2348" s="215">
        <v>1</v>
      </c>
      <c r="M2348" s="33"/>
      <c r="N2348" s="33" t="str">
        <f t="shared" si="225"/>
        <v/>
      </c>
      <c r="O2348" s="34"/>
      <c r="P2348" s="36" t="str">
        <f t="shared" si="226"/>
        <v/>
      </c>
      <c r="Q2348" s="216" t="str">
        <f t="shared" si="227"/>
        <v/>
      </c>
      <c r="R2348" s="216" t="str">
        <f t="shared" si="228"/>
        <v/>
      </c>
      <c r="S2348" s="217" t="str">
        <f t="shared" si="229"/>
        <v/>
      </c>
    </row>
    <row r="2349" spans="1:19" ht="15.75" hidden="1" thickBot="1" x14ac:dyDescent="0.3">
      <c r="A2349" s="263"/>
      <c r="B2349" s="261"/>
      <c r="C2349" s="35"/>
      <c r="D2349" s="35"/>
      <c r="E2349" s="36"/>
      <c r="F2349" s="30" t="s">
        <v>416</v>
      </c>
      <c r="G2349" s="33" t="str">
        <f t="shared" si="224"/>
        <v/>
      </c>
      <c r="H2349" s="34"/>
      <c r="I2349" s="30"/>
      <c r="J2349" s="152">
        <v>0</v>
      </c>
      <c r="L2349" s="215"/>
      <c r="M2349" s="30"/>
      <c r="N2349" s="33" t="str">
        <f t="shared" si="225"/>
        <v/>
      </c>
      <c r="O2349" s="34"/>
      <c r="P2349" s="36" t="str">
        <f t="shared" si="226"/>
        <v/>
      </c>
      <c r="Q2349" s="216" t="str">
        <f t="shared" si="227"/>
        <v/>
      </c>
      <c r="R2349" s="216" t="str">
        <f t="shared" si="228"/>
        <v/>
      </c>
      <c r="S2349" s="217" t="str">
        <f t="shared" si="229"/>
        <v/>
      </c>
    </row>
    <row r="2350" spans="1:19" ht="15.75" hidden="1" thickBot="1" x14ac:dyDescent="0.3">
      <c r="A2350" s="256" t="s">
        <v>602</v>
      </c>
      <c r="B2350" s="259" t="str">
        <f>INDEX(Orçamentária!A:B,MATCH(Composições!A2350,Orçamentária!A:A,0),2)</f>
        <v>Pivô em latão com acabamento cromado para portas pivotantes</v>
      </c>
      <c r="C2350" s="40"/>
      <c r="D2350" s="25" t="s">
        <v>16</v>
      </c>
      <c r="E2350" s="26"/>
      <c r="F2350" s="41" t="s">
        <v>416</v>
      </c>
      <c r="G2350" s="27" t="str">
        <f t="shared" si="224"/>
        <v/>
      </c>
      <c r="H2350" s="28"/>
      <c r="I2350" s="29"/>
      <c r="J2350" s="152">
        <v>0</v>
      </c>
      <c r="L2350" s="218"/>
      <c r="M2350" s="41"/>
      <c r="N2350" s="27" t="str">
        <f t="shared" si="225"/>
        <v/>
      </c>
      <c r="O2350" s="28"/>
      <c r="P2350" s="36" t="str">
        <f t="shared" si="226"/>
        <v/>
      </c>
      <c r="Q2350" s="216" t="str">
        <f t="shared" si="227"/>
        <v/>
      </c>
      <c r="R2350" s="216" t="str">
        <f t="shared" si="228"/>
        <v/>
      </c>
      <c r="S2350" s="217" t="str">
        <f t="shared" si="229"/>
        <v/>
      </c>
    </row>
    <row r="2351" spans="1:19" ht="15.75" hidden="1" thickBot="1" x14ac:dyDescent="0.3">
      <c r="A2351" s="262"/>
      <c r="B2351" s="260"/>
      <c r="C2351" s="31"/>
      <c r="D2351" s="31"/>
      <c r="E2351" s="32"/>
      <c r="F2351" s="42" t="s">
        <v>416</v>
      </c>
      <c r="G2351" s="33" t="str">
        <f t="shared" si="224"/>
        <v/>
      </c>
      <c r="H2351" s="34"/>
      <c r="I2351" s="30"/>
      <c r="J2351" s="152">
        <v>0</v>
      </c>
      <c r="L2351" s="219"/>
      <c r="M2351" s="42"/>
      <c r="N2351" s="33" t="str">
        <f t="shared" si="225"/>
        <v/>
      </c>
      <c r="O2351" s="34"/>
      <c r="P2351" s="36" t="str">
        <f t="shared" si="226"/>
        <v/>
      </c>
      <c r="Q2351" s="216" t="str">
        <f t="shared" si="227"/>
        <v/>
      </c>
      <c r="R2351" s="216" t="str">
        <f t="shared" si="228"/>
        <v/>
      </c>
      <c r="S2351" s="217" t="str">
        <f t="shared" si="229"/>
        <v/>
      </c>
    </row>
    <row r="2352" spans="1:19" ht="15.75" hidden="1" thickBot="1" x14ac:dyDescent="0.3">
      <c r="A2352" s="262"/>
      <c r="B2352" s="260"/>
      <c r="C2352" s="35" t="s">
        <v>2905</v>
      </c>
      <c r="D2352" s="35" t="s">
        <v>583</v>
      </c>
      <c r="E2352" s="36">
        <f>1/2</f>
        <v>0.5</v>
      </c>
      <c r="F2352" s="30">
        <v>25.4315</v>
      </c>
      <c r="G2352" s="33">
        <f t="shared" si="224"/>
        <v>12.71575</v>
      </c>
      <c r="H2352" s="38">
        <f>SUM(G2352:G2353)</f>
        <v>12.71575</v>
      </c>
      <c r="I2352" s="39"/>
      <c r="J2352" s="152">
        <v>0</v>
      </c>
      <c r="L2352" s="215">
        <v>0.5</v>
      </c>
      <c r="M2352" s="30">
        <v>21.769363999999999</v>
      </c>
      <c r="N2352" s="33">
        <f t="shared" si="225"/>
        <v>10.884682</v>
      </c>
      <c r="O2352" s="38">
        <f>SUM(N2352:N2353)</f>
        <v>10.884682</v>
      </c>
      <c r="P2352" s="36" t="str">
        <f t="shared" si="226"/>
        <v/>
      </c>
      <c r="Q2352" s="216">
        <f t="shared" si="227"/>
        <v>0.14400000000000002</v>
      </c>
      <c r="R2352" s="216">
        <f t="shared" si="228"/>
        <v>0.14400000000000002</v>
      </c>
      <c r="S2352" s="217">
        <f t="shared" si="229"/>
        <v>0.14400000000000002</v>
      </c>
    </row>
    <row r="2353" spans="1:19" ht="39" hidden="1" thickBot="1" x14ac:dyDescent="0.3">
      <c r="A2353" s="262"/>
      <c r="B2353" s="260"/>
      <c r="C2353" s="35" t="s">
        <v>603</v>
      </c>
      <c r="D2353" s="35" t="s">
        <v>16</v>
      </c>
      <c r="E2353" s="36">
        <v>1</v>
      </c>
      <c r="F2353" s="33" t="s">
        <v>416</v>
      </c>
      <c r="G2353" s="33" t="str">
        <f t="shared" si="224"/>
        <v/>
      </c>
      <c r="H2353" s="34"/>
      <c r="I2353" s="30"/>
      <c r="J2353" s="152">
        <v>0</v>
      </c>
      <c r="L2353" s="215">
        <v>1</v>
      </c>
      <c r="M2353" s="33"/>
      <c r="N2353" s="33" t="str">
        <f t="shared" si="225"/>
        <v/>
      </c>
      <c r="O2353" s="34"/>
      <c r="P2353" s="36" t="str">
        <f t="shared" si="226"/>
        <v/>
      </c>
      <c r="Q2353" s="216" t="str">
        <f t="shared" si="227"/>
        <v/>
      </c>
      <c r="R2353" s="216" t="str">
        <f t="shared" si="228"/>
        <v/>
      </c>
      <c r="S2353" s="217" t="str">
        <f t="shared" si="229"/>
        <v/>
      </c>
    </row>
    <row r="2354" spans="1:19" ht="15.75" hidden="1" thickBot="1" x14ac:dyDescent="0.3">
      <c r="A2354" s="263"/>
      <c r="B2354" s="261"/>
      <c r="C2354" s="35"/>
      <c r="D2354" s="35"/>
      <c r="E2354" s="36"/>
      <c r="F2354" s="30" t="s">
        <v>416</v>
      </c>
      <c r="G2354" s="33" t="str">
        <f t="shared" si="224"/>
        <v/>
      </c>
      <c r="H2354" s="34"/>
      <c r="I2354" s="30"/>
      <c r="J2354" s="152">
        <v>0</v>
      </c>
      <c r="L2354" s="215"/>
      <c r="M2354" s="30"/>
      <c r="N2354" s="33" t="str">
        <f t="shared" si="225"/>
        <v/>
      </c>
      <c r="O2354" s="34"/>
      <c r="P2354" s="36" t="str">
        <f t="shared" si="226"/>
        <v/>
      </c>
      <c r="Q2354" s="216" t="str">
        <f t="shared" si="227"/>
        <v/>
      </c>
      <c r="R2354" s="216" t="str">
        <f t="shared" si="228"/>
        <v/>
      </c>
      <c r="S2354" s="217" t="str">
        <f t="shared" si="229"/>
        <v/>
      </c>
    </row>
    <row r="2355" spans="1:19" ht="15.75" hidden="1" thickBot="1" x14ac:dyDescent="0.3">
      <c r="A2355" s="256" t="s">
        <v>604</v>
      </c>
      <c r="B2355" s="259" t="str">
        <f>INDEX(Orçamentária!A:B,MATCH(Composições!A2355,Orçamentária!A:A,0),2)</f>
        <v>Cabo de dados tipo UTP, tipo LSZH, categoria 6</v>
      </c>
      <c r="C2355" s="40"/>
      <c r="D2355" s="25" t="s">
        <v>69</v>
      </c>
      <c r="E2355" s="26"/>
      <c r="F2355" s="41" t="s">
        <v>416</v>
      </c>
      <c r="G2355" s="27" t="str">
        <f t="shared" si="224"/>
        <v/>
      </c>
      <c r="H2355" s="28"/>
      <c r="I2355" s="29"/>
      <c r="J2355" s="152">
        <v>0</v>
      </c>
      <c r="L2355" s="218"/>
      <c r="M2355" s="41"/>
      <c r="N2355" s="27" t="str">
        <f t="shared" si="225"/>
        <v/>
      </c>
      <c r="O2355" s="28"/>
      <c r="P2355" s="36" t="str">
        <f t="shared" si="226"/>
        <v/>
      </c>
      <c r="Q2355" s="216" t="str">
        <f t="shared" si="227"/>
        <v/>
      </c>
      <c r="R2355" s="216" t="str">
        <f t="shared" si="228"/>
        <v/>
      </c>
      <c r="S2355" s="217" t="str">
        <f t="shared" si="229"/>
        <v/>
      </c>
    </row>
    <row r="2356" spans="1:19" ht="15.75" hidden="1" thickBot="1" x14ac:dyDescent="0.3">
      <c r="A2356" s="262"/>
      <c r="B2356" s="260"/>
      <c r="C2356" s="31"/>
      <c r="D2356" s="31"/>
      <c r="E2356" s="32"/>
      <c r="F2356" s="42" t="s">
        <v>416</v>
      </c>
      <c r="G2356" s="33" t="str">
        <f t="shared" si="224"/>
        <v/>
      </c>
      <c r="H2356" s="34"/>
      <c r="I2356" s="30"/>
      <c r="J2356" s="152">
        <v>0</v>
      </c>
      <c r="L2356" s="219"/>
      <c r="M2356" s="42"/>
      <c r="N2356" s="33" t="str">
        <f t="shared" si="225"/>
        <v/>
      </c>
      <c r="O2356" s="34"/>
      <c r="P2356" s="36" t="str">
        <f t="shared" si="226"/>
        <v/>
      </c>
      <c r="Q2356" s="216" t="str">
        <f t="shared" si="227"/>
        <v/>
      </c>
      <c r="R2356" s="216" t="str">
        <f t="shared" si="228"/>
        <v/>
      </c>
      <c r="S2356" s="217" t="str">
        <f t="shared" si="229"/>
        <v/>
      </c>
    </row>
    <row r="2357" spans="1:19" ht="15.75" hidden="1" thickBot="1" x14ac:dyDescent="0.3">
      <c r="A2357" s="262"/>
      <c r="B2357" s="260"/>
      <c r="C2357" s="35" t="s">
        <v>1017</v>
      </c>
      <c r="D2357" s="35" t="s">
        <v>583</v>
      </c>
      <c r="E2357" s="36">
        <v>2.8E-3</v>
      </c>
      <c r="F2357" s="30">
        <v>21.584</v>
      </c>
      <c r="G2357" s="33">
        <f t="shared" si="224"/>
        <v>6.0435200000000001E-2</v>
      </c>
      <c r="H2357" s="38">
        <f>SUM(G2357:G2359)</f>
        <v>0.1383732</v>
      </c>
      <c r="I2357" s="39"/>
      <c r="J2357" s="152">
        <v>0</v>
      </c>
      <c r="L2357" s="215">
        <v>2.8E-3</v>
      </c>
      <c r="M2357" s="30">
        <v>18.475904</v>
      </c>
      <c r="N2357" s="33">
        <f t="shared" si="225"/>
        <v>5.1732531200000001E-2</v>
      </c>
      <c r="O2357" s="38">
        <f>SUM(N2357:N2359)</f>
        <v>0.11844745920000001</v>
      </c>
      <c r="P2357" s="36" t="str">
        <f t="shared" si="226"/>
        <v/>
      </c>
      <c r="Q2357" s="216">
        <f t="shared" si="227"/>
        <v>0.14400000000000002</v>
      </c>
      <c r="R2357" s="216">
        <f t="shared" si="228"/>
        <v>0.14400000000000002</v>
      </c>
      <c r="S2357" s="217">
        <f t="shared" si="229"/>
        <v>0.14399999999999991</v>
      </c>
    </row>
    <row r="2358" spans="1:19" ht="15.75" hidden="1" thickBot="1" x14ac:dyDescent="0.3">
      <c r="A2358" s="262"/>
      <c r="B2358" s="260"/>
      <c r="C2358" s="35" t="s">
        <v>1018</v>
      </c>
      <c r="D2358" s="35" t="s">
        <v>583</v>
      </c>
      <c r="E2358" s="36">
        <v>2.8E-3</v>
      </c>
      <c r="F2358" s="30">
        <v>27.835000000000001</v>
      </c>
      <c r="G2358" s="33">
        <f t="shared" si="224"/>
        <v>7.7938000000000007E-2</v>
      </c>
      <c r="H2358" s="34"/>
      <c r="I2358" s="30"/>
      <c r="J2358" s="152">
        <v>0</v>
      </c>
      <c r="L2358" s="215">
        <v>2.8E-3</v>
      </c>
      <c r="M2358" s="30">
        <v>23.82676</v>
      </c>
      <c r="N2358" s="33">
        <f t="shared" si="225"/>
        <v>6.6714928000000007E-2</v>
      </c>
      <c r="O2358" s="34"/>
      <c r="P2358" s="36" t="str">
        <f t="shared" si="226"/>
        <v/>
      </c>
      <c r="Q2358" s="216">
        <f t="shared" si="227"/>
        <v>0.14400000000000002</v>
      </c>
      <c r="R2358" s="216">
        <f t="shared" si="228"/>
        <v>0.14400000000000002</v>
      </c>
      <c r="S2358" s="217" t="str">
        <f t="shared" si="229"/>
        <v/>
      </c>
    </row>
    <row r="2359" spans="1:19" ht="26.25" hidden="1" thickBot="1" x14ac:dyDescent="0.3">
      <c r="A2359" s="262"/>
      <c r="B2359" s="260"/>
      <c r="C2359" s="35" t="s">
        <v>605</v>
      </c>
      <c r="D2359" s="35" t="s">
        <v>69</v>
      </c>
      <c r="E2359" s="36">
        <v>1.05</v>
      </c>
      <c r="F2359" s="33" t="s">
        <v>416</v>
      </c>
      <c r="G2359" s="33" t="str">
        <f t="shared" si="224"/>
        <v/>
      </c>
      <c r="H2359" s="34"/>
      <c r="I2359" s="30"/>
      <c r="J2359" s="152">
        <v>0</v>
      </c>
      <c r="L2359" s="215">
        <v>1.05</v>
      </c>
      <c r="M2359" s="33"/>
      <c r="N2359" s="33" t="str">
        <f t="shared" si="225"/>
        <v/>
      </c>
      <c r="O2359" s="34"/>
      <c r="P2359" s="36" t="str">
        <f t="shared" si="226"/>
        <v/>
      </c>
      <c r="Q2359" s="216" t="str">
        <f t="shared" si="227"/>
        <v/>
      </c>
      <c r="R2359" s="216" t="str">
        <f t="shared" si="228"/>
        <v/>
      </c>
      <c r="S2359" s="217" t="str">
        <f t="shared" si="229"/>
        <v/>
      </c>
    </row>
    <row r="2360" spans="1:19" ht="15.75" hidden="1" thickBot="1" x14ac:dyDescent="0.3">
      <c r="A2360" s="263"/>
      <c r="B2360" s="261"/>
      <c r="C2360" s="35"/>
      <c r="D2360" s="35"/>
      <c r="E2360" s="36"/>
      <c r="F2360" s="30" t="s">
        <v>416</v>
      </c>
      <c r="G2360" s="33" t="str">
        <f t="shared" si="224"/>
        <v/>
      </c>
      <c r="H2360" s="34"/>
      <c r="I2360" s="30"/>
      <c r="J2360" s="152">
        <v>0</v>
      </c>
      <c r="L2360" s="215"/>
      <c r="M2360" s="30"/>
      <c r="N2360" s="33" t="str">
        <f t="shared" si="225"/>
        <v/>
      </c>
      <c r="O2360" s="34"/>
      <c r="P2360" s="36" t="str">
        <f t="shared" si="226"/>
        <v/>
      </c>
      <c r="Q2360" s="216" t="str">
        <f t="shared" si="227"/>
        <v/>
      </c>
      <c r="R2360" s="216" t="str">
        <f t="shared" si="228"/>
        <v/>
      </c>
      <c r="S2360" s="217" t="str">
        <f t="shared" si="229"/>
        <v/>
      </c>
    </row>
    <row r="2361" spans="1:19" ht="15.75" hidden="1" thickBot="1" x14ac:dyDescent="0.3">
      <c r="A2361" s="256" t="s">
        <v>606</v>
      </c>
      <c r="B2361" s="259" t="str">
        <f>INDEX(Orçamentária!A:B,MATCH(Composições!A2361,Orçamentária!A:A,0),2)</f>
        <v>Módulo (tomada) de rede RJ45, categoria 6, com conectorização e certificação</v>
      </c>
      <c r="C2361" s="40"/>
      <c r="D2361" s="25" t="s">
        <v>16</v>
      </c>
      <c r="E2361" s="26"/>
      <c r="F2361" s="41" t="s">
        <v>416</v>
      </c>
      <c r="G2361" s="27" t="str">
        <f t="shared" si="224"/>
        <v/>
      </c>
      <c r="H2361" s="28"/>
      <c r="I2361" s="29"/>
      <c r="J2361" s="152">
        <v>0</v>
      </c>
      <c r="L2361" s="218"/>
      <c r="M2361" s="41"/>
      <c r="N2361" s="27" t="str">
        <f t="shared" si="225"/>
        <v/>
      </c>
      <c r="O2361" s="28"/>
      <c r="P2361" s="36" t="str">
        <f t="shared" si="226"/>
        <v/>
      </c>
      <c r="Q2361" s="216" t="str">
        <f t="shared" si="227"/>
        <v/>
      </c>
      <c r="R2361" s="216" t="str">
        <f t="shared" si="228"/>
        <v/>
      </c>
      <c r="S2361" s="217" t="str">
        <f t="shared" si="229"/>
        <v/>
      </c>
    </row>
    <row r="2362" spans="1:19" ht="15.75" hidden="1" thickBot="1" x14ac:dyDescent="0.3">
      <c r="A2362" s="262"/>
      <c r="B2362" s="260"/>
      <c r="C2362" s="31"/>
      <c r="D2362" s="31"/>
      <c r="E2362" s="32"/>
      <c r="F2362" s="42" t="s">
        <v>416</v>
      </c>
      <c r="G2362" s="33" t="str">
        <f t="shared" si="224"/>
        <v/>
      </c>
      <c r="H2362" s="34"/>
      <c r="I2362" s="30"/>
      <c r="J2362" s="152">
        <v>0</v>
      </c>
      <c r="L2362" s="219"/>
      <c r="M2362" s="42"/>
      <c r="N2362" s="33" t="str">
        <f t="shared" si="225"/>
        <v/>
      </c>
      <c r="O2362" s="34"/>
      <c r="P2362" s="36" t="str">
        <f t="shared" si="226"/>
        <v/>
      </c>
      <c r="Q2362" s="216" t="str">
        <f t="shared" si="227"/>
        <v/>
      </c>
      <c r="R2362" s="216" t="str">
        <f t="shared" si="228"/>
        <v/>
      </c>
      <c r="S2362" s="217" t="str">
        <f t="shared" si="229"/>
        <v/>
      </c>
    </row>
    <row r="2363" spans="1:19" ht="26.25" hidden="1" thickBot="1" x14ac:dyDescent="0.3">
      <c r="A2363" s="262"/>
      <c r="B2363" s="260"/>
      <c r="C2363" s="35" t="s">
        <v>607</v>
      </c>
      <c r="D2363" s="35" t="s">
        <v>107</v>
      </c>
      <c r="E2363" s="36">
        <v>1</v>
      </c>
      <c r="F2363" s="33" t="s">
        <v>416</v>
      </c>
      <c r="G2363" s="33" t="str">
        <f t="shared" si="224"/>
        <v/>
      </c>
      <c r="H2363" s="38">
        <f>SUM(G2363:G2367)</f>
        <v>20.3803956</v>
      </c>
      <c r="I2363" s="39"/>
      <c r="J2363" s="152">
        <v>0</v>
      </c>
      <c r="L2363" s="215">
        <v>1</v>
      </c>
      <c r="M2363" s="33"/>
      <c r="N2363" s="33" t="str">
        <f t="shared" si="225"/>
        <v/>
      </c>
      <c r="O2363" s="38">
        <f>SUM(N2363:N2367)</f>
        <v>17.445618633599999</v>
      </c>
      <c r="P2363" s="36" t="str">
        <f t="shared" si="226"/>
        <v/>
      </c>
      <c r="Q2363" s="216" t="str">
        <f t="shared" si="227"/>
        <v/>
      </c>
      <c r="R2363" s="216" t="str">
        <f t="shared" si="228"/>
        <v/>
      </c>
      <c r="S2363" s="217">
        <f t="shared" si="229"/>
        <v>0.14400000000000002</v>
      </c>
    </row>
    <row r="2364" spans="1:19" ht="15.75" hidden="1" thickBot="1" x14ac:dyDescent="0.3">
      <c r="A2364" s="262"/>
      <c r="B2364" s="260"/>
      <c r="C2364" s="35" t="s">
        <v>608</v>
      </c>
      <c r="D2364" s="35" t="s">
        <v>107</v>
      </c>
      <c r="E2364" s="36">
        <v>1</v>
      </c>
      <c r="F2364" s="33" t="s">
        <v>416</v>
      </c>
      <c r="G2364" s="33" t="str">
        <f t="shared" si="224"/>
        <v/>
      </c>
      <c r="H2364" s="34"/>
      <c r="I2364" s="30"/>
      <c r="J2364" s="152">
        <v>0</v>
      </c>
      <c r="L2364" s="215">
        <v>1</v>
      </c>
      <c r="M2364" s="33"/>
      <c r="N2364" s="33" t="str">
        <f t="shared" si="225"/>
        <v/>
      </c>
      <c r="O2364" s="34"/>
      <c r="P2364" s="36" t="str">
        <f t="shared" si="226"/>
        <v/>
      </c>
      <c r="Q2364" s="216" t="str">
        <f t="shared" si="227"/>
        <v/>
      </c>
      <c r="R2364" s="216" t="str">
        <f t="shared" si="228"/>
        <v/>
      </c>
      <c r="S2364" s="217" t="str">
        <f t="shared" si="229"/>
        <v/>
      </c>
    </row>
    <row r="2365" spans="1:19" ht="15.75" hidden="1" thickBot="1" x14ac:dyDescent="0.3">
      <c r="A2365" s="262"/>
      <c r="B2365" s="260"/>
      <c r="C2365" s="35" t="s">
        <v>609</v>
      </c>
      <c r="D2365" s="35" t="s">
        <v>107</v>
      </c>
      <c r="E2365" s="36">
        <v>1</v>
      </c>
      <c r="F2365" s="33" t="s">
        <v>416</v>
      </c>
      <c r="G2365" s="33" t="str">
        <f t="shared" ref="G2365:G2428" si="230">IF(ISNUMBER(F2365),E2365*F2365,"")</f>
        <v/>
      </c>
      <c r="H2365" s="34"/>
      <c r="I2365" s="30"/>
      <c r="J2365" s="152">
        <v>0</v>
      </c>
      <c r="L2365" s="215">
        <v>1</v>
      </c>
      <c r="M2365" s="33"/>
      <c r="N2365" s="33" t="str">
        <f t="shared" ref="N2365:N2428" si="231">IF(ISNUMBER(M2365),L2365*M2365,"")</f>
        <v/>
      </c>
      <c r="O2365" s="34"/>
      <c r="P2365" s="36" t="str">
        <f t="shared" si="226"/>
        <v/>
      </c>
      <c r="Q2365" s="216" t="str">
        <f t="shared" si="227"/>
        <v/>
      </c>
      <c r="R2365" s="216" t="str">
        <f t="shared" si="228"/>
        <v/>
      </c>
      <c r="S2365" s="217" t="str">
        <f t="shared" si="229"/>
        <v/>
      </c>
    </row>
    <row r="2366" spans="1:19" ht="15.75" hidden="1" thickBot="1" x14ac:dyDescent="0.3">
      <c r="A2366" s="262"/>
      <c r="B2366" s="260"/>
      <c r="C2366" s="35" t="s">
        <v>1017</v>
      </c>
      <c r="D2366" s="35" t="s">
        <v>583</v>
      </c>
      <c r="E2366" s="36">
        <f>0.2062*2</f>
        <v>0.41239999999999999</v>
      </c>
      <c r="F2366" s="30">
        <v>21.584</v>
      </c>
      <c r="G2366" s="33">
        <f t="shared" si="230"/>
        <v>8.9012415999999988</v>
      </c>
      <c r="H2366" s="34"/>
      <c r="I2366" s="30"/>
      <c r="J2366" s="152">
        <v>0</v>
      </c>
      <c r="L2366" s="215">
        <v>0.41239999999999999</v>
      </c>
      <c r="M2366" s="30">
        <v>18.475904</v>
      </c>
      <c r="N2366" s="33">
        <f t="shared" si="231"/>
        <v>7.6194628095999999</v>
      </c>
      <c r="O2366" s="34"/>
      <c r="P2366" s="36" t="str">
        <f t="shared" si="226"/>
        <v/>
      </c>
      <c r="Q2366" s="216">
        <f t="shared" si="227"/>
        <v>0.14400000000000002</v>
      </c>
      <c r="R2366" s="216">
        <f t="shared" si="228"/>
        <v>0.14399999999999991</v>
      </c>
      <c r="S2366" s="217" t="str">
        <f t="shared" si="229"/>
        <v/>
      </c>
    </row>
    <row r="2367" spans="1:19" ht="15.75" hidden="1" thickBot="1" x14ac:dyDescent="0.3">
      <c r="A2367" s="262"/>
      <c r="B2367" s="260"/>
      <c r="C2367" s="35" t="s">
        <v>1018</v>
      </c>
      <c r="D2367" s="35" t="s">
        <v>583</v>
      </c>
      <c r="E2367" s="36">
        <f>0.2062*2</f>
        <v>0.41239999999999999</v>
      </c>
      <c r="F2367" s="30">
        <v>27.835000000000001</v>
      </c>
      <c r="G2367" s="33">
        <f t="shared" si="230"/>
        <v>11.479153999999999</v>
      </c>
      <c r="H2367" s="34"/>
      <c r="I2367" s="30"/>
      <c r="J2367" s="152">
        <v>0</v>
      </c>
      <c r="L2367" s="215">
        <v>0.41239999999999999</v>
      </c>
      <c r="M2367" s="30">
        <v>23.82676</v>
      </c>
      <c r="N2367" s="33">
        <f t="shared" si="231"/>
        <v>9.8261558240000006</v>
      </c>
      <c r="O2367" s="34"/>
      <c r="P2367" s="36" t="str">
        <f t="shared" si="226"/>
        <v/>
      </c>
      <c r="Q2367" s="216">
        <f t="shared" si="227"/>
        <v>0.14400000000000002</v>
      </c>
      <c r="R2367" s="216">
        <f t="shared" si="228"/>
        <v>0.14399999999999991</v>
      </c>
      <c r="S2367" s="217" t="str">
        <f t="shared" si="229"/>
        <v/>
      </c>
    </row>
    <row r="2368" spans="1:19" ht="15.75" hidden="1" thickBot="1" x14ac:dyDescent="0.3">
      <c r="A2368" s="263"/>
      <c r="B2368" s="261"/>
      <c r="C2368" s="35"/>
      <c r="D2368" s="35"/>
      <c r="E2368" s="36"/>
      <c r="F2368" s="30" t="s">
        <v>416</v>
      </c>
      <c r="G2368" s="33" t="str">
        <f t="shared" si="230"/>
        <v/>
      </c>
      <c r="H2368" s="34"/>
      <c r="I2368" s="30"/>
      <c r="J2368" s="152">
        <v>0</v>
      </c>
      <c r="L2368" s="215"/>
      <c r="M2368" s="30"/>
      <c r="N2368" s="33" t="str">
        <f t="shared" si="231"/>
        <v/>
      </c>
      <c r="O2368" s="34"/>
      <c r="P2368" s="36" t="str">
        <f t="shared" si="226"/>
        <v/>
      </c>
      <c r="Q2368" s="216" t="str">
        <f t="shared" si="227"/>
        <v/>
      </c>
      <c r="R2368" s="216" t="str">
        <f t="shared" si="228"/>
        <v/>
      </c>
      <c r="S2368" s="217" t="str">
        <f t="shared" si="229"/>
        <v/>
      </c>
    </row>
    <row r="2369" spans="1:19" ht="15.75" hidden="1" thickBot="1" x14ac:dyDescent="0.3">
      <c r="A2369" s="256" t="s">
        <v>610</v>
      </c>
      <c r="B2369" s="259" t="str">
        <f>INDEX(Orçamentária!A:B,MATCH(Composições!A2369,Orçamentária!A:A,0),2)</f>
        <v>Painel de distribuição (patch panel) de 24 portas, categoria 6</v>
      </c>
      <c r="C2369" s="40"/>
      <c r="D2369" s="25" t="s">
        <v>16</v>
      </c>
      <c r="E2369" s="26"/>
      <c r="F2369" s="41" t="s">
        <v>416</v>
      </c>
      <c r="G2369" s="27" t="str">
        <f t="shared" si="230"/>
        <v/>
      </c>
      <c r="H2369" s="28"/>
      <c r="I2369" s="29"/>
      <c r="J2369" s="152">
        <v>0</v>
      </c>
      <c r="L2369" s="218"/>
      <c r="M2369" s="41"/>
      <c r="N2369" s="27" t="str">
        <f t="shared" si="231"/>
        <v/>
      </c>
      <c r="O2369" s="28"/>
      <c r="P2369" s="36" t="str">
        <f t="shared" si="226"/>
        <v/>
      </c>
      <c r="Q2369" s="216" t="str">
        <f t="shared" si="227"/>
        <v/>
      </c>
      <c r="R2369" s="216" t="str">
        <f t="shared" si="228"/>
        <v/>
      </c>
      <c r="S2369" s="217" t="str">
        <f t="shared" si="229"/>
        <v/>
      </c>
    </row>
    <row r="2370" spans="1:19" ht="15.75" hidden="1" thickBot="1" x14ac:dyDescent="0.3">
      <c r="A2370" s="262"/>
      <c r="B2370" s="260"/>
      <c r="C2370" s="31"/>
      <c r="D2370" s="31"/>
      <c r="E2370" s="32"/>
      <c r="F2370" s="42" t="s">
        <v>416</v>
      </c>
      <c r="G2370" s="33" t="str">
        <f t="shared" si="230"/>
        <v/>
      </c>
      <c r="H2370" s="34"/>
      <c r="I2370" s="30"/>
      <c r="J2370" s="152">
        <v>0</v>
      </c>
      <c r="L2370" s="219"/>
      <c r="M2370" s="42"/>
      <c r="N2370" s="33" t="str">
        <f t="shared" si="231"/>
        <v/>
      </c>
      <c r="O2370" s="34"/>
      <c r="P2370" s="36" t="str">
        <f t="shared" si="226"/>
        <v/>
      </c>
      <c r="Q2370" s="216" t="str">
        <f t="shared" si="227"/>
        <v/>
      </c>
      <c r="R2370" s="216" t="str">
        <f t="shared" si="228"/>
        <v/>
      </c>
      <c r="S2370" s="217" t="str">
        <f t="shared" si="229"/>
        <v/>
      </c>
    </row>
    <row r="2371" spans="1:19" ht="15.75" hidden="1" thickBot="1" x14ac:dyDescent="0.3">
      <c r="A2371" s="262"/>
      <c r="B2371" s="260"/>
      <c r="C2371" s="35" t="s">
        <v>1017</v>
      </c>
      <c r="D2371" s="35" t="s">
        <v>583</v>
      </c>
      <c r="E2371" s="36">
        <f>6.2007</f>
        <v>6.2007000000000003</v>
      </c>
      <c r="F2371" s="30">
        <v>21.584</v>
      </c>
      <c r="G2371" s="33">
        <f t="shared" si="230"/>
        <v>133.8359088</v>
      </c>
      <c r="H2371" s="38">
        <f>SUM(G2371:G2374)</f>
        <v>306.4323933</v>
      </c>
      <c r="I2371" s="39"/>
      <c r="J2371" s="152">
        <v>0</v>
      </c>
      <c r="L2371" s="215">
        <v>6.2007000000000003</v>
      </c>
      <c r="M2371" s="30">
        <v>18.475904</v>
      </c>
      <c r="N2371" s="33">
        <f t="shared" si="231"/>
        <v>114.5635379328</v>
      </c>
      <c r="O2371" s="38">
        <f>SUM(N2371:N2374)</f>
        <v>262.30612866479999</v>
      </c>
      <c r="P2371" s="36" t="str">
        <f t="shared" si="226"/>
        <v/>
      </c>
      <c r="Q2371" s="216">
        <f t="shared" si="227"/>
        <v>0.14400000000000002</v>
      </c>
      <c r="R2371" s="216">
        <f t="shared" si="228"/>
        <v>0.14400000000000002</v>
      </c>
      <c r="S2371" s="217">
        <f t="shared" si="229"/>
        <v>0.14400000000000002</v>
      </c>
    </row>
    <row r="2372" spans="1:19" ht="15.75" hidden="1" thickBot="1" x14ac:dyDescent="0.3">
      <c r="A2372" s="262"/>
      <c r="B2372" s="260"/>
      <c r="C2372" s="35" t="s">
        <v>1018</v>
      </c>
      <c r="D2372" s="35" t="s">
        <v>583</v>
      </c>
      <c r="E2372" s="36">
        <f>6.2007</f>
        <v>6.2007000000000003</v>
      </c>
      <c r="F2372" s="30">
        <v>27.835000000000001</v>
      </c>
      <c r="G2372" s="33">
        <f t="shared" si="230"/>
        <v>172.5964845</v>
      </c>
      <c r="H2372" s="34"/>
      <c r="I2372" s="30"/>
      <c r="J2372" s="152">
        <v>0</v>
      </c>
      <c r="L2372" s="215">
        <v>6.2007000000000003</v>
      </c>
      <c r="M2372" s="30">
        <v>23.82676</v>
      </c>
      <c r="N2372" s="33">
        <f t="shared" si="231"/>
        <v>147.742590732</v>
      </c>
      <c r="O2372" s="34"/>
      <c r="P2372" s="36" t="str">
        <f t="shared" si="226"/>
        <v/>
      </c>
      <c r="Q2372" s="216">
        <f t="shared" si="227"/>
        <v>0.14400000000000002</v>
      </c>
      <c r="R2372" s="216">
        <f t="shared" si="228"/>
        <v>0.14400000000000002</v>
      </c>
      <c r="S2372" s="217" t="str">
        <f t="shared" si="229"/>
        <v/>
      </c>
    </row>
    <row r="2373" spans="1:19" ht="26.25" hidden="1" thickBot="1" x14ac:dyDescent="0.3">
      <c r="A2373" s="262"/>
      <c r="B2373" s="260"/>
      <c r="C2373" s="35" t="s">
        <v>611</v>
      </c>
      <c r="D2373" s="35" t="s">
        <v>16</v>
      </c>
      <c r="E2373" s="36">
        <v>1</v>
      </c>
      <c r="F2373" s="33" t="s">
        <v>416</v>
      </c>
      <c r="G2373" s="33" t="str">
        <f t="shared" si="230"/>
        <v/>
      </c>
      <c r="H2373" s="34"/>
      <c r="I2373" s="30"/>
      <c r="J2373" s="152">
        <v>0</v>
      </c>
      <c r="L2373" s="215">
        <v>1</v>
      </c>
      <c r="M2373" s="33"/>
      <c r="N2373" s="33" t="str">
        <f t="shared" si="231"/>
        <v/>
      </c>
      <c r="O2373" s="34"/>
      <c r="P2373" s="36" t="str">
        <f t="shared" si="226"/>
        <v/>
      </c>
      <c r="Q2373" s="216" t="str">
        <f t="shared" si="227"/>
        <v/>
      </c>
      <c r="R2373" s="216" t="str">
        <f t="shared" si="228"/>
        <v/>
      </c>
      <c r="S2373" s="217" t="str">
        <f t="shared" si="229"/>
        <v/>
      </c>
    </row>
    <row r="2374" spans="1:19" ht="15.75" hidden="1" thickBot="1" x14ac:dyDescent="0.3">
      <c r="A2374" s="262"/>
      <c r="B2374" s="260"/>
      <c r="C2374" s="35" t="s">
        <v>608</v>
      </c>
      <c r="D2374" s="35" t="s">
        <v>107</v>
      </c>
      <c r="E2374" s="36">
        <v>24</v>
      </c>
      <c r="F2374" s="33" t="s">
        <v>416</v>
      </c>
      <c r="G2374" s="33" t="str">
        <f t="shared" si="230"/>
        <v/>
      </c>
      <c r="H2374" s="34"/>
      <c r="I2374" s="30"/>
      <c r="J2374" s="152">
        <v>0</v>
      </c>
      <c r="L2374" s="215">
        <v>24</v>
      </c>
      <c r="M2374" s="33"/>
      <c r="N2374" s="33" t="str">
        <f t="shared" si="231"/>
        <v/>
      </c>
      <c r="O2374" s="34"/>
      <c r="P2374" s="36" t="str">
        <f t="shared" si="226"/>
        <v/>
      </c>
      <c r="Q2374" s="216" t="str">
        <f t="shared" si="227"/>
        <v/>
      </c>
      <c r="R2374" s="216" t="str">
        <f t="shared" si="228"/>
        <v/>
      </c>
      <c r="S2374" s="217" t="str">
        <f t="shared" si="229"/>
        <v/>
      </c>
    </row>
    <row r="2375" spans="1:19" ht="15.75" hidden="1" thickBot="1" x14ac:dyDescent="0.3">
      <c r="A2375" s="263"/>
      <c r="B2375" s="261"/>
      <c r="C2375" s="35"/>
      <c r="D2375" s="35"/>
      <c r="E2375" s="36"/>
      <c r="F2375" s="30" t="s">
        <v>416</v>
      </c>
      <c r="G2375" s="33" t="str">
        <f t="shared" si="230"/>
        <v/>
      </c>
      <c r="H2375" s="34"/>
      <c r="I2375" s="30"/>
      <c r="J2375" s="152">
        <v>0</v>
      </c>
      <c r="L2375" s="215"/>
      <c r="M2375" s="30"/>
      <c r="N2375" s="33" t="str">
        <f t="shared" si="231"/>
        <v/>
      </c>
      <c r="O2375" s="34"/>
      <c r="P2375" s="36" t="str">
        <f t="shared" si="226"/>
        <v/>
      </c>
      <c r="Q2375" s="216" t="str">
        <f t="shared" si="227"/>
        <v/>
      </c>
      <c r="R2375" s="216" t="str">
        <f t="shared" si="228"/>
        <v/>
      </c>
      <c r="S2375" s="217" t="str">
        <f t="shared" si="229"/>
        <v/>
      </c>
    </row>
    <row r="2376" spans="1:19" ht="15.75" hidden="1" thickBot="1" x14ac:dyDescent="0.3">
      <c r="A2376" s="256" t="s">
        <v>612</v>
      </c>
      <c r="B2376" s="259" t="str">
        <f>INDEX(Orçamentária!A:B,MATCH(Composições!A2376,Orçamentária!A:A,0),2)</f>
        <v>Cabo de telefonia tipo CCI 50x2</v>
      </c>
      <c r="C2376" s="40"/>
      <c r="D2376" s="25" t="s">
        <v>69</v>
      </c>
      <c r="E2376" s="26"/>
      <c r="F2376" s="41" t="s">
        <v>416</v>
      </c>
      <c r="G2376" s="27" t="str">
        <f t="shared" si="230"/>
        <v/>
      </c>
      <c r="H2376" s="28"/>
      <c r="I2376" s="29"/>
      <c r="J2376" s="152">
        <v>0</v>
      </c>
      <c r="L2376" s="218"/>
      <c r="M2376" s="41"/>
      <c r="N2376" s="27" t="str">
        <f t="shared" si="231"/>
        <v/>
      </c>
      <c r="O2376" s="28"/>
      <c r="P2376" s="36" t="str">
        <f t="shared" ref="P2376:P2439" si="232">IF(ISBLANK(L2376),"",IF($E2376&lt;&gt;L2376,"SIM",""))</f>
        <v/>
      </c>
      <c r="Q2376" s="216" t="str">
        <f t="shared" ref="Q2376:Q2439" si="233">IF(M2376="","",1-M2376/$F2376)</f>
        <v/>
      </c>
      <c r="R2376" s="216" t="str">
        <f t="shared" ref="R2376:R2439" si="234">IF(N2376="","",1-N2376/$G2376)</f>
        <v/>
      </c>
      <c r="S2376" s="217" t="str">
        <f t="shared" ref="S2376:S2439" si="235">IF(O2376="","",1-O2376/$H2376)</f>
        <v/>
      </c>
    </row>
    <row r="2377" spans="1:19" ht="15.75" hidden="1" thickBot="1" x14ac:dyDescent="0.3">
      <c r="A2377" s="257"/>
      <c r="B2377" s="260"/>
      <c r="C2377" s="31"/>
      <c r="D2377" s="31"/>
      <c r="E2377" s="32"/>
      <c r="F2377" s="42" t="s">
        <v>416</v>
      </c>
      <c r="G2377" s="33" t="str">
        <f t="shared" si="230"/>
        <v/>
      </c>
      <c r="H2377" s="34"/>
      <c r="I2377" s="30"/>
      <c r="J2377" s="152">
        <v>0</v>
      </c>
      <c r="L2377" s="219"/>
      <c r="M2377" s="42"/>
      <c r="N2377" s="33" t="str">
        <f t="shared" si="231"/>
        <v/>
      </c>
      <c r="O2377" s="34"/>
      <c r="P2377" s="36" t="str">
        <f t="shared" si="232"/>
        <v/>
      </c>
      <c r="Q2377" s="216" t="str">
        <f t="shared" si="233"/>
        <v/>
      </c>
      <c r="R2377" s="216" t="str">
        <f t="shared" si="234"/>
        <v/>
      </c>
      <c r="S2377" s="217" t="str">
        <f t="shared" si="235"/>
        <v/>
      </c>
    </row>
    <row r="2378" spans="1:19" ht="15.75" hidden="1" thickBot="1" x14ac:dyDescent="0.3">
      <c r="A2378" s="257"/>
      <c r="B2378" s="260"/>
      <c r="C2378" s="35" t="s">
        <v>1017</v>
      </c>
      <c r="D2378" s="35" t="s">
        <v>583</v>
      </c>
      <c r="E2378" s="36">
        <v>6.4100000000000004E-2</v>
      </c>
      <c r="F2378" s="30">
        <v>21.584</v>
      </c>
      <c r="G2378" s="33">
        <f t="shared" si="230"/>
        <v>1.3835344000000001</v>
      </c>
      <c r="H2378" s="38">
        <f>SUM(G2378:G2380)</f>
        <v>4.4944329000000005</v>
      </c>
      <c r="I2378" s="39"/>
      <c r="J2378" s="152">
        <v>0</v>
      </c>
      <c r="L2378" s="215">
        <v>6.4100000000000004E-2</v>
      </c>
      <c r="M2378" s="30">
        <v>18.475904</v>
      </c>
      <c r="N2378" s="33">
        <f t="shared" si="231"/>
        <v>1.1843054464</v>
      </c>
      <c r="O2378" s="38">
        <f>SUM(N2378:N2380)</f>
        <v>3.8472345623999997</v>
      </c>
      <c r="P2378" s="36" t="str">
        <f t="shared" si="232"/>
        <v/>
      </c>
      <c r="Q2378" s="216">
        <f t="shared" si="233"/>
        <v>0.14400000000000002</v>
      </c>
      <c r="R2378" s="216">
        <f t="shared" si="234"/>
        <v>0.14400000000000002</v>
      </c>
      <c r="S2378" s="217">
        <f t="shared" si="235"/>
        <v>0.14400000000000013</v>
      </c>
    </row>
    <row r="2379" spans="1:19" ht="15.75" hidden="1" thickBot="1" x14ac:dyDescent="0.3">
      <c r="A2379" s="257"/>
      <c r="B2379" s="260"/>
      <c r="C2379" s="35" t="s">
        <v>1018</v>
      </c>
      <c r="D2379" s="35" t="s">
        <v>583</v>
      </c>
      <c r="E2379" s="36">
        <v>6.4100000000000004E-2</v>
      </c>
      <c r="F2379" s="30">
        <v>27.835000000000001</v>
      </c>
      <c r="G2379" s="33">
        <f t="shared" si="230"/>
        <v>1.7842235000000002</v>
      </c>
      <c r="H2379" s="34"/>
      <c r="I2379" s="30"/>
      <c r="J2379" s="152">
        <v>0</v>
      </c>
      <c r="L2379" s="215">
        <v>6.4100000000000004E-2</v>
      </c>
      <c r="M2379" s="30">
        <v>23.82676</v>
      </c>
      <c r="N2379" s="33">
        <f t="shared" si="231"/>
        <v>1.527295316</v>
      </c>
      <c r="O2379" s="34"/>
      <c r="P2379" s="36" t="str">
        <f t="shared" si="232"/>
        <v/>
      </c>
      <c r="Q2379" s="216">
        <f t="shared" si="233"/>
        <v>0.14400000000000002</v>
      </c>
      <c r="R2379" s="216">
        <f t="shared" si="234"/>
        <v>0.14400000000000013</v>
      </c>
      <c r="S2379" s="217" t="str">
        <f t="shared" si="235"/>
        <v/>
      </c>
    </row>
    <row r="2380" spans="1:19" ht="26.25" hidden="1" thickBot="1" x14ac:dyDescent="0.3">
      <c r="A2380" s="257"/>
      <c r="B2380" s="260"/>
      <c r="C2380" s="35" t="s">
        <v>613</v>
      </c>
      <c r="D2380" s="35" t="s">
        <v>385</v>
      </c>
      <c r="E2380" s="36">
        <v>1.05</v>
      </c>
      <c r="F2380" s="33">
        <v>1.2635000000000001</v>
      </c>
      <c r="G2380" s="33">
        <f t="shared" si="230"/>
        <v>1.326675</v>
      </c>
      <c r="H2380" s="34"/>
      <c r="I2380" s="30"/>
      <c r="J2380" s="152">
        <v>0</v>
      </c>
      <c r="L2380" s="215">
        <v>1.05</v>
      </c>
      <c r="M2380" s="33">
        <v>1.081556</v>
      </c>
      <c r="N2380" s="33">
        <f t="shared" si="231"/>
        <v>1.1356337999999999</v>
      </c>
      <c r="O2380" s="34"/>
      <c r="P2380" s="36" t="str">
        <f t="shared" si="232"/>
        <v/>
      </c>
      <c r="Q2380" s="216">
        <f t="shared" si="233"/>
        <v>0.14400000000000013</v>
      </c>
      <c r="R2380" s="216">
        <f t="shared" si="234"/>
        <v>0.14400000000000013</v>
      </c>
      <c r="S2380" s="217" t="str">
        <f t="shared" si="235"/>
        <v/>
      </c>
    </row>
    <row r="2381" spans="1:19" ht="15.75" hidden="1" thickBot="1" x14ac:dyDescent="0.3">
      <c r="A2381" s="258"/>
      <c r="B2381" s="261"/>
      <c r="C2381" s="35"/>
      <c r="D2381" s="35"/>
      <c r="E2381" s="36"/>
      <c r="F2381" s="33" t="s">
        <v>416</v>
      </c>
      <c r="G2381" s="33" t="str">
        <f t="shared" si="230"/>
        <v/>
      </c>
      <c r="H2381" s="34"/>
      <c r="I2381" s="30"/>
      <c r="J2381" s="152">
        <v>0</v>
      </c>
      <c r="L2381" s="215"/>
      <c r="M2381" s="33"/>
      <c r="N2381" s="33" t="str">
        <f t="shared" si="231"/>
        <v/>
      </c>
      <c r="O2381" s="34"/>
      <c r="P2381" s="36" t="str">
        <f t="shared" si="232"/>
        <v/>
      </c>
      <c r="Q2381" s="216" t="str">
        <f t="shared" si="233"/>
        <v/>
      </c>
      <c r="R2381" s="216" t="str">
        <f t="shared" si="234"/>
        <v/>
      </c>
      <c r="S2381" s="217" t="str">
        <f t="shared" si="235"/>
        <v/>
      </c>
    </row>
    <row r="2382" spans="1:19" ht="15.75" hidden="1" thickBot="1" x14ac:dyDescent="0.3">
      <c r="A2382" s="256" t="s">
        <v>614</v>
      </c>
      <c r="B2382" s="259" t="str">
        <f>INDEX(Orçamentária!A:B,MATCH(Composições!A2382,Orçamentária!A:A,0),2)</f>
        <v>Módulo (tomada) de rede RJ45, para telefonia</v>
      </c>
      <c r="C2382" s="40"/>
      <c r="D2382" s="25" t="s">
        <v>16</v>
      </c>
      <c r="E2382" s="26"/>
      <c r="F2382" s="41" t="s">
        <v>416</v>
      </c>
      <c r="G2382" s="27" t="str">
        <f t="shared" si="230"/>
        <v/>
      </c>
      <c r="H2382" s="28"/>
      <c r="I2382" s="29"/>
      <c r="J2382" s="152">
        <v>0</v>
      </c>
      <c r="L2382" s="218"/>
      <c r="M2382" s="41"/>
      <c r="N2382" s="27" t="str">
        <f t="shared" si="231"/>
        <v/>
      </c>
      <c r="O2382" s="28"/>
      <c r="P2382" s="36" t="str">
        <f t="shared" si="232"/>
        <v/>
      </c>
      <c r="Q2382" s="216" t="str">
        <f t="shared" si="233"/>
        <v/>
      </c>
      <c r="R2382" s="216" t="str">
        <f t="shared" si="234"/>
        <v/>
      </c>
      <c r="S2382" s="217" t="str">
        <f t="shared" si="235"/>
        <v/>
      </c>
    </row>
    <row r="2383" spans="1:19" ht="15.75" hidden="1" thickBot="1" x14ac:dyDescent="0.3">
      <c r="A2383" s="262"/>
      <c r="B2383" s="260"/>
      <c r="C2383" s="31"/>
      <c r="D2383" s="31"/>
      <c r="E2383" s="32"/>
      <c r="F2383" s="42" t="s">
        <v>416</v>
      </c>
      <c r="G2383" s="33" t="str">
        <f t="shared" si="230"/>
        <v/>
      </c>
      <c r="H2383" s="34"/>
      <c r="I2383" s="30"/>
      <c r="J2383" s="152">
        <v>0</v>
      </c>
      <c r="L2383" s="219"/>
      <c r="M2383" s="42"/>
      <c r="N2383" s="33" t="str">
        <f t="shared" si="231"/>
        <v/>
      </c>
      <c r="O2383" s="34"/>
      <c r="P2383" s="36" t="str">
        <f t="shared" si="232"/>
        <v/>
      </c>
      <c r="Q2383" s="216" t="str">
        <f t="shared" si="233"/>
        <v/>
      </c>
      <c r="R2383" s="216" t="str">
        <f t="shared" si="234"/>
        <v/>
      </c>
      <c r="S2383" s="217" t="str">
        <f t="shared" si="235"/>
        <v/>
      </c>
    </row>
    <row r="2384" spans="1:19" ht="26.25" hidden="1" thickBot="1" x14ac:dyDescent="0.3">
      <c r="A2384" s="262"/>
      <c r="B2384" s="260"/>
      <c r="C2384" s="35" t="s">
        <v>615</v>
      </c>
      <c r="D2384" s="35" t="s">
        <v>107</v>
      </c>
      <c r="E2384" s="36">
        <v>1</v>
      </c>
      <c r="F2384" s="33" t="s">
        <v>416</v>
      </c>
      <c r="G2384" s="33" t="str">
        <f t="shared" si="230"/>
        <v/>
      </c>
      <c r="H2384" s="38">
        <f>SUM(G2384:G2387)</f>
        <v>45.767697799999993</v>
      </c>
      <c r="I2384" s="39"/>
      <c r="J2384" s="152">
        <v>0</v>
      </c>
      <c r="L2384" s="215">
        <v>1</v>
      </c>
      <c r="M2384" s="33"/>
      <c r="N2384" s="33" t="str">
        <f t="shared" si="231"/>
        <v/>
      </c>
      <c r="O2384" s="38">
        <f>SUM(N2384:N2387)</f>
        <v>39.177149316799998</v>
      </c>
      <c r="P2384" s="36" t="str">
        <f t="shared" si="232"/>
        <v/>
      </c>
      <c r="Q2384" s="216" t="str">
        <f t="shared" si="233"/>
        <v/>
      </c>
      <c r="R2384" s="216" t="str">
        <f t="shared" si="234"/>
        <v/>
      </c>
      <c r="S2384" s="217">
        <f t="shared" si="235"/>
        <v>0.14399999999999991</v>
      </c>
    </row>
    <row r="2385" spans="1:19" ht="15.75" hidden="1" thickBot="1" x14ac:dyDescent="0.3">
      <c r="A2385" s="262"/>
      <c r="B2385" s="260"/>
      <c r="C2385" s="35" t="s">
        <v>8443</v>
      </c>
      <c r="D2385" s="35" t="s">
        <v>213</v>
      </c>
      <c r="E2385" s="36">
        <v>1</v>
      </c>
      <c r="F2385" s="33">
        <v>35.577500000000001</v>
      </c>
      <c r="G2385" s="33">
        <f t="shared" si="230"/>
        <v>35.577500000000001</v>
      </c>
      <c r="H2385" s="34"/>
      <c r="I2385" s="30"/>
      <c r="J2385" s="152">
        <v>0</v>
      </c>
      <c r="L2385" s="215">
        <v>1</v>
      </c>
      <c r="M2385" s="33">
        <v>30.454340000000002</v>
      </c>
      <c r="N2385" s="33">
        <f t="shared" si="231"/>
        <v>30.454340000000002</v>
      </c>
      <c r="O2385" s="34"/>
      <c r="P2385" s="36" t="str">
        <f t="shared" si="232"/>
        <v/>
      </c>
      <c r="Q2385" s="216">
        <f t="shared" si="233"/>
        <v>0.14399999999999991</v>
      </c>
      <c r="R2385" s="216">
        <f t="shared" si="234"/>
        <v>0.14399999999999991</v>
      </c>
      <c r="S2385" s="217" t="str">
        <f t="shared" si="235"/>
        <v/>
      </c>
    </row>
    <row r="2386" spans="1:19" ht="15.75" hidden="1" thickBot="1" x14ac:dyDescent="0.3">
      <c r="A2386" s="262"/>
      <c r="B2386" s="260"/>
      <c r="C2386" s="35" t="s">
        <v>1017</v>
      </c>
      <c r="D2386" s="35" t="s">
        <v>583</v>
      </c>
      <c r="E2386" s="36">
        <v>0.20619999999999999</v>
      </c>
      <c r="F2386" s="30">
        <v>21.584</v>
      </c>
      <c r="G2386" s="33">
        <f t="shared" si="230"/>
        <v>4.4506207999999994</v>
      </c>
      <c r="H2386" s="34"/>
      <c r="I2386" s="30"/>
      <c r="J2386" s="152">
        <v>0</v>
      </c>
      <c r="L2386" s="215">
        <v>0.20619999999999999</v>
      </c>
      <c r="M2386" s="30">
        <v>18.475904</v>
      </c>
      <c r="N2386" s="33">
        <f t="shared" si="231"/>
        <v>3.8097314047999999</v>
      </c>
      <c r="O2386" s="34"/>
      <c r="P2386" s="36" t="str">
        <f t="shared" si="232"/>
        <v/>
      </c>
      <c r="Q2386" s="216">
        <f t="shared" si="233"/>
        <v>0.14400000000000002</v>
      </c>
      <c r="R2386" s="216">
        <f t="shared" si="234"/>
        <v>0.14399999999999991</v>
      </c>
      <c r="S2386" s="217" t="str">
        <f t="shared" si="235"/>
        <v/>
      </c>
    </row>
    <row r="2387" spans="1:19" ht="15.75" hidden="1" thickBot="1" x14ac:dyDescent="0.3">
      <c r="A2387" s="262"/>
      <c r="B2387" s="260"/>
      <c r="C2387" s="35" t="s">
        <v>1018</v>
      </c>
      <c r="D2387" s="35" t="s">
        <v>583</v>
      </c>
      <c r="E2387" s="36">
        <v>0.20619999999999999</v>
      </c>
      <c r="F2387" s="30">
        <v>27.835000000000001</v>
      </c>
      <c r="G2387" s="33">
        <f t="shared" si="230"/>
        <v>5.7395769999999997</v>
      </c>
      <c r="H2387" s="34"/>
      <c r="I2387" s="30"/>
      <c r="J2387" s="152">
        <v>0</v>
      </c>
      <c r="L2387" s="215">
        <v>0.20619999999999999</v>
      </c>
      <c r="M2387" s="30">
        <v>23.82676</v>
      </c>
      <c r="N2387" s="33">
        <f t="shared" si="231"/>
        <v>4.9130779120000003</v>
      </c>
      <c r="O2387" s="34"/>
      <c r="P2387" s="36" t="str">
        <f t="shared" si="232"/>
        <v/>
      </c>
      <c r="Q2387" s="216">
        <f t="shared" si="233"/>
        <v>0.14400000000000002</v>
      </c>
      <c r="R2387" s="216">
        <f t="shared" si="234"/>
        <v>0.14399999999999991</v>
      </c>
      <c r="S2387" s="217" t="str">
        <f t="shared" si="235"/>
        <v/>
      </c>
    </row>
    <row r="2388" spans="1:19" ht="15.75" hidden="1" thickBot="1" x14ac:dyDescent="0.3">
      <c r="A2388" s="263"/>
      <c r="B2388" s="261"/>
      <c r="C2388" s="35"/>
      <c r="D2388" s="35"/>
      <c r="E2388" s="36"/>
      <c r="F2388" s="30" t="s">
        <v>416</v>
      </c>
      <c r="G2388" s="33" t="str">
        <f t="shared" si="230"/>
        <v/>
      </c>
      <c r="H2388" s="34"/>
      <c r="I2388" s="30"/>
      <c r="J2388" s="152">
        <v>0</v>
      </c>
      <c r="L2388" s="215"/>
      <c r="M2388" s="30"/>
      <c r="N2388" s="33" t="str">
        <f t="shared" si="231"/>
        <v/>
      </c>
      <c r="O2388" s="34"/>
      <c r="P2388" s="36" t="str">
        <f t="shared" si="232"/>
        <v/>
      </c>
      <c r="Q2388" s="216" t="str">
        <f t="shared" si="233"/>
        <v/>
      </c>
      <c r="R2388" s="216" t="str">
        <f t="shared" si="234"/>
        <v/>
      </c>
      <c r="S2388" s="217" t="str">
        <f t="shared" si="235"/>
        <v/>
      </c>
    </row>
    <row r="2389" spans="1:19" ht="15.75" hidden="1" thickBot="1" x14ac:dyDescent="0.3">
      <c r="A2389" s="256" t="s">
        <v>616</v>
      </c>
      <c r="B2389" s="259" t="str">
        <f>INDEX(Orçamentária!A:B,MATCH(Composições!A2389,Orçamentária!A:A,0),2)</f>
        <v>Grelha para retorno para portas, divisórias e paredes 525 x 325 mm</v>
      </c>
      <c r="C2389" s="40"/>
      <c r="D2389" s="25" t="s">
        <v>16</v>
      </c>
      <c r="E2389" s="26"/>
      <c r="F2389" s="41" t="s">
        <v>416</v>
      </c>
      <c r="G2389" s="27" t="str">
        <f t="shared" si="230"/>
        <v/>
      </c>
      <c r="H2389" s="28"/>
      <c r="I2389" s="29"/>
      <c r="J2389" s="152">
        <v>0</v>
      </c>
      <c r="L2389" s="218"/>
      <c r="M2389" s="41"/>
      <c r="N2389" s="27" t="str">
        <f t="shared" si="231"/>
        <v/>
      </c>
      <c r="O2389" s="28"/>
      <c r="P2389" s="36" t="str">
        <f t="shared" si="232"/>
        <v/>
      </c>
      <c r="Q2389" s="216" t="str">
        <f t="shared" si="233"/>
        <v/>
      </c>
      <c r="R2389" s="216" t="str">
        <f t="shared" si="234"/>
        <v/>
      </c>
      <c r="S2389" s="217" t="str">
        <f t="shared" si="235"/>
        <v/>
      </c>
    </row>
    <row r="2390" spans="1:19" ht="15.75" hidden="1" thickBot="1" x14ac:dyDescent="0.3">
      <c r="A2390" s="262"/>
      <c r="B2390" s="260"/>
      <c r="C2390" s="31"/>
      <c r="D2390" s="31"/>
      <c r="E2390" s="32"/>
      <c r="F2390" s="42" t="s">
        <v>416</v>
      </c>
      <c r="G2390" s="33" t="str">
        <f t="shared" si="230"/>
        <v/>
      </c>
      <c r="H2390" s="34"/>
      <c r="I2390" s="30"/>
      <c r="J2390" s="152">
        <v>0</v>
      </c>
      <c r="L2390" s="219"/>
      <c r="M2390" s="42"/>
      <c r="N2390" s="33" t="str">
        <f t="shared" si="231"/>
        <v/>
      </c>
      <c r="O2390" s="34"/>
      <c r="P2390" s="36" t="str">
        <f t="shared" si="232"/>
        <v/>
      </c>
      <c r="Q2390" s="216" t="str">
        <f t="shared" si="233"/>
        <v/>
      </c>
      <c r="R2390" s="216" t="str">
        <f t="shared" si="234"/>
        <v/>
      </c>
      <c r="S2390" s="217" t="str">
        <f t="shared" si="235"/>
        <v/>
      </c>
    </row>
    <row r="2391" spans="1:19" ht="26.25" hidden="1" thickBot="1" x14ac:dyDescent="0.3">
      <c r="A2391" s="262"/>
      <c r="B2391" s="260"/>
      <c r="C2391" s="35" t="s">
        <v>2901</v>
      </c>
      <c r="D2391" s="35" t="s">
        <v>583</v>
      </c>
      <c r="E2391" s="36">
        <v>3.5</v>
      </c>
      <c r="F2391" s="30">
        <v>23.160999999999998</v>
      </c>
      <c r="G2391" s="33">
        <f t="shared" si="230"/>
        <v>81.063499999999991</v>
      </c>
      <c r="H2391" s="38">
        <f>SUM(G2391:G2393)</f>
        <v>183.20749999999998</v>
      </c>
      <c r="I2391" s="39"/>
      <c r="J2391" s="152">
        <v>0</v>
      </c>
      <c r="L2391" s="215">
        <v>3.5</v>
      </c>
      <c r="M2391" s="30">
        <v>19.825816</v>
      </c>
      <c r="N2391" s="33">
        <f t="shared" si="231"/>
        <v>69.390355999999997</v>
      </c>
      <c r="O2391" s="38">
        <f>SUM(N2391:N2393)</f>
        <v>156.82561999999999</v>
      </c>
      <c r="P2391" s="36" t="str">
        <f t="shared" si="232"/>
        <v/>
      </c>
      <c r="Q2391" s="216">
        <f t="shared" si="233"/>
        <v>0.14399999999999991</v>
      </c>
      <c r="R2391" s="216">
        <f t="shared" si="234"/>
        <v>0.14399999999999991</v>
      </c>
      <c r="S2391" s="217">
        <f t="shared" si="235"/>
        <v>0.14400000000000002</v>
      </c>
    </row>
    <row r="2392" spans="1:19" ht="26.25" hidden="1" thickBot="1" x14ac:dyDescent="0.3">
      <c r="A2392" s="262"/>
      <c r="B2392" s="260"/>
      <c r="C2392" s="35" t="s">
        <v>462</v>
      </c>
      <c r="D2392" s="35" t="s">
        <v>583</v>
      </c>
      <c r="E2392" s="36">
        <v>3.5</v>
      </c>
      <c r="F2392" s="30">
        <v>29.183999999999997</v>
      </c>
      <c r="G2392" s="33">
        <f t="shared" si="230"/>
        <v>102.14399999999999</v>
      </c>
      <c r="H2392" s="34"/>
      <c r="I2392" s="30"/>
      <c r="J2392" s="152">
        <v>0</v>
      </c>
      <c r="L2392" s="215">
        <v>3.5</v>
      </c>
      <c r="M2392" s="30">
        <v>24.981503999999997</v>
      </c>
      <c r="N2392" s="33">
        <f t="shared" si="231"/>
        <v>87.435263999999989</v>
      </c>
      <c r="O2392" s="34"/>
      <c r="P2392" s="36" t="str">
        <f t="shared" si="232"/>
        <v/>
      </c>
      <c r="Q2392" s="216">
        <f t="shared" si="233"/>
        <v>0.14400000000000002</v>
      </c>
      <c r="R2392" s="216">
        <f t="shared" si="234"/>
        <v>0.14400000000000002</v>
      </c>
      <c r="S2392" s="217" t="str">
        <f t="shared" si="235"/>
        <v/>
      </c>
    </row>
    <row r="2393" spans="1:19" ht="26.25" hidden="1" thickBot="1" x14ac:dyDescent="0.3">
      <c r="A2393" s="262"/>
      <c r="B2393" s="260"/>
      <c r="C2393" s="35" t="s">
        <v>617</v>
      </c>
      <c r="D2393" s="35" t="s">
        <v>107</v>
      </c>
      <c r="E2393" s="36">
        <v>1</v>
      </c>
      <c r="F2393" s="33" t="s">
        <v>416</v>
      </c>
      <c r="G2393" s="33" t="str">
        <f t="shared" si="230"/>
        <v/>
      </c>
      <c r="H2393" s="34"/>
      <c r="I2393" s="30"/>
      <c r="J2393" s="152">
        <v>0</v>
      </c>
      <c r="L2393" s="215">
        <v>1</v>
      </c>
      <c r="M2393" s="33"/>
      <c r="N2393" s="33" t="str">
        <f t="shared" si="231"/>
        <v/>
      </c>
      <c r="O2393" s="34"/>
      <c r="P2393" s="36" t="str">
        <f t="shared" si="232"/>
        <v/>
      </c>
      <c r="Q2393" s="216" t="str">
        <f t="shared" si="233"/>
        <v/>
      </c>
      <c r="R2393" s="216" t="str">
        <f t="shared" si="234"/>
        <v/>
      </c>
      <c r="S2393" s="217" t="str">
        <f t="shared" si="235"/>
        <v/>
      </c>
    </row>
    <row r="2394" spans="1:19" ht="15.75" hidden="1" thickBot="1" x14ac:dyDescent="0.3">
      <c r="A2394" s="263"/>
      <c r="B2394" s="261"/>
      <c r="C2394" s="35"/>
      <c r="D2394" s="35"/>
      <c r="E2394" s="36"/>
      <c r="F2394" s="30" t="s">
        <v>416</v>
      </c>
      <c r="G2394" s="33" t="str">
        <f t="shared" si="230"/>
        <v/>
      </c>
      <c r="H2394" s="34"/>
      <c r="I2394" s="30"/>
      <c r="J2394" s="152">
        <v>0</v>
      </c>
      <c r="L2394" s="215"/>
      <c r="M2394" s="30"/>
      <c r="N2394" s="33" t="str">
        <f t="shared" si="231"/>
        <v/>
      </c>
      <c r="O2394" s="34"/>
      <c r="P2394" s="36" t="str">
        <f t="shared" si="232"/>
        <v/>
      </c>
      <c r="Q2394" s="216" t="str">
        <f t="shared" si="233"/>
        <v/>
      </c>
      <c r="R2394" s="216" t="str">
        <f t="shared" si="234"/>
        <v/>
      </c>
      <c r="S2394" s="217" t="str">
        <f t="shared" si="235"/>
        <v/>
      </c>
    </row>
    <row r="2395" spans="1:19" ht="15.75" hidden="1" thickBot="1" x14ac:dyDescent="0.3">
      <c r="A2395" s="256" t="s">
        <v>1636</v>
      </c>
      <c r="B2395" s="259" t="str">
        <f>INDEX(Orçamentária!A:B,MATCH(Composições!A2395,Orçamentária!A:A,0),2)</f>
        <v>Dobradiça para porta com anel</v>
      </c>
      <c r="C2395" s="40"/>
      <c r="D2395" s="25" t="s">
        <v>16</v>
      </c>
      <c r="E2395" s="26"/>
      <c r="F2395" s="41" t="s">
        <v>416</v>
      </c>
      <c r="G2395" s="27" t="str">
        <f t="shared" si="230"/>
        <v/>
      </c>
      <c r="H2395" s="28"/>
      <c r="I2395" s="29"/>
      <c r="J2395" s="152">
        <v>0</v>
      </c>
      <c r="L2395" s="218"/>
      <c r="M2395" s="41"/>
      <c r="N2395" s="27" t="str">
        <f t="shared" si="231"/>
        <v/>
      </c>
      <c r="O2395" s="28"/>
      <c r="P2395" s="36" t="str">
        <f t="shared" si="232"/>
        <v/>
      </c>
      <c r="Q2395" s="216" t="str">
        <f t="shared" si="233"/>
        <v/>
      </c>
      <c r="R2395" s="216" t="str">
        <f t="shared" si="234"/>
        <v/>
      </c>
      <c r="S2395" s="217" t="str">
        <f t="shared" si="235"/>
        <v/>
      </c>
    </row>
    <row r="2396" spans="1:19" ht="15.75" hidden="1" thickBot="1" x14ac:dyDescent="0.3">
      <c r="A2396" s="262"/>
      <c r="B2396" s="260"/>
      <c r="C2396" s="31"/>
      <c r="D2396" s="31"/>
      <c r="E2396" s="32"/>
      <c r="F2396" s="42" t="s">
        <v>416</v>
      </c>
      <c r="G2396" s="33" t="str">
        <f t="shared" si="230"/>
        <v/>
      </c>
      <c r="H2396" s="34"/>
      <c r="I2396" s="30"/>
      <c r="J2396" s="152">
        <v>0</v>
      </c>
      <c r="L2396" s="219"/>
      <c r="M2396" s="42"/>
      <c r="N2396" s="33" t="str">
        <f t="shared" si="231"/>
        <v/>
      </c>
      <c r="O2396" s="34"/>
      <c r="P2396" s="36" t="str">
        <f t="shared" si="232"/>
        <v/>
      </c>
      <c r="Q2396" s="216" t="str">
        <f t="shared" si="233"/>
        <v/>
      </c>
      <c r="R2396" s="216" t="str">
        <f t="shared" si="234"/>
        <v/>
      </c>
      <c r="S2396" s="217" t="str">
        <f t="shared" si="235"/>
        <v/>
      </c>
    </row>
    <row r="2397" spans="1:19" ht="26.25" hidden="1" thickBot="1" x14ac:dyDescent="0.3">
      <c r="A2397" s="262"/>
      <c r="B2397" s="260"/>
      <c r="C2397" s="35" t="s">
        <v>8525</v>
      </c>
      <c r="D2397" s="35" t="s">
        <v>213</v>
      </c>
      <c r="E2397" s="36">
        <v>1</v>
      </c>
      <c r="F2397" s="30">
        <v>26.419499999999999</v>
      </c>
      <c r="G2397" s="33">
        <f t="shared" si="230"/>
        <v>26.419499999999999</v>
      </c>
      <c r="H2397" s="38">
        <f>SUM(G2397:G2397)</f>
        <v>26.419499999999999</v>
      </c>
      <c r="I2397" s="39"/>
      <c r="J2397" s="152">
        <v>0</v>
      </c>
      <c r="L2397" s="215">
        <v>1</v>
      </c>
      <c r="M2397" s="30">
        <v>22.615092000000001</v>
      </c>
      <c r="N2397" s="33">
        <f t="shared" si="231"/>
        <v>22.615092000000001</v>
      </c>
      <c r="O2397" s="38">
        <f>SUM(N2397:N2397)</f>
        <v>22.615092000000001</v>
      </c>
      <c r="P2397" s="36" t="str">
        <f t="shared" si="232"/>
        <v/>
      </c>
      <c r="Q2397" s="216">
        <f t="shared" si="233"/>
        <v>0.14399999999999991</v>
      </c>
      <c r="R2397" s="216">
        <f t="shared" si="234"/>
        <v>0.14399999999999991</v>
      </c>
      <c r="S2397" s="217">
        <f t="shared" si="235"/>
        <v>0.14399999999999991</v>
      </c>
    </row>
    <row r="2398" spans="1:19" ht="15.75" hidden="1" thickBot="1" x14ac:dyDescent="0.3">
      <c r="A2398" s="263"/>
      <c r="B2398" s="261"/>
      <c r="C2398" s="35"/>
      <c r="D2398" s="35"/>
      <c r="E2398" s="36"/>
      <c r="F2398" s="30" t="s">
        <v>416</v>
      </c>
      <c r="G2398" s="33" t="str">
        <f t="shared" si="230"/>
        <v/>
      </c>
      <c r="H2398" s="34"/>
      <c r="I2398" s="30"/>
      <c r="J2398" s="152">
        <v>0</v>
      </c>
      <c r="L2398" s="215"/>
      <c r="M2398" s="30"/>
      <c r="N2398" s="33" t="str">
        <f t="shared" si="231"/>
        <v/>
      </c>
      <c r="O2398" s="34"/>
      <c r="P2398" s="36" t="str">
        <f t="shared" si="232"/>
        <v/>
      </c>
      <c r="Q2398" s="216" t="str">
        <f t="shared" si="233"/>
        <v/>
      </c>
      <c r="R2398" s="216" t="str">
        <f t="shared" si="234"/>
        <v/>
      </c>
      <c r="S2398" s="217" t="str">
        <f t="shared" si="235"/>
        <v/>
      </c>
    </row>
    <row r="2399" spans="1:19" ht="15.75" hidden="1" thickBot="1" x14ac:dyDescent="0.3">
      <c r="A2399" s="256" t="s">
        <v>1640</v>
      </c>
      <c r="B2399" s="259" t="str">
        <f>INDEX(Orçamentária!A:B,MATCH(Composições!A2399,Orçamentária!A:A,0),2)</f>
        <v>Fechadura para porta externa maçaneta em barra (fornecimento)</v>
      </c>
      <c r="C2399" s="40"/>
      <c r="D2399" s="25" t="s">
        <v>16</v>
      </c>
      <c r="E2399" s="26"/>
      <c r="F2399" s="41" t="s">
        <v>416</v>
      </c>
      <c r="G2399" s="27" t="str">
        <f t="shared" si="230"/>
        <v/>
      </c>
      <c r="H2399" s="28"/>
      <c r="I2399" s="29"/>
      <c r="J2399" s="152">
        <v>0</v>
      </c>
      <c r="L2399" s="218"/>
      <c r="M2399" s="41"/>
      <c r="N2399" s="27" t="str">
        <f t="shared" si="231"/>
        <v/>
      </c>
      <c r="O2399" s="28"/>
      <c r="P2399" s="36" t="str">
        <f t="shared" si="232"/>
        <v/>
      </c>
      <c r="Q2399" s="216" t="str">
        <f t="shared" si="233"/>
        <v/>
      </c>
      <c r="R2399" s="216" t="str">
        <f t="shared" si="234"/>
        <v/>
      </c>
      <c r="S2399" s="217" t="str">
        <f t="shared" si="235"/>
        <v/>
      </c>
    </row>
    <row r="2400" spans="1:19" ht="15.75" hidden="1" thickBot="1" x14ac:dyDescent="0.3">
      <c r="A2400" s="262"/>
      <c r="B2400" s="260"/>
      <c r="C2400" s="31"/>
      <c r="D2400" s="31"/>
      <c r="E2400" s="32"/>
      <c r="F2400" s="42" t="s">
        <v>416</v>
      </c>
      <c r="G2400" s="33" t="str">
        <f t="shared" si="230"/>
        <v/>
      </c>
      <c r="H2400" s="34"/>
      <c r="I2400" s="30"/>
      <c r="J2400" s="152">
        <v>0</v>
      </c>
      <c r="L2400" s="219"/>
      <c r="M2400" s="42"/>
      <c r="N2400" s="33" t="str">
        <f t="shared" si="231"/>
        <v/>
      </c>
      <c r="O2400" s="34"/>
      <c r="P2400" s="36" t="str">
        <f t="shared" si="232"/>
        <v/>
      </c>
      <c r="Q2400" s="216" t="str">
        <f t="shared" si="233"/>
        <v/>
      </c>
      <c r="R2400" s="216" t="str">
        <f t="shared" si="234"/>
        <v/>
      </c>
      <c r="S2400" s="217" t="str">
        <f t="shared" si="235"/>
        <v/>
      </c>
    </row>
    <row r="2401" spans="1:19" ht="51.75" hidden="1" thickBot="1" x14ac:dyDescent="0.3">
      <c r="A2401" s="262"/>
      <c r="B2401" s="260"/>
      <c r="C2401" s="35" t="s">
        <v>8164</v>
      </c>
      <c r="D2401" s="35" t="s">
        <v>619</v>
      </c>
      <c r="E2401" s="36">
        <v>1</v>
      </c>
      <c r="F2401" s="30">
        <v>60.324999999999996</v>
      </c>
      <c r="G2401" s="33">
        <f t="shared" si="230"/>
        <v>60.324999999999996</v>
      </c>
      <c r="H2401" s="38">
        <f>SUM(G2401:G2401)</f>
        <v>60.324999999999996</v>
      </c>
      <c r="I2401" s="39"/>
      <c r="J2401" s="152">
        <v>0</v>
      </c>
      <c r="L2401" s="215">
        <v>1</v>
      </c>
      <c r="M2401" s="30">
        <v>51.638199999999998</v>
      </c>
      <c r="N2401" s="33">
        <f t="shared" si="231"/>
        <v>51.638199999999998</v>
      </c>
      <c r="O2401" s="38">
        <f>SUM(N2401:N2401)</f>
        <v>51.638199999999998</v>
      </c>
      <c r="P2401" s="36" t="str">
        <f t="shared" si="232"/>
        <v/>
      </c>
      <c r="Q2401" s="216">
        <f t="shared" si="233"/>
        <v>0.14400000000000002</v>
      </c>
      <c r="R2401" s="216">
        <f t="shared" si="234"/>
        <v>0.14400000000000002</v>
      </c>
      <c r="S2401" s="217">
        <f t="shared" si="235"/>
        <v>0.14400000000000002</v>
      </c>
    </row>
    <row r="2402" spans="1:19" ht="15.75" hidden="1" thickBot="1" x14ac:dyDescent="0.3">
      <c r="A2402" s="263"/>
      <c r="B2402" s="261"/>
      <c r="C2402" s="35"/>
      <c r="D2402" s="35"/>
      <c r="E2402" s="36"/>
      <c r="F2402" s="30" t="s">
        <v>416</v>
      </c>
      <c r="G2402" s="33" t="str">
        <f t="shared" si="230"/>
        <v/>
      </c>
      <c r="H2402" s="34"/>
      <c r="I2402" s="30"/>
      <c r="J2402" s="152">
        <v>0</v>
      </c>
      <c r="L2402" s="215"/>
      <c r="M2402" s="30"/>
      <c r="N2402" s="33" t="str">
        <f t="shared" si="231"/>
        <v/>
      </c>
      <c r="O2402" s="34"/>
      <c r="P2402" s="36" t="str">
        <f t="shared" si="232"/>
        <v/>
      </c>
      <c r="Q2402" s="216" t="str">
        <f t="shared" si="233"/>
        <v/>
      </c>
      <c r="R2402" s="216" t="str">
        <f t="shared" si="234"/>
        <v/>
      </c>
      <c r="S2402" s="217" t="str">
        <f t="shared" si="235"/>
        <v/>
      </c>
    </row>
    <row r="2403" spans="1:19" ht="15.75" hidden="1" thickBot="1" x14ac:dyDescent="0.3">
      <c r="A2403" s="256" t="s">
        <v>618</v>
      </c>
      <c r="B2403" s="259" t="str">
        <f>INDEX(Orçamentária!A:B,MATCH(Composições!A2403,Orçamentária!A:A,0),2)</f>
        <v>Fechadura para Porta Externa com Espelho - Millenio</v>
      </c>
      <c r="C2403" s="40"/>
      <c r="D2403" s="25" t="s">
        <v>16</v>
      </c>
      <c r="E2403" s="26"/>
      <c r="F2403" s="41" t="s">
        <v>416</v>
      </c>
      <c r="G2403" s="27" t="str">
        <f t="shared" si="230"/>
        <v/>
      </c>
      <c r="H2403" s="28"/>
      <c r="I2403" s="29"/>
      <c r="J2403" s="152">
        <v>0</v>
      </c>
      <c r="L2403" s="218"/>
      <c r="M2403" s="41"/>
      <c r="N2403" s="27" t="str">
        <f t="shared" si="231"/>
        <v/>
      </c>
      <c r="O2403" s="28"/>
      <c r="P2403" s="36" t="str">
        <f t="shared" si="232"/>
        <v/>
      </c>
      <c r="Q2403" s="216" t="str">
        <f t="shared" si="233"/>
        <v/>
      </c>
      <c r="R2403" s="216" t="str">
        <f t="shared" si="234"/>
        <v/>
      </c>
      <c r="S2403" s="217" t="str">
        <f t="shared" si="235"/>
        <v/>
      </c>
    </row>
    <row r="2404" spans="1:19" ht="15.75" hidden="1" thickBot="1" x14ac:dyDescent="0.3">
      <c r="A2404" s="262"/>
      <c r="B2404" s="260"/>
      <c r="C2404" s="31"/>
      <c r="D2404" s="31"/>
      <c r="E2404" s="32"/>
      <c r="F2404" s="42" t="s">
        <v>416</v>
      </c>
      <c r="G2404" s="33" t="str">
        <f t="shared" si="230"/>
        <v/>
      </c>
      <c r="H2404" s="34"/>
      <c r="I2404" s="30"/>
      <c r="J2404" s="152">
        <v>0</v>
      </c>
      <c r="L2404" s="219"/>
      <c r="M2404" s="42"/>
      <c r="N2404" s="33" t="str">
        <f t="shared" si="231"/>
        <v/>
      </c>
      <c r="O2404" s="34"/>
      <c r="P2404" s="36" t="str">
        <f t="shared" si="232"/>
        <v/>
      </c>
      <c r="Q2404" s="216" t="str">
        <f t="shared" si="233"/>
        <v/>
      </c>
      <c r="R2404" s="216" t="str">
        <f t="shared" si="234"/>
        <v/>
      </c>
      <c r="S2404" s="217" t="str">
        <f t="shared" si="235"/>
        <v/>
      </c>
    </row>
    <row r="2405" spans="1:19" ht="51.75" hidden="1" thickBot="1" x14ac:dyDescent="0.3">
      <c r="A2405" s="262"/>
      <c r="B2405" s="260"/>
      <c r="C2405" s="35" t="s">
        <v>8165</v>
      </c>
      <c r="D2405" s="35" t="s">
        <v>619</v>
      </c>
      <c r="E2405" s="36">
        <v>1</v>
      </c>
      <c r="F2405" s="30">
        <v>78.403499999999994</v>
      </c>
      <c r="G2405" s="33">
        <f t="shared" si="230"/>
        <v>78.403499999999994</v>
      </c>
      <c r="H2405" s="38">
        <f>SUM(G2405:G2405)</f>
        <v>78.403499999999994</v>
      </c>
      <c r="I2405" s="39"/>
      <c r="J2405" s="152">
        <v>0</v>
      </c>
      <c r="L2405" s="215">
        <v>1</v>
      </c>
      <c r="M2405" s="30">
        <v>67.113395999999995</v>
      </c>
      <c r="N2405" s="33">
        <f t="shared" si="231"/>
        <v>67.113395999999995</v>
      </c>
      <c r="O2405" s="38">
        <f>SUM(N2405:N2405)</f>
        <v>67.113395999999995</v>
      </c>
      <c r="P2405" s="36" t="str">
        <f t="shared" si="232"/>
        <v/>
      </c>
      <c r="Q2405" s="216">
        <f t="shared" si="233"/>
        <v>0.14400000000000002</v>
      </c>
      <c r="R2405" s="216">
        <f t="shared" si="234"/>
        <v>0.14400000000000002</v>
      </c>
      <c r="S2405" s="217">
        <f t="shared" si="235"/>
        <v>0.14400000000000002</v>
      </c>
    </row>
    <row r="2406" spans="1:19" ht="15.75" hidden="1" thickBot="1" x14ac:dyDescent="0.3">
      <c r="A2406" s="263"/>
      <c r="B2406" s="261"/>
      <c r="C2406" s="35"/>
      <c r="D2406" s="35"/>
      <c r="E2406" s="36"/>
      <c r="F2406" s="30" t="s">
        <v>416</v>
      </c>
      <c r="G2406" s="33" t="str">
        <f t="shared" si="230"/>
        <v/>
      </c>
      <c r="H2406" s="34"/>
      <c r="I2406" s="30"/>
      <c r="J2406" s="152">
        <v>0</v>
      </c>
      <c r="L2406" s="215"/>
      <c r="M2406" s="30"/>
      <c r="N2406" s="33" t="str">
        <f t="shared" si="231"/>
        <v/>
      </c>
      <c r="O2406" s="34"/>
      <c r="P2406" s="36" t="str">
        <f t="shared" si="232"/>
        <v/>
      </c>
      <c r="Q2406" s="216" t="str">
        <f t="shared" si="233"/>
        <v/>
      </c>
      <c r="R2406" s="216" t="str">
        <f t="shared" si="234"/>
        <v/>
      </c>
      <c r="S2406" s="217" t="str">
        <f t="shared" si="235"/>
        <v/>
      </c>
    </row>
    <row r="2407" spans="1:19" ht="15.75" hidden="1" thickBot="1" x14ac:dyDescent="0.3">
      <c r="A2407" s="256" t="s">
        <v>1643</v>
      </c>
      <c r="B2407" s="259" t="str">
        <f>INDEX(Orçamentária!A:B,MATCH(Composições!A2407,Orçamentária!A:A,0),2)</f>
        <v>Fechadura para Porta de Banheiro com Espelho - Millenio</v>
      </c>
      <c r="C2407" s="40"/>
      <c r="D2407" s="25" t="s">
        <v>16</v>
      </c>
      <c r="E2407" s="26"/>
      <c r="F2407" s="41" t="s">
        <v>416</v>
      </c>
      <c r="G2407" s="27" t="str">
        <f t="shared" si="230"/>
        <v/>
      </c>
      <c r="H2407" s="28"/>
      <c r="I2407" s="29"/>
      <c r="J2407" s="152">
        <v>0</v>
      </c>
      <c r="L2407" s="218"/>
      <c r="M2407" s="41"/>
      <c r="N2407" s="27" t="str">
        <f t="shared" si="231"/>
        <v/>
      </c>
      <c r="O2407" s="28"/>
      <c r="P2407" s="36" t="str">
        <f t="shared" si="232"/>
        <v/>
      </c>
      <c r="Q2407" s="216" t="str">
        <f t="shared" si="233"/>
        <v/>
      </c>
      <c r="R2407" s="216" t="str">
        <f t="shared" si="234"/>
        <v/>
      </c>
      <c r="S2407" s="217" t="str">
        <f t="shared" si="235"/>
        <v/>
      </c>
    </row>
    <row r="2408" spans="1:19" ht="15.75" hidden="1" thickBot="1" x14ac:dyDescent="0.3">
      <c r="A2408" s="262"/>
      <c r="B2408" s="260"/>
      <c r="C2408" s="31"/>
      <c r="D2408" s="31"/>
      <c r="E2408" s="32"/>
      <c r="F2408" s="42" t="s">
        <v>416</v>
      </c>
      <c r="G2408" s="33" t="str">
        <f t="shared" si="230"/>
        <v/>
      </c>
      <c r="H2408" s="34"/>
      <c r="I2408" s="30"/>
      <c r="J2408" s="152">
        <v>0</v>
      </c>
      <c r="L2408" s="219"/>
      <c r="M2408" s="42"/>
      <c r="N2408" s="33" t="str">
        <f t="shared" si="231"/>
        <v/>
      </c>
      <c r="O2408" s="34"/>
      <c r="P2408" s="36" t="str">
        <f t="shared" si="232"/>
        <v/>
      </c>
      <c r="Q2408" s="216" t="str">
        <f t="shared" si="233"/>
        <v/>
      </c>
      <c r="R2408" s="216" t="str">
        <f t="shared" si="234"/>
        <v/>
      </c>
      <c r="S2408" s="217" t="str">
        <f t="shared" si="235"/>
        <v/>
      </c>
    </row>
    <row r="2409" spans="1:19" ht="51.75" hidden="1" thickBot="1" x14ac:dyDescent="0.3">
      <c r="A2409" s="262"/>
      <c r="B2409" s="260"/>
      <c r="C2409" s="35" t="s">
        <v>8163</v>
      </c>
      <c r="D2409" s="35" t="s">
        <v>619</v>
      </c>
      <c r="E2409" s="36">
        <v>1</v>
      </c>
      <c r="F2409" s="30">
        <v>47.433499999999995</v>
      </c>
      <c r="G2409" s="33">
        <f t="shared" si="230"/>
        <v>47.433499999999995</v>
      </c>
      <c r="H2409" s="38">
        <f>SUM(G2409:G2409)</f>
        <v>47.433499999999995</v>
      </c>
      <c r="I2409" s="39"/>
      <c r="J2409" s="152">
        <v>0</v>
      </c>
      <c r="L2409" s="215">
        <v>1</v>
      </c>
      <c r="M2409" s="30">
        <v>40.603075999999994</v>
      </c>
      <c r="N2409" s="33">
        <f t="shared" si="231"/>
        <v>40.603075999999994</v>
      </c>
      <c r="O2409" s="38">
        <f>SUM(N2409:N2409)</f>
        <v>40.603075999999994</v>
      </c>
      <c r="P2409" s="36" t="str">
        <f t="shared" si="232"/>
        <v/>
      </c>
      <c r="Q2409" s="216">
        <f t="shared" si="233"/>
        <v>0.14400000000000002</v>
      </c>
      <c r="R2409" s="216">
        <f t="shared" si="234"/>
        <v>0.14400000000000002</v>
      </c>
      <c r="S2409" s="217">
        <f t="shared" si="235"/>
        <v>0.14400000000000002</v>
      </c>
    </row>
    <row r="2410" spans="1:19" ht="15.75" hidden="1" thickBot="1" x14ac:dyDescent="0.3">
      <c r="A2410" s="263"/>
      <c r="B2410" s="261"/>
      <c r="C2410" s="35"/>
      <c r="D2410" s="35"/>
      <c r="E2410" s="36"/>
      <c r="F2410" s="30" t="s">
        <v>416</v>
      </c>
      <c r="G2410" s="33" t="str">
        <f t="shared" si="230"/>
        <v/>
      </c>
      <c r="H2410" s="34"/>
      <c r="I2410" s="30"/>
      <c r="J2410" s="152">
        <v>0</v>
      </c>
      <c r="L2410" s="215"/>
      <c r="M2410" s="30"/>
      <c r="N2410" s="33" t="str">
        <f t="shared" si="231"/>
        <v/>
      </c>
      <c r="O2410" s="34"/>
      <c r="P2410" s="36" t="str">
        <f t="shared" si="232"/>
        <v/>
      </c>
      <c r="Q2410" s="216" t="str">
        <f t="shared" si="233"/>
        <v/>
      </c>
      <c r="R2410" s="216" t="str">
        <f t="shared" si="234"/>
        <v/>
      </c>
      <c r="S2410" s="217" t="str">
        <f t="shared" si="235"/>
        <v/>
      </c>
    </row>
    <row r="2411" spans="1:19" ht="15.75" hidden="1" thickBot="1" x14ac:dyDescent="0.3">
      <c r="A2411" s="256" t="s">
        <v>1647</v>
      </c>
      <c r="B2411" s="259" t="str">
        <f>INDEX(Orçamentária!A:B,MATCH(Composições!A2411,Orçamentária!A:A,0),2)</f>
        <v>Tarjeta Livre / Ocupado para portas de banheiro</v>
      </c>
      <c r="C2411" s="40"/>
      <c r="D2411" s="25" t="s">
        <v>16</v>
      </c>
      <c r="E2411" s="26"/>
      <c r="F2411" s="41" t="s">
        <v>416</v>
      </c>
      <c r="G2411" s="27" t="str">
        <f t="shared" si="230"/>
        <v/>
      </c>
      <c r="H2411" s="28"/>
      <c r="I2411" s="29"/>
      <c r="J2411" s="152">
        <v>0</v>
      </c>
      <c r="L2411" s="218"/>
      <c r="M2411" s="41"/>
      <c r="N2411" s="27" t="str">
        <f t="shared" si="231"/>
        <v/>
      </c>
      <c r="O2411" s="28"/>
      <c r="P2411" s="36" t="str">
        <f t="shared" si="232"/>
        <v/>
      </c>
      <c r="Q2411" s="216" t="str">
        <f t="shared" si="233"/>
        <v/>
      </c>
      <c r="R2411" s="216" t="str">
        <f t="shared" si="234"/>
        <v/>
      </c>
      <c r="S2411" s="217" t="str">
        <f t="shared" si="235"/>
        <v/>
      </c>
    </row>
    <row r="2412" spans="1:19" ht="15.75" hidden="1" thickBot="1" x14ac:dyDescent="0.3">
      <c r="A2412" s="262"/>
      <c r="B2412" s="260"/>
      <c r="C2412" s="31"/>
      <c r="D2412" s="31"/>
      <c r="E2412" s="32"/>
      <c r="F2412" s="42" t="s">
        <v>416</v>
      </c>
      <c r="G2412" s="33" t="str">
        <f t="shared" si="230"/>
        <v/>
      </c>
      <c r="H2412" s="34"/>
      <c r="I2412" s="30"/>
      <c r="J2412" s="152">
        <v>0</v>
      </c>
      <c r="L2412" s="219"/>
      <c r="M2412" s="42"/>
      <c r="N2412" s="33" t="str">
        <f t="shared" si="231"/>
        <v/>
      </c>
      <c r="O2412" s="34"/>
      <c r="P2412" s="36" t="str">
        <f t="shared" si="232"/>
        <v/>
      </c>
      <c r="Q2412" s="216" t="str">
        <f t="shared" si="233"/>
        <v/>
      </c>
      <c r="R2412" s="216" t="str">
        <f t="shared" si="234"/>
        <v/>
      </c>
      <c r="S2412" s="217" t="str">
        <f t="shared" si="235"/>
        <v/>
      </c>
    </row>
    <row r="2413" spans="1:19" ht="26.25" hidden="1" thickBot="1" x14ac:dyDescent="0.3">
      <c r="A2413" s="262"/>
      <c r="B2413" s="260"/>
      <c r="C2413" s="35" t="s">
        <v>8392</v>
      </c>
      <c r="D2413" s="35" t="s">
        <v>213</v>
      </c>
      <c r="E2413" s="36">
        <v>1</v>
      </c>
      <c r="F2413" s="30">
        <v>43.282000000000004</v>
      </c>
      <c r="G2413" s="33">
        <f t="shared" si="230"/>
        <v>43.282000000000004</v>
      </c>
      <c r="H2413" s="38">
        <f>SUM(G2413:G2413)</f>
        <v>43.282000000000004</v>
      </c>
      <c r="I2413" s="39"/>
      <c r="J2413" s="152">
        <v>0</v>
      </c>
      <c r="L2413" s="215">
        <v>1</v>
      </c>
      <c r="M2413" s="30">
        <v>37.049392000000005</v>
      </c>
      <c r="N2413" s="33">
        <f t="shared" si="231"/>
        <v>37.049392000000005</v>
      </c>
      <c r="O2413" s="38">
        <f>SUM(N2413:N2413)</f>
        <v>37.049392000000005</v>
      </c>
      <c r="P2413" s="36" t="str">
        <f t="shared" si="232"/>
        <v/>
      </c>
      <c r="Q2413" s="216">
        <f t="shared" si="233"/>
        <v>0.14400000000000002</v>
      </c>
      <c r="R2413" s="216">
        <f t="shared" si="234"/>
        <v>0.14400000000000002</v>
      </c>
      <c r="S2413" s="217">
        <f t="shared" si="235"/>
        <v>0.14400000000000002</v>
      </c>
    </row>
    <row r="2414" spans="1:19" ht="15.75" hidden="1" thickBot="1" x14ac:dyDescent="0.3">
      <c r="A2414" s="263"/>
      <c r="B2414" s="261"/>
      <c r="C2414" s="35"/>
      <c r="D2414" s="35"/>
      <c r="E2414" s="36"/>
      <c r="F2414" s="30" t="s">
        <v>416</v>
      </c>
      <c r="G2414" s="33" t="str">
        <f t="shared" si="230"/>
        <v/>
      </c>
      <c r="H2414" s="34"/>
      <c r="I2414" s="30"/>
      <c r="J2414" s="152">
        <v>0</v>
      </c>
      <c r="L2414" s="215"/>
      <c r="M2414" s="30"/>
      <c r="N2414" s="33" t="str">
        <f t="shared" si="231"/>
        <v/>
      </c>
      <c r="O2414" s="34"/>
      <c r="P2414" s="36" t="str">
        <f t="shared" si="232"/>
        <v/>
      </c>
      <c r="Q2414" s="216" t="str">
        <f t="shared" si="233"/>
        <v/>
      </c>
      <c r="R2414" s="216" t="str">
        <f t="shared" si="234"/>
        <v/>
      </c>
      <c r="S2414" s="217" t="str">
        <f t="shared" si="235"/>
        <v/>
      </c>
    </row>
    <row r="2415" spans="1:19" ht="15.75" hidden="1" thickBot="1" x14ac:dyDescent="0.3">
      <c r="A2415" s="256" t="s">
        <v>1653</v>
      </c>
      <c r="B2415" s="259" t="str">
        <f>INDEX(Orçamentária!A:B,MATCH(Composições!A2415,Orçamentária!A:A,0),2)</f>
        <v>Fechadura de embutir para armário e gaveta</v>
      </c>
      <c r="C2415" s="40"/>
      <c r="D2415" s="25" t="s">
        <v>16</v>
      </c>
      <c r="E2415" s="26"/>
      <c r="F2415" s="41" t="s">
        <v>416</v>
      </c>
      <c r="G2415" s="27" t="str">
        <f t="shared" si="230"/>
        <v/>
      </c>
      <c r="H2415" s="28"/>
      <c r="I2415" s="29"/>
      <c r="J2415" s="152">
        <v>0</v>
      </c>
      <c r="L2415" s="218"/>
      <c r="M2415" s="41"/>
      <c r="N2415" s="27" t="str">
        <f t="shared" si="231"/>
        <v/>
      </c>
      <c r="O2415" s="28"/>
      <c r="P2415" s="36" t="str">
        <f t="shared" si="232"/>
        <v/>
      </c>
      <c r="Q2415" s="216" t="str">
        <f t="shared" si="233"/>
        <v/>
      </c>
      <c r="R2415" s="216" t="str">
        <f t="shared" si="234"/>
        <v/>
      </c>
      <c r="S2415" s="217" t="str">
        <f t="shared" si="235"/>
        <v/>
      </c>
    </row>
    <row r="2416" spans="1:19" ht="15.75" hidden="1" thickBot="1" x14ac:dyDescent="0.3">
      <c r="A2416" s="262"/>
      <c r="B2416" s="260"/>
      <c r="C2416" s="31"/>
      <c r="D2416" s="31"/>
      <c r="E2416" s="32"/>
      <c r="F2416" s="42" t="s">
        <v>416</v>
      </c>
      <c r="G2416" s="33" t="str">
        <f t="shared" si="230"/>
        <v/>
      </c>
      <c r="H2416" s="34"/>
      <c r="I2416" s="30"/>
      <c r="J2416" s="152">
        <v>0</v>
      </c>
      <c r="L2416" s="219"/>
      <c r="M2416" s="42"/>
      <c r="N2416" s="33" t="str">
        <f t="shared" si="231"/>
        <v/>
      </c>
      <c r="O2416" s="34"/>
      <c r="P2416" s="36" t="str">
        <f t="shared" si="232"/>
        <v/>
      </c>
      <c r="Q2416" s="216" t="str">
        <f t="shared" si="233"/>
        <v/>
      </c>
      <c r="R2416" s="216" t="str">
        <f t="shared" si="234"/>
        <v/>
      </c>
      <c r="S2416" s="217" t="str">
        <f t="shared" si="235"/>
        <v/>
      </c>
    </row>
    <row r="2417" spans="1:19" ht="39" hidden="1" thickBot="1" x14ac:dyDescent="0.3">
      <c r="A2417" s="262"/>
      <c r="B2417" s="260"/>
      <c r="C2417" s="35" t="s">
        <v>8162</v>
      </c>
      <c r="D2417" s="35" t="s">
        <v>213</v>
      </c>
      <c r="E2417" s="36">
        <v>1</v>
      </c>
      <c r="F2417" s="30">
        <v>11.912999999999998</v>
      </c>
      <c r="G2417" s="33">
        <f t="shared" si="230"/>
        <v>11.912999999999998</v>
      </c>
      <c r="H2417" s="38">
        <f>SUM(G2417:G2417)</f>
        <v>11.912999999999998</v>
      </c>
      <c r="I2417" s="39"/>
      <c r="J2417" s="152">
        <v>0</v>
      </c>
      <c r="L2417" s="215">
        <v>1</v>
      </c>
      <c r="M2417" s="30">
        <v>10.197527999999998</v>
      </c>
      <c r="N2417" s="33">
        <f t="shared" si="231"/>
        <v>10.197527999999998</v>
      </c>
      <c r="O2417" s="38">
        <f>SUM(N2417:N2417)</f>
        <v>10.197527999999998</v>
      </c>
      <c r="P2417" s="36" t="str">
        <f t="shared" si="232"/>
        <v/>
      </c>
      <c r="Q2417" s="216">
        <f t="shared" si="233"/>
        <v>0.14400000000000002</v>
      </c>
      <c r="R2417" s="216">
        <f t="shared" si="234"/>
        <v>0.14400000000000002</v>
      </c>
      <c r="S2417" s="217">
        <f t="shared" si="235"/>
        <v>0.14400000000000002</v>
      </c>
    </row>
    <row r="2418" spans="1:19" ht="39" hidden="1" thickBot="1" x14ac:dyDescent="0.3">
      <c r="A2418" s="263"/>
      <c r="B2418" s="261"/>
      <c r="C2418" s="35" t="s">
        <v>3252</v>
      </c>
      <c r="D2418" s="35"/>
      <c r="E2418" s="36"/>
      <c r="F2418" s="30" t="s">
        <v>416</v>
      </c>
      <c r="G2418" s="33" t="str">
        <f t="shared" si="230"/>
        <v/>
      </c>
      <c r="H2418" s="34"/>
      <c r="I2418" s="30"/>
      <c r="J2418" s="152">
        <v>0</v>
      </c>
      <c r="L2418" s="215"/>
      <c r="M2418" s="30"/>
      <c r="N2418" s="33" t="str">
        <f t="shared" si="231"/>
        <v/>
      </c>
      <c r="O2418" s="34"/>
      <c r="P2418" s="36" t="str">
        <f t="shared" si="232"/>
        <v/>
      </c>
      <c r="Q2418" s="216" t="str">
        <f t="shared" si="233"/>
        <v/>
      </c>
      <c r="R2418" s="216" t="str">
        <f t="shared" si="234"/>
        <v/>
      </c>
      <c r="S2418" s="217" t="str">
        <f t="shared" si="235"/>
        <v/>
      </c>
    </row>
    <row r="2419" spans="1:19" ht="15.75" hidden="1" thickBot="1" x14ac:dyDescent="0.3">
      <c r="A2419" s="256" t="s">
        <v>1655</v>
      </c>
      <c r="B2419" s="259" t="str">
        <f>INDEX(Orçamentária!A:B,MATCH(Composições!A2419,Orçamentária!A:A,0),2)</f>
        <v>Fechadura de embutir para móveis – Fechamento Superior - Referência 861</v>
      </c>
      <c r="C2419" s="40"/>
      <c r="D2419" s="25" t="s">
        <v>16</v>
      </c>
      <c r="E2419" s="26"/>
      <c r="F2419" s="41" t="s">
        <v>416</v>
      </c>
      <c r="G2419" s="27" t="str">
        <f t="shared" si="230"/>
        <v/>
      </c>
      <c r="H2419" s="28"/>
      <c r="I2419" s="29"/>
      <c r="J2419" s="152">
        <v>0</v>
      </c>
      <c r="L2419" s="218"/>
      <c r="M2419" s="41"/>
      <c r="N2419" s="27" t="str">
        <f t="shared" si="231"/>
        <v/>
      </c>
      <c r="O2419" s="28"/>
      <c r="P2419" s="36" t="str">
        <f t="shared" si="232"/>
        <v/>
      </c>
      <c r="Q2419" s="216" t="str">
        <f t="shared" si="233"/>
        <v/>
      </c>
      <c r="R2419" s="216" t="str">
        <f t="shared" si="234"/>
        <v/>
      </c>
      <c r="S2419" s="217" t="str">
        <f t="shared" si="235"/>
        <v/>
      </c>
    </row>
    <row r="2420" spans="1:19" ht="15.75" hidden="1" thickBot="1" x14ac:dyDescent="0.3">
      <c r="A2420" s="262"/>
      <c r="B2420" s="260"/>
      <c r="C2420" s="31"/>
      <c r="D2420" s="31"/>
      <c r="E2420" s="32"/>
      <c r="F2420" s="42" t="s">
        <v>416</v>
      </c>
      <c r="G2420" s="33" t="str">
        <f t="shared" si="230"/>
        <v/>
      </c>
      <c r="H2420" s="34"/>
      <c r="I2420" s="30"/>
      <c r="J2420" s="152">
        <v>0</v>
      </c>
      <c r="L2420" s="219"/>
      <c r="M2420" s="42"/>
      <c r="N2420" s="33" t="str">
        <f t="shared" si="231"/>
        <v/>
      </c>
      <c r="O2420" s="34"/>
      <c r="P2420" s="36" t="str">
        <f t="shared" si="232"/>
        <v/>
      </c>
      <c r="Q2420" s="216" t="str">
        <f t="shared" si="233"/>
        <v/>
      </c>
      <c r="R2420" s="216" t="str">
        <f t="shared" si="234"/>
        <v/>
      </c>
      <c r="S2420" s="217" t="str">
        <f t="shared" si="235"/>
        <v/>
      </c>
    </row>
    <row r="2421" spans="1:19" ht="51.75" hidden="1" thickBot="1" x14ac:dyDescent="0.3">
      <c r="A2421" s="262"/>
      <c r="B2421" s="260"/>
      <c r="C2421" s="35" t="s">
        <v>8161</v>
      </c>
      <c r="D2421" s="35" t="s">
        <v>213</v>
      </c>
      <c r="E2421" s="36">
        <v>1</v>
      </c>
      <c r="F2421" s="30">
        <v>11.912999999999998</v>
      </c>
      <c r="G2421" s="33">
        <f t="shared" si="230"/>
        <v>11.912999999999998</v>
      </c>
      <c r="H2421" s="38">
        <f>SUM(G2421:G2421)</f>
        <v>11.912999999999998</v>
      </c>
      <c r="I2421" s="39"/>
      <c r="J2421" s="152">
        <v>0</v>
      </c>
      <c r="L2421" s="215">
        <v>1</v>
      </c>
      <c r="M2421" s="30">
        <v>10.197527999999998</v>
      </c>
      <c r="N2421" s="33">
        <f t="shared" si="231"/>
        <v>10.197527999999998</v>
      </c>
      <c r="O2421" s="38">
        <f>SUM(N2421:N2421)</f>
        <v>10.197527999999998</v>
      </c>
      <c r="P2421" s="36" t="str">
        <f t="shared" si="232"/>
        <v/>
      </c>
      <c r="Q2421" s="216">
        <f t="shared" si="233"/>
        <v>0.14400000000000002</v>
      </c>
      <c r="R2421" s="216">
        <f t="shared" si="234"/>
        <v>0.14400000000000002</v>
      </c>
      <c r="S2421" s="217">
        <f t="shared" si="235"/>
        <v>0.14400000000000002</v>
      </c>
    </row>
    <row r="2422" spans="1:19" ht="15.75" hidden="1" thickBot="1" x14ac:dyDescent="0.3">
      <c r="A2422" s="263"/>
      <c r="B2422" s="261"/>
      <c r="C2422" s="35"/>
      <c r="D2422" s="35"/>
      <c r="E2422" s="36"/>
      <c r="F2422" s="30" t="s">
        <v>416</v>
      </c>
      <c r="G2422" s="33" t="str">
        <f t="shared" si="230"/>
        <v/>
      </c>
      <c r="H2422" s="34"/>
      <c r="I2422" s="30"/>
      <c r="J2422" s="152">
        <v>0</v>
      </c>
      <c r="L2422" s="215"/>
      <c r="M2422" s="30"/>
      <c r="N2422" s="33" t="str">
        <f t="shared" si="231"/>
        <v/>
      </c>
      <c r="O2422" s="34"/>
      <c r="P2422" s="36" t="str">
        <f t="shared" si="232"/>
        <v/>
      </c>
      <c r="Q2422" s="216" t="str">
        <f t="shared" si="233"/>
        <v/>
      </c>
      <c r="R2422" s="216" t="str">
        <f t="shared" si="234"/>
        <v/>
      </c>
      <c r="S2422" s="217" t="str">
        <f t="shared" si="235"/>
        <v/>
      </c>
    </row>
    <row r="2423" spans="1:19" ht="15.75" hidden="1" thickBot="1" x14ac:dyDescent="0.3">
      <c r="A2423" s="256" t="s">
        <v>1657</v>
      </c>
      <c r="B2423" s="259" t="str">
        <f>INDEX(Orçamentária!A:B,MATCH(Composições!A2423,Orçamentária!A:A,0),2)</f>
        <v>Fechadura de embutir para móveis – Fechamento lateral - Referência 871</v>
      </c>
      <c r="C2423" s="40"/>
      <c r="D2423" s="25" t="s">
        <v>16</v>
      </c>
      <c r="E2423" s="26"/>
      <c r="F2423" s="41" t="s">
        <v>416</v>
      </c>
      <c r="G2423" s="27" t="str">
        <f t="shared" si="230"/>
        <v/>
      </c>
      <c r="H2423" s="28"/>
      <c r="I2423" s="29"/>
      <c r="J2423" s="152">
        <v>0</v>
      </c>
      <c r="L2423" s="218"/>
      <c r="M2423" s="41"/>
      <c r="N2423" s="27" t="str">
        <f t="shared" si="231"/>
        <v/>
      </c>
      <c r="O2423" s="28"/>
      <c r="P2423" s="36" t="str">
        <f t="shared" si="232"/>
        <v/>
      </c>
      <c r="Q2423" s="216" t="str">
        <f t="shared" si="233"/>
        <v/>
      </c>
      <c r="R2423" s="216" t="str">
        <f t="shared" si="234"/>
        <v/>
      </c>
      <c r="S2423" s="217" t="str">
        <f t="shared" si="235"/>
        <v/>
      </c>
    </row>
    <row r="2424" spans="1:19" ht="15.75" hidden="1" thickBot="1" x14ac:dyDescent="0.3">
      <c r="A2424" s="262"/>
      <c r="B2424" s="260"/>
      <c r="C2424" s="31"/>
      <c r="D2424" s="31"/>
      <c r="E2424" s="32"/>
      <c r="F2424" s="42" t="s">
        <v>416</v>
      </c>
      <c r="G2424" s="33" t="str">
        <f t="shared" si="230"/>
        <v/>
      </c>
      <c r="H2424" s="34"/>
      <c r="I2424" s="30"/>
      <c r="J2424" s="152">
        <v>0</v>
      </c>
      <c r="L2424" s="219"/>
      <c r="M2424" s="42"/>
      <c r="N2424" s="33" t="str">
        <f t="shared" si="231"/>
        <v/>
      </c>
      <c r="O2424" s="34"/>
      <c r="P2424" s="36" t="str">
        <f t="shared" si="232"/>
        <v/>
      </c>
      <c r="Q2424" s="216" t="str">
        <f t="shared" si="233"/>
        <v/>
      </c>
      <c r="R2424" s="216" t="str">
        <f t="shared" si="234"/>
        <v/>
      </c>
      <c r="S2424" s="217" t="str">
        <f t="shared" si="235"/>
        <v/>
      </c>
    </row>
    <row r="2425" spans="1:19" ht="51.75" hidden="1" thickBot="1" x14ac:dyDescent="0.3">
      <c r="A2425" s="262"/>
      <c r="B2425" s="260"/>
      <c r="C2425" s="35" t="s">
        <v>8161</v>
      </c>
      <c r="D2425" s="35" t="s">
        <v>213</v>
      </c>
      <c r="E2425" s="36">
        <v>1</v>
      </c>
      <c r="F2425" s="30">
        <v>11.912999999999998</v>
      </c>
      <c r="G2425" s="33">
        <f t="shared" si="230"/>
        <v>11.912999999999998</v>
      </c>
      <c r="H2425" s="38">
        <f>SUM(G2425:G2425)</f>
        <v>11.912999999999998</v>
      </c>
      <c r="I2425" s="39"/>
      <c r="J2425" s="152">
        <v>0</v>
      </c>
      <c r="L2425" s="215">
        <v>1</v>
      </c>
      <c r="M2425" s="30">
        <v>10.197527999999998</v>
      </c>
      <c r="N2425" s="33">
        <f t="shared" si="231"/>
        <v>10.197527999999998</v>
      </c>
      <c r="O2425" s="38">
        <f>SUM(N2425:N2425)</f>
        <v>10.197527999999998</v>
      </c>
      <c r="P2425" s="36" t="str">
        <f t="shared" si="232"/>
        <v/>
      </c>
      <c r="Q2425" s="216">
        <f t="shared" si="233"/>
        <v>0.14400000000000002</v>
      </c>
      <c r="R2425" s="216">
        <f t="shared" si="234"/>
        <v>0.14400000000000002</v>
      </c>
      <c r="S2425" s="217">
        <f t="shared" si="235"/>
        <v>0.14400000000000002</v>
      </c>
    </row>
    <row r="2426" spans="1:19" ht="15.75" hidden="1" thickBot="1" x14ac:dyDescent="0.3">
      <c r="A2426" s="263"/>
      <c r="B2426" s="261"/>
      <c r="C2426" s="35"/>
      <c r="D2426" s="35"/>
      <c r="E2426" s="36"/>
      <c r="F2426" s="30" t="s">
        <v>416</v>
      </c>
      <c r="G2426" s="33" t="str">
        <f t="shared" si="230"/>
        <v/>
      </c>
      <c r="H2426" s="34"/>
      <c r="I2426" s="30"/>
      <c r="J2426" s="152">
        <v>0</v>
      </c>
      <c r="L2426" s="215"/>
      <c r="M2426" s="30"/>
      <c r="N2426" s="33" t="str">
        <f t="shared" si="231"/>
        <v/>
      </c>
      <c r="O2426" s="34"/>
      <c r="P2426" s="36" t="str">
        <f t="shared" si="232"/>
        <v/>
      </c>
      <c r="Q2426" s="216" t="str">
        <f t="shared" si="233"/>
        <v/>
      </c>
      <c r="R2426" s="216" t="str">
        <f t="shared" si="234"/>
        <v/>
      </c>
      <c r="S2426" s="217" t="str">
        <f t="shared" si="235"/>
        <v/>
      </c>
    </row>
    <row r="2427" spans="1:19" ht="15.75" hidden="1" thickBot="1" x14ac:dyDescent="0.3">
      <c r="A2427" s="256" t="s">
        <v>1710</v>
      </c>
      <c r="B2427" s="259" t="str">
        <f>INDEX(Orçamentária!A:B,MATCH(Composições!A2427,Orçamentária!A:A,0),2)</f>
        <v>Puxador alça 102 mm</v>
      </c>
      <c r="C2427" s="40"/>
      <c r="D2427" s="25" t="s">
        <v>16</v>
      </c>
      <c r="E2427" s="26"/>
      <c r="F2427" s="41" t="s">
        <v>416</v>
      </c>
      <c r="G2427" s="27" t="str">
        <f t="shared" si="230"/>
        <v/>
      </c>
      <c r="H2427" s="28"/>
      <c r="I2427" s="29"/>
      <c r="J2427" s="152">
        <v>0</v>
      </c>
      <c r="L2427" s="218"/>
      <c r="M2427" s="41"/>
      <c r="N2427" s="27" t="str">
        <f t="shared" si="231"/>
        <v/>
      </c>
      <c r="O2427" s="28"/>
      <c r="P2427" s="36" t="str">
        <f t="shared" si="232"/>
        <v/>
      </c>
      <c r="Q2427" s="216" t="str">
        <f t="shared" si="233"/>
        <v/>
      </c>
      <c r="R2427" s="216" t="str">
        <f t="shared" si="234"/>
        <v/>
      </c>
      <c r="S2427" s="217" t="str">
        <f t="shared" si="235"/>
        <v/>
      </c>
    </row>
    <row r="2428" spans="1:19" ht="15.75" hidden="1" thickBot="1" x14ac:dyDescent="0.3">
      <c r="A2428" s="262"/>
      <c r="B2428" s="260"/>
      <c r="C2428" s="31"/>
      <c r="D2428" s="31"/>
      <c r="E2428" s="32"/>
      <c r="F2428" s="42" t="s">
        <v>416</v>
      </c>
      <c r="G2428" s="33" t="str">
        <f t="shared" si="230"/>
        <v/>
      </c>
      <c r="H2428" s="34"/>
      <c r="I2428" s="30"/>
      <c r="J2428" s="152">
        <v>0</v>
      </c>
      <c r="L2428" s="219"/>
      <c r="M2428" s="42"/>
      <c r="N2428" s="33" t="str">
        <f t="shared" si="231"/>
        <v/>
      </c>
      <c r="O2428" s="34"/>
      <c r="P2428" s="36" t="str">
        <f t="shared" si="232"/>
        <v/>
      </c>
      <c r="Q2428" s="216" t="str">
        <f t="shared" si="233"/>
        <v/>
      </c>
      <c r="R2428" s="216" t="str">
        <f t="shared" si="234"/>
        <v/>
      </c>
      <c r="S2428" s="217" t="str">
        <f t="shared" si="235"/>
        <v/>
      </c>
    </row>
    <row r="2429" spans="1:19" ht="39" hidden="1" thickBot="1" x14ac:dyDescent="0.3">
      <c r="A2429" s="262"/>
      <c r="B2429" s="260"/>
      <c r="C2429" s="35" t="s">
        <v>8344</v>
      </c>
      <c r="D2429" s="35" t="s">
        <v>213</v>
      </c>
      <c r="E2429" s="36">
        <v>1</v>
      </c>
      <c r="F2429" s="30">
        <v>19.170999999999999</v>
      </c>
      <c r="G2429" s="33">
        <f t="shared" ref="G2429:G2492" si="236">IF(ISNUMBER(F2429),E2429*F2429,"")</f>
        <v>19.170999999999999</v>
      </c>
      <c r="H2429" s="38">
        <f>SUM(G2429:G2429)</f>
        <v>19.170999999999999</v>
      </c>
      <c r="I2429" s="39"/>
      <c r="J2429" s="152">
        <v>0</v>
      </c>
      <c r="L2429" s="215">
        <v>1</v>
      </c>
      <c r="M2429" s="30">
        <v>16.410375999999999</v>
      </c>
      <c r="N2429" s="33">
        <f t="shared" ref="N2429:N2492" si="237">IF(ISNUMBER(M2429),L2429*M2429,"")</f>
        <v>16.410375999999999</v>
      </c>
      <c r="O2429" s="38">
        <f>SUM(N2429:N2429)</f>
        <v>16.410375999999999</v>
      </c>
      <c r="P2429" s="36" t="str">
        <f t="shared" si="232"/>
        <v/>
      </c>
      <c r="Q2429" s="216">
        <f t="shared" si="233"/>
        <v>0.14400000000000002</v>
      </c>
      <c r="R2429" s="216">
        <f t="shared" si="234"/>
        <v>0.14400000000000002</v>
      </c>
      <c r="S2429" s="217">
        <f t="shared" si="235"/>
        <v>0.14400000000000002</v>
      </c>
    </row>
    <row r="2430" spans="1:19" ht="15.75" hidden="1" thickBot="1" x14ac:dyDescent="0.3">
      <c r="A2430" s="263"/>
      <c r="B2430" s="261"/>
      <c r="C2430" s="35"/>
      <c r="D2430" s="35"/>
      <c r="E2430" s="36"/>
      <c r="F2430" s="30" t="s">
        <v>416</v>
      </c>
      <c r="G2430" s="33" t="str">
        <f t="shared" si="236"/>
        <v/>
      </c>
      <c r="H2430" s="34"/>
      <c r="I2430" s="30"/>
      <c r="J2430" s="152">
        <v>0</v>
      </c>
      <c r="L2430" s="215"/>
      <c r="M2430" s="30"/>
      <c r="N2430" s="33" t="str">
        <f t="shared" si="237"/>
        <v/>
      </c>
      <c r="O2430" s="34"/>
      <c r="P2430" s="36" t="str">
        <f t="shared" si="232"/>
        <v/>
      </c>
      <c r="Q2430" s="216" t="str">
        <f t="shared" si="233"/>
        <v/>
      </c>
      <c r="R2430" s="216" t="str">
        <f t="shared" si="234"/>
        <v/>
      </c>
      <c r="S2430" s="217" t="str">
        <f t="shared" si="235"/>
        <v/>
      </c>
    </row>
    <row r="2431" spans="1:19" ht="15.75" hidden="1" thickBot="1" x14ac:dyDescent="0.3">
      <c r="A2431" s="256" t="s">
        <v>620</v>
      </c>
      <c r="B2431" s="259" t="str">
        <f>INDEX(Orçamentária!A:B,MATCH(Composições!A2431,Orçamentária!A:A,0),2)</f>
        <v>Espuma Expansiva à base de poliuretano</v>
      </c>
      <c r="C2431" s="40"/>
      <c r="D2431" s="25" t="s">
        <v>1755</v>
      </c>
      <c r="E2431" s="26"/>
      <c r="F2431" s="41" t="s">
        <v>416</v>
      </c>
      <c r="G2431" s="27" t="str">
        <f t="shared" si="236"/>
        <v/>
      </c>
      <c r="H2431" s="28"/>
      <c r="I2431" s="29"/>
      <c r="J2431" s="152">
        <v>0</v>
      </c>
      <c r="L2431" s="218"/>
      <c r="M2431" s="41"/>
      <c r="N2431" s="27" t="str">
        <f t="shared" si="237"/>
        <v/>
      </c>
      <c r="O2431" s="28"/>
      <c r="P2431" s="36" t="str">
        <f t="shared" si="232"/>
        <v/>
      </c>
      <c r="Q2431" s="216" t="str">
        <f t="shared" si="233"/>
        <v/>
      </c>
      <c r="R2431" s="216" t="str">
        <f t="shared" si="234"/>
        <v/>
      </c>
      <c r="S2431" s="217" t="str">
        <f t="shared" si="235"/>
        <v/>
      </c>
    </row>
    <row r="2432" spans="1:19" ht="15.75" hidden="1" thickBot="1" x14ac:dyDescent="0.3">
      <c r="A2432" s="262"/>
      <c r="B2432" s="260"/>
      <c r="C2432" s="31"/>
      <c r="D2432" s="31"/>
      <c r="E2432" s="32"/>
      <c r="F2432" s="42" t="s">
        <v>416</v>
      </c>
      <c r="G2432" s="33" t="str">
        <f t="shared" si="236"/>
        <v/>
      </c>
      <c r="H2432" s="34"/>
      <c r="I2432" s="30"/>
      <c r="J2432" s="152">
        <v>0</v>
      </c>
      <c r="L2432" s="219"/>
      <c r="M2432" s="42"/>
      <c r="N2432" s="33" t="str">
        <f t="shared" si="237"/>
        <v/>
      </c>
      <c r="O2432" s="34"/>
      <c r="P2432" s="36" t="str">
        <f t="shared" si="232"/>
        <v/>
      </c>
      <c r="Q2432" s="216" t="str">
        <f t="shared" si="233"/>
        <v/>
      </c>
      <c r="R2432" s="216" t="str">
        <f t="shared" si="234"/>
        <v/>
      </c>
      <c r="S2432" s="217" t="str">
        <f t="shared" si="235"/>
        <v/>
      </c>
    </row>
    <row r="2433" spans="1:19" ht="26.25" hidden="1" thickBot="1" x14ac:dyDescent="0.3">
      <c r="A2433" s="262"/>
      <c r="B2433" s="260"/>
      <c r="C2433" s="35" t="s">
        <v>621</v>
      </c>
      <c r="D2433" s="35" t="s">
        <v>213</v>
      </c>
      <c r="E2433" s="36">
        <v>1</v>
      </c>
      <c r="F2433" s="30">
        <v>30.4</v>
      </c>
      <c r="G2433" s="33">
        <f t="shared" si="236"/>
        <v>30.4</v>
      </c>
      <c r="H2433" s="38">
        <f>SUM(G2433:G2433)</f>
        <v>30.4</v>
      </c>
      <c r="I2433" s="39"/>
      <c r="J2433" s="152">
        <v>0</v>
      </c>
      <c r="L2433" s="215">
        <v>1</v>
      </c>
      <c r="M2433" s="30">
        <v>26.022399999999998</v>
      </c>
      <c r="N2433" s="33">
        <f t="shared" si="237"/>
        <v>26.022399999999998</v>
      </c>
      <c r="O2433" s="38">
        <f>SUM(N2433:N2433)</f>
        <v>26.022399999999998</v>
      </c>
      <c r="P2433" s="36" t="str">
        <f t="shared" si="232"/>
        <v/>
      </c>
      <c r="Q2433" s="216">
        <f t="shared" si="233"/>
        <v>0.14400000000000002</v>
      </c>
      <c r="R2433" s="216">
        <f t="shared" si="234"/>
        <v>0.14400000000000002</v>
      </c>
      <c r="S2433" s="217">
        <f t="shared" si="235"/>
        <v>0.14400000000000002</v>
      </c>
    </row>
    <row r="2434" spans="1:19" ht="15.75" hidden="1" thickBot="1" x14ac:dyDescent="0.3">
      <c r="A2434" s="263"/>
      <c r="B2434" s="261"/>
      <c r="C2434" s="35"/>
      <c r="D2434" s="35"/>
      <c r="E2434" s="36"/>
      <c r="F2434" s="30" t="s">
        <v>416</v>
      </c>
      <c r="G2434" s="33" t="str">
        <f t="shared" si="236"/>
        <v/>
      </c>
      <c r="H2434" s="34"/>
      <c r="I2434" s="30"/>
      <c r="J2434" s="152">
        <v>0</v>
      </c>
      <c r="L2434" s="215"/>
      <c r="M2434" s="30"/>
      <c r="N2434" s="33" t="str">
        <f t="shared" si="237"/>
        <v/>
      </c>
      <c r="O2434" s="34"/>
      <c r="P2434" s="36" t="str">
        <f t="shared" si="232"/>
        <v/>
      </c>
      <c r="Q2434" s="216" t="str">
        <f t="shared" si="233"/>
        <v/>
      </c>
      <c r="R2434" s="216" t="str">
        <f t="shared" si="234"/>
        <v/>
      </c>
      <c r="S2434" s="217" t="str">
        <f t="shared" si="235"/>
        <v/>
      </c>
    </row>
    <row r="2435" spans="1:19" ht="15.75" hidden="1" thickBot="1" x14ac:dyDescent="0.3">
      <c r="A2435" s="256" t="s">
        <v>1756</v>
      </c>
      <c r="B2435" s="259" t="str">
        <f>INDEX(Orçamentária!A:B,MATCH(Composições!A2435,Orçamentária!A:A,0),2)</f>
        <v>Adesivo de Contato à Base d’água</v>
      </c>
      <c r="C2435" s="40"/>
      <c r="D2435" s="25" t="s">
        <v>28</v>
      </c>
      <c r="E2435" s="26"/>
      <c r="F2435" s="41" t="s">
        <v>416</v>
      </c>
      <c r="G2435" s="27" t="str">
        <f t="shared" si="236"/>
        <v/>
      </c>
      <c r="H2435" s="28"/>
      <c r="I2435" s="29"/>
      <c r="J2435" s="152">
        <v>0</v>
      </c>
      <c r="L2435" s="218"/>
      <c r="M2435" s="41"/>
      <c r="N2435" s="27" t="str">
        <f t="shared" si="237"/>
        <v/>
      </c>
      <c r="O2435" s="28"/>
      <c r="P2435" s="36" t="str">
        <f t="shared" si="232"/>
        <v/>
      </c>
      <c r="Q2435" s="216" t="str">
        <f t="shared" si="233"/>
        <v/>
      </c>
      <c r="R2435" s="216" t="str">
        <f t="shared" si="234"/>
        <v/>
      </c>
      <c r="S2435" s="217" t="str">
        <f t="shared" si="235"/>
        <v/>
      </c>
    </row>
    <row r="2436" spans="1:19" ht="15.75" hidden="1" thickBot="1" x14ac:dyDescent="0.3">
      <c r="A2436" s="262"/>
      <c r="B2436" s="260"/>
      <c r="C2436" s="31"/>
      <c r="D2436" s="31"/>
      <c r="E2436" s="32"/>
      <c r="F2436" s="42" t="s">
        <v>416</v>
      </c>
      <c r="G2436" s="33" t="str">
        <f t="shared" si="236"/>
        <v/>
      </c>
      <c r="H2436" s="34"/>
      <c r="I2436" s="30"/>
      <c r="J2436" s="152">
        <v>0</v>
      </c>
      <c r="L2436" s="219"/>
      <c r="M2436" s="42"/>
      <c r="N2436" s="33" t="str">
        <f t="shared" si="237"/>
        <v/>
      </c>
      <c r="O2436" s="34"/>
      <c r="P2436" s="36" t="str">
        <f t="shared" si="232"/>
        <v/>
      </c>
      <c r="Q2436" s="216" t="str">
        <f t="shared" si="233"/>
        <v/>
      </c>
      <c r="R2436" s="216" t="str">
        <f t="shared" si="234"/>
        <v/>
      </c>
      <c r="S2436" s="217" t="str">
        <f t="shared" si="235"/>
        <v/>
      </c>
    </row>
    <row r="2437" spans="1:19" ht="15.75" hidden="1" thickBot="1" x14ac:dyDescent="0.3">
      <c r="A2437" s="262"/>
      <c r="B2437" s="260"/>
      <c r="C2437" s="35" t="s">
        <v>7974</v>
      </c>
      <c r="D2437" s="35" t="s">
        <v>773</v>
      </c>
      <c r="E2437" s="36">
        <v>1</v>
      </c>
      <c r="F2437" s="30">
        <v>47.271999999999998</v>
      </c>
      <c r="G2437" s="33">
        <f t="shared" si="236"/>
        <v>47.271999999999998</v>
      </c>
      <c r="H2437" s="38">
        <f>SUM(G2437:G2437)</f>
        <v>47.271999999999998</v>
      </c>
      <c r="I2437" s="39"/>
      <c r="J2437" s="152">
        <v>0</v>
      </c>
      <c r="L2437" s="215">
        <v>1</v>
      </c>
      <c r="M2437" s="30">
        <v>40.464832000000001</v>
      </c>
      <c r="N2437" s="33">
        <f t="shared" si="237"/>
        <v>40.464832000000001</v>
      </c>
      <c r="O2437" s="38">
        <f>SUM(N2437:N2437)</f>
        <v>40.464832000000001</v>
      </c>
      <c r="P2437" s="36" t="str">
        <f t="shared" si="232"/>
        <v/>
      </c>
      <c r="Q2437" s="216">
        <f t="shared" si="233"/>
        <v>0.14399999999999991</v>
      </c>
      <c r="R2437" s="216">
        <f t="shared" si="234"/>
        <v>0.14399999999999991</v>
      </c>
      <c r="S2437" s="217">
        <f t="shared" si="235"/>
        <v>0.14399999999999991</v>
      </c>
    </row>
    <row r="2438" spans="1:19" ht="15.75" hidden="1" thickBot="1" x14ac:dyDescent="0.3">
      <c r="A2438" s="263"/>
      <c r="B2438" s="261"/>
      <c r="C2438" s="35"/>
      <c r="D2438" s="35"/>
      <c r="E2438" s="36"/>
      <c r="F2438" s="30" t="s">
        <v>416</v>
      </c>
      <c r="G2438" s="33" t="str">
        <f t="shared" si="236"/>
        <v/>
      </c>
      <c r="H2438" s="34"/>
      <c r="I2438" s="30"/>
      <c r="J2438" s="152">
        <v>0</v>
      </c>
      <c r="L2438" s="215"/>
      <c r="M2438" s="30"/>
      <c r="N2438" s="33" t="str">
        <f t="shared" si="237"/>
        <v/>
      </c>
      <c r="O2438" s="34"/>
      <c r="P2438" s="36" t="str">
        <f t="shared" si="232"/>
        <v/>
      </c>
      <c r="Q2438" s="216" t="str">
        <f t="shared" si="233"/>
        <v/>
      </c>
      <c r="R2438" s="216" t="str">
        <f t="shared" si="234"/>
        <v/>
      </c>
      <c r="S2438" s="217" t="str">
        <f t="shared" si="235"/>
        <v/>
      </c>
    </row>
    <row r="2439" spans="1:19" ht="15.75" hidden="1" thickBot="1" x14ac:dyDescent="0.3">
      <c r="A2439" s="256" t="s">
        <v>1760</v>
      </c>
      <c r="B2439" s="259" t="str">
        <f>INDEX(Orçamentária!A:B,MATCH(Composições!A2439,Orçamentária!A:A,0),2)</f>
        <v>Laminado fenólico melamínico texturizado - Azul Noturno</v>
      </c>
      <c r="C2439" s="40"/>
      <c r="D2439" s="25" t="s">
        <v>70</v>
      </c>
      <c r="E2439" s="26"/>
      <c r="F2439" s="41" t="s">
        <v>416</v>
      </c>
      <c r="G2439" s="27" t="str">
        <f t="shared" si="236"/>
        <v/>
      </c>
      <c r="H2439" s="28"/>
      <c r="I2439" s="29"/>
      <c r="J2439" s="152">
        <v>0</v>
      </c>
      <c r="L2439" s="218"/>
      <c r="M2439" s="41"/>
      <c r="N2439" s="27" t="str">
        <f t="shared" si="237"/>
        <v/>
      </c>
      <c r="O2439" s="28"/>
      <c r="P2439" s="36" t="str">
        <f t="shared" si="232"/>
        <v/>
      </c>
      <c r="Q2439" s="216" t="str">
        <f t="shared" si="233"/>
        <v/>
      </c>
      <c r="R2439" s="216" t="str">
        <f t="shared" si="234"/>
        <v/>
      </c>
      <c r="S2439" s="217" t="str">
        <f t="shared" si="235"/>
        <v/>
      </c>
    </row>
    <row r="2440" spans="1:19" ht="15.75" hidden="1" thickBot="1" x14ac:dyDescent="0.3">
      <c r="A2440" s="262"/>
      <c r="B2440" s="260"/>
      <c r="C2440" s="31"/>
      <c r="D2440" s="31"/>
      <c r="E2440" s="32"/>
      <c r="F2440" s="42" t="s">
        <v>416</v>
      </c>
      <c r="G2440" s="33" t="str">
        <f t="shared" si="236"/>
        <v/>
      </c>
      <c r="H2440" s="34"/>
      <c r="I2440" s="30"/>
      <c r="J2440" s="152">
        <v>0</v>
      </c>
      <c r="L2440" s="219"/>
      <c r="M2440" s="42"/>
      <c r="N2440" s="33" t="str">
        <f t="shared" si="237"/>
        <v/>
      </c>
      <c r="O2440" s="34"/>
      <c r="P2440" s="36" t="str">
        <f t="shared" ref="P2440:P2503" si="238">IF(ISBLANK(L2440),"",IF($E2440&lt;&gt;L2440,"SIM",""))</f>
        <v/>
      </c>
      <c r="Q2440" s="216" t="str">
        <f t="shared" ref="Q2440:Q2503" si="239">IF(M2440="","",1-M2440/$F2440)</f>
        <v/>
      </c>
      <c r="R2440" s="216" t="str">
        <f t="shared" ref="R2440:R2503" si="240">IF(N2440="","",1-N2440/$G2440)</f>
        <v/>
      </c>
      <c r="S2440" s="217" t="str">
        <f t="shared" ref="S2440:S2503" si="241">IF(O2440="","",1-O2440/$H2440)</f>
        <v/>
      </c>
    </row>
    <row r="2441" spans="1:19" ht="26.25" hidden="1" thickBot="1" x14ac:dyDescent="0.3">
      <c r="A2441" s="262"/>
      <c r="B2441" s="260"/>
      <c r="C2441" s="35" t="s">
        <v>2926</v>
      </c>
      <c r="D2441" s="35" t="s">
        <v>861</v>
      </c>
      <c r="E2441" s="36">
        <v>1</v>
      </c>
      <c r="F2441" s="30">
        <v>56.667499999999997</v>
      </c>
      <c r="G2441" s="33">
        <f t="shared" si="236"/>
        <v>56.667499999999997</v>
      </c>
      <c r="H2441" s="38">
        <f>SUM(G2441:G2441)</f>
        <v>56.667499999999997</v>
      </c>
      <c r="I2441" s="39"/>
      <c r="J2441" s="152">
        <v>0</v>
      </c>
      <c r="L2441" s="215">
        <v>1</v>
      </c>
      <c r="M2441" s="30">
        <v>48.507379999999998</v>
      </c>
      <c r="N2441" s="33">
        <f t="shared" si="237"/>
        <v>48.507379999999998</v>
      </c>
      <c r="O2441" s="38">
        <f>SUM(N2441:N2441)</f>
        <v>48.507379999999998</v>
      </c>
      <c r="P2441" s="36" t="str">
        <f t="shared" si="238"/>
        <v/>
      </c>
      <c r="Q2441" s="216">
        <f t="shared" si="239"/>
        <v>0.14400000000000002</v>
      </c>
      <c r="R2441" s="216">
        <f t="shared" si="240"/>
        <v>0.14400000000000002</v>
      </c>
      <c r="S2441" s="217">
        <f t="shared" si="241"/>
        <v>0.14400000000000002</v>
      </c>
    </row>
    <row r="2442" spans="1:19" ht="15.75" hidden="1" thickBot="1" x14ac:dyDescent="0.3">
      <c r="A2442" s="263"/>
      <c r="B2442" s="261"/>
      <c r="C2442" s="35"/>
      <c r="D2442" s="35"/>
      <c r="E2442" s="36"/>
      <c r="F2442" s="30" t="s">
        <v>416</v>
      </c>
      <c r="G2442" s="33" t="str">
        <f t="shared" si="236"/>
        <v/>
      </c>
      <c r="H2442" s="34"/>
      <c r="I2442" s="30"/>
      <c r="J2442" s="152">
        <v>0</v>
      </c>
      <c r="L2442" s="215"/>
      <c r="M2442" s="30"/>
      <c r="N2442" s="33" t="str">
        <f t="shared" si="237"/>
        <v/>
      </c>
      <c r="O2442" s="34"/>
      <c r="P2442" s="36" t="str">
        <f t="shared" si="238"/>
        <v/>
      </c>
      <c r="Q2442" s="216" t="str">
        <f t="shared" si="239"/>
        <v/>
      </c>
      <c r="R2442" s="216" t="str">
        <f t="shared" si="240"/>
        <v/>
      </c>
      <c r="S2442" s="217" t="str">
        <f t="shared" si="241"/>
        <v/>
      </c>
    </row>
    <row r="2443" spans="1:19" ht="15.75" hidden="1" thickBot="1" x14ac:dyDescent="0.3">
      <c r="A2443" s="256" t="s">
        <v>1762</v>
      </c>
      <c r="B2443" s="259" t="str">
        <f>INDEX(Orçamentária!A:B,MATCH(Composições!A2443,Orçamentária!A:A,0),2)</f>
        <v>Laminado fenólico melamínico texturizado - Branco</v>
      </c>
      <c r="C2443" s="40"/>
      <c r="D2443" s="25" t="s">
        <v>70</v>
      </c>
      <c r="E2443" s="26"/>
      <c r="F2443" s="41" t="s">
        <v>416</v>
      </c>
      <c r="G2443" s="27" t="str">
        <f t="shared" si="236"/>
        <v/>
      </c>
      <c r="H2443" s="28"/>
      <c r="I2443" s="29"/>
      <c r="J2443" s="152">
        <v>0</v>
      </c>
      <c r="L2443" s="218"/>
      <c r="M2443" s="41"/>
      <c r="N2443" s="27" t="str">
        <f t="shared" si="237"/>
        <v/>
      </c>
      <c r="O2443" s="28"/>
      <c r="P2443" s="36" t="str">
        <f t="shared" si="238"/>
        <v/>
      </c>
      <c r="Q2443" s="216" t="str">
        <f t="shared" si="239"/>
        <v/>
      </c>
      <c r="R2443" s="216" t="str">
        <f t="shared" si="240"/>
        <v/>
      </c>
      <c r="S2443" s="217" t="str">
        <f t="shared" si="241"/>
        <v/>
      </c>
    </row>
    <row r="2444" spans="1:19" ht="15.75" hidden="1" thickBot="1" x14ac:dyDescent="0.3">
      <c r="A2444" s="262"/>
      <c r="B2444" s="260"/>
      <c r="C2444" s="31"/>
      <c r="D2444" s="31"/>
      <c r="E2444" s="32"/>
      <c r="F2444" s="42" t="s">
        <v>416</v>
      </c>
      <c r="G2444" s="33" t="str">
        <f t="shared" si="236"/>
        <v/>
      </c>
      <c r="H2444" s="34"/>
      <c r="I2444" s="30"/>
      <c r="J2444" s="152">
        <v>0</v>
      </c>
      <c r="L2444" s="219"/>
      <c r="M2444" s="42"/>
      <c r="N2444" s="33" t="str">
        <f t="shared" si="237"/>
        <v/>
      </c>
      <c r="O2444" s="34"/>
      <c r="P2444" s="36" t="str">
        <f t="shared" si="238"/>
        <v/>
      </c>
      <c r="Q2444" s="216" t="str">
        <f t="shared" si="239"/>
        <v/>
      </c>
      <c r="R2444" s="216" t="str">
        <f t="shared" si="240"/>
        <v/>
      </c>
      <c r="S2444" s="217" t="str">
        <f t="shared" si="241"/>
        <v/>
      </c>
    </row>
    <row r="2445" spans="1:19" ht="26.25" hidden="1" thickBot="1" x14ac:dyDescent="0.3">
      <c r="A2445" s="262"/>
      <c r="B2445" s="260"/>
      <c r="C2445" s="35" t="s">
        <v>2926</v>
      </c>
      <c r="D2445" s="35" t="s">
        <v>861</v>
      </c>
      <c r="E2445" s="36">
        <v>1</v>
      </c>
      <c r="F2445" s="30">
        <v>56.667499999999997</v>
      </c>
      <c r="G2445" s="33">
        <f t="shared" si="236"/>
        <v>56.667499999999997</v>
      </c>
      <c r="H2445" s="38">
        <f>SUM(G2445:G2445)</f>
        <v>56.667499999999997</v>
      </c>
      <c r="I2445" s="39"/>
      <c r="J2445" s="152">
        <v>0</v>
      </c>
      <c r="L2445" s="215">
        <v>1</v>
      </c>
      <c r="M2445" s="30">
        <v>48.507379999999998</v>
      </c>
      <c r="N2445" s="33">
        <f t="shared" si="237"/>
        <v>48.507379999999998</v>
      </c>
      <c r="O2445" s="38">
        <f>SUM(N2445:N2445)</f>
        <v>48.507379999999998</v>
      </c>
      <c r="P2445" s="36" t="str">
        <f t="shared" si="238"/>
        <v/>
      </c>
      <c r="Q2445" s="216">
        <f t="shared" si="239"/>
        <v>0.14400000000000002</v>
      </c>
      <c r="R2445" s="216">
        <f t="shared" si="240"/>
        <v>0.14400000000000002</v>
      </c>
      <c r="S2445" s="217">
        <f t="shared" si="241"/>
        <v>0.14400000000000002</v>
      </c>
    </row>
    <row r="2446" spans="1:19" ht="15.75" hidden="1" thickBot="1" x14ac:dyDescent="0.3">
      <c r="A2446" s="263"/>
      <c r="B2446" s="261"/>
      <c r="C2446" s="35"/>
      <c r="D2446" s="35"/>
      <c r="E2446" s="36"/>
      <c r="F2446" s="30" t="s">
        <v>416</v>
      </c>
      <c r="G2446" s="33" t="str">
        <f t="shared" si="236"/>
        <v/>
      </c>
      <c r="H2446" s="34"/>
      <c r="I2446" s="30"/>
      <c r="J2446" s="152">
        <v>0</v>
      </c>
      <c r="L2446" s="215"/>
      <c r="M2446" s="30"/>
      <c r="N2446" s="33" t="str">
        <f t="shared" si="237"/>
        <v/>
      </c>
      <c r="O2446" s="34"/>
      <c r="P2446" s="36" t="str">
        <f t="shared" si="238"/>
        <v/>
      </c>
      <c r="Q2446" s="216" t="str">
        <f t="shared" si="239"/>
        <v/>
      </c>
      <c r="R2446" s="216" t="str">
        <f t="shared" si="240"/>
        <v/>
      </c>
      <c r="S2446" s="217" t="str">
        <f t="shared" si="241"/>
        <v/>
      </c>
    </row>
    <row r="2447" spans="1:19" ht="15.75" hidden="1" thickBot="1" x14ac:dyDescent="0.3">
      <c r="A2447" s="256" t="s">
        <v>1764</v>
      </c>
      <c r="B2447" s="259" t="str">
        <f>INDEX(Orçamentária!A:B,MATCH(Composições!A2447,Orçamentária!A:A,0),2)</f>
        <v>Laminado fenólico melamínico texturizado - Ovo</v>
      </c>
      <c r="C2447" s="40"/>
      <c r="D2447" s="25" t="s">
        <v>70</v>
      </c>
      <c r="E2447" s="26"/>
      <c r="F2447" s="41" t="s">
        <v>416</v>
      </c>
      <c r="G2447" s="27" t="str">
        <f t="shared" si="236"/>
        <v/>
      </c>
      <c r="H2447" s="28"/>
      <c r="I2447" s="29"/>
      <c r="J2447" s="152">
        <v>0</v>
      </c>
      <c r="L2447" s="218"/>
      <c r="M2447" s="41"/>
      <c r="N2447" s="27" t="str">
        <f t="shared" si="237"/>
        <v/>
      </c>
      <c r="O2447" s="28"/>
      <c r="P2447" s="36" t="str">
        <f t="shared" si="238"/>
        <v/>
      </c>
      <c r="Q2447" s="216" t="str">
        <f t="shared" si="239"/>
        <v/>
      </c>
      <c r="R2447" s="216" t="str">
        <f t="shared" si="240"/>
        <v/>
      </c>
      <c r="S2447" s="217" t="str">
        <f t="shared" si="241"/>
        <v/>
      </c>
    </row>
    <row r="2448" spans="1:19" ht="15.75" hidden="1" thickBot="1" x14ac:dyDescent="0.3">
      <c r="A2448" s="262"/>
      <c r="B2448" s="260"/>
      <c r="C2448" s="31"/>
      <c r="D2448" s="31"/>
      <c r="E2448" s="32"/>
      <c r="F2448" s="42" t="s">
        <v>416</v>
      </c>
      <c r="G2448" s="33" t="str">
        <f t="shared" si="236"/>
        <v/>
      </c>
      <c r="H2448" s="34"/>
      <c r="I2448" s="30"/>
      <c r="J2448" s="152">
        <v>0</v>
      </c>
      <c r="L2448" s="219"/>
      <c r="M2448" s="42"/>
      <c r="N2448" s="33" t="str">
        <f t="shared" si="237"/>
        <v/>
      </c>
      <c r="O2448" s="34"/>
      <c r="P2448" s="36" t="str">
        <f t="shared" si="238"/>
        <v/>
      </c>
      <c r="Q2448" s="216" t="str">
        <f t="shared" si="239"/>
        <v/>
      </c>
      <c r="R2448" s="216" t="str">
        <f t="shared" si="240"/>
        <v/>
      </c>
      <c r="S2448" s="217" t="str">
        <f t="shared" si="241"/>
        <v/>
      </c>
    </row>
    <row r="2449" spans="1:19" ht="26.25" hidden="1" thickBot="1" x14ac:dyDescent="0.3">
      <c r="A2449" s="262"/>
      <c r="B2449" s="260"/>
      <c r="C2449" s="35" t="s">
        <v>2926</v>
      </c>
      <c r="D2449" s="35" t="s">
        <v>861</v>
      </c>
      <c r="E2449" s="36">
        <v>1</v>
      </c>
      <c r="F2449" s="30">
        <v>56.667499999999997</v>
      </c>
      <c r="G2449" s="33">
        <f t="shared" si="236"/>
        <v>56.667499999999997</v>
      </c>
      <c r="H2449" s="38">
        <f>SUM(G2449:G2449)</f>
        <v>56.667499999999997</v>
      </c>
      <c r="I2449" s="39"/>
      <c r="J2449" s="152">
        <v>0</v>
      </c>
      <c r="L2449" s="215">
        <v>1</v>
      </c>
      <c r="M2449" s="30">
        <v>48.507379999999998</v>
      </c>
      <c r="N2449" s="33">
        <f t="shared" si="237"/>
        <v>48.507379999999998</v>
      </c>
      <c r="O2449" s="38">
        <f>SUM(N2449:N2449)</f>
        <v>48.507379999999998</v>
      </c>
      <c r="P2449" s="36" t="str">
        <f t="shared" si="238"/>
        <v/>
      </c>
      <c r="Q2449" s="216">
        <f t="shared" si="239"/>
        <v>0.14400000000000002</v>
      </c>
      <c r="R2449" s="216">
        <f t="shared" si="240"/>
        <v>0.14400000000000002</v>
      </c>
      <c r="S2449" s="217">
        <f t="shared" si="241"/>
        <v>0.14400000000000002</v>
      </c>
    </row>
    <row r="2450" spans="1:19" ht="15.75" hidden="1" thickBot="1" x14ac:dyDescent="0.3">
      <c r="A2450" s="263"/>
      <c r="B2450" s="261"/>
      <c r="C2450" s="35"/>
      <c r="D2450" s="35"/>
      <c r="E2450" s="36"/>
      <c r="F2450" s="30" t="s">
        <v>416</v>
      </c>
      <c r="G2450" s="33" t="str">
        <f t="shared" si="236"/>
        <v/>
      </c>
      <c r="H2450" s="34"/>
      <c r="I2450" s="30"/>
      <c r="J2450" s="152">
        <v>0</v>
      </c>
      <c r="L2450" s="215"/>
      <c r="M2450" s="30"/>
      <c r="N2450" s="33" t="str">
        <f t="shared" si="237"/>
        <v/>
      </c>
      <c r="O2450" s="34"/>
      <c r="P2450" s="36" t="str">
        <f t="shared" si="238"/>
        <v/>
      </c>
      <c r="Q2450" s="216" t="str">
        <f t="shared" si="239"/>
        <v/>
      </c>
      <c r="R2450" s="216" t="str">
        <f t="shared" si="240"/>
        <v/>
      </c>
      <c r="S2450" s="217" t="str">
        <f t="shared" si="241"/>
        <v/>
      </c>
    </row>
    <row r="2451" spans="1:19" ht="15.75" hidden="1" thickBot="1" x14ac:dyDescent="0.3">
      <c r="A2451" s="256" t="s">
        <v>1796</v>
      </c>
      <c r="B2451" s="259" t="str">
        <f>INDEX(Orçamentária!A:B,MATCH(Composições!A2451,Orçamentária!A:A,0),2)</f>
        <v>Tábua de Madeira bruta aparelhada - Pinus</v>
      </c>
      <c r="C2451" s="40"/>
      <c r="D2451" s="25" t="s">
        <v>80</v>
      </c>
      <c r="E2451" s="26"/>
      <c r="F2451" s="41" t="s">
        <v>416</v>
      </c>
      <c r="G2451" s="27" t="str">
        <f t="shared" si="236"/>
        <v/>
      </c>
      <c r="H2451" s="28"/>
      <c r="I2451" s="29"/>
      <c r="J2451" s="152">
        <v>0</v>
      </c>
      <c r="L2451" s="218"/>
      <c r="M2451" s="41"/>
      <c r="N2451" s="27" t="str">
        <f t="shared" si="237"/>
        <v/>
      </c>
      <c r="O2451" s="28"/>
      <c r="P2451" s="36" t="str">
        <f t="shared" si="238"/>
        <v/>
      </c>
      <c r="Q2451" s="216" t="str">
        <f t="shared" si="239"/>
        <v/>
      </c>
      <c r="R2451" s="216" t="str">
        <f t="shared" si="240"/>
        <v/>
      </c>
      <c r="S2451" s="217" t="str">
        <f t="shared" si="241"/>
        <v/>
      </c>
    </row>
    <row r="2452" spans="1:19" ht="15.75" hidden="1" thickBot="1" x14ac:dyDescent="0.3">
      <c r="A2452" s="262"/>
      <c r="B2452" s="260"/>
      <c r="C2452" s="31"/>
      <c r="D2452" s="31"/>
      <c r="E2452" s="32"/>
      <c r="F2452" s="42" t="s">
        <v>416</v>
      </c>
      <c r="G2452" s="33" t="str">
        <f t="shared" si="236"/>
        <v/>
      </c>
      <c r="H2452" s="34"/>
      <c r="I2452" s="30"/>
      <c r="J2452" s="152">
        <v>0</v>
      </c>
      <c r="L2452" s="219"/>
      <c r="M2452" s="42"/>
      <c r="N2452" s="33" t="str">
        <f t="shared" si="237"/>
        <v/>
      </c>
      <c r="O2452" s="34"/>
      <c r="P2452" s="36" t="str">
        <f t="shared" si="238"/>
        <v/>
      </c>
      <c r="Q2452" s="216" t="str">
        <f t="shared" si="239"/>
        <v/>
      </c>
      <c r="R2452" s="216" t="str">
        <f t="shared" si="240"/>
        <v/>
      </c>
      <c r="S2452" s="217" t="str">
        <f t="shared" si="241"/>
        <v/>
      </c>
    </row>
    <row r="2453" spans="1:19" ht="26.25" hidden="1" thickBot="1" x14ac:dyDescent="0.3">
      <c r="A2453" s="262"/>
      <c r="B2453" s="260"/>
      <c r="C2453" s="35" t="s">
        <v>3236</v>
      </c>
      <c r="D2453" s="35" t="s">
        <v>385</v>
      </c>
      <c r="E2453" s="36">
        <f>1/(0.025*0.3)</f>
        <v>133.33333333333334</v>
      </c>
      <c r="F2453" s="30">
        <v>13.585000000000001</v>
      </c>
      <c r="G2453" s="33">
        <f t="shared" si="236"/>
        <v>1811.3333333333335</v>
      </c>
      <c r="H2453" s="38">
        <f>SUM(G2453:G2453)</f>
        <v>1811.3333333333335</v>
      </c>
      <c r="I2453" s="39"/>
      <c r="J2453" s="152">
        <v>0</v>
      </c>
      <c r="L2453" s="215">
        <v>133.33333333333334</v>
      </c>
      <c r="M2453" s="30">
        <v>11.628760000000002</v>
      </c>
      <c r="N2453" s="33">
        <f t="shared" si="237"/>
        <v>1550.5013333333336</v>
      </c>
      <c r="O2453" s="38">
        <f>SUM(N2453:N2453)</f>
        <v>1550.5013333333336</v>
      </c>
      <c r="P2453" s="36" t="str">
        <f t="shared" si="238"/>
        <v/>
      </c>
      <c r="Q2453" s="216">
        <f t="shared" si="239"/>
        <v>0.14399999999999991</v>
      </c>
      <c r="R2453" s="216">
        <f t="shared" si="240"/>
        <v>0.14399999999999991</v>
      </c>
      <c r="S2453" s="217">
        <f t="shared" si="241"/>
        <v>0.14399999999999991</v>
      </c>
    </row>
    <row r="2454" spans="1:19" ht="15.75" hidden="1" thickBot="1" x14ac:dyDescent="0.3">
      <c r="A2454" s="263"/>
      <c r="B2454" s="261"/>
      <c r="C2454" s="35"/>
      <c r="D2454" s="35"/>
      <c r="E2454" s="36"/>
      <c r="F2454" s="30" t="s">
        <v>416</v>
      </c>
      <c r="G2454" s="33" t="str">
        <f t="shared" si="236"/>
        <v/>
      </c>
      <c r="H2454" s="34"/>
      <c r="I2454" s="30"/>
      <c r="J2454" s="152">
        <v>0</v>
      </c>
      <c r="L2454" s="215"/>
      <c r="M2454" s="30"/>
      <c r="N2454" s="33" t="str">
        <f t="shared" si="237"/>
        <v/>
      </c>
      <c r="O2454" s="34"/>
      <c r="P2454" s="36" t="str">
        <f t="shared" si="238"/>
        <v/>
      </c>
      <c r="Q2454" s="216" t="str">
        <f t="shared" si="239"/>
        <v/>
      </c>
      <c r="R2454" s="216" t="str">
        <f t="shared" si="240"/>
        <v/>
      </c>
      <c r="S2454" s="217" t="str">
        <f t="shared" si="241"/>
        <v/>
      </c>
    </row>
    <row r="2455" spans="1:19" ht="15.75" hidden="1" thickBot="1" x14ac:dyDescent="0.3">
      <c r="A2455" s="256" t="s">
        <v>1798</v>
      </c>
      <c r="B2455" s="259" t="str">
        <f>INDEX(Orçamentária!A:B,MATCH(Composições!A2455,Orçamentária!A:A,0),2)</f>
        <v>Sarrafo De Madeira</v>
      </c>
      <c r="C2455" s="40"/>
      <c r="D2455" s="25" t="s">
        <v>69</v>
      </c>
      <c r="E2455" s="26"/>
      <c r="F2455" s="41" t="s">
        <v>416</v>
      </c>
      <c r="G2455" s="27" t="str">
        <f t="shared" si="236"/>
        <v/>
      </c>
      <c r="H2455" s="28"/>
      <c r="I2455" s="29"/>
      <c r="J2455" s="152">
        <v>0</v>
      </c>
      <c r="L2455" s="218"/>
      <c r="M2455" s="41"/>
      <c r="N2455" s="27" t="str">
        <f t="shared" si="237"/>
        <v/>
      </c>
      <c r="O2455" s="28"/>
      <c r="P2455" s="36" t="str">
        <f t="shared" si="238"/>
        <v/>
      </c>
      <c r="Q2455" s="216" t="str">
        <f t="shared" si="239"/>
        <v/>
      </c>
      <c r="R2455" s="216" t="str">
        <f t="shared" si="240"/>
        <v/>
      </c>
      <c r="S2455" s="217" t="str">
        <f t="shared" si="241"/>
        <v/>
      </c>
    </row>
    <row r="2456" spans="1:19" ht="15.75" hidden="1" thickBot="1" x14ac:dyDescent="0.3">
      <c r="A2456" s="262"/>
      <c r="B2456" s="260"/>
      <c r="C2456" s="31"/>
      <c r="D2456" s="31"/>
      <c r="E2456" s="32"/>
      <c r="F2456" s="42" t="s">
        <v>416</v>
      </c>
      <c r="G2456" s="33" t="str">
        <f t="shared" si="236"/>
        <v/>
      </c>
      <c r="H2456" s="34"/>
      <c r="I2456" s="30"/>
      <c r="J2456" s="152">
        <v>0</v>
      </c>
      <c r="L2456" s="219"/>
      <c r="M2456" s="42"/>
      <c r="N2456" s="33" t="str">
        <f t="shared" si="237"/>
        <v/>
      </c>
      <c r="O2456" s="34"/>
      <c r="P2456" s="36" t="str">
        <f t="shared" si="238"/>
        <v/>
      </c>
      <c r="Q2456" s="216" t="str">
        <f t="shared" si="239"/>
        <v/>
      </c>
      <c r="R2456" s="216" t="str">
        <f t="shared" si="240"/>
        <v/>
      </c>
      <c r="S2456" s="217" t="str">
        <f t="shared" si="241"/>
        <v/>
      </c>
    </row>
    <row r="2457" spans="1:19" ht="26.25" hidden="1" thickBot="1" x14ac:dyDescent="0.3">
      <c r="A2457" s="262"/>
      <c r="B2457" s="260"/>
      <c r="C2457" s="35" t="s">
        <v>3234</v>
      </c>
      <c r="D2457" s="35" t="s">
        <v>385</v>
      </c>
      <c r="E2457" s="36">
        <v>1</v>
      </c>
      <c r="F2457" s="30">
        <v>4.1514999999999995</v>
      </c>
      <c r="G2457" s="33">
        <f t="shared" si="236"/>
        <v>4.1514999999999995</v>
      </c>
      <c r="H2457" s="38">
        <f>SUM(G2457:G2457)</f>
        <v>4.1514999999999995</v>
      </c>
      <c r="I2457" s="39"/>
      <c r="J2457" s="152">
        <v>0</v>
      </c>
      <c r="L2457" s="215">
        <v>1</v>
      </c>
      <c r="M2457" s="30">
        <v>3.5536839999999996</v>
      </c>
      <c r="N2457" s="33">
        <f t="shared" si="237"/>
        <v>3.5536839999999996</v>
      </c>
      <c r="O2457" s="38">
        <f>SUM(N2457:N2457)</f>
        <v>3.5536839999999996</v>
      </c>
      <c r="P2457" s="36" t="str">
        <f t="shared" si="238"/>
        <v/>
      </c>
      <c r="Q2457" s="216">
        <f t="shared" si="239"/>
        <v>0.14400000000000002</v>
      </c>
      <c r="R2457" s="216">
        <f t="shared" si="240"/>
        <v>0.14400000000000002</v>
      </c>
      <c r="S2457" s="217">
        <f t="shared" si="241"/>
        <v>0.14400000000000002</v>
      </c>
    </row>
    <row r="2458" spans="1:19" ht="15.75" hidden="1" thickBot="1" x14ac:dyDescent="0.3">
      <c r="A2458" s="263"/>
      <c r="B2458" s="261"/>
      <c r="C2458" s="35"/>
      <c r="D2458" s="35"/>
      <c r="E2458" s="36"/>
      <c r="F2458" s="30" t="s">
        <v>416</v>
      </c>
      <c r="G2458" s="33" t="str">
        <f t="shared" si="236"/>
        <v/>
      </c>
      <c r="H2458" s="34"/>
      <c r="I2458" s="30"/>
      <c r="J2458" s="152">
        <v>0</v>
      </c>
      <c r="L2458" s="215"/>
      <c r="M2458" s="30"/>
      <c r="N2458" s="33" t="str">
        <f t="shared" si="237"/>
        <v/>
      </c>
      <c r="O2458" s="34"/>
      <c r="P2458" s="36" t="str">
        <f t="shared" si="238"/>
        <v/>
      </c>
      <c r="Q2458" s="216" t="str">
        <f t="shared" si="239"/>
        <v/>
      </c>
      <c r="R2458" s="216" t="str">
        <f t="shared" si="240"/>
        <v/>
      </c>
      <c r="S2458" s="217" t="str">
        <f t="shared" si="241"/>
        <v/>
      </c>
    </row>
    <row r="2459" spans="1:19" ht="15.75" hidden="1" thickBot="1" x14ac:dyDescent="0.3">
      <c r="A2459" s="256" t="s">
        <v>1800</v>
      </c>
      <c r="B2459" s="259" t="str">
        <f>INDEX(Orçamentária!A:B,MATCH(Composições!A2459,Orçamentária!A:A,0),2)</f>
        <v>Caibro De Madeira</v>
      </c>
      <c r="C2459" s="40"/>
      <c r="D2459" s="25" t="s">
        <v>69</v>
      </c>
      <c r="E2459" s="26"/>
      <c r="F2459" s="41" t="s">
        <v>416</v>
      </c>
      <c r="G2459" s="27" t="str">
        <f t="shared" si="236"/>
        <v/>
      </c>
      <c r="H2459" s="28"/>
      <c r="I2459" s="29"/>
      <c r="J2459" s="152">
        <v>0</v>
      </c>
      <c r="L2459" s="218"/>
      <c r="M2459" s="41"/>
      <c r="N2459" s="27" t="str">
        <f t="shared" si="237"/>
        <v/>
      </c>
      <c r="O2459" s="28"/>
      <c r="P2459" s="36" t="str">
        <f t="shared" si="238"/>
        <v/>
      </c>
      <c r="Q2459" s="216" t="str">
        <f t="shared" si="239"/>
        <v/>
      </c>
      <c r="R2459" s="216" t="str">
        <f t="shared" si="240"/>
        <v/>
      </c>
      <c r="S2459" s="217" t="str">
        <f t="shared" si="241"/>
        <v/>
      </c>
    </row>
    <row r="2460" spans="1:19" ht="15.75" hidden="1" thickBot="1" x14ac:dyDescent="0.3">
      <c r="A2460" s="262"/>
      <c r="B2460" s="260"/>
      <c r="C2460" s="31"/>
      <c r="D2460" s="31"/>
      <c r="E2460" s="32"/>
      <c r="F2460" s="42" t="s">
        <v>416</v>
      </c>
      <c r="G2460" s="33" t="str">
        <f t="shared" si="236"/>
        <v/>
      </c>
      <c r="H2460" s="34"/>
      <c r="I2460" s="30"/>
      <c r="J2460" s="152">
        <v>0</v>
      </c>
      <c r="L2460" s="219"/>
      <c r="M2460" s="42"/>
      <c r="N2460" s="33" t="str">
        <f t="shared" si="237"/>
        <v/>
      </c>
      <c r="O2460" s="34"/>
      <c r="P2460" s="36" t="str">
        <f t="shared" si="238"/>
        <v/>
      </c>
      <c r="Q2460" s="216" t="str">
        <f t="shared" si="239"/>
        <v/>
      </c>
      <c r="R2460" s="216" t="str">
        <f t="shared" si="240"/>
        <v/>
      </c>
      <c r="S2460" s="217" t="str">
        <f t="shared" si="241"/>
        <v/>
      </c>
    </row>
    <row r="2461" spans="1:19" ht="26.25" hidden="1" thickBot="1" x14ac:dyDescent="0.3">
      <c r="A2461" s="262"/>
      <c r="B2461" s="260"/>
      <c r="C2461" s="35" t="s">
        <v>8031</v>
      </c>
      <c r="D2461" s="35" t="s">
        <v>385</v>
      </c>
      <c r="E2461" s="36">
        <v>1</v>
      </c>
      <c r="F2461" s="30">
        <v>5.7664999999999997</v>
      </c>
      <c r="G2461" s="33">
        <f t="shared" si="236"/>
        <v>5.7664999999999997</v>
      </c>
      <c r="H2461" s="38">
        <f>SUM(G2461:G2461)</f>
        <v>5.7664999999999997</v>
      </c>
      <c r="I2461" s="39"/>
      <c r="J2461" s="152">
        <v>0</v>
      </c>
      <c r="L2461" s="215">
        <v>1</v>
      </c>
      <c r="M2461" s="30">
        <v>4.9361239999999995</v>
      </c>
      <c r="N2461" s="33">
        <f t="shared" si="237"/>
        <v>4.9361239999999995</v>
      </c>
      <c r="O2461" s="38">
        <f>SUM(N2461:N2461)</f>
        <v>4.9361239999999995</v>
      </c>
      <c r="P2461" s="36" t="str">
        <f t="shared" si="238"/>
        <v/>
      </c>
      <c r="Q2461" s="216">
        <f t="shared" si="239"/>
        <v>0.14400000000000002</v>
      </c>
      <c r="R2461" s="216">
        <f t="shared" si="240"/>
        <v>0.14400000000000002</v>
      </c>
      <c r="S2461" s="217">
        <f t="shared" si="241"/>
        <v>0.14400000000000002</v>
      </c>
    </row>
    <row r="2462" spans="1:19" ht="15.75" hidden="1" thickBot="1" x14ac:dyDescent="0.3">
      <c r="A2462" s="263"/>
      <c r="B2462" s="261"/>
      <c r="C2462" s="35"/>
      <c r="D2462" s="35"/>
      <c r="E2462" s="36"/>
      <c r="F2462" s="30" t="s">
        <v>416</v>
      </c>
      <c r="G2462" s="33" t="str">
        <f t="shared" si="236"/>
        <v/>
      </c>
      <c r="H2462" s="34"/>
      <c r="I2462" s="30"/>
      <c r="J2462" s="152">
        <v>0</v>
      </c>
      <c r="L2462" s="215"/>
      <c r="M2462" s="30"/>
      <c r="N2462" s="33" t="str">
        <f t="shared" si="237"/>
        <v/>
      </c>
      <c r="O2462" s="34"/>
      <c r="P2462" s="36" t="str">
        <f t="shared" si="238"/>
        <v/>
      </c>
      <c r="Q2462" s="216" t="str">
        <f t="shared" si="239"/>
        <v/>
      </c>
      <c r="R2462" s="216" t="str">
        <f t="shared" si="240"/>
        <v/>
      </c>
      <c r="S2462" s="217" t="str">
        <f t="shared" si="241"/>
        <v/>
      </c>
    </row>
    <row r="2463" spans="1:19" ht="15.75" hidden="1" thickBot="1" x14ac:dyDescent="0.3">
      <c r="A2463" s="256" t="s">
        <v>1806</v>
      </c>
      <c r="B2463" s="259" t="str">
        <f>INDEX(Orçamentária!A:B,MATCH(Composições!A2463,Orçamentária!A:A,0),2)</f>
        <v>Painel de MDF Laminado – Branco - 06 mm</v>
      </c>
      <c r="C2463" s="40"/>
      <c r="D2463" s="25" t="s">
        <v>70</v>
      </c>
      <c r="E2463" s="26"/>
      <c r="F2463" s="41" t="s">
        <v>416</v>
      </c>
      <c r="G2463" s="27" t="str">
        <f t="shared" si="236"/>
        <v/>
      </c>
      <c r="H2463" s="28"/>
      <c r="I2463" s="29"/>
      <c r="J2463" s="152">
        <v>0</v>
      </c>
      <c r="L2463" s="218"/>
      <c r="M2463" s="41"/>
      <c r="N2463" s="27" t="str">
        <f t="shared" si="237"/>
        <v/>
      </c>
      <c r="O2463" s="28"/>
      <c r="P2463" s="36" t="str">
        <f t="shared" si="238"/>
        <v/>
      </c>
      <c r="Q2463" s="216" t="str">
        <f t="shared" si="239"/>
        <v/>
      </c>
      <c r="R2463" s="216" t="str">
        <f t="shared" si="240"/>
        <v/>
      </c>
      <c r="S2463" s="217" t="str">
        <f t="shared" si="241"/>
        <v/>
      </c>
    </row>
    <row r="2464" spans="1:19" ht="15.75" hidden="1" thickBot="1" x14ac:dyDescent="0.3">
      <c r="A2464" s="262"/>
      <c r="B2464" s="260"/>
      <c r="C2464" s="31"/>
      <c r="D2464" s="31"/>
      <c r="E2464" s="32"/>
      <c r="F2464" s="42" t="s">
        <v>416</v>
      </c>
      <c r="G2464" s="33" t="str">
        <f t="shared" si="236"/>
        <v/>
      </c>
      <c r="H2464" s="34"/>
      <c r="I2464" s="30"/>
      <c r="J2464" s="152">
        <v>0</v>
      </c>
      <c r="L2464" s="219"/>
      <c r="M2464" s="42"/>
      <c r="N2464" s="33" t="str">
        <f t="shared" si="237"/>
        <v/>
      </c>
      <c r="O2464" s="34"/>
      <c r="P2464" s="36" t="str">
        <f t="shared" si="238"/>
        <v/>
      </c>
      <c r="Q2464" s="216" t="str">
        <f t="shared" si="239"/>
        <v/>
      </c>
      <c r="R2464" s="216" t="str">
        <f t="shared" si="240"/>
        <v/>
      </c>
      <c r="S2464" s="217" t="str">
        <f t="shared" si="241"/>
        <v/>
      </c>
    </row>
    <row r="2465" spans="1:19" ht="15.75" hidden="1" thickBot="1" x14ac:dyDescent="0.3">
      <c r="A2465" s="262"/>
      <c r="B2465" s="260"/>
      <c r="C2465" s="35" t="s">
        <v>2927</v>
      </c>
      <c r="D2465" s="35" t="s">
        <v>861</v>
      </c>
      <c r="E2465" s="36">
        <v>1</v>
      </c>
      <c r="F2465" s="30">
        <v>28.956</v>
      </c>
      <c r="G2465" s="33">
        <f t="shared" si="236"/>
        <v>28.956</v>
      </c>
      <c r="H2465" s="38">
        <f>SUM(G2465:G2465)</f>
        <v>28.956</v>
      </c>
      <c r="I2465" s="39"/>
      <c r="J2465" s="152">
        <v>0</v>
      </c>
      <c r="L2465" s="215">
        <v>1</v>
      </c>
      <c r="M2465" s="30">
        <v>24.786335999999999</v>
      </c>
      <c r="N2465" s="33">
        <f t="shared" si="237"/>
        <v>24.786335999999999</v>
      </c>
      <c r="O2465" s="38">
        <f>SUM(N2465:N2465)</f>
        <v>24.786335999999999</v>
      </c>
      <c r="P2465" s="36" t="str">
        <f t="shared" si="238"/>
        <v/>
      </c>
      <c r="Q2465" s="216">
        <f t="shared" si="239"/>
        <v>0.14400000000000002</v>
      </c>
      <c r="R2465" s="216">
        <f t="shared" si="240"/>
        <v>0.14400000000000002</v>
      </c>
      <c r="S2465" s="217">
        <f t="shared" si="241"/>
        <v>0.14400000000000002</v>
      </c>
    </row>
    <row r="2466" spans="1:19" ht="15.75" hidden="1" thickBot="1" x14ac:dyDescent="0.3">
      <c r="A2466" s="263"/>
      <c r="B2466" s="261"/>
      <c r="C2466" s="35"/>
      <c r="D2466" s="35"/>
      <c r="E2466" s="36"/>
      <c r="F2466" s="30" t="s">
        <v>416</v>
      </c>
      <c r="G2466" s="33" t="str">
        <f t="shared" si="236"/>
        <v/>
      </c>
      <c r="H2466" s="34"/>
      <c r="I2466" s="30"/>
      <c r="J2466" s="152">
        <v>0</v>
      </c>
      <c r="L2466" s="215"/>
      <c r="M2466" s="30"/>
      <c r="N2466" s="33" t="str">
        <f t="shared" si="237"/>
        <v/>
      </c>
      <c r="O2466" s="34"/>
      <c r="P2466" s="36" t="str">
        <f t="shared" si="238"/>
        <v/>
      </c>
      <c r="Q2466" s="216" t="str">
        <f t="shared" si="239"/>
        <v/>
      </c>
      <c r="R2466" s="216" t="str">
        <f t="shared" si="240"/>
        <v/>
      </c>
      <c r="S2466" s="217" t="str">
        <f t="shared" si="241"/>
        <v/>
      </c>
    </row>
    <row r="2467" spans="1:19" ht="15.75" hidden="1" thickBot="1" x14ac:dyDescent="0.3">
      <c r="A2467" s="256" t="s">
        <v>1808</v>
      </c>
      <c r="B2467" s="259" t="str">
        <f>INDEX(Orçamentária!A:B,MATCH(Composições!A2467,Orçamentária!A:A,0),2)</f>
        <v>Painel de MDF Laminado - Branco - 15 mm</v>
      </c>
      <c r="C2467" s="40"/>
      <c r="D2467" s="25" t="s">
        <v>70</v>
      </c>
      <c r="E2467" s="26"/>
      <c r="F2467" s="41" t="s">
        <v>416</v>
      </c>
      <c r="G2467" s="27" t="str">
        <f t="shared" si="236"/>
        <v/>
      </c>
      <c r="H2467" s="28"/>
      <c r="I2467" s="29"/>
      <c r="J2467" s="152">
        <v>0</v>
      </c>
      <c r="L2467" s="218"/>
      <c r="M2467" s="41"/>
      <c r="N2467" s="27" t="str">
        <f t="shared" si="237"/>
        <v/>
      </c>
      <c r="O2467" s="28"/>
      <c r="P2467" s="36" t="str">
        <f t="shared" si="238"/>
        <v/>
      </c>
      <c r="Q2467" s="216" t="str">
        <f t="shared" si="239"/>
        <v/>
      </c>
      <c r="R2467" s="216" t="str">
        <f t="shared" si="240"/>
        <v/>
      </c>
      <c r="S2467" s="217" t="str">
        <f t="shared" si="241"/>
        <v/>
      </c>
    </row>
    <row r="2468" spans="1:19" ht="15.75" hidden="1" thickBot="1" x14ac:dyDescent="0.3">
      <c r="A2468" s="262"/>
      <c r="B2468" s="260"/>
      <c r="C2468" s="31"/>
      <c r="D2468" s="31"/>
      <c r="E2468" s="32"/>
      <c r="F2468" s="42" t="s">
        <v>416</v>
      </c>
      <c r="G2468" s="33" t="str">
        <f t="shared" si="236"/>
        <v/>
      </c>
      <c r="H2468" s="34"/>
      <c r="I2468" s="30"/>
      <c r="J2468" s="152">
        <v>0</v>
      </c>
      <c r="L2468" s="219"/>
      <c r="M2468" s="42"/>
      <c r="N2468" s="33" t="str">
        <f t="shared" si="237"/>
        <v/>
      </c>
      <c r="O2468" s="34"/>
      <c r="P2468" s="36" t="str">
        <f t="shared" si="238"/>
        <v/>
      </c>
      <c r="Q2468" s="216" t="str">
        <f t="shared" si="239"/>
        <v/>
      </c>
      <c r="R2468" s="216" t="str">
        <f t="shared" si="240"/>
        <v/>
      </c>
      <c r="S2468" s="217" t="str">
        <f t="shared" si="241"/>
        <v/>
      </c>
    </row>
    <row r="2469" spans="1:19" ht="26.25" hidden="1" thickBot="1" x14ac:dyDescent="0.3">
      <c r="A2469" s="262"/>
      <c r="B2469" s="260"/>
      <c r="C2469" s="35" t="s">
        <v>2928</v>
      </c>
      <c r="D2469" s="35" t="s">
        <v>861</v>
      </c>
      <c r="E2469" s="36">
        <v>1</v>
      </c>
      <c r="F2469" s="30">
        <v>45.438499999999998</v>
      </c>
      <c r="G2469" s="33">
        <f t="shared" si="236"/>
        <v>45.438499999999998</v>
      </c>
      <c r="H2469" s="38">
        <f>SUM(G2469:G2469)</f>
        <v>45.438499999999998</v>
      </c>
      <c r="I2469" s="39"/>
      <c r="J2469" s="152">
        <v>0</v>
      </c>
      <c r="L2469" s="215">
        <v>1</v>
      </c>
      <c r="M2469" s="30">
        <v>38.895356</v>
      </c>
      <c r="N2469" s="33">
        <f t="shared" si="237"/>
        <v>38.895356</v>
      </c>
      <c r="O2469" s="38">
        <f>SUM(N2469:N2469)</f>
        <v>38.895356</v>
      </c>
      <c r="P2469" s="36" t="str">
        <f t="shared" si="238"/>
        <v/>
      </c>
      <c r="Q2469" s="216">
        <f t="shared" si="239"/>
        <v>0.14400000000000002</v>
      </c>
      <c r="R2469" s="216">
        <f t="shared" si="240"/>
        <v>0.14400000000000002</v>
      </c>
      <c r="S2469" s="217">
        <f t="shared" si="241"/>
        <v>0.14400000000000002</v>
      </c>
    </row>
    <row r="2470" spans="1:19" ht="15.75" hidden="1" thickBot="1" x14ac:dyDescent="0.3">
      <c r="A2470" s="263"/>
      <c r="B2470" s="261"/>
      <c r="C2470" s="35"/>
      <c r="D2470" s="35"/>
      <c r="E2470" s="36"/>
      <c r="F2470" s="30" t="s">
        <v>416</v>
      </c>
      <c r="G2470" s="33" t="str">
        <f t="shared" si="236"/>
        <v/>
      </c>
      <c r="H2470" s="34"/>
      <c r="I2470" s="30"/>
      <c r="J2470" s="152">
        <v>0</v>
      </c>
      <c r="L2470" s="215"/>
      <c r="M2470" s="30"/>
      <c r="N2470" s="33" t="str">
        <f t="shared" si="237"/>
        <v/>
      </c>
      <c r="O2470" s="34"/>
      <c r="P2470" s="36" t="str">
        <f t="shared" si="238"/>
        <v/>
      </c>
      <c r="Q2470" s="216" t="str">
        <f t="shared" si="239"/>
        <v/>
      </c>
      <c r="R2470" s="216" t="str">
        <f t="shared" si="240"/>
        <v/>
      </c>
      <c r="S2470" s="217" t="str">
        <f t="shared" si="241"/>
        <v/>
      </c>
    </row>
    <row r="2471" spans="1:19" ht="15.75" hidden="1" thickBot="1" x14ac:dyDescent="0.3">
      <c r="A2471" s="256" t="s">
        <v>1810</v>
      </c>
      <c r="B2471" s="259" t="str">
        <f>INDEX(Orçamentária!A:B,MATCH(Composições!A2471,Orçamentária!A:A,0),2)</f>
        <v>Painel de MDF Laminado – Branco - 18 mm</v>
      </c>
      <c r="C2471" s="40"/>
      <c r="D2471" s="25" t="s">
        <v>70</v>
      </c>
      <c r="E2471" s="26"/>
      <c r="F2471" s="41" t="s">
        <v>416</v>
      </c>
      <c r="G2471" s="27" t="str">
        <f t="shared" si="236"/>
        <v/>
      </c>
      <c r="H2471" s="28"/>
      <c r="I2471" s="29"/>
      <c r="J2471" s="152">
        <v>0</v>
      </c>
      <c r="L2471" s="218"/>
      <c r="M2471" s="41"/>
      <c r="N2471" s="27" t="str">
        <f t="shared" si="237"/>
        <v/>
      </c>
      <c r="O2471" s="28"/>
      <c r="P2471" s="36" t="str">
        <f t="shared" si="238"/>
        <v/>
      </c>
      <c r="Q2471" s="216" t="str">
        <f t="shared" si="239"/>
        <v/>
      </c>
      <c r="R2471" s="216" t="str">
        <f t="shared" si="240"/>
        <v/>
      </c>
      <c r="S2471" s="217" t="str">
        <f t="shared" si="241"/>
        <v/>
      </c>
    </row>
    <row r="2472" spans="1:19" ht="15.75" hidden="1" thickBot="1" x14ac:dyDescent="0.3">
      <c r="A2472" s="262"/>
      <c r="B2472" s="260"/>
      <c r="C2472" s="31"/>
      <c r="D2472" s="31"/>
      <c r="E2472" s="32"/>
      <c r="F2472" s="42" t="s">
        <v>416</v>
      </c>
      <c r="G2472" s="33" t="str">
        <f t="shared" si="236"/>
        <v/>
      </c>
      <c r="H2472" s="34"/>
      <c r="I2472" s="30"/>
      <c r="J2472" s="152">
        <v>0</v>
      </c>
      <c r="L2472" s="219"/>
      <c r="M2472" s="42"/>
      <c r="N2472" s="33" t="str">
        <f t="shared" si="237"/>
        <v/>
      </c>
      <c r="O2472" s="34"/>
      <c r="P2472" s="36" t="str">
        <f t="shared" si="238"/>
        <v/>
      </c>
      <c r="Q2472" s="216" t="str">
        <f t="shared" si="239"/>
        <v/>
      </c>
      <c r="R2472" s="216" t="str">
        <f t="shared" si="240"/>
        <v/>
      </c>
      <c r="S2472" s="217" t="str">
        <f t="shared" si="241"/>
        <v/>
      </c>
    </row>
    <row r="2473" spans="1:19" ht="26.25" hidden="1" thickBot="1" x14ac:dyDescent="0.3">
      <c r="A2473" s="262"/>
      <c r="B2473" s="260"/>
      <c r="C2473" s="35" t="s">
        <v>2929</v>
      </c>
      <c r="D2473" s="35" t="s">
        <v>861</v>
      </c>
      <c r="E2473" s="36">
        <v>1</v>
      </c>
      <c r="F2473" s="30">
        <v>56.401499999999992</v>
      </c>
      <c r="G2473" s="33">
        <f t="shared" si="236"/>
        <v>56.401499999999992</v>
      </c>
      <c r="H2473" s="38">
        <f>SUM(G2473:G2473)</f>
        <v>56.401499999999992</v>
      </c>
      <c r="I2473" s="39"/>
      <c r="J2473" s="152">
        <v>0</v>
      </c>
      <c r="L2473" s="215">
        <v>1</v>
      </c>
      <c r="M2473" s="30">
        <v>48.279683999999989</v>
      </c>
      <c r="N2473" s="33">
        <f t="shared" si="237"/>
        <v>48.279683999999989</v>
      </c>
      <c r="O2473" s="38">
        <f>SUM(N2473:N2473)</f>
        <v>48.279683999999989</v>
      </c>
      <c r="P2473" s="36" t="str">
        <f t="shared" si="238"/>
        <v/>
      </c>
      <c r="Q2473" s="216">
        <f t="shared" si="239"/>
        <v>0.14400000000000002</v>
      </c>
      <c r="R2473" s="216">
        <f t="shared" si="240"/>
        <v>0.14400000000000002</v>
      </c>
      <c r="S2473" s="217">
        <f t="shared" si="241"/>
        <v>0.14400000000000002</v>
      </c>
    </row>
    <row r="2474" spans="1:19" ht="15.75" hidden="1" thickBot="1" x14ac:dyDescent="0.3">
      <c r="A2474" s="263"/>
      <c r="B2474" s="261"/>
      <c r="C2474" s="35"/>
      <c r="D2474" s="35"/>
      <c r="E2474" s="36"/>
      <c r="F2474" s="30" t="s">
        <v>416</v>
      </c>
      <c r="G2474" s="33" t="str">
        <f t="shared" si="236"/>
        <v/>
      </c>
      <c r="H2474" s="34"/>
      <c r="I2474" s="30"/>
      <c r="J2474" s="152">
        <v>0</v>
      </c>
      <c r="L2474" s="215"/>
      <c r="M2474" s="30"/>
      <c r="N2474" s="33" t="str">
        <f t="shared" si="237"/>
        <v/>
      </c>
      <c r="O2474" s="34"/>
      <c r="P2474" s="36" t="str">
        <f t="shared" si="238"/>
        <v/>
      </c>
      <c r="Q2474" s="216" t="str">
        <f t="shared" si="239"/>
        <v/>
      </c>
      <c r="R2474" s="216" t="str">
        <f t="shared" si="240"/>
        <v/>
      </c>
      <c r="S2474" s="217" t="str">
        <f t="shared" si="241"/>
        <v/>
      </c>
    </row>
    <row r="2475" spans="1:19" ht="15.75" hidden="1" thickBot="1" x14ac:dyDescent="0.3">
      <c r="A2475" s="256" t="s">
        <v>1812</v>
      </c>
      <c r="B2475" s="259" t="str">
        <f>INDEX(Orçamentária!A:B,MATCH(Composições!A2475,Orçamentária!A:A,0),2)</f>
        <v>Cantoneira laminada em aço abas iguais 1" x 3/16"</v>
      </c>
      <c r="C2475" s="40"/>
      <c r="D2475" s="25" t="s">
        <v>69</v>
      </c>
      <c r="E2475" s="26"/>
      <c r="F2475" s="41" t="s">
        <v>416</v>
      </c>
      <c r="G2475" s="27" t="str">
        <f t="shared" si="236"/>
        <v/>
      </c>
      <c r="H2475" s="28"/>
      <c r="I2475" s="29"/>
      <c r="J2475" s="152">
        <v>0</v>
      </c>
      <c r="L2475" s="218"/>
      <c r="M2475" s="41"/>
      <c r="N2475" s="27" t="str">
        <f t="shared" si="237"/>
        <v/>
      </c>
      <c r="O2475" s="28"/>
      <c r="P2475" s="36" t="str">
        <f t="shared" si="238"/>
        <v/>
      </c>
      <c r="Q2475" s="216" t="str">
        <f t="shared" si="239"/>
        <v/>
      </c>
      <c r="R2475" s="216" t="str">
        <f t="shared" si="240"/>
        <v/>
      </c>
      <c r="S2475" s="217" t="str">
        <f t="shared" si="241"/>
        <v/>
      </c>
    </row>
    <row r="2476" spans="1:19" ht="15.75" hidden="1" thickBot="1" x14ac:dyDescent="0.3">
      <c r="A2476" s="262"/>
      <c r="B2476" s="260"/>
      <c r="C2476" s="31"/>
      <c r="D2476" s="31"/>
      <c r="E2476" s="32"/>
      <c r="F2476" s="42" t="s">
        <v>416</v>
      </c>
      <c r="G2476" s="33" t="str">
        <f t="shared" si="236"/>
        <v/>
      </c>
      <c r="H2476" s="34"/>
      <c r="I2476" s="30"/>
      <c r="J2476" s="152">
        <v>0</v>
      </c>
      <c r="L2476" s="219"/>
      <c r="M2476" s="42"/>
      <c r="N2476" s="33" t="str">
        <f t="shared" si="237"/>
        <v/>
      </c>
      <c r="O2476" s="34"/>
      <c r="P2476" s="36" t="str">
        <f t="shared" si="238"/>
        <v/>
      </c>
      <c r="Q2476" s="216" t="str">
        <f t="shared" si="239"/>
        <v/>
      </c>
      <c r="R2476" s="216" t="str">
        <f t="shared" si="240"/>
        <v/>
      </c>
      <c r="S2476" s="217" t="str">
        <f t="shared" si="241"/>
        <v/>
      </c>
    </row>
    <row r="2477" spans="1:19" ht="26.25" hidden="1" thickBot="1" x14ac:dyDescent="0.3">
      <c r="A2477" s="262"/>
      <c r="B2477" s="260"/>
      <c r="C2477" s="35" t="s">
        <v>95</v>
      </c>
      <c r="D2477" s="35" t="s">
        <v>773</v>
      </c>
      <c r="E2477" s="36">
        <v>1.73</v>
      </c>
      <c r="F2477" s="30">
        <v>10.069999999999999</v>
      </c>
      <c r="G2477" s="33">
        <f t="shared" si="236"/>
        <v>17.421099999999996</v>
      </c>
      <c r="H2477" s="38">
        <f>SUM(G2477:G2477)</f>
        <v>17.421099999999996</v>
      </c>
      <c r="I2477" s="39"/>
      <c r="J2477" s="152">
        <v>0</v>
      </c>
      <c r="L2477" s="215">
        <v>1.73</v>
      </c>
      <c r="M2477" s="30">
        <v>8.6199199999999987</v>
      </c>
      <c r="N2477" s="33">
        <f t="shared" si="237"/>
        <v>14.912461599999997</v>
      </c>
      <c r="O2477" s="38">
        <f>SUM(N2477:N2477)</f>
        <v>14.912461599999997</v>
      </c>
      <c r="P2477" s="36" t="str">
        <f t="shared" si="238"/>
        <v/>
      </c>
      <c r="Q2477" s="216">
        <f t="shared" si="239"/>
        <v>0.14400000000000002</v>
      </c>
      <c r="R2477" s="216">
        <f t="shared" si="240"/>
        <v>0.14400000000000002</v>
      </c>
      <c r="S2477" s="217">
        <f t="shared" si="241"/>
        <v>0.14400000000000002</v>
      </c>
    </row>
    <row r="2478" spans="1:19" ht="15.75" hidden="1" thickBot="1" x14ac:dyDescent="0.3">
      <c r="A2478" s="263"/>
      <c r="B2478" s="261"/>
      <c r="C2478" s="35"/>
      <c r="D2478" s="35"/>
      <c r="E2478" s="36"/>
      <c r="F2478" s="30" t="s">
        <v>416</v>
      </c>
      <c r="G2478" s="33" t="str">
        <f t="shared" si="236"/>
        <v/>
      </c>
      <c r="H2478" s="34"/>
      <c r="I2478" s="30"/>
      <c r="J2478" s="152">
        <v>0</v>
      </c>
      <c r="L2478" s="215"/>
      <c r="M2478" s="30"/>
      <c r="N2478" s="33" t="str">
        <f t="shared" si="237"/>
        <v/>
      </c>
      <c r="O2478" s="34"/>
      <c r="P2478" s="36" t="str">
        <f t="shared" si="238"/>
        <v/>
      </c>
      <c r="Q2478" s="216" t="str">
        <f t="shared" si="239"/>
        <v/>
      </c>
      <c r="R2478" s="216" t="str">
        <f t="shared" si="240"/>
        <v/>
      </c>
      <c r="S2478" s="217" t="str">
        <f t="shared" si="241"/>
        <v/>
      </c>
    </row>
    <row r="2479" spans="1:19" ht="15.75" hidden="1" thickBot="1" x14ac:dyDescent="0.3">
      <c r="A2479" s="256" t="s">
        <v>1814</v>
      </c>
      <c r="B2479" s="259" t="str">
        <f>INDEX(Orçamentária!A:B,MATCH(Composições!A2479,Orçamentária!A:A,0),2)</f>
        <v>Cantoneira laminada em aço abas iguais 1"1/4 x 3/16"</v>
      </c>
      <c r="C2479" s="40"/>
      <c r="D2479" s="25" t="s">
        <v>69</v>
      </c>
      <c r="E2479" s="26"/>
      <c r="F2479" s="41" t="s">
        <v>416</v>
      </c>
      <c r="G2479" s="27" t="str">
        <f t="shared" si="236"/>
        <v/>
      </c>
      <c r="H2479" s="28"/>
      <c r="I2479" s="29"/>
      <c r="J2479" s="152">
        <v>0</v>
      </c>
      <c r="L2479" s="218"/>
      <c r="M2479" s="41"/>
      <c r="N2479" s="27" t="str">
        <f t="shared" si="237"/>
        <v/>
      </c>
      <c r="O2479" s="28"/>
      <c r="P2479" s="36" t="str">
        <f t="shared" si="238"/>
        <v/>
      </c>
      <c r="Q2479" s="216" t="str">
        <f t="shared" si="239"/>
        <v/>
      </c>
      <c r="R2479" s="216" t="str">
        <f t="shared" si="240"/>
        <v/>
      </c>
      <c r="S2479" s="217" t="str">
        <f t="shared" si="241"/>
        <v/>
      </c>
    </row>
    <row r="2480" spans="1:19" ht="15.75" hidden="1" thickBot="1" x14ac:dyDescent="0.3">
      <c r="A2480" s="262"/>
      <c r="B2480" s="260"/>
      <c r="C2480" s="31"/>
      <c r="D2480" s="31"/>
      <c r="E2480" s="32"/>
      <c r="F2480" s="42" t="s">
        <v>416</v>
      </c>
      <c r="G2480" s="33" t="str">
        <f t="shared" si="236"/>
        <v/>
      </c>
      <c r="H2480" s="34"/>
      <c r="I2480" s="30"/>
      <c r="J2480" s="152">
        <v>0</v>
      </c>
      <c r="L2480" s="219"/>
      <c r="M2480" s="42"/>
      <c r="N2480" s="33" t="str">
        <f t="shared" si="237"/>
        <v/>
      </c>
      <c r="O2480" s="34"/>
      <c r="P2480" s="36" t="str">
        <f t="shared" si="238"/>
        <v/>
      </c>
      <c r="Q2480" s="216" t="str">
        <f t="shared" si="239"/>
        <v/>
      </c>
      <c r="R2480" s="216" t="str">
        <f t="shared" si="240"/>
        <v/>
      </c>
      <c r="S2480" s="217" t="str">
        <f t="shared" si="241"/>
        <v/>
      </c>
    </row>
    <row r="2481" spans="1:19" ht="26.25" hidden="1" thickBot="1" x14ac:dyDescent="0.3">
      <c r="A2481" s="262"/>
      <c r="B2481" s="260"/>
      <c r="C2481" s="35" t="s">
        <v>95</v>
      </c>
      <c r="D2481" s="35" t="s">
        <v>773</v>
      </c>
      <c r="E2481" s="36">
        <v>2.2000000000000002</v>
      </c>
      <c r="F2481" s="30">
        <v>10.069999999999999</v>
      </c>
      <c r="G2481" s="33">
        <f t="shared" si="236"/>
        <v>22.154</v>
      </c>
      <c r="H2481" s="38">
        <f>SUM(G2481:G2481)</f>
        <v>22.154</v>
      </c>
      <c r="I2481" s="39"/>
      <c r="J2481" s="152">
        <v>0</v>
      </c>
      <c r="L2481" s="215">
        <v>2.2000000000000002</v>
      </c>
      <c r="M2481" s="30">
        <v>8.6199199999999987</v>
      </c>
      <c r="N2481" s="33">
        <f t="shared" si="237"/>
        <v>18.963823999999999</v>
      </c>
      <c r="O2481" s="38">
        <f>SUM(N2481:N2481)</f>
        <v>18.963823999999999</v>
      </c>
      <c r="P2481" s="36" t="str">
        <f t="shared" si="238"/>
        <v/>
      </c>
      <c r="Q2481" s="216">
        <f t="shared" si="239"/>
        <v>0.14400000000000002</v>
      </c>
      <c r="R2481" s="216">
        <f t="shared" si="240"/>
        <v>0.14400000000000002</v>
      </c>
      <c r="S2481" s="217">
        <f t="shared" si="241"/>
        <v>0.14400000000000002</v>
      </c>
    </row>
    <row r="2482" spans="1:19" ht="15.75" hidden="1" thickBot="1" x14ac:dyDescent="0.3">
      <c r="A2482" s="263"/>
      <c r="B2482" s="261"/>
      <c r="C2482" s="35"/>
      <c r="D2482" s="35"/>
      <c r="E2482" s="36"/>
      <c r="F2482" s="30" t="s">
        <v>416</v>
      </c>
      <c r="G2482" s="33" t="str">
        <f t="shared" si="236"/>
        <v/>
      </c>
      <c r="H2482" s="34"/>
      <c r="I2482" s="30"/>
      <c r="J2482" s="152">
        <v>0</v>
      </c>
      <c r="L2482" s="215"/>
      <c r="M2482" s="30"/>
      <c r="N2482" s="33" t="str">
        <f t="shared" si="237"/>
        <v/>
      </c>
      <c r="O2482" s="34"/>
      <c r="P2482" s="36" t="str">
        <f t="shared" si="238"/>
        <v/>
      </c>
      <c r="Q2482" s="216" t="str">
        <f t="shared" si="239"/>
        <v/>
      </c>
      <c r="R2482" s="216" t="str">
        <f t="shared" si="240"/>
        <v/>
      </c>
      <c r="S2482" s="217" t="str">
        <f t="shared" si="241"/>
        <v/>
      </c>
    </row>
    <row r="2483" spans="1:19" ht="15.75" hidden="1" thickBot="1" x14ac:dyDescent="0.3">
      <c r="A2483" s="256" t="s">
        <v>1816</v>
      </c>
      <c r="B2483" s="259" t="str">
        <f>INDEX(Orçamentária!A:B,MATCH(Composições!A2483,Orçamentária!A:A,0),2)</f>
        <v>Cantoneira laminada em aço abas iguais 2” x 1/8”</v>
      </c>
      <c r="C2483" s="40"/>
      <c r="D2483" s="25" t="s">
        <v>69</v>
      </c>
      <c r="E2483" s="26"/>
      <c r="F2483" s="41" t="s">
        <v>416</v>
      </c>
      <c r="G2483" s="27" t="str">
        <f t="shared" si="236"/>
        <v/>
      </c>
      <c r="H2483" s="28"/>
      <c r="I2483" s="29"/>
      <c r="J2483" s="152">
        <v>0</v>
      </c>
      <c r="L2483" s="218"/>
      <c r="M2483" s="41"/>
      <c r="N2483" s="27" t="str">
        <f t="shared" si="237"/>
        <v/>
      </c>
      <c r="O2483" s="28"/>
      <c r="P2483" s="36" t="str">
        <f t="shared" si="238"/>
        <v/>
      </c>
      <c r="Q2483" s="216" t="str">
        <f t="shared" si="239"/>
        <v/>
      </c>
      <c r="R2483" s="216" t="str">
        <f t="shared" si="240"/>
        <v/>
      </c>
      <c r="S2483" s="217" t="str">
        <f t="shared" si="241"/>
        <v/>
      </c>
    </row>
    <row r="2484" spans="1:19" ht="15.75" hidden="1" thickBot="1" x14ac:dyDescent="0.3">
      <c r="A2484" s="262"/>
      <c r="B2484" s="260"/>
      <c r="C2484" s="31"/>
      <c r="D2484" s="31"/>
      <c r="E2484" s="32"/>
      <c r="F2484" s="42" t="s">
        <v>416</v>
      </c>
      <c r="G2484" s="33" t="str">
        <f t="shared" si="236"/>
        <v/>
      </c>
      <c r="H2484" s="34"/>
      <c r="I2484" s="30"/>
      <c r="J2484" s="152">
        <v>0</v>
      </c>
      <c r="L2484" s="219"/>
      <c r="M2484" s="42"/>
      <c r="N2484" s="33" t="str">
        <f t="shared" si="237"/>
        <v/>
      </c>
      <c r="O2484" s="34"/>
      <c r="P2484" s="36" t="str">
        <f t="shared" si="238"/>
        <v/>
      </c>
      <c r="Q2484" s="216" t="str">
        <f t="shared" si="239"/>
        <v/>
      </c>
      <c r="R2484" s="216" t="str">
        <f t="shared" si="240"/>
        <v/>
      </c>
      <c r="S2484" s="217" t="str">
        <f t="shared" si="241"/>
        <v/>
      </c>
    </row>
    <row r="2485" spans="1:19" ht="26.25" hidden="1" thickBot="1" x14ac:dyDescent="0.3">
      <c r="A2485" s="262"/>
      <c r="B2485" s="260"/>
      <c r="C2485" s="35" t="s">
        <v>95</v>
      </c>
      <c r="D2485" s="35" t="s">
        <v>773</v>
      </c>
      <c r="E2485" s="36">
        <v>2.46</v>
      </c>
      <c r="F2485" s="30">
        <v>10.069999999999999</v>
      </c>
      <c r="G2485" s="33">
        <f t="shared" si="236"/>
        <v>24.772199999999994</v>
      </c>
      <c r="H2485" s="38">
        <f>SUM(G2485:G2485)</f>
        <v>24.772199999999994</v>
      </c>
      <c r="I2485" s="39"/>
      <c r="J2485" s="152">
        <v>0</v>
      </c>
      <c r="L2485" s="215">
        <v>2.46</v>
      </c>
      <c r="M2485" s="30">
        <v>8.6199199999999987</v>
      </c>
      <c r="N2485" s="33">
        <f t="shared" si="237"/>
        <v>21.205003199999997</v>
      </c>
      <c r="O2485" s="38">
        <f>SUM(N2485:N2485)</f>
        <v>21.205003199999997</v>
      </c>
      <c r="P2485" s="36" t="str">
        <f t="shared" si="238"/>
        <v/>
      </c>
      <c r="Q2485" s="216">
        <f t="shared" si="239"/>
        <v>0.14400000000000002</v>
      </c>
      <c r="R2485" s="216">
        <f t="shared" si="240"/>
        <v>0.14399999999999991</v>
      </c>
      <c r="S2485" s="217">
        <f t="shared" si="241"/>
        <v>0.14399999999999991</v>
      </c>
    </row>
    <row r="2486" spans="1:19" ht="15.75" hidden="1" thickBot="1" x14ac:dyDescent="0.3">
      <c r="A2486" s="263"/>
      <c r="B2486" s="261"/>
      <c r="C2486" s="35"/>
      <c r="D2486" s="35"/>
      <c r="E2486" s="36"/>
      <c r="F2486" s="30" t="s">
        <v>416</v>
      </c>
      <c r="G2486" s="33" t="str">
        <f t="shared" si="236"/>
        <v/>
      </c>
      <c r="H2486" s="34"/>
      <c r="I2486" s="30"/>
      <c r="J2486" s="152">
        <v>0</v>
      </c>
      <c r="L2486" s="215"/>
      <c r="M2486" s="30"/>
      <c r="N2486" s="33" t="str">
        <f t="shared" si="237"/>
        <v/>
      </c>
      <c r="O2486" s="34"/>
      <c r="P2486" s="36" t="str">
        <f t="shared" si="238"/>
        <v/>
      </c>
      <c r="Q2486" s="216" t="str">
        <f t="shared" si="239"/>
        <v/>
      </c>
      <c r="R2486" s="216" t="str">
        <f t="shared" si="240"/>
        <v/>
      </c>
      <c r="S2486" s="217" t="str">
        <f t="shared" si="241"/>
        <v/>
      </c>
    </row>
    <row r="2487" spans="1:19" ht="15.75" hidden="1" thickBot="1" x14ac:dyDescent="0.3">
      <c r="A2487" s="256" t="s">
        <v>1818</v>
      </c>
      <c r="B2487" s="259" t="str">
        <f>INDEX(Orçamentária!A:B,MATCH(Composições!A2487,Orçamentária!A:A,0),2)</f>
        <v>Cantoneira laminada em aço abas Iguais 2” x 3/16”</v>
      </c>
      <c r="C2487" s="40"/>
      <c r="D2487" s="25" t="s">
        <v>69</v>
      </c>
      <c r="E2487" s="26"/>
      <c r="F2487" s="41" t="s">
        <v>416</v>
      </c>
      <c r="G2487" s="27" t="str">
        <f t="shared" si="236"/>
        <v/>
      </c>
      <c r="H2487" s="28"/>
      <c r="I2487" s="29"/>
      <c r="J2487" s="152">
        <v>0</v>
      </c>
      <c r="L2487" s="218"/>
      <c r="M2487" s="41"/>
      <c r="N2487" s="27" t="str">
        <f t="shared" si="237"/>
        <v/>
      </c>
      <c r="O2487" s="28"/>
      <c r="P2487" s="36" t="str">
        <f t="shared" si="238"/>
        <v/>
      </c>
      <c r="Q2487" s="216" t="str">
        <f t="shared" si="239"/>
        <v/>
      </c>
      <c r="R2487" s="216" t="str">
        <f t="shared" si="240"/>
        <v/>
      </c>
      <c r="S2487" s="217" t="str">
        <f t="shared" si="241"/>
        <v/>
      </c>
    </row>
    <row r="2488" spans="1:19" ht="15.75" hidden="1" thickBot="1" x14ac:dyDescent="0.3">
      <c r="A2488" s="262"/>
      <c r="B2488" s="260"/>
      <c r="C2488" s="31"/>
      <c r="D2488" s="31"/>
      <c r="E2488" s="32"/>
      <c r="F2488" s="42" t="s">
        <v>416</v>
      </c>
      <c r="G2488" s="33" t="str">
        <f t="shared" si="236"/>
        <v/>
      </c>
      <c r="H2488" s="34"/>
      <c r="I2488" s="30"/>
      <c r="J2488" s="152">
        <v>0</v>
      </c>
      <c r="L2488" s="219"/>
      <c r="M2488" s="42"/>
      <c r="N2488" s="33" t="str">
        <f t="shared" si="237"/>
        <v/>
      </c>
      <c r="O2488" s="34"/>
      <c r="P2488" s="36" t="str">
        <f t="shared" si="238"/>
        <v/>
      </c>
      <c r="Q2488" s="216" t="str">
        <f t="shared" si="239"/>
        <v/>
      </c>
      <c r="R2488" s="216" t="str">
        <f t="shared" si="240"/>
        <v/>
      </c>
      <c r="S2488" s="217" t="str">
        <f t="shared" si="241"/>
        <v/>
      </c>
    </row>
    <row r="2489" spans="1:19" ht="26.25" hidden="1" thickBot="1" x14ac:dyDescent="0.3">
      <c r="A2489" s="262"/>
      <c r="B2489" s="260"/>
      <c r="C2489" s="35" t="s">
        <v>95</v>
      </c>
      <c r="D2489" s="35" t="s">
        <v>773</v>
      </c>
      <c r="E2489" s="36">
        <v>3.63</v>
      </c>
      <c r="F2489" s="30">
        <v>10.069999999999999</v>
      </c>
      <c r="G2489" s="33">
        <f t="shared" si="236"/>
        <v>36.554099999999991</v>
      </c>
      <c r="H2489" s="38">
        <f>SUM(G2489:G2489)</f>
        <v>36.554099999999991</v>
      </c>
      <c r="I2489" s="39"/>
      <c r="J2489" s="152">
        <v>0</v>
      </c>
      <c r="L2489" s="215">
        <v>3.63</v>
      </c>
      <c r="M2489" s="30">
        <v>8.6199199999999987</v>
      </c>
      <c r="N2489" s="33">
        <f t="shared" si="237"/>
        <v>31.290309599999993</v>
      </c>
      <c r="O2489" s="38">
        <f>SUM(N2489:N2489)</f>
        <v>31.290309599999993</v>
      </c>
      <c r="P2489" s="36" t="str">
        <f t="shared" si="238"/>
        <v/>
      </c>
      <c r="Q2489" s="216">
        <f t="shared" si="239"/>
        <v>0.14400000000000002</v>
      </c>
      <c r="R2489" s="216">
        <f t="shared" si="240"/>
        <v>0.14400000000000002</v>
      </c>
      <c r="S2489" s="217">
        <f t="shared" si="241"/>
        <v>0.14400000000000002</v>
      </c>
    </row>
    <row r="2490" spans="1:19" ht="15.75" hidden="1" thickBot="1" x14ac:dyDescent="0.3">
      <c r="A2490" s="263"/>
      <c r="B2490" s="261"/>
      <c r="C2490" s="35"/>
      <c r="D2490" s="35"/>
      <c r="E2490" s="36"/>
      <c r="F2490" s="30" t="s">
        <v>416</v>
      </c>
      <c r="G2490" s="33" t="str">
        <f t="shared" si="236"/>
        <v/>
      </c>
      <c r="H2490" s="34"/>
      <c r="I2490" s="30"/>
      <c r="J2490" s="152">
        <v>0</v>
      </c>
      <c r="L2490" s="215"/>
      <c r="M2490" s="30"/>
      <c r="N2490" s="33" t="str">
        <f t="shared" si="237"/>
        <v/>
      </c>
      <c r="O2490" s="34"/>
      <c r="P2490" s="36" t="str">
        <f t="shared" si="238"/>
        <v/>
      </c>
      <c r="Q2490" s="216" t="str">
        <f t="shared" si="239"/>
        <v/>
      </c>
      <c r="R2490" s="216" t="str">
        <f t="shared" si="240"/>
        <v/>
      </c>
      <c r="S2490" s="217" t="str">
        <f t="shared" si="241"/>
        <v/>
      </c>
    </row>
    <row r="2491" spans="1:19" ht="15.75" hidden="1" thickBot="1" x14ac:dyDescent="0.3">
      <c r="A2491" s="256" t="s">
        <v>1820</v>
      </c>
      <c r="B2491" s="259" t="str">
        <f>INDEX(Orçamentária!A:B,MATCH(Composições!A2491,Orçamentária!A:A,0),2)</f>
        <v>Cantoneira laminada em aço abas Iguais 5/8” x 1/8”</v>
      </c>
      <c r="C2491" s="40"/>
      <c r="D2491" s="25" t="s">
        <v>69</v>
      </c>
      <c r="E2491" s="26"/>
      <c r="F2491" s="41" t="s">
        <v>416</v>
      </c>
      <c r="G2491" s="27" t="str">
        <f t="shared" si="236"/>
        <v/>
      </c>
      <c r="H2491" s="28"/>
      <c r="I2491" s="29"/>
      <c r="J2491" s="152">
        <v>0</v>
      </c>
      <c r="L2491" s="218"/>
      <c r="M2491" s="41"/>
      <c r="N2491" s="27" t="str">
        <f t="shared" si="237"/>
        <v/>
      </c>
      <c r="O2491" s="28"/>
      <c r="P2491" s="36" t="str">
        <f t="shared" si="238"/>
        <v/>
      </c>
      <c r="Q2491" s="216" t="str">
        <f t="shared" si="239"/>
        <v/>
      </c>
      <c r="R2491" s="216" t="str">
        <f t="shared" si="240"/>
        <v/>
      </c>
      <c r="S2491" s="217" t="str">
        <f t="shared" si="241"/>
        <v/>
      </c>
    </row>
    <row r="2492" spans="1:19" ht="15.75" hidden="1" thickBot="1" x14ac:dyDescent="0.3">
      <c r="A2492" s="262"/>
      <c r="B2492" s="260"/>
      <c r="C2492" s="31"/>
      <c r="D2492" s="31"/>
      <c r="E2492" s="32"/>
      <c r="F2492" s="42" t="s">
        <v>416</v>
      </c>
      <c r="G2492" s="33" t="str">
        <f t="shared" si="236"/>
        <v/>
      </c>
      <c r="H2492" s="34"/>
      <c r="I2492" s="30"/>
      <c r="J2492" s="152">
        <v>0</v>
      </c>
      <c r="L2492" s="219"/>
      <c r="M2492" s="42"/>
      <c r="N2492" s="33" t="str">
        <f t="shared" si="237"/>
        <v/>
      </c>
      <c r="O2492" s="34"/>
      <c r="P2492" s="36" t="str">
        <f t="shared" si="238"/>
        <v/>
      </c>
      <c r="Q2492" s="216" t="str">
        <f t="shared" si="239"/>
        <v/>
      </c>
      <c r="R2492" s="216" t="str">
        <f t="shared" si="240"/>
        <v/>
      </c>
      <c r="S2492" s="217" t="str">
        <f t="shared" si="241"/>
        <v/>
      </c>
    </row>
    <row r="2493" spans="1:19" ht="26.25" hidden="1" thickBot="1" x14ac:dyDescent="0.3">
      <c r="A2493" s="262"/>
      <c r="B2493" s="260"/>
      <c r="C2493" s="35" t="s">
        <v>95</v>
      </c>
      <c r="D2493" s="35" t="s">
        <v>773</v>
      </c>
      <c r="E2493" s="36">
        <v>0.71</v>
      </c>
      <c r="F2493" s="30">
        <v>10.069999999999999</v>
      </c>
      <c r="G2493" s="33">
        <f t="shared" ref="G2493:G2556" si="242">IF(ISNUMBER(F2493),E2493*F2493,"")</f>
        <v>7.1496999999999984</v>
      </c>
      <c r="H2493" s="38">
        <f>SUM(G2493:G2493)</f>
        <v>7.1496999999999984</v>
      </c>
      <c r="I2493" s="39"/>
      <c r="J2493" s="152">
        <v>0</v>
      </c>
      <c r="L2493" s="215">
        <v>0.71</v>
      </c>
      <c r="M2493" s="30">
        <v>8.6199199999999987</v>
      </c>
      <c r="N2493" s="33">
        <f t="shared" ref="N2493:N2556" si="243">IF(ISNUMBER(M2493),L2493*M2493,"")</f>
        <v>6.1201431999999985</v>
      </c>
      <c r="O2493" s="38">
        <f>SUM(N2493:N2493)</f>
        <v>6.1201431999999985</v>
      </c>
      <c r="P2493" s="36" t="str">
        <f t="shared" si="238"/>
        <v/>
      </c>
      <c r="Q2493" s="216">
        <f t="shared" si="239"/>
        <v>0.14400000000000002</v>
      </c>
      <c r="R2493" s="216">
        <f t="shared" si="240"/>
        <v>0.14400000000000002</v>
      </c>
      <c r="S2493" s="217">
        <f t="shared" si="241"/>
        <v>0.14400000000000002</v>
      </c>
    </row>
    <row r="2494" spans="1:19" ht="15.75" hidden="1" thickBot="1" x14ac:dyDescent="0.3">
      <c r="A2494" s="263"/>
      <c r="B2494" s="261"/>
      <c r="C2494" s="35"/>
      <c r="D2494" s="35"/>
      <c r="E2494" s="36"/>
      <c r="F2494" s="30" t="s">
        <v>416</v>
      </c>
      <c r="G2494" s="33" t="str">
        <f t="shared" si="242"/>
        <v/>
      </c>
      <c r="H2494" s="34"/>
      <c r="I2494" s="30"/>
      <c r="J2494" s="152">
        <v>0</v>
      </c>
      <c r="L2494" s="215"/>
      <c r="M2494" s="30"/>
      <c r="N2494" s="33" t="str">
        <f t="shared" si="243"/>
        <v/>
      </c>
      <c r="O2494" s="34"/>
      <c r="P2494" s="36" t="str">
        <f t="shared" si="238"/>
        <v/>
      </c>
      <c r="Q2494" s="216" t="str">
        <f t="shared" si="239"/>
        <v/>
      </c>
      <c r="R2494" s="216" t="str">
        <f t="shared" si="240"/>
        <v/>
      </c>
      <c r="S2494" s="217" t="str">
        <f t="shared" si="241"/>
        <v/>
      </c>
    </row>
    <row r="2495" spans="1:19" ht="15.75" hidden="1" thickBot="1" x14ac:dyDescent="0.3">
      <c r="A2495" s="256" t="s">
        <v>1822</v>
      </c>
      <c r="B2495" s="259" t="str">
        <f>INDEX(Orçamentária!A:B,MATCH(Composições!A2495,Orçamentária!A:A,0),2)</f>
        <v>Chapa aço galvanizado # 16 (kg)</v>
      </c>
      <c r="C2495" s="40"/>
      <c r="D2495" s="25" t="s">
        <v>28</v>
      </c>
      <c r="E2495" s="26"/>
      <c r="F2495" s="41" t="s">
        <v>416</v>
      </c>
      <c r="G2495" s="27" t="str">
        <f t="shared" si="242"/>
        <v/>
      </c>
      <c r="H2495" s="28"/>
      <c r="I2495" s="29"/>
      <c r="J2495" s="152">
        <v>0</v>
      </c>
      <c r="L2495" s="218"/>
      <c r="M2495" s="41"/>
      <c r="N2495" s="27" t="str">
        <f t="shared" si="243"/>
        <v/>
      </c>
      <c r="O2495" s="28"/>
      <c r="P2495" s="36" t="str">
        <f t="shared" si="238"/>
        <v/>
      </c>
      <c r="Q2495" s="216" t="str">
        <f t="shared" si="239"/>
        <v/>
      </c>
      <c r="R2495" s="216" t="str">
        <f t="shared" si="240"/>
        <v/>
      </c>
      <c r="S2495" s="217" t="str">
        <f t="shared" si="241"/>
        <v/>
      </c>
    </row>
    <row r="2496" spans="1:19" ht="15.75" hidden="1" thickBot="1" x14ac:dyDescent="0.3">
      <c r="A2496" s="262"/>
      <c r="B2496" s="260"/>
      <c r="C2496" s="31"/>
      <c r="D2496" s="31"/>
      <c r="E2496" s="32"/>
      <c r="F2496" s="42" t="s">
        <v>416</v>
      </c>
      <c r="G2496" s="33" t="str">
        <f t="shared" si="242"/>
        <v/>
      </c>
      <c r="H2496" s="34"/>
      <c r="I2496" s="30"/>
      <c r="J2496" s="152">
        <v>0</v>
      </c>
      <c r="L2496" s="219"/>
      <c r="M2496" s="42"/>
      <c r="N2496" s="33" t="str">
        <f t="shared" si="243"/>
        <v/>
      </c>
      <c r="O2496" s="34"/>
      <c r="P2496" s="36" t="str">
        <f t="shared" si="238"/>
        <v/>
      </c>
      <c r="Q2496" s="216" t="str">
        <f t="shared" si="239"/>
        <v/>
      </c>
      <c r="R2496" s="216" t="str">
        <f t="shared" si="240"/>
        <v/>
      </c>
      <c r="S2496" s="217" t="str">
        <f t="shared" si="241"/>
        <v/>
      </c>
    </row>
    <row r="2497" spans="1:19" ht="26.25" hidden="1" thickBot="1" x14ac:dyDescent="0.3">
      <c r="A2497" s="262"/>
      <c r="B2497" s="260"/>
      <c r="C2497" s="35" t="s">
        <v>2925</v>
      </c>
      <c r="D2497" s="35" t="s">
        <v>773</v>
      </c>
      <c r="E2497" s="36">
        <v>1</v>
      </c>
      <c r="F2497" s="30">
        <v>14.420999999999999</v>
      </c>
      <c r="G2497" s="33">
        <f t="shared" si="242"/>
        <v>14.420999999999999</v>
      </c>
      <c r="H2497" s="38">
        <f>SUM(G2497:G2497)</f>
        <v>14.420999999999999</v>
      </c>
      <c r="I2497" s="39"/>
      <c r="J2497" s="152">
        <v>0</v>
      </c>
      <c r="L2497" s="215">
        <v>1</v>
      </c>
      <c r="M2497" s="30">
        <v>12.344376</v>
      </c>
      <c r="N2497" s="33">
        <f t="shared" si="243"/>
        <v>12.344376</v>
      </c>
      <c r="O2497" s="38">
        <f>SUM(N2497:N2497)</f>
        <v>12.344376</v>
      </c>
      <c r="P2497" s="36" t="str">
        <f t="shared" si="238"/>
        <v/>
      </c>
      <c r="Q2497" s="216">
        <f t="shared" si="239"/>
        <v>0.14399999999999991</v>
      </c>
      <c r="R2497" s="216">
        <f t="shared" si="240"/>
        <v>0.14399999999999991</v>
      </c>
      <c r="S2497" s="217">
        <f t="shared" si="241"/>
        <v>0.14399999999999991</v>
      </c>
    </row>
    <row r="2498" spans="1:19" ht="15.75" hidden="1" thickBot="1" x14ac:dyDescent="0.3">
      <c r="A2498" s="263"/>
      <c r="B2498" s="261"/>
      <c r="C2498" s="35"/>
      <c r="D2498" s="35"/>
      <c r="E2498" s="36"/>
      <c r="F2498" s="30" t="s">
        <v>416</v>
      </c>
      <c r="G2498" s="33" t="str">
        <f t="shared" si="242"/>
        <v/>
      </c>
      <c r="H2498" s="34"/>
      <c r="I2498" s="30"/>
      <c r="J2498" s="152">
        <v>0</v>
      </c>
      <c r="L2498" s="215"/>
      <c r="M2498" s="30"/>
      <c r="N2498" s="33" t="str">
        <f t="shared" si="243"/>
        <v/>
      </c>
      <c r="O2498" s="34"/>
      <c r="P2498" s="36" t="str">
        <f t="shared" si="238"/>
        <v/>
      </c>
      <c r="Q2498" s="216" t="str">
        <f t="shared" si="239"/>
        <v/>
      </c>
      <c r="R2498" s="216" t="str">
        <f t="shared" si="240"/>
        <v/>
      </c>
      <c r="S2498" s="217" t="str">
        <f t="shared" si="241"/>
        <v/>
      </c>
    </row>
    <row r="2499" spans="1:19" ht="15.75" hidden="1" thickBot="1" x14ac:dyDescent="0.3">
      <c r="A2499" s="256" t="s">
        <v>1824</v>
      </c>
      <c r="B2499" s="259" t="str">
        <f>INDEX(Orçamentária!A:B,MATCH(Composições!A2499,Orçamentária!A:A,0),2)</f>
        <v>Ferro chato 1"x1/8"</v>
      </c>
      <c r="C2499" s="40"/>
      <c r="D2499" s="25" t="s">
        <v>69</v>
      </c>
      <c r="E2499" s="26"/>
      <c r="F2499" s="41" t="s">
        <v>416</v>
      </c>
      <c r="G2499" s="27" t="str">
        <f t="shared" si="242"/>
        <v/>
      </c>
      <c r="H2499" s="28"/>
      <c r="I2499" s="29"/>
      <c r="J2499" s="152">
        <v>0</v>
      </c>
      <c r="L2499" s="218"/>
      <c r="M2499" s="41"/>
      <c r="N2499" s="27" t="str">
        <f t="shared" si="243"/>
        <v/>
      </c>
      <c r="O2499" s="28"/>
      <c r="P2499" s="36" t="str">
        <f t="shared" si="238"/>
        <v/>
      </c>
      <c r="Q2499" s="216" t="str">
        <f t="shared" si="239"/>
        <v/>
      </c>
      <c r="R2499" s="216" t="str">
        <f t="shared" si="240"/>
        <v/>
      </c>
      <c r="S2499" s="217" t="str">
        <f t="shared" si="241"/>
        <v/>
      </c>
    </row>
    <row r="2500" spans="1:19" ht="15.75" hidden="1" thickBot="1" x14ac:dyDescent="0.3">
      <c r="A2500" s="262"/>
      <c r="B2500" s="260"/>
      <c r="C2500" s="31"/>
      <c r="D2500" s="31"/>
      <c r="E2500" s="32"/>
      <c r="F2500" s="42" t="s">
        <v>416</v>
      </c>
      <c r="G2500" s="33" t="str">
        <f t="shared" si="242"/>
        <v/>
      </c>
      <c r="H2500" s="34"/>
      <c r="I2500" s="30"/>
      <c r="J2500" s="152">
        <v>0</v>
      </c>
      <c r="L2500" s="219"/>
      <c r="M2500" s="42"/>
      <c r="N2500" s="33" t="str">
        <f t="shared" si="243"/>
        <v/>
      </c>
      <c r="O2500" s="34"/>
      <c r="P2500" s="36" t="str">
        <f t="shared" si="238"/>
        <v/>
      </c>
      <c r="Q2500" s="216" t="str">
        <f t="shared" si="239"/>
        <v/>
      </c>
      <c r="R2500" s="216" t="str">
        <f t="shared" si="240"/>
        <v/>
      </c>
      <c r="S2500" s="217" t="str">
        <f t="shared" si="241"/>
        <v/>
      </c>
    </row>
    <row r="2501" spans="1:19" ht="15.75" hidden="1" thickBot="1" x14ac:dyDescent="0.3">
      <c r="A2501" s="262"/>
      <c r="B2501" s="260"/>
      <c r="C2501" s="35" t="s">
        <v>7996</v>
      </c>
      <c r="D2501" s="35" t="s">
        <v>773</v>
      </c>
      <c r="E2501" s="36">
        <v>0.63</v>
      </c>
      <c r="F2501" s="30">
        <v>9.9370000000000012</v>
      </c>
      <c r="G2501" s="33">
        <f t="shared" si="242"/>
        <v>6.2603100000000005</v>
      </c>
      <c r="H2501" s="38">
        <f>SUM(G2501:G2501)</f>
        <v>6.2603100000000005</v>
      </c>
      <c r="I2501" s="39"/>
      <c r="J2501" s="152">
        <v>0</v>
      </c>
      <c r="L2501" s="215">
        <v>0.63</v>
      </c>
      <c r="M2501" s="30">
        <v>8.5060720000000014</v>
      </c>
      <c r="N2501" s="33">
        <f t="shared" si="243"/>
        <v>5.3588253600000009</v>
      </c>
      <c r="O2501" s="38">
        <f>SUM(N2501:N2501)</f>
        <v>5.3588253600000009</v>
      </c>
      <c r="P2501" s="36" t="str">
        <f t="shared" si="238"/>
        <v/>
      </c>
      <c r="Q2501" s="216">
        <f t="shared" si="239"/>
        <v>0.14399999999999991</v>
      </c>
      <c r="R2501" s="216">
        <f t="shared" si="240"/>
        <v>0.14399999999999991</v>
      </c>
      <c r="S2501" s="217">
        <f t="shared" si="241"/>
        <v>0.14399999999999991</v>
      </c>
    </row>
    <row r="2502" spans="1:19" ht="15.75" hidden="1" thickBot="1" x14ac:dyDescent="0.3">
      <c r="A2502" s="263"/>
      <c r="B2502" s="261"/>
      <c r="C2502" s="35"/>
      <c r="D2502" s="35"/>
      <c r="E2502" s="36"/>
      <c r="F2502" s="30" t="s">
        <v>416</v>
      </c>
      <c r="G2502" s="33" t="str">
        <f t="shared" si="242"/>
        <v/>
      </c>
      <c r="H2502" s="34"/>
      <c r="I2502" s="30"/>
      <c r="J2502" s="152">
        <v>0</v>
      </c>
      <c r="L2502" s="215"/>
      <c r="M2502" s="30"/>
      <c r="N2502" s="33" t="str">
        <f t="shared" si="243"/>
        <v/>
      </c>
      <c r="O2502" s="34"/>
      <c r="P2502" s="36" t="str">
        <f t="shared" si="238"/>
        <v/>
      </c>
      <c r="Q2502" s="216" t="str">
        <f t="shared" si="239"/>
        <v/>
      </c>
      <c r="R2502" s="216" t="str">
        <f t="shared" si="240"/>
        <v/>
      </c>
      <c r="S2502" s="217" t="str">
        <f t="shared" si="241"/>
        <v/>
      </c>
    </row>
    <row r="2503" spans="1:19" ht="15.75" hidden="1" thickBot="1" x14ac:dyDescent="0.3">
      <c r="A2503" s="256" t="s">
        <v>1826</v>
      </c>
      <c r="B2503" s="259" t="str">
        <f>INDEX(Orçamentária!A:B,MATCH(Composições!A2503,Orçamentária!A:A,0),2)</f>
        <v>Ferro chato 1"x3/16"</v>
      </c>
      <c r="C2503" s="40"/>
      <c r="D2503" s="25" t="s">
        <v>69</v>
      </c>
      <c r="E2503" s="26"/>
      <c r="F2503" s="41" t="s">
        <v>416</v>
      </c>
      <c r="G2503" s="27" t="str">
        <f t="shared" si="242"/>
        <v/>
      </c>
      <c r="H2503" s="28"/>
      <c r="I2503" s="29"/>
      <c r="J2503" s="152">
        <v>0</v>
      </c>
      <c r="L2503" s="218"/>
      <c r="M2503" s="41"/>
      <c r="N2503" s="27" t="str">
        <f t="shared" si="243"/>
        <v/>
      </c>
      <c r="O2503" s="28"/>
      <c r="P2503" s="36" t="str">
        <f t="shared" si="238"/>
        <v/>
      </c>
      <c r="Q2503" s="216" t="str">
        <f t="shared" si="239"/>
        <v/>
      </c>
      <c r="R2503" s="216" t="str">
        <f t="shared" si="240"/>
        <v/>
      </c>
      <c r="S2503" s="217" t="str">
        <f t="shared" si="241"/>
        <v/>
      </c>
    </row>
    <row r="2504" spans="1:19" ht="15.75" hidden="1" thickBot="1" x14ac:dyDescent="0.3">
      <c r="A2504" s="262"/>
      <c r="B2504" s="260"/>
      <c r="C2504" s="31"/>
      <c r="D2504" s="31"/>
      <c r="E2504" s="32"/>
      <c r="F2504" s="42" t="s">
        <v>416</v>
      </c>
      <c r="G2504" s="33" t="str">
        <f t="shared" si="242"/>
        <v/>
      </c>
      <c r="H2504" s="34"/>
      <c r="I2504" s="30"/>
      <c r="J2504" s="152">
        <v>0</v>
      </c>
      <c r="L2504" s="219"/>
      <c r="M2504" s="42"/>
      <c r="N2504" s="33" t="str">
        <f t="shared" si="243"/>
        <v/>
      </c>
      <c r="O2504" s="34"/>
      <c r="P2504" s="36" t="str">
        <f t="shared" ref="P2504:P2567" si="244">IF(ISBLANK(L2504),"",IF($E2504&lt;&gt;L2504,"SIM",""))</f>
        <v/>
      </c>
      <c r="Q2504" s="216" t="str">
        <f t="shared" ref="Q2504:Q2567" si="245">IF(M2504="","",1-M2504/$F2504)</f>
        <v/>
      </c>
      <c r="R2504" s="216" t="str">
        <f t="shared" ref="R2504:R2567" si="246">IF(N2504="","",1-N2504/$G2504)</f>
        <v/>
      </c>
      <c r="S2504" s="217" t="str">
        <f t="shared" ref="S2504:S2567" si="247">IF(O2504="","",1-O2504/$H2504)</f>
        <v/>
      </c>
    </row>
    <row r="2505" spans="1:19" ht="15.75" hidden="1" thickBot="1" x14ac:dyDescent="0.3">
      <c r="A2505" s="262"/>
      <c r="B2505" s="260"/>
      <c r="C2505" s="35" t="s">
        <v>7996</v>
      </c>
      <c r="D2505" s="35" t="s">
        <v>773</v>
      </c>
      <c r="E2505" s="36">
        <v>0.95</v>
      </c>
      <c r="F2505" s="30">
        <v>9.9370000000000012</v>
      </c>
      <c r="G2505" s="33">
        <f t="shared" si="242"/>
        <v>9.4401500000000009</v>
      </c>
      <c r="H2505" s="38">
        <f>SUM(G2505:G2505)</f>
        <v>9.4401500000000009</v>
      </c>
      <c r="I2505" s="39"/>
      <c r="J2505" s="152">
        <v>0</v>
      </c>
      <c r="L2505" s="215">
        <v>0.95</v>
      </c>
      <c r="M2505" s="30">
        <v>8.5060720000000014</v>
      </c>
      <c r="N2505" s="33">
        <f t="shared" si="243"/>
        <v>8.0807684000000002</v>
      </c>
      <c r="O2505" s="38">
        <f>SUM(N2505:N2505)</f>
        <v>8.0807684000000002</v>
      </c>
      <c r="P2505" s="36" t="str">
        <f t="shared" si="244"/>
        <v/>
      </c>
      <c r="Q2505" s="216">
        <f t="shared" si="245"/>
        <v>0.14399999999999991</v>
      </c>
      <c r="R2505" s="216">
        <f t="shared" si="246"/>
        <v>0.14400000000000002</v>
      </c>
      <c r="S2505" s="217">
        <f t="shared" si="247"/>
        <v>0.14400000000000002</v>
      </c>
    </row>
    <row r="2506" spans="1:19" ht="15.75" hidden="1" thickBot="1" x14ac:dyDescent="0.3">
      <c r="A2506" s="263"/>
      <c r="B2506" s="261"/>
      <c r="C2506" s="35"/>
      <c r="D2506" s="35"/>
      <c r="E2506" s="36"/>
      <c r="F2506" s="30" t="s">
        <v>416</v>
      </c>
      <c r="G2506" s="33" t="str">
        <f t="shared" si="242"/>
        <v/>
      </c>
      <c r="H2506" s="34"/>
      <c r="I2506" s="30"/>
      <c r="J2506" s="152">
        <v>0</v>
      </c>
      <c r="L2506" s="215"/>
      <c r="M2506" s="30"/>
      <c r="N2506" s="33" t="str">
        <f t="shared" si="243"/>
        <v/>
      </c>
      <c r="O2506" s="34"/>
      <c r="P2506" s="36" t="str">
        <f t="shared" si="244"/>
        <v/>
      </c>
      <c r="Q2506" s="216" t="str">
        <f t="shared" si="245"/>
        <v/>
      </c>
      <c r="R2506" s="216" t="str">
        <f t="shared" si="246"/>
        <v/>
      </c>
      <c r="S2506" s="217" t="str">
        <f t="shared" si="247"/>
        <v/>
      </c>
    </row>
    <row r="2507" spans="1:19" ht="15.75" hidden="1" thickBot="1" x14ac:dyDescent="0.3">
      <c r="A2507" s="256" t="s">
        <v>1828</v>
      </c>
      <c r="B2507" s="259" t="str">
        <f>INDEX(Orçamentária!A:B,MATCH(Composições!A2507,Orçamentária!A:A,0),2)</f>
        <v>Ferro chato  3/4"x1/4" ou 7/8"x1/4" ou 1” x 1/4”</v>
      </c>
      <c r="C2507" s="40"/>
      <c r="D2507" s="25" t="s">
        <v>69</v>
      </c>
      <c r="E2507" s="26"/>
      <c r="F2507" s="41" t="s">
        <v>416</v>
      </c>
      <c r="G2507" s="27" t="str">
        <f t="shared" si="242"/>
        <v/>
      </c>
      <c r="H2507" s="28"/>
      <c r="I2507" s="29"/>
      <c r="J2507" s="152">
        <v>0</v>
      </c>
      <c r="L2507" s="218"/>
      <c r="M2507" s="41"/>
      <c r="N2507" s="27" t="str">
        <f t="shared" si="243"/>
        <v/>
      </c>
      <c r="O2507" s="28"/>
      <c r="P2507" s="36" t="str">
        <f t="shared" si="244"/>
        <v/>
      </c>
      <c r="Q2507" s="216" t="str">
        <f t="shared" si="245"/>
        <v/>
      </c>
      <c r="R2507" s="216" t="str">
        <f t="shared" si="246"/>
        <v/>
      </c>
      <c r="S2507" s="217" t="str">
        <f t="shared" si="247"/>
        <v/>
      </c>
    </row>
    <row r="2508" spans="1:19" ht="15.75" hidden="1" thickBot="1" x14ac:dyDescent="0.3">
      <c r="A2508" s="262"/>
      <c r="B2508" s="260"/>
      <c r="C2508" s="31"/>
      <c r="D2508" s="31"/>
      <c r="E2508" s="32"/>
      <c r="F2508" s="42" t="s">
        <v>416</v>
      </c>
      <c r="G2508" s="33" t="str">
        <f t="shared" si="242"/>
        <v/>
      </c>
      <c r="H2508" s="34"/>
      <c r="I2508" s="30"/>
      <c r="J2508" s="152">
        <v>0</v>
      </c>
      <c r="L2508" s="219"/>
      <c r="M2508" s="42"/>
      <c r="N2508" s="33" t="str">
        <f t="shared" si="243"/>
        <v/>
      </c>
      <c r="O2508" s="34"/>
      <c r="P2508" s="36" t="str">
        <f t="shared" si="244"/>
        <v/>
      </c>
      <c r="Q2508" s="216" t="str">
        <f t="shared" si="245"/>
        <v/>
      </c>
      <c r="R2508" s="216" t="str">
        <f t="shared" si="246"/>
        <v/>
      </c>
      <c r="S2508" s="217" t="str">
        <f t="shared" si="247"/>
        <v/>
      </c>
    </row>
    <row r="2509" spans="1:19" ht="15.75" hidden="1" thickBot="1" x14ac:dyDescent="0.3">
      <c r="A2509" s="262"/>
      <c r="B2509" s="260"/>
      <c r="C2509" s="35" t="s">
        <v>7996</v>
      </c>
      <c r="D2509" s="35" t="s">
        <v>773</v>
      </c>
      <c r="E2509" s="36">
        <v>1.1100000000000001</v>
      </c>
      <c r="F2509" s="30">
        <v>9.9370000000000012</v>
      </c>
      <c r="G2509" s="33">
        <f t="shared" si="242"/>
        <v>11.030070000000002</v>
      </c>
      <c r="H2509" s="38">
        <f>SUM(G2509:G2509)</f>
        <v>11.030070000000002</v>
      </c>
      <c r="I2509" s="39"/>
      <c r="J2509" s="152">
        <v>0</v>
      </c>
      <c r="L2509" s="215">
        <v>1.1100000000000001</v>
      </c>
      <c r="M2509" s="30">
        <v>8.5060720000000014</v>
      </c>
      <c r="N2509" s="33">
        <f t="shared" si="243"/>
        <v>9.4417399200000016</v>
      </c>
      <c r="O2509" s="38">
        <f>SUM(N2509:N2509)</f>
        <v>9.4417399200000016</v>
      </c>
      <c r="P2509" s="36" t="str">
        <f t="shared" si="244"/>
        <v/>
      </c>
      <c r="Q2509" s="216">
        <f t="shared" si="245"/>
        <v>0.14399999999999991</v>
      </c>
      <c r="R2509" s="216">
        <f t="shared" si="246"/>
        <v>0.14400000000000002</v>
      </c>
      <c r="S2509" s="217">
        <f t="shared" si="247"/>
        <v>0.14400000000000002</v>
      </c>
    </row>
    <row r="2510" spans="1:19" ht="15.75" hidden="1" thickBot="1" x14ac:dyDescent="0.3">
      <c r="A2510" s="263"/>
      <c r="B2510" s="261"/>
      <c r="C2510" s="35"/>
      <c r="D2510" s="35"/>
      <c r="E2510" s="36"/>
      <c r="F2510" s="30" t="s">
        <v>416</v>
      </c>
      <c r="G2510" s="33" t="str">
        <f t="shared" si="242"/>
        <v/>
      </c>
      <c r="H2510" s="34"/>
      <c r="I2510" s="30"/>
      <c r="J2510" s="152">
        <v>0</v>
      </c>
      <c r="L2510" s="215"/>
      <c r="M2510" s="30"/>
      <c r="N2510" s="33" t="str">
        <f t="shared" si="243"/>
        <v/>
      </c>
      <c r="O2510" s="34"/>
      <c r="P2510" s="36" t="str">
        <f t="shared" si="244"/>
        <v/>
      </c>
      <c r="Q2510" s="216" t="str">
        <f t="shared" si="245"/>
        <v/>
      </c>
      <c r="R2510" s="216" t="str">
        <f t="shared" si="246"/>
        <v/>
      </c>
      <c r="S2510" s="217" t="str">
        <f t="shared" si="247"/>
        <v/>
      </c>
    </row>
    <row r="2511" spans="1:19" ht="15.75" hidden="1" thickBot="1" x14ac:dyDescent="0.3">
      <c r="A2511" s="256" t="s">
        <v>1830</v>
      </c>
      <c r="B2511" s="259" t="str">
        <f>INDEX(Orçamentária!A:B,MATCH(Composições!A2511,Orçamentária!A:A,0),2)</f>
        <v>Ferro chato 3/4"x1/8"</v>
      </c>
      <c r="C2511" s="40"/>
      <c r="D2511" s="25" t="s">
        <v>69</v>
      </c>
      <c r="E2511" s="26"/>
      <c r="F2511" s="41" t="s">
        <v>416</v>
      </c>
      <c r="G2511" s="27" t="str">
        <f t="shared" si="242"/>
        <v/>
      </c>
      <c r="H2511" s="28"/>
      <c r="I2511" s="29"/>
      <c r="J2511" s="152">
        <v>0</v>
      </c>
      <c r="L2511" s="218"/>
      <c r="M2511" s="41"/>
      <c r="N2511" s="27" t="str">
        <f t="shared" si="243"/>
        <v/>
      </c>
      <c r="O2511" s="28"/>
      <c r="P2511" s="36" t="str">
        <f t="shared" si="244"/>
        <v/>
      </c>
      <c r="Q2511" s="216" t="str">
        <f t="shared" si="245"/>
        <v/>
      </c>
      <c r="R2511" s="216" t="str">
        <f t="shared" si="246"/>
        <v/>
      </c>
      <c r="S2511" s="217" t="str">
        <f t="shared" si="247"/>
        <v/>
      </c>
    </row>
    <row r="2512" spans="1:19" ht="15.75" hidden="1" thickBot="1" x14ac:dyDescent="0.3">
      <c r="A2512" s="262"/>
      <c r="B2512" s="260"/>
      <c r="C2512" s="31"/>
      <c r="D2512" s="31"/>
      <c r="E2512" s="32"/>
      <c r="F2512" s="42" t="s">
        <v>416</v>
      </c>
      <c r="G2512" s="33" t="str">
        <f t="shared" si="242"/>
        <v/>
      </c>
      <c r="H2512" s="34"/>
      <c r="I2512" s="30"/>
      <c r="J2512" s="152">
        <v>0</v>
      </c>
      <c r="L2512" s="219"/>
      <c r="M2512" s="42"/>
      <c r="N2512" s="33" t="str">
        <f t="shared" si="243"/>
        <v/>
      </c>
      <c r="O2512" s="34"/>
      <c r="P2512" s="36" t="str">
        <f t="shared" si="244"/>
        <v/>
      </c>
      <c r="Q2512" s="216" t="str">
        <f t="shared" si="245"/>
        <v/>
      </c>
      <c r="R2512" s="216" t="str">
        <f t="shared" si="246"/>
        <v/>
      </c>
      <c r="S2512" s="217" t="str">
        <f t="shared" si="247"/>
        <v/>
      </c>
    </row>
    <row r="2513" spans="1:19" ht="15.75" hidden="1" thickBot="1" x14ac:dyDescent="0.3">
      <c r="A2513" s="262"/>
      <c r="B2513" s="260"/>
      <c r="C2513" s="35" t="s">
        <v>7996</v>
      </c>
      <c r="D2513" s="35" t="s">
        <v>773</v>
      </c>
      <c r="E2513" s="36">
        <v>0.48</v>
      </c>
      <c r="F2513" s="30">
        <v>9.9370000000000012</v>
      </c>
      <c r="G2513" s="33">
        <f t="shared" si="242"/>
        <v>4.7697600000000007</v>
      </c>
      <c r="H2513" s="38">
        <f>SUM(G2513:G2513)</f>
        <v>4.7697600000000007</v>
      </c>
      <c r="I2513" s="39"/>
      <c r="J2513" s="152">
        <v>0</v>
      </c>
      <c r="L2513" s="215">
        <v>0.48</v>
      </c>
      <c r="M2513" s="30">
        <v>8.5060720000000014</v>
      </c>
      <c r="N2513" s="33">
        <f t="shared" si="243"/>
        <v>4.0829145600000007</v>
      </c>
      <c r="O2513" s="38">
        <f>SUM(N2513:N2513)</f>
        <v>4.0829145600000007</v>
      </c>
      <c r="P2513" s="36" t="str">
        <f t="shared" si="244"/>
        <v/>
      </c>
      <c r="Q2513" s="216">
        <f t="shared" si="245"/>
        <v>0.14399999999999991</v>
      </c>
      <c r="R2513" s="216">
        <f t="shared" si="246"/>
        <v>0.14400000000000002</v>
      </c>
      <c r="S2513" s="217">
        <f t="shared" si="247"/>
        <v>0.14400000000000002</v>
      </c>
    </row>
    <row r="2514" spans="1:19" ht="15.75" hidden="1" thickBot="1" x14ac:dyDescent="0.3">
      <c r="A2514" s="263"/>
      <c r="B2514" s="261"/>
      <c r="C2514" s="35"/>
      <c r="D2514" s="35"/>
      <c r="E2514" s="36"/>
      <c r="F2514" s="30" t="s">
        <v>416</v>
      </c>
      <c r="G2514" s="33" t="str">
        <f t="shared" si="242"/>
        <v/>
      </c>
      <c r="H2514" s="34"/>
      <c r="I2514" s="30"/>
      <c r="J2514" s="152">
        <v>0</v>
      </c>
      <c r="L2514" s="215"/>
      <c r="M2514" s="30"/>
      <c r="N2514" s="33" t="str">
        <f t="shared" si="243"/>
        <v/>
      </c>
      <c r="O2514" s="34"/>
      <c r="P2514" s="36" t="str">
        <f t="shared" si="244"/>
        <v/>
      </c>
      <c r="Q2514" s="216" t="str">
        <f t="shared" si="245"/>
        <v/>
      </c>
      <c r="R2514" s="216" t="str">
        <f t="shared" si="246"/>
        <v/>
      </c>
      <c r="S2514" s="217" t="str">
        <f t="shared" si="247"/>
        <v/>
      </c>
    </row>
    <row r="2515" spans="1:19" ht="15.75" hidden="1" thickBot="1" x14ac:dyDescent="0.3">
      <c r="A2515" s="256" t="s">
        <v>1832</v>
      </c>
      <c r="B2515" s="259" t="str">
        <f>INDEX(Orçamentária!A:B,MATCH(Composições!A2515,Orçamentária!A:A,0),2)</f>
        <v>Ferro chato 3/4"x3/16"</v>
      </c>
      <c r="C2515" s="40"/>
      <c r="D2515" s="25" t="s">
        <v>69</v>
      </c>
      <c r="E2515" s="26"/>
      <c r="F2515" s="41" t="s">
        <v>416</v>
      </c>
      <c r="G2515" s="27" t="str">
        <f t="shared" si="242"/>
        <v/>
      </c>
      <c r="H2515" s="28"/>
      <c r="I2515" s="29"/>
      <c r="J2515" s="152">
        <v>0</v>
      </c>
      <c r="L2515" s="218"/>
      <c r="M2515" s="41"/>
      <c r="N2515" s="27" t="str">
        <f t="shared" si="243"/>
        <v/>
      </c>
      <c r="O2515" s="28"/>
      <c r="P2515" s="36" t="str">
        <f t="shared" si="244"/>
        <v/>
      </c>
      <c r="Q2515" s="216" t="str">
        <f t="shared" si="245"/>
        <v/>
      </c>
      <c r="R2515" s="216" t="str">
        <f t="shared" si="246"/>
        <v/>
      </c>
      <c r="S2515" s="217" t="str">
        <f t="shared" si="247"/>
        <v/>
      </c>
    </row>
    <row r="2516" spans="1:19" ht="15.75" hidden="1" thickBot="1" x14ac:dyDescent="0.3">
      <c r="A2516" s="262"/>
      <c r="B2516" s="260"/>
      <c r="C2516" s="31"/>
      <c r="D2516" s="31"/>
      <c r="E2516" s="32"/>
      <c r="F2516" s="42" t="s">
        <v>416</v>
      </c>
      <c r="G2516" s="33" t="str">
        <f t="shared" si="242"/>
        <v/>
      </c>
      <c r="H2516" s="34"/>
      <c r="I2516" s="30"/>
      <c r="J2516" s="152">
        <v>0</v>
      </c>
      <c r="L2516" s="219"/>
      <c r="M2516" s="42"/>
      <c r="N2516" s="33" t="str">
        <f t="shared" si="243"/>
        <v/>
      </c>
      <c r="O2516" s="34"/>
      <c r="P2516" s="36" t="str">
        <f t="shared" si="244"/>
        <v/>
      </c>
      <c r="Q2516" s="216" t="str">
        <f t="shared" si="245"/>
        <v/>
      </c>
      <c r="R2516" s="216" t="str">
        <f t="shared" si="246"/>
        <v/>
      </c>
      <c r="S2516" s="217" t="str">
        <f t="shared" si="247"/>
        <v/>
      </c>
    </row>
    <row r="2517" spans="1:19" ht="15.75" hidden="1" thickBot="1" x14ac:dyDescent="0.3">
      <c r="A2517" s="262"/>
      <c r="B2517" s="260"/>
      <c r="C2517" s="35" t="s">
        <v>7996</v>
      </c>
      <c r="D2517" s="35" t="s">
        <v>773</v>
      </c>
      <c r="E2517" s="36">
        <v>0.71</v>
      </c>
      <c r="F2517" s="30">
        <v>9.9370000000000012</v>
      </c>
      <c r="G2517" s="33">
        <f t="shared" si="242"/>
        <v>7.0552700000000002</v>
      </c>
      <c r="H2517" s="38">
        <f>SUM(G2517:G2517)</f>
        <v>7.0552700000000002</v>
      </c>
      <c r="I2517" s="39"/>
      <c r="J2517" s="152">
        <v>0</v>
      </c>
      <c r="L2517" s="215">
        <v>0.71</v>
      </c>
      <c r="M2517" s="30">
        <v>8.5060720000000014</v>
      </c>
      <c r="N2517" s="33">
        <f t="shared" si="243"/>
        <v>6.0393111200000007</v>
      </c>
      <c r="O2517" s="38">
        <f>SUM(N2517:N2517)</f>
        <v>6.0393111200000007</v>
      </c>
      <c r="P2517" s="36" t="str">
        <f t="shared" si="244"/>
        <v/>
      </c>
      <c r="Q2517" s="216">
        <f t="shared" si="245"/>
        <v>0.14399999999999991</v>
      </c>
      <c r="R2517" s="216">
        <f t="shared" si="246"/>
        <v>0.14399999999999991</v>
      </c>
      <c r="S2517" s="217">
        <f t="shared" si="247"/>
        <v>0.14399999999999991</v>
      </c>
    </row>
    <row r="2518" spans="1:19" ht="15.75" hidden="1" thickBot="1" x14ac:dyDescent="0.3">
      <c r="A2518" s="263"/>
      <c r="B2518" s="261"/>
      <c r="C2518" s="35"/>
      <c r="D2518" s="35"/>
      <c r="E2518" s="36"/>
      <c r="F2518" s="30" t="s">
        <v>416</v>
      </c>
      <c r="G2518" s="33" t="str">
        <f t="shared" si="242"/>
        <v/>
      </c>
      <c r="H2518" s="34"/>
      <c r="I2518" s="30"/>
      <c r="J2518" s="152">
        <v>0</v>
      </c>
      <c r="L2518" s="215"/>
      <c r="M2518" s="30"/>
      <c r="N2518" s="33" t="str">
        <f t="shared" si="243"/>
        <v/>
      </c>
      <c r="O2518" s="34"/>
      <c r="P2518" s="36" t="str">
        <f t="shared" si="244"/>
        <v/>
      </c>
      <c r="Q2518" s="216" t="str">
        <f t="shared" si="245"/>
        <v/>
      </c>
      <c r="R2518" s="216" t="str">
        <f t="shared" si="246"/>
        <v/>
      </c>
      <c r="S2518" s="217" t="str">
        <f t="shared" si="247"/>
        <v/>
      </c>
    </row>
    <row r="2519" spans="1:19" ht="15.75" hidden="1" thickBot="1" x14ac:dyDescent="0.3">
      <c r="A2519" s="256" t="s">
        <v>1834</v>
      </c>
      <c r="B2519" s="259" t="str">
        <f>INDEX(Orçamentária!A:B,MATCH(Composições!A2519,Orçamentária!A:A,0),2)</f>
        <v>Ferro chato 5/8"x1/8"</v>
      </c>
      <c r="C2519" s="40"/>
      <c r="D2519" s="25" t="s">
        <v>69</v>
      </c>
      <c r="E2519" s="26"/>
      <c r="F2519" s="41" t="s">
        <v>416</v>
      </c>
      <c r="G2519" s="27" t="str">
        <f t="shared" si="242"/>
        <v/>
      </c>
      <c r="H2519" s="28"/>
      <c r="I2519" s="29"/>
      <c r="J2519" s="152">
        <v>0</v>
      </c>
      <c r="L2519" s="218"/>
      <c r="M2519" s="41"/>
      <c r="N2519" s="27" t="str">
        <f t="shared" si="243"/>
        <v/>
      </c>
      <c r="O2519" s="28"/>
      <c r="P2519" s="36" t="str">
        <f t="shared" si="244"/>
        <v/>
      </c>
      <c r="Q2519" s="216" t="str">
        <f t="shared" si="245"/>
        <v/>
      </c>
      <c r="R2519" s="216" t="str">
        <f t="shared" si="246"/>
        <v/>
      </c>
      <c r="S2519" s="217" t="str">
        <f t="shared" si="247"/>
        <v/>
      </c>
    </row>
    <row r="2520" spans="1:19" ht="15.75" hidden="1" thickBot="1" x14ac:dyDescent="0.3">
      <c r="A2520" s="262"/>
      <c r="B2520" s="260"/>
      <c r="C2520" s="31"/>
      <c r="D2520" s="31"/>
      <c r="E2520" s="32"/>
      <c r="F2520" s="42" t="s">
        <v>416</v>
      </c>
      <c r="G2520" s="33" t="str">
        <f t="shared" si="242"/>
        <v/>
      </c>
      <c r="H2520" s="34"/>
      <c r="I2520" s="30"/>
      <c r="J2520" s="152">
        <v>0</v>
      </c>
      <c r="L2520" s="219"/>
      <c r="M2520" s="42"/>
      <c r="N2520" s="33" t="str">
        <f t="shared" si="243"/>
        <v/>
      </c>
      <c r="O2520" s="34"/>
      <c r="P2520" s="36" t="str">
        <f t="shared" si="244"/>
        <v/>
      </c>
      <c r="Q2520" s="216" t="str">
        <f t="shared" si="245"/>
        <v/>
      </c>
      <c r="R2520" s="216" t="str">
        <f t="shared" si="246"/>
        <v/>
      </c>
      <c r="S2520" s="217" t="str">
        <f t="shared" si="247"/>
        <v/>
      </c>
    </row>
    <row r="2521" spans="1:19" ht="15.75" hidden="1" thickBot="1" x14ac:dyDescent="0.3">
      <c r="A2521" s="262"/>
      <c r="B2521" s="260"/>
      <c r="C2521" s="35" t="s">
        <v>7996</v>
      </c>
      <c r="D2521" s="35" t="s">
        <v>773</v>
      </c>
      <c r="E2521" s="36">
        <v>0.4</v>
      </c>
      <c r="F2521" s="30">
        <v>9.9370000000000012</v>
      </c>
      <c r="G2521" s="33">
        <f t="shared" si="242"/>
        <v>3.9748000000000006</v>
      </c>
      <c r="H2521" s="38">
        <f>SUM(G2521:G2521)</f>
        <v>3.9748000000000006</v>
      </c>
      <c r="I2521" s="39"/>
      <c r="J2521" s="152">
        <v>0</v>
      </c>
      <c r="L2521" s="215">
        <v>0.4</v>
      </c>
      <c r="M2521" s="30">
        <v>8.5060720000000014</v>
      </c>
      <c r="N2521" s="33">
        <f t="shared" si="243"/>
        <v>3.4024288000000009</v>
      </c>
      <c r="O2521" s="38">
        <f>SUM(N2521:N2521)</f>
        <v>3.4024288000000009</v>
      </c>
      <c r="P2521" s="36" t="str">
        <f t="shared" si="244"/>
        <v/>
      </c>
      <c r="Q2521" s="216">
        <f t="shared" si="245"/>
        <v>0.14399999999999991</v>
      </c>
      <c r="R2521" s="216">
        <f t="shared" si="246"/>
        <v>0.14399999999999991</v>
      </c>
      <c r="S2521" s="217">
        <f t="shared" si="247"/>
        <v>0.14399999999999991</v>
      </c>
    </row>
    <row r="2522" spans="1:19" ht="15.75" hidden="1" thickBot="1" x14ac:dyDescent="0.3">
      <c r="A2522" s="263"/>
      <c r="B2522" s="261"/>
      <c r="C2522" s="35"/>
      <c r="D2522" s="35"/>
      <c r="E2522" s="36"/>
      <c r="F2522" s="30" t="s">
        <v>416</v>
      </c>
      <c r="G2522" s="33" t="str">
        <f t="shared" si="242"/>
        <v/>
      </c>
      <c r="H2522" s="34"/>
      <c r="I2522" s="30"/>
      <c r="J2522" s="152">
        <v>0</v>
      </c>
      <c r="L2522" s="215"/>
      <c r="M2522" s="30"/>
      <c r="N2522" s="33" t="str">
        <f t="shared" si="243"/>
        <v/>
      </c>
      <c r="O2522" s="34"/>
      <c r="P2522" s="36" t="str">
        <f t="shared" si="244"/>
        <v/>
      </c>
      <c r="Q2522" s="216" t="str">
        <f t="shared" si="245"/>
        <v/>
      </c>
      <c r="R2522" s="216" t="str">
        <f t="shared" si="246"/>
        <v/>
      </c>
      <c r="S2522" s="217" t="str">
        <f t="shared" si="247"/>
        <v/>
      </c>
    </row>
    <row r="2523" spans="1:19" ht="15.75" hidden="1" thickBot="1" x14ac:dyDescent="0.3">
      <c r="A2523" s="256" t="s">
        <v>1836</v>
      </c>
      <c r="B2523" s="259" t="str">
        <f>INDEX(Orçamentária!A:B,MATCH(Composições!A2523,Orçamentária!A:A,0),2)</f>
        <v>Ferro chato 5/8"x3/16"</v>
      </c>
      <c r="C2523" s="40"/>
      <c r="D2523" s="25" t="s">
        <v>69</v>
      </c>
      <c r="E2523" s="26"/>
      <c r="F2523" s="41" t="s">
        <v>416</v>
      </c>
      <c r="G2523" s="27" t="str">
        <f t="shared" si="242"/>
        <v/>
      </c>
      <c r="H2523" s="28"/>
      <c r="I2523" s="29"/>
      <c r="J2523" s="152">
        <v>0</v>
      </c>
      <c r="L2523" s="218"/>
      <c r="M2523" s="41"/>
      <c r="N2523" s="27" t="str">
        <f t="shared" si="243"/>
        <v/>
      </c>
      <c r="O2523" s="28"/>
      <c r="P2523" s="36" t="str">
        <f t="shared" si="244"/>
        <v/>
      </c>
      <c r="Q2523" s="216" t="str">
        <f t="shared" si="245"/>
        <v/>
      </c>
      <c r="R2523" s="216" t="str">
        <f t="shared" si="246"/>
        <v/>
      </c>
      <c r="S2523" s="217" t="str">
        <f t="shared" si="247"/>
        <v/>
      </c>
    </row>
    <row r="2524" spans="1:19" ht="15.75" hidden="1" thickBot="1" x14ac:dyDescent="0.3">
      <c r="A2524" s="262"/>
      <c r="B2524" s="260"/>
      <c r="C2524" s="31"/>
      <c r="D2524" s="31"/>
      <c r="E2524" s="32"/>
      <c r="F2524" s="42" t="s">
        <v>416</v>
      </c>
      <c r="G2524" s="33" t="str">
        <f t="shared" si="242"/>
        <v/>
      </c>
      <c r="H2524" s="34"/>
      <c r="I2524" s="30"/>
      <c r="J2524" s="152">
        <v>0</v>
      </c>
      <c r="L2524" s="219"/>
      <c r="M2524" s="42"/>
      <c r="N2524" s="33" t="str">
        <f t="shared" si="243"/>
        <v/>
      </c>
      <c r="O2524" s="34"/>
      <c r="P2524" s="36" t="str">
        <f t="shared" si="244"/>
        <v/>
      </c>
      <c r="Q2524" s="216" t="str">
        <f t="shared" si="245"/>
        <v/>
      </c>
      <c r="R2524" s="216" t="str">
        <f t="shared" si="246"/>
        <v/>
      </c>
      <c r="S2524" s="217" t="str">
        <f t="shared" si="247"/>
        <v/>
      </c>
    </row>
    <row r="2525" spans="1:19" ht="15.75" hidden="1" thickBot="1" x14ac:dyDescent="0.3">
      <c r="A2525" s="262"/>
      <c r="B2525" s="260"/>
      <c r="C2525" s="35" t="s">
        <v>7996</v>
      </c>
      <c r="D2525" s="35" t="s">
        <v>773</v>
      </c>
      <c r="E2525" s="36">
        <v>0.79</v>
      </c>
      <c r="F2525" s="30">
        <v>9.9370000000000012</v>
      </c>
      <c r="G2525" s="33">
        <f t="shared" si="242"/>
        <v>7.8502300000000016</v>
      </c>
      <c r="H2525" s="38">
        <f>SUM(G2525:G2525)</f>
        <v>7.8502300000000016</v>
      </c>
      <c r="I2525" s="39"/>
      <c r="J2525" s="152">
        <v>0</v>
      </c>
      <c r="L2525" s="215">
        <v>0.79</v>
      </c>
      <c r="M2525" s="30">
        <v>8.5060720000000014</v>
      </c>
      <c r="N2525" s="33">
        <f t="shared" si="243"/>
        <v>6.7197968800000014</v>
      </c>
      <c r="O2525" s="38">
        <f>SUM(N2525:N2525)</f>
        <v>6.7197968800000014</v>
      </c>
      <c r="P2525" s="36" t="str">
        <f t="shared" si="244"/>
        <v/>
      </c>
      <c r="Q2525" s="216">
        <f t="shared" si="245"/>
        <v>0.14399999999999991</v>
      </c>
      <c r="R2525" s="216">
        <f t="shared" si="246"/>
        <v>0.14400000000000002</v>
      </c>
      <c r="S2525" s="217">
        <f t="shared" si="247"/>
        <v>0.14400000000000002</v>
      </c>
    </row>
    <row r="2526" spans="1:19" ht="15.75" hidden="1" thickBot="1" x14ac:dyDescent="0.3">
      <c r="A2526" s="263"/>
      <c r="B2526" s="261"/>
      <c r="C2526" s="35"/>
      <c r="D2526" s="35"/>
      <c r="E2526" s="36"/>
      <c r="F2526" s="30" t="s">
        <v>416</v>
      </c>
      <c r="G2526" s="33" t="str">
        <f t="shared" si="242"/>
        <v/>
      </c>
      <c r="H2526" s="34"/>
      <c r="I2526" s="30"/>
      <c r="J2526" s="152">
        <v>0</v>
      </c>
      <c r="L2526" s="215"/>
      <c r="M2526" s="30"/>
      <c r="N2526" s="33" t="str">
        <f t="shared" si="243"/>
        <v/>
      </c>
      <c r="O2526" s="34"/>
      <c r="P2526" s="36" t="str">
        <f t="shared" si="244"/>
        <v/>
      </c>
      <c r="Q2526" s="216" t="str">
        <f t="shared" si="245"/>
        <v/>
      </c>
      <c r="R2526" s="216" t="str">
        <f t="shared" si="246"/>
        <v/>
      </c>
      <c r="S2526" s="217" t="str">
        <f t="shared" si="247"/>
        <v/>
      </c>
    </row>
    <row r="2527" spans="1:19" ht="15.75" hidden="1" thickBot="1" x14ac:dyDescent="0.3">
      <c r="A2527" s="256" t="s">
        <v>1838</v>
      </c>
      <c r="B2527" s="259" t="str">
        <f>INDEX(Orçamentária!A:B,MATCH(Composições!A2527,Orçamentária!A:A,0),2)</f>
        <v>Ferro chato 7/8"x1/8"</v>
      </c>
      <c r="C2527" s="40"/>
      <c r="D2527" s="25" t="s">
        <v>69</v>
      </c>
      <c r="E2527" s="26"/>
      <c r="F2527" s="41" t="s">
        <v>416</v>
      </c>
      <c r="G2527" s="27" t="str">
        <f t="shared" si="242"/>
        <v/>
      </c>
      <c r="H2527" s="28"/>
      <c r="I2527" s="29"/>
      <c r="J2527" s="152">
        <v>0</v>
      </c>
      <c r="L2527" s="218"/>
      <c r="M2527" s="41"/>
      <c r="N2527" s="27" t="str">
        <f t="shared" si="243"/>
        <v/>
      </c>
      <c r="O2527" s="28"/>
      <c r="P2527" s="36" t="str">
        <f t="shared" si="244"/>
        <v/>
      </c>
      <c r="Q2527" s="216" t="str">
        <f t="shared" si="245"/>
        <v/>
      </c>
      <c r="R2527" s="216" t="str">
        <f t="shared" si="246"/>
        <v/>
      </c>
      <c r="S2527" s="217" t="str">
        <f t="shared" si="247"/>
        <v/>
      </c>
    </row>
    <row r="2528" spans="1:19" ht="15.75" hidden="1" thickBot="1" x14ac:dyDescent="0.3">
      <c r="A2528" s="262"/>
      <c r="B2528" s="260"/>
      <c r="C2528" s="31"/>
      <c r="D2528" s="31"/>
      <c r="E2528" s="32"/>
      <c r="F2528" s="42" t="s">
        <v>416</v>
      </c>
      <c r="G2528" s="33" t="str">
        <f t="shared" si="242"/>
        <v/>
      </c>
      <c r="H2528" s="34"/>
      <c r="I2528" s="30"/>
      <c r="J2528" s="152">
        <v>0</v>
      </c>
      <c r="L2528" s="219"/>
      <c r="M2528" s="42"/>
      <c r="N2528" s="33" t="str">
        <f t="shared" si="243"/>
        <v/>
      </c>
      <c r="O2528" s="34"/>
      <c r="P2528" s="36" t="str">
        <f t="shared" si="244"/>
        <v/>
      </c>
      <c r="Q2528" s="216" t="str">
        <f t="shared" si="245"/>
        <v/>
      </c>
      <c r="R2528" s="216" t="str">
        <f t="shared" si="246"/>
        <v/>
      </c>
      <c r="S2528" s="217" t="str">
        <f t="shared" si="247"/>
        <v/>
      </c>
    </row>
    <row r="2529" spans="1:19" ht="15.75" hidden="1" thickBot="1" x14ac:dyDescent="0.3">
      <c r="A2529" s="262"/>
      <c r="B2529" s="260"/>
      <c r="C2529" s="35" t="s">
        <v>7996</v>
      </c>
      <c r="D2529" s="35" t="s">
        <v>773</v>
      </c>
      <c r="E2529" s="36">
        <v>0.55000000000000004</v>
      </c>
      <c r="F2529" s="30">
        <v>9.9370000000000012</v>
      </c>
      <c r="G2529" s="33">
        <f t="shared" si="242"/>
        <v>5.4653500000000008</v>
      </c>
      <c r="H2529" s="38">
        <f>SUM(G2529:G2529)</f>
        <v>5.4653500000000008</v>
      </c>
      <c r="I2529" s="39"/>
      <c r="J2529" s="152">
        <v>0</v>
      </c>
      <c r="L2529" s="215">
        <v>0.55000000000000004</v>
      </c>
      <c r="M2529" s="30">
        <v>8.5060720000000014</v>
      </c>
      <c r="N2529" s="33">
        <f t="shared" si="243"/>
        <v>4.678339600000001</v>
      </c>
      <c r="O2529" s="38">
        <f>SUM(N2529:N2529)</f>
        <v>4.678339600000001</v>
      </c>
      <c r="P2529" s="36" t="str">
        <f t="shared" si="244"/>
        <v/>
      </c>
      <c r="Q2529" s="216">
        <f t="shared" si="245"/>
        <v>0.14399999999999991</v>
      </c>
      <c r="R2529" s="216">
        <f t="shared" si="246"/>
        <v>0.14399999999999991</v>
      </c>
      <c r="S2529" s="217">
        <f t="shared" si="247"/>
        <v>0.14399999999999991</v>
      </c>
    </row>
    <row r="2530" spans="1:19" ht="15.75" hidden="1" thickBot="1" x14ac:dyDescent="0.3">
      <c r="A2530" s="263"/>
      <c r="B2530" s="261"/>
      <c r="C2530" s="35"/>
      <c r="D2530" s="35"/>
      <c r="E2530" s="36"/>
      <c r="F2530" s="30" t="s">
        <v>416</v>
      </c>
      <c r="G2530" s="33" t="str">
        <f t="shared" si="242"/>
        <v/>
      </c>
      <c r="H2530" s="34"/>
      <c r="I2530" s="30"/>
      <c r="J2530" s="152">
        <v>0</v>
      </c>
      <c r="L2530" s="215"/>
      <c r="M2530" s="30"/>
      <c r="N2530" s="33" t="str">
        <f t="shared" si="243"/>
        <v/>
      </c>
      <c r="O2530" s="34"/>
      <c r="P2530" s="36" t="str">
        <f t="shared" si="244"/>
        <v/>
      </c>
      <c r="Q2530" s="216" t="str">
        <f t="shared" si="245"/>
        <v/>
      </c>
      <c r="R2530" s="216" t="str">
        <f t="shared" si="246"/>
        <v/>
      </c>
      <c r="S2530" s="217" t="str">
        <f t="shared" si="247"/>
        <v/>
      </c>
    </row>
    <row r="2531" spans="1:19" ht="15.75" hidden="1" thickBot="1" x14ac:dyDescent="0.3">
      <c r="A2531" s="256" t="s">
        <v>1840</v>
      </c>
      <c r="B2531" s="259" t="str">
        <f>INDEX(Orçamentária!A:B,MATCH(Composições!A2531,Orçamentária!A:A,0),2)</f>
        <v>Ferro chato 7/8"x3/16"</v>
      </c>
      <c r="C2531" s="40"/>
      <c r="D2531" s="25" t="s">
        <v>69</v>
      </c>
      <c r="E2531" s="26"/>
      <c r="F2531" s="41" t="s">
        <v>416</v>
      </c>
      <c r="G2531" s="27" t="str">
        <f t="shared" si="242"/>
        <v/>
      </c>
      <c r="H2531" s="28"/>
      <c r="I2531" s="29"/>
      <c r="J2531" s="152">
        <v>0</v>
      </c>
      <c r="L2531" s="218"/>
      <c r="M2531" s="41"/>
      <c r="N2531" s="27" t="str">
        <f t="shared" si="243"/>
        <v/>
      </c>
      <c r="O2531" s="28"/>
      <c r="P2531" s="36" t="str">
        <f t="shared" si="244"/>
        <v/>
      </c>
      <c r="Q2531" s="216" t="str">
        <f t="shared" si="245"/>
        <v/>
      </c>
      <c r="R2531" s="216" t="str">
        <f t="shared" si="246"/>
        <v/>
      </c>
      <c r="S2531" s="217" t="str">
        <f t="shared" si="247"/>
        <v/>
      </c>
    </row>
    <row r="2532" spans="1:19" ht="15.75" hidden="1" thickBot="1" x14ac:dyDescent="0.3">
      <c r="A2532" s="262"/>
      <c r="B2532" s="260"/>
      <c r="C2532" s="31"/>
      <c r="D2532" s="31"/>
      <c r="E2532" s="32"/>
      <c r="F2532" s="42" t="s">
        <v>416</v>
      </c>
      <c r="G2532" s="33" t="str">
        <f t="shared" si="242"/>
        <v/>
      </c>
      <c r="H2532" s="34"/>
      <c r="I2532" s="30"/>
      <c r="J2532" s="152">
        <v>0</v>
      </c>
      <c r="L2532" s="219"/>
      <c r="M2532" s="42"/>
      <c r="N2532" s="33" t="str">
        <f t="shared" si="243"/>
        <v/>
      </c>
      <c r="O2532" s="34"/>
      <c r="P2532" s="36" t="str">
        <f t="shared" si="244"/>
        <v/>
      </c>
      <c r="Q2532" s="216" t="str">
        <f t="shared" si="245"/>
        <v/>
      </c>
      <c r="R2532" s="216" t="str">
        <f t="shared" si="246"/>
        <v/>
      </c>
      <c r="S2532" s="217" t="str">
        <f t="shared" si="247"/>
        <v/>
      </c>
    </row>
    <row r="2533" spans="1:19" ht="15.75" hidden="1" thickBot="1" x14ac:dyDescent="0.3">
      <c r="A2533" s="262"/>
      <c r="B2533" s="260"/>
      <c r="C2533" s="35" t="s">
        <v>7996</v>
      </c>
      <c r="D2533" s="35" t="s">
        <v>773</v>
      </c>
      <c r="E2533" s="36">
        <v>0.83</v>
      </c>
      <c r="F2533" s="30">
        <v>9.9370000000000012</v>
      </c>
      <c r="G2533" s="33">
        <f t="shared" si="242"/>
        <v>8.2477100000000014</v>
      </c>
      <c r="H2533" s="38">
        <f>SUM(G2533:G2533)</f>
        <v>8.2477100000000014</v>
      </c>
      <c r="I2533" s="39"/>
      <c r="J2533" s="152">
        <v>0</v>
      </c>
      <c r="L2533" s="215">
        <v>0.83</v>
      </c>
      <c r="M2533" s="30">
        <v>8.5060720000000014</v>
      </c>
      <c r="N2533" s="33">
        <f t="shared" si="243"/>
        <v>7.0600397600000004</v>
      </c>
      <c r="O2533" s="38">
        <f>SUM(N2533:N2533)</f>
        <v>7.0600397600000004</v>
      </c>
      <c r="P2533" s="36" t="str">
        <f t="shared" si="244"/>
        <v/>
      </c>
      <c r="Q2533" s="216">
        <f t="shared" si="245"/>
        <v>0.14399999999999991</v>
      </c>
      <c r="R2533" s="216">
        <f t="shared" si="246"/>
        <v>0.14400000000000013</v>
      </c>
      <c r="S2533" s="217">
        <f t="shared" si="247"/>
        <v>0.14400000000000013</v>
      </c>
    </row>
    <row r="2534" spans="1:19" ht="15.75" hidden="1" thickBot="1" x14ac:dyDescent="0.3">
      <c r="A2534" s="263"/>
      <c r="B2534" s="261"/>
      <c r="C2534" s="35"/>
      <c r="D2534" s="35"/>
      <c r="E2534" s="36"/>
      <c r="F2534" s="30" t="s">
        <v>416</v>
      </c>
      <c r="G2534" s="33" t="str">
        <f t="shared" si="242"/>
        <v/>
      </c>
      <c r="H2534" s="34"/>
      <c r="I2534" s="30"/>
      <c r="J2534" s="152">
        <v>0</v>
      </c>
      <c r="L2534" s="215"/>
      <c r="M2534" s="30"/>
      <c r="N2534" s="33" t="str">
        <f t="shared" si="243"/>
        <v/>
      </c>
      <c r="O2534" s="34"/>
      <c r="P2534" s="36" t="str">
        <f t="shared" si="244"/>
        <v/>
      </c>
      <c r="Q2534" s="216" t="str">
        <f t="shared" si="245"/>
        <v/>
      </c>
      <c r="R2534" s="216" t="str">
        <f t="shared" si="246"/>
        <v/>
      </c>
      <c r="S2534" s="217" t="str">
        <f t="shared" si="247"/>
        <v/>
      </c>
    </row>
    <row r="2535" spans="1:19" ht="15.75" hidden="1" thickBot="1" x14ac:dyDescent="0.3">
      <c r="A2535" s="256" t="s">
        <v>1919</v>
      </c>
      <c r="B2535" s="259" t="str">
        <f>INDEX(Orçamentária!A:B,MATCH(Composições!A2535,Orçamentária!A:A,0),2)</f>
        <v>Tela de estuque</v>
      </c>
      <c r="C2535" s="40"/>
      <c r="D2535" s="25" t="s">
        <v>70</v>
      </c>
      <c r="E2535" s="26"/>
      <c r="F2535" s="41" t="s">
        <v>416</v>
      </c>
      <c r="G2535" s="27" t="str">
        <f t="shared" si="242"/>
        <v/>
      </c>
      <c r="H2535" s="28"/>
      <c r="I2535" s="29"/>
      <c r="J2535" s="152">
        <v>0</v>
      </c>
      <c r="L2535" s="218"/>
      <c r="M2535" s="41"/>
      <c r="N2535" s="27" t="str">
        <f t="shared" si="243"/>
        <v/>
      </c>
      <c r="O2535" s="28"/>
      <c r="P2535" s="36" t="str">
        <f t="shared" si="244"/>
        <v/>
      </c>
      <c r="Q2535" s="216" t="str">
        <f t="shared" si="245"/>
        <v/>
      </c>
      <c r="R2535" s="216" t="str">
        <f t="shared" si="246"/>
        <v/>
      </c>
      <c r="S2535" s="217" t="str">
        <f t="shared" si="247"/>
        <v/>
      </c>
    </row>
    <row r="2536" spans="1:19" ht="15.75" hidden="1" thickBot="1" x14ac:dyDescent="0.3">
      <c r="A2536" s="262"/>
      <c r="B2536" s="260"/>
      <c r="C2536" s="31"/>
      <c r="D2536" s="31"/>
      <c r="E2536" s="32"/>
      <c r="F2536" s="42" t="s">
        <v>416</v>
      </c>
      <c r="G2536" s="33" t="str">
        <f t="shared" si="242"/>
        <v/>
      </c>
      <c r="H2536" s="34"/>
      <c r="I2536" s="30"/>
      <c r="J2536" s="152">
        <v>0</v>
      </c>
      <c r="L2536" s="219"/>
      <c r="M2536" s="42"/>
      <c r="N2536" s="33" t="str">
        <f t="shared" si="243"/>
        <v/>
      </c>
      <c r="O2536" s="34"/>
      <c r="P2536" s="36" t="str">
        <f t="shared" si="244"/>
        <v/>
      </c>
      <c r="Q2536" s="216" t="str">
        <f t="shared" si="245"/>
        <v/>
      </c>
      <c r="R2536" s="216" t="str">
        <f t="shared" si="246"/>
        <v/>
      </c>
      <c r="S2536" s="217" t="str">
        <f t="shared" si="247"/>
        <v/>
      </c>
    </row>
    <row r="2537" spans="1:19" ht="15.75" hidden="1" thickBot="1" x14ac:dyDescent="0.3">
      <c r="A2537" s="262"/>
      <c r="B2537" s="260"/>
      <c r="C2537" s="35" t="s">
        <v>2944</v>
      </c>
      <c r="D2537" s="35" t="s">
        <v>861</v>
      </c>
      <c r="E2537" s="36">
        <v>1</v>
      </c>
      <c r="F2537" s="30">
        <v>5.7285000000000004</v>
      </c>
      <c r="G2537" s="33">
        <f t="shared" si="242"/>
        <v>5.7285000000000004</v>
      </c>
      <c r="H2537" s="38">
        <f>SUM(G2537:G2537)</f>
        <v>5.7285000000000004</v>
      </c>
      <c r="I2537" s="39"/>
      <c r="J2537" s="152">
        <v>0</v>
      </c>
      <c r="L2537" s="215">
        <v>1</v>
      </c>
      <c r="M2537" s="30">
        <v>4.9035960000000003</v>
      </c>
      <c r="N2537" s="33">
        <f t="shared" si="243"/>
        <v>4.9035960000000003</v>
      </c>
      <c r="O2537" s="38">
        <f>SUM(N2537:N2537)</f>
        <v>4.9035960000000003</v>
      </c>
      <c r="P2537" s="36" t="str">
        <f t="shared" si="244"/>
        <v/>
      </c>
      <c r="Q2537" s="216">
        <f t="shared" si="245"/>
        <v>0.14400000000000002</v>
      </c>
      <c r="R2537" s="216">
        <f t="shared" si="246"/>
        <v>0.14400000000000002</v>
      </c>
      <c r="S2537" s="217">
        <f t="shared" si="247"/>
        <v>0.14400000000000002</v>
      </c>
    </row>
    <row r="2538" spans="1:19" ht="15.75" hidden="1" thickBot="1" x14ac:dyDescent="0.3">
      <c r="A2538" s="263"/>
      <c r="B2538" s="261"/>
      <c r="C2538" s="35"/>
      <c r="D2538" s="35"/>
      <c r="E2538" s="36"/>
      <c r="F2538" s="30" t="s">
        <v>416</v>
      </c>
      <c r="G2538" s="33" t="str">
        <f t="shared" si="242"/>
        <v/>
      </c>
      <c r="H2538" s="34"/>
      <c r="I2538" s="30"/>
      <c r="J2538" s="152">
        <v>0</v>
      </c>
      <c r="L2538" s="215"/>
      <c r="M2538" s="30"/>
      <c r="N2538" s="33" t="str">
        <f t="shared" si="243"/>
        <v/>
      </c>
      <c r="O2538" s="34"/>
      <c r="P2538" s="36" t="str">
        <f t="shared" si="244"/>
        <v/>
      </c>
      <c r="Q2538" s="216" t="str">
        <f t="shared" si="245"/>
        <v/>
      </c>
      <c r="R2538" s="216" t="str">
        <f t="shared" si="246"/>
        <v/>
      </c>
      <c r="S2538" s="217" t="str">
        <f t="shared" si="247"/>
        <v/>
      </c>
    </row>
    <row r="2539" spans="1:19" ht="15.75" hidden="1" thickBot="1" x14ac:dyDescent="0.3">
      <c r="A2539" s="256" t="s">
        <v>1923</v>
      </c>
      <c r="B2539" s="259" t="str">
        <f>INDEX(Orçamentária!A:B,MATCH(Composições!A2539,Orçamentária!A:A,0),2)</f>
        <v>Arame galvanizado, bitola 16 BWG (1,65 mm)</v>
      </c>
      <c r="C2539" s="40"/>
      <c r="D2539" s="25" t="s">
        <v>28</v>
      </c>
      <c r="E2539" s="26"/>
      <c r="F2539" s="41" t="s">
        <v>416</v>
      </c>
      <c r="G2539" s="27" t="str">
        <f t="shared" si="242"/>
        <v/>
      </c>
      <c r="H2539" s="28"/>
      <c r="I2539" s="29"/>
      <c r="J2539" s="152">
        <v>0</v>
      </c>
      <c r="L2539" s="218"/>
      <c r="M2539" s="41"/>
      <c r="N2539" s="27" t="str">
        <f t="shared" si="243"/>
        <v/>
      </c>
      <c r="O2539" s="28"/>
      <c r="P2539" s="36" t="str">
        <f t="shared" si="244"/>
        <v/>
      </c>
      <c r="Q2539" s="216" t="str">
        <f t="shared" si="245"/>
        <v/>
      </c>
      <c r="R2539" s="216" t="str">
        <f t="shared" si="246"/>
        <v/>
      </c>
      <c r="S2539" s="217" t="str">
        <f t="shared" si="247"/>
        <v/>
      </c>
    </row>
    <row r="2540" spans="1:19" ht="15.75" hidden="1" thickBot="1" x14ac:dyDescent="0.3">
      <c r="A2540" s="262"/>
      <c r="B2540" s="260"/>
      <c r="C2540" s="31"/>
      <c r="D2540" s="31"/>
      <c r="E2540" s="32"/>
      <c r="F2540" s="42" t="s">
        <v>416</v>
      </c>
      <c r="G2540" s="33" t="str">
        <f t="shared" si="242"/>
        <v/>
      </c>
      <c r="H2540" s="34"/>
      <c r="I2540" s="30"/>
      <c r="J2540" s="152">
        <v>0</v>
      </c>
      <c r="L2540" s="219"/>
      <c r="M2540" s="42"/>
      <c r="N2540" s="33" t="str">
        <f t="shared" si="243"/>
        <v/>
      </c>
      <c r="O2540" s="34"/>
      <c r="P2540" s="36" t="str">
        <f t="shared" si="244"/>
        <v/>
      </c>
      <c r="Q2540" s="216" t="str">
        <f t="shared" si="245"/>
        <v/>
      </c>
      <c r="R2540" s="216" t="str">
        <f t="shared" si="246"/>
        <v/>
      </c>
      <c r="S2540" s="217" t="str">
        <f t="shared" si="247"/>
        <v/>
      </c>
    </row>
    <row r="2541" spans="1:19" ht="15.75" hidden="1" thickBot="1" x14ac:dyDescent="0.3">
      <c r="A2541" s="262"/>
      <c r="B2541" s="260"/>
      <c r="C2541" s="35" t="s">
        <v>2923</v>
      </c>
      <c r="D2541" s="35" t="s">
        <v>773</v>
      </c>
      <c r="E2541" s="36">
        <v>1</v>
      </c>
      <c r="F2541" s="30">
        <v>27.663999999999998</v>
      </c>
      <c r="G2541" s="33">
        <f t="shared" si="242"/>
        <v>27.663999999999998</v>
      </c>
      <c r="H2541" s="38">
        <f>SUM(G2541:G2541)</f>
        <v>27.663999999999998</v>
      </c>
      <c r="I2541" s="39"/>
      <c r="J2541" s="152">
        <v>0</v>
      </c>
      <c r="L2541" s="215">
        <v>1</v>
      </c>
      <c r="M2541" s="30">
        <v>23.680383999999997</v>
      </c>
      <c r="N2541" s="33">
        <f t="shared" si="243"/>
        <v>23.680383999999997</v>
      </c>
      <c r="O2541" s="38">
        <f>SUM(N2541:N2541)</f>
        <v>23.680383999999997</v>
      </c>
      <c r="P2541" s="36" t="str">
        <f t="shared" si="244"/>
        <v/>
      </c>
      <c r="Q2541" s="216">
        <f t="shared" si="245"/>
        <v>0.14400000000000002</v>
      </c>
      <c r="R2541" s="216">
        <f t="shared" si="246"/>
        <v>0.14400000000000002</v>
      </c>
      <c r="S2541" s="217">
        <f t="shared" si="247"/>
        <v>0.14400000000000002</v>
      </c>
    </row>
    <row r="2542" spans="1:19" ht="15.75" hidden="1" thickBot="1" x14ac:dyDescent="0.3">
      <c r="A2542" s="263"/>
      <c r="B2542" s="261"/>
      <c r="C2542" s="35"/>
      <c r="D2542" s="35"/>
      <c r="E2542" s="36"/>
      <c r="F2542" s="30" t="s">
        <v>416</v>
      </c>
      <c r="G2542" s="33" t="str">
        <f t="shared" si="242"/>
        <v/>
      </c>
      <c r="H2542" s="34"/>
      <c r="I2542" s="30"/>
      <c r="J2542" s="152">
        <v>0</v>
      </c>
      <c r="L2542" s="215"/>
      <c r="M2542" s="30"/>
      <c r="N2542" s="33" t="str">
        <f t="shared" si="243"/>
        <v/>
      </c>
      <c r="O2542" s="34"/>
      <c r="P2542" s="36" t="str">
        <f t="shared" si="244"/>
        <v/>
      </c>
      <c r="Q2542" s="216" t="str">
        <f t="shared" si="245"/>
        <v/>
      </c>
      <c r="R2542" s="216" t="str">
        <f t="shared" si="246"/>
        <v/>
      </c>
      <c r="S2542" s="217" t="str">
        <f t="shared" si="247"/>
        <v/>
      </c>
    </row>
    <row r="2543" spans="1:19" ht="15.75" hidden="1" thickBot="1" x14ac:dyDescent="0.3">
      <c r="A2543" s="256" t="s">
        <v>1926</v>
      </c>
      <c r="B2543" s="259" t="str">
        <f>INDEX(Orçamentária!A:B,MATCH(Composições!A2543,Orçamentária!A:A,0),2)</f>
        <v>Tela em aço galvanizado, tipo alambrado, malha 2, fio 12</v>
      </c>
      <c r="C2543" s="40"/>
      <c r="D2543" s="25" t="s">
        <v>70</v>
      </c>
      <c r="E2543" s="26"/>
      <c r="F2543" s="41" t="s">
        <v>416</v>
      </c>
      <c r="G2543" s="27" t="str">
        <f t="shared" si="242"/>
        <v/>
      </c>
      <c r="H2543" s="28"/>
      <c r="I2543" s="29"/>
      <c r="J2543" s="152">
        <v>0</v>
      </c>
      <c r="L2543" s="218"/>
      <c r="M2543" s="41"/>
      <c r="N2543" s="27" t="str">
        <f t="shared" si="243"/>
        <v/>
      </c>
      <c r="O2543" s="28"/>
      <c r="P2543" s="36" t="str">
        <f t="shared" si="244"/>
        <v/>
      </c>
      <c r="Q2543" s="216" t="str">
        <f t="shared" si="245"/>
        <v/>
      </c>
      <c r="R2543" s="216" t="str">
        <f t="shared" si="246"/>
        <v/>
      </c>
      <c r="S2543" s="217" t="str">
        <f t="shared" si="247"/>
        <v/>
      </c>
    </row>
    <row r="2544" spans="1:19" ht="15.75" hidden="1" thickBot="1" x14ac:dyDescent="0.3">
      <c r="A2544" s="262"/>
      <c r="B2544" s="260"/>
      <c r="C2544" s="31"/>
      <c r="D2544" s="31"/>
      <c r="E2544" s="32"/>
      <c r="F2544" s="42" t="s">
        <v>416</v>
      </c>
      <c r="G2544" s="33" t="str">
        <f t="shared" si="242"/>
        <v/>
      </c>
      <c r="H2544" s="34"/>
      <c r="I2544" s="30"/>
      <c r="J2544" s="152">
        <v>0</v>
      </c>
      <c r="L2544" s="219"/>
      <c r="M2544" s="42"/>
      <c r="N2544" s="33" t="str">
        <f t="shared" si="243"/>
        <v/>
      </c>
      <c r="O2544" s="34"/>
      <c r="P2544" s="36" t="str">
        <f t="shared" si="244"/>
        <v/>
      </c>
      <c r="Q2544" s="216" t="str">
        <f t="shared" si="245"/>
        <v/>
      </c>
      <c r="R2544" s="216" t="str">
        <f t="shared" si="246"/>
        <v/>
      </c>
      <c r="S2544" s="217" t="str">
        <f t="shared" si="247"/>
        <v/>
      </c>
    </row>
    <row r="2545" spans="1:19" ht="26.25" hidden="1" thickBot="1" x14ac:dyDescent="0.3">
      <c r="A2545" s="262"/>
      <c r="B2545" s="260"/>
      <c r="C2545" s="35" t="s">
        <v>2943</v>
      </c>
      <c r="D2545" s="35" t="s">
        <v>861</v>
      </c>
      <c r="E2545" s="36">
        <v>1</v>
      </c>
      <c r="F2545" s="30">
        <v>40.802500000000002</v>
      </c>
      <c r="G2545" s="33">
        <f t="shared" si="242"/>
        <v>40.802500000000002</v>
      </c>
      <c r="H2545" s="38">
        <f>SUM(G2545:G2545)</f>
        <v>40.802500000000002</v>
      </c>
      <c r="I2545" s="39"/>
      <c r="J2545" s="152">
        <v>0</v>
      </c>
      <c r="L2545" s="215">
        <v>1</v>
      </c>
      <c r="M2545" s="30">
        <v>34.926940000000002</v>
      </c>
      <c r="N2545" s="33">
        <f t="shared" si="243"/>
        <v>34.926940000000002</v>
      </c>
      <c r="O2545" s="38">
        <f>SUM(N2545:N2545)</f>
        <v>34.926940000000002</v>
      </c>
      <c r="P2545" s="36" t="str">
        <f t="shared" si="244"/>
        <v/>
      </c>
      <c r="Q2545" s="216">
        <f t="shared" si="245"/>
        <v>0.14400000000000002</v>
      </c>
      <c r="R2545" s="216">
        <f t="shared" si="246"/>
        <v>0.14400000000000002</v>
      </c>
      <c r="S2545" s="217">
        <f t="shared" si="247"/>
        <v>0.14400000000000002</v>
      </c>
    </row>
    <row r="2546" spans="1:19" ht="15.75" hidden="1" thickBot="1" x14ac:dyDescent="0.3">
      <c r="A2546" s="263"/>
      <c r="B2546" s="261"/>
      <c r="C2546" s="35"/>
      <c r="D2546" s="35"/>
      <c r="E2546" s="36"/>
      <c r="F2546" s="30" t="s">
        <v>416</v>
      </c>
      <c r="G2546" s="33" t="str">
        <f t="shared" si="242"/>
        <v/>
      </c>
      <c r="H2546" s="34"/>
      <c r="I2546" s="30"/>
      <c r="J2546" s="152">
        <v>0</v>
      </c>
      <c r="L2546" s="215"/>
      <c r="M2546" s="30"/>
      <c r="N2546" s="33" t="str">
        <f t="shared" si="243"/>
        <v/>
      </c>
      <c r="O2546" s="34"/>
      <c r="P2546" s="36" t="str">
        <f t="shared" si="244"/>
        <v/>
      </c>
      <c r="Q2546" s="216" t="str">
        <f t="shared" si="245"/>
        <v/>
      </c>
      <c r="R2546" s="216" t="str">
        <f t="shared" si="246"/>
        <v/>
      </c>
      <c r="S2546" s="217" t="str">
        <f t="shared" si="247"/>
        <v/>
      </c>
    </row>
    <row r="2547" spans="1:19" ht="15.75" hidden="1" thickBot="1" x14ac:dyDescent="0.3">
      <c r="A2547" s="256" t="s">
        <v>1928</v>
      </c>
      <c r="B2547" s="259" t="str">
        <f>INDEX(Orçamentária!A:B,MATCH(Composições!A2547,Orçamentária!A:A,0),2)</f>
        <v>Massa Adesiva Plástica</v>
      </c>
      <c r="C2547" s="40"/>
      <c r="D2547" s="25" t="s">
        <v>16</v>
      </c>
      <c r="E2547" s="26"/>
      <c r="F2547" s="41" t="s">
        <v>416</v>
      </c>
      <c r="G2547" s="27" t="str">
        <f t="shared" si="242"/>
        <v/>
      </c>
      <c r="H2547" s="28"/>
      <c r="I2547" s="29"/>
      <c r="J2547" s="152">
        <v>0</v>
      </c>
      <c r="L2547" s="218"/>
      <c r="M2547" s="41"/>
      <c r="N2547" s="27" t="str">
        <f t="shared" si="243"/>
        <v/>
      </c>
      <c r="O2547" s="28"/>
      <c r="P2547" s="36" t="str">
        <f t="shared" si="244"/>
        <v/>
      </c>
      <c r="Q2547" s="216" t="str">
        <f t="shared" si="245"/>
        <v/>
      </c>
      <c r="R2547" s="216" t="str">
        <f t="shared" si="246"/>
        <v/>
      </c>
      <c r="S2547" s="217" t="str">
        <f t="shared" si="247"/>
        <v/>
      </c>
    </row>
    <row r="2548" spans="1:19" ht="15.75" hidden="1" thickBot="1" x14ac:dyDescent="0.3">
      <c r="A2548" s="262"/>
      <c r="B2548" s="260"/>
      <c r="C2548" s="31"/>
      <c r="D2548" s="31"/>
      <c r="E2548" s="32"/>
      <c r="F2548" s="42" t="s">
        <v>416</v>
      </c>
      <c r="G2548" s="33" t="str">
        <f t="shared" si="242"/>
        <v/>
      </c>
      <c r="H2548" s="34"/>
      <c r="I2548" s="30"/>
      <c r="J2548" s="152">
        <v>0</v>
      </c>
      <c r="L2548" s="219"/>
      <c r="M2548" s="42"/>
      <c r="N2548" s="33" t="str">
        <f t="shared" si="243"/>
        <v/>
      </c>
      <c r="O2548" s="34"/>
      <c r="P2548" s="36" t="str">
        <f t="shared" si="244"/>
        <v/>
      </c>
      <c r="Q2548" s="216" t="str">
        <f t="shared" si="245"/>
        <v/>
      </c>
      <c r="R2548" s="216" t="str">
        <f t="shared" si="246"/>
        <v/>
      </c>
      <c r="S2548" s="217" t="str">
        <f t="shared" si="247"/>
        <v/>
      </c>
    </row>
    <row r="2549" spans="1:19" ht="15.75" hidden="1" thickBot="1" x14ac:dyDescent="0.3">
      <c r="A2549" s="262"/>
      <c r="B2549" s="260"/>
      <c r="C2549" s="35" t="s">
        <v>2934</v>
      </c>
      <c r="D2549" s="35" t="s">
        <v>773</v>
      </c>
      <c r="E2549" s="36">
        <v>0.4</v>
      </c>
      <c r="F2549" s="30">
        <v>38.826499999999996</v>
      </c>
      <c r="G2549" s="33">
        <f t="shared" si="242"/>
        <v>15.5306</v>
      </c>
      <c r="H2549" s="38">
        <f>SUM(G2549:G2549)</f>
        <v>15.5306</v>
      </c>
      <c r="I2549" s="39"/>
      <c r="J2549" s="152">
        <v>0</v>
      </c>
      <c r="L2549" s="215">
        <v>0.4</v>
      </c>
      <c r="M2549" s="30">
        <v>33.235484</v>
      </c>
      <c r="N2549" s="33">
        <f t="shared" si="243"/>
        <v>13.2941936</v>
      </c>
      <c r="O2549" s="38">
        <f>SUM(N2549:N2549)</f>
        <v>13.2941936</v>
      </c>
      <c r="P2549" s="36" t="str">
        <f t="shared" si="244"/>
        <v/>
      </c>
      <c r="Q2549" s="216">
        <f t="shared" si="245"/>
        <v>0.14399999999999991</v>
      </c>
      <c r="R2549" s="216">
        <f t="shared" si="246"/>
        <v>0.14400000000000002</v>
      </c>
      <c r="S2549" s="217">
        <f t="shared" si="247"/>
        <v>0.14400000000000002</v>
      </c>
    </row>
    <row r="2550" spans="1:19" ht="15.75" hidden="1" thickBot="1" x14ac:dyDescent="0.3">
      <c r="A2550" s="263"/>
      <c r="B2550" s="261"/>
      <c r="C2550" s="35"/>
      <c r="D2550" s="35"/>
      <c r="E2550" s="36"/>
      <c r="F2550" s="30" t="s">
        <v>416</v>
      </c>
      <c r="G2550" s="33" t="str">
        <f t="shared" si="242"/>
        <v/>
      </c>
      <c r="H2550" s="34"/>
      <c r="I2550" s="30"/>
      <c r="J2550" s="152">
        <v>0</v>
      </c>
      <c r="L2550" s="215"/>
      <c r="M2550" s="30"/>
      <c r="N2550" s="33" t="str">
        <f t="shared" si="243"/>
        <v/>
      </c>
      <c r="O2550" s="34"/>
      <c r="P2550" s="36" t="str">
        <f t="shared" si="244"/>
        <v/>
      </c>
      <c r="Q2550" s="216" t="str">
        <f t="shared" si="245"/>
        <v/>
      </c>
      <c r="R2550" s="216" t="str">
        <f t="shared" si="246"/>
        <v/>
      </c>
      <c r="S2550" s="217" t="str">
        <f t="shared" si="247"/>
        <v/>
      </c>
    </row>
    <row r="2551" spans="1:19" ht="15.75" hidden="1" thickBot="1" x14ac:dyDescent="0.3">
      <c r="A2551" s="256" t="s">
        <v>622</v>
      </c>
      <c r="B2551" s="259" t="str">
        <f>INDEX(Orçamentária!A:B,MATCH(Composições!A2551,Orçamentária!A:A,0),2)</f>
        <v>Argamassa Para Contrapiso</v>
      </c>
      <c r="C2551" s="40"/>
      <c r="D2551" s="25" t="s">
        <v>1931</v>
      </c>
      <c r="E2551" s="26"/>
      <c r="F2551" s="41" t="s">
        <v>416</v>
      </c>
      <c r="G2551" s="27" t="str">
        <f t="shared" si="242"/>
        <v/>
      </c>
      <c r="H2551" s="28"/>
      <c r="I2551" s="29"/>
      <c r="J2551" s="152">
        <v>0</v>
      </c>
      <c r="L2551" s="218"/>
      <c r="M2551" s="41"/>
      <c r="N2551" s="27" t="str">
        <f t="shared" si="243"/>
        <v/>
      </c>
      <c r="O2551" s="28"/>
      <c r="P2551" s="36" t="str">
        <f t="shared" si="244"/>
        <v/>
      </c>
      <c r="Q2551" s="216" t="str">
        <f t="shared" si="245"/>
        <v/>
      </c>
      <c r="R2551" s="216" t="str">
        <f t="shared" si="246"/>
        <v/>
      </c>
      <c r="S2551" s="217" t="str">
        <f t="shared" si="247"/>
        <v/>
      </c>
    </row>
    <row r="2552" spans="1:19" ht="15.75" hidden="1" thickBot="1" x14ac:dyDescent="0.3">
      <c r="A2552" s="262"/>
      <c r="B2552" s="260"/>
      <c r="C2552" s="31"/>
      <c r="D2552" s="31"/>
      <c r="E2552" s="32"/>
      <c r="F2552" s="42" t="s">
        <v>416</v>
      </c>
      <c r="G2552" s="33" t="str">
        <f t="shared" si="242"/>
        <v/>
      </c>
      <c r="H2552" s="34"/>
      <c r="I2552" s="30"/>
      <c r="J2552" s="152">
        <v>0</v>
      </c>
      <c r="L2552" s="219"/>
      <c r="M2552" s="42"/>
      <c r="N2552" s="33" t="str">
        <f t="shared" si="243"/>
        <v/>
      </c>
      <c r="O2552" s="34"/>
      <c r="P2552" s="36" t="str">
        <f t="shared" si="244"/>
        <v/>
      </c>
      <c r="Q2552" s="216" t="str">
        <f t="shared" si="245"/>
        <v/>
      </c>
      <c r="R2552" s="216" t="str">
        <f t="shared" si="246"/>
        <v/>
      </c>
      <c r="S2552" s="217" t="str">
        <f t="shared" si="247"/>
        <v/>
      </c>
    </row>
    <row r="2553" spans="1:19" ht="15.75" hidden="1" thickBot="1" x14ac:dyDescent="0.3">
      <c r="A2553" s="262"/>
      <c r="B2553" s="260"/>
      <c r="C2553" s="35" t="s">
        <v>623</v>
      </c>
      <c r="D2553" s="35" t="s">
        <v>773</v>
      </c>
      <c r="E2553" s="36">
        <v>40</v>
      </c>
      <c r="F2553" s="30">
        <v>0.60799999999999998</v>
      </c>
      <c r="G2553" s="33">
        <f t="shared" si="242"/>
        <v>24.32</v>
      </c>
      <c r="H2553" s="38">
        <f>SUM(G2553:G2553)</f>
        <v>24.32</v>
      </c>
      <c r="I2553" s="39"/>
      <c r="J2553" s="152">
        <v>0</v>
      </c>
      <c r="L2553" s="215">
        <v>40</v>
      </c>
      <c r="M2553" s="30">
        <v>0.52044800000000002</v>
      </c>
      <c r="N2553" s="33">
        <f t="shared" si="243"/>
        <v>20.817920000000001</v>
      </c>
      <c r="O2553" s="38">
        <f>SUM(N2553:N2553)</f>
        <v>20.817920000000001</v>
      </c>
      <c r="P2553" s="36" t="str">
        <f t="shared" si="244"/>
        <v/>
      </c>
      <c r="Q2553" s="216">
        <f t="shared" si="245"/>
        <v>0.14399999999999991</v>
      </c>
      <c r="R2553" s="216">
        <f t="shared" si="246"/>
        <v>0.14400000000000002</v>
      </c>
      <c r="S2553" s="217">
        <f t="shared" si="247"/>
        <v>0.14400000000000002</v>
      </c>
    </row>
    <row r="2554" spans="1:19" ht="15.75" hidden="1" thickBot="1" x14ac:dyDescent="0.3">
      <c r="A2554" s="263"/>
      <c r="B2554" s="261"/>
      <c r="C2554" s="35"/>
      <c r="D2554" s="35"/>
      <c r="E2554" s="36"/>
      <c r="F2554" s="30" t="s">
        <v>416</v>
      </c>
      <c r="G2554" s="33" t="str">
        <f t="shared" si="242"/>
        <v/>
      </c>
      <c r="H2554" s="34"/>
      <c r="I2554" s="30"/>
      <c r="J2554" s="152">
        <v>0</v>
      </c>
      <c r="L2554" s="215"/>
      <c r="M2554" s="30"/>
      <c r="N2554" s="33" t="str">
        <f t="shared" si="243"/>
        <v/>
      </c>
      <c r="O2554" s="34"/>
      <c r="P2554" s="36" t="str">
        <f t="shared" si="244"/>
        <v/>
      </c>
      <c r="Q2554" s="216" t="str">
        <f t="shared" si="245"/>
        <v/>
      </c>
      <c r="R2554" s="216" t="str">
        <f t="shared" si="246"/>
        <v/>
      </c>
      <c r="S2554" s="217" t="str">
        <f t="shared" si="247"/>
        <v/>
      </c>
    </row>
    <row r="2555" spans="1:19" ht="15.75" hidden="1" thickBot="1" x14ac:dyDescent="0.3">
      <c r="A2555" s="256" t="s">
        <v>624</v>
      </c>
      <c r="B2555" s="259" t="str">
        <f>INDEX(Orçamentária!A:B,MATCH(Composições!A2555,Orçamentária!A:A,0),2)</f>
        <v>Argamassa Múltiplo Uso</v>
      </c>
      <c r="C2555" s="40"/>
      <c r="D2555" s="25" t="s">
        <v>1931</v>
      </c>
      <c r="E2555" s="26"/>
      <c r="F2555" s="41" t="s">
        <v>416</v>
      </c>
      <c r="G2555" s="27" t="str">
        <f t="shared" si="242"/>
        <v/>
      </c>
      <c r="H2555" s="28"/>
      <c r="I2555" s="29"/>
      <c r="J2555" s="152">
        <v>0</v>
      </c>
      <c r="L2555" s="218"/>
      <c r="M2555" s="41"/>
      <c r="N2555" s="27" t="str">
        <f t="shared" si="243"/>
        <v/>
      </c>
      <c r="O2555" s="28"/>
      <c r="P2555" s="36" t="str">
        <f t="shared" si="244"/>
        <v/>
      </c>
      <c r="Q2555" s="216" t="str">
        <f t="shared" si="245"/>
        <v/>
      </c>
      <c r="R2555" s="216" t="str">
        <f t="shared" si="246"/>
        <v/>
      </c>
      <c r="S2555" s="217" t="str">
        <f t="shared" si="247"/>
        <v/>
      </c>
    </row>
    <row r="2556" spans="1:19" ht="15.75" hidden="1" thickBot="1" x14ac:dyDescent="0.3">
      <c r="A2556" s="262"/>
      <c r="B2556" s="260"/>
      <c r="C2556" s="31"/>
      <c r="D2556" s="31"/>
      <c r="E2556" s="32"/>
      <c r="F2556" s="42" t="s">
        <v>416</v>
      </c>
      <c r="G2556" s="33" t="str">
        <f t="shared" si="242"/>
        <v/>
      </c>
      <c r="H2556" s="34"/>
      <c r="I2556" s="30"/>
      <c r="J2556" s="152">
        <v>0</v>
      </c>
      <c r="L2556" s="219"/>
      <c r="M2556" s="42"/>
      <c r="N2556" s="33" t="str">
        <f t="shared" si="243"/>
        <v/>
      </c>
      <c r="O2556" s="34"/>
      <c r="P2556" s="36" t="str">
        <f t="shared" si="244"/>
        <v/>
      </c>
      <c r="Q2556" s="216" t="str">
        <f t="shared" si="245"/>
        <v/>
      </c>
      <c r="R2556" s="216" t="str">
        <f t="shared" si="246"/>
        <v/>
      </c>
      <c r="S2556" s="217" t="str">
        <f t="shared" si="247"/>
        <v/>
      </c>
    </row>
    <row r="2557" spans="1:19" ht="26.25" hidden="1" thickBot="1" x14ac:dyDescent="0.3">
      <c r="A2557" s="262"/>
      <c r="B2557" s="260"/>
      <c r="C2557" s="35" t="s">
        <v>7989</v>
      </c>
      <c r="D2557" s="35" t="s">
        <v>773</v>
      </c>
      <c r="E2557" s="36">
        <v>40</v>
      </c>
      <c r="F2557" s="30">
        <v>0.63649999999999995</v>
      </c>
      <c r="G2557" s="33">
        <f t="shared" ref="G2557:G2620" si="248">IF(ISNUMBER(F2557),E2557*F2557,"")</f>
        <v>25.459999999999997</v>
      </c>
      <c r="H2557" s="38">
        <f>SUM(G2557:G2557)</f>
        <v>25.459999999999997</v>
      </c>
      <c r="I2557" s="39"/>
      <c r="J2557" s="152">
        <v>0</v>
      </c>
      <c r="L2557" s="215">
        <v>40</v>
      </c>
      <c r="M2557" s="30">
        <v>0.54484399999999999</v>
      </c>
      <c r="N2557" s="33">
        <f t="shared" ref="N2557:N2620" si="249">IF(ISNUMBER(M2557),L2557*M2557,"")</f>
        <v>21.793759999999999</v>
      </c>
      <c r="O2557" s="38">
        <f>SUM(N2557:N2557)</f>
        <v>21.793759999999999</v>
      </c>
      <c r="P2557" s="36" t="str">
        <f t="shared" si="244"/>
        <v/>
      </c>
      <c r="Q2557" s="216">
        <f t="shared" si="245"/>
        <v>0.14399999999999991</v>
      </c>
      <c r="R2557" s="216">
        <f t="shared" si="246"/>
        <v>0.14399999999999991</v>
      </c>
      <c r="S2557" s="217">
        <f t="shared" si="247"/>
        <v>0.14399999999999991</v>
      </c>
    </row>
    <row r="2558" spans="1:19" ht="15.75" hidden="1" thickBot="1" x14ac:dyDescent="0.3">
      <c r="A2558" s="263"/>
      <c r="B2558" s="261"/>
      <c r="C2558" s="35"/>
      <c r="D2558" s="35"/>
      <c r="E2558" s="36"/>
      <c r="F2558" s="30" t="s">
        <v>416</v>
      </c>
      <c r="G2558" s="33" t="str">
        <f t="shared" si="248"/>
        <v/>
      </c>
      <c r="H2558" s="34"/>
      <c r="I2558" s="30"/>
      <c r="J2558" s="152">
        <v>0</v>
      </c>
      <c r="L2558" s="215"/>
      <c r="M2558" s="30"/>
      <c r="N2558" s="33" t="str">
        <f t="shared" si="249"/>
        <v/>
      </c>
      <c r="O2558" s="34"/>
      <c r="P2558" s="36" t="str">
        <f t="shared" si="244"/>
        <v/>
      </c>
      <c r="Q2558" s="216" t="str">
        <f t="shared" si="245"/>
        <v/>
      </c>
      <c r="R2558" s="216" t="str">
        <f t="shared" si="246"/>
        <v/>
      </c>
      <c r="S2558" s="217" t="str">
        <f t="shared" si="247"/>
        <v/>
      </c>
    </row>
    <row r="2559" spans="1:19" ht="15.75" hidden="1" thickBot="1" x14ac:dyDescent="0.3">
      <c r="A2559" s="256" t="s">
        <v>625</v>
      </c>
      <c r="B2559" s="259" t="str">
        <f>INDEX(Orçamentária!A:B,MATCH(Composições!A2559,Orçamentária!A:A,0),2)</f>
        <v>Cimento Portland CP II E 32</v>
      </c>
      <c r="C2559" s="40"/>
      <c r="D2559" s="25" t="s">
        <v>1934</v>
      </c>
      <c r="E2559" s="26"/>
      <c r="F2559" s="41" t="s">
        <v>416</v>
      </c>
      <c r="G2559" s="27" t="str">
        <f t="shared" si="248"/>
        <v/>
      </c>
      <c r="H2559" s="28"/>
      <c r="I2559" s="29"/>
      <c r="J2559" s="152">
        <v>0</v>
      </c>
      <c r="L2559" s="218"/>
      <c r="M2559" s="41"/>
      <c r="N2559" s="27" t="str">
        <f t="shared" si="249"/>
        <v/>
      </c>
      <c r="O2559" s="28"/>
      <c r="P2559" s="36" t="str">
        <f t="shared" si="244"/>
        <v/>
      </c>
      <c r="Q2559" s="216" t="str">
        <f t="shared" si="245"/>
        <v/>
      </c>
      <c r="R2559" s="216" t="str">
        <f t="shared" si="246"/>
        <v/>
      </c>
      <c r="S2559" s="217" t="str">
        <f t="shared" si="247"/>
        <v/>
      </c>
    </row>
    <row r="2560" spans="1:19" ht="15.75" hidden="1" thickBot="1" x14ac:dyDescent="0.3">
      <c r="A2560" s="262"/>
      <c r="B2560" s="260"/>
      <c r="C2560" s="31"/>
      <c r="D2560" s="31"/>
      <c r="E2560" s="32"/>
      <c r="F2560" s="42" t="s">
        <v>416</v>
      </c>
      <c r="G2560" s="33" t="str">
        <f t="shared" si="248"/>
        <v/>
      </c>
      <c r="H2560" s="34"/>
      <c r="I2560" s="30"/>
      <c r="J2560" s="152">
        <v>0</v>
      </c>
      <c r="L2560" s="219"/>
      <c r="M2560" s="42"/>
      <c r="N2560" s="33" t="str">
        <f t="shared" si="249"/>
        <v/>
      </c>
      <c r="O2560" s="34"/>
      <c r="P2560" s="36" t="str">
        <f t="shared" si="244"/>
        <v/>
      </c>
      <c r="Q2560" s="216" t="str">
        <f t="shared" si="245"/>
        <v/>
      </c>
      <c r="R2560" s="216" t="str">
        <f t="shared" si="246"/>
        <v/>
      </c>
      <c r="S2560" s="217" t="str">
        <f t="shared" si="247"/>
        <v/>
      </c>
    </row>
    <row r="2561" spans="1:19" ht="15.75" hidden="1" thickBot="1" x14ac:dyDescent="0.3">
      <c r="A2561" s="262"/>
      <c r="B2561" s="260"/>
      <c r="C2561" s="35" t="s">
        <v>8065</v>
      </c>
      <c r="D2561" s="35" t="s">
        <v>773</v>
      </c>
      <c r="E2561" s="36">
        <v>50</v>
      </c>
      <c r="F2561" s="30">
        <v>0.627</v>
      </c>
      <c r="G2561" s="33">
        <f t="shared" si="248"/>
        <v>31.35</v>
      </c>
      <c r="H2561" s="38">
        <f>SUM(G2561:G2561)</f>
        <v>31.35</v>
      </c>
      <c r="I2561" s="39"/>
      <c r="J2561" s="152">
        <v>0</v>
      </c>
      <c r="L2561" s="215">
        <v>50</v>
      </c>
      <c r="M2561" s="30">
        <v>0.53671199999999997</v>
      </c>
      <c r="N2561" s="33">
        <f t="shared" si="249"/>
        <v>26.835599999999999</v>
      </c>
      <c r="O2561" s="38">
        <f>SUM(N2561:N2561)</f>
        <v>26.835599999999999</v>
      </c>
      <c r="P2561" s="36" t="str">
        <f t="shared" si="244"/>
        <v/>
      </c>
      <c r="Q2561" s="216">
        <f t="shared" si="245"/>
        <v>0.14400000000000002</v>
      </c>
      <c r="R2561" s="216">
        <f t="shared" si="246"/>
        <v>0.14400000000000002</v>
      </c>
      <c r="S2561" s="217">
        <f t="shared" si="247"/>
        <v>0.14400000000000002</v>
      </c>
    </row>
    <row r="2562" spans="1:19" ht="15.75" hidden="1" thickBot="1" x14ac:dyDescent="0.3">
      <c r="A2562" s="263"/>
      <c r="B2562" s="261"/>
      <c r="C2562" s="35"/>
      <c r="D2562" s="35"/>
      <c r="E2562" s="36"/>
      <c r="F2562" s="30" t="s">
        <v>416</v>
      </c>
      <c r="G2562" s="33" t="str">
        <f t="shared" si="248"/>
        <v/>
      </c>
      <c r="H2562" s="34"/>
      <c r="I2562" s="30"/>
      <c r="J2562" s="152">
        <v>0</v>
      </c>
      <c r="L2562" s="215"/>
      <c r="M2562" s="30"/>
      <c r="N2562" s="33" t="str">
        <f t="shared" si="249"/>
        <v/>
      </c>
      <c r="O2562" s="34"/>
      <c r="P2562" s="36" t="str">
        <f t="shared" si="244"/>
        <v/>
      </c>
      <c r="Q2562" s="216" t="str">
        <f t="shared" si="245"/>
        <v/>
      </c>
      <c r="R2562" s="216" t="str">
        <f t="shared" si="246"/>
        <v/>
      </c>
      <c r="S2562" s="217" t="str">
        <f t="shared" si="247"/>
        <v/>
      </c>
    </row>
    <row r="2563" spans="1:19" ht="15.75" hidden="1" thickBot="1" x14ac:dyDescent="0.3">
      <c r="A2563" s="256" t="s">
        <v>626</v>
      </c>
      <c r="B2563" s="259" t="str">
        <f>INDEX(Orçamentária!A:B,MATCH(Composições!A2563,Orçamentária!A:A,0),2)</f>
        <v>Argamassa Colante tipo AC-III</v>
      </c>
      <c r="C2563" s="40"/>
      <c r="D2563" s="25" t="s">
        <v>1935</v>
      </c>
      <c r="E2563" s="26"/>
      <c r="F2563" s="41" t="s">
        <v>416</v>
      </c>
      <c r="G2563" s="27" t="str">
        <f t="shared" si="248"/>
        <v/>
      </c>
      <c r="H2563" s="28"/>
      <c r="I2563" s="29"/>
      <c r="J2563" s="152">
        <v>0</v>
      </c>
      <c r="L2563" s="218"/>
      <c r="M2563" s="41"/>
      <c r="N2563" s="27" t="str">
        <f t="shared" si="249"/>
        <v/>
      </c>
      <c r="O2563" s="28"/>
      <c r="P2563" s="36" t="str">
        <f t="shared" si="244"/>
        <v/>
      </c>
      <c r="Q2563" s="216" t="str">
        <f t="shared" si="245"/>
        <v/>
      </c>
      <c r="R2563" s="216" t="str">
        <f t="shared" si="246"/>
        <v/>
      </c>
      <c r="S2563" s="217" t="str">
        <f t="shared" si="247"/>
        <v/>
      </c>
    </row>
    <row r="2564" spans="1:19" ht="15.75" hidden="1" thickBot="1" x14ac:dyDescent="0.3">
      <c r="A2564" s="262"/>
      <c r="B2564" s="260"/>
      <c r="C2564" s="31"/>
      <c r="D2564" s="31"/>
      <c r="E2564" s="32"/>
      <c r="F2564" s="42" t="s">
        <v>416</v>
      </c>
      <c r="G2564" s="33" t="str">
        <f t="shared" si="248"/>
        <v/>
      </c>
      <c r="H2564" s="34"/>
      <c r="I2564" s="30"/>
      <c r="J2564" s="152">
        <v>0</v>
      </c>
      <c r="L2564" s="219"/>
      <c r="M2564" s="42"/>
      <c r="N2564" s="33" t="str">
        <f t="shared" si="249"/>
        <v/>
      </c>
      <c r="O2564" s="34"/>
      <c r="P2564" s="36" t="str">
        <f t="shared" si="244"/>
        <v/>
      </c>
      <c r="Q2564" s="216" t="str">
        <f t="shared" si="245"/>
        <v/>
      </c>
      <c r="R2564" s="216" t="str">
        <f t="shared" si="246"/>
        <v/>
      </c>
      <c r="S2564" s="217" t="str">
        <f t="shared" si="247"/>
        <v/>
      </c>
    </row>
    <row r="2565" spans="1:19" ht="15.75" hidden="1" thickBot="1" x14ac:dyDescent="0.3">
      <c r="A2565" s="262"/>
      <c r="B2565" s="260"/>
      <c r="C2565" s="35" t="s">
        <v>7987</v>
      </c>
      <c r="D2565" s="35" t="s">
        <v>773</v>
      </c>
      <c r="E2565" s="36">
        <v>20</v>
      </c>
      <c r="F2565" s="30">
        <v>1.8049999999999999</v>
      </c>
      <c r="G2565" s="33">
        <f t="shared" si="248"/>
        <v>36.1</v>
      </c>
      <c r="H2565" s="38">
        <f>SUM(G2565:G2565)</f>
        <v>36.1</v>
      </c>
      <c r="I2565" s="39"/>
      <c r="J2565" s="152">
        <v>0</v>
      </c>
      <c r="L2565" s="215">
        <v>20</v>
      </c>
      <c r="M2565" s="30">
        <v>1.54508</v>
      </c>
      <c r="N2565" s="33">
        <f t="shared" si="249"/>
        <v>30.901600000000002</v>
      </c>
      <c r="O2565" s="38">
        <f>SUM(N2565:N2565)</f>
        <v>30.901600000000002</v>
      </c>
      <c r="P2565" s="36" t="str">
        <f t="shared" si="244"/>
        <v/>
      </c>
      <c r="Q2565" s="216">
        <f t="shared" si="245"/>
        <v>0.14400000000000002</v>
      </c>
      <c r="R2565" s="216">
        <f t="shared" si="246"/>
        <v>0.14400000000000002</v>
      </c>
      <c r="S2565" s="217">
        <f t="shared" si="247"/>
        <v>0.14400000000000002</v>
      </c>
    </row>
    <row r="2566" spans="1:19" ht="15.75" hidden="1" thickBot="1" x14ac:dyDescent="0.3">
      <c r="A2566" s="263"/>
      <c r="B2566" s="261"/>
      <c r="C2566" s="35"/>
      <c r="D2566" s="35"/>
      <c r="E2566" s="36"/>
      <c r="F2566" s="30" t="s">
        <v>416</v>
      </c>
      <c r="G2566" s="33" t="str">
        <f t="shared" si="248"/>
        <v/>
      </c>
      <c r="H2566" s="34"/>
      <c r="I2566" s="30"/>
      <c r="J2566" s="152">
        <v>0</v>
      </c>
      <c r="L2566" s="215"/>
      <c r="M2566" s="30"/>
      <c r="N2566" s="33" t="str">
        <f t="shared" si="249"/>
        <v/>
      </c>
      <c r="O2566" s="34"/>
      <c r="P2566" s="36" t="str">
        <f t="shared" si="244"/>
        <v/>
      </c>
      <c r="Q2566" s="216" t="str">
        <f t="shared" si="245"/>
        <v/>
      </c>
      <c r="R2566" s="216" t="str">
        <f t="shared" si="246"/>
        <v/>
      </c>
      <c r="S2566" s="217" t="str">
        <f t="shared" si="247"/>
        <v/>
      </c>
    </row>
    <row r="2567" spans="1:19" ht="15.75" hidden="1" thickBot="1" x14ac:dyDescent="0.3">
      <c r="A2567" s="256" t="s">
        <v>627</v>
      </c>
      <c r="B2567" s="259" t="str">
        <f>INDEX(Orçamentária!A:B,MATCH(Composições!A2567,Orçamentária!A:A,0),2)</f>
        <v>Gesso Para Uso Geral</v>
      </c>
      <c r="C2567" s="40"/>
      <c r="D2567" s="25" t="s">
        <v>1931</v>
      </c>
      <c r="E2567" s="26"/>
      <c r="F2567" s="41" t="s">
        <v>416</v>
      </c>
      <c r="G2567" s="27" t="str">
        <f t="shared" si="248"/>
        <v/>
      </c>
      <c r="H2567" s="28"/>
      <c r="I2567" s="29"/>
      <c r="J2567" s="152">
        <v>0</v>
      </c>
      <c r="L2567" s="218"/>
      <c r="M2567" s="41"/>
      <c r="N2567" s="27" t="str">
        <f t="shared" si="249"/>
        <v/>
      </c>
      <c r="O2567" s="28"/>
      <c r="P2567" s="36" t="str">
        <f t="shared" si="244"/>
        <v/>
      </c>
      <c r="Q2567" s="216" t="str">
        <f t="shared" si="245"/>
        <v/>
      </c>
      <c r="R2567" s="216" t="str">
        <f t="shared" si="246"/>
        <v/>
      </c>
      <c r="S2567" s="217" t="str">
        <f t="shared" si="247"/>
        <v/>
      </c>
    </row>
    <row r="2568" spans="1:19" ht="15.75" hidden="1" thickBot="1" x14ac:dyDescent="0.3">
      <c r="A2568" s="262"/>
      <c r="B2568" s="260"/>
      <c r="C2568" s="31"/>
      <c r="D2568" s="31"/>
      <c r="E2568" s="32"/>
      <c r="F2568" s="42" t="s">
        <v>416</v>
      </c>
      <c r="G2568" s="33" t="str">
        <f t="shared" si="248"/>
        <v/>
      </c>
      <c r="H2568" s="34"/>
      <c r="I2568" s="30"/>
      <c r="J2568" s="152">
        <v>0</v>
      </c>
      <c r="L2568" s="219"/>
      <c r="M2568" s="42"/>
      <c r="N2568" s="33" t="str">
        <f t="shared" si="249"/>
        <v/>
      </c>
      <c r="O2568" s="34"/>
      <c r="P2568" s="36" t="str">
        <f t="shared" ref="P2568:P2631" si="250">IF(ISBLANK(L2568),"",IF($E2568&lt;&gt;L2568,"SIM",""))</f>
        <v/>
      </c>
      <c r="Q2568" s="216" t="str">
        <f t="shared" ref="Q2568:Q2631" si="251">IF(M2568="","",1-M2568/$F2568)</f>
        <v/>
      </c>
      <c r="R2568" s="216" t="str">
        <f t="shared" ref="R2568:R2631" si="252">IF(N2568="","",1-N2568/$G2568)</f>
        <v/>
      </c>
      <c r="S2568" s="217" t="str">
        <f t="shared" ref="S2568:S2631" si="253">IF(O2568="","",1-O2568/$H2568)</f>
        <v/>
      </c>
    </row>
    <row r="2569" spans="1:19" ht="26.25" hidden="1" thickBot="1" x14ac:dyDescent="0.3">
      <c r="A2569" s="262"/>
      <c r="B2569" s="260"/>
      <c r="C2569" s="35" t="s">
        <v>3227</v>
      </c>
      <c r="D2569" s="35" t="s">
        <v>773</v>
      </c>
      <c r="E2569" s="36">
        <v>40</v>
      </c>
      <c r="F2569" s="30">
        <v>0.69350000000000001</v>
      </c>
      <c r="G2569" s="33">
        <f t="shared" si="248"/>
        <v>27.740000000000002</v>
      </c>
      <c r="H2569" s="38">
        <f>SUM(G2569:G2569)</f>
        <v>27.740000000000002</v>
      </c>
      <c r="I2569" s="39"/>
      <c r="J2569" s="152">
        <v>0</v>
      </c>
      <c r="L2569" s="215">
        <v>40</v>
      </c>
      <c r="M2569" s="30">
        <v>0.59363600000000005</v>
      </c>
      <c r="N2569" s="33">
        <f t="shared" si="249"/>
        <v>23.745440000000002</v>
      </c>
      <c r="O2569" s="38">
        <f>SUM(N2569:N2569)</f>
        <v>23.745440000000002</v>
      </c>
      <c r="P2569" s="36" t="str">
        <f t="shared" si="250"/>
        <v/>
      </c>
      <c r="Q2569" s="216">
        <f t="shared" si="251"/>
        <v>0.14399999999999991</v>
      </c>
      <c r="R2569" s="216">
        <f t="shared" si="252"/>
        <v>0.14400000000000002</v>
      </c>
      <c r="S2569" s="217">
        <f t="shared" si="253"/>
        <v>0.14400000000000002</v>
      </c>
    </row>
    <row r="2570" spans="1:19" ht="15.75" hidden="1" thickBot="1" x14ac:dyDescent="0.3">
      <c r="A2570" s="263"/>
      <c r="B2570" s="261"/>
      <c r="C2570" s="35"/>
      <c r="D2570" s="35"/>
      <c r="E2570" s="36"/>
      <c r="F2570" s="30" t="s">
        <v>416</v>
      </c>
      <c r="G2570" s="33" t="str">
        <f t="shared" si="248"/>
        <v/>
      </c>
      <c r="H2570" s="34"/>
      <c r="I2570" s="30"/>
      <c r="J2570" s="152">
        <v>0</v>
      </c>
      <c r="L2570" s="215"/>
      <c r="M2570" s="30"/>
      <c r="N2570" s="33" t="str">
        <f t="shared" si="249"/>
        <v/>
      </c>
      <c r="O2570" s="34"/>
      <c r="P2570" s="36" t="str">
        <f t="shared" si="250"/>
        <v/>
      </c>
      <c r="Q2570" s="216" t="str">
        <f t="shared" si="251"/>
        <v/>
      </c>
      <c r="R2570" s="216" t="str">
        <f t="shared" si="252"/>
        <v/>
      </c>
      <c r="S2570" s="217" t="str">
        <f t="shared" si="253"/>
        <v/>
      </c>
    </row>
    <row r="2571" spans="1:19" ht="15.75" hidden="1" thickBot="1" x14ac:dyDescent="0.3">
      <c r="A2571" s="256" t="s">
        <v>628</v>
      </c>
      <c r="B2571" s="259" t="str">
        <f>INDEX(Orçamentária!A:B,MATCH(Composições!A2571,Orçamentária!A:A,0),2)</f>
        <v>Areia Média</v>
      </c>
      <c r="C2571" s="40"/>
      <c r="D2571" s="25" t="s">
        <v>80</v>
      </c>
      <c r="E2571" s="26"/>
      <c r="F2571" s="41" t="s">
        <v>416</v>
      </c>
      <c r="G2571" s="27" t="str">
        <f t="shared" si="248"/>
        <v/>
      </c>
      <c r="H2571" s="28"/>
      <c r="I2571" s="29"/>
      <c r="J2571" s="152">
        <v>0</v>
      </c>
      <c r="L2571" s="218"/>
      <c r="M2571" s="41"/>
      <c r="N2571" s="27" t="str">
        <f t="shared" si="249"/>
        <v/>
      </c>
      <c r="O2571" s="28"/>
      <c r="P2571" s="36" t="str">
        <f t="shared" si="250"/>
        <v/>
      </c>
      <c r="Q2571" s="216" t="str">
        <f t="shared" si="251"/>
        <v/>
      </c>
      <c r="R2571" s="216" t="str">
        <f t="shared" si="252"/>
        <v/>
      </c>
      <c r="S2571" s="217" t="str">
        <f t="shared" si="253"/>
        <v/>
      </c>
    </row>
    <row r="2572" spans="1:19" ht="15.75" hidden="1" thickBot="1" x14ac:dyDescent="0.3">
      <c r="A2572" s="262"/>
      <c r="B2572" s="260"/>
      <c r="C2572" s="31"/>
      <c r="D2572" s="31"/>
      <c r="E2572" s="32"/>
      <c r="F2572" s="42" t="s">
        <v>416</v>
      </c>
      <c r="G2572" s="33" t="str">
        <f t="shared" si="248"/>
        <v/>
      </c>
      <c r="H2572" s="34"/>
      <c r="I2572" s="30"/>
      <c r="J2572" s="152">
        <v>0</v>
      </c>
      <c r="L2572" s="219"/>
      <c r="M2572" s="42"/>
      <c r="N2572" s="33" t="str">
        <f t="shared" si="249"/>
        <v/>
      </c>
      <c r="O2572" s="34"/>
      <c r="P2572" s="36" t="str">
        <f t="shared" si="250"/>
        <v/>
      </c>
      <c r="Q2572" s="216" t="str">
        <f t="shared" si="251"/>
        <v/>
      </c>
      <c r="R2572" s="216" t="str">
        <f t="shared" si="252"/>
        <v/>
      </c>
      <c r="S2572" s="217" t="str">
        <f t="shared" si="253"/>
        <v/>
      </c>
    </row>
    <row r="2573" spans="1:19" ht="26.25" hidden="1" thickBot="1" x14ac:dyDescent="0.3">
      <c r="A2573" s="262"/>
      <c r="B2573" s="260"/>
      <c r="C2573" s="35" t="s">
        <v>7985</v>
      </c>
      <c r="D2573" s="35" t="s">
        <v>87</v>
      </c>
      <c r="E2573" s="36">
        <v>1</v>
      </c>
      <c r="F2573" s="30">
        <v>202.33099999999999</v>
      </c>
      <c r="G2573" s="33">
        <f t="shared" si="248"/>
        <v>202.33099999999999</v>
      </c>
      <c r="H2573" s="38">
        <f>SUM(G2573:G2575)</f>
        <v>245.80475179999999</v>
      </c>
      <c r="I2573" s="39"/>
      <c r="J2573" s="152">
        <v>0</v>
      </c>
      <c r="L2573" s="215">
        <v>1</v>
      </c>
      <c r="M2573" s="30">
        <v>173.195336</v>
      </c>
      <c r="N2573" s="33">
        <f t="shared" si="249"/>
        <v>173.195336</v>
      </c>
      <c r="O2573" s="38">
        <f>SUM(N2573:N2575)</f>
        <v>210.4088675408</v>
      </c>
      <c r="P2573" s="36" t="str">
        <f t="shared" si="250"/>
        <v/>
      </c>
      <c r="Q2573" s="216">
        <f t="shared" si="251"/>
        <v>0.14400000000000002</v>
      </c>
      <c r="R2573" s="216">
        <f t="shared" si="252"/>
        <v>0.14400000000000002</v>
      </c>
      <c r="S2573" s="217">
        <f t="shared" si="253"/>
        <v>0.14399999999999991</v>
      </c>
    </row>
    <row r="2574" spans="1:19" ht="51.75" hidden="1" thickBot="1" x14ac:dyDescent="0.3">
      <c r="A2574" s="262"/>
      <c r="B2574" s="260"/>
      <c r="C2574" s="35" t="s">
        <v>3071</v>
      </c>
      <c r="D2574" s="35" t="s">
        <v>80</v>
      </c>
      <c r="E2574" s="36">
        <f>E2573</f>
        <v>1</v>
      </c>
      <c r="F2574" s="33">
        <v>7.9257587999999988</v>
      </c>
      <c r="G2574" s="33">
        <f t="shared" si="248"/>
        <v>7.9257587999999988</v>
      </c>
      <c r="H2574" s="34"/>
      <c r="I2574" s="30"/>
      <c r="J2574" s="152">
        <v>0</v>
      </c>
      <c r="L2574" s="215">
        <v>1</v>
      </c>
      <c r="M2574" s="33">
        <v>6.7844495327999992</v>
      </c>
      <c r="N2574" s="33">
        <f t="shared" si="249"/>
        <v>6.7844495327999992</v>
      </c>
      <c r="O2574" s="34"/>
      <c r="P2574" s="36" t="str">
        <f t="shared" si="250"/>
        <v/>
      </c>
      <c r="Q2574" s="216">
        <f t="shared" si="251"/>
        <v>0.14400000000000002</v>
      </c>
      <c r="R2574" s="216">
        <f t="shared" si="252"/>
        <v>0.14400000000000002</v>
      </c>
      <c r="S2574" s="217" t="str">
        <f t="shared" si="253"/>
        <v/>
      </c>
    </row>
    <row r="2575" spans="1:19" ht="39" hidden="1" thickBot="1" x14ac:dyDescent="0.3">
      <c r="A2575" s="262"/>
      <c r="B2575" s="260"/>
      <c r="C2575" s="35" t="s">
        <v>629</v>
      </c>
      <c r="D2575" s="46" t="s">
        <v>630</v>
      </c>
      <c r="E2575" s="36">
        <f>E2573*20</f>
        <v>20</v>
      </c>
      <c r="F2575" s="30">
        <v>1.7773996499999998</v>
      </c>
      <c r="G2575" s="33">
        <f t="shared" si="248"/>
        <v>35.547992999999998</v>
      </c>
      <c r="H2575" s="34"/>
      <c r="I2575" s="30"/>
      <c r="J2575" s="152">
        <v>0</v>
      </c>
      <c r="L2575" s="215">
        <v>20</v>
      </c>
      <c r="M2575" s="30">
        <v>1.5214541003999997</v>
      </c>
      <c r="N2575" s="33">
        <f t="shared" si="249"/>
        <v>30.429082007999995</v>
      </c>
      <c r="O2575" s="34"/>
      <c r="P2575" s="36" t="str">
        <f t="shared" si="250"/>
        <v/>
      </c>
      <c r="Q2575" s="216">
        <f t="shared" si="251"/>
        <v>0.14400000000000002</v>
      </c>
      <c r="R2575" s="216">
        <f t="shared" si="252"/>
        <v>0.14400000000000013</v>
      </c>
      <c r="S2575" s="217" t="str">
        <f t="shared" si="253"/>
        <v/>
      </c>
    </row>
    <row r="2576" spans="1:19" ht="15.75" hidden="1" thickBot="1" x14ac:dyDescent="0.3">
      <c r="A2576" s="262"/>
      <c r="B2576" s="260"/>
      <c r="C2576" s="35"/>
      <c r="D2576" s="46"/>
      <c r="E2576" s="36"/>
      <c r="F2576" s="30" t="s">
        <v>416</v>
      </c>
      <c r="G2576" s="33" t="str">
        <f t="shared" si="248"/>
        <v/>
      </c>
      <c r="H2576" s="34"/>
      <c r="I2576" s="30"/>
      <c r="J2576" s="152">
        <v>0</v>
      </c>
      <c r="L2576" s="215"/>
      <c r="M2576" s="30"/>
      <c r="N2576" s="33" t="str">
        <f t="shared" si="249"/>
        <v/>
      </c>
      <c r="O2576" s="34"/>
      <c r="P2576" s="36" t="str">
        <f t="shared" si="250"/>
        <v/>
      </c>
      <c r="Q2576" s="216" t="str">
        <f t="shared" si="251"/>
        <v/>
      </c>
      <c r="R2576" s="216" t="str">
        <f t="shared" si="252"/>
        <v/>
      </c>
      <c r="S2576" s="217" t="str">
        <f t="shared" si="253"/>
        <v/>
      </c>
    </row>
    <row r="2577" spans="1:19" ht="15.75" hidden="1" thickBot="1" x14ac:dyDescent="0.3">
      <c r="A2577" s="262"/>
      <c r="B2577" s="260"/>
      <c r="C2577" s="47" t="s">
        <v>631</v>
      </c>
      <c r="D2577" s="46"/>
      <c r="E2577" s="36"/>
      <c r="F2577" s="30" t="s">
        <v>416</v>
      </c>
      <c r="G2577" s="33" t="str">
        <f t="shared" si="248"/>
        <v/>
      </c>
      <c r="H2577" s="34"/>
      <c r="I2577" s="30"/>
      <c r="J2577" s="152">
        <v>0</v>
      </c>
      <c r="L2577" s="215"/>
      <c r="M2577" s="30"/>
      <c r="N2577" s="33" t="str">
        <f t="shared" si="249"/>
        <v/>
      </c>
      <c r="O2577" s="34"/>
      <c r="P2577" s="36" t="str">
        <f t="shared" si="250"/>
        <v/>
      </c>
      <c r="Q2577" s="216" t="str">
        <f t="shared" si="251"/>
        <v/>
      </c>
      <c r="R2577" s="216" t="str">
        <f t="shared" si="252"/>
        <v/>
      </c>
      <c r="S2577" s="217" t="str">
        <f t="shared" si="253"/>
        <v/>
      </c>
    </row>
    <row r="2578" spans="1:19" ht="15.75" hidden="1" thickBot="1" x14ac:dyDescent="0.3">
      <c r="A2578" s="263"/>
      <c r="B2578" s="261"/>
      <c r="C2578" s="35"/>
      <c r="D2578" s="35"/>
      <c r="E2578" s="36"/>
      <c r="F2578" s="30" t="s">
        <v>416</v>
      </c>
      <c r="G2578" s="33" t="str">
        <f t="shared" si="248"/>
        <v/>
      </c>
      <c r="H2578" s="34"/>
      <c r="I2578" s="30"/>
      <c r="J2578" s="152">
        <v>0</v>
      </c>
      <c r="L2578" s="215"/>
      <c r="M2578" s="30"/>
      <c r="N2578" s="33" t="str">
        <f t="shared" si="249"/>
        <v/>
      </c>
      <c r="O2578" s="34"/>
      <c r="P2578" s="36" t="str">
        <f t="shared" si="250"/>
        <v/>
      </c>
      <c r="Q2578" s="216" t="str">
        <f t="shared" si="251"/>
        <v/>
      </c>
      <c r="R2578" s="216" t="str">
        <f t="shared" si="252"/>
        <v/>
      </c>
      <c r="S2578" s="217" t="str">
        <f t="shared" si="253"/>
        <v/>
      </c>
    </row>
    <row r="2579" spans="1:19" ht="15.75" hidden="1" thickBot="1" x14ac:dyDescent="0.3">
      <c r="A2579" s="256" t="s">
        <v>632</v>
      </c>
      <c r="B2579" s="259" t="str">
        <f>INDEX(Orçamentária!A:B,MATCH(Composições!A2579,Orçamentária!A:A,0),2)</f>
        <v>Brita Nº 0</v>
      </c>
      <c r="C2579" s="40"/>
      <c r="D2579" s="25" t="s">
        <v>80</v>
      </c>
      <c r="E2579" s="26"/>
      <c r="F2579" s="41" t="s">
        <v>416</v>
      </c>
      <c r="G2579" s="27" t="str">
        <f t="shared" si="248"/>
        <v/>
      </c>
      <c r="H2579" s="28"/>
      <c r="I2579" s="29"/>
      <c r="J2579" s="152">
        <v>0</v>
      </c>
      <c r="L2579" s="218"/>
      <c r="M2579" s="41"/>
      <c r="N2579" s="27" t="str">
        <f t="shared" si="249"/>
        <v/>
      </c>
      <c r="O2579" s="28"/>
      <c r="P2579" s="36" t="str">
        <f t="shared" si="250"/>
        <v/>
      </c>
      <c r="Q2579" s="216" t="str">
        <f t="shared" si="251"/>
        <v/>
      </c>
      <c r="R2579" s="216" t="str">
        <f t="shared" si="252"/>
        <v/>
      </c>
      <c r="S2579" s="217" t="str">
        <f t="shared" si="253"/>
        <v/>
      </c>
    </row>
    <row r="2580" spans="1:19" ht="15.75" hidden="1" thickBot="1" x14ac:dyDescent="0.3">
      <c r="A2580" s="262"/>
      <c r="B2580" s="260"/>
      <c r="C2580" s="31"/>
      <c r="D2580" s="31"/>
      <c r="E2580" s="32"/>
      <c r="F2580" s="42" t="s">
        <v>416</v>
      </c>
      <c r="G2580" s="33" t="str">
        <f t="shared" si="248"/>
        <v/>
      </c>
      <c r="H2580" s="34"/>
      <c r="I2580" s="30"/>
      <c r="J2580" s="152">
        <v>0</v>
      </c>
      <c r="L2580" s="219"/>
      <c r="M2580" s="42"/>
      <c r="N2580" s="33" t="str">
        <f t="shared" si="249"/>
        <v/>
      </c>
      <c r="O2580" s="34"/>
      <c r="P2580" s="36" t="str">
        <f t="shared" si="250"/>
        <v/>
      </c>
      <c r="Q2580" s="216" t="str">
        <f t="shared" si="251"/>
        <v/>
      </c>
      <c r="R2580" s="216" t="str">
        <f t="shared" si="252"/>
        <v/>
      </c>
      <c r="S2580" s="217" t="str">
        <f t="shared" si="253"/>
        <v/>
      </c>
    </row>
    <row r="2581" spans="1:19" ht="26.25" hidden="1" thickBot="1" x14ac:dyDescent="0.3">
      <c r="A2581" s="262"/>
      <c r="B2581" s="260"/>
      <c r="C2581" s="35" t="s">
        <v>633</v>
      </c>
      <c r="D2581" s="35" t="s">
        <v>87</v>
      </c>
      <c r="E2581" s="36">
        <v>1</v>
      </c>
      <c r="F2581" s="30">
        <v>203.71799999999999</v>
      </c>
      <c r="G2581" s="33">
        <f t="shared" si="248"/>
        <v>203.71799999999999</v>
      </c>
      <c r="H2581" s="38">
        <f>SUM(G2581:G2583)</f>
        <v>247.19175179999999</v>
      </c>
      <c r="I2581" s="39"/>
      <c r="J2581" s="152">
        <v>0</v>
      </c>
      <c r="L2581" s="215">
        <v>1</v>
      </c>
      <c r="M2581" s="30">
        <v>174.382608</v>
      </c>
      <c r="N2581" s="33">
        <f t="shared" si="249"/>
        <v>174.382608</v>
      </c>
      <c r="O2581" s="38">
        <f>SUM(N2581:N2583)</f>
        <v>211.59613954080001</v>
      </c>
      <c r="P2581" s="36" t="str">
        <f t="shared" si="250"/>
        <v/>
      </c>
      <c r="Q2581" s="216">
        <f t="shared" si="251"/>
        <v>0.14399999999999991</v>
      </c>
      <c r="R2581" s="216">
        <f t="shared" si="252"/>
        <v>0.14399999999999991</v>
      </c>
      <c r="S2581" s="217">
        <f t="shared" si="253"/>
        <v>0.14399999999999991</v>
      </c>
    </row>
    <row r="2582" spans="1:19" ht="51.75" hidden="1" thickBot="1" x14ac:dyDescent="0.3">
      <c r="A2582" s="262"/>
      <c r="B2582" s="260"/>
      <c r="C2582" s="35" t="s">
        <v>3071</v>
      </c>
      <c r="D2582" s="35" t="s">
        <v>80</v>
      </c>
      <c r="E2582" s="36">
        <f>E2581</f>
        <v>1</v>
      </c>
      <c r="F2582" s="33">
        <v>7.9257587999999988</v>
      </c>
      <c r="G2582" s="33">
        <f t="shared" si="248"/>
        <v>7.9257587999999988</v>
      </c>
      <c r="H2582" s="34"/>
      <c r="I2582" s="30"/>
      <c r="J2582" s="152">
        <v>0</v>
      </c>
      <c r="L2582" s="215">
        <v>1</v>
      </c>
      <c r="M2582" s="33">
        <v>6.7844495327999992</v>
      </c>
      <c r="N2582" s="33">
        <f t="shared" si="249"/>
        <v>6.7844495327999992</v>
      </c>
      <c r="O2582" s="34"/>
      <c r="P2582" s="36" t="str">
        <f t="shared" si="250"/>
        <v/>
      </c>
      <c r="Q2582" s="216">
        <f t="shared" si="251"/>
        <v>0.14400000000000002</v>
      </c>
      <c r="R2582" s="216">
        <f t="shared" si="252"/>
        <v>0.14400000000000002</v>
      </c>
      <c r="S2582" s="217" t="str">
        <f t="shared" si="253"/>
        <v/>
      </c>
    </row>
    <row r="2583" spans="1:19" ht="39" hidden="1" thickBot="1" x14ac:dyDescent="0.3">
      <c r="A2583" s="262"/>
      <c r="B2583" s="260"/>
      <c r="C2583" s="35" t="s">
        <v>629</v>
      </c>
      <c r="D2583" s="46" t="s">
        <v>630</v>
      </c>
      <c r="E2583" s="36">
        <f>E2581*20</f>
        <v>20</v>
      </c>
      <c r="F2583" s="30">
        <v>1.7773996499999998</v>
      </c>
      <c r="G2583" s="33">
        <f t="shared" si="248"/>
        <v>35.547992999999998</v>
      </c>
      <c r="H2583" s="34"/>
      <c r="I2583" s="30"/>
      <c r="J2583" s="152">
        <v>0</v>
      </c>
      <c r="L2583" s="215">
        <v>20</v>
      </c>
      <c r="M2583" s="30">
        <v>1.5214541003999997</v>
      </c>
      <c r="N2583" s="33">
        <f t="shared" si="249"/>
        <v>30.429082007999995</v>
      </c>
      <c r="O2583" s="34"/>
      <c r="P2583" s="36" t="str">
        <f t="shared" si="250"/>
        <v/>
      </c>
      <c r="Q2583" s="216">
        <f t="shared" si="251"/>
        <v>0.14400000000000002</v>
      </c>
      <c r="R2583" s="216">
        <f t="shared" si="252"/>
        <v>0.14400000000000013</v>
      </c>
      <c r="S2583" s="217" t="str">
        <f t="shared" si="253"/>
        <v/>
      </c>
    </row>
    <row r="2584" spans="1:19" ht="15.75" hidden="1" thickBot="1" x14ac:dyDescent="0.3">
      <c r="A2584" s="262"/>
      <c r="B2584" s="260"/>
      <c r="C2584" s="35"/>
      <c r="D2584" s="46"/>
      <c r="E2584" s="36"/>
      <c r="F2584" s="30" t="s">
        <v>416</v>
      </c>
      <c r="G2584" s="33" t="str">
        <f t="shared" si="248"/>
        <v/>
      </c>
      <c r="H2584" s="34"/>
      <c r="I2584" s="30"/>
      <c r="J2584" s="152">
        <v>0</v>
      </c>
      <c r="L2584" s="215"/>
      <c r="M2584" s="30"/>
      <c r="N2584" s="33" t="str">
        <f t="shared" si="249"/>
        <v/>
      </c>
      <c r="O2584" s="34"/>
      <c r="P2584" s="36" t="str">
        <f t="shared" si="250"/>
        <v/>
      </c>
      <c r="Q2584" s="216" t="str">
        <f t="shared" si="251"/>
        <v/>
      </c>
      <c r="R2584" s="216" t="str">
        <f t="shared" si="252"/>
        <v/>
      </c>
      <c r="S2584" s="217" t="str">
        <f t="shared" si="253"/>
        <v/>
      </c>
    </row>
    <row r="2585" spans="1:19" ht="15.75" hidden="1" thickBot="1" x14ac:dyDescent="0.3">
      <c r="A2585" s="262"/>
      <c r="B2585" s="260"/>
      <c r="C2585" s="47" t="s">
        <v>634</v>
      </c>
      <c r="D2585" s="46"/>
      <c r="E2585" s="36"/>
      <c r="F2585" s="30" t="s">
        <v>416</v>
      </c>
      <c r="G2585" s="33" t="str">
        <f t="shared" si="248"/>
        <v/>
      </c>
      <c r="H2585" s="34"/>
      <c r="I2585" s="30"/>
      <c r="J2585" s="152">
        <v>0</v>
      </c>
      <c r="L2585" s="215"/>
      <c r="M2585" s="30"/>
      <c r="N2585" s="33" t="str">
        <f t="shared" si="249"/>
        <v/>
      </c>
      <c r="O2585" s="34"/>
      <c r="P2585" s="36" t="str">
        <f t="shared" si="250"/>
        <v/>
      </c>
      <c r="Q2585" s="216" t="str">
        <f t="shared" si="251"/>
        <v/>
      </c>
      <c r="R2585" s="216" t="str">
        <f t="shared" si="252"/>
        <v/>
      </c>
      <c r="S2585" s="217" t="str">
        <f t="shared" si="253"/>
        <v/>
      </c>
    </row>
    <row r="2586" spans="1:19" ht="15.75" hidden="1" thickBot="1" x14ac:dyDescent="0.3">
      <c r="A2586" s="263"/>
      <c r="B2586" s="261"/>
      <c r="C2586" s="35"/>
      <c r="D2586" s="35"/>
      <c r="E2586" s="36"/>
      <c r="F2586" s="30" t="s">
        <v>416</v>
      </c>
      <c r="G2586" s="33" t="str">
        <f t="shared" si="248"/>
        <v/>
      </c>
      <c r="H2586" s="34"/>
      <c r="I2586" s="30"/>
      <c r="J2586" s="152">
        <v>0</v>
      </c>
      <c r="L2586" s="215"/>
      <c r="M2586" s="30"/>
      <c r="N2586" s="33" t="str">
        <f t="shared" si="249"/>
        <v/>
      </c>
      <c r="O2586" s="34"/>
      <c r="P2586" s="36" t="str">
        <f t="shared" si="250"/>
        <v/>
      </c>
      <c r="Q2586" s="216" t="str">
        <f t="shared" si="251"/>
        <v/>
      </c>
      <c r="R2586" s="216" t="str">
        <f t="shared" si="252"/>
        <v/>
      </c>
      <c r="S2586" s="217" t="str">
        <f t="shared" si="253"/>
        <v/>
      </c>
    </row>
    <row r="2587" spans="1:19" ht="15.75" hidden="1" thickBot="1" x14ac:dyDescent="0.3">
      <c r="A2587" s="256" t="s">
        <v>635</v>
      </c>
      <c r="B2587" s="259" t="str">
        <f>INDEX(Orçamentária!A:B,MATCH(Composições!A2587,Orçamentária!A:A,0),2)</f>
        <v>Brita Nº 1</v>
      </c>
      <c r="C2587" s="40"/>
      <c r="D2587" s="25" t="s">
        <v>80</v>
      </c>
      <c r="E2587" s="26"/>
      <c r="F2587" s="41" t="s">
        <v>416</v>
      </c>
      <c r="G2587" s="27" t="str">
        <f t="shared" si="248"/>
        <v/>
      </c>
      <c r="H2587" s="28"/>
      <c r="I2587" s="29"/>
      <c r="J2587" s="152">
        <v>0</v>
      </c>
      <c r="L2587" s="218"/>
      <c r="M2587" s="41"/>
      <c r="N2587" s="27" t="str">
        <f t="shared" si="249"/>
        <v/>
      </c>
      <c r="O2587" s="28"/>
      <c r="P2587" s="36" t="str">
        <f t="shared" si="250"/>
        <v/>
      </c>
      <c r="Q2587" s="216" t="str">
        <f t="shared" si="251"/>
        <v/>
      </c>
      <c r="R2587" s="216" t="str">
        <f t="shared" si="252"/>
        <v/>
      </c>
      <c r="S2587" s="217" t="str">
        <f t="shared" si="253"/>
        <v/>
      </c>
    </row>
    <row r="2588" spans="1:19" ht="15.75" hidden="1" thickBot="1" x14ac:dyDescent="0.3">
      <c r="A2588" s="262"/>
      <c r="B2588" s="260"/>
      <c r="C2588" s="31"/>
      <c r="D2588" s="31"/>
      <c r="E2588" s="32"/>
      <c r="F2588" s="42" t="s">
        <v>416</v>
      </c>
      <c r="G2588" s="33" t="str">
        <f t="shared" si="248"/>
        <v/>
      </c>
      <c r="H2588" s="34"/>
      <c r="I2588" s="30"/>
      <c r="J2588" s="152">
        <v>0</v>
      </c>
      <c r="L2588" s="219"/>
      <c r="M2588" s="42"/>
      <c r="N2588" s="33" t="str">
        <f t="shared" si="249"/>
        <v/>
      </c>
      <c r="O2588" s="34"/>
      <c r="P2588" s="36" t="str">
        <f t="shared" si="250"/>
        <v/>
      </c>
      <c r="Q2588" s="216" t="str">
        <f t="shared" si="251"/>
        <v/>
      </c>
      <c r="R2588" s="216" t="str">
        <f t="shared" si="252"/>
        <v/>
      </c>
      <c r="S2588" s="217" t="str">
        <f t="shared" si="253"/>
        <v/>
      </c>
    </row>
    <row r="2589" spans="1:19" ht="26.25" hidden="1" thickBot="1" x14ac:dyDescent="0.3">
      <c r="A2589" s="262"/>
      <c r="B2589" s="260"/>
      <c r="C2589" s="35" t="s">
        <v>8311</v>
      </c>
      <c r="D2589" s="35" t="s">
        <v>87</v>
      </c>
      <c r="E2589" s="36">
        <v>1</v>
      </c>
      <c r="F2589" s="30">
        <v>176.453</v>
      </c>
      <c r="G2589" s="33">
        <f t="shared" si="248"/>
        <v>176.453</v>
      </c>
      <c r="H2589" s="38">
        <f>SUM(G2589:G2591)</f>
        <v>219.92675180000001</v>
      </c>
      <c r="I2589" s="39"/>
      <c r="J2589" s="152">
        <v>0</v>
      </c>
      <c r="L2589" s="215">
        <v>1</v>
      </c>
      <c r="M2589" s="30">
        <v>151.043768</v>
      </c>
      <c r="N2589" s="33">
        <f t="shared" si="249"/>
        <v>151.043768</v>
      </c>
      <c r="O2589" s="38">
        <f>SUM(N2589:N2591)</f>
        <v>188.25729954080001</v>
      </c>
      <c r="P2589" s="36" t="str">
        <f t="shared" si="250"/>
        <v/>
      </c>
      <c r="Q2589" s="216">
        <f t="shared" si="251"/>
        <v>0.14400000000000002</v>
      </c>
      <c r="R2589" s="216">
        <f t="shared" si="252"/>
        <v>0.14400000000000002</v>
      </c>
      <c r="S2589" s="217">
        <f t="shared" si="253"/>
        <v>0.14400000000000002</v>
      </c>
    </row>
    <row r="2590" spans="1:19" ht="51.75" hidden="1" thickBot="1" x14ac:dyDescent="0.3">
      <c r="A2590" s="262"/>
      <c r="B2590" s="260"/>
      <c r="C2590" s="35" t="s">
        <v>3071</v>
      </c>
      <c r="D2590" s="35" t="s">
        <v>80</v>
      </c>
      <c r="E2590" s="36">
        <f>E2589</f>
        <v>1</v>
      </c>
      <c r="F2590" s="33">
        <v>7.9257587999999988</v>
      </c>
      <c r="G2590" s="33">
        <f t="shared" si="248"/>
        <v>7.9257587999999988</v>
      </c>
      <c r="H2590" s="34"/>
      <c r="I2590" s="30"/>
      <c r="J2590" s="152">
        <v>0</v>
      </c>
      <c r="L2590" s="215">
        <v>1</v>
      </c>
      <c r="M2590" s="33">
        <v>6.7844495327999992</v>
      </c>
      <c r="N2590" s="33">
        <f t="shared" si="249"/>
        <v>6.7844495327999992</v>
      </c>
      <c r="O2590" s="34"/>
      <c r="P2590" s="36" t="str">
        <f t="shared" si="250"/>
        <v/>
      </c>
      <c r="Q2590" s="216">
        <f t="shared" si="251"/>
        <v>0.14400000000000002</v>
      </c>
      <c r="R2590" s="216">
        <f t="shared" si="252"/>
        <v>0.14400000000000002</v>
      </c>
      <c r="S2590" s="217" t="str">
        <f t="shared" si="253"/>
        <v/>
      </c>
    </row>
    <row r="2591" spans="1:19" ht="39" hidden="1" thickBot="1" x14ac:dyDescent="0.3">
      <c r="A2591" s="262"/>
      <c r="B2591" s="260"/>
      <c r="C2591" s="35" t="s">
        <v>629</v>
      </c>
      <c r="D2591" s="46" t="s">
        <v>630</v>
      </c>
      <c r="E2591" s="36">
        <f>E2589*20</f>
        <v>20</v>
      </c>
      <c r="F2591" s="30">
        <v>1.7773996499999998</v>
      </c>
      <c r="G2591" s="33">
        <f t="shared" si="248"/>
        <v>35.547992999999998</v>
      </c>
      <c r="H2591" s="34"/>
      <c r="I2591" s="30"/>
      <c r="J2591" s="152">
        <v>0</v>
      </c>
      <c r="L2591" s="215">
        <v>20</v>
      </c>
      <c r="M2591" s="30">
        <v>1.5214541003999997</v>
      </c>
      <c r="N2591" s="33">
        <f t="shared" si="249"/>
        <v>30.429082007999995</v>
      </c>
      <c r="O2591" s="34"/>
      <c r="P2591" s="36" t="str">
        <f t="shared" si="250"/>
        <v/>
      </c>
      <c r="Q2591" s="216">
        <f t="shared" si="251"/>
        <v>0.14400000000000002</v>
      </c>
      <c r="R2591" s="216">
        <f t="shared" si="252"/>
        <v>0.14400000000000013</v>
      </c>
      <c r="S2591" s="217" t="str">
        <f t="shared" si="253"/>
        <v/>
      </c>
    </row>
    <row r="2592" spans="1:19" ht="15.75" hidden="1" thickBot="1" x14ac:dyDescent="0.3">
      <c r="A2592" s="262"/>
      <c r="B2592" s="260"/>
      <c r="C2592" s="35"/>
      <c r="D2592" s="46"/>
      <c r="E2592" s="36"/>
      <c r="F2592" s="30" t="s">
        <v>416</v>
      </c>
      <c r="G2592" s="33" t="str">
        <f t="shared" si="248"/>
        <v/>
      </c>
      <c r="H2592" s="34"/>
      <c r="I2592" s="30"/>
      <c r="J2592" s="152">
        <v>0</v>
      </c>
      <c r="L2592" s="215"/>
      <c r="M2592" s="30"/>
      <c r="N2592" s="33" t="str">
        <f t="shared" si="249"/>
        <v/>
      </c>
      <c r="O2592" s="34"/>
      <c r="P2592" s="36" t="str">
        <f t="shared" si="250"/>
        <v/>
      </c>
      <c r="Q2592" s="216" t="str">
        <f t="shared" si="251"/>
        <v/>
      </c>
      <c r="R2592" s="216" t="str">
        <f t="shared" si="252"/>
        <v/>
      </c>
      <c r="S2592" s="217" t="str">
        <f t="shared" si="253"/>
        <v/>
      </c>
    </row>
    <row r="2593" spans="1:19" ht="15.75" hidden="1" thickBot="1" x14ac:dyDescent="0.3">
      <c r="A2593" s="262"/>
      <c r="B2593" s="260"/>
      <c r="C2593" s="47" t="s">
        <v>634</v>
      </c>
      <c r="D2593" s="46"/>
      <c r="E2593" s="36"/>
      <c r="F2593" s="30" t="s">
        <v>416</v>
      </c>
      <c r="G2593" s="33" t="str">
        <f t="shared" si="248"/>
        <v/>
      </c>
      <c r="H2593" s="34"/>
      <c r="I2593" s="30"/>
      <c r="J2593" s="152">
        <v>0</v>
      </c>
      <c r="L2593" s="215"/>
      <c r="M2593" s="30"/>
      <c r="N2593" s="33" t="str">
        <f t="shared" si="249"/>
        <v/>
      </c>
      <c r="O2593" s="34"/>
      <c r="P2593" s="36" t="str">
        <f t="shared" si="250"/>
        <v/>
      </c>
      <c r="Q2593" s="216" t="str">
        <f t="shared" si="251"/>
        <v/>
      </c>
      <c r="R2593" s="216" t="str">
        <f t="shared" si="252"/>
        <v/>
      </c>
      <c r="S2593" s="217" t="str">
        <f t="shared" si="253"/>
        <v/>
      </c>
    </row>
    <row r="2594" spans="1:19" ht="15.75" hidden="1" thickBot="1" x14ac:dyDescent="0.3">
      <c r="A2594" s="263"/>
      <c r="B2594" s="261"/>
      <c r="C2594" s="35"/>
      <c r="D2594" s="35"/>
      <c r="E2594" s="36"/>
      <c r="F2594" s="30" t="s">
        <v>416</v>
      </c>
      <c r="G2594" s="33" t="str">
        <f t="shared" si="248"/>
        <v/>
      </c>
      <c r="H2594" s="34"/>
      <c r="I2594" s="30"/>
      <c r="J2594" s="152">
        <v>0</v>
      </c>
      <c r="L2594" s="215"/>
      <c r="M2594" s="30"/>
      <c r="N2594" s="33" t="str">
        <f t="shared" si="249"/>
        <v/>
      </c>
      <c r="O2594" s="34"/>
      <c r="P2594" s="36" t="str">
        <f t="shared" si="250"/>
        <v/>
      </c>
      <c r="Q2594" s="216" t="str">
        <f t="shared" si="251"/>
        <v/>
      </c>
      <c r="R2594" s="216" t="str">
        <f t="shared" si="252"/>
        <v/>
      </c>
      <c r="S2594" s="217" t="str">
        <f t="shared" si="253"/>
        <v/>
      </c>
    </row>
    <row r="2595" spans="1:19" ht="15.75" hidden="1" thickBot="1" x14ac:dyDescent="0.3">
      <c r="A2595" s="256" t="s">
        <v>636</v>
      </c>
      <c r="B2595" s="259" t="str">
        <f>INDEX(Orçamentária!A:B,MATCH(Composições!A2595,Orçamentária!A:A,0),2)</f>
        <v>Bloco Cerâmico De 08 Furos</v>
      </c>
      <c r="C2595" s="40"/>
      <c r="D2595" s="25" t="s">
        <v>16</v>
      </c>
      <c r="E2595" s="26"/>
      <c r="F2595" s="41" t="s">
        <v>416</v>
      </c>
      <c r="G2595" s="27" t="str">
        <f t="shared" si="248"/>
        <v/>
      </c>
      <c r="H2595" s="28"/>
      <c r="I2595" s="29"/>
      <c r="J2595" s="152">
        <v>0</v>
      </c>
      <c r="L2595" s="218"/>
      <c r="M2595" s="41"/>
      <c r="N2595" s="27" t="str">
        <f t="shared" si="249"/>
        <v/>
      </c>
      <c r="O2595" s="28"/>
      <c r="P2595" s="36" t="str">
        <f t="shared" si="250"/>
        <v/>
      </c>
      <c r="Q2595" s="216" t="str">
        <f t="shared" si="251"/>
        <v/>
      </c>
      <c r="R2595" s="216" t="str">
        <f t="shared" si="252"/>
        <v/>
      </c>
      <c r="S2595" s="217" t="str">
        <f t="shared" si="253"/>
        <v/>
      </c>
    </row>
    <row r="2596" spans="1:19" ht="15.75" hidden="1" thickBot="1" x14ac:dyDescent="0.3">
      <c r="A2596" s="262"/>
      <c r="B2596" s="260"/>
      <c r="C2596" s="31"/>
      <c r="D2596" s="31"/>
      <c r="E2596" s="32"/>
      <c r="F2596" s="42" t="s">
        <v>416</v>
      </c>
      <c r="G2596" s="33" t="str">
        <f t="shared" si="248"/>
        <v/>
      </c>
      <c r="H2596" s="34"/>
      <c r="I2596" s="30"/>
      <c r="J2596" s="152">
        <v>0</v>
      </c>
      <c r="L2596" s="219"/>
      <c r="M2596" s="42"/>
      <c r="N2596" s="33" t="str">
        <f t="shared" si="249"/>
        <v/>
      </c>
      <c r="O2596" s="34"/>
      <c r="P2596" s="36" t="str">
        <f t="shared" si="250"/>
        <v/>
      </c>
      <c r="Q2596" s="216" t="str">
        <f t="shared" si="251"/>
        <v/>
      </c>
      <c r="R2596" s="216" t="str">
        <f t="shared" si="252"/>
        <v/>
      </c>
      <c r="S2596" s="217" t="str">
        <f t="shared" si="253"/>
        <v/>
      </c>
    </row>
    <row r="2597" spans="1:19" ht="26.25" hidden="1" thickBot="1" x14ac:dyDescent="0.3">
      <c r="A2597" s="262"/>
      <c r="B2597" s="260"/>
      <c r="C2597" s="35" t="s">
        <v>8000</v>
      </c>
      <c r="D2597" s="35" t="s">
        <v>213</v>
      </c>
      <c r="E2597" s="36">
        <v>1</v>
      </c>
      <c r="F2597" s="30">
        <v>0.66499999999999992</v>
      </c>
      <c r="G2597" s="33">
        <f t="shared" si="248"/>
        <v>0.66499999999999992</v>
      </c>
      <c r="H2597" s="38">
        <f>SUM(G2597:G2597)</f>
        <v>0.66499999999999992</v>
      </c>
      <c r="I2597" s="39"/>
      <c r="J2597" s="152">
        <v>0</v>
      </c>
      <c r="L2597" s="215">
        <v>1</v>
      </c>
      <c r="M2597" s="30">
        <v>0.56923999999999997</v>
      </c>
      <c r="N2597" s="33">
        <f t="shared" si="249"/>
        <v>0.56923999999999997</v>
      </c>
      <c r="O2597" s="38">
        <f>SUM(N2597:N2597)</f>
        <v>0.56923999999999997</v>
      </c>
      <c r="P2597" s="36" t="str">
        <f t="shared" si="250"/>
        <v/>
      </c>
      <c r="Q2597" s="216">
        <f t="shared" si="251"/>
        <v>0.14399999999999991</v>
      </c>
      <c r="R2597" s="216">
        <f t="shared" si="252"/>
        <v>0.14399999999999991</v>
      </c>
      <c r="S2597" s="217">
        <f t="shared" si="253"/>
        <v>0.14399999999999991</v>
      </c>
    </row>
    <row r="2598" spans="1:19" ht="15.75" hidden="1" thickBot="1" x14ac:dyDescent="0.3">
      <c r="A2598" s="263"/>
      <c r="B2598" s="261"/>
      <c r="C2598" s="35"/>
      <c r="D2598" s="35"/>
      <c r="E2598" s="36"/>
      <c r="F2598" s="30" t="s">
        <v>416</v>
      </c>
      <c r="G2598" s="33" t="str">
        <f t="shared" si="248"/>
        <v/>
      </c>
      <c r="H2598" s="34"/>
      <c r="I2598" s="30"/>
      <c r="J2598" s="152">
        <v>0</v>
      </c>
      <c r="L2598" s="215"/>
      <c r="M2598" s="30"/>
      <c r="N2598" s="33" t="str">
        <f t="shared" si="249"/>
        <v/>
      </c>
      <c r="O2598" s="34"/>
      <c r="P2598" s="36" t="str">
        <f t="shared" si="250"/>
        <v/>
      </c>
      <c r="Q2598" s="216" t="str">
        <f t="shared" si="251"/>
        <v/>
      </c>
      <c r="R2598" s="216" t="str">
        <f t="shared" si="252"/>
        <v/>
      </c>
      <c r="S2598" s="217" t="str">
        <f t="shared" si="253"/>
        <v/>
      </c>
    </row>
    <row r="2599" spans="1:19" ht="15.75" hidden="1" thickBot="1" x14ac:dyDescent="0.3">
      <c r="A2599" s="256" t="s">
        <v>637</v>
      </c>
      <c r="B2599" s="259" t="str">
        <f>INDEX(Orçamentária!A:B,MATCH(Composições!A2599,Orçamentária!A:A,0),2)</f>
        <v>Tijolo Maciço</v>
      </c>
      <c r="C2599" s="40"/>
      <c r="D2599" s="25" t="s">
        <v>16</v>
      </c>
      <c r="E2599" s="26"/>
      <c r="F2599" s="41" t="s">
        <v>416</v>
      </c>
      <c r="G2599" s="27" t="str">
        <f t="shared" si="248"/>
        <v/>
      </c>
      <c r="H2599" s="28"/>
      <c r="I2599" s="29"/>
      <c r="J2599" s="152">
        <v>0</v>
      </c>
      <c r="L2599" s="218"/>
      <c r="M2599" s="41"/>
      <c r="N2599" s="27" t="str">
        <f t="shared" si="249"/>
        <v/>
      </c>
      <c r="O2599" s="28"/>
      <c r="P2599" s="36" t="str">
        <f t="shared" si="250"/>
        <v/>
      </c>
      <c r="Q2599" s="216" t="str">
        <f t="shared" si="251"/>
        <v/>
      </c>
      <c r="R2599" s="216" t="str">
        <f t="shared" si="252"/>
        <v/>
      </c>
      <c r="S2599" s="217" t="str">
        <f t="shared" si="253"/>
        <v/>
      </c>
    </row>
    <row r="2600" spans="1:19" ht="15.75" hidden="1" thickBot="1" x14ac:dyDescent="0.3">
      <c r="A2600" s="262"/>
      <c r="B2600" s="260"/>
      <c r="C2600" s="31"/>
      <c r="D2600" s="31"/>
      <c r="E2600" s="32"/>
      <c r="F2600" s="42" t="s">
        <v>416</v>
      </c>
      <c r="G2600" s="33" t="str">
        <f t="shared" si="248"/>
        <v/>
      </c>
      <c r="H2600" s="34"/>
      <c r="I2600" s="30"/>
      <c r="J2600" s="152">
        <v>0</v>
      </c>
      <c r="L2600" s="219"/>
      <c r="M2600" s="42"/>
      <c r="N2600" s="33" t="str">
        <f t="shared" si="249"/>
        <v/>
      </c>
      <c r="O2600" s="34"/>
      <c r="P2600" s="36" t="str">
        <f t="shared" si="250"/>
        <v/>
      </c>
      <c r="Q2600" s="216" t="str">
        <f t="shared" si="251"/>
        <v/>
      </c>
      <c r="R2600" s="216" t="str">
        <f t="shared" si="252"/>
        <v/>
      </c>
      <c r="S2600" s="217" t="str">
        <f t="shared" si="253"/>
        <v/>
      </c>
    </row>
    <row r="2601" spans="1:19" ht="15.75" hidden="1" thickBot="1" x14ac:dyDescent="0.3">
      <c r="A2601" s="262"/>
      <c r="B2601" s="260"/>
      <c r="C2601" s="35" t="s">
        <v>3062</v>
      </c>
      <c r="D2601" s="35" t="s">
        <v>213</v>
      </c>
      <c r="E2601" s="36">
        <v>1</v>
      </c>
      <c r="F2601" s="30">
        <v>0.56999999999999995</v>
      </c>
      <c r="G2601" s="33">
        <f t="shared" si="248"/>
        <v>0.56999999999999995</v>
      </c>
      <c r="H2601" s="38">
        <f>SUM(G2601:G2601)</f>
        <v>0.56999999999999995</v>
      </c>
      <c r="I2601" s="39"/>
      <c r="J2601" s="152">
        <v>0</v>
      </c>
      <c r="L2601" s="215">
        <v>1</v>
      </c>
      <c r="M2601" s="30">
        <v>0.48791999999999996</v>
      </c>
      <c r="N2601" s="33">
        <f t="shared" si="249"/>
        <v>0.48791999999999996</v>
      </c>
      <c r="O2601" s="38">
        <f>SUM(N2601:N2601)</f>
        <v>0.48791999999999996</v>
      </c>
      <c r="P2601" s="36" t="str">
        <f t="shared" si="250"/>
        <v/>
      </c>
      <c r="Q2601" s="216">
        <f t="shared" si="251"/>
        <v>0.14400000000000002</v>
      </c>
      <c r="R2601" s="216">
        <f t="shared" si="252"/>
        <v>0.14400000000000002</v>
      </c>
      <c r="S2601" s="217">
        <f t="shared" si="253"/>
        <v>0.14400000000000002</v>
      </c>
    </row>
    <row r="2602" spans="1:19" ht="15.75" hidden="1" thickBot="1" x14ac:dyDescent="0.3">
      <c r="A2602" s="263"/>
      <c r="B2602" s="261"/>
      <c r="C2602" s="35"/>
      <c r="D2602" s="35"/>
      <c r="E2602" s="36"/>
      <c r="F2602" s="30" t="s">
        <v>416</v>
      </c>
      <c r="G2602" s="33" t="str">
        <f t="shared" si="248"/>
        <v/>
      </c>
      <c r="H2602" s="34"/>
      <c r="I2602" s="30"/>
      <c r="J2602" s="152">
        <v>0</v>
      </c>
      <c r="L2602" s="215"/>
      <c r="M2602" s="30"/>
      <c r="N2602" s="33" t="str">
        <f t="shared" si="249"/>
        <v/>
      </c>
      <c r="O2602" s="34"/>
      <c r="P2602" s="36" t="str">
        <f t="shared" si="250"/>
        <v/>
      </c>
      <c r="Q2602" s="216" t="str">
        <f t="shared" si="251"/>
        <v/>
      </c>
      <c r="R2602" s="216" t="str">
        <f t="shared" si="252"/>
        <v/>
      </c>
      <c r="S2602" s="217" t="str">
        <f t="shared" si="253"/>
        <v/>
      </c>
    </row>
    <row r="2603" spans="1:19" ht="15.75" hidden="1" thickBot="1" x14ac:dyDescent="0.3">
      <c r="A2603" s="256" t="s">
        <v>638</v>
      </c>
      <c r="B2603" s="259" t="str">
        <f>INDEX(Orçamentária!A:B,MATCH(Composições!A2603,Orçamentária!A:A,0),2)</f>
        <v>Bloco De Concreto Com 02 Furos</v>
      </c>
      <c r="C2603" s="40"/>
      <c r="D2603" s="25" t="s">
        <v>16</v>
      </c>
      <c r="E2603" s="26"/>
      <c r="F2603" s="41" t="s">
        <v>416</v>
      </c>
      <c r="G2603" s="27" t="str">
        <f t="shared" si="248"/>
        <v/>
      </c>
      <c r="H2603" s="28"/>
      <c r="I2603" s="29"/>
      <c r="J2603" s="152">
        <v>0</v>
      </c>
      <c r="L2603" s="218"/>
      <c r="M2603" s="41"/>
      <c r="N2603" s="27" t="str">
        <f t="shared" si="249"/>
        <v/>
      </c>
      <c r="O2603" s="28"/>
      <c r="P2603" s="36" t="str">
        <f t="shared" si="250"/>
        <v/>
      </c>
      <c r="Q2603" s="216" t="str">
        <f t="shared" si="251"/>
        <v/>
      </c>
      <c r="R2603" s="216" t="str">
        <f t="shared" si="252"/>
        <v/>
      </c>
      <c r="S2603" s="217" t="str">
        <f t="shared" si="253"/>
        <v/>
      </c>
    </row>
    <row r="2604" spans="1:19" ht="15.75" hidden="1" thickBot="1" x14ac:dyDescent="0.3">
      <c r="A2604" s="262"/>
      <c r="B2604" s="260"/>
      <c r="C2604" s="31"/>
      <c r="D2604" s="31"/>
      <c r="E2604" s="32"/>
      <c r="F2604" s="42" t="s">
        <v>416</v>
      </c>
      <c r="G2604" s="33" t="str">
        <f t="shared" si="248"/>
        <v/>
      </c>
      <c r="H2604" s="34"/>
      <c r="I2604" s="30"/>
      <c r="J2604" s="152">
        <v>0</v>
      </c>
      <c r="L2604" s="219"/>
      <c r="M2604" s="42"/>
      <c r="N2604" s="33" t="str">
        <f t="shared" si="249"/>
        <v/>
      </c>
      <c r="O2604" s="34"/>
      <c r="P2604" s="36" t="str">
        <f t="shared" si="250"/>
        <v/>
      </c>
      <c r="Q2604" s="216" t="str">
        <f t="shared" si="251"/>
        <v/>
      </c>
      <c r="R2604" s="216" t="str">
        <f t="shared" si="252"/>
        <v/>
      </c>
      <c r="S2604" s="217" t="str">
        <f t="shared" si="253"/>
        <v/>
      </c>
    </row>
    <row r="2605" spans="1:19" ht="26.25" hidden="1" thickBot="1" x14ac:dyDescent="0.3">
      <c r="A2605" s="262"/>
      <c r="B2605" s="260"/>
      <c r="C2605" s="35" t="s">
        <v>8005</v>
      </c>
      <c r="D2605" s="35" t="s">
        <v>213</v>
      </c>
      <c r="E2605" s="36">
        <v>1</v>
      </c>
      <c r="F2605" s="30">
        <v>4.5504999999999995</v>
      </c>
      <c r="G2605" s="33">
        <f t="shared" si="248"/>
        <v>4.5504999999999995</v>
      </c>
      <c r="H2605" s="38">
        <f>SUM(G2605:G2605)</f>
        <v>4.5504999999999995</v>
      </c>
      <c r="I2605" s="39"/>
      <c r="J2605" s="152">
        <v>0</v>
      </c>
      <c r="L2605" s="215">
        <v>1</v>
      </c>
      <c r="M2605" s="30">
        <v>3.8952279999999995</v>
      </c>
      <c r="N2605" s="33">
        <f t="shared" si="249"/>
        <v>3.8952279999999995</v>
      </c>
      <c r="O2605" s="38">
        <f>SUM(N2605:N2605)</f>
        <v>3.8952279999999995</v>
      </c>
      <c r="P2605" s="36" t="str">
        <f t="shared" si="250"/>
        <v/>
      </c>
      <c r="Q2605" s="216">
        <f t="shared" si="251"/>
        <v>0.14400000000000002</v>
      </c>
      <c r="R2605" s="216">
        <f t="shared" si="252"/>
        <v>0.14400000000000002</v>
      </c>
      <c r="S2605" s="217">
        <f t="shared" si="253"/>
        <v>0.14400000000000002</v>
      </c>
    </row>
    <row r="2606" spans="1:19" ht="15.75" hidden="1" thickBot="1" x14ac:dyDescent="0.3">
      <c r="A2606" s="263"/>
      <c r="B2606" s="261"/>
      <c r="C2606" s="35"/>
      <c r="D2606" s="35"/>
      <c r="E2606" s="36"/>
      <c r="F2606" s="30" t="s">
        <v>416</v>
      </c>
      <c r="G2606" s="33" t="str">
        <f t="shared" si="248"/>
        <v/>
      </c>
      <c r="H2606" s="34"/>
      <c r="I2606" s="30"/>
      <c r="J2606" s="152">
        <v>0</v>
      </c>
      <c r="L2606" s="215"/>
      <c r="M2606" s="30"/>
      <c r="N2606" s="33" t="str">
        <f t="shared" si="249"/>
        <v/>
      </c>
      <c r="O2606" s="34"/>
      <c r="P2606" s="36" t="str">
        <f t="shared" si="250"/>
        <v/>
      </c>
      <c r="Q2606" s="216" t="str">
        <f t="shared" si="251"/>
        <v/>
      </c>
      <c r="R2606" s="216" t="str">
        <f t="shared" si="252"/>
        <v/>
      </c>
      <c r="S2606" s="217" t="str">
        <f t="shared" si="253"/>
        <v/>
      </c>
    </row>
    <row r="2607" spans="1:19" ht="15.75" hidden="1" thickBot="1" x14ac:dyDescent="0.3">
      <c r="A2607" s="256" t="s">
        <v>639</v>
      </c>
      <c r="B2607" s="259" t="str">
        <f>INDEX(Orçamentária!A:B,MATCH(Composições!A2607,Orçamentária!A:A,0),2)</f>
        <v>Bloco De Concreto Tipo Canaleta</v>
      </c>
      <c r="C2607" s="40"/>
      <c r="D2607" s="25" t="s">
        <v>16</v>
      </c>
      <c r="E2607" s="26"/>
      <c r="F2607" s="41" t="s">
        <v>416</v>
      </c>
      <c r="G2607" s="27" t="str">
        <f t="shared" si="248"/>
        <v/>
      </c>
      <c r="H2607" s="28"/>
      <c r="I2607" s="29"/>
      <c r="J2607" s="152">
        <v>0</v>
      </c>
      <c r="L2607" s="218"/>
      <c r="M2607" s="41"/>
      <c r="N2607" s="27" t="str">
        <f t="shared" si="249"/>
        <v/>
      </c>
      <c r="O2607" s="28"/>
      <c r="P2607" s="36" t="str">
        <f t="shared" si="250"/>
        <v/>
      </c>
      <c r="Q2607" s="216" t="str">
        <f t="shared" si="251"/>
        <v/>
      </c>
      <c r="R2607" s="216" t="str">
        <f t="shared" si="252"/>
        <v/>
      </c>
      <c r="S2607" s="217" t="str">
        <f t="shared" si="253"/>
        <v/>
      </c>
    </row>
    <row r="2608" spans="1:19" ht="15.75" hidden="1" thickBot="1" x14ac:dyDescent="0.3">
      <c r="A2608" s="262"/>
      <c r="B2608" s="260"/>
      <c r="C2608" s="31"/>
      <c r="D2608" s="31"/>
      <c r="E2608" s="32"/>
      <c r="F2608" s="42" t="s">
        <v>416</v>
      </c>
      <c r="G2608" s="33" t="str">
        <f t="shared" si="248"/>
        <v/>
      </c>
      <c r="H2608" s="34"/>
      <c r="I2608" s="30"/>
      <c r="J2608" s="152">
        <v>0</v>
      </c>
      <c r="L2608" s="219"/>
      <c r="M2608" s="42"/>
      <c r="N2608" s="33" t="str">
        <f t="shared" si="249"/>
        <v/>
      </c>
      <c r="O2608" s="34"/>
      <c r="P2608" s="36" t="str">
        <f t="shared" si="250"/>
        <v/>
      </c>
      <c r="Q2608" s="216" t="str">
        <f t="shared" si="251"/>
        <v/>
      </c>
      <c r="R2608" s="216" t="str">
        <f t="shared" si="252"/>
        <v/>
      </c>
      <c r="S2608" s="217" t="str">
        <f t="shared" si="253"/>
        <v/>
      </c>
    </row>
    <row r="2609" spans="1:19" ht="26.25" hidden="1" thickBot="1" x14ac:dyDescent="0.3">
      <c r="A2609" s="262"/>
      <c r="B2609" s="260"/>
      <c r="C2609" s="35" t="s">
        <v>6721</v>
      </c>
      <c r="D2609" s="35" t="s">
        <v>107</v>
      </c>
      <c r="E2609" s="36">
        <v>1</v>
      </c>
      <c r="F2609" s="30">
        <v>0</v>
      </c>
      <c r="G2609" s="33">
        <f t="shared" si="248"/>
        <v>0</v>
      </c>
      <c r="H2609" s="38">
        <f>SUM(G2609:G2609)</f>
        <v>0</v>
      </c>
      <c r="I2609" s="39"/>
      <c r="J2609" s="152">
        <v>0</v>
      </c>
      <c r="L2609" s="215">
        <v>1</v>
      </c>
      <c r="M2609" s="30">
        <v>0</v>
      </c>
      <c r="N2609" s="33">
        <f t="shared" si="249"/>
        <v>0</v>
      </c>
      <c r="O2609" s="38">
        <f>SUM(N2609:N2609)</f>
        <v>0</v>
      </c>
      <c r="P2609" s="36" t="str">
        <f t="shared" si="250"/>
        <v/>
      </c>
      <c r="Q2609" s="216" t="e">
        <f t="shared" si="251"/>
        <v>#DIV/0!</v>
      </c>
      <c r="R2609" s="216" t="e">
        <f t="shared" si="252"/>
        <v>#DIV/0!</v>
      </c>
      <c r="S2609" s="217" t="e">
        <f t="shared" si="253"/>
        <v>#DIV/0!</v>
      </c>
    </row>
    <row r="2610" spans="1:19" ht="15.75" hidden="1" thickBot="1" x14ac:dyDescent="0.3">
      <c r="A2610" s="263"/>
      <c r="B2610" s="261"/>
      <c r="C2610" s="35"/>
      <c r="D2610" s="35"/>
      <c r="E2610" s="36"/>
      <c r="F2610" s="30" t="s">
        <v>416</v>
      </c>
      <c r="G2610" s="33" t="str">
        <f t="shared" si="248"/>
        <v/>
      </c>
      <c r="H2610" s="34"/>
      <c r="I2610" s="30"/>
      <c r="J2610" s="152">
        <v>0</v>
      </c>
      <c r="L2610" s="215"/>
      <c r="M2610" s="30"/>
      <c r="N2610" s="33" t="str">
        <f t="shared" si="249"/>
        <v/>
      </c>
      <c r="O2610" s="34"/>
      <c r="P2610" s="36" t="str">
        <f t="shared" si="250"/>
        <v/>
      </c>
      <c r="Q2610" s="216" t="str">
        <f t="shared" si="251"/>
        <v/>
      </c>
      <c r="R2610" s="216" t="str">
        <f t="shared" si="252"/>
        <v/>
      </c>
      <c r="S2610" s="217" t="str">
        <f t="shared" si="253"/>
        <v/>
      </c>
    </row>
    <row r="2611" spans="1:19" ht="15.75" hidden="1" thickBot="1" x14ac:dyDescent="0.3">
      <c r="A2611" s="256" t="s">
        <v>640</v>
      </c>
      <c r="B2611" s="259" t="str">
        <f>INDEX(Orçamentária!A:B,MATCH(Composições!A2611,Orçamentária!A:A,0),2)</f>
        <v>Vergalhão Ca-60 Diâmetro 5,0 mm</v>
      </c>
      <c r="C2611" s="40"/>
      <c r="D2611" s="25" t="s">
        <v>69</v>
      </c>
      <c r="E2611" s="26"/>
      <c r="F2611" s="41" t="s">
        <v>416</v>
      </c>
      <c r="G2611" s="27" t="str">
        <f t="shared" si="248"/>
        <v/>
      </c>
      <c r="H2611" s="28"/>
      <c r="I2611" s="29"/>
      <c r="J2611" s="152">
        <v>0</v>
      </c>
      <c r="L2611" s="218"/>
      <c r="M2611" s="41"/>
      <c r="N2611" s="27" t="str">
        <f t="shared" si="249"/>
        <v/>
      </c>
      <c r="O2611" s="28"/>
      <c r="P2611" s="36" t="str">
        <f t="shared" si="250"/>
        <v/>
      </c>
      <c r="Q2611" s="216" t="str">
        <f t="shared" si="251"/>
        <v/>
      </c>
      <c r="R2611" s="216" t="str">
        <f t="shared" si="252"/>
        <v/>
      </c>
      <c r="S2611" s="217" t="str">
        <f t="shared" si="253"/>
        <v/>
      </c>
    </row>
    <row r="2612" spans="1:19" ht="15.75" hidden="1" thickBot="1" x14ac:dyDescent="0.3">
      <c r="A2612" s="262"/>
      <c r="B2612" s="260"/>
      <c r="C2612" s="31"/>
      <c r="D2612" s="31"/>
      <c r="E2612" s="32"/>
      <c r="F2612" s="42" t="s">
        <v>416</v>
      </c>
      <c r="G2612" s="33" t="str">
        <f t="shared" si="248"/>
        <v/>
      </c>
      <c r="H2612" s="34"/>
      <c r="I2612" s="30"/>
      <c r="J2612" s="152">
        <v>0</v>
      </c>
      <c r="L2612" s="219"/>
      <c r="M2612" s="42"/>
      <c r="N2612" s="33" t="str">
        <f t="shared" si="249"/>
        <v/>
      </c>
      <c r="O2612" s="34"/>
      <c r="P2612" s="36" t="str">
        <f t="shared" si="250"/>
        <v/>
      </c>
      <c r="Q2612" s="216" t="str">
        <f t="shared" si="251"/>
        <v/>
      </c>
      <c r="R2612" s="216" t="str">
        <f t="shared" si="252"/>
        <v/>
      </c>
      <c r="S2612" s="217" t="str">
        <f t="shared" si="253"/>
        <v/>
      </c>
    </row>
    <row r="2613" spans="1:19" ht="15.75" hidden="1" thickBot="1" x14ac:dyDescent="0.3">
      <c r="A2613" s="262"/>
      <c r="B2613" s="260"/>
      <c r="C2613" s="35" t="s">
        <v>1277</v>
      </c>
      <c r="D2613" s="35" t="s">
        <v>773</v>
      </c>
      <c r="E2613" s="36">
        <v>0.154</v>
      </c>
      <c r="F2613" s="30">
        <v>8.9205000000000005</v>
      </c>
      <c r="G2613" s="33">
        <f t="shared" si="248"/>
        <v>1.3737570000000001</v>
      </c>
      <c r="H2613" s="38">
        <f>SUM(G2613:G2613)</f>
        <v>1.3737570000000001</v>
      </c>
      <c r="I2613" s="39"/>
      <c r="J2613" s="152">
        <v>0</v>
      </c>
      <c r="L2613" s="215">
        <v>0.154</v>
      </c>
      <c r="M2613" s="30">
        <v>7.6359480000000008</v>
      </c>
      <c r="N2613" s="33">
        <f t="shared" si="249"/>
        <v>1.1759359920000001</v>
      </c>
      <c r="O2613" s="38">
        <f>SUM(N2613:N2613)</f>
        <v>1.1759359920000001</v>
      </c>
      <c r="P2613" s="36" t="str">
        <f t="shared" si="250"/>
        <v/>
      </c>
      <c r="Q2613" s="216">
        <f t="shared" si="251"/>
        <v>0.14399999999999991</v>
      </c>
      <c r="R2613" s="216">
        <f t="shared" si="252"/>
        <v>0.14400000000000002</v>
      </c>
      <c r="S2613" s="217">
        <f t="shared" si="253"/>
        <v>0.14400000000000002</v>
      </c>
    </row>
    <row r="2614" spans="1:19" ht="15.75" hidden="1" thickBot="1" x14ac:dyDescent="0.3">
      <c r="A2614" s="263"/>
      <c r="B2614" s="261"/>
      <c r="C2614" s="35"/>
      <c r="D2614" s="35"/>
      <c r="E2614" s="36"/>
      <c r="F2614" s="30" t="s">
        <v>416</v>
      </c>
      <c r="G2614" s="33" t="str">
        <f t="shared" si="248"/>
        <v/>
      </c>
      <c r="H2614" s="34"/>
      <c r="I2614" s="30"/>
      <c r="J2614" s="152">
        <v>0</v>
      </c>
      <c r="L2614" s="215"/>
      <c r="M2614" s="30"/>
      <c r="N2614" s="33" t="str">
        <f t="shared" si="249"/>
        <v/>
      </c>
      <c r="O2614" s="34"/>
      <c r="P2614" s="36" t="str">
        <f t="shared" si="250"/>
        <v/>
      </c>
      <c r="Q2614" s="216" t="str">
        <f t="shared" si="251"/>
        <v/>
      </c>
      <c r="R2614" s="216" t="str">
        <f t="shared" si="252"/>
        <v/>
      </c>
      <c r="S2614" s="217" t="str">
        <f t="shared" si="253"/>
        <v/>
      </c>
    </row>
    <row r="2615" spans="1:19" ht="15.75" hidden="1" thickBot="1" x14ac:dyDescent="0.3">
      <c r="A2615" s="256" t="s">
        <v>641</v>
      </c>
      <c r="B2615" s="259" t="str">
        <f>INDEX(Orçamentária!A:B,MATCH(Composições!A2615,Orçamentária!A:A,0),2)</f>
        <v>Vergalhão Ca-50 Diâmetro 6,3 mm</v>
      </c>
      <c r="C2615" s="40"/>
      <c r="D2615" s="25" t="s">
        <v>69</v>
      </c>
      <c r="E2615" s="26"/>
      <c r="F2615" s="41" t="s">
        <v>416</v>
      </c>
      <c r="G2615" s="27" t="str">
        <f t="shared" si="248"/>
        <v/>
      </c>
      <c r="H2615" s="28"/>
      <c r="I2615" s="29"/>
      <c r="J2615" s="152">
        <v>0</v>
      </c>
      <c r="L2615" s="218"/>
      <c r="M2615" s="41"/>
      <c r="N2615" s="27" t="str">
        <f t="shared" si="249"/>
        <v/>
      </c>
      <c r="O2615" s="28"/>
      <c r="P2615" s="36" t="str">
        <f t="shared" si="250"/>
        <v/>
      </c>
      <c r="Q2615" s="216" t="str">
        <f t="shared" si="251"/>
        <v/>
      </c>
      <c r="R2615" s="216" t="str">
        <f t="shared" si="252"/>
        <v/>
      </c>
      <c r="S2615" s="217" t="str">
        <f t="shared" si="253"/>
        <v/>
      </c>
    </row>
    <row r="2616" spans="1:19" ht="15.75" hidden="1" thickBot="1" x14ac:dyDescent="0.3">
      <c r="A2616" s="262"/>
      <c r="B2616" s="260"/>
      <c r="C2616" s="31"/>
      <c r="D2616" s="31"/>
      <c r="E2616" s="32"/>
      <c r="F2616" s="42" t="s">
        <v>416</v>
      </c>
      <c r="G2616" s="33" t="str">
        <f t="shared" si="248"/>
        <v/>
      </c>
      <c r="H2616" s="34"/>
      <c r="I2616" s="30"/>
      <c r="J2616" s="152">
        <v>0</v>
      </c>
      <c r="L2616" s="219"/>
      <c r="M2616" s="42"/>
      <c r="N2616" s="33" t="str">
        <f t="shared" si="249"/>
        <v/>
      </c>
      <c r="O2616" s="34"/>
      <c r="P2616" s="36" t="str">
        <f t="shared" si="250"/>
        <v/>
      </c>
      <c r="Q2616" s="216" t="str">
        <f t="shared" si="251"/>
        <v/>
      </c>
      <c r="R2616" s="216" t="str">
        <f t="shared" si="252"/>
        <v/>
      </c>
      <c r="S2616" s="217" t="str">
        <f t="shared" si="253"/>
        <v/>
      </c>
    </row>
    <row r="2617" spans="1:19" ht="15.75" hidden="1" thickBot="1" x14ac:dyDescent="0.3">
      <c r="A2617" s="262"/>
      <c r="B2617" s="260"/>
      <c r="C2617" s="35" t="s">
        <v>642</v>
      </c>
      <c r="D2617" s="35" t="s">
        <v>773</v>
      </c>
      <c r="E2617" s="36">
        <v>0.245</v>
      </c>
      <c r="F2617" s="30">
        <v>9.9465000000000003</v>
      </c>
      <c r="G2617" s="33">
        <f t="shared" si="248"/>
        <v>2.4368924999999999</v>
      </c>
      <c r="H2617" s="38">
        <f>SUM(G2617:G2617)</f>
        <v>2.4368924999999999</v>
      </c>
      <c r="I2617" s="39"/>
      <c r="J2617" s="152">
        <v>0</v>
      </c>
      <c r="L2617" s="215">
        <v>0.245</v>
      </c>
      <c r="M2617" s="30">
        <v>8.5142039999999994</v>
      </c>
      <c r="N2617" s="33">
        <f t="shared" si="249"/>
        <v>2.0859799799999998</v>
      </c>
      <c r="O2617" s="38">
        <f>SUM(N2617:N2617)</f>
        <v>2.0859799799999998</v>
      </c>
      <c r="P2617" s="36" t="str">
        <f t="shared" si="250"/>
        <v/>
      </c>
      <c r="Q2617" s="216">
        <f t="shared" si="251"/>
        <v>0.14400000000000013</v>
      </c>
      <c r="R2617" s="216">
        <f t="shared" si="252"/>
        <v>0.14400000000000002</v>
      </c>
      <c r="S2617" s="217">
        <f t="shared" si="253"/>
        <v>0.14400000000000002</v>
      </c>
    </row>
    <row r="2618" spans="1:19" ht="15.75" hidden="1" thickBot="1" x14ac:dyDescent="0.3">
      <c r="A2618" s="263"/>
      <c r="B2618" s="261"/>
      <c r="C2618" s="35"/>
      <c r="D2618" s="35"/>
      <c r="E2618" s="36"/>
      <c r="F2618" s="30" t="s">
        <v>416</v>
      </c>
      <c r="G2618" s="33" t="str">
        <f t="shared" si="248"/>
        <v/>
      </c>
      <c r="H2618" s="34"/>
      <c r="I2618" s="30"/>
      <c r="J2618" s="152">
        <v>0</v>
      </c>
      <c r="L2618" s="215"/>
      <c r="M2618" s="30"/>
      <c r="N2618" s="33" t="str">
        <f t="shared" si="249"/>
        <v/>
      </c>
      <c r="O2618" s="34"/>
      <c r="P2618" s="36" t="str">
        <f t="shared" si="250"/>
        <v/>
      </c>
      <c r="Q2618" s="216" t="str">
        <f t="shared" si="251"/>
        <v/>
      </c>
      <c r="R2618" s="216" t="str">
        <f t="shared" si="252"/>
        <v/>
      </c>
      <c r="S2618" s="217" t="str">
        <f t="shared" si="253"/>
        <v/>
      </c>
    </row>
    <row r="2619" spans="1:19" ht="15.75" hidden="1" thickBot="1" x14ac:dyDescent="0.3">
      <c r="A2619" s="256" t="s">
        <v>643</v>
      </c>
      <c r="B2619" s="259" t="str">
        <f>INDEX(Orçamentária!A:B,MATCH(Composições!A2619,Orçamentária!A:A,0),2)</f>
        <v>Vergalhão Ca-50 Diâmetro 8,0 mm</v>
      </c>
      <c r="C2619" s="40"/>
      <c r="D2619" s="25" t="s">
        <v>69</v>
      </c>
      <c r="E2619" s="26"/>
      <c r="F2619" s="41" t="s">
        <v>416</v>
      </c>
      <c r="G2619" s="27" t="str">
        <f t="shared" si="248"/>
        <v/>
      </c>
      <c r="H2619" s="28"/>
      <c r="I2619" s="29"/>
      <c r="J2619" s="152">
        <v>0</v>
      </c>
      <c r="L2619" s="218"/>
      <c r="M2619" s="41"/>
      <c r="N2619" s="27" t="str">
        <f t="shared" si="249"/>
        <v/>
      </c>
      <c r="O2619" s="28"/>
      <c r="P2619" s="36" t="str">
        <f t="shared" si="250"/>
        <v/>
      </c>
      <c r="Q2619" s="216" t="str">
        <f t="shared" si="251"/>
        <v/>
      </c>
      <c r="R2619" s="216" t="str">
        <f t="shared" si="252"/>
        <v/>
      </c>
      <c r="S2619" s="217" t="str">
        <f t="shared" si="253"/>
        <v/>
      </c>
    </row>
    <row r="2620" spans="1:19" ht="15.75" hidden="1" thickBot="1" x14ac:dyDescent="0.3">
      <c r="A2620" s="262"/>
      <c r="B2620" s="260"/>
      <c r="C2620" s="31"/>
      <c r="D2620" s="31"/>
      <c r="E2620" s="32"/>
      <c r="F2620" s="42" t="s">
        <v>416</v>
      </c>
      <c r="G2620" s="33" t="str">
        <f t="shared" si="248"/>
        <v/>
      </c>
      <c r="H2620" s="34"/>
      <c r="I2620" s="30"/>
      <c r="J2620" s="152">
        <v>0</v>
      </c>
      <c r="L2620" s="219"/>
      <c r="M2620" s="42"/>
      <c r="N2620" s="33" t="str">
        <f t="shared" si="249"/>
        <v/>
      </c>
      <c r="O2620" s="34"/>
      <c r="P2620" s="36" t="str">
        <f t="shared" si="250"/>
        <v/>
      </c>
      <c r="Q2620" s="216" t="str">
        <f t="shared" si="251"/>
        <v/>
      </c>
      <c r="R2620" s="216" t="str">
        <f t="shared" si="252"/>
        <v/>
      </c>
      <c r="S2620" s="217" t="str">
        <f t="shared" si="253"/>
        <v/>
      </c>
    </row>
    <row r="2621" spans="1:19" ht="15.75" hidden="1" thickBot="1" x14ac:dyDescent="0.3">
      <c r="A2621" s="262"/>
      <c r="B2621" s="260"/>
      <c r="C2621" s="35" t="s">
        <v>644</v>
      </c>
      <c r="D2621" s="35" t="s">
        <v>773</v>
      </c>
      <c r="E2621" s="36">
        <v>0.39500000000000002</v>
      </c>
      <c r="F2621" s="30">
        <v>10.003499999999999</v>
      </c>
      <c r="G2621" s="33">
        <f t="shared" ref="G2621:G2684" si="254">IF(ISNUMBER(F2621),E2621*F2621,"")</f>
        <v>3.9513824999999998</v>
      </c>
      <c r="H2621" s="38">
        <f>SUM(G2621:G2621)</f>
        <v>3.9513824999999998</v>
      </c>
      <c r="I2621" s="39"/>
      <c r="J2621" s="152">
        <v>0</v>
      </c>
      <c r="L2621" s="215">
        <v>0.39500000000000002</v>
      </c>
      <c r="M2621" s="30">
        <v>8.5629959999999983</v>
      </c>
      <c r="N2621" s="33">
        <f t="shared" ref="N2621:N2684" si="255">IF(ISNUMBER(M2621),L2621*M2621,"")</f>
        <v>3.3823834199999996</v>
      </c>
      <c r="O2621" s="38">
        <f>SUM(N2621:N2621)</f>
        <v>3.3823834199999996</v>
      </c>
      <c r="P2621" s="36" t="str">
        <f t="shared" si="250"/>
        <v/>
      </c>
      <c r="Q2621" s="216">
        <f t="shared" si="251"/>
        <v>0.14400000000000013</v>
      </c>
      <c r="R2621" s="216">
        <f t="shared" si="252"/>
        <v>0.14400000000000002</v>
      </c>
      <c r="S2621" s="217">
        <f t="shared" si="253"/>
        <v>0.14400000000000002</v>
      </c>
    </row>
    <row r="2622" spans="1:19" ht="15.75" hidden="1" thickBot="1" x14ac:dyDescent="0.3">
      <c r="A2622" s="263"/>
      <c r="B2622" s="261"/>
      <c r="C2622" s="35"/>
      <c r="D2622" s="35"/>
      <c r="E2622" s="36"/>
      <c r="F2622" s="30" t="s">
        <v>416</v>
      </c>
      <c r="G2622" s="33" t="str">
        <f t="shared" si="254"/>
        <v/>
      </c>
      <c r="H2622" s="34"/>
      <c r="I2622" s="30"/>
      <c r="J2622" s="152">
        <v>0</v>
      </c>
      <c r="L2622" s="215"/>
      <c r="M2622" s="30"/>
      <c r="N2622" s="33" t="str">
        <f t="shared" si="255"/>
        <v/>
      </c>
      <c r="O2622" s="34"/>
      <c r="P2622" s="36" t="str">
        <f t="shared" si="250"/>
        <v/>
      </c>
      <c r="Q2622" s="216" t="str">
        <f t="shared" si="251"/>
        <v/>
      </c>
      <c r="R2622" s="216" t="str">
        <f t="shared" si="252"/>
        <v/>
      </c>
      <c r="S2622" s="217" t="str">
        <f t="shared" si="253"/>
        <v/>
      </c>
    </row>
    <row r="2623" spans="1:19" ht="15.75" hidden="1" thickBot="1" x14ac:dyDescent="0.3">
      <c r="A2623" s="256" t="s">
        <v>645</v>
      </c>
      <c r="B2623" s="259" t="str">
        <f>INDEX(Orçamentária!A:B,MATCH(Composições!A2623,Orçamentária!A:A,0),2)</f>
        <v>Vergalhão Ca-50 Diâmetro 10,0 mm</v>
      </c>
      <c r="C2623" s="40"/>
      <c r="D2623" s="25" t="s">
        <v>69</v>
      </c>
      <c r="E2623" s="26"/>
      <c r="F2623" s="41" t="s">
        <v>416</v>
      </c>
      <c r="G2623" s="27" t="str">
        <f t="shared" si="254"/>
        <v/>
      </c>
      <c r="H2623" s="28"/>
      <c r="I2623" s="29"/>
      <c r="J2623" s="152">
        <v>0</v>
      </c>
      <c r="L2623" s="218"/>
      <c r="M2623" s="41"/>
      <c r="N2623" s="27" t="str">
        <f t="shared" si="255"/>
        <v/>
      </c>
      <c r="O2623" s="28"/>
      <c r="P2623" s="36" t="str">
        <f t="shared" si="250"/>
        <v/>
      </c>
      <c r="Q2623" s="216" t="str">
        <f t="shared" si="251"/>
        <v/>
      </c>
      <c r="R2623" s="216" t="str">
        <f t="shared" si="252"/>
        <v/>
      </c>
      <c r="S2623" s="217" t="str">
        <f t="shared" si="253"/>
        <v/>
      </c>
    </row>
    <row r="2624" spans="1:19" ht="15.75" hidden="1" thickBot="1" x14ac:dyDescent="0.3">
      <c r="A2624" s="262"/>
      <c r="B2624" s="260"/>
      <c r="C2624" s="31"/>
      <c r="D2624" s="31"/>
      <c r="E2624" s="32"/>
      <c r="F2624" s="42" t="s">
        <v>416</v>
      </c>
      <c r="G2624" s="33" t="str">
        <f t="shared" si="254"/>
        <v/>
      </c>
      <c r="H2624" s="34"/>
      <c r="I2624" s="30"/>
      <c r="J2624" s="152">
        <v>0</v>
      </c>
      <c r="L2624" s="219"/>
      <c r="M2624" s="42"/>
      <c r="N2624" s="33" t="str">
        <f t="shared" si="255"/>
        <v/>
      </c>
      <c r="O2624" s="34"/>
      <c r="P2624" s="36" t="str">
        <f t="shared" si="250"/>
        <v/>
      </c>
      <c r="Q2624" s="216" t="str">
        <f t="shared" si="251"/>
        <v/>
      </c>
      <c r="R2624" s="216" t="str">
        <f t="shared" si="252"/>
        <v/>
      </c>
      <c r="S2624" s="217" t="str">
        <f t="shared" si="253"/>
        <v/>
      </c>
    </row>
    <row r="2625" spans="1:19" ht="15.75" hidden="1" thickBot="1" x14ac:dyDescent="0.3">
      <c r="A2625" s="262"/>
      <c r="B2625" s="260"/>
      <c r="C2625" s="35" t="s">
        <v>7958</v>
      </c>
      <c r="D2625" s="35" t="s">
        <v>773</v>
      </c>
      <c r="E2625" s="36">
        <v>0.61699999999999999</v>
      </c>
      <c r="F2625" s="30">
        <v>9.4334999999999987</v>
      </c>
      <c r="G2625" s="33">
        <f t="shared" si="254"/>
        <v>5.8204694999999989</v>
      </c>
      <c r="H2625" s="38">
        <f>SUM(G2625:G2625)</f>
        <v>5.8204694999999989</v>
      </c>
      <c r="I2625" s="39"/>
      <c r="J2625" s="152">
        <v>0</v>
      </c>
      <c r="L2625" s="215">
        <v>0.61699999999999999</v>
      </c>
      <c r="M2625" s="30">
        <v>8.0750759999999993</v>
      </c>
      <c r="N2625" s="33">
        <f t="shared" si="255"/>
        <v>4.9823218919999999</v>
      </c>
      <c r="O2625" s="38">
        <f>SUM(N2625:N2625)</f>
        <v>4.9823218919999999</v>
      </c>
      <c r="P2625" s="36" t="str">
        <f t="shared" si="250"/>
        <v/>
      </c>
      <c r="Q2625" s="216">
        <f t="shared" si="251"/>
        <v>0.14399999999999991</v>
      </c>
      <c r="R2625" s="216">
        <f t="shared" si="252"/>
        <v>0.14399999999999991</v>
      </c>
      <c r="S2625" s="217">
        <f t="shared" si="253"/>
        <v>0.14399999999999991</v>
      </c>
    </row>
    <row r="2626" spans="1:19" ht="15.75" hidden="1" thickBot="1" x14ac:dyDescent="0.3">
      <c r="A2626" s="263"/>
      <c r="B2626" s="261"/>
      <c r="C2626" s="35"/>
      <c r="D2626" s="35"/>
      <c r="E2626" s="36"/>
      <c r="F2626" s="30" t="s">
        <v>416</v>
      </c>
      <c r="G2626" s="33" t="str">
        <f t="shared" si="254"/>
        <v/>
      </c>
      <c r="H2626" s="34"/>
      <c r="I2626" s="30"/>
      <c r="J2626" s="152">
        <v>0</v>
      </c>
      <c r="L2626" s="215"/>
      <c r="M2626" s="30"/>
      <c r="N2626" s="33" t="str">
        <f t="shared" si="255"/>
        <v/>
      </c>
      <c r="O2626" s="34"/>
      <c r="P2626" s="36" t="str">
        <f t="shared" si="250"/>
        <v/>
      </c>
      <c r="Q2626" s="216" t="str">
        <f t="shared" si="251"/>
        <v/>
      </c>
      <c r="R2626" s="216" t="str">
        <f t="shared" si="252"/>
        <v/>
      </c>
      <c r="S2626" s="217" t="str">
        <f t="shared" si="253"/>
        <v/>
      </c>
    </row>
    <row r="2627" spans="1:19" ht="15.75" hidden="1" thickBot="1" x14ac:dyDescent="0.3">
      <c r="A2627" s="256" t="s">
        <v>646</v>
      </c>
      <c r="B2627" s="259" t="str">
        <f>INDEX(Orçamentária!A:B,MATCH(Composições!A2627,Orçamentária!A:A,0),2)</f>
        <v>Vergalhão Ca-50 Diâmetro 12,5 mm</v>
      </c>
      <c r="C2627" s="40"/>
      <c r="D2627" s="25" t="s">
        <v>69</v>
      </c>
      <c r="E2627" s="26"/>
      <c r="F2627" s="41" t="s">
        <v>416</v>
      </c>
      <c r="G2627" s="27" t="str">
        <f t="shared" si="254"/>
        <v/>
      </c>
      <c r="H2627" s="28"/>
      <c r="I2627" s="29"/>
      <c r="J2627" s="152">
        <v>0</v>
      </c>
      <c r="L2627" s="218"/>
      <c r="M2627" s="41"/>
      <c r="N2627" s="27" t="str">
        <f t="shared" si="255"/>
        <v/>
      </c>
      <c r="O2627" s="28"/>
      <c r="P2627" s="36" t="str">
        <f t="shared" si="250"/>
        <v/>
      </c>
      <c r="Q2627" s="216" t="str">
        <f t="shared" si="251"/>
        <v/>
      </c>
      <c r="R2627" s="216" t="str">
        <f t="shared" si="252"/>
        <v/>
      </c>
      <c r="S2627" s="217" t="str">
        <f t="shared" si="253"/>
        <v/>
      </c>
    </row>
    <row r="2628" spans="1:19" ht="15.75" hidden="1" thickBot="1" x14ac:dyDescent="0.3">
      <c r="A2628" s="262"/>
      <c r="B2628" s="260"/>
      <c r="C2628" s="31"/>
      <c r="D2628" s="31"/>
      <c r="E2628" s="32"/>
      <c r="F2628" s="42" t="s">
        <v>416</v>
      </c>
      <c r="G2628" s="33" t="str">
        <f t="shared" si="254"/>
        <v/>
      </c>
      <c r="H2628" s="34"/>
      <c r="I2628" s="30"/>
      <c r="J2628" s="152">
        <v>0</v>
      </c>
      <c r="L2628" s="219"/>
      <c r="M2628" s="42"/>
      <c r="N2628" s="33" t="str">
        <f t="shared" si="255"/>
        <v/>
      </c>
      <c r="O2628" s="34"/>
      <c r="P2628" s="36" t="str">
        <f t="shared" si="250"/>
        <v/>
      </c>
      <c r="Q2628" s="216" t="str">
        <f t="shared" si="251"/>
        <v/>
      </c>
      <c r="R2628" s="216" t="str">
        <f t="shared" si="252"/>
        <v/>
      </c>
      <c r="S2628" s="217" t="str">
        <f t="shared" si="253"/>
        <v/>
      </c>
    </row>
    <row r="2629" spans="1:19" ht="15.75" hidden="1" thickBot="1" x14ac:dyDescent="0.3">
      <c r="A2629" s="262"/>
      <c r="B2629" s="260"/>
      <c r="C2629" s="35" t="s">
        <v>647</v>
      </c>
      <c r="D2629" s="35" t="s">
        <v>773</v>
      </c>
      <c r="E2629" s="36">
        <v>0.96299999999999997</v>
      </c>
      <c r="F2629" s="30">
        <v>8.17</v>
      </c>
      <c r="G2629" s="33">
        <f t="shared" si="254"/>
        <v>7.8677099999999998</v>
      </c>
      <c r="H2629" s="38">
        <f>SUM(G2629:G2629)</f>
        <v>7.8677099999999998</v>
      </c>
      <c r="I2629" s="39"/>
      <c r="J2629" s="152">
        <v>0</v>
      </c>
      <c r="L2629" s="215">
        <v>0.96299999999999997</v>
      </c>
      <c r="M2629" s="30">
        <v>6.9935200000000002</v>
      </c>
      <c r="N2629" s="33">
        <f t="shared" si="255"/>
        <v>6.7347597600000002</v>
      </c>
      <c r="O2629" s="38">
        <f>SUM(N2629:N2629)</f>
        <v>6.7347597600000002</v>
      </c>
      <c r="P2629" s="36" t="str">
        <f t="shared" si="250"/>
        <v/>
      </c>
      <c r="Q2629" s="216">
        <f t="shared" si="251"/>
        <v>0.14400000000000002</v>
      </c>
      <c r="R2629" s="216">
        <f t="shared" si="252"/>
        <v>0.14399999999999991</v>
      </c>
      <c r="S2629" s="217">
        <f t="shared" si="253"/>
        <v>0.14399999999999991</v>
      </c>
    </row>
    <row r="2630" spans="1:19" ht="15.75" hidden="1" thickBot="1" x14ac:dyDescent="0.3">
      <c r="A2630" s="263"/>
      <c r="B2630" s="261"/>
      <c r="C2630" s="35"/>
      <c r="D2630" s="35"/>
      <c r="E2630" s="36"/>
      <c r="F2630" s="30" t="s">
        <v>416</v>
      </c>
      <c r="G2630" s="33" t="str">
        <f t="shared" si="254"/>
        <v/>
      </c>
      <c r="H2630" s="34"/>
      <c r="I2630" s="30"/>
      <c r="J2630" s="152">
        <v>0</v>
      </c>
      <c r="L2630" s="215"/>
      <c r="M2630" s="30"/>
      <c r="N2630" s="33" t="str">
        <f t="shared" si="255"/>
        <v/>
      </c>
      <c r="O2630" s="34"/>
      <c r="P2630" s="36" t="str">
        <f t="shared" si="250"/>
        <v/>
      </c>
      <c r="Q2630" s="216" t="str">
        <f t="shared" si="251"/>
        <v/>
      </c>
      <c r="R2630" s="216" t="str">
        <f t="shared" si="252"/>
        <v/>
      </c>
      <c r="S2630" s="217" t="str">
        <f t="shared" si="253"/>
        <v/>
      </c>
    </row>
    <row r="2631" spans="1:19" ht="15.75" hidden="1" thickBot="1" x14ac:dyDescent="0.3">
      <c r="A2631" s="256" t="s">
        <v>648</v>
      </c>
      <c r="B2631" s="259" t="str">
        <f>INDEX(Orçamentária!A:B,MATCH(Composições!A2631,Orçamentária!A:A,0),2)</f>
        <v>Arame Recozido Nº 18</v>
      </c>
      <c r="C2631" s="40"/>
      <c r="D2631" s="25" t="s">
        <v>28</v>
      </c>
      <c r="E2631" s="26"/>
      <c r="F2631" s="41" t="s">
        <v>416</v>
      </c>
      <c r="G2631" s="27" t="str">
        <f t="shared" si="254"/>
        <v/>
      </c>
      <c r="H2631" s="28"/>
      <c r="I2631" s="29"/>
      <c r="J2631" s="152">
        <v>0</v>
      </c>
      <c r="L2631" s="218"/>
      <c r="M2631" s="41"/>
      <c r="N2631" s="27" t="str">
        <f t="shared" si="255"/>
        <v/>
      </c>
      <c r="O2631" s="28"/>
      <c r="P2631" s="36" t="str">
        <f t="shared" si="250"/>
        <v/>
      </c>
      <c r="Q2631" s="216" t="str">
        <f t="shared" si="251"/>
        <v/>
      </c>
      <c r="R2631" s="216" t="str">
        <f t="shared" si="252"/>
        <v/>
      </c>
      <c r="S2631" s="217" t="str">
        <f t="shared" si="253"/>
        <v/>
      </c>
    </row>
    <row r="2632" spans="1:19" ht="15.75" hidden="1" thickBot="1" x14ac:dyDescent="0.3">
      <c r="A2632" s="262"/>
      <c r="B2632" s="260"/>
      <c r="C2632" s="31"/>
      <c r="D2632" s="31"/>
      <c r="E2632" s="32"/>
      <c r="F2632" s="42" t="s">
        <v>416</v>
      </c>
      <c r="G2632" s="33" t="str">
        <f t="shared" si="254"/>
        <v/>
      </c>
      <c r="H2632" s="34"/>
      <c r="I2632" s="30"/>
      <c r="J2632" s="152">
        <v>0</v>
      </c>
      <c r="L2632" s="219"/>
      <c r="M2632" s="42"/>
      <c r="N2632" s="33" t="str">
        <f t="shared" si="255"/>
        <v/>
      </c>
      <c r="O2632" s="34"/>
      <c r="P2632" s="36" t="str">
        <f t="shared" ref="P2632:P2695" si="256">IF(ISBLANK(L2632),"",IF($E2632&lt;&gt;L2632,"SIM",""))</f>
        <v/>
      </c>
      <c r="Q2632" s="216" t="str">
        <f t="shared" ref="Q2632:Q2695" si="257">IF(M2632="","",1-M2632/$F2632)</f>
        <v/>
      </c>
      <c r="R2632" s="216" t="str">
        <f t="shared" ref="R2632:R2695" si="258">IF(N2632="","",1-N2632/$G2632)</f>
        <v/>
      </c>
      <c r="S2632" s="217" t="str">
        <f t="shared" ref="S2632:S2695" si="259">IF(O2632="","",1-O2632/$H2632)</f>
        <v/>
      </c>
    </row>
    <row r="2633" spans="1:19" ht="26.25" hidden="1" thickBot="1" x14ac:dyDescent="0.3">
      <c r="A2633" s="262"/>
      <c r="B2633" s="260"/>
      <c r="C2633" s="35" t="s">
        <v>3060</v>
      </c>
      <c r="D2633" s="35" t="s">
        <v>773</v>
      </c>
      <c r="E2633" s="36">
        <v>1</v>
      </c>
      <c r="F2633" s="30">
        <v>21.042499999999997</v>
      </c>
      <c r="G2633" s="33">
        <f t="shared" si="254"/>
        <v>21.042499999999997</v>
      </c>
      <c r="H2633" s="38">
        <f>SUM(G2633:G2633)</f>
        <v>21.042499999999997</v>
      </c>
      <c r="I2633" s="39"/>
      <c r="J2633" s="152">
        <v>0</v>
      </c>
      <c r="L2633" s="215">
        <v>1</v>
      </c>
      <c r="M2633" s="30">
        <v>18.012379999999997</v>
      </c>
      <c r="N2633" s="33">
        <f t="shared" si="255"/>
        <v>18.012379999999997</v>
      </c>
      <c r="O2633" s="38">
        <f>SUM(N2633:N2633)</f>
        <v>18.012379999999997</v>
      </c>
      <c r="P2633" s="36" t="str">
        <f t="shared" si="256"/>
        <v/>
      </c>
      <c r="Q2633" s="216">
        <f t="shared" si="257"/>
        <v>0.14400000000000002</v>
      </c>
      <c r="R2633" s="216">
        <f t="shared" si="258"/>
        <v>0.14400000000000002</v>
      </c>
      <c r="S2633" s="217">
        <f t="shared" si="259"/>
        <v>0.14400000000000002</v>
      </c>
    </row>
    <row r="2634" spans="1:19" ht="15.75" hidden="1" thickBot="1" x14ac:dyDescent="0.3">
      <c r="A2634" s="263"/>
      <c r="B2634" s="261"/>
      <c r="C2634" s="35"/>
      <c r="D2634" s="35"/>
      <c r="E2634" s="36"/>
      <c r="F2634" s="30" t="s">
        <v>416</v>
      </c>
      <c r="G2634" s="33" t="str">
        <f t="shared" si="254"/>
        <v/>
      </c>
      <c r="H2634" s="34"/>
      <c r="I2634" s="30"/>
      <c r="J2634" s="152">
        <v>0</v>
      </c>
      <c r="L2634" s="215"/>
      <c r="M2634" s="30"/>
      <c r="N2634" s="33" t="str">
        <f t="shared" si="255"/>
        <v/>
      </c>
      <c r="O2634" s="34"/>
      <c r="P2634" s="36" t="str">
        <f t="shared" si="256"/>
        <v/>
      </c>
      <c r="Q2634" s="216" t="str">
        <f t="shared" si="257"/>
        <v/>
      </c>
      <c r="R2634" s="216" t="str">
        <f t="shared" si="258"/>
        <v/>
      </c>
      <c r="S2634" s="217" t="str">
        <f t="shared" si="259"/>
        <v/>
      </c>
    </row>
    <row r="2635" spans="1:19" ht="15.75" hidden="1" thickBot="1" x14ac:dyDescent="0.3">
      <c r="A2635" s="256" t="s">
        <v>649</v>
      </c>
      <c r="B2635" s="259" t="str">
        <f>INDEX(Orçamentária!A:B,MATCH(Composições!A2635,Orçamentária!A:A,0),2)</f>
        <v>Adesivo Estrutural Epóxi Bicomponente</v>
      </c>
      <c r="C2635" s="40"/>
      <c r="D2635" s="25" t="s">
        <v>28</v>
      </c>
      <c r="E2635" s="26"/>
      <c r="F2635" s="41" t="s">
        <v>416</v>
      </c>
      <c r="G2635" s="27" t="str">
        <f t="shared" si="254"/>
        <v/>
      </c>
      <c r="H2635" s="28"/>
      <c r="I2635" s="29"/>
      <c r="J2635" s="152">
        <v>0</v>
      </c>
      <c r="L2635" s="218"/>
      <c r="M2635" s="41"/>
      <c r="N2635" s="27" t="str">
        <f t="shared" si="255"/>
        <v/>
      </c>
      <c r="O2635" s="28"/>
      <c r="P2635" s="36" t="str">
        <f t="shared" si="256"/>
        <v/>
      </c>
      <c r="Q2635" s="216" t="str">
        <f t="shared" si="257"/>
        <v/>
      </c>
      <c r="R2635" s="216" t="str">
        <f t="shared" si="258"/>
        <v/>
      </c>
      <c r="S2635" s="217" t="str">
        <f t="shared" si="259"/>
        <v/>
      </c>
    </row>
    <row r="2636" spans="1:19" ht="15.75" hidden="1" thickBot="1" x14ac:dyDescent="0.3">
      <c r="A2636" s="262"/>
      <c r="B2636" s="260"/>
      <c r="C2636" s="31"/>
      <c r="D2636" s="31"/>
      <c r="E2636" s="32"/>
      <c r="F2636" s="42" t="s">
        <v>416</v>
      </c>
      <c r="G2636" s="33" t="str">
        <f t="shared" si="254"/>
        <v/>
      </c>
      <c r="H2636" s="34"/>
      <c r="I2636" s="30"/>
      <c r="J2636" s="152">
        <v>0</v>
      </c>
      <c r="L2636" s="219"/>
      <c r="M2636" s="42"/>
      <c r="N2636" s="33" t="str">
        <f t="shared" si="255"/>
        <v/>
      </c>
      <c r="O2636" s="34"/>
      <c r="P2636" s="36" t="str">
        <f t="shared" si="256"/>
        <v/>
      </c>
      <c r="Q2636" s="216" t="str">
        <f t="shared" si="257"/>
        <v/>
      </c>
      <c r="R2636" s="216" t="str">
        <f t="shared" si="258"/>
        <v/>
      </c>
      <c r="S2636" s="217" t="str">
        <f t="shared" si="259"/>
        <v/>
      </c>
    </row>
    <row r="2637" spans="1:19" ht="26.25" hidden="1" thickBot="1" x14ac:dyDescent="0.3">
      <c r="A2637" s="262"/>
      <c r="B2637" s="260"/>
      <c r="C2637" s="35" t="s">
        <v>2921</v>
      </c>
      <c r="D2637" s="35" t="s">
        <v>773</v>
      </c>
      <c r="E2637" s="36">
        <v>1</v>
      </c>
      <c r="F2637" s="30">
        <v>61.113499999999995</v>
      </c>
      <c r="G2637" s="33">
        <f t="shared" si="254"/>
        <v>61.113499999999995</v>
      </c>
      <c r="H2637" s="38">
        <f>SUM(G2637:G2637)</f>
        <v>61.113499999999995</v>
      </c>
      <c r="I2637" s="39"/>
      <c r="J2637" s="152">
        <v>0</v>
      </c>
      <c r="L2637" s="215">
        <v>1</v>
      </c>
      <c r="M2637" s="30">
        <v>52.313155999999992</v>
      </c>
      <c r="N2637" s="33">
        <f t="shared" si="255"/>
        <v>52.313155999999992</v>
      </c>
      <c r="O2637" s="38">
        <f>SUM(N2637:N2637)</f>
        <v>52.313155999999992</v>
      </c>
      <c r="P2637" s="36" t="str">
        <f t="shared" si="256"/>
        <v/>
      </c>
      <c r="Q2637" s="216">
        <f t="shared" si="257"/>
        <v>0.14400000000000002</v>
      </c>
      <c r="R2637" s="216">
        <f t="shared" si="258"/>
        <v>0.14400000000000002</v>
      </c>
      <c r="S2637" s="217">
        <f t="shared" si="259"/>
        <v>0.14400000000000002</v>
      </c>
    </row>
    <row r="2638" spans="1:19" ht="15.75" hidden="1" thickBot="1" x14ac:dyDescent="0.3">
      <c r="A2638" s="263"/>
      <c r="B2638" s="261"/>
      <c r="C2638" s="35"/>
      <c r="D2638" s="35"/>
      <c r="E2638" s="36"/>
      <c r="F2638" s="30" t="s">
        <v>416</v>
      </c>
      <c r="G2638" s="33" t="str">
        <f t="shared" si="254"/>
        <v/>
      </c>
      <c r="H2638" s="34"/>
      <c r="I2638" s="30"/>
      <c r="J2638" s="152">
        <v>0</v>
      </c>
      <c r="L2638" s="215"/>
      <c r="M2638" s="30"/>
      <c r="N2638" s="33" t="str">
        <f t="shared" si="255"/>
        <v/>
      </c>
      <c r="O2638" s="34"/>
      <c r="P2638" s="36" t="str">
        <f t="shared" si="256"/>
        <v/>
      </c>
      <c r="Q2638" s="216" t="str">
        <f t="shared" si="257"/>
        <v/>
      </c>
      <c r="R2638" s="216" t="str">
        <f t="shared" si="258"/>
        <v/>
      </c>
      <c r="S2638" s="217" t="str">
        <f t="shared" si="259"/>
        <v/>
      </c>
    </row>
    <row r="2639" spans="1:19" ht="15.75" hidden="1" thickBot="1" x14ac:dyDescent="0.3">
      <c r="A2639" s="256" t="s">
        <v>1946</v>
      </c>
      <c r="B2639" s="259" t="str">
        <f>INDEX(Orçamentária!A:B,MATCH(Composições!A2639,Orçamentária!A:A,0),2)</f>
        <v>Adesivo Selante Poliuretano</v>
      </c>
      <c r="C2639" s="40"/>
      <c r="D2639" s="25" t="s">
        <v>16</v>
      </c>
      <c r="E2639" s="26"/>
      <c r="F2639" s="41" t="s">
        <v>416</v>
      </c>
      <c r="G2639" s="27" t="str">
        <f t="shared" si="254"/>
        <v/>
      </c>
      <c r="H2639" s="28"/>
      <c r="I2639" s="29"/>
      <c r="J2639" s="152">
        <v>0</v>
      </c>
      <c r="L2639" s="218"/>
      <c r="M2639" s="41"/>
      <c r="N2639" s="27" t="str">
        <f t="shared" si="255"/>
        <v/>
      </c>
      <c r="O2639" s="28"/>
      <c r="P2639" s="36" t="str">
        <f t="shared" si="256"/>
        <v/>
      </c>
      <c r="Q2639" s="216" t="str">
        <f t="shared" si="257"/>
        <v/>
      </c>
      <c r="R2639" s="216" t="str">
        <f t="shared" si="258"/>
        <v/>
      </c>
      <c r="S2639" s="217" t="str">
        <f t="shared" si="259"/>
        <v/>
      </c>
    </row>
    <row r="2640" spans="1:19" ht="15.75" hidden="1" thickBot="1" x14ac:dyDescent="0.3">
      <c r="A2640" s="262"/>
      <c r="B2640" s="260"/>
      <c r="C2640" s="31"/>
      <c r="D2640" s="31"/>
      <c r="E2640" s="32"/>
      <c r="F2640" s="42" t="s">
        <v>416</v>
      </c>
      <c r="G2640" s="33" t="str">
        <f t="shared" si="254"/>
        <v/>
      </c>
      <c r="H2640" s="34"/>
      <c r="I2640" s="30"/>
      <c r="J2640" s="152">
        <v>0</v>
      </c>
      <c r="L2640" s="219"/>
      <c r="M2640" s="42"/>
      <c r="N2640" s="33" t="str">
        <f t="shared" si="255"/>
        <v/>
      </c>
      <c r="O2640" s="34"/>
      <c r="P2640" s="36" t="str">
        <f t="shared" si="256"/>
        <v/>
      </c>
      <c r="Q2640" s="216" t="str">
        <f t="shared" si="257"/>
        <v/>
      </c>
      <c r="R2640" s="216" t="str">
        <f t="shared" si="258"/>
        <v/>
      </c>
      <c r="S2640" s="217" t="str">
        <f t="shared" si="259"/>
        <v/>
      </c>
    </row>
    <row r="2641" spans="1:19" ht="26.25" hidden="1" thickBot="1" x14ac:dyDescent="0.3">
      <c r="A2641" s="262"/>
      <c r="B2641" s="260"/>
      <c r="C2641" s="35" t="s">
        <v>928</v>
      </c>
      <c r="D2641" s="35" t="s">
        <v>8526</v>
      </c>
      <c r="E2641" s="36">
        <v>1</v>
      </c>
      <c r="F2641" s="30">
        <v>39.548499999999997</v>
      </c>
      <c r="G2641" s="33">
        <f t="shared" si="254"/>
        <v>39.548499999999997</v>
      </c>
      <c r="H2641" s="38">
        <f>SUM(G2641:G2641)</f>
        <v>39.548499999999997</v>
      </c>
      <c r="I2641" s="39"/>
      <c r="J2641" s="152">
        <v>0</v>
      </c>
      <c r="L2641" s="215">
        <v>1</v>
      </c>
      <c r="M2641" s="30">
        <v>33.853515999999999</v>
      </c>
      <c r="N2641" s="33">
        <f t="shared" si="255"/>
        <v>33.853515999999999</v>
      </c>
      <c r="O2641" s="38">
        <f>SUM(N2641:N2641)</f>
        <v>33.853515999999999</v>
      </c>
      <c r="P2641" s="36" t="str">
        <f t="shared" si="256"/>
        <v/>
      </c>
      <c r="Q2641" s="216">
        <f t="shared" si="257"/>
        <v>0.14399999999999991</v>
      </c>
      <c r="R2641" s="216">
        <f t="shared" si="258"/>
        <v>0.14399999999999991</v>
      </c>
      <c r="S2641" s="217">
        <f t="shared" si="259"/>
        <v>0.14399999999999991</v>
      </c>
    </row>
    <row r="2642" spans="1:19" ht="15.75" hidden="1" thickBot="1" x14ac:dyDescent="0.3">
      <c r="A2642" s="263"/>
      <c r="B2642" s="261"/>
      <c r="C2642" s="35"/>
      <c r="D2642" s="35"/>
      <c r="E2642" s="36"/>
      <c r="F2642" s="30" t="s">
        <v>416</v>
      </c>
      <c r="G2642" s="33" t="str">
        <f t="shared" si="254"/>
        <v/>
      </c>
      <c r="H2642" s="34"/>
      <c r="I2642" s="30"/>
      <c r="J2642" s="152">
        <v>0</v>
      </c>
      <c r="L2642" s="215"/>
      <c r="M2642" s="30"/>
      <c r="N2642" s="33" t="str">
        <f t="shared" si="255"/>
        <v/>
      </c>
      <c r="O2642" s="34"/>
      <c r="P2642" s="36" t="str">
        <f t="shared" si="256"/>
        <v/>
      </c>
      <c r="Q2642" s="216" t="str">
        <f t="shared" si="257"/>
        <v/>
      </c>
      <c r="R2642" s="216" t="str">
        <f t="shared" si="258"/>
        <v/>
      </c>
      <c r="S2642" s="217" t="str">
        <f t="shared" si="259"/>
        <v/>
      </c>
    </row>
    <row r="2643" spans="1:19" ht="15.75" hidden="1" thickBot="1" x14ac:dyDescent="0.3">
      <c r="A2643" s="256" t="s">
        <v>1948</v>
      </c>
      <c r="B2643" s="259" t="str">
        <f>INDEX(Orçamentária!A:B,MATCH(Composições!A2643,Orçamentária!A:A,0),2)</f>
        <v>Selante de Silicone</v>
      </c>
      <c r="C2643" s="40"/>
      <c r="D2643" s="25" t="s">
        <v>16</v>
      </c>
      <c r="E2643" s="26"/>
      <c r="F2643" s="41" t="s">
        <v>416</v>
      </c>
      <c r="G2643" s="27" t="str">
        <f t="shared" si="254"/>
        <v/>
      </c>
      <c r="H2643" s="28"/>
      <c r="I2643" s="29"/>
      <c r="J2643" s="152">
        <v>0</v>
      </c>
      <c r="L2643" s="218"/>
      <c r="M2643" s="41"/>
      <c r="N2643" s="27" t="str">
        <f t="shared" si="255"/>
        <v/>
      </c>
      <c r="O2643" s="28"/>
      <c r="P2643" s="36" t="str">
        <f t="shared" si="256"/>
        <v/>
      </c>
      <c r="Q2643" s="216" t="str">
        <f t="shared" si="257"/>
        <v/>
      </c>
      <c r="R2643" s="216" t="str">
        <f t="shared" si="258"/>
        <v/>
      </c>
      <c r="S2643" s="217" t="str">
        <f t="shared" si="259"/>
        <v/>
      </c>
    </row>
    <row r="2644" spans="1:19" ht="15.75" hidden="1" thickBot="1" x14ac:dyDescent="0.3">
      <c r="A2644" s="262"/>
      <c r="B2644" s="260"/>
      <c r="C2644" s="31"/>
      <c r="D2644" s="31"/>
      <c r="E2644" s="32"/>
      <c r="F2644" s="42" t="s">
        <v>416</v>
      </c>
      <c r="G2644" s="33" t="str">
        <f t="shared" si="254"/>
        <v/>
      </c>
      <c r="H2644" s="34"/>
      <c r="I2644" s="30"/>
      <c r="J2644" s="152">
        <v>0</v>
      </c>
      <c r="L2644" s="219"/>
      <c r="M2644" s="42"/>
      <c r="N2644" s="33" t="str">
        <f t="shared" si="255"/>
        <v/>
      </c>
      <c r="O2644" s="34"/>
      <c r="P2644" s="36" t="str">
        <f t="shared" si="256"/>
        <v/>
      </c>
      <c r="Q2644" s="216" t="str">
        <f t="shared" si="257"/>
        <v/>
      </c>
      <c r="R2644" s="216" t="str">
        <f t="shared" si="258"/>
        <v/>
      </c>
      <c r="S2644" s="217" t="str">
        <f t="shared" si="259"/>
        <v/>
      </c>
    </row>
    <row r="2645" spans="1:19" ht="15.75" hidden="1" thickBot="1" x14ac:dyDescent="0.3">
      <c r="A2645" s="262"/>
      <c r="B2645" s="260"/>
      <c r="C2645" s="35" t="s">
        <v>8373</v>
      </c>
      <c r="D2645" s="35" t="s">
        <v>213</v>
      </c>
      <c r="E2645" s="36">
        <v>1</v>
      </c>
      <c r="F2645" s="30">
        <v>26.125</v>
      </c>
      <c r="G2645" s="33">
        <f t="shared" si="254"/>
        <v>26.125</v>
      </c>
      <c r="H2645" s="38">
        <f>SUM(G2645:G2645)</f>
        <v>26.125</v>
      </c>
      <c r="I2645" s="39"/>
      <c r="J2645" s="152">
        <v>0</v>
      </c>
      <c r="L2645" s="215">
        <v>1</v>
      </c>
      <c r="M2645" s="30">
        <v>22.363</v>
      </c>
      <c r="N2645" s="33">
        <f t="shared" si="255"/>
        <v>22.363</v>
      </c>
      <c r="O2645" s="38">
        <f>SUM(N2645:N2645)</f>
        <v>22.363</v>
      </c>
      <c r="P2645" s="36" t="str">
        <f t="shared" si="256"/>
        <v/>
      </c>
      <c r="Q2645" s="216">
        <f t="shared" si="257"/>
        <v>0.14400000000000002</v>
      </c>
      <c r="R2645" s="216">
        <f t="shared" si="258"/>
        <v>0.14400000000000002</v>
      </c>
      <c r="S2645" s="217">
        <f t="shared" si="259"/>
        <v>0.14400000000000002</v>
      </c>
    </row>
    <row r="2646" spans="1:19" ht="15.75" hidden="1" thickBot="1" x14ac:dyDescent="0.3">
      <c r="A2646" s="263"/>
      <c r="B2646" s="261"/>
      <c r="C2646" s="35"/>
      <c r="D2646" s="35"/>
      <c r="E2646" s="36"/>
      <c r="F2646" s="30" t="s">
        <v>416</v>
      </c>
      <c r="G2646" s="33" t="str">
        <f t="shared" si="254"/>
        <v/>
      </c>
      <c r="H2646" s="34"/>
      <c r="I2646" s="30"/>
      <c r="J2646" s="152">
        <v>0</v>
      </c>
      <c r="L2646" s="215"/>
      <c r="M2646" s="30"/>
      <c r="N2646" s="33" t="str">
        <f t="shared" si="255"/>
        <v/>
      </c>
      <c r="O2646" s="34"/>
      <c r="P2646" s="36" t="str">
        <f t="shared" si="256"/>
        <v/>
      </c>
      <c r="Q2646" s="216" t="str">
        <f t="shared" si="257"/>
        <v/>
      </c>
      <c r="R2646" s="216" t="str">
        <f t="shared" si="258"/>
        <v/>
      </c>
      <c r="S2646" s="217" t="str">
        <f t="shared" si="259"/>
        <v/>
      </c>
    </row>
    <row r="2647" spans="1:19" ht="15.75" hidden="1" thickBot="1" x14ac:dyDescent="0.3">
      <c r="A2647" s="256" t="s">
        <v>651</v>
      </c>
      <c r="B2647" s="259" t="str">
        <f>INDEX(Orçamentária!A:B,MATCH(Composições!A2647,Orçamentária!A:A,0),2)</f>
        <v>Aditivo Impermeabilizante</v>
      </c>
      <c r="C2647" s="40"/>
      <c r="D2647" s="25" t="s">
        <v>75</v>
      </c>
      <c r="E2647" s="26"/>
      <c r="F2647" s="41" t="s">
        <v>416</v>
      </c>
      <c r="G2647" s="27" t="str">
        <f t="shared" si="254"/>
        <v/>
      </c>
      <c r="H2647" s="28"/>
      <c r="I2647" s="29"/>
      <c r="J2647" s="152">
        <v>0</v>
      </c>
      <c r="L2647" s="218"/>
      <c r="M2647" s="41"/>
      <c r="N2647" s="27" t="str">
        <f t="shared" si="255"/>
        <v/>
      </c>
      <c r="O2647" s="28"/>
      <c r="P2647" s="36" t="str">
        <f t="shared" si="256"/>
        <v/>
      </c>
      <c r="Q2647" s="216" t="str">
        <f t="shared" si="257"/>
        <v/>
      </c>
      <c r="R2647" s="216" t="str">
        <f t="shared" si="258"/>
        <v/>
      </c>
      <c r="S2647" s="217" t="str">
        <f t="shared" si="259"/>
        <v/>
      </c>
    </row>
    <row r="2648" spans="1:19" ht="15.75" hidden="1" thickBot="1" x14ac:dyDescent="0.3">
      <c r="A2648" s="262"/>
      <c r="B2648" s="260"/>
      <c r="C2648" s="31"/>
      <c r="D2648" s="31"/>
      <c r="E2648" s="32"/>
      <c r="F2648" s="42" t="s">
        <v>416</v>
      </c>
      <c r="G2648" s="33" t="str">
        <f t="shared" si="254"/>
        <v/>
      </c>
      <c r="H2648" s="34"/>
      <c r="I2648" s="30"/>
      <c r="J2648" s="152">
        <v>0</v>
      </c>
      <c r="L2648" s="219"/>
      <c r="M2648" s="42"/>
      <c r="N2648" s="33" t="str">
        <f t="shared" si="255"/>
        <v/>
      </c>
      <c r="O2648" s="34"/>
      <c r="P2648" s="36" t="str">
        <f t="shared" si="256"/>
        <v/>
      </c>
      <c r="Q2648" s="216" t="str">
        <f t="shared" si="257"/>
        <v/>
      </c>
      <c r="R2648" s="216" t="str">
        <f t="shared" si="258"/>
        <v/>
      </c>
      <c r="S2648" s="217" t="str">
        <f t="shared" si="259"/>
        <v/>
      </c>
    </row>
    <row r="2649" spans="1:19" ht="39" hidden="1" thickBot="1" x14ac:dyDescent="0.3">
      <c r="A2649" s="262"/>
      <c r="B2649" s="260"/>
      <c r="C2649" s="35" t="s">
        <v>652</v>
      </c>
      <c r="D2649" s="35" t="s">
        <v>75</v>
      </c>
      <c r="E2649" s="36">
        <v>1</v>
      </c>
      <c r="F2649" s="30">
        <v>8.2459999999999987</v>
      </c>
      <c r="G2649" s="33">
        <f t="shared" si="254"/>
        <v>8.2459999999999987</v>
      </c>
      <c r="H2649" s="38">
        <f>SUM(G2649:G2649)</f>
        <v>8.2459999999999987</v>
      </c>
      <c r="I2649" s="39"/>
      <c r="J2649" s="152">
        <v>0</v>
      </c>
      <c r="L2649" s="215">
        <v>1</v>
      </c>
      <c r="M2649" s="30">
        <v>7.0585759999999986</v>
      </c>
      <c r="N2649" s="33">
        <f t="shared" si="255"/>
        <v>7.0585759999999986</v>
      </c>
      <c r="O2649" s="38">
        <f>SUM(N2649:N2649)</f>
        <v>7.0585759999999986</v>
      </c>
      <c r="P2649" s="36" t="str">
        <f t="shared" si="256"/>
        <v/>
      </c>
      <c r="Q2649" s="216">
        <f t="shared" si="257"/>
        <v>0.14400000000000002</v>
      </c>
      <c r="R2649" s="216">
        <f t="shared" si="258"/>
        <v>0.14400000000000002</v>
      </c>
      <c r="S2649" s="217">
        <f t="shared" si="259"/>
        <v>0.14400000000000002</v>
      </c>
    </row>
    <row r="2650" spans="1:19" ht="15.75" hidden="1" thickBot="1" x14ac:dyDescent="0.3">
      <c r="A2650" s="263"/>
      <c r="B2650" s="261"/>
      <c r="C2650" s="35"/>
      <c r="D2650" s="35"/>
      <c r="E2650" s="36"/>
      <c r="F2650" s="30" t="s">
        <v>416</v>
      </c>
      <c r="G2650" s="33" t="str">
        <f t="shared" si="254"/>
        <v/>
      </c>
      <c r="H2650" s="34"/>
      <c r="I2650" s="30"/>
      <c r="J2650" s="152">
        <v>0</v>
      </c>
      <c r="L2650" s="215"/>
      <c r="M2650" s="30"/>
      <c r="N2650" s="33" t="str">
        <f t="shared" si="255"/>
        <v/>
      </c>
      <c r="O2650" s="34"/>
      <c r="P2650" s="36" t="str">
        <f t="shared" si="256"/>
        <v/>
      </c>
      <c r="Q2650" s="216" t="str">
        <f t="shared" si="257"/>
        <v/>
      </c>
      <c r="R2650" s="216" t="str">
        <f t="shared" si="258"/>
        <v/>
      </c>
      <c r="S2650" s="217" t="str">
        <f t="shared" si="259"/>
        <v/>
      </c>
    </row>
    <row r="2651" spans="1:19" ht="15.75" hidden="1" thickBot="1" x14ac:dyDescent="0.3">
      <c r="A2651" s="256" t="s">
        <v>1965</v>
      </c>
      <c r="B2651" s="259" t="str">
        <f>INDEX(Orçamentária!A:B,MATCH(Composições!A2651,Orçamentária!A:A,0),2)</f>
        <v>Lona Plástica</v>
      </c>
      <c r="C2651" s="40"/>
      <c r="D2651" s="25" t="s">
        <v>70</v>
      </c>
      <c r="E2651" s="26"/>
      <c r="F2651" s="41" t="s">
        <v>416</v>
      </c>
      <c r="G2651" s="27" t="str">
        <f t="shared" si="254"/>
        <v/>
      </c>
      <c r="H2651" s="28"/>
      <c r="I2651" s="29"/>
      <c r="J2651" s="152">
        <v>0</v>
      </c>
      <c r="L2651" s="218"/>
      <c r="M2651" s="41"/>
      <c r="N2651" s="27" t="str">
        <f t="shared" si="255"/>
        <v/>
      </c>
      <c r="O2651" s="28"/>
      <c r="P2651" s="36" t="str">
        <f t="shared" si="256"/>
        <v/>
      </c>
      <c r="Q2651" s="216" t="str">
        <f t="shared" si="257"/>
        <v/>
      </c>
      <c r="R2651" s="216" t="str">
        <f t="shared" si="258"/>
        <v/>
      </c>
      <c r="S2651" s="217" t="str">
        <f t="shared" si="259"/>
        <v/>
      </c>
    </row>
    <row r="2652" spans="1:19" ht="15.75" hidden="1" thickBot="1" x14ac:dyDescent="0.3">
      <c r="A2652" s="262"/>
      <c r="B2652" s="260"/>
      <c r="C2652" s="31"/>
      <c r="D2652" s="31"/>
      <c r="E2652" s="32"/>
      <c r="F2652" s="42" t="s">
        <v>416</v>
      </c>
      <c r="G2652" s="33" t="str">
        <f t="shared" si="254"/>
        <v/>
      </c>
      <c r="H2652" s="34"/>
      <c r="I2652" s="30"/>
      <c r="J2652" s="152">
        <v>0</v>
      </c>
      <c r="L2652" s="219"/>
      <c r="M2652" s="42"/>
      <c r="N2652" s="33" t="str">
        <f t="shared" si="255"/>
        <v/>
      </c>
      <c r="O2652" s="34"/>
      <c r="P2652" s="36" t="str">
        <f t="shared" si="256"/>
        <v/>
      </c>
      <c r="Q2652" s="216" t="str">
        <f t="shared" si="257"/>
        <v/>
      </c>
      <c r="R2652" s="216" t="str">
        <f t="shared" si="258"/>
        <v/>
      </c>
      <c r="S2652" s="217" t="str">
        <f t="shared" si="259"/>
        <v/>
      </c>
    </row>
    <row r="2653" spans="1:19" ht="15.75" hidden="1" thickBot="1" x14ac:dyDescent="0.3">
      <c r="A2653" s="262"/>
      <c r="B2653" s="260"/>
      <c r="C2653" s="35" t="s">
        <v>3228</v>
      </c>
      <c r="D2653" s="35" t="s">
        <v>861</v>
      </c>
      <c r="E2653" s="36">
        <v>1</v>
      </c>
      <c r="F2653" s="30">
        <v>1.8144999999999998</v>
      </c>
      <c r="G2653" s="33">
        <f t="shared" si="254"/>
        <v>1.8144999999999998</v>
      </c>
      <c r="H2653" s="38">
        <f>SUM(G2653:G2653)</f>
        <v>1.8144999999999998</v>
      </c>
      <c r="I2653" s="39"/>
      <c r="J2653" s="152">
        <v>0</v>
      </c>
      <c r="L2653" s="215">
        <v>1</v>
      </c>
      <c r="M2653" s="30">
        <v>1.5532119999999998</v>
      </c>
      <c r="N2653" s="33">
        <f t="shared" si="255"/>
        <v>1.5532119999999998</v>
      </c>
      <c r="O2653" s="38">
        <f>SUM(N2653:N2653)</f>
        <v>1.5532119999999998</v>
      </c>
      <c r="P2653" s="36" t="str">
        <f t="shared" si="256"/>
        <v/>
      </c>
      <c r="Q2653" s="216">
        <f t="shared" si="257"/>
        <v>0.14400000000000002</v>
      </c>
      <c r="R2653" s="216">
        <f t="shared" si="258"/>
        <v>0.14400000000000002</v>
      </c>
      <c r="S2653" s="217">
        <f t="shared" si="259"/>
        <v>0.14400000000000002</v>
      </c>
    </row>
    <row r="2654" spans="1:19" ht="15.75" hidden="1" thickBot="1" x14ac:dyDescent="0.3">
      <c r="A2654" s="263"/>
      <c r="B2654" s="261"/>
      <c r="C2654" s="35"/>
      <c r="D2654" s="35"/>
      <c r="E2654" s="36"/>
      <c r="F2654" s="30" t="s">
        <v>416</v>
      </c>
      <c r="G2654" s="33" t="str">
        <f t="shared" si="254"/>
        <v/>
      </c>
      <c r="H2654" s="34"/>
      <c r="I2654" s="30"/>
      <c r="J2654" s="152">
        <v>0</v>
      </c>
      <c r="L2654" s="215"/>
      <c r="M2654" s="30"/>
      <c r="N2654" s="33" t="str">
        <f t="shared" si="255"/>
        <v/>
      </c>
      <c r="O2654" s="34"/>
      <c r="P2654" s="36" t="str">
        <f t="shared" si="256"/>
        <v/>
      </c>
      <c r="Q2654" s="216" t="str">
        <f t="shared" si="257"/>
        <v/>
      </c>
      <c r="R2654" s="216" t="str">
        <f t="shared" si="258"/>
        <v/>
      </c>
      <c r="S2654" s="217" t="str">
        <f t="shared" si="259"/>
        <v/>
      </c>
    </row>
    <row r="2655" spans="1:19" ht="15.75" hidden="1" thickBot="1" x14ac:dyDescent="0.3">
      <c r="A2655" s="256" t="s">
        <v>653</v>
      </c>
      <c r="B2655" s="259" t="str">
        <f>INDEX(Orçamentária!A:B,MATCH(Composições!A2655,Orçamentária!A:A,0),2)</f>
        <v>Supervisor(a)-Geral</v>
      </c>
      <c r="C2655" s="40"/>
      <c r="D2655" s="25" t="s">
        <v>2177</v>
      </c>
      <c r="E2655" s="26"/>
      <c r="F2655" s="41" t="s">
        <v>416</v>
      </c>
      <c r="G2655" s="27" t="str">
        <f t="shared" si="254"/>
        <v/>
      </c>
      <c r="H2655" s="28"/>
      <c r="I2655" s="29"/>
      <c r="J2655" s="152">
        <v>0</v>
      </c>
      <c r="L2655" s="218"/>
      <c r="M2655" s="41"/>
      <c r="N2655" s="27" t="str">
        <f t="shared" si="255"/>
        <v/>
      </c>
      <c r="O2655" s="28"/>
      <c r="P2655" s="36" t="str">
        <f t="shared" si="256"/>
        <v/>
      </c>
      <c r="Q2655" s="216" t="str">
        <f t="shared" si="257"/>
        <v/>
      </c>
      <c r="R2655" s="216" t="str">
        <f t="shared" si="258"/>
        <v/>
      </c>
      <c r="S2655" s="217" t="str">
        <f t="shared" si="259"/>
        <v/>
      </c>
    </row>
    <row r="2656" spans="1:19" ht="15.75" hidden="1" thickBot="1" x14ac:dyDescent="0.3">
      <c r="A2656" s="262"/>
      <c r="B2656" s="260"/>
      <c r="C2656" s="31"/>
      <c r="D2656" s="31"/>
      <c r="E2656" s="32"/>
      <c r="F2656" s="42" t="s">
        <v>416</v>
      </c>
      <c r="G2656" s="33" t="str">
        <f t="shared" si="254"/>
        <v/>
      </c>
      <c r="H2656" s="34"/>
      <c r="I2656" s="30"/>
      <c r="J2656" s="152">
        <v>0</v>
      </c>
      <c r="L2656" s="219"/>
      <c r="M2656" s="42"/>
      <c r="N2656" s="33" t="str">
        <f t="shared" si="255"/>
        <v/>
      </c>
      <c r="O2656" s="34"/>
      <c r="P2656" s="36" t="str">
        <f t="shared" si="256"/>
        <v/>
      </c>
      <c r="Q2656" s="216" t="str">
        <f t="shared" si="257"/>
        <v/>
      </c>
      <c r="R2656" s="216" t="str">
        <f t="shared" si="258"/>
        <v/>
      </c>
      <c r="S2656" s="217" t="str">
        <f t="shared" si="259"/>
        <v/>
      </c>
    </row>
    <row r="2657" spans="1:19" ht="26.25" hidden="1" thickBot="1" x14ac:dyDescent="0.3">
      <c r="A2657" s="262"/>
      <c r="B2657" s="260"/>
      <c r="C2657" s="35" t="s">
        <v>654</v>
      </c>
      <c r="D2657" s="35" t="s">
        <v>583</v>
      </c>
      <c r="E2657" s="36">
        <f>ROUND(220/(1+110.14%),4)</f>
        <v>104.6921</v>
      </c>
      <c r="F2657" s="30">
        <v>118.2085</v>
      </c>
      <c r="G2657" s="33">
        <f t="shared" si="254"/>
        <v>12375.49610285</v>
      </c>
      <c r="H2657" s="38">
        <f>SUM(G2657:G2657)</f>
        <v>12375.49610285</v>
      </c>
      <c r="I2657" s="39"/>
      <c r="J2657" s="152">
        <v>0</v>
      </c>
      <c r="L2657" s="215">
        <v>104.6921</v>
      </c>
      <c r="M2657" s="30">
        <v>101.186476</v>
      </c>
      <c r="N2657" s="33">
        <f t="shared" si="255"/>
        <v>10593.4246640396</v>
      </c>
      <c r="O2657" s="38">
        <f>SUM(N2657:N2657)</f>
        <v>10593.4246640396</v>
      </c>
      <c r="P2657" s="36" t="str">
        <f t="shared" si="256"/>
        <v/>
      </c>
      <c r="Q2657" s="216">
        <f t="shared" si="257"/>
        <v>0.14400000000000002</v>
      </c>
      <c r="R2657" s="216">
        <f t="shared" si="258"/>
        <v>0.14400000000000002</v>
      </c>
      <c r="S2657" s="217">
        <f t="shared" si="259"/>
        <v>0.14400000000000002</v>
      </c>
    </row>
    <row r="2658" spans="1:19" ht="15.75" hidden="1" thickBot="1" x14ac:dyDescent="0.3">
      <c r="A2658" s="262"/>
      <c r="B2658" s="260"/>
      <c r="C2658" s="35"/>
      <c r="D2658" s="46"/>
      <c r="E2658" s="36"/>
      <c r="F2658" s="30" t="s">
        <v>416</v>
      </c>
      <c r="G2658" s="33" t="str">
        <f t="shared" si="254"/>
        <v/>
      </c>
      <c r="H2658" s="34"/>
      <c r="I2658" s="39"/>
      <c r="J2658" s="152">
        <v>0</v>
      </c>
      <c r="L2658" s="215"/>
      <c r="M2658" s="30"/>
      <c r="N2658" s="33" t="str">
        <f t="shared" si="255"/>
        <v/>
      </c>
      <c r="O2658" s="34"/>
      <c r="P2658" s="36" t="str">
        <f t="shared" si="256"/>
        <v/>
      </c>
      <c r="Q2658" s="216" t="str">
        <f t="shared" si="257"/>
        <v/>
      </c>
      <c r="R2658" s="216" t="str">
        <f t="shared" si="258"/>
        <v/>
      </c>
      <c r="S2658" s="217" t="str">
        <f t="shared" si="259"/>
        <v/>
      </c>
    </row>
    <row r="2659" spans="1:19" ht="26.25" hidden="1" thickBot="1" x14ac:dyDescent="0.3">
      <c r="A2659" s="262"/>
      <c r="B2659" s="260"/>
      <c r="C2659" s="47" t="s">
        <v>655</v>
      </c>
      <c r="D2659" s="46"/>
      <c r="E2659" s="36"/>
      <c r="F2659" s="30" t="s">
        <v>416</v>
      </c>
      <c r="G2659" s="33" t="str">
        <f t="shared" si="254"/>
        <v/>
      </c>
      <c r="H2659" s="34"/>
      <c r="I2659" s="39"/>
      <c r="J2659" s="152">
        <v>0</v>
      </c>
      <c r="L2659" s="215"/>
      <c r="M2659" s="30"/>
      <c r="N2659" s="33" t="str">
        <f t="shared" si="255"/>
        <v/>
      </c>
      <c r="O2659" s="34"/>
      <c r="P2659" s="36" t="str">
        <f t="shared" si="256"/>
        <v/>
      </c>
      <c r="Q2659" s="216" t="str">
        <f t="shared" si="257"/>
        <v/>
      </c>
      <c r="R2659" s="216" t="str">
        <f t="shared" si="258"/>
        <v/>
      </c>
      <c r="S2659" s="217" t="str">
        <f t="shared" si="259"/>
        <v/>
      </c>
    </row>
    <row r="2660" spans="1:19" ht="15.75" hidden="1" thickBot="1" x14ac:dyDescent="0.3">
      <c r="A2660" s="263"/>
      <c r="B2660" s="261"/>
      <c r="C2660" s="35"/>
      <c r="D2660" s="35"/>
      <c r="E2660" s="36"/>
      <c r="F2660" s="30" t="s">
        <v>416</v>
      </c>
      <c r="G2660" s="33" t="str">
        <f t="shared" si="254"/>
        <v/>
      </c>
      <c r="H2660" s="34"/>
      <c r="I2660" s="30"/>
      <c r="J2660" s="152">
        <v>0</v>
      </c>
      <c r="L2660" s="215"/>
      <c r="M2660" s="30"/>
      <c r="N2660" s="33" t="str">
        <f t="shared" si="255"/>
        <v/>
      </c>
      <c r="O2660" s="34"/>
      <c r="P2660" s="36" t="str">
        <f t="shared" si="256"/>
        <v/>
      </c>
      <c r="Q2660" s="216" t="str">
        <f t="shared" si="257"/>
        <v/>
      </c>
      <c r="R2660" s="216" t="str">
        <f t="shared" si="258"/>
        <v/>
      </c>
      <c r="S2660" s="217" t="str">
        <f t="shared" si="259"/>
        <v/>
      </c>
    </row>
    <row r="2661" spans="1:19" ht="15.75" hidden="1" thickBot="1" x14ac:dyDescent="0.3">
      <c r="A2661" s="256" t="s">
        <v>656</v>
      </c>
      <c r="B2661" s="259" t="str">
        <f>INDEX(Orçamentária!A:B,MATCH(Composições!A2661,Orçamentária!A:A,0),2)</f>
        <v>Apoio Técnico Administrativo – Controle de Almoxarifado</v>
      </c>
      <c r="C2661" s="40"/>
      <c r="D2661" s="25" t="s">
        <v>2177</v>
      </c>
      <c r="E2661" s="26"/>
      <c r="F2661" s="41" t="s">
        <v>416</v>
      </c>
      <c r="G2661" s="27" t="str">
        <f t="shared" si="254"/>
        <v/>
      </c>
      <c r="H2661" s="28"/>
      <c r="I2661" s="29"/>
      <c r="J2661" s="152">
        <v>0</v>
      </c>
      <c r="L2661" s="218"/>
      <c r="M2661" s="41"/>
      <c r="N2661" s="27" t="str">
        <f t="shared" si="255"/>
        <v/>
      </c>
      <c r="O2661" s="28"/>
      <c r="P2661" s="36" t="str">
        <f t="shared" si="256"/>
        <v/>
      </c>
      <c r="Q2661" s="216" t="str">
        <f t="shared" si="257"/>
        <v/>
      </c>
      <c r="R2661" s="216" t="str">
        <f t="shared" si="258"/>
        <v/>
      </c>
      <c r="S2661" s="217" t="str">
        <f t="shared" si="259"/>
        <v/>
      </c>
    </row>
    <row r="2662" spans="1:19" ht="15.75" hidden="1" thickBot="1" x14ac:dyDescent="0.3">
      <c r="A2662" s="257"/>
      <c r="B2662" s="260"/>
      <c r="C2662" s="31"/>
      <c r="D2662" s="31"/>
      <c r="E2662" s="32"/>
      <c r="F2662" s="42" t="s">
        <v>416</v>
      </c>
      <c r="G2662" s="33" t="str">
        <f t="shared" si="254"/>
        <v/>
      </c>
      <c r="H2662" s="34"/>
      <c r="I2662" s="30"/>
      <c r="J2662" s="152">
        <v>0</v>
      </c>
      <c r="L2662" s="219"/>
      <c r="M2662" s="42"/>
      <c r="N2662" s="33" t="str">
        <f t="shared" si="255"/>
        <v/>
      </c>
      <c r="O2662" s="34"/>
      <c r="P2662" s="36" t="str">
        <f t="shared" si="256"/>
        <v/>
      </c>
      <c r="Q2662" s="216" t="str">
        <f t="shared" si="257"/>
        <v/>
      </c>
      <c r="R2662" s="216" t="str">
        <f t="shared" si="258"/>
        <v/>
      </c>
      <c r="S2662" s="217" t="str">
        <f t="shared" si="259"/>
        <v/>
      </c>
    </row>
    <row r="2663" spans="1:19" ht="15.75" hidden="1" thickBot="1" x14ac:dyDescent="0.3">
      <c r="A2663" s="257"/>
      <c r="B2663" s="260"/>
      <c r="C2663" s="35" t="s">
        <v>657</v>
      </c>
      <c r="D2663" s="35" t="s">
        <v>583</v>
      </c>
      <c r="E2663" s="36">
        <f>ROUND(220/(1+110.14%),4)</f>
        <v>104.6921</v>
      </c>
      <c r="F2663" s="30">
        <v>31.264499999999995</v>
      </c>
      <c r="G2663" s="33">
        <f t="shared" si="254"/>
        <v>3273.1461604499991</v>
      </c>
      <c r="H2663" s="38">
        <f>SUM(G2663:G2663)</f>
        <v>3273.1461604499991</v>
      </c>
      <c r="I2663" s="39"/>
      <c r="J2663" s="152">
        <v>0</v>
      </c>
      <c r="L2663" s="215">
        <v>104.6921</v>
      </c>
      <c r="M2663" s="30">
        <v>26.762411999999998</v>
      </c>
      <c r="N2663" s="33">
        <f t="shared" si="255"/>
        <v>2801.8131133451998</v>
      </c>
      <c r="O2663" s="38">
        <f>SUM(N2663:N2663)</f>
        <v>2801.8131133451998</v>
      </c>
      <c r="P2663" s="36" t="str">
        <f t="shared" si="256"/>
        <v/>
      </c>
      <c r="Q2663" s="216">
        <f t="shared" si="257"/>
        <v>0.14399999999999991</v>
      </c>
      <c r="R2663" s="216">
        <f t="shared" si="258"/>
        <v>0.14399999999999979</v>
      </c>
      <c r="S2663" s="217">
        <f t="shared" si="259"/>
        <v>0.14399999999999979</v>
      </c>
    </row>
    <row r="2664" spans="1:19" ht="15.75" hidden="1" thickBot="1" x14ac:dyDescent="0.3">
      <c r="A2664" s="257"/>
      <c r="B2664" s="260"/>
      <c r="C2664" s="35"/>
      <c r="D2664" s="46"/>
      <c r="E2664" s="36"/>
      <c r="F2664" s="30" t="s">
        <v>416</v>
      </c>
      <c r="G2664" s="33" t="str">
        <f t="shared" si="254"/>
        <v/>
      </c>
      <c r="H2664" s="38"/>
      <c r="I2664" s="39"/>
      <c r="J2664" s="152">
        <v>0</v>
      </c>
      <c r="L2664" s="215"/>
      <c r="M2664" s="30"/>
      <c r="N2664" s="33" t="str">
        <f t="shared" si="255"/>
        <v/>
      </c>
      <c r="O2664" s="38"/>
      <c r="P2664" s="36" t="str">
        <f t="shared" si="256"/>
        <v/>
      </c>
      <c r="Q2664" s="216" t="str">
        <f t="shared" si="257"/>
        <v/>
      </c>
      <c r="R2664" s="216" t="str">
        <f t="shared" si="258"/>
        <v/>
      </c>
      <c r="S2664" s="217" t="str">
        <f t="shared" si="259"/>
        <v/>
      </c>
    </row>
    <row r="2665" spans="1:19" ht="26.25" hidden="1" thickBot="1" x14ac:dyDescent="0.3">
      <c r="A2665" s="257"/>
      <c r="B2665" s="260"/>
      <c r="C2665" s="47" t="s">
        <v>655</v>
      </c>
      <c r="D2665" s="46"/>
      <c r="E2665" s="36"/>
      <c r="F2665" s="30" t="s">
        <v>416</v>
      </c>
      <c r="G2665" s="33" t="str">
        <f t="shared" si="254"/>
        <v/>
      </c>
      <c r="H2665" s="38"/>
      <c r="I2665" s="39"/>
      <c r="J2665" s="152">
        <v>0</v>
      </c>
      <c r="L2665" s="215"/>
      <c r="M2665" s="30"/>
      <c r="N2665" s="33" t="str">
        <f t="shared" si="255"/>
        <v/>
      </c>
      <c r="O2665" s="38"/>
      <c r="P2665" s="36" t="str">
        <f t="shared" si="256"/>
        <v/>
      </c>
      <c r="Q2665" s="216" t="str">
        <f t="shared" si="257"/>
        <v/>
      </c>
      <c r="R2665" s="216" t="str">
        <f t="shared" si="258"/>
        <v/>
      </c>
      <c r="S2665" s="217" t="str">
        <f t="shared" si="259"/>
        <v/>
      </c>
    </row>
    <row r="2666" spans="1:19" ht="15.75" hidden="1" thickBot="1" x14ac:dyDescent="0.3">
      <c r="A2666" s="258"/>
      <c r="B2666" s="261"/>
      <c r="C2666" s="35"/>
      <c r="D2666" s="35"/>
      <c r="E2666" s="36"/>
      <c r="F2666" s="30" t="s">
        <v>416</v>
      </c>
      <c r="G2666" s="33" t="str">
        <f t="shared" si="254"/>
        <v/>
      </c>
      <c r="H2666" s="34"/>
      <c r="I2666" s="30"/>
      <c r="J2666" s="152">
        <v>0</v>
      </c>
      <c r="L2666" s="215"/>
      <c r="M2666" s="30"/>
      <c r="N2666" s="33" t="str">
        <f t="shared" si="255"/>
        <v/>
      </c>
      <c r="O2666" s="34"/>
      <c r="P2666" s="36" t="str">
        <f t="shared" si="256"/>
        <v/>
      </c>
      <c r="Q2666" s="216" t="str">
        <f t="shared" si="257"/>
        <v/>
      </c>
      <c r="R2666" s="216" t="str">
        <f t="shared" si="258"/>
        <v/>
      </c>
      <c r="S2666" s="217" t="str">
        <f t="shared" si="259"/>
        <v/>
      </c>
    </row>
    <row r="2667" spans="1:19" ht="15.75" hidden="1" thickBot="1" x14ac:dyDescent="0.3">
      <c r="A2667" s="256" t="s">
        <v>658</v>
      </c>
      <c r="B2667" s="259" t="str">
        <f>INDEX(Orçamentária!A:B,MATCH(Composições!A2667,Orçamentária!A:A,0),2)</f>
        <v>Ajudante de Serviços Gerais</v>
      </c>
      <c r="C2667" s="40"/>
      <c r="D2667" s="25" t="s">
        <v>2177</v>
      </c>
      <c r="E2667" s="26"/>
      <c r="F2667" s="41" t="s">
        <v>416</v>
      </c>
      <c r="G2667" s="27" t="str">
        <f t="shared" si="254"/>
        <v/>
      </c>
      <c r="H2667" s="28"/>
      <c r="I2667" s="29"/>
      <c r="J2667" s="152">
        <v>0</v>
      </c>
      <c r="L2667" s="218"/>
      <c r="M2667" s="41"/>
      <c r="N2667" s="27" t="str">
        <f t="shared" si="255"/>
        <v/>
      </c>
      <c r="O2667" s="28"/>
      <c r="P2667" s="36" t="str">
        <f t="shared" si="256"/>
        <v/>
      </c>
      <c r="Q2667" s="216" t="str">
        <f t="shared" si="257"/>
        <v/>
      </c>
      <c r="R2667" s="216" t="str">
        <f t="shared" si="258"/>
        <v/>
      </c>
      <c r="S2667" s="217" t="str">
        <f t="shared" si="259"/>
        <v/>
      </c>
    </row>
    <row r="2668" spans="1:19" ht="15.75" hidden="1" thickBot="1" x14ac:dyDescent="0.3">
      <c r="A2668" s="262"/>
      <c r="B2668" s="260"/>
      <c r="C2668" s="31"/>
      <c r="D2668" s="31"/>
      <c r="E2668" s="32"/>
      <c r="F2668" s="42" t="s">
        <v>416</v>
      </c>
      <c r="G2668" s="33" t="str">
        <f t="shared" si="254"/>
        <v/>
      </c>
      <c r="H2668" s="34"/>
      <c r="I2668" s="30"/>
      <c r="J2668" s="152">
        <v>0</v>
      </c>
      <c r="L2668" s="219"/>
      <c r="M2668" s="42"/>
      <c r="N2668" s="33" t="str">
        <f t="shared" si="255"/>
        <v/>
      </c>
      <c r="O2668" s="34"/>
      <c r="P2668" s="36" t="str">
        <f t="shared" si="256"/>
        <v/>
      </c>
      <c r="Q2668" s="216" t="str">
        <f t="shared" si="257"/>
        <v/>
      </c>
      <c r="R2668" s="216" t="str">
        <f t="shared" si="258"/>
        <v/>
      </c>
      <c r="S2668" s="217" t="str">
        <f t="shared" si="259"/>
        <v/>
      </c>
    </row>
    <row r="2669" spans="1:19" ht="15.75" hidden="1" thickBot="1" x14ac:dyDescent="0.3">
      <c r="A2669" s="262"/>
      <c r="B2669" s="260"/>
      <c r="C2669" s="35" t="s">
        <v>584</v>
      </c>
      <c r="D2669" s="35" t="s">
        <v>583</v>
      </c>
      <c r="E2669" s="36">
        <f>ROUND(220/(1+110.14%),4)</f>
        <v>104.6921</v>
      </c>
      <c r="F2669" s="30">
        <v>20.225499999999997</v>
      </c>
      <c r="G2669" s="33">
        <f t="shared" si="254"/>
        <v>2117.4500685499997</v>
      </c>
      <c r="H2669" s="38">
        <f>SUM(G2669:G2669)</f>
        <v>2117.4500685499997</v>
      </c>
      <c r="I2669" s="39"/>
      <c r="J2669" s="152">
        <v>0</v>
      </c>
      <c r="L2669" s="215">
        <v>104.6921</v>
      </c>
      <c r="M2669" s="30">
        <v>17.313027999999996</v>
      </c>
      <c r="N2669" s="33">
        <f t="shared" si="255"/>
        <v>1812.5372586787994</v>
      </c>
      <c r="O2669" s="38">
        <f>SUM(N2669:N2669)</f>
        <v>1812.5372586787994</v>
      </c>
      <c r="P2669" s="36" t="str">
        <f t="shared" si="256"/>
        <v/>
      </c>
      <c r="Q2669" s="216">
        <f t="shared" si="257"/>
        <v>0.14400000000000013</v>
      </c>
      <c r="R2669" s="216">
        <f t="shared" si="258"/>
        <v>0.14400000000000024</v>
      </c>
      <c r="S2669" s="217">
        <f t="shared" si="259"/>
        <v>0.14400000000000024</v>
      </c>
    </row>
    <row r="2670" spans="1:19" ht="15.75" hidden="1" thickBot="1" x14ac:dyDescent="0.3">
      <c r="A2670" s="262"/>
      <c r="B2670" s="260"/>
      <c r="C2670" s="35"/>
      <c r="D2670" s="46"/>
      <c r="E2670" s="36"/>
      <c r="F2670" s="30" t="s">
        <v>416</v>
      </c>
      <c r="G2670" s="33" t="str">
        <f t="shared" si="254"/>
        <v/>
      </c>
      <c r="H2670" s="38"/>
      <c r="I2670" s="39"/>
      <c r="J2670" s="152">
        <v>0</v>
      </c>
      <c r="L2670" s="215"/>
      <c r="M2670" s="30"/>
      <c r="N2670" s="33" t="str">
        <f t="shared" si="255"/>
        <v/>
      </c>
      <c r="O2670" s="38"/>
      <c r="P2670" s="36" t="str">
        <f t="shared" si="256"/>
        <v/>
      </c>
      <c r="Q2670" s="216" t="str">
        <f t="shared" si="257"/>
        <v/>
      </c>
      <c r="R2670" s="216" t="str">
        <f t="shared" si="258"/>
        <v/>
      </c>
      <c r="S2670" s="217" t="str">
        <f t="shared" si="259"/>
        <v/>
      </c>
    </row>
    <row r="2671" spans="1:19" ht="26.25" hidden="1" thickBot="1" x14ac:dyDescent="0.3">
      <c r="A2671" s="262"/>
      <c r="B2671" s="260"/>
      <c r="C2671" s="47" t="s">
        <v>655</v>
      </c>
      <c r="D2671" s="46"/>
      <c r="E2671" s="36"/>
      <c r="F2671" s="30" t="s">
        <v>416</v>
      </c>
      <c r="G2671" s="33" t="str">
        <f t="shared" si="254"/>
        <v/>
      </c>
      <c r="H2671" s="38"/>
      <c r="I2671" s="39"/>
      <c r="J2671" s="152">
        <v>0</v>
      </c>
      <c r="L2671" s="215"/>
      <c r="M2671" s="30"/>
      <c r="N2671" s="33" t="str">
        <f t="shared" si="255"/>
        <v/>
      </c>
      <c r="O2671" s="38"/>
      <c r="P2671" s="36" t="str">
        <f t="shared" si="256"/>
        <v/>
      </c>
      <c r="Q2671" s="216" t="str">
        <f t="shared" si="257"/>
        <v/>
      </c>
      <c r="R2671" s="216" t="str">
        <f t="shared" si="258"/>
        <v/>
      </c>
      <c r="S2671" s="217" t="str">
        <f t="shared" si="259"/>
        <v/>
      </c>
    </row>
    <row r="2672" spans="1:19" ht="15.75" hidden="1" thickBot="1" x14ac:dyDescent="0.3">
      <c r="A2672" s="263"/>
      <c r="B2672" s="261"/>
      <c r="C2672" s="35"/>
      <c r="D2672" s="35"/>
      <c r="E2672" s="36"/>
      <c r="F2672" s="30" t="s">
        <v>416</v>
      </c>
      <c r="G2672" s="33" t="str">
        <f t="shared" si="254"/>
        <v/>
      </c>
      <c r="H2672" s="34"/>
      <c r="I2672" s="30"/>
      <c r="J2672" s="152">
        <v>0</v>
      </c>
      <c r="L2672" s="215"/>
      <c r="M2672" s="30"/>
      <c r="N2672" s="33" t="str">
        <f t="shared" si="255"/>
        <v/>
      </c>
      <c r="O2672" s="34"/>
      <c r="P2672" s="36" t="str">
        <f t="shared" si="256"/>
        <v/>
      </c>
      <c r="Q2672" s="216" t="str">
        <f t="shared" si="257"/>
        <v/>
      </c>
      <c r="R2672" s="216" t="str">
        <f t="shared" si="258"/>
        <v/>
      </c>
      <c r="S2672" s="217" t="str">
        <f t="shared" si="259"/>
        <v/>
      </c>
    </row>
    <row r="2673" spans="1:19" ht="15.75" hidden="1" thickBot="1" x14ac:dyDescent="0.3">
      <c r="A2673" s="256" t="s">
        <v>659</v>
      </c>
      <c r="B2673" s="259" t="str">
        <f>INDEX(Orçamentária!A:B,MATCH(Composições!A2673,Orçamentária!A:A,0),2)</f>
        <v>Ajudante de Marceneiro(a)</v>
      </c>
      <c r="C2673" s="40"/>
      <c r="D2673" s="25" t="s">
        <v>2177</v>
      </c>
      <c r="E2673" s="26"/>
      <c r="F2673" s="41" t="s">
        <v>416</v>
      </c>
      <c r="G2673" s="27" t="str">
        <f t="shared" si="254"/>
        <v/>
      </c>
      <c r="H2673" s="28"/>
      <c r="I2673" s="29"/>
      <c r="J2673" s="152">
        <v>0</v>
      </c>
      <c r="L2673" s="218"/>
      <c r="M2673" s="41"/>
      <c r="N2673" s="27" t="str">
        <f t="shared" si="255"/>
        <v/>
      </c>
      <c r="O2673" s="28"/>
      <c r="P2673" s="36" t="str">
        <f t="shared" si="256"/>
        <v/>
      </c>
      <c r="Q2673" s="216" t="str">
        <f t="shared" si="257"/>
        <v/>
      </c>
      <c r="R2673" s="216" t="str">
        <f t="shared" si="258"/>
        <v/>
      </c>
      <c r="S2673" s="217" t="str">
        <f t="shared" si="259"/>
        <v/>
      </c>
    </row>
    <row r="2674" spans="1:19" ht="15.75" hidden="1" thickBot="1" x14ac:dyDescent="0.3">
      <c r="A2674" s="262"/>
      <c r="B2674" s="260"/>
      <c r="C2674" s="31"/>
      <c r="D2674" s="31"/>
      <c r="E2674" s="32"/>
      <c r="F2674" s="42" t="s">
        <v>416</v>
      </c>
      <c r="G2674" s="33" t="str">
        <f t="shared" si="254"/>
        <v/>
      </c>
      <c r="H2674" s="34"/>
      <c r="I2674" s="30"/>
      <c r="J2674" s="152">
        <v>0</v>
      </c>
      <c r="L2674" s="219"/>
      <c r="M2674" s="42"/>
      <c r="N2674" s="33" t="str">
        <f t="shared" si="255"/>
        <v/>
      </c>
      <c r="O2674" s="34"/>
      <c r="P2674" s="36" t="str">
        <f t="shared" si="256"/>
        <v/>
      </c>
      <c r="Q2674" s="216" t="str">
        <f t="shared" si="257"/>
        <v/>
      </c>
      <c r="R2674" s="216" t="str">
        <f t="shared" si="258"/>
        <v/>
      </c>
      <c r="S2674" s="217" t="str">
        <f t="shared" si="259"/>
        <v/>
      </c>
    </row>
    <row r="2675" spans="1:19" ht="15.75" hidden="1" thickBot="1" x14ac:dyDescent="0.3">
      <c r="A2675" s="262"/>
      <c r="B2675" s="260"/>
      <c r="C2675" s="35" t="s">
        <v>660</v>
      </c>
      <c r="D2675" s="35" t="s">
        <v>583</v>
      </c>
      <c r="E2675" s="36">
        <f>ROUND(220/(1+110.14%),4)</f>
        <v>104.6921</v>
      </c>
      <c r="F2675" s="30">
        <v>21.337</v>
      </c>
      <c r="G2675" s="33">
        <f t="shared" si="254"/>
        <v>2233.8153376999999</v>
      </c>
      <c r="H2675" s="38">
        <f>SUM(G2675:G2675)</f>
        <v>2233.8153376999999</v>
      </c>
      <c r="I2675" s="39"/>
      <c r="J2675" s="152">
        <v>0</v>
      </c>
      <c r="L2675" s="215">
        <v>104.6921</v>
      </c>
      <c r="M2675" s="30">
        <v>18.264472000000001</v>
      </c>
      <c r="N2675" s="33">
        <f t="shared" si="255"/>
        <v>1912.1459290712</v>
      </c>
      <c r="O2675" s="38">
        <f>SUM(N2675:N2675)</f>
        <v>1912.1459290712</v>
      </c>
      <c r="P2675" s="36" t="str">
        <f t="shared" si="256"/>
        <v/>
      </c>
      <c r="Q2675" s="216">
        <f t="shared" si="257"/>
        <v>0.14399999999999991</v>
      </c>
      <c r="R2675" s="216">
        <f t="shared" si="258"/>
        <v>0.14399999999999991</v>
      </c>
      <c r="S2675" s="217">
        <f t="shared" si="259"/>
        <v>0.14399999999999991</v>
      </c>
    </row>
    <row r="2676" spans="1:19" ht="15.75" hidden="1" thickBot="1" x14ac:dyDescent="0.3">
      <c r="A2676" s="262"/>
      <c r="B2676" s="260"/>
      <c r="C2676" s="35"/>
      <c r="D2676" s="46"/>
      <c r="E2676" s="36"/>
      <c r="F2676" s="30" t="s">
        <v>416</v>
      </c>
      <c r="G2676" s="33" t="str">
        <f t="shared" si="254"/>
        <v/>
      </c>
      <c r="H2676" s="38"/>
      <c r="I2676" s="39"/>
      <c r="J2676" s="152">
        <v>0</v>
      </c>
      <c r="L2676" s="215"/>
      <c r="M2676" s="30"/>
      <c r="N2676" s="33" t="str">
        <f t="shared" si="255"/>
        <v/>
      </c>
      <c r="O2676" s="38"/>
      <c r="P2676" s="36" t="str">
        <f t="shared" si="256"/>
        <v/>
      </c>
      <c r="Q2676" s="216" t="str">
        <f t="shared" si="257"/>
        <v/>
      </c>
      <c r="R2676" s="216" t="str">
        <f t="shared" si="258"/>
        <v/>
      </c>
      <c r="S2676" s="217" t="str">
        <f t="shared" si="259"/>
        <v/>
      </c>
    </row>
    <row r="2677" spans="1:19" ht="26.25" hidden="1" thickBot="1" x14ac:dyDescent="0.3">
      <c r="A2677" s="262"/>
      <c r="B2677" s="260"/>
      <c r="C2677" s="47" t="s">
        <v>655</v>
      </c>
      <c r="D2677" s="46"/>
      <c r="E2677" s="36"/>
      <c r="F2677" s="30" t="s">
        <v>416</v>
      </c>
      <c r="G2677" s="33" t="str">
        <f t="shared" si="254"/>
        <v/>
      </c>
      <c r="H2677" s="38"/>
      <c r="I2677" s="39"/>
      <c r="J2677" s="152">
        <v>0</v>
      </c>
      <c r="L2677" s="215"/>
      <c r="M2677" s="30"/>
      <c r="N2677" s="33" t="str">
        <f t="shared" si="255"/>
        <v/>
      </c>
      <c r="O2677" s="38"/>
      <c r="P2677" s="36" t="str">
        <f t="shared" si="256"/>
        <v/>
      </c>
      <c r="Q2677" s="216" t="str">
        <f t="shared" si="257"/>
        <v/>
      </c>
      <c r="R2677" s="216" t="str">
        <f t="shared" si="258"/>
        <v/>
      </c>
      <c r="S2677" s="217" t="str">
        <f t="shared" si="259"/>
        <v/>
      </c>
    </row>
    <row r="2678" spans="1:19" ht="15.75" hidden="1" thickBot="1" x14ac:dyDescent="0.3">
      <c r="A2678" s="263"/>
      <c r="B2678" s="261"/>
      <c r="C2678" s="35"/>
      <c r="D2678" s="35"/>
      <c r="E2678" s="36"/>
      <c r="F2678" s="30" t="s">
        <v>416</v>
      </c>
      <c r="G2678" s="33" t="str">
        <f t="shared" si="254"/>
        <v/>
      </c>
      <c r="H2678" s="34"/>
      <c r="I2678" s="30"/>
      <c r="J2678" s="152">
        <v>0</v>
      </c>
      <c r="L2678" s="215"/>
      <c r="M2678" s="30"/>
      <c r="N2678" s="33" t="str">
        <f t="shared" si="255"/>
        <v/>
      </c>
      <c r="O2678" s="34"/>
      <c r="P2678" s="36" t="str">
        <f t="shared" si="256"/>
        <v/>
      </c>
      <c r="Q2678" s="216" t="str">
        <f t="shared" si="257"/>
        <v/>
      </c>
      <c r="R2678" s="216" t="str">
        <f t="shared" si="258"/>
        <v/>
      </c>
      <c r="S2678" s="217" t="str">
        <f t="shared" si="259"/>
        <v/>
      </c>
    </row>
    <row r="2679" spans="1:19" ht="15.75" hidden="1" thickBot="1" x14ac:dyDescent="0.3">
      <c r="A2679" s="256" t="s">
        <v>661</v>
      </c>
      <c r="B2679" s="259" t="str">
        <f>INDEX(Orçamentária!A:B,MATCH(Composições!A2679,Orçamentária!A:A,0),2)</f>
        <v>Ajudante de Serralheiro(a)</v>
      </c>
      <c r="C2679" s="40"/>
      <c r="D2679" s="25" t="s">
        <v>2177</v>
      </c>
      <c r="E2679" s="26"/>
      <c r="F2679" s="41" t="s">
        <v>416</v>
      </c>
      <c r="G2679" s="27" t="str">
        <f t="shared" si="254"/>
        <v/>
      </c>
      <c r="H2679" s="28"/>
      <c r="I2679" s="29"/>
      <c r="J2679" s="152">
        <v>0</v>
      </c>
      <c r="L2679" s="218"/>
      <c r="M2679" s="41"/>
      <c r="N2679" s="27" t="str">
        <f t="shared" si="255"/>
        <v/>
      </c>
      <c r="O2679" s="28"/>
      <c r="P2679" s="36" t="str">
        <f t="shared" si="256"/>
        <v/>
      </c>
      <c r="Q2679" s="216" t="str">
        <f t="shared" si="257"/>
        <v/>
      </c>
      <c r="R2679" s="216" t="str">
        <f t="shared" si="258"/>
        <v/>
      </c>
      <c r="S2679" s="217" t="str">
        <f t="shared" si="259"/>
        <v/>
      </c>
    </row>
    <row r="2680" spans="1:19" ht="15.75" hidden="1" thickBot="1" x14ac:dyDescent="0.3">
      <c r="A2680" s="262"/>
      <c r="B2680" s="260"/>
      <c r="C2680" s="31"/>
      <c r="D2680" s="31"/>
      <c r="E2680" s="32"/>
      <c r="F2680" s="42" t="s">
        <v>416</v>
      </c>
      <c r="G2680" s="33" t="str">
        <f t="shared" si="254"/>
        <v/>
      </c>
      <c r="H2680" s="34"/>
      <c r="I2680" s="30"/>
      <c r="J2680" s="152">
        <v>0</v>
      </c>
      <c r="L2680" s="219"/>
      <c r="M2680" s="42"/>
      <c r="N2680" s="33" t="str">
        <f t="shared" si="255"/>
        <v/>
      </c>
      <c r="O2680" s="34"/>
      <c r="P2680" s="36" t="str">
        <f t="shared" si="256"/>
        <v/>
      </c>
      <c r="Q2680" s="216" t="str">
        <f t="shared" si="257"/>
        <v/>
      </c>
      <c r="R2680" s="216" t="str">
        <f t="shared" si="258"/>
        <v/>
      </c>
      <c r="S2680" s="217" t="str">
        <f t="shared" si="259"/>
        <v/>
      </c>
    </row>
    <row r="2681" spans="1:19" ht="15.75" hidden="1" thickBot="1" x14ac:dyDescent="0.3">
      <c r="A2681" s="262"/>
      <c r="B2681" s="260"/>
      <c r="C2681" s="35" t="s">
        <v>662</v>
      </c>
      <c r="D2681" s="35" t="s">
        <v>583</v>
      </c>
      <c r="E2681" s="36">
        <f>ROUND(220/(1+110.14%),4)</f>
        <v>104.6921</v>
      </c>
      <c r="F2681" s="30">
        <v>21.479499999999998</v>
      </c>
      <c r="G2681" s="33">
        <f t="shared" si="254"/>
        <v>2248.7339619499999</v>
      </c>
      <c r="H2681" s="38">
        <f>SUM(G2681:G2681)</f>
        <v>2248.7339619499999</v>
      </c>
      <c r="I2681" s="39"/>
      <c r="J2681" s="152">
        <v>0</v>
      </c>
      <c r="L2681" s="215">
        <v>104.6921</v>
      </c>
      <c r="M2681" s="30">
        <v>18.386451999999998</v>
      </c>
      <c r="N2681" s="33">
        <f t="shared" si="255"/>
        <v>1924.9162714291997</v>
      </c>
      <c r="O2681" s="38">
        <f>SUM(N2681:N2681)</f>
        <v>1924.9162714291997</v>
      </c>
      <c r="P2681" s="36" t="str">
        <f t="shared" si="256"/>
        <v/>
      </c>
      <c r="Q2681" s="216">
        <f t="shared" si="257"/>
        <v>0.14400000000000002</v>
      </c>
      <c r="R2681" s="216">
        <f t="shared" si="258"/>
        <v>0.14400000000000013</v>
      </c>
      <c r="S2681" s="217">
        <f t="shared" si="259"/>
        <v>0.14400000000000013</v>
      </c>
    </row>
    <row r="2682" spans="1:19" ht="15.75" hidden="1" thickBot="1" x14ac:dyDescent="0.3">
      <c r="A2682" s="262"/>
      <c r="B2682" s="260"/>
      <c r="C2682" s="35"/>
      <c r="D2682" s="46"/>
      <c r="E2682" s="36"/>
      <c r="F2682" s="30" t="s">
        <v>416</v>
      </c>
      <c r="G2682" s="33" t="str">
        <f t="shared" si="254"/>
        <v/>
      </c>
      <c r="H2682" s="38"/>
      <c r="I2682" s="39"/>
      <c r="J2682" s="152">
        <v>0</v>
      </c>
      <c r="L2682" s="215"/>
      <c r="M2682" s="30"/>
      <c r="N2682" s="33" t="str">
        <f t="shared" si="255"/>
        <v/>
      </c>
      <c r="O2682" s="38"/>
      <c r="P2682" s="36" t="str">
        <f t="shared" si="256"/>
        <v/>
      </c>
      <c r="Q2682" s="216" t="str">
        <f t="shared" si="257"/>
        <v/>
      </c>
      <c r="R2682" s="216" t="str">
        <f t="shared" si="258"/>
        <v/>
      </c>
      <c r="S2682" s="217" t="str">
        <f t="shared" si="259"/>
        <v/>
      </c>
    </row>
    <row r="2683" spans="1:19" ht="26.25" hidden="1" thickBot="1" x14ac:dyDescent="0.3">
      <c r="A2683" s="262"/>
      <c r="B2683" s="260"/>
      <c r="C2683" s="47" t="s">
        <v>655</v>
      </c>
      <c r="D2683" s="46"/>
      <c r="E2683" s="36"/>
      <c r="F2683" s="30" t="s">
        <v>416</v>
      </c>
      <c r="G2683" s="33" t="str">
        <f t="shared" si="254"/>
        <v/>
      </c>
      <c r="H2683" s="38"/>
      <c r="I2683" s="39"/>
      <c r="J2683" s="152">
        <v>0</v>
      </c>
      <c r="L2683" s="215"/>
      <c r="M2683" s="30"/>
      <c r="N2683" s="33" t="str">
        <f t="shared" si="255"/>
        <v/>
      </c>
      <c r="O2683" s="38"/>
      <c r="P2683" s="36" t="str">
        <f t="shared" si="256"/>
        <v/>
      </c>
      <c r="Q2683" s="216" t="str">
        <f t="shared" si="257"/>
        <v/>
      </c>
      <c r="R2683" s="216" t="str">
        <f t="shared" si="258"/>
        <v/>
      </c>
      <c r="S2683" s="217" t="str">
        <f t="shared" si="259"/>
        <v/>
      </c>
    </row>
    <row r="2684" spans="1:19" ht="15.75" hidden="1" thickBot="1" x14ac:dyDescent="0.3">
      <c r="A2684" s="263"/>
      <c r="B2684" s="261"/>
      <c r="C2684" s="35"/>
      <c r="D2684" s="35"/>
      <c r="E2684" s="36"/>
      <c r="F2684" s="30" t="s">
        <v>416</v>
      </c>
      <c r="G2684" s="33" t="str">
        <f t="shared" si="254"/>
        <v/>
      </c>
      <c r="H2684" s="34"/>
      <c r="I2684" s="30"/>
      <c r="J2684" s="152">
        <v>0</v>
      </c>
      <c r="L2684" s="215"/>
      <c r="M2684" s="30"/>
      <c r="N2684" s="33" t="str">
        <f t="shared" si="255"/>
        <v/>
      </c>
      <c r="O2684" s="34"/>
      <c r="P2684" s="36" t="str">
        <f t="shared" si="256"/>
        <v/>
      </c>
      <c r="Q2684" s="216" t="str">
        <f t="shared" si="257"/>
        <v/>
      </c>
      <c r="R2684" s="216" t="str">
        <f t="shared" si="258"/>
        <v/>
      </c>
      <c r="S2684" s="217" t="str">
        <f t="shared" si="259"/>
        <v/>
      </c>
    </row>
    <row r="2685" spans="1:19" ht="15.75" hidden="1" thickBot="1" x14ac:dyDescent="0.3">
      <c r="A2685" s="256" t="s">
        <v>663</v>
      </c>
      <c r="B2685" s="259" t="str">
        <f>INDEX(Orçamentária!A:B,MATCH(Composições!A2685,Orçamentária!A:A,0),2)</f>
        <v>Lustrador(a) de Móveis</v>
      </c>
      <c r="C2685" s="40"/>
      <c r="D2685" s="25" t="s">
        <v>2177</v>
      </c>
      <c r="E2685" s="26"/>
      <c r="F2685" s="41" t="s">
        <v>416</v>
      </c>
      <c r="G2685" s="27" t="str">
        <f t="shared" ref="G2685:G2748" si="260">IF(ISNUMBER(F2685),E2685*F2685,"")</f>
        <v/>
      </c>
      <c r="H2685" s="28"/>
      <c r="I2685" s="29"/>
      <c r="J2685" s="152">
        <v>0</v>
      </c>
      <c r="L2685" s="218"/>
      <c r="M2685" s="41"/>
      <c r="N2685" s="27" t="str">
        <f t="shared" ref="N2685:N2748" si="261">IF(ISNUMBER(M2685),L2685*M2685,"")</f>
        <v/>
      </c>
      <c r="O2685" s="28"/>
      <c r="P2685" s="36" t="str">
        <f t="shared" si="256"/>
        <v/>
      </c>
      <c r="Q2685" s="216" t="str">
        <f t="shared" si="257"/>
        <v/>
      </c>
      <c r="R2685" s="216" t="str">
        <f t="shared" si="258"/>
        <v/>
      </c>
      <c r="S2685" s="217" t="str">
        <f t="shared" si="259"/>
        <v/>
      </c>
    </row>
    <row r="2686" spans="1:19" ht="15.75" hidden="1" thickBot="1" x14ac:dyDescent="0.3">
      <c r="A2686" s="262"/>
      <c r="B2686" s="260"/>
      <c r="C2686" s="31"/>
      <c r="D2686" s="31"/>
      <c r="E2686" s="32"/>
      <c r="F2686" s="42" t="s">
        <v>416</v>
      </c>
      <c r="G2686" s="33" t="str">
        <f t="shared" si="260"/>
        <v/>
      </c>
      <c r="H2686" s="34"/>
      <c r="I2686" s="30"/>
      <c r="J2686" s="152">
        <v>0</v>
      </c>
      <c r="L2686" s="219"/>
      <c r="M2686" s="42"/>
      <c r="N2686" s="33" t="str">
        <f t="shared" si="261"/>
        <v/>
      </c>
      <c r="O2686" s="34"/>
      <c r="P2686" s="36" t="str">
        <f t="shared" si="256"/>
        <v/>
      </c>
      <c r="Q2686" s="216" t="str">
        <f t="shared" si="257"/>
        <v/>
      </c>
      <c r="R2686" s="216" t="str">
        <f t="shared" si="258"/>
        <v/>
      </c>
      <c r="S2686" s="217" t="str">
        <f t="shared" si="259"/>
        <v/>
      </c>
    </row>
    <row r="2687" spans="1:19" ht="15.75" hidden="1" thickBot="1" x14ac:dyDescent="0.3">
      <c r="A2687" s="262"/>
      <c r="B2687" s="260"/>
      <c r="C2687" s="35" t="s">
        <v>2905</v>
      </c>
      <c r="D2687" s="35" t="s">
        <v>583</v>
      </c>
      <c r="E2687" s="36">
        <f>ROUND(220/(1+110.14%),4)</f>
        <v>104.6921</v>
      </c>
      <c r="F2687" s="30">
        <v>25.4315</v>
      </c>
      <c r="G2687" s="33">
        <f t="shared" si="260"/>
        <v>2662.4771411500001</v>
      </c>
      <c r="H2687" s="38">
        <f>SUM(G2687:G2687)</f>
        <v>2662.4771411500001</v>
      </c>
      <c r="I2687" s="39"/>
      <c r="J2687" s="152">
        <v>0</v>
      </c>
      <c r="L2687" s="215">
        <v>104.6921</v>
      </c>
      <c r="M2687" s="30">
        <v>21.769363999999999</v>
      </c>
      <c r="N2687" s="33">
        <f t="shared" si="261"/>
        <v>2279.0804328243998</v>
      </c>
      <c r="O2687" s="38">
        <f>SUM(N2687:N2687)</f>
        <v>2279.0804328243998</v>
      </c>
      <c r="P2687" s="36" t="str">
        <f t="shared" si="256"/>
        <v/>
      </c>
      <c r="Q2687" s="216">
        <f t="shared" si="257"/>
        <v>0.14400000000000002</v>
      </c>
      <c r="R2687" s="216">
        <f t="shared" si="258"/>
        <v>0.14400000000000013</v>
      </c>
      <c r="S2687" s="217">
        <f t="shared" si="259"/>
        <v>0.14400000000000013</v>
      </c>
    </row>
    <row r="2688" spans="1:19" ht="15.75" hidden="1" thickBot="1" x14ac:dyDescent="0.3">
      <c r="A2688" s="262"/>
      <c r="B2688" s="260"/>
      <c r="C2688" s="35"/>
      <c r="D2688" s="46"/>
      <c r="E2688" s="36"/>
      <c r="F2688" s="30" t="s">
        <v>416</v>
      </c>
      <c r="G2688" s="33" t="str">
        <f t="shared" si="260"/>
        <v/>
      </c>
      <c r="H2688" s="38"/>
      <c r="I2688" s="39"/>
      <c r="J2688" s="152">
        <v>0</v>
      </c>
      <c r="L2688" s="215"/>
      <c r="M2688" s="30"/>
      <c r="N2688" s="33" t="str">
        <f t="shared" si="261"/>
        <v/>
      </c>
      <c r="O2688" s="38"/>
      <c r="P2688" s="36" t="str">
        <f t="shared" si="256"/>
        <v/>
      </c>
      <c r="Q2688" s="216" t="str">
        <f t="shared" si="257"/>
        <v/>
      </c>
      <c r="R2688" s="216" t="str">
        <f t="shared" si="258"/>
        <v/>
      </c>
      <c r="S2688" s="217" t="str">
        <f t="shared" si="259"/>
        <v/>
      </c>
    </row>
    <row r="2689" spans="1:19" ht="26.25" hidden="1" thickBot="1" x14ac:dyDescent="0.3">
      <c r="A2689" s="262"/>
      <c r="B2689" s="260"/>
      <c r="C2689" s="47" t="s">
        <v>655</v>
      </c>
      <c r="D2689" s="46"/>
      <c r="E2689" s="36"/>
      <c r="F2689" s="30" t="s">
        <v>416</v>
      </c>
      <c r="G2689" s="33" t="str">
        <f t="shared" si="260"/>
        <v/>
      </c>
      <c r="H2689" s="38"/>
      <c r="I2689" s="39"/>
      <c r="J2689" s="152">
        <v>0</v>
      </c>
      <c r="L2689" s="215"/>
      <c r="M2689" s="30"/>
      <c r="N2689" s="33" t="str">
        <f t="shared" si="261"/>
        <v/>
      </c>
      <c r="O2689" s="38"/>
      <c r="P2689" s="36" t="str">
        <f t="shared" si="256"/>
        <v/>
      </c>
      <c r="Q2689" s="216" t="str">
        <f t="shared" si="257"/>
        <v/>
      </c>
      <c r="R2689" s="216" t="str">
        <f t="shared" si="258"/>
        <v/>
      </c>
      <c r="S2689" s="217" t="str">
        <f t="shared" si="259"/>
        <v/>
      </c>
    </row>
    <row r="2690" spans="1:19" ht="15.75" hidden="1" thickBot="1" x14ac:dyDescent="0.3">
      <c r="A2690" s="263"/>
      <c r="B2690" s="261"/>
      <c r="C2690" s="35"/>
      <c r="D2690" s="35"/>
      <c r="E2690" s="36"/>
      <c r="F2690" s="30" t="s">
        <v>416</v>
      </c>
      <c r="G2690" s="33" t="str">
        <f t="shared" si="260"/>
        <v/>
      </c>
      <c r="H2690" s="34"/>
      <c r="I2690" s="30"/>
      <c r="J2690" s="152">
        <v>0</v>
      </c>
      <c r="L2690" s="215"/>
      <c r="M2690" s="30"/>
      <c r="N2690" s="33" t="str">
        <f t="shared" si="261"/>
        <v/>
      </c>
      <c r="O2690" s="34"/>
      <c r="P2690" s="36" t="str">
        <f t="shared" si="256"/>
        <v/>
      </c>
      <c r="Q2690" s="216" t="str">
        <f t="shared" si="257"/>
        <v/>
      </c>
      <c r="R2690" s="216" t="str">
        <f t="shared" si="258"/>
        <v/>
      </c>
      <c r="S2690" s="217" t="str">
        <f t="shared" si="259"/>
        <v/>
      </c>
    </row>
    <row r="2691" spans="1:19" ht="15.75" hidden="1" thickBot="1" x14ac:dyDescent="0.3">
      <c r="A2691" s="256" t="s">
        <v>664</v>
      </c>
      <c r="B2691" s="259" t="str">
        <f>INDEX(Orçamentária!A:B,MATCH(Composições!A2691,Orçamentária!A:A,0),2)</f>
        <v>Marceneiro(a)</v>
      </c>
      <c r="C2691" s="40"/>
      <c r="D2691" s="25" t="s">
        <v>2177</v>
      </c>
      <c r="E2691" s="26"/>
      <c r="F2691" s="41" t="s">
        <v>416</v>
      </c>
      <c r="G2691" s="27" t="str">
        <f t="shared" si="260"/>
        <v/>
      </c>
      <c r="H2691" s="28"/>
      <c r="I2691" s="29"/>
      <c r="J2691" s="152">
        <v>0</v>
      </c>
      <c r="L2691" s="218"/>
      <c r="M2691" s="41"/>
      <c r="N2691" s="27" t="str">
        <f t="shared" si="261"/>
        <v/>
      </c>
      <c r="O2691" s="28"/>
      <c r="P2691" s="36" t="str">
        <f t="shared" si="256"/>
        <v/>
      </c>
      <c r="Q2691" s="216" t="str">
        <f t="shared" si="257"/>
        <v/>
      </c>
      <c r="R2691" s="216" t="str">
        <f t="shared" si="258"/>
        <v/>
      </c>
      <c r="S2691" s="217" t="str">
        <f t="shared" si="259"/>
        <v/>
      </c>
    </row>
    <row r="2692" spans="1:19" ht="15.75" hidden="1" thickBot="1" x14ac:dyDescent="0.3">
      <c r="A2692" s="262"/>
      <c r="B2692" s="260"/>
      <c r="C2692" s="31"/>
      <c r="D2692" s="31"/>
      <c r="E2692" s="32"/>
      <c r="F2692" s="42" t="s">
        <v>416</v>
      </c>
      <c r="G2692" s="33" t="str">
        <f t="shared" si="260"/>
        <v/>
      </c>
      <c r="H2692" s="34"/>
      <c r="I2692" s="30"/>
      <c r="J2692" s="152">
        <v>0</v>
      </c>
      <c r="L2692" s="219"/>
      <c r="M2692" s="42"/>
      <c r="N2692" s="33" t="str">
        <f t="shared" si="261"/>
        <v/>
      </c>
      <c r="O2692" s="34"/>
      <c r="P2692" s="36" t="str">
        <f t="shared" si="256"/>
        <v/>
      </c>
      <c r="Q2692" s="216" t="str">
        <f t="shared" si="257"/>
        <v/>
      </c>
      <c r="R2692" s="216" t="str">
        <f t="shared" si="258"/>
        <v/>
      </c>
      <c r="S2692" s="217" t="str">
        <f t="shared" si="259"/>
        <v/>
      </c>
    </row>
    <row r="2693" spans="1:19" ht="15.75" hidden="1" thickBot="1" x14ac:dyDescent="0.3">
      <c r="A2693" s="262"/>
      <c r="B2693" s="260"/>
      <c r="C2693" s="35" t="s">
        <v>2905</v>
      </c>
      <c r="D2693" s="35" t="s">
        <v>583</v>
      </c>
      <c r="E2693" s="36">
        <f>ROUND(220/(1+110.14%),4)</f>
        <v>104.6921</v>
      </c>
      <c r="F2693" s="30">
        <v>25.4315</v>
      </c>
      <c r="G2693" s="33">
        <f t="shared" si="260"/>
        <v>2662.4771411500001</v>
      </c>
      <c r="H2693" s="38">
        <f>SUM(G2693:G2693)</f>
        <v>2662.4771411500001</v>
      </c>
      <c r="I2693" s="39"/>
      <c r="J2693" s="152">
        <v>0</v>
      </c>
      <c r="L2693" s="215">
        <v>104.6921</v>
      </c>
      <c r="M2693" s="30">
        <v>21.769363999999999</v>
      </c>
      <c r="N2693" s="33">
        <f t="shared" si="261"/>
        <v>2279.0804328243998</v>
      </c>
      <c r="O2693" s="38">
        <f>SUM(N2693:N2693)</f>
        <v>2279.0804328243998</v>
      </c>
      <c r="P2693" s="36" t="str">
        <f t="shared" si="256"/>
        <v/>
      </c>
      <c r="Q2693" s="216">
        <f t="shared" si="257"/>
        <v>0.14400000000000002</v>
      </c>
      <c r="R2693" s="216">
        <f t="shared" si="258"/>
        <v>0.14400000000000013</v>
      </c>
      <c r="S2693" s="217">
        <f t="shared" si="259"/>
        <v>0.14400000000000013</v>
      </c>
    </row>
    <row r="2694" spans="1:19" ht="15.75" hidden="1" thickBot="1" x14ac:dyDescent="0.3">
      <c r="A2694" s="262"/>
      <c r="B2694" s="260"/>
      <c r="C2694" s="35"/>
      <c r="D2694" s="46"/>
      <c r="E2694" s="36"/>
      <c r="F2694" s="30" t="s">
        <v>416</v>
      </c>
      <c r="G2694" s="33" t="str">
        <f t="shared" si="260"/>
        <v/>
      </c>
      <c r="H2694" s="38"/>
      <c r="I2694" s="39"/>
      <c r="J2694" s="152">
        <v>0</v>
      </c>
      <c r="L2694" s="215"/>
      <c r="M2694" s="30"/>
      <c r="N2694" s="33" t="str">
        <f t="shared" si="261"/>
        <v/>
      </c>
      <c r="O2694" s="38"/>
      <c r="P2694" s="36" t="str">
        <f t="shared" si="256"/>
        <v/>
      </c>
      <c r="Q2694" s="216" t="str">
        <f t="shared" si="257"/>
        <v/>
      </c>
      <c r="R2694" s="216" t="str">
        <f t="shared" si="258"/>
        <v/>
      </c>
      <c r="S2694" s="217" t="str">
        <f t="shared" si="259"/>
        <v/>
      </c>
    </row>
    <row r="2695" spans="1:19" ht="26.25" hidden="1" thickBot="1" x14ac:dyDescent="0.3">
      <c r="A2695" s="262"/>
      <c r="B2695" s="260"/>
      <c r="C2695" s="47" t="s">
        <v>655</v>
      </c>
      <c r="D2695" s="46"/>
      <c r="E2695" s="36"/>
      <c r="F2695" s="30" t="s">
        <v>416</v>
      </c>
      <c r="G2695" s="33" t="str">
        <f t="shared" si="260"/>
        <v/>
      </c>
      <c r="H2695" s="38"/>
      <c r="I2695" s="39"/>
      <c r="J2695" s="152">
        <v>0</v>
      </c>
      <c r="L2695" s="215"/>
      <c r="M2695" s="30"/>
      <c r="N2695" s="33" t="str">
        <f t="shared" si="261"/>
        <v/>
      </c>
      <c r="O2695" s="38"/>
      <c r="P2695" s="36" t="str">
        <f t="shared" si="256"/>
        <v/>
      </c>
      <c r="Q2695" s="216" t="str">
        <f t="shared" si="257"/>
        <v/>
      </c>
      <c r="R2695" s="216" t="str">
        <f t="shared" si="258"/>
        <v/>
      </c>
      <c r="S2695" s="217" t="str">
        <f t="shared" si="259"/>
        <v/>
      </c>
    </row>
    <row r="2696" spans="1:19" ht="15.75" hidden="1" thickBot="1" x14ac:dyDescent="0.3">
      <c r="A2696" s="263"/>
      <c r="B2696" s="261"/>
      <c r="C2696" s="35"/>
      <c r="D2696" s="35"/>
      <c r="E2696" s="36"/>
      <c r="F2696" s="30" t="s">
        <v>416</v>
      </c>
      <c r="G2696" s="33" t="str">
        <f t="shared" si="260"/>
        <v/>
      </c>
      <c r="H2696" s="34"/>
      <c r="I2696" s="30"/>
      <c r="J2696" s="152">
        <v>0</v>
      </c>
      <c r="L2696" s="215"/>
      <c r="M2696" s="30"/>
      <c r="N2696" s="33" t="str">
        <f t="shared" si="261"/>
        <v/>
      </c>
      <c r="O2696" s="34"/>
      <c r="P2696" s="36" t="str">
        <f t="shared" ref="P2696:P2759" si="262">IF(ISBLANK(L2696),"",IF($E2696&lt;&gt;L2696,"SIM",""))</f>
        <v/>
      </c>
      <c r="Q2696" s="216" t="str">
        <f t="shared" ref="Q2696:Q2759" si="263">IF(M2696="","",1-M2696/$F2696)</f>
        <v/>
      </c>
      <c r="R2696" s="216" t="str">
        <f t="shared" ref="R2696:R2759" si="264">IF(N2696="","",1-N2696/$G2696)</f>
        <v/>
      </c>
      <c r="S2696" s="217" t="str">
        <f t="shared" ref="S2696:S2759" si="265">IF(O2696="","",1-O2696/$H2696)</f>
        <v/>
      </c>
    </row>
    <row r="2697" spans="1:19" ht="15.75" hidden="1" thickBot="1" x14ac:dyDescent="0.3">
      <c r="A2697" s="256" t="s">
        <v>665</v>
      </c>
      <c r="B2697" s="259" t="str">
        <f>INDEX(Orçamentária!A:B,MATCH(Composições!A2697,Orçamentária!A:A,0),2)</f>
        <v>Serralheiro(a)</v>
      </c>
      <c r="C2697" s="40"/>
      <c r="D2697" s="25" t="s">
        <v>2177</v>
      </c>
      <c r="E2697" s="26"/>
      <c r="F2697" s="41" t="s">
        <v>416</v>
      </c>
      <c r="G2697" s="27" t="str">
        <f t="shared" si="260"/>
        <v/>
      </c>
      <c r="H2697" s="28"/>
      <c r="I2697" s="29"/>
      <c r="J2697" s="152">
        <v>0</v>
      </c>
      <c r="L2697" s="218"/>
      <c r="M2697" s="41"/>
      <c r="N2697" s="27" t="str">
        <f t="shared" si="261"/>
        <v/>
      </c>
      <c r="O2697" s="28"/>
      <c r="P2697" s="36" t="str">
        <f t="shared" si="262"/>
        <v/>
      </c>
      <c r="Q2697" s="216" t="str">
        <f t="shared" si="263"/>
        <v/>
      </c>
      <c r="R2697" s="216" t="str">
        <f t="shared" si="264"/>
        <v/>
      </c>
      <c r="S2697" s="217" t="str">
        <f t="shared" si="265"/>
        <v/>
      </c>
    </row>
    <row r="2698" spans="1:19" ht="15.75" hidden="1" thickBot="1" x14ac:dyDescent="0.3">
      <c r="A2698" s="262"/>
      <c r="B2698" s="260"/>
      <c r="C2698" s="31"/>
      <c r="D2698" s="31"/>
      <c r="E2698" s="32"/>
      <c r="F2698" s="42" t="s">
        <v>416</v>
      </c>
      <c r="G2698" s="33" t="str">
        <f t="shared" si="260"/>
        <v/>
      </c>
      <c r="H2698" s="34"/>
      <c r="I2698" s="30"/>
      <c r="J2698" s="152">
        <v>0</v>
      </c>
      <c r="L2698" s="219"/>
      <c r="M2698" s="42"/>
      <c r="N2698" s="33" t="str">
        <f t="shared" si="261"/>
        <v/>
      </c>
      <c r="O2698" s="34"/>
      <c r="P2698" s="36" t="str">
        <f t="shared" si="262"/>
        <v/>
      </c>
      <c r="Q2698" s="216" t="str">
        <f t="shared" si="263"/>
        <v/>
      </c>
      <c r="R2698" s="216" t="str">
        <f t="shared" si="264"/>
        <v/>
      </c>
      <c r="S2698" s="217" t="str">
        <f t="shared" si="265"/>
        <v/>
      </c>
    </row>
    <row r="2699" spans="1:19" ht="15.75" hidden="1" thickBot="1" x14ac:dyDescent="0.3">
      <c r="A2699" s="262"/>
      <c r="B2699" s="260"/>
      <c r="C2699" s="35" t="s">
        <v>1041</v>
      </c>
      <c r="D2699" s="35" t="s">
        <v>583</v>
      </c>
      <c r="E2699" s="36">
        <f>ROUND(220/(1+110.14%),4)</f>
        <v>104.6921</v>
      </c>
      <c r="F2699" s="30">
        <v>26.970499999999998</v>
      </c>
      <c r="G2699" s="33">
        <f t="shared" si="260"/>
        <v>2823.5982830499997</v>
      </c>
      <c r="H2699" s="38">
        <f>SUM(G2699:G2699)</f>
        <v>2823.5982830499997</v>
      </c>
      <c r="I2699" s="39"/>
      <c r="J2699" s="152">
        <v>0</v>
      </c>
      <c r="L2699" s="215">
        <v>104.6921</v>
      </c>
      <c r="M2699" s="30">
        <v>23.086748</v>
      </c>
      <c r="N2699" s="33">
        <f t="shared" si="261"/>
        <v>2417.0001302907999</v>
      </c>
      <c r="O2699" s="38">
        <f>SUM(N2699:N2699)</f>
        <v>2417.0001302907999</v>
      </c>
      <c r="P2699" s="36" t="str">
        <f t="shared" si="262"/>
        <v/>
      </c>
      <c r="Q2699" s="216">
        <f t="shared" si="263"/>
        <v>0.14399999999999991</v>
      </c>
      <c r="R2699" s="216">
        <f t="shared" si="264"/>
        <v>0.14399999999999991</v>
      </c>
      <c r="S2699" s="217">
        <f t="shared" si="265"/>
        <v>0.14399999999999991</v>
      </c>
    </row>
    <row r="2700" spans="1:19" ht="15.75" hidden="1" thickBot="1" x14ac:dyDescent="0.3">
      <c r="A2700" s="262"/>
      <c r="B2700" s="260"/>
      <c r="C2700" s="35"/>
      <c r="D2700" s="46"/>
      <c r="E2700" s="36"/>
      <c r="F2700" s="30" t="s">
        <v>416</v>
      </c>
      <c r="G2700" s="33" t="str">
        <f t="shared" si="260"/>
        <v/>
      </c>
      <c r="H2700" s="38"/>
      <c r="I2700" s="39"/>
      <c r="J2700" s="152">
        <v>0</v>
      </c>
      <c r="L2700" s="215"/>
      <c r="M2700" s="30"/>
      <c r="N2700" s="33" t="str">
        <f t="shared" si="261"/>
        <v/>
      </c>
      <c r="O2700" s="38"/>
      <c r="P2700" s="36" t="str">
        <f t="shared" si="262"/>
        <v/>
      </c>
      <c r="Q2700" s="216" t="str">
        <f t="shared" si="263"/>
        <v/>
      </c>
      <c r="R2700" s="216" t="str">
        <f t="shared" si="264"/>
        <v/>
      </c>
      <c r="S2700" s="217" t="str">
        <f t="shared" si="265"/>
        <v/>
      </c>
    </row>
    <row r="2701" spans="1:19" ht="26.25" hidden="1" thickBot="1" x14ac:dyDescent="0.3">
      <c r="A2701" s="262"/>
      <c r="B2701" s="260"/>
      <c r="C2701" s="47" t="s">
        <v>655</v>
      </c>
      <c r="D2701" s="46"/>
      <c r="E2701" s="36"/>
      <c r="F2701" s="30" t="s">
        <v>416</v>
      </c>
      <c r="G2701" s="33" t="str">
        <f t="shared" si="260"/>
        <v/>
      </c>
      <c r="H2701" s="38"/>
      <c r="I2701" s="39"/>
      <c r="J2701" s="152">
        <v>0</v>
      </c>
      <c r="L2701" s="215"/>
      <c r="M2701" s="30"/>
      <c r="N2701" s="33" t="str">
        <f t="shared" si="261"/>
        <v/>
      </c>
      <c r="O2701" s="38"/>
      <c r="P2701" s="36" t="str">
        <f t="shared" si="262"/>
        <v/>
      </c>
      <c r="Q2701" s="216" t="str">
        <f t="shared" si="263"/>
        <v/>
      </c>
      <c r="R2701" s="216" t="str">
        <f t="shared" si="264"/>
        <v/>
      </c>
      <c r="S2701" s="217" t="str">
        <f t="shared" si="265"/>
        <v/>
      </c>
    </row>
    <row r="2702" spans="1:19" ht="15.75" hidden="1" thickBot="1" x14ac:dyDescent="0.3">
      <c r="A2702" s="263"/>
      <c r="B2702" s="261"/>
      <c r="C2702" s="35"/>
      <c r="D2702" s="35"/>
      <c r="E2702" s="36"/>
      <c r="F2702" s="30" t="s">
        <v>416</v>
      </c>
      <c r="G2702" s="33" t="str">
        <f t="shared" si="260"/>
        <v/>
      </c>
      <c r="H2702" s="34"/>
      <c r="I2702" s="30"/>
      <c r="J2702" s="152">
        <v>0</v>
      </c>
      <c r="L2702" s="215"/>
      <c r="M2702" s="30"/>
      <c r="N2702" s="33" t="str">
        <f t="shared" si="261"/>
        <v/>
      </c>
      <c r="O2702" s="34"/>
      <c r="P2702" s="36" t="str">
        <f t="shared" si="262"/>
        <v/>
      </c>
      <c r="Q2702" s="216" t="str">
        <f t="shared" si="263"/>
        <v/>
      </c>
      <c r="R2702" s="216" t="str">
        <f t="shared" si="264"/>
        <v/>
      </c>
      <c r="S2702" s="217" t="str">
        <f t="shared" si="265"/>
        <v/>
      </c>
    </row>
    <row r="2703" spans="1:19" ht="15.75" hidden="1" thickBot="1" x14ac:dyDescent="0.3">
      <c r="A2703" s="256" t="s">
        <v>666</v>
      </c>
      <c r="B2703" s="259" t="str">
        <f>INDEX(Orçamentária!A:B,MATCH(Composições!A2703,Orçamentária!A:A,0),2)</f>
        <v>Mestre de Obras (Posto de Trabalho)</v>
      </c>
      <c r="C2703" s="40"/>
      <c r="D2703" s="25" t="s">
        <v>2177</v>
      </c>
      <c r="E2703" s="26"/>
      <c r="F2703" s="41" t="s">
        <v>416</v>
      </c>
      <c r="G2703" s="27" t="str">
        <f t="shared" si="260"/>
        <v/>
      </c>
      <c r="H2703" s="28"/>
      <c r="I2703" s="29"/>
      <c r="J2703" s="152">
        <v>0</v>
      </c>
      <c r="L2703" s="218"/>
      <c r="M2703" s="41"/>
      <c r="N2703" s="27" t="str">
        <f t="shared" si="261"/>
        <v/>
      </c>
      <c r="O2703" s="28"/>
      <c r="P2703" s="36" t="str">
        <f t="shared" si="262"/>
        <v/>
      </c>
      <c r="Q2703" s="216" t="str">
        <f t="shared" si="263"/>
        <v/>
      </c>
      <c r="R2703" s="216" t="str">
        <f t="shared" si="264"/>
        <v/>
      </c>
      <c r="S2703" s="217" t="str">
        <f t="shared" si="265"/>
        <v/>
      </c>
    </row>
    <row r="2704" spans="1:19" ht="15.75" hidden="1" thickBot="1" x14ac:dyDescent="0.3">
      <c r="A2704" s="262"/>
      <c r="B2704" s="260"/>
      <c r="C2704" s="31"/>
      <c r="D2704" s="31"/>
      <c r="E2704" s="32"/>
      <c r="F2704" s="42" t="s">
        <v>416</v>
      </c>
      <c r="G2704" s="33" t="str">
        <f t="shared" si="260"/>
        <v/>
      </c>
      <c r="H2704" s="34"/>
      <c r="I2704" s="30"/>
      <c r="J2704" s="152">
        <v>0</v>
      </c>
      <c r="L2704" s="219"/>
      <c r="M2704" s="42"/>
      <c r="N2704" s="33" t="str">
        <f t="shared" si="261"/>
        <v/>
      </c>
      <c r="O2704" s="34"/>
      <c r="P2704" s="36" t="str">
        <f t="shared" si="262"/>
        <v/>
      </c>
      <c r="Q2704" s="216" t="str">
        <f t="shared" si="263"/>
        <v/>
      </c>
      <c r="R2704" s="216" t="str">
        <f t="shared" si="264"/>
        <v/>
      </c>
      <c r="S2704" s="217" t="str">
        <f t="shared" si="265"/>
        <v/>
      </c>
    </row>
    <row r="2705" spans="1:19" ht="15.75" hidden="1" thickBot="1" x14ac:dyDescent="0.3">
      <c r="A2705" s="262"/>
      <c r="B2705" s="260"/>
      <c r="C2705" s="35" t="s">
        <v>2915</v>
      </c>
      <c r="D2705" s="35" t="s">
        <v>583</v>
      </c>
      <c r="E2705" s="36">
        <f>ROUND(220/(1+110.14%),4)</f>
        <v>104.6921</v>
      </c>
      <c r="F2705" s="30">
        <v>44.564499999999995</v>
      </c>
      <c r="G2705" s="33">
        <f t="shared" si="260"/>
        <v>4665.5510904499997</v>
      </c>
      <c r="H2705" s="38">
        <f>SUM(G2705:G2705)</f>
        <v>4665.5510904499997</v>
      </c>
      <c r="I2705" s="39"/>
      <c r="J2705" s="152">
        <v>0</v>
      </c>
      <c r="L2705" s="215">
        <v>104.6921</v>
      </c>
      <c r="M2705" s="30">
        <v>38.147211999999996</v>
      </c>
      <c r="N2705" s="33">
        <f t="shared" si="261"/>
        <v>3993.7117334251993</v>
      </c>
      <c r="O2705" s="38">
        <f>SUM(N2705:N2705)</f>
        <v>3993.7117334251993</v>
      </c>
      <c r="P2705" s="36" t="str">
        <f t="shared" si="262"/>
        <v/>
      </c>
      <c r="Q2705" s="216">
        <f t="shared" si="263"/>
        <v>0.14400000000000002</v>
      </c>
      <c r="R2705" s="216">
        <f t="shared" si="264"/>
        <v>0.14400000000000013</v>
      </c>
      <c r="S2705" s="217">
        <f t="shared" si="265"/>
        <v>0.14400000000000013</v>
      </c>
    </row>
    <row r="2706" spans="1:19" ht="15.75" hidden="1" thickBot="1" x14ac:dyDescent="0.3">
      <c r="A2706" s="262"/>
      <c r="B2706" s="260"/>
      <c r="C2706" s="35"/>
      <c r="D2706" s="46"/>
      <c r="E2706" s="36"/>
      <c r="F2706" s="30" t="s">
        <v>416</v>
      </c>
      <c r="G2706" s="33" t="str">
        <f t="shared" si="260"/>
        <v/>
      </c>
      <c r="H2706" s="38"/>
      <c r="I2706" s="39"/>
      <c r="J2706" s="152">
        <v>0</v>
      </c>
      <c r="L2706" s="215"/>
      <c r="M2706" s="30"/>
      <c r="N2706" s="33" t="str">
        <f t="shared" si="261"/>
        <v/>
      </c>
      <c r="O2706" s="38"/>
      <c r="P2706" s="36" t="str">
        <f t="shared" si="262"/>
        <v/>
      </c>
      <c r="Q2706" s="216" t="str">
        <f t="shared" si="263"/>
        <v/>
      </c>
      <c r="R2706" s="216" t="str">
        <f t="shared" si="264"/>
        <v/>
      </c>
      <c r="S2706" s="217" t="str">
        <f t="shared" si="265"/>
        <v/>
      </c>
    </row>
    <row r="2707" spans="1:19" ht="26.25" hidden="1" thickBot="1" x14ac:dyDescent="0.3">
      <c r="A2707" s="262"/>
      <c r="B2707" s="260"/>
      <c r="C2707" s="47" t="s">
        <v>655</v>
      </c>
      <c r="D2707" s="46"/>
      <c r="E2707" s="36"/>
      <c r="F2707" s="30" t="s">
        <v>416</v>
      </c>
      <c r="G2707" s="33" t="str">
        <f t="shared" si="260"/>
        <v/>
      </c>
      <c r="H2707" s="38"/>
      <c r="I2707" s="39"/>
      <c r="J2707" s="152">
        <v>0</v>
      </c>
      <c r="L2707" s="215"/>
      <c r="M2707" s="30"/>
      <c r="N2707" s="33" t="str">
        <f t="shared" si="261"/>
        <v/>
      </c>
      <c r="O2707" s="38"/>
      <c r="P2707" s="36" t="str">
        <f t="shared" si="262"/>
        <v/>
      </c>
      <c r="Q2707" s="216" t="str">
        <f t="shared" si="263"/>
        <v/>
      </c>
      <c r="R2707" s="216" t="str">
        <f t="shared" si="264"/>
        <v/>
      </c>
      <c r="S2707" s="217" t="str">
        <f t="shared" si="265"/>
        <v/>
      </c>
    </row>
    <row r="2708" spans="1:19" ht="15.75" hidden="1" thickBot="1" x14ac:dyDescent="0.3">
      <c r="A2708" s="263"/>
      <c r="B2708" s="261"/>
      <c r="C2708" s="35"/>
      <c r="D2708" s="35"/>
      <c r="E2708" s="36"/>
      <c r="F2708" s="30" t="s">
        <v>416</v>
      </c>
      <c r="G2708" s="33" t="str">
        <f t="shared" si="260"/>
        <v/>
      </c>
      <c r="H2708" s="34"/>
      <c r="I2708" s="30"/>
      <c r="J2708" s="152">
        <v>0</v>
      </c>
      <c r="L2708" s="215"/>
      <c r="M2708" s="30"/>
      <c r="N2708" s="33" t="str">
        <f t="shared" si="261"/>
        <v/>
      </c>
      <c r="O2708" s="34"/>
      <c r="P2708" s="36" t="str">
        <f t="shared" si="262"/>
        <v/>
      </c>
      <c r="Q2708" s="216" t="str">
        <f t="shared" si="263"/>
        <v/>
      </c>
      <c r="R2708" s="216" t="str">
        <f t="shared" si="264"/>
        <v/>
      </c>
      <c r="S2708" s="217" t="str">
        <f t="shared" si="265"/>
        <v/>
      </c>
    </row>
    <row r="2709" spans="1:19" ht="15.75" hidden="1" thickBot="1" x14ac:dyDescent="0.3">
      <c r="A2709" s="256" t="s">
        <v>667</v>
      </c>
      <c r="B2709" s="259" t="str">
        <f>INDEX(Orçamentária!A:B,MATCH(Composições!A2709,Orçamentária!A:A,0),2)</f>
        <v>Oficial de Serviços Gerais</v>
      </c>
      <c r="C2709" s="40"/>
      <c r="D2709" s="25" t="s">
        <v>2177</v>
      </c>
      <c r="E2709" s="26"/>
      <c r="F2709" s="41" t="s">
        <v>416</v>
      </c>
      <c r="G2709" s="27" t="str">
        <f t="shared" si="260"/>
        <v/>
      </c>
      <c r="H2709" s="28"/>
      <c r="I2709" s="29"/>
      <c r="J2709" s="152">
        <v>0</v>
      </c>
      <c r="L2709" s="218"/>
      <c r="M2709" s="41"/>
      <c r="N2709" s="27" t="str">
        <f t="shared" si="261"/>
        <v/>
      </c>
      <c r="O2709" s="28"/>
      <c r="P2709" s="36" t="str">
        <f t="shared" si="262"/>
        <v/>
      </c>
      <c r="Q2709" s="216" t="str">
        <f t="shared" si="263"/>
        <v/>
      </c>
      <c r="R2709" s="216" t="str">
        <f t="shared" si="264"/>
        <v/>
      </c>
      <c r="S2709" s="217" t="str">
        <f t="shared" si="265"/>
        <v/>
      </c>
    </row>
    <row r="2710" spans="1:19" ht="15.75" hidden="1" thickBot="1" x14ac:dyDescent="0.3">
      <c r="A2710" s="262"/>
      <c r="B2710" s="260"/>
      <c r="C2710" s="31"/>
      <c r="D2710" s="31"/>
      <c r="E2710" s="32"/>
      <c r="F2710" s="42" t="s">
        <v>416</v>
      </c>
      <c r="G2710" s="33" t="str">
        <f t="shared" si="260"/>
        <v/>
      </c>
      <c r="H2710" s="34"/>
      <c r="I2710" s="30"/>
      <c r="J2710" s="152">
        <v>0</v>
      </c>
      <c r="L2710" s="219"/>
      <c r="M2710" s="42"/>
      <c r="N2710" s="33" t="str">
        <f t="shared" si="261"/>
        <v/>
      </c>
      <c r="O2710" s="34"/>
      <c r="P2710" s="36" t="str">
        <f t="shared" si="262"/>
        <v/>
      </c>
      <c r="Q2710" s="216" t="str">
        <f t="shared" si="263"/>
        <v/>
      </c>
      <c r="R2710" s="216" t="str">
        <f t="shared" si="264"/>
        <v/>
      </c>
      <c r="S2710" s="217" t="str">
        <f t="shared" si="265"/>
        <v/>
      </c>
    </row>
    <row r="2711" spans="1:19" ht="15.75" hidden="1" thickBot="1" x14ac:dyDescent="0.3">
      <c r="A2711" s="262"/>
      <c r="B2711" s="260"/>
      <c r="C2711" s="35" t="s">
        <v>591</v>
      </c>
      <c r="D2711" s="35" t="s">
        <v>583</v>
      </c>
      <c r="E2711" s="36">
        <f>ROUND(220/(1+110.14%),4)</f>
        <v>104.6921</v>
      </c>
      <c r="F2711" s="30">
        <v>27.160499999999999</v>
      </c>
      <c r="G2711" s="33">
        <f t="shared" si="260"/>
        <v>2843.4897820499996</v>
      </c>
      <c r="H2711" s="38">
        <f>SUM(G2711:G2711)</f>
        <v>2843.4897820499996</v>
      </c>
      <c r="I2711" s="39"/>
      <c r="J2711" s="152">
        <v>0</v>
      </c>
      <c r="L2711" s="215">
        <v>104.6921</v>
      </c>
      <c r="M2711" s="30">
        <v>23.249388</v>
      </c>
      <c r="N2711" s="33">
        <f t="shared" si="261"/>
        <v>2434.0272534348001</v>
      </c>
      <c r="O2711" s="38">
        <f>SUM(N2711:N2711)</f>
        <v>2434.0272534348001</v>
      </c>
      <c r="P2711" s="36" t="str">
        <f t="shared" si="262"/>
        <v/>
      </c>
      <c r="Q2711" s="216">
        <f t="shared" si="263"/>
        <v>0.14400000000000002</v>
      </c>
      <c r="R2711" s="216">
        <f t="shared" si="264"/>
        <v>0.14399999999999991</v>
      </c>
      <c r="S2711" s="217">
        <f t="shared" si="265"/>
        <v>0.14399999999999991</v>
      </c>
    </row>
    <row r="2712" spans="1:19" ht="15.75" hidden="1" thickBot="1" x14ac:dyDescent="0.3">
      <c r="A2712" s="262"/>
      <c r="B2712" s="260"/>
      <c r="C2712" s="35"/>
      <c r="D2712" s="46"/>
      <c r="E2712" s="36"/>
      <c r="F2712" s="30" t="s">
        <v>416</v>
      </c>
      <c r="G2712" s="33" t="str">
        <f t="shared" si="260"/>
        <v/>
      </c>
      <c r="H2712" s="38"/>
      <c r="I2712" s="39"/>
      <c r="J2712" s="152">
        <v>0</v>
      </c>
      <c r="L2712" s="215"/>
      <c r="M2712" s="30"/>
      <c r="N2712" s="33" t="str">
        <f t="shared" si="261"/>
        <v/>
      </c>
      <c r="O2712" s="38"/>
      <c r="P2712" s="36" t="str">
        <f t="shared" si="262"/>
        <v/>
      </c>
      <c r="Q2712" s="216" t="str">
        <f t="shared" si="263"/>
        <v/>
      </c>
      <c r="R2712" s="216" t="str">
        <f t="shared" si="264"/>
        <v/>
      </c>
      <c r="S2712" s="217" t="str">
        <f t="shared" si="265"/>
        <v/>
      </c>
    </row>
    <row r="2713" spans="1:19" ht="26.25" hidden="1" thickBot="1" x14ac:dyDescent="0.3">
      <c r="A2713" s="262"/>
      <c r="B2713" s="260"/>
      <c r="C2713" s="47" t="s">
        <v>655</v>
      </c>
      <c r="D2713" s="46"/>
      <c r="E2713" s="36"/>
      <c r="F2713" s="30" t="s">
        <v>416</v>
      </c>
      <c r="G2713" s="33" t="str">
        <f t="shared" si="260"/>
        <v/>
      </c>
      <c r="H2713" s="38"/>
      <c r="I2713" s="39"/>
      <c r="J2713" s="152">
        <v>0</v>
      </c>
      <c r="L2713" s="215"/>
      <c r="M2713" s="30"/>
      <c r="N2713" s="33" t="str">
        <f t="shared" si="261"/>
        <v/>
      </c>
      <c r="O2713" s="38"/>
      <c r="P2713" s="36" t="str">
        <f t="shared" si="262"/>
        <v/>
      </c>
      <c r="Q2713" s="216" t="str">
        <f t="shared" si="263"/>
        <v/>
      </c>
      <c r="R2713" s="216" t="str">
        <f t="shared" si="264"/>
        <v/>
      </c>
      <c r="S2713" s="217" t="str">
        <f t="shared" si="265"/>
        <v/>
      </c>
    </row>
    <row r="2714" spans="1:19" ht="15.75" hidden="1" thickBot="1" x14ac:dyDescent="0.3">
      <c r="A2714" s="263"/>
      <c r="B2714" s="261"/>
      <c r="C2714" s="35"/>
      <c r="D2714" s="35"/>
      <c r="E2714" s="36"/>
      <c r="F2714" s="30" t="s">
        <v>416</v>
      </c>
      <c r="G2714" s="33" t="str">
        <f t="shared" si="260"/>
        <v/>
      </c>
      <c r="H2714" s="34"/>
      <c r="I2714" s="30"/>
      <c r="J2714" s="152">
        <v>0</v>
      </c>
      <c r="L2714" s="215"/>
      <c r="M2714" s="30"/>
      <c r="N2714" s="33" t="str">
        <f t="shared" si="261"/>
        <v/>
      </c>
      <c r="O2714" s="34"/>
      <c r="P2714" s="36" t="str">
        <f t="shared" si="262"/>
        <v/>
      </c>
      <c r="Q2714" s="216" t="str">
        <f t="shared" si="263"/>
        <v/>
      </c>
      <c r="R2714" s="216" t="str">
        <f t="shared" si="264"/>
        <v/>
      </c>
      <c r="S2714" s="217" t="str">
        <f t="shared" si="265"/>
        <v/>
      </c>
    </row>
    <row r="2715" spans="1:19" ht="15.75" hidden="1" thickBot="1" x14ac:dyDescent="0.3">
      <c r="A2715" s="256" t="s">
        <v>2187</v>
      </c>
      <c r="B2715" s="259" t="str">
        <f>INDEX(Orçamentária!A:B,MATCH(Composições!A2715,Orçamentária!A:A,0),2)</f>
        <v>Alicate  de corte diagonal 6''</v>
      </c>
      <c r="C2715" s="40"/>
      <c r="D2715" s="25" t="s">
        <v>16</v>
      </c>
      <c r="E2715" s="26"/>
      <c r="F2715" s="48" t="s">
        <v>416</v>
      </c>
      <c r="G2715" s="27" t="str">
        <f t="shared" si="260"/>
        <v/>
      </c>
      <c r="H2715" s="28"/>
      <c r="I2715" s="29"/>
      <c r="J2715" s="152">
        <v>0</v>
      </c>
      <c r="L2715" s="218"/>
      <c r="M2715" s="48"/>
      <c r="N2715" s="27" t="str">
        <f t="shared" si="261"/>
        <v/>
      </c>
      <c r="O2715" s="28"/>
      <c r="P2715" s="36" t="str">
        <f t="shared" si="262"/>
        <v/>
      </c>
      <c r="Q2715" s="216" t="str">
        <f t="shared" si="263"/>
        <v/>
      </c>
      <c r="R2715" s="216" t="str">
        <f t="shared" si="264"/>
        <v/>
      </c>
      <c r="S2715" s="217" t="str">
        <f t="shared" si="265"/>
        <v/>
      </c>
    </row>
    <row r="2716" spans="1:19" ht="15.75" hidden="1" thickBot="1" x14ac:dyDescent="0.3">
      <c r="A2716" s="257"/>
      <c r="B2716" s="260"/>
      <c r="C2716" s="31"/>
      <c r="D2716" s="31"/>
      <c r="E2716" s="32"/>
      <c r="F2716" s="53" t="s">
        <v>416</v>
      </c>
      <c r="G2716" s="53" t="str">
        <f t="shared" si="260"/>
        <v/>
      </c>
      <c r="H2716" s="72"/>
      <c r="I2716" s="73"/>
      <c r="J2716" s="152">
        <v>0</v>
      </c>
      <c r="L2716" s="219"/>
      <c r="M2716" s="53"/>
      <c r="N2716" s="53" t="str">
        <f t="shared" si="261"/>
        <v/>
      </c>
      <c r="O2716" s="72"/>
      <c r="P2716" s="36" t="str">
        <f t="shared" si="262"/>
        <v/>
      </c>
      <c r="Q2716" s="216" t="str">
        <f t="shared" si="263"/>
        <v/>
      </c>
      <c r="R2716" s="216" t="str">
        <f t="shared" si="264"/>
        <v/>
      </c>
      <c r="S2716" s="217" t="str">
        <f t="shared" si="265"/>
        <v/>
      </c>
    </row>
    <row r="2717" spans="1:19" ht="15.75" hidden="1" thickBot="1" x14ac:dyDescent="0.3">
      <c r="A2717" s="257"/>
      <c r="B2717" s="260"/>
      <c r="C2717" s="35" t="s">
        <v>7977</v>
      </c>
      <c r="D2717" s="35" t="s">
        <v>213</v>
      </c>
      <c r="E2717" s="36">
        <v>1</v>
      </c>
      <c r="F2717" s="30">
        <v>52.610999999999997</v>
      </c>
      <c r="G2717" s="53">
        <f t="shared" si="260"/>
        <v>52.610999999999997</v>
      </c>
      <c r="H2717" s="38">
        <f>SUM(G2717:G2717)</f>
        <v>52.610999999999997</v>
      </c>
      <c r="I2717" s="39"/>
      <c r="J2717" s="152">
        <v>0</v>
      </c>
      <c r="L2717" s="215">
        <v>1</v>
      </c>
      <c r="M2717" s="30">
        <v>45.035015999999999</v>
      </c>
      <c r="N2717" s="53">
        <f t="shared" si="261"/>
        <v>45.035015999999999</v>
      </c>
      <c r="O2717" s="38">
        <f>SUM(N2717:N2717)</f>
        <v>45.035015999999999</v>
      </c>
      <c r="P2717" s="36" t="str">
        <f t="shared" si="262"/>
        <v/>
      </c>
      <c r="Q2717" s="216">
        <f t="shared" si="263"/>
        <v>0.14400000000000002</v>
      </c>
      <c r="R2717" s="216">
        <f t="shared" si="264"/>
        <v>0.14400000000000002</v>
      </c>
      <c r="S2717" s="217">
        <f t="shared" si="265"/>
        <v>0.14400000000000002</v>
      </c>
    </row>
    <row r="2718" spans="1:19" ht="15.75" hidden="1" thickBot="1" x14ac:dyDescent="0.3">
      <c r="A2718" s="258"/>
      <c r="B2718" s="261"/>
      <c r="C2718" s="54"/>
      <c r="D2718" s="155"/>
      <c r="E2718" s="65"/>
      <c r="F2718" s="75" t="s">
        <v>416</v>
      </c>
      <c r="G2718" s="75" t="str">
        <f t="shared" si="260"/>
        <v/>
      </c>
      <c r="H2718" s="76"/>
      <c r="I2718" s="73"/>
      <c r="J2718" s="152">
        <v>0</v>
      </c>
      <c r="L2718" s="222"/>
      <c r="M2718" s="75"/>
      <c r="N2718" s="75" t="str">
        <f t="shared" si="261"/>
        <v/>
      </c>
      <c r="O2718" s="76"/>
      <c r="P2718" s="36" t="str">
        <f t="shared" si="262"/>
        <v/>
      </c>
      <c r="Q2718" s="216" t="str">
        <f t="shared" si="263"/>
        <v/>
      </c>
      <c r="R2718" s="216" t="str">
        <f t="shared" si="264"/>
        <v/>
      </c>
      <c r="S2718" s="217" t="str">
        <f t="shared" si="265"/>
        <v/>
      </c>
    </row>
    <row r="2719" spans="1:19" ht="15.75" hidden="1" thickBot="1" x14ac:dyDescent="0.3">
      <c r="A2719" s="256" t="s">
        <v>2205</v>
      </c>
      <c r="B2719" s="259" t="str">
        <f>INDEX(Orçamentária!A:B,MATCH(Composições!A2719,Orçamentária!A:A,0),2)</f>
        <v>Carrinho de mão reforçado</v>
      </c>
      <c r="C2719" s="40"/>
      <c r="D2719" s="25" t="s">
        <v>16</v>
      </c>
      <c r="E2719" s="26"/>
      <c r="F2719" s="48" t="s">
        <v>416</v>
      </c>
      <c r="G2719" s="27" t="str">
        <f t="shared" si="260"/>
        <v/>
      </c>
      <c r="H2719" s="28"/>
      <c r="I2719" s="29"/>
      <c r="J2719" s="152">
        <v>0</v>
      </c>
      <c r="L2719" s="218"/>
      <c r="M2719" s="48"/>
      <c r="N2719" s="27" t="str">
        <f t="shared" si="261"/>
        <v/>
      </c>
      <c r="O2719" s="28"/>
      <c r="P2719" s="36" t="str">
        <f t="shared" si="262"/>
        <v/>
      </c>
      <c r="Q2719" s="216" t="str">
        <f t="shared" si="263"/>
        <v/>
      </c>
      <c r="R2719" s="216" t="str">
        <f t="shared" si="264"/>
        <v/>
      </c>
      <c r="S2719" s="217" t="str">
        <f t="shared" si="265"/>
        <v/>
      </c>
    </row>
    <row r="2720" spans="1:19" ht="15.75" hidden="1" thickBot="1" x14ac:dyDescent="0.3">
      <c r="A2720" s="257"/>
      <c r="B2720" s="260"/>
      <c r="C2720" s="31"/>
      <c r="D2720" s="31"/>
      <c r="E2720" s="32"/>
      <c r="F2720" s="53" t="s">
        <v>416</v>
      </c>
      <c r="G2720" s="53" t="str">
        <f t="shared" si="260"/>
        <v/>
      </c>
      <c r="H2720" s="72"/>
      <c r="I2720" s="73"/>
      <c r="J2720" s="152">
        <v>0</v>
      </c>
      <c r="L2720" s="219"/>
      <c r="M2720" s="53"/>
      <c r="N2720" s="53" t="str">
        <f t="shared" si="261"/>
        <v/>
      </c>
      <c r="O2720" s="72"/>
      <c r="P2720" s="36" t="str">
        <f t="shared" si="262"/>
        <v/>
      </c>
      <c r="Q2720" s="216" t="str">
        <f t="shared" si="263"/>
        <v/>
      </c>
      <c r="R2720" s="216" t="str">
        <f t="shared" si="264"/>
        <v/>
      </c>
      <c r="S2720" s="217" t="str">
        <f t="shared" si="265"/>
        <v/>
      </c>
    </row>
    <row r="2721" spans="1:19" ht="26.25" hidden="1" thickBot="1" x14ac:dyDescent="0.3">
      <c r="A2721" s="257"/>
      <c r="B2721" s="260"/>
      <c r="C2721" s="35" t="s">
        <v>8057</v>
      </c>
      <c r="D2721" s="35" t="s">
        <v>213</v>
      </c>
      <c r="E2721" s="36">
        <v>1</v>
      </c>
      <c r="F2721" s="30">
        <v>229.00700000000001</v>
      </c>
      <c r="G2721" s="53">
        <f t="shared" si="260"/>
        <v>229.00700000000001</v>
      </c>
      <c r="H2721" s="38">
        <f>SUM(G2721:G2721)</f>
        <v>229.00700000000001</v>
      </c>
      <c r="I2721" s="39"/>
      <c r="J2721" s="152">
        <v>0</v>
      </c>
      <c r="L2721" s="215">
        <v>1</v>
      </c>
      <c r="M2721" s="30">
        <v>196.02999199999999</v>
      </c>
      <c r="N2721" s="53">
        <f t="shared" si="261"/>
        <v>196.02999199999999</v>
      </c>
      <c r="O2721" s="38">
        <f>SUM(N2721:N2721)</f>
        <v>196.02999199999999</v>
      </c>
      <c r="P2721" s="36" t="str">
        <f t="shared" si="262"/>
        <v/>
      </c>
      <c r="Q2721" s="216">
        <f t="shared" si="263"/>
        <v>0.14400000000000002</v>
      </c>
      <c r="R2721" s="216">
        <f t="shared" si="264"/>
        <v>0.14400000000000002</v>
      </c>
      <c r="S2721" s="217">
        <f t="shared" si="265"/>
        <v>0.14400000000000002</v>
      </c>
    </row>
    <row r="2722" spans="1:19" ht="15.75" hidden="1" thickBot="1" x14ac:dyDescent="0.3">
      <c r="A2722" s="258"/>
      <c r="B2722" s="261"/>
      <c r="C2722" s="54"/>
      <c r="D2722" s="155"/>
      <c r="E2722" s="65"/>
      <c r="F2722" s="75" t="s">
        <v>416</v>
      </c>
      <c r="G2722" s="75" t="str">
        <f t="shared" si="260"/>
        <v/>
      </c>
      <c r="H2722" s="76"/>
      <c r="I2722" s="73"/>
      <c r="J2722" s="152">
        <v>0</v>
      </c>
      <c r="L2722" s="222"/>
      <c r="M2722" s="75"/>
      <c r="N2722" s="75" t="str">
        <f t="shared" si="261"/>
        <v/>
      </c>
      <c r="O2722" s="76"/>
      <c r="P2722" s="36" t="str">
        <f t="shared" si="262"/>
        <v/>
      </c>
      <c r="Q2722" s="216" t="str">
        <f t="shared" si="263"/>
        <v/>
      </c>
      <c r="R2722" s="216" t="str">
        <f t="shared" si="264"/>
        <v/>
      </c>
      <c r="S2722" s="217" t="str">
        <f t="shared" si="265"/>
        <v/>
      </c>
    </row>
    <row r="2723" spans="1:19" ht="15.75" hidden="1" thickBot="1" x14ac:dyDescent="0.3">
      <c r="A2723" s="256" t="s">
        <v>2221</v>
      </c>
      <c r="B2723" s="259" t="str">
        <f>INDEX(Orçamentária!A:B,MATCH(Composições!A2723,Orçamentária!A:A,0),2)</f>
        <v>Enxadão estreito com cabo</v>
      </c>
      <c r="C2723" s="40"/>
      <c r="D2723" s="25" t="s">
        <v>16</v>
      </c>
      <c r="E2723" s="26"/>
      <c r="F2723" s="48" t="s">
        <v>416</v>
      </c>
      <c r="G2723" s="27" t="str">
        <f t="shared" si="260"/>
        <v/>
      </c>
      <c r="H2723" s="28"/>
      <c r="I2723" s="29"/>
      <c r="J2723" s="152">
        <v>0</v>
      </c>
      <c r="L2723" s="218"/>
      <c r="M2723" s="48"/>
      <c r="N2723" s="27" t="str">
        <f t="shared" si="261"/>
        <v/>
      </c>
      <c r="O2723" s="28"/>
      <c r="P2723" s="36" t="str">
        <f t="shared" si="262"/>
        <v/>
      </c>
      <c r="Q2723" s="216" t="str">
        <f t="shared" si="263"/>
        <v/>
      </c>
      <c r="R2723" s="216" t="str">
        <f t="shared" si="264"/>
        <v/>
      </c>
      <c r="S2723" s="217" t="str">
        <f t="shared" si="265"/>
        <v/>
      </c>
    </row>
    <row r="2724" spans="1:19" ht="15.75" hidden="1" thickBot="1" x14ac:dyDescent="0.3">
      <c r="A2724" s="257"/>
      <c r="B2724" s="260"/>
      <c r="C2724" s="31"/>
      <c r="D2724" s="31"/>
      <c r="E2724" s="32"/>
      <c r="F2724" s="53" t="s">
        <v>416</v>
      </c>
      <c r="G2724" s="53" t="str">
        <f t="shared" si="260"/>
        <v/>
      </c>
      <c r="H2724" s="72"/>
      <c r="I2724" s="73"/>
      <c r="J2724" s="152">
        <v>0</v>
      </c>
      <c r="L2724" s="219"/>
      <c r="M2724" s="53"/>
      <c r="N2724" s="53" t="str">
        <f t="shared" si="261"/>
        <v/>
      </c>
      <c r="O2724" s="72"/>
      <c r="P2724" s="36" t="str">
        <f t="shared" si="262"/>
        <v/>
      </c>
      <c r="Q2724" s="216" t="str">
        <f t="shared" si="263"/>
        <v/>
      </c>
      <c r="R2724" s="216" t="str">
        <f t="shared" si="264"/>
        <v/>
      </c>
      <c r="S2724" s="217" t="str">
        <f t="shared" si="265"/>
        <v/>
      </c>
    </row>
    <row r="2725" spans="1:19" ht="15.75" hidden="1" thickBot="1" x14ac:dyDescent="0.3">
      <c r="A2725" s="257"/>
      <c r="B2725" s="260"/>
      <c r="C2725" s="35" t="s">
        <v>8155</v>
      </c>
      <c r="D2725" s="35" t="s">
        <v>213</v>
      </c>
      <c r="E2725" s="36">
        <v>1</v>
      </c>
      <c r="F2725" s="30">
        <v>56.733999999999995</v>
      </c>
      <c r="G2725" s="53">
        <f t="shared" si="260"/>
        <v>56.733999999999995</v>
      </c>
      <c r="H2725" s="38">
        <f>SUM(G2725:G2725)</f>
        <v>56.733999999999995</v>
      </c>
      <c r="I2725" s="39"/>
      <c r="J2725" s="152">
        <v>0</v>
      </c>
      <c r="L2725" s="215">
        <v>1</v>
      </c>
      <c r="M2725" s="30">
        <v>48.564303999999993</v>
      </c>
      <c r="N2725" s="53">
        <f t="shared" si="261"/>
        <v>48.564303999999993</v>
      </c>
      <c r="O2725" s="38">
        <f>SUM(N2725:N2725)</f>
        <v>48.564303999999993</v>
      </c>
      <c r="P2725" s="36" t="str">
        <f t="shared" si="262"/>
        <v/>
      </c>
      <c r="Q2725" s="216">
        <f t="shared" si="263"/>
        <v>0.14400000000000002</v>
      </c>
      <c r="R2725" s="216">
        <f t="shared" si="264"/>
        <v>0.14400000000000002</v>
      </c>
      <c r="S2725" s="217">
        <f t="shared" si="265"/>
        <v>0.14400000000000002</v>
      </c>
    </row>
    <row r="2726" spans="1:19" ht="15.75" hidden="1" thickBot="1" x14ac:dyDescent="0.3">
      <c r="A2726" s="258"/>
      <c r="B2726" s="261"/>
      <c r="C2726" s="54"/>
      <c r="D2726" s="155"/>
      <c r="E2726" s="65"/>
      <c r="F2726" s="75" t="s">
        <v>416</v>
      </c>
      <c r="G2726" s="75" t="str">
        <f t="shared" si="260"/>
        <v/>
      </c>
      <c r="H2726" s="76"/>
      <c r="I2726" s="73"/>
      <c r="J2726" s="152">
        <v>0</v>
      </c>
      <c r="L2726" s="222"/>
      <c r="M2726" s="75"/>
      <c r="N2726" s="75" t="str">
        <f t="shared" si="261"/>
        <v/>
      </c>
      <c r="O2726" s="76"/>
      <c r="P2726" s="36" t="str">
        <f t="shared" si="262"/>
        <v/>
      </c>
      <c r="Q2726" s="216" t="str">
        <f t="shared" si="263"/>
        <v/>
      </c>
      <c r="R2726" s="216" t="str">
        <f t="shared" si="264"/>
        <v/>
      </c>
      <c r="S2726" s="217" t="str">
        <f t="shared" si="265"/>
        <v/>
      </c>
    </row>
    <row r="2727" spans="1:19" ht="15.75" hidden="1" thickBot="1" x14ac:dyDescent="0.3">
      <c r="A2727" s="256" t="s">
        <v>2235</v>
      </c>
      <c r="B2727" s="259" t="str">
        <f>INDEX(Orçamentária!A:B,MATCH(Composições!A2727,Orçamentária!A:A,0),2)</f>
        <v>Espátula forjada de 8 cm</v>
      </c>
      <c r="C2727" s="40"/>
      <c r="D2727" s="25" t="s">
        <v>16</v>
      </c>
      <c r="E2727" s="26"/>
      <c r="F2727" s="48" t="s">
        <v>416</v>
      </c>
      <c r="G2727" s="27" t="str">
        <f t="shared" si="260"/>
        <v/>
      </c>
      <c r="H2727" s="28"/>
      <c r="I2727" s="29"/>
      <c r="J2727" s="152">
        <v>0</v>
      </c>
      <c r="L2727" s="218"/>
      <c r="M2727" s="48"/>
      <c r="N2727" s="27" t="str">
        <f t="shared" si="261"/>
        <v/>
      </c>
      <c r="O2727" s="28"/>
      <c r="P2727" s="36" t="str">
        <f t="shared" si="262"/>
        <v/>
      </c>
      <c r="Q2727" s="216" t="str">
        <f t="shared" si="263"/>
        <v/>
      </c>
      <c r="R2727" s="216" t="str">
        <f t="shared" si="264"/>
        <v/>
      </c>
      <c r="S2727" s="217" t="str">
        <f t="shared" si="265"/>
        <v/>
      </c>
    </row>
    <row r="2728" spans="1:19" ht="15.75" hidden="1" thickBot="1" x14ac:dyDescent="0.3">
      <c r="A2728" s="257"/>
      <c r="B2728" s="260"/>
      <c r="C2728" s="31"/>
      <c r="D2728" s="31"/>
      <c r="E2728" s="32"/>
      <c r="F2728" s="53" t="s">
        <v>416</v>
      </c>
      <c r="G2728" s="53" t="str">
        <f t="shared" si="260"/>
        <v/>
      </c>
      <c r="H2728" s="72"/>
      <c r="I2728" s="73"/>
      <c r="J2728" s="152">
        <v>0</v>
      </c>
      <c r="L2728" s="219"/>
      <c r="M2728" s="53"/>
      <c r="N2728" s="53" t="str">
        <f t="shared" si="261"/>
        <v/>
      </c>
      <c r="O2728" s="72"/>
      <c r="P2728" s="36" t="str">
        <f t="shared" si="262"/>
        <v/>
      </c>
      <c r="Q2728" s="216" t="str">
        <f t="shared" si="263"/>
        <v/>
      </c>
      <c r="R2728" s="216" t="str">
        <f t="shared" si="264"/>
        <v/>
      </c>
      <c r="S2728" s="217" t="str">
        <f t="shared" si="265"/>
        <v/>
      </c>
    </row>
    <row r="2729" spans="1:19" ht="15.75" hidden="1" thickBot="1" x14ac:dyDescent="0.3">
      <c r="A2729" s="257"/>
      <c r="B2729" s="260"/>
      <c r="C2729" s="35" t="s">
        <v>8157</v>
      </c>
      <c r="D2729" s="35" t="s">
        <v>213</v>
      </c>
      <c r="E2729" s="36">
        <v>1</v>
      </c>
      <c r="F2729" s="30">
        <v>22.904499999999999</v>
      </c>
      <c r="G2729" s="53">
        <f t="shared" si="260"/>
        <v>22.904499999999999</v>
      </c>
      <c r="H2729" s="38">
        <f>SUM(G2729:G2729)</f>
        <v>22.904499999999999</v>
      </c>
      <c r="I2729" s="39"/>
      <c r="J2729" s="152">
        <v>0</v>
      </c>
      <c r="L2729" s="215">
        <v>1</v>
      </c>
      <c r="M2729" s="30">
        <v>19.606251999999998</v>
      </c>
      <c r="N2729" s="53">
        <f t="shared" si="261"/>
        <v>19.606251999999998</v>
      </c>
      <c r="O2729" s="38">
        <f>SUM(N2729:N2729)</f>
        <v>19.606251999999998</v>
      </c>
      <c r="P2729" s="36" t="str">
        <f t="shared" si="262"/>
        <v/>
      </c>
      <c r="Q2729" s="216">
        <f t="shared" si="263"/>
        <v>0.14400000000000002</v>
      </c>
      <c r="R2729" s="216">
        <f t="shared" si="264"/>
        <v>0.14400000000000002</v>
      </c>
      <c r="S2729" s="217">
        <f t="shared" si="265"/>
        <v>0.14400000000000002</v>
      </c>
    </row>
    <row r="2730" spans="1:19" ht="15.75" hidden="1" thickBot="1" x14ac:dyDescent="0.3">
      <c r="A2730" s="258"/>
      <c r="B2730" s="261"/>
      <c r="C2730" s="54"/>
      <c r="D2730" s="155"/>
      <c r="E2730" s="65"/>
      <c r="F2730" s="75" t="s">
        <v>416</v>
      </c>
      <c r="G2730" s="75" t="str">
        <f t="shared" si="260"/>
        <v/>
      </c>
      <c r="H2730" s="76"/>
      <c r="I2730" s="73"/>
      <c r="J2730" s="152">
        <v>0</v>
      </c>
      <c r="L2730" s="222"/>
      <c r="M2730" s="75"/>
      <c r="N2730" s="75" t="str">
        <f t="shared" si="261"/>
        <v/>
      </c>
      <c r="O2730" s="76"/>
      <c r="P2730" s="36" t="str">
        <f t="shared" si="262"/>
        <v/>
      </c>
      <c r="Q2730" s="216" t="str">
        <f t="shared" si="263"/>
        <v/>
      </c>
      <c r="R2730" s="216" t="str">
        <f t="shared" si="264"/>
        <v/>
      </c>
      <c r="S2730" s="217" t="str">
        <f t="shared" si="265"/>
        <v/>
      </c>
    </row>
    <row r="2731" spans="1:19" ht="15.75" hidden="1" thickBot="1" x14ac:dyDescent="0.3">
      <c r="A2731" s="256" t="s">
        <v>2237</v>
      </c>
      <c r="B2731" s="259" t="str">
        <f>INDEX(Orçamentária!A:B,MATCH(Composições!A2731,Orçamentária!A:A,0),2)</f>
        <v>Esquadro 300 mm</v>
      </c>
      <c r="C2731" s="40"/>
      <c r="D2731" s="25" t="s">
        <v>16</v>
      </c>
      <c r="E2731" s="26"/>
      <c r="F2731" s="48" t="s">
        <v>416</v>
      </c>
      <c r="G2731" s="27" t="str">
        <f t="shared" si="260"/>
        <v/>
      </c>
      <c r="H2731" s="28"/>
      <c r="I2731" s="29"/>
      <c r="J2731" s="152">
        <v>0</v>
      </c>
      <c r="L2731" s="218"/>
      <c r="M2731" s="48"/>
      <c r="N2731" s="27" t="str">
        <f t="shared" si="261"/>
        <v/>
      </c>
      <c r="O2731" s="28"/>
      <c r="P2731" s="36" t="str">
        <f t="shared" si="262"/>
        <v/>
      </c>
      <c r="Q2731" s="216" t="str">
        <f t="shared" si="263"/>
        <v/>
      </c>
      <c r="R2731" s="216" t="str">
        <f t="shared" si="264"/>
        <v/>
      </c>
      <c r="S2731" s="217" t="str">
        <f t="shared" si="265"/>
        <v/>
      </c>
    </row>
    <row r="2732" spans="1:19" ht="15.75" hidden="1" thickBot="1" x14ac:dyDescent="0.3">
      <c r="A2732" s="262"/>
      <c r="B2732" s="260"/>
      <c r="C2732" s="31"/>
      <c r="D2732" s="31"/>
      <c r="E2732" s="32"/>
      <c r="F2732" s="53" t="s">
        <v>416</v>
      </c>
      <c r="G2732" s="53" t="str">
        <f t="shared" si="260"/>
        <v/>
      </c>
      <c r="H2732" s="72"/>
      <c r="I2732" s="30"/>
      <c r="J2732" s="152">
        <v>0</v>
      </c>
      <c r="L2732" s="219"/>
      <c r="M2732" s="53"/>
      <c r="N2732" s="53" t="str">
        <f t="shared" si="261"/>
        <v/>
      </c>
      <c r="O2732" s="72"/>
      <c r="P2732" s="36" t="str">
        <f t="shared" si="262"/>
        <v/>
      </c>
      <c r="Q2732" s="216" t="str">
        <f t="shared" si="263"/>
        <v/>
      </c>
      <c r="R2732" s="216" t="str">
        <f t="shared" si="264"/>
        <v/>
      </c>
      <c r="S2732" s="217" t="str">
        <f t="shared" si="265"/>
        <v/>
      </c>
    </row>
    <row r="2733" spans="1:19" ht="15.75" hidden="1" thickBot="1" x14ac:dyDescent="0.3">
      <c r="A2733" s="262"/>
      <c r="B2733" s="260"/>
      <c r="C2733" s="35" t="s">
        <v>8160</v>
      </c>
      <c r="D2733" s="35" t="s">
        <v>213</v>
      </c>
      <c r="E2733" s="36">
        <v>1</v>
      </c>
      <c r="F2733" s="30">
        <v>36.394500000000001</v>
      </c>
      <c r="G2733" s="53">
        <f t="shared" si="260"/>
        <v>36.394500000000001</v>
      </c>
      <c r="H2733" s="38">
        <f>SUM(G2733:G2733)</f>
        <v>36.394500000000001</v>
      </c>
      <c r="I2733" s="39"/>
      <c r="J2733" s="152">
        <v>0</v>
      </c>
      <c r="L2733" s="215">
        <v>1</v>
      </c>
      <c r="M2733" s="30">
        <v>31.153691999999999</v>
      </c>
      <c r="N2733" s="53">
        <f t="shared" si="261"/>
        <v>31.153691999999999</v>
      </c>
      <c r="O2733" s="38">
        <f>SUM(N2733:N2733)</f>
        <v>31.153691999999999</v>
      </c>
      <c r="P2733" s="36" t="str">
        <f t="shared" si="262"/>
        <v/>
      </c>
      <c r="Q2733" s="216">
        <f t="shared" si="263"/>
        <v>0.14400000000000002</v>
      </c>
      <c r="R2733" s="216">
        <f t="shared" si="264"/>
        <v>0.14400000000000002</v>
      </c>
      <c r="S2733" s="217">
        <f t="shared" si="265"/>
        <v>0.14400000000000002</v>
      </c>
    </row>
    <row r="2734" spans="1:19" ht="15.75" hidden="1" thickBot="1" x14ac:dyDescent="0.3">
      <c r="A2734" s="263"/>
      <c r="B2734" s="261"/>
      <c r="C2734" s="35"/>
      <c r="D2734" s="35"/>
      <c r="E2734" s="36"/>
      <c r="F2734" s="30" t="s">
        <v>416</v>
      </c>
      <c r="G2734" s="33" t="str">
        <f t="shared" si="260"/>
        <v/>
      </c>
      <c r="H2734" s="34"/>
      <c r="I2734" s="30"/>
      <c r="J2734" s="152">
        <v>0</v>
      </c>
      <c r="L2734" s="215"/>
      <c r="M2734" s="30"/>
      <c r="N2734" s="33" t="str">
        <f t="shared" si="261"/>
        <v/>
      </c>
      <c r="O2734" s="34"/>
      <c r="P2734" s="36" t="str">
        <f t="shared" si="262"/>
        <v/>
      </c>
      <c r="Q2734" s="216" t="str">
        <f t="shared" si="263"/>
        <v/>
      </c>
      <c r="R2734" s="216" t="str">
        <f t="shared" si="264"/>
        <v/>
      </c>
      <c r="S2734" s="217" t="str">
        <f t="shared" si="265"/>
        <v/>
      </c>
    </row>
    <row r="2735" spans="1:19" ht="15.75" hidden="1" thickBot="1" x14ac:dyDescent="0.3">
      <c r="A2735" s="256" t="s">
        <v>2277</v>
      </c>
      <c r="B2735" s="259" t="str">
        <f>INDEX(Orçamentária!A:B,MATCH(Composições!A2735,Orçamentária!A:A,0),2)</f>
        <v>Prumo de centro</v>
      </c>
      <c r="C2735" s="40"/>
      <c r="D2735" s="25" t="s">
        <v>16</v>
      </c>
      <c r="E2735" s="26"/>
      <c r="F2735" s="48" t="s">
        <v>416</v>
      </c>
      <c r="G2735" s="27" t="str">
        <f t="shared" si="260"/>
        <v/>
      </c>
      <c r="H2735" s="28"/>
      <c r="I2735" s="29"/>
      <c r="J2735" s="152">
        <v>0</v>
      </c>
      <c r="L2735" s="218"/>
      <c r="M2735" s="48"/>
      <c r="N2735" s="27" t="str">
        <f t="shared" si="261"/>
        <v/>
      </c>
      <c r="O2735" s="28"/>
      <c r="P2735" s="36" t="str">
        <f t="shared" si="262"/>
        <v/>
      </c>
      <c r="Q2735" s="216" t="str">
        <f t="shared" si="263"/>
        <v/>
      </c>
      <c r="R2735" s="216" t="str">
        <f t="shared" si="264"/>
        <v/>
      </c>
      <c r="S2735" s="217" t="str">
        <f t="shared" si="265"/>
        <v/>
      </c>
    </row>
    <row r="2736" spans="1:19" ht="15.75" hidden="1" thickBot="1" x14ac:dyDescent="0.3">
      <c r="A2736" s="257"/>
      <c r="B2736" s="260"/>
      <c r="C2736" s="31"/>
      <c r="D2736" s="31"/>
      <c r="E2736" s="32"/>
      <c r="F2736" s="53" t="s">
        <v>416</v>
      </c>
      <c r="G2736" s="53" t="str">
        <f t="shared" si="260"/>
        <v/>
      </c>
      <c r="H2736" s="72"/>
      <c r="I2736" s="73"/>
      <c r="J2736" s="152">
        <v>0</v>
      </c>
      <c r="L2736" s="219"/>
      <c r="M2736" s="53"/>
      <c r="N2736" s="53" t="str">
        <f t="shared" si="261"/>
        <v/>
      </c>
      <c r="O2736" s="72"/>
      <c r="P2736" s="36" t="str">
        <f t="shared" si="262"/>
        <v/>
      </c>
      <c r="Q2736" s="216" t="str">
        <f t="shared" si="263"/>
        <v/>
      </c>
      <c r="R2736" s="216" t="str">
        <f t="shared" si="264"/>
        <v/>
      </c>
      <c r="S2736" s="217" t="str">
        <f t="shared" si="265"/>
        <v/>
      </c>
    </row>
    <row r="2737" spans="1:19" ht="15.75" hidden="1" thickBot="1" x14ac:dyDescent="0.3">
      <c r="A2737" s="257"/>
      <c r="B2737" s="260"/>
      <c r="C2737" s="35" t="s">
        <v>8342</v>
      </c>
      <c r="D2737" s="35" t="s">
        <v>213</v>
      </c>
      <c r="E2737" s="36">
        <v>1</v>
      </c>
      <c r="F2737" s="30">
        <v>46.036999999999999</v>
      </c>
      <c r="G2737" s="53">
        <f t="shared" si="260"/>
        <v>46.036999999999999</v>
      </c>
      <c r="H2737" s="38">
        <f>SUM(G2737:G2737)</f>
        <v>46.036999999999999</v>
      </c>
      <c r="I2737" s="39"/>
      <c r="J2737" s="152">
        <v>0</v>
      </c>
      <c r="L2737" s="215">
        <v>1</v>
      </c>
      <c r="M2737" s="30">
        <v>39.407671999999998</v>
      </c>
      <c r="N2737" s="53">
        <f t="shared" si="261"/>
        <v>39.407671999999998</v>
      </c>
      <c r="O2737" s="38">
        <f>SUM(N2737:N2737)</f>
        <v>39.407671999999998</v>
      </c>
      <c r="P2737" s="36" t="str">
        <f t="shared" si="262"/>
        <v/>
      </c>
      <c r="Q2737" s="216">
        <f t="shared" si="263"/>
        <v>0.14400000000000002</v>
      </c>
      <c r="R2737" s="216">
        <f t="shared" si="264"/>
        <v>0.14400000000000002</v>
      </c>
      <c r="S2737" s="217">
        <f t="shared" si="265"/>
        <v>0.14400000000000002</v>
      </c>
    </row>
    <row r="2738" spans="1:19" ht="15.75" hidden="1" thickBot="1" x14ac:dyDescent="0.3">
      <c r="A2738" s="258"/>
      <c r="B2738" s="261"/>
      <c r="C2738" s="54"/>
      <c r="D2738" s="155"/>
      <c r="E2738" s="65"/>
      <c r="F2738" s="75" t="s">
        <v>416</v>
      </c>
      <c r="G2738" s="75" t="str">
        <f t="shared" si="260"/>
        <v/>
      </c>
      <c r="H2738" s="76"/>
      <c r="I2738" s="73"/>
      <c r="J2738" s="152">
        <v>0</v>
      </c>
      <c r="L2738" s="222"/>
      <c r="M2738" s="75"/>
      <c r="N2738" s="75" t="str">
        <f t="shared" si="261"/>
        <v/>
      </c>
      <c r="O2738" s="76"/>
      <c r="P2738" s="36" t="str">
        <f t="shared" si="262"/>
        <v/>
      </c>
      <c r="Q2738" s="216" t="str">
        <f t="shared" si="263"/>
        <v/>
      </c>
      <c r="R2738" s="216" t="str">
        <f t="shared" si="264"/>
        <v/>
      </c>
      <c r="S2738" s="217" t="str">
        <f t="shared" si="265"/>
        <v/>
      </c>
    </row>
    <row r="2739" spans="1:19" ht="15.75" hidden="1" thickBot="1" x14ac:dyDescent="0.3">
      <c r="A2739" s="256" t="s">
        <v>2279</v>
      </c>
      <c r="B2739" s="259" t="str">
        <f>INDEX(Orçamentária!A:B,MATCH(Composições!A2739,Orçamentária!A:A,0),2)</f>
        <v>Prumo de parede</v>
      </c>
      <c r="C2739" s="40"/>
      <c r="D2739" s="25" t="s">
        <v>16</v>
      </c>
      <c r="E2739" s="26"/>
      <c r="F2739" s="48" t="s">
        <v>416</v>
      </c>
      <c r="G2739" s="27" t="str">
        <f t="shared" si="260"/>
        <v/>
      </c>
      <c r="H2739" s="28"/>
      <c r="I2739" s="29"/>
      <c r="J2739" s="152">
        <v>0</v>
      </c>
      <c r="L2739" s="218"/>
      <c r="M2739" s="48"/>
      <c r="N2739" s="27" t="str">
        <f t="shared" si="261"/>
        <v/>
      </c>
      <c r="O2739" s="28"/>
      <c r="P2739" s="36" t="str">
        <f t="shared" si="262"/>
        <v/>
      </c>
      <c r="Q2739" s="216" t="str">
        <f t="shared" si="263"/>
        <v/>
      </c>
      <c r="R2739" s="216" t="str">
        <f t="shared" si="264"/>
        <v/>
      </c>
      <c r="S2739" s="217" t="str">
        <f t="shared" si="265"/>
        <v/>
      </c>
    </row>
    <row r="2740" spans="1:19" ht="15.75" hidden="1" thickBot="1" x14ac:dyDescent="0.3">
      <c r="A2740" s="262"/>
      <c r="B2740" s="260"/>
      <c r="C2740" s="31"/>
      <c r="D2740" s="31"/>
      <c r="E2740" s="32"/>
      <c r="F2740" s="53" t="s">
        <v>416</v>
      </c>
      <c r="G2740" s="53" t="str">
        <f t="shared" si="260"/>
        <v/>
      </c>
      <c r="H2740" s="72"/>
      <c r="I2740" s="30"/>
      <c r="J2740" s="152">
        <v>0</v>
      </c>
      <c r="L2740" s="219"/>
      <c r="M2740" s="53"/>
      <c r="N2740" s="53" t="str">
        <f t="shared" si="261"/>
        <v/>
      </c>
      <c r="O2740" s="72"/>
      <c r="P2740" s="36" t="str">
        <f t="shared" si="262"/>
        <v/>
      </c>
      <c r="Q2740" s="216" t="str">
        <f t="shared" si="263"/>
        <v/>
      </c>
      <c r="R2740" s="216" t="str">
        <f t="shared" si="264"/>
        <v/>
      </c>
      <c r="S2740" s="217" t="str">
        <f t="shared" si="265"/>
        <v/>
      </c>
    </row>
    <row r="2741" spans="1:19" ht="15.75" hidden="1" thickBot="1" x14ac:dyDescent="0.3">
      <c r="A2741" s="262"/>
      <c r="B2741" s="260"/>
      <c r="C2741" s="35" t="s">
        <v>8343</v>
      </c>
      <c r="D2741" s="35" t="s">
        <v>213</v>
      </c>
      <c r="E2741" s="36">
        <v>1</v>
      </c>
      <c r="F2741" s="30">
        <v>52.487499999999997</v>
      </c>
      <c r="G2741" s="53">
        <f t="shared" si="260"/>
        <v>52.487499999999997</v>
      </c>
      <c r="H2741" s="38">
        <f>SUM(G2741:G2741)</f>
        <v>52.487499999999997</v>
      </c>
      <c r="I2741" s="39"/>
      <c r="J2741" s="152">
        <v>0</v>
      </c>
      <c r="L2741" s="215">
        <v>1</v>
      </c>
      <c r="M2741" s="30">
        <v>44.929299999999998</v>
      </c>
      <c r="N2741" s="53">
        <f t="shared" si="261"/>
        <v>44.929299999999998</v>
      </c>
      <c r="O2741" s="38">
        <f>SUM(N2741:N2741)</f>
        <v>44.929299999999998</v>
      </c>
      <c r="P2741" s="36" t="str">
        <f t="shared" si="262"/>
        <v/>
      </c>
      <c r="Q2741" s="216">
        <f t="shared" si="263"/>
        <v>0.14400000000000002</v>
      </c>
      <c r="R2741" s="216">
        <f t="shared" si="264"/>
        <v>0.14400000000000002</v>
      </c>
      <c r="S2741" s="217">
        <f t="shared" si="265"/>
        <v>0.14400000000000002</v>
      </c>
    </row>
    <row r="2742" spans="1:19" ht="15.75" hidden="1" thickBot="1" x14ac:dyDescent="0.3">
      <c r="A2742" s="263"/>
      <c r="B2742" s="261"/>
      <c r="C2742" s="35"/>
      <c r="D2742" s="35"/>
      <c r="E2742" s="36"/>
      <c r="F2742" s="30" t="s">
        <v>416</v>
      </c>
      <c r="G2742" s="33" t="str">
        <f t="shared" si="260"/>
        <v/>
      </c>
      <c r="H2742" s="34"/>
      <c r="I2742" s="30"/>
      <c r="J2742" s="152">
        <v>0</v>
      </c>
      <c r="L2742" s="215"/>
      <c r="M2742" s="30"/>
      <c r="N2742" s="33" t="str">
        <f t="shared" si="261"/>
        <v/>
      </c>
      <c r="O2742" s="34"/>
      <c r="P2742" s="36" t="str">
        <f t="shared" si="262"/>
        <v/>
      </c>
      <c r="Q2742" s="216" t="str">
        <f t="shared" si="263"/>
        <v/>
      </c>
      <c r="R2742" s="216" t="str">
        <f t="shared" si="264"/>
        <v/>
      </c>
      <c r="S2742" s="217" t="str">
        <f t="shared" si="265"/>
        <v/>
      </c>
    </row>
    <row r="2743" spans="1:19" ht="15.75" hidden="1" thickBot="1" x14ac:dyDescent="0.3">
      <c r="A2743" s="256" t="s">
        <v>2282</v>
      </c>
      <c r="B2743" s="259" t="str">
        <f>INDEX(Orçamentária!A:B,MATCH(Composições!A2743,Orçamentária!A:A,0),2)</f>
        <v>Régua de alumínio para pedreiro com 2 m</v>
      </c>
      <c r="C2743" s="40"/>
      <c r="D2743" s="25" t="s">
        <v>16</v>
      </c>
      <c r="E2743" s="26"/>
      <c r="F2743" s="48" t="s">
        <v>416</v>
      </c>
      <c r="G2743" s="27" t="str">
        <f t="shared" si="260"/>
        <v/>
      </c>
      <c r="H2743" s="28"/>
      <c r="I2743" s="29"/>
      <c r="J2743" s="152">
        <v>0</v>
      </c>
      <c r="L2743" s="218"/>
      <c r="M2743" s="48"/>
      <c r="N2743" s="27" t="str">
        <f t="shared" si="261"/>
        <v/>
      </c>
      <c r="O2743" s="28"/>
      <c r="P2743" s="36" t="str">
        <f t="shared" si="262"/>
        <v/>
      </c>
      <c r="Q2743" s="216" t="str">
        <f t="shared" si="263"/>
        <v/>
      </c>
      <c r="R2743" s="216" t="str">
        <f t="shared" si="264"/>
        <v/>
      </c>
      <c r="S2743" s="217" t="str">
        <f t="shared" si="265"/>
        <v/>
      </c>
    </row>
    <row r="2744" spans="1:19" ht="15.75" hidden="1" thickBot="1" x14ac:dyDescent="0.3">
      <c r="A2744" s="262"/>
      <c r="B2744" s="260"/>
      <c r="C2744" s="31"/>
      <c r="D2744" s="31"/>
      <c r="E2744" s="32"/>
      <c r="F2744" s="53" t="s">
        <v>416</v>
      </c>
      <c r="G2744" s="53" t="str">
        <f t="shared" si="260"/>
        <v/>
      </c>
      <c r="H2744" s="72"/>
      <c r="I2744" s="30"/>
      <c r="J2744" s="152">
        <v>0</v>
      </c>
      <c r="L2744" s="219"/>
      <c r="M2744" s="53"/>
      <c r="N2744" s="53" t="str">
        <f t="shared" si="261"/>
        <v/>
      </c>
      <c r="O2744" s="72"/>
      <c r="P2744" s="36" t="str">
        <f t="shared" si="262"/>
        <v/>
      </c>
      <c r="Q2744" s="216" t="str">
        <f t="shared" si="263"/>
        <v/>
      </c>
      <c r="R2744" s="216" t="str">
        <f t="shared" si="264"/>
        <v/>
      </c>
      <c r="S2744" s="217" t="str">
        <f t="shared" si="265"/>
        <v/>
      </c>
    </row>
    <row r="2745" spans="1:19" ht="15.75" hidden="1" thickBot="1" x14ac:dyDescent="0.3">
      <c r="A2745" s="262"/>
      <c r="B2745" s="260"/>
      <c r="C2745" s="35" t="s">
        <v>8366</v>
      </c>
      <c r="D2745" s="35" t="s">
        <v>385</v>
      </c>
      <c r="E2745" s="36">
        <v>2</v>
      </c>
      <c r="F2745" s="30">
        <v>61.588499999999996</v>
      </c>
      <c r="G2745" s="53">
        <f t="shared" si="260"/>
        <v>123.17699999999999</v>
      </c>
      <c r="H2745" s="38">
        <f>SUM(G2745:G2745)</f>
        <v>123.17699999999999</v>
      </c>
      <c r="I2745" s="39"/>
      <c r="J2745" s="152">
        <v>0</v>
      </c>
      <c r="L2745" s="215">
        <v>2</v>
      </c>
      <c r="M2745" s="30">
        <v>52.719755999999997</v>
      </c>
      <c r="N2745" s="53">
        <f t="shared" si="261"/>
        <v>105.43951199999999</v>
      </c>
      <c r="O2745" s="38">
        <f>SUM(N2745:N2745)</f>
        <v>105.43951199999999</v>
      </c>
      <c r="P2745" s="36" t="str">
        <f t="shared" si="262"/>
        <v/>
      </c>
      <c r="Q2745" s="216">
        <f t="shared" si="263"/>
        <v>0.14400000000000002</v>
      </c>
      <c r="R2745" s="216">
        <f t="shared" si="264"/>
        <v>0.14400000000000002</v>
      </c>
      <c r="S2745" s="217">
        <f t="shared" si="265"/>
        <v>0.14400000000000002</v>
      </c>
    </row>
    <row r="2746" spans="1:19" ht="15.75" hidden="1" thickBot="1" x14ac:dyDescent="0.3">
      <c r="A2746" s="263"/>
      <c r="B2746" s="261"/>
      <c r="C2746" s="35"/>
      <c r="D2746" s="35"/>
      <c r="E2746" s="36"/>
      <c r="F2746" s="30" t="s">
        <v>416</v>
      </c>
      <c r="G2746" s="33" t="str">
        <f t="shared" si="260"/>
        <v/>
      </c>
      <c r="H2746" s="34"/>
      <c r="I2746" s="30"/>
      <c r="J2746" s="152">
        <v>0</v>
      </c>
      <c r="L2746" s="215"/>
      <c r="M2746" s="30"/>
      <c r="N2746" s="33" t="str">
        <f t="shared" si="261"/>
        <v/>
      </c>
      <c r="O2746" s="34"/>
      <c r="P2746" s="36" t="str">
        <f t="shared" si="262"/>
        <v/>
      </c>
      <c r="Q2746" s="216" t="str">
        <f t="shared" si="263"/>
        <v/>
      </c>
      <c r="R2746" s="216" t="str">
        <f t="shared" si="264"/>
        <v/>
      </c>
      <c r="S2746" s="217" t="str">
        <f t="shared" si="265"/>
        <v/>
      </c>
    </row>
    <row r="2747" spans="1:19" ht="15.75" hidden="1" thickBot="1" x14ac:dyDescent="0.3">
      <c r="A2747" s="256" t="s">
        <v>2359</v>
      </c>
      <c r="B2747" s="259" t="str">
        <f>INDEX(Orçamentária!A:B,MATCH(Composições!A2747,Orçamentária!A:A,0),2)</f>
        <v>Desempenadeira de aço lisa</v>
      </c>
      <c r="C2747" s="40"/>
      <c r="D2747" s="25" t="s">
        <v>16</v>
      </c>
      <c r="E2747" s="26"/>
      <c r="F2747" s="48" t="s">
        <v>416</v>
      </c>
      <c r="G2747" s="27" t="str">
        <f t="shared" si="260"/>
        <v/>
      </c>
      <c r="H2747" s="28"/>
      <c r="I2747" s="29"/>
      <c r="J2747" s="152">
        <v>0</v>
      </c>
      <c r="L2747" s="218"/>
      <c r="M2747" s="48"/>
      <c r="N2747" s="27" t="str">
        <f t="shared" si="261"/>
        <v/>
      </c>
      <c r="O2747" s="28"/>
      <c r="P2747" s="36" t="str">
        <f t="shared" si="262"/>
        <v/>
      </c>
      <c r="Q2747" s="216" t="str">
        <f t="shared" si="263"/>
        <v/>
      </c>
      <c r="R2747" s="216" t="str">
        <f t="shared" si="264"/>
        <v/>
      </c>
      <c r="S2747" s="217" t="str">
        <f t="shared" si="265"/>
        <v/>
      </c>
    </row>
    <row r="2748" spans="1:19" ht="15.75" hidden="1" thickBot="1" x14ac:dyDescent="0.3">
      <c r="A2748" s="257"/>
      <c r="B2748" s="260"/>
      <c r="C2748" s="31"/>
      <c r="D2748" s="31"/>
      <c r="E2748" s="32"/>
      <c r="F2748" s="53" t="s">
        <v>416</v>
      </c>
      <c r="G2748" s="53" t="str">
        <f t="shared" si="260"/>
        <v/>
      </c>
      <c r="H2748" s="72"/>
      <c r="I2748" s="73"/>
      <c r="J2748" s="152">
        <v>0</v>
      </c>
      <c r="L2748" s="219"/>
      <c r="M2748" s="53"/>
      <c r="N2748" s="53" t="str">
        <f t="shared" si="261"/>
        <v/>
      </c>
      <c r="O2748" s="72"/>
      <c r="P2748" s="36" t="str">
        <f t="shared" si="262"/>
        <v/>
      </c>
      <c r="Q2748" s="216" t="str">
        <f t="shared" si="263"/>
        <v/>
      </c>
      <c r="R2748" s="216" t="str">
        <f t="shared" si="264"/>
        <v/>
      </c>
      <c r="S2748" s="217" t="str">
        <f t="shared" si="265"/>
        <v/>
      </c>
    </row>
    <row r="2749" spans="1:19" ht="26.25" hidden="1" thickBot="1" x14ac:dyDescent="0.3">
      <c r="A2749" s="257"/>
      <c r="B2749" s="260"/>
      <c r="C2749" s="35" t="s">
        <v>8134</v>
      </c>
      <c r="D2749" s="35" t="s">
        <v>213</v>
      </c>
      <c r="E2749" s="36">
        <v>1</v>
      </c>
      <c r="F2749" s="30">
        <v>22.923499999999997</v>
      </c>
      <c r="G2749" s="53">
        <f t="shared" ref="G2749:G2812" si="266">IF(ISNUMBER(F2749),E2749*F2749,"")</f>
        <v>22.923499999999997</v>
      </c>
      <c r="H2749" s="38">
        <f>SUM(G2749:G2749)</f>
        <v>22.923499999999997</v>
      </c>
      <c r="I2749" s="39"/>
      <c r="J2749" s="152">
        <v>0</v>
      </c>
      <c r="L2749" s="215">
        <v>1</v>
      </c>
      <c r="M2749" s="30">
        <v>19.622515999999997</v>
      </c>
      <c r="N2749" s="53">
        <f t="shared" ref="N2749:N2812" si="267">IF(ISNUMBER(M2749),L2749*M2749,"")</f>
        <v>19.622515999999997</v>
      </c>
      <c r="O2749" s="38">
        <f>SUM(N2749:N2749)</f>
        <v>19.622515999999997</v>
      </c>
      <c r="P2749" s="36" t="str">
        <f t="shared" si="262"/>
        <v/>
      </c>
      <c r="Q2749" s="216">
        <f t="shared" si="263"/>
        <v>0.14400000000000002</v>
      </c>
      <c r="R2749" s="216">
        <f t="shared" si="264"/>
        <v>0.14400000000000002</v>
      </c>
      <c r="S2749" s="217">
        <f t="shared" si="265"/>
        <v>0.14400000000000002</v>
      </c>
    </row>
    <row r="2750" spans="1:19" ht="15.75" hidden="1" thickBot="1" x14ac:dyDescent="0.3">
      <c r="A2750" s="258"/>
      <c r="B2750" s="261"/>
      <c r="C2750" s="54"/>
      <c r="D2750" s="155"/>
      <c r="E2750" s="65"/>
      <c r="F2750" s="75" t="s">
        <v>416</v>
      </c>
      <c r="G2750" s="75" t="str">
        <f t="shared" si="266"/>
        <v/>
      </c>
      <c r="H2750" s="76"/>
      <c r="I2750" s="73"/>
      <c r="J2750" s="152">
        <v>0</v>
      </c>
      <c r="L2750" s="222"/>
      <c r="M2750" s="75"/>
      <c r="N2750" s="75" t="str">
        <f t="shared" si="267"/>
        <v/>
      </c>
      <c r="O2750" s="76"/>
      <c r="P2750" s="36" t="str">
        <f t="shared" si="262"/>
        <v/>
      </c>
      <c r="Q2750" s="216" t="str">
        <f t="shared" si="263"/>
        <v/>
      </c>
      <c r="R2750" s="216" t="str">
        <f t="shared" si="264"/>
        <v/>
      </c>
      <c r="S2750" s="217" t="str">
        <f t="shared" si="265"/>
        <v/>
      </c>
    </row>
    <row r="2751" spans="1:19" ht="15.75" hidden="1" thickBot="1" x14ac:dyDescent="0.3">
      <c r="A2751" s="256" t="s">
        <v>2361</v>
      </c>
      <c r="B2751" s="259" t="str">
        <f>INDEX(Orçamentária!A:B,MATCH(Composições!A2751,Orçamentária!A:A,0),2)</f>
        <v>Desempenadeira estriada em PVC 14 x 27 cm</v>
      </c>
      <c r="C2751" s="40"/>
      <c r="D2751" s="25" t="s">
        <v>16</v>
      </c>
      <c r="E2751" s="26"/>
      <c r="F2751" s="48" t="s">
        <v>416</v>
      </c>
      <c r="G2751" s="27" t="str">
        <f t="shared" si="266"/>
        <v/>
      </c>
      <c r="H2751" s="28"/>
      <c r="I2751" s="29"/>
      <c r="J2751" s="152">
        <v>0</v>
      </c>
      <c r="L2751" s="218"/>
      <c r="M2751" s="48"/>
      <c r="N2751" s="27" t="str">
        <f t="shared" si="267"/>
        <v/>
      </c>
      <c r="O2751" s="28"/>
      <c r="P2751" s="36" t="str">
        <f t="shared" si="262"/>
        <v/>
      </c>
      <c r="Q2751" s="216" t="str">
        <f t="shared" si="263"/>
        <v/>
      </c>
      <c r="R2751" s="216" t="str">
        <f t="shared" si="264"/>
        <v/>
      </c>
      <c r="S2751" s="217" t="str">
        <f t="shared" si="265"/>
        <v/>
      </c>
    </row>
    <row r="2752" spans="1:19" ht="15.75" hidden="1" thickBot="1" x14ac:dyDescent="0.3">
      <c r="A2752" s="262"/>
      <c r="B2752" s="260"/>
      <c r="C2752" s="31"/>
      <c r="D2752" s="31"/>
      <c r="E2752" s="32"/>
      <c r="F2752" s="53" t="s">
        <v>416</v>
      </c>
      <c r="G2752" s="53" t="str">
        <f t="shared" si="266"/>
        <v/>
      </c>
      <c r="H2752" s="72"/>
      <c r="I2752" s="30"/>
      <c r="J2752" s="152">
        <v>0</v>
      </c>
      <c r="L2752" s="219"/>
      <c r="M2752" s="53"/>
      <c r="N2752" s="53" t="str">
        <f t="shared" si="267"/>
        <v/>
      </c>
      <c r="O2752" s="72"/>
      <c r="P2752" s="36" t="str">
        <f t="shared" si="262"/>
        <v/>
      </c>
      <c r="Q2752" s="216" t="str">
        <f t="shared" si="263"/>
        <v/>
      </c>
      <c r="R2752" s="216" t="str">
        <f t="shared" si="264"/>
        <v/>
      </c>
      <c r="S2752" s="217" t="str">
        <f t="shared" si="265"/>
        <v/>
      </c>
    </row>
    <row r="2753" spans="1:19" ht="15.75" hidden="1" thickBot="1" x14ac:dyDescent="0.3">
      <c r="A2753" s="262"/>
      <c r="B2753" s="260"/>
      <c r="C2753" s="35" t="s">
        <v>8135</v>
      </c>
      <c r="D2753" s="35" t="s">
        <v>213</v>
      </c>
      <c r="E2753" s="36">
        <v>1</v>
      </c>
      <c r="F2753" s="30">
        <v>19.57</v>
      </c>
      <c r="G2753" s="53">
        <f t="shared" si="266"/>
        <v>19.57</v>
      </c>
      <c r="H2753" s="38">
        <f>SUM(G2753:G2753)</f>
        <v>19.57</v>
      </c>
      <c r="I2753" s="39"/>
      <c r="J2753" s="152">
        <v>0</v>
      </c>
      <c r="L2753" s="215">
        <v>1</v>
      </c>
      <c r="M2753" s="30">
        <v>16.751920000000002</v>
      </c>
      <c r="N2753" s="53">
        <f t="shared" si="267"/>
        <v>16.751920000000002</v>
      </c>
      <c r="O2753" s="38">
        <f>SUM(N2753:N2753)</f>
        <v>16.751920000000002</v>
      </c>
      <c r="P2753" s="36" t="str">
        <f t="shared" si="262"/>
        <v/>
      </c>
      <c r="Q2753" s="216">
        <f t="shared" si="263"/>
        <v>0.14399999999999991</v>
      </c>
      <c r="R2753" s="216">
        <f t="shared" si="264"/>
        <v>0.14399999999999991</v>
      </c>
      <c r="S2753" s="217">
        <f t="shared" si="265"/>
        <v>0.14399999999999991</v>
      </c>
    </row>
    <row r="2754" spans="1:19" ht="15.75" hidden="1" thickBot="1" x14ac:dyDescent="0.3">
      <c r="A2754" s="263"/>
      <c r="B2754" s="261"/>
      <c r="C2754" s="35"/>
      <c r="D2754" s="35"/>
      <c r="E2754" s="36"/>
      <c r="F2754" s="30" t="s">
        <v>416</v>
      </c>
      <c r="G2754" s="33" t="str">
        <f t="shared" si="266"/>
        <v/>
      </c>
      <c r="H2754" s="34"/>
      <c r="I2754" s="30"/>
      <c r="J2754" s="152">
        <v>0</v>
      </c>
      <c r="L2754" s="215"/>
      <c r="M2754" s="30"/>
      <c r="N2754" s="33" t="str">
        <f t="shared" si="267"/>
        <v/>
      </c>
      <c r="O2754" s="34"/>
      <c r="P2754" s="36" t="str">
        <f t="shared" si="262"/>
        <v/>
      </c>
      <c r="Q2754" s="216" t="str">
        <f t="shared" si="263"/>
        <v/>
      </c>
      <c r="R2754" s="216" t="str">
        <f t="shared" si="264"/>
        <v/>
      </c>
      <c r="S2754" s="217" t="str">
        <f t="shared" si="265"/>
        <v/>
      </c>
    </row>
    <row r="2755" spans="1:19" ht="15.75" hidden="1" thickBot="1" x14ac:dyDescent="0.3">
      <c r="A2755" s="256" t="s">
        <v>2384</v>
      </c>
      <c r="B2755" s="259" t="str">
        <f>INDEX(Orçamentária!A:B,MATCH(Composições!A2755,Orçamentária!A:A,0),2)</f>
        <v>Bota de PVC</v>
      </c>
      <c r="C2755" s="40"/>
      <c r="D2755" s="25" t="s">
        <v>1683</v>
      </c>
      <c r="E2755" s="26"/>
      <c r="F2755" s="48" t="s">
        <v>416</v>
      </c>
      <c r="G2755" s="27" t="str">
        <f t="shared" si="266"/>
        <v/>
      </c>
      <c r="H2755" s="28"/>
      <c r="I2755" s="29"/>
      <c r="J2755" s="152">
        <v>0</v>
      </c>
      <c r="L2755" s="218"/>
      <c r="M2755" s="48"/>
      <c r="N2755" s="27" t="str">
        <f t="shared" si="267"/>
        <v/>
      </c>
      <c r="O2755" s="28"/>
      <c r="P2755" s="36" t="str">
        <f t="shared" si="262"/>
        <v/>
      </c>
      <c r="Q2755" s="216" t="str">
        <f t="shared" si="263"/>
        <v/>
      </c>
      <c r="R2755" s="216" t="str">
        <f t="shared" si="264"/>
        <v/>
      </c>
      <c r="S2755" s="217" t="str">
        <f t="shared" si="265"/>
        <v/>
      </c>
    </row>
    <row r="2756" spans="1:19" ht="15.75" hidden="1" thickBot="1" x14ac:dyDescent="0.3">
      <c r="A2756" s="257"/>
      <c r="B2756" s="260"/>
      <c r="C2756" s="31"/>
      <c r="D2756" s="31"/>
      <c r="E2756" s="32"/>
      <c r="F2756" s="53" t="s">
        <v>416</v>
      </c>
      <c r="G2756" s="53" t="str">
        <f t="shared" si="266"/>
        <v/>
      </c>
      <c r="H2756" s="72"/>
      <c r="I2756" s="73"/>
      <c r="J2756" s="152">
        <v>0</v>
      </c>
      <c r="L2756" s="219"/>
      <c r="M2756" s="53"/>
      <c r="N2756" s="53" t="str">
        <f t="shared" si="267"/>
        <v/>
      </c>
      <c r="O2756" s="72"/>
      <c r="P2756" s="36" t="str">
        <f t="shared" si="262"/>
        <v/>
      </c>
      <c r="Q2756" s="216" t="str">
        <f t="shared" si="263"/>
        <v/>
      </c>
      <c r="R2756" s="216" t="str">
        <f t="shared" si="264"/>
        <v/>
      </c>
      <c r="S2756" s="217" t="str">
        <f t="shared" si="265"/>
        <v/>
      </c>
    </row>
    <row r="2757" spans="1:19" ht="15.75" hidden="1" thickBot="1" x14ac:dyDescent="0.3">
      <c r="A2757" s="257"/>
      <c r="B2757" s="260"/>
      <c r="C2757" s="35" t="s">
        <v>8007</v>
      </c>
      <c r="D2757" s="35" t="s">
        <v>8527</v>
      </c>
      <c r="E2757" s="36">
        <v>1</v>
      </c>
      <c r="F2757" s="30">
        <v>38.959499999999998</v>
      </c>
      <c r="G2757" s="53">
        <f t="shared" si="266"/>
        <v>38.959499999999998</v>
      </c>
      <c r="H2757" s="38">
        <f>SUM(G2757:G2757)</f>
        <v>38.959499999999998</v>
      </c>
      <c r="I2757" s="39"/>
      <c r="J2757" s="152">
        <v>0</v>
      </c>
      <c r="L2757" s="215">
        <v>1</v>
      </c>
      <c r="M2757" s="30">
        <v>33.349331999999997</v>
      </c>
      <c r="N2757" s="53">
        <f t="shared" si="267"/>
        <v>33.349331999999997</v>
      </c>
      <c r="O2757" s="38">
        <f>SUM(N2757:N2757)</f>
        <v>33.349331999999997</v>
      </c>
      <c r="P2757" s="36" t="str">
        <f t="shared" si="262"/>
        <v/>
      </c>
      <c r="Q2757" s="216">
        <f t="shared" si="263"/>
        <v>0.14400000000000002</v>
      </c>
      <c r="R2757" s="216">
        <f t="shared" si="264"/>
        <v>0.14400000000000002</v>
      </c>
      <c r="S2757" s="217">
        <f t="shared" si="265"/>
        <v>0.14400000000000002</v>
      </c>
    </row>
    <row r="2758" spans="1:19" ht="15.75" hidden="1" thickBot="1" x14ac:dyDescent="0.3">
      <c r="A2758" s="258"/>
      <c r="B2758" s="261"/>
      <c r="C2758" s="54"/>
      <c r="D2758" s="155"/>
      <c r="E2758" s="65"/>
      <c r="F2758" s="75" t="s">
        <v>416</v>
      </c>
      <c r="G2758" s="75" t="str">
        <f t="shared" si="266"/>
        <v/>
      </c>
      <c r="H2758" s="76"/>
      <c r="I2758" s="73"/>
      <c r="J2758" s="152">
        <v>0</v>
      </c>
      <c r="L2758" s="222"/>
      <c r="M2758" s="75"/>
      <c r="N2758" s="75" t="str">
        <f t="shared" si="267"/>
        <v/>
      </c>
      <c r="O2758" s="76"/>
      <c r="P2758" s="36" t="str">
        <f t="shared" si="262"/>
        <v/>
      </c>
      <c r="Q2758" s="216" t="str">
        <f t="shared" si="263"/>
        <v/>
      </c>
      <c r="R2758" s="216" t="str">
        <f t="shared" si="264"/>
        <v/>
      </c>
      <c r="S2758" s="217" t="str">
        <f t="shared" si="265"/>
        <v/>
      </c>
    </row>
    <row r="2759" spans="1:19" ht="15.75" hidden="1" thickBot="1" x14ac:dyDescent="0.3">
      <c r="A2759" s="256" t="s">
        <v>2385</v>
      </c>
      <c r="B2759" s="259" t="str">
        <f>INDEX(Orçamentária!A:B,MATCH(Composições!A2759,Orçamentária!A:A,0),2)</f>
        <v>Capa de chuva</v>
      </c>
      <c r="C2759" s="40"/>
      <c r="D2759" s="25" t="s">
        <v>16</v>
      </c>
      <c r="E2759" s="26"/>
      <c r="F2759" s="48" t="s">
        <v>416</v>
      </c>
      <c r="G2759" s="27" t="str">
        <f t="shared" si="266"/>
        <v/>
      </c>
      <c r="H2759" s="28"/>
      <c r="I2759" s="29"/>
      <c r="J2759" s="152">
        <v>0</v>
      </c>
      <c r="L2759" s="218"/>
      <c r="M2759" s="48"/>
      <c r="N2759" s="27" t="str">
        <f t="shared" si="267"/>
        <v/>
      </c>
      <c r="O2759" s="28"/>
      <c r="P2759" s="36" t="str">
        <f t="shared" si="262"/>
        <v/>
      </c>
      <c r="Q2759" s="216" t="str">
        <f t="shared" si="263"/>
        <v/>
      </c>
      <c r="R2759" s="216" t="str">
        <f t="shared" si="264"/>
        <v/>
      </c>
      <c r="S2759" s="217" t="str">
        <f t="shared" si="265"/>
        <v/>
      </c>
    </row>
    <row r="2760" spans="1:19" ht="15.75" hidden="1" thickBot="1" x14ac:dyDescent="0.3">
      <c r="A2760" s="257"/>
      <c r="B2760" s="260"/>
      <c r="C2760" s="31"/>
      <c r="D2760" s="31"/>
      <c r="E2760" s="32"/>
      <c r="F2760" s="53" t="s">
        <v>416</v>
      </c>
      <c r="G2760" s="53" t="str">
        <f t="shared" si="266"/>
        <v/>
      </c>
      <c r="H2760" s="72"/>
      <c r="I2760" s="73"/>
      <c r="J2760" s="152">
        <v>0</v>
      </c>
      <c r="L2760" s="219"/>
      <c r="M2760" s="53"/>
      <c r="N2760" s="53" t="str">
        <f t="shared" si="267"/>
        <v/>
      </c>
      <c r="O2760" s="72"/>
      <c r="P2760" s="36" t="str">
        <f t="shared" ref="P2760:P2823" si="268">IF(ISBLANK(L2760),"",IF($E2760&lt;&gt;L2760,"SIM",""))</f>
        <v/>
      </c>
      <c r="Q2760" s="216" t="str">
        <f t="shared" ref="Q2760:Q2823" si="269">IF(M2760="","",1-M2760/$F2760)</f>
        <v/>
      </c>
      <c r="R2760" s="216" t="str">
        <f t="shared" ref="R2760:R2823" si="270">IF(N2760="","",1-N2760/$G2760)</f>
        <v/>
      </c>
      <c r="S2760" s="217" t="str">
        <f t="shared" ref="S2760:S2823" si="271">IF(O2760="","",1-O2760/$H2760)</f>
        <v/>
      </c>
    </row>
    <row r="2761" spans="1:19" ht="26.25" hidden="1" thickBot="1" x14ac:dyDescent="0.3">
      <c r="A2761" s="257"/>
      <c r="B2761" s="260"/>
      <c r="C2761" s="35" t="s">
        <v>8056</v>
      </c>
      <c r="D2761" s="35" t="s">
        <v>213</v>
      </c>
      <c r="E2761" s="36">
        <v>1</v>
      </c>
      <c r="F2761" s="30">
        <v>17.584500000000002</v>
      </c>
      <c r="G2761" s="53">
        <f t="shared" si="266"/>
        <v>17.584500000000002</v>
      </c>
      <c r="H2761" s="38">
        <f>SUM(G2761:G2761)</f>
        <v>17.584500000000002</v>
      </c>
      <c r="I2761" s="39"/>
      <c r="J2761" s="152">
        <v>0</v>
      </c>
      <c r="L2761" s="215">
        <v>1</v>
      </c>
      <c r="M2761" s="30">
        <v>15.052332000000002</v>
      </c>
      <c r="N2761" s="53">
        <f t="shared" si="267"/>
        <v>15.052332000000002</v>
      </c>
      <c r="O2761" s="38">
        <f>SUM(N2761:N2761)</f>
        <v>15.052332000000002</v>
      </c>
      <c r="P2761" s="36" t="str">
        <f t="shared" si="268"/>
        <v/>
      </c>
      <c r="Q2761" s="216">
        <f t="shared" si="269"/>
        <v>0.14400000000000002</v>
      </c>
      <c r="R2761" s="216">
        <f t="shared" si="270"/>
        <v>0.14400000000000002</v>
      </c>
      <c r="S2761" s="217">
        <f t="shared" si="271"/>
        <v>0.14400000000000002</v>
      </c>
    </row>
    <row r="2762" spans="1:19" ht="15.75" hidden="1" thickBot="1" x14ac:dyDescent="0.3">
      <c r="A2762" s="258"/>
      <c r="B2762" s="261"/>
      <c r="C2762" s="54"/>
      <c r="D2762" s="155"/>
      <c r="E2762" s="65"/>
      <c r="F2762" s="75" t="s">
        <v>416</v>
      </c>
      <c r="G2762" s="75" t="str">
        <f t="shared" si="266"/>
        <v/>
      </c>
      <c r="H2762" s="76"/>
      <c r="I2762" s="73"/>
      <c r="J2762" s="152">
        <v>0</v>
      </c>
      <c r="L2762" s="222"/>
      <c r="M2762" s="75"/>
      <c r="N2762" s="75" t="str">
        <f t="shared" si="267"/>
        <v/>
      </c>
      <c r="O2762" s="76"/>
      <c r="P2762" s="36" t="str">
        <f t="shared" si="268"/>
        <v/>
      </c>
      <c r="Q2762" s="216" t="str">
        <f t="shared" si="269"/>
        <v/>
      </c>
      <c r="R2762" s="216" t="str">
        <f t="shared" si="270"/>
        <v/>
      </c>
      <c r="S2762" s="217" t="str">
        <f t="shared" si="271"/>
        <v/>
      </c>
    </row>
    <row r="2763" spans="1:19" ht="15.75" hidden="1" thickBot="1" x14ac:dyDescent="0.3">
      <c r="A2763" s="256" t="s">
        <v>2404</v>
      </c>
      <c r="B2763" s="259" t="str">
        <f>INDEX(Orçamentária!A:B,MATCH(Composições!A2763,Orçamentária!A:A,0),2)</f>
        <v>Talabarte em Y</v>
      </c>
      <c r="C2763" s="40"/>
      <c r="D2763" s="25" t="s">
        <v>16</v>
      </c>
      <c r="E2763" s="26"/>
      <c r="F2763" s="48" t="s">
        <v>416</v>
      </c>
      <c r="G2763" s="27" t="str">
        <f t="shared" si="266"/>
        <v/>
      </c>
      <c r="H2763" s="28"/>
      <c r="I2763" s="29"/>
      <c r="J2763" s="152">
        <v>0</v>
      </c>
      <c r="L2763" s="218"/>
      <c r="M2763" s="48"/>
      <c r="N2763" s="27" t="str">
        <f t="shared" si="267"/>
        <v/>
      </c>
      <c r="O2763" s="28"/>
      <c r="P2763" s="36" t="str">
        <f t="shared" si="268"/>
        <v/>
      </c>
      <c r="Q2763" s="216" t="str">
        <f t="shared" si="269"/>
        <v/>
      </c>
      <c r="R2763" s="216" t="str">
        <f t="shared" si="270"/>
        <v/>
      </c>
      <c r="S2763" s="217" t="str">
        <f t="shared" si="271"/>
        <v/>
      </c>
    </row>
    <row r="2764" spans="1:19" ht="15.75" hidden="1" thickBot="1" x14ac:dyDescent="0.3">
      <c r="A2764" s="262"/>
      <c r="B2764" s="260"/>
      <c r="C2764" s="31"/>
      <c r="D2764" s="31"/>
      <c r="E2764" s="32"/>
      <c r="F2764" s="53" t="s">
        <v>416</v>
      </c>
      <c r="G2764" s="53" t="str">
        <f t="shared" si="266"/>
        <v/>
      </c>
      <c r="H2764" s="72"/>
      <c r="I2764" s="30"/>
      <c r="J2764" s="152">
        <v>0</v>
      </c>
      <c r="L2764" s="219"/>
      <c r="M2764" s="53"/>
      <c r="N2764" s="53" t="str">
        <f t="shared" si="267"/>
        <v/>
      </c>
      <c r="O2764" s="72"/>
      <c r="P2764" s="36" t="str">
        <f t="shared" si="268"/>
        <v/>
      </c>
      <c r="Q2764" s="216" t="str">
        <f t="shared" si="269"/>
        <v/>
      </c>
      <c r="R2764" s="216" t="str">
        <f t="shared" si="270"/>
        <v/>
      </c>
      <c r="S2764" s="217" t="str">
        <f t="shared" si="271"/>
        <v/>
      </c>
    </row>
    <row r="2765" spans="1:19" ht="26.25" hidden="1" thickBot="1" x14ac:dyDescent="0.3">
      <c r="A2765" s="262"/>
      <c r="B2765" s="260"/>
      <c r="C2765" s="35" t="s">
        <v>8382</v>
      </c>
      <c r="D2765" s="35" t="s">
        <v>213</v>
      </c>
      <c r="E2765" s="36">
        <v>1</v>
      </c>
      <c r="F2765" s="30">
        <v>180.93700000000001</v>
      </c>
      <c r="G2765" s="53">
        <f t="shared" si="266"/>
        <v>180.93700000000001</v>
      </c>
      <c r="H2765" s="38">
        <f>SUM(G2765:G2765)</f>
        <v>180.93700000000001</v>
      </c>
      <c r="I2765" s="39"/>
      <c r="J2765" s="152">
        <v>0</v>
      </c>
      <c r="L2765" s="215">
        <v>1</v>
      </c>
      <c r="M2765" s="30">
        <v>154.88207200000002</v>
      </c>
      <c r="N2765" s="53">
        <f t="shared" si="267"/>
        <v>154.88207200000002</v>
      </c>
      <c r="O2765" s="38">
        <f>SUM(N2765:N2765)</f>
        <v>154.88207200000002</v>
      </c>
      <c r="P2765" s="36" t="str">
        <f t="shared" si="268"/>
        <v/>
      </c>
      <c r="Q2765" s="216">
        <f t="shared" si="269"/>
        <v>0.14399999999999991</v>
      </c>
      <c r="R2765" s="216">
        <f t="shared" si="270"/>
        <v>0.14399999999999991</v>
      </c>
      <c r="S2765" s="217">
        <f t="shared" si="271"/>
        <v>0.14399999999999991</v>
      </c>
    </row>
    <row r="2766" spans="1:19" ht="15.75" hidden="1" thickBot="1" x14ac:dyDescent="0.3">
      <c r="A2766" s="263"/>
      <c r="B2766" s="261"/>
      <c r="C2766" s="35"/>
      <c r="D2766" s="35"/>
      <c r="E2766" s="36"/>
      <c r="F2766" s="30" t="s">
        <v>416</v>
      </c>
      <c r="G2766" s="33" t="str">
        <f t="shared" si="266"/>
        <v/>
      </c>
      <c r="H2766" s="34"/>
      <c r="I2766" s="30"/>
      <c r="J2766" s="152">
        <v>0</v>
      </c>
      <c r="L2766" s="215"/>
      <c r="M2766" s="30"/>
      <c r="N2766" s="33" t="str">
        <f t="shared" si="267"/>
        <v/>
      </c>
      <c r="O2766" s="34"/>
      <c r="P2766" s="36" t="str">
        <f t="shared" si="268"/>
        <v/>
      </c>
      <c r="Q2766" s="216" t="str">
        <f t="shared" si="269"/>
        <v/>
      </c>
      <c r="R2766" s="216" t="str">
        <f t="shared" si="270"/>
        <v/>
      </c>
      <c r="S2766" s="217" t="str">
        <f t="shared" si="271"/>
        <v/>
      </c>
    </row>
    <row r="2767" spans="1:19" ht="15.75" hidden="1" thickBot="1" x14ac:dyDescent="0.3">
      <c r="A2767" s="256" t="s">
        <v>2406</v>
      </c>
      <c r="B2767" s="259" t="str">
        <f>INDEX(Orçamentária!A:B,MATCH(Composições!A2763,Orçamentária!A:A,0),2)</f>
        <v>Talabarte em Y</v>
      </c>
      <c r="C2767" s="40"/>
      <c r="D2767" s="25" t="s">
        <v>16</v>
      </c>
      <c r="E2767" s="26"/>
      <c r="F2767" s="48" t="s">
        <v>416</v>
      </c>
      <c r="G2767" s="27" t="str">
        <f t="shared" si="266"/>
        <v/>
      </c>
      <c r="H2767" s="28"/>
      <c r="I2767" s="29"/>
      <c r="J2767" s="152">
        <v>0</v>
      </c>
      <c r="L2767" s="218"/>
      <c r="M2767" s="48"/>
      <c r="N2767" s="27" t="str">
        <f t="shared" si="267"/>
        <v/>
      </c>
      <c r="O2767" s="28"/>
      <c r="P2767" s="36" t="str">
        <f t="shared" si="268"/>
        <v/>
      </c>
      <c r="Q2767" s="216" t="str">
        <f t="shared" si="269"/>
        <v/>
      </c>
      <c r="R2767" s="216" t="str">
        <f t="shared" si="270"/>
        <v/>
      </c>
      <c r="S2767" s="217" t="str">
        <f t="shared" si="271"/>
        <v/>
      </c>
    </row>
    <row r="2768" spans="1:19" ht="15.75" hidden="1" thickBot="1" x14ac:dyDescent="0.3">
      <c r="A2768" s="257"/>
      <c r="B2768" s="260"/>
      <c r="C2768" s="31"/>
      <c r="D2768" s="31"/>
      <c r="E2768" s="32"/>
      <c r="F2768" s="53" t="s">
        <v>416</v>
      </c>
      <c r="G2768" s="53" t="str">
        <f t="shared" si="266"/>
        <v/>
      </c>
      <c r="H2768" s="72"/>
      <c r="I2768" s="73"/>
      <c r="J2768" s="152">
        <v>0</v>
      </c>
      <c r="L2768" s="219"/>
      <c r="M2768" s="53"/>
      <c r="N2768" s="53" t="str">
        <f t="shared" si="267"/>
        <v/>
      </c>
      <c r="O2768" s="72"/>
      <c r="P2768" s="36" t="str">
        <f t="shared" si="268"/>
        <v/>
      </c>
      <c r="Q2768" s="216" t="str">
        <f t="shared" si="269"/>
        <v/>
      </c>
      <c r="R2768" s="216" t="str">
        <f t="shared" si="270"/>
        <v/>
      </c>
      <c r="S2768" s="217" t="str">
        <f t="shared" si="271"/>
        <v/>
      </c>
    </row>
    <row r="2769" spans="1:19" ht="26.25" hidden="1" thickBot="1" x14ac:dyDescent="0.3">
      <c r="A2769" s="257"/>
      <c r="B2769" s="260"/>
      <c r="C2769" s="35" t="s">
        <v>8452</v>
      </c>
      <c r="D2769" s="35" t="s">
        <v>213</v>
      </c>
      <c r="E2769" s="36">
        <v>1</v>
      </c>
      <c r="F2769" s="30">
        <v>158.95399999999998</v>
      </c>
      <c r="G2769" s="53">
        <f t="shared" si="266"/>
        <v>158.95399999999998</v>
      </c>
      <c r="H2769" s="38">
        <f>SUM(G2769:G2769)</f>
        <v>158.95399999999998</v>
      </c>
      <c r="I2769" s="39"/>
      <c r="J2769" s="152">
        <v>0</v>
      </c>
      <c r="L2769" s="215">
        <v>1</v>
      </c>
      <c r="M2769" s="30">
        <v>136.06462399999998</v>
      </c>
      <c r="N2769" s="53">
        <f t="shared" si="267"/>
        <v>136.06462399999998</v>
      </c>
      <c r="O2769" s="38">
        <f>SUM(N2769:N2769)</f>
        <v>136.06462399999998</v>
      </c>
      <c r="P2769" s="36" t="str">
        <f t="shared" si="268"/>
        <v/>
      </c>
      <c r="Q2769" s="216">
        <f t="shared" si="269"/>
        <v>0.14400000000000002</v>
      </c>
      <c r="R2769" s="216">
        <f t="shared" si="270"/>
        <v>0.14400000000000002</v>
      </c>
      <c r="S2769" s="217">
        <f t="shared" si="271"/>
        <v>0.14400000000000002</v>
      </c>
    </row>
    <row r="2770" spans="1:19" ht="15.75" hidden="1" thickBot="1" x14ac:dyDescent="0.3">
      <c r="A2770" s="258"/>
      <c r="B2770" s="261"/>
      <c r="C2770" s="54"/>
      <c r="D2770" s="155"/>
      <c r="E2770" s="65"/>
      <c r="F2770" s="75" t="s">
        <v>416</v>
      </c>
      <c r="G2770" s="75" t="str">
        <f t="shared" si="266"/>
        <v/>
      </c>
      <c r="H2770" s="76"/>
      <c r="I2770" s="73"/>
      <c r="J2770" s="152">
        <v>0</v>
      </c>
      <c r="L2770" s="222"/>
      <c r="M2770" s="75"/>
      <c r="N2770" s="75" t="str">
        <f t="shared" si="267"/>
        <v/>
      </c>
      <c r="O2770" s="76"/>
      <c r="P2770" s="36" t="str">
        <f t="shared" si="268"/>
        <v/>
      </c>
      <c r="Q2770" s="216" t="str">
        <f t="shared" si="269"/>
        <v/>
      </c>
      <c r="R2770" s="216" t="str">
        <f t="shared" si="270"/>
        <v/>
      </c>
      <c r="S2770" s="217" t="str">
        <f t="shared" si="271"/>
        <v/>
      </c>
    </row>
    <row r="2771" spans="1:19" ht="15.75" hidden="1" thickBot="1" x14ac:dyDescent="0.3">
      <c r="A2771" s="256" t="s">
        <v>668</v>
      </c>
      <c r="B2771" s="259" t="str">
        <f>INDEX(Orçamentária!A:B,MATCH(Composições!A2771,Orçamentária!A:A,0),2)</f>
        <v>Instalação de vidro (comum, temperado, aramado ou laminado) reaproveitado</v>
      </c>
      <c r="C2771" s="40"/>
      <c r="D2771" s="25" t="s">
        <v>70</v>
      </c>
      <c r="E2771" s="26"/>
      <c r="F2771" s="41" t="s">
        <v>416</v>
      </c>
      <c r="G2771" s="27" t="str">
        <f t="shared" si="266"/>
        <v/>
      </c>
      <c r="H2771" s="28"/>
      <c r="I2771" s="29"/>
      <c r="J2771" s="152">
        <v>0</v>
      </c>
      <c r="L2771" s="218"/>
      <c r="M2771" s="41"/>
      <c r="N2771" s="27" t="str">
        <f t="shared" si="267"/>
        <v/>
      </c>
      <c r="O2771" s="28"/>
      <c r="P2771" s="36" t="str">
        <f t="shared" si="268"/>
        <v/>
      </c>
      <c r="Q2771" s="216" t="str">
        <f t="shared" si="269"/>
        <v/>
      </c>
      <c r="R2771" s="216" t="str">
        <f t="shared" si="270"/>
        <v/>
      </c>
      <c r="S2771" s="217" t="str">
        <f t="shared" si="271"/>
        <v/>
      </c>
    </row>
    <row r="2772" spans="1:19" ht="15.75" hidden="1" thickBot="1" x14ac:dyDescent="0.3">
      <c r="A2772" s="262"/>
      <c r="B2772" s="260"/>
      <c r="C2772" s="31"/>
      <c r="D2772" s="31"/>
      <c r="E2772" s="32"/>
      <c r="F2772" s="42" t="s">
        <v>416</v>
      </c>
      <c r="G2772" s="33" t="str">
        <f t="shared" si="266"/>
        <v/>
      </c>
      <c r="H2772" s="34"/>
      <c r="I2772" s="30"/>
      <c r="J2772" s="152">
        <v>0</v>
      </c>
      <c r="L2772" s="219"/>
      <c r="M2772" s="42"/>
      <c r="N2772" s="33" t="str">
        <f t="shared" si="267"/>
        <v/>
      </c>
      <c r="O2772" s="34"/>
      <c r="P2772" s="36" t="str">
        <f t="shared" si="268"/>
        <v/>
      </c>
      <c r="Q2772" s="216" t="str">
        <f t="shared" si="269"/>
        <v/>
      </c>
      <c r="R2772" s="216" t="str">
        <f t="shared" si="270"/>
        <v/>
      </c>
      <c r="S2772" s="217" t="str">
        <f t="shared" si="271"/>
        <v/>
      </c>
    </row>
    <row r="2773" spans="1:19" ht="15.75" hidden="1" thickBot="1" x14ac:dyDescent="0.3">
      <c r="A2773" s="262"/>
      <c r="B2773" s="260"/>
      <c r="C2773" s="35" t="s">
        <v>2909</v>
      </c>
      <c r="D2773" s="35" t="s">
        <v>583</v>
      </c>
      <c r="E2773" s="36">
        <v>1</v>
      </c>
      <c r="F2773" s="30">
        <v>25.060999999999996</v>
      </c>
      <c r="G2773" s="33">
        <f t="shared" si="266"/>
        <v>25.060999999999996</v>
      </c>
      <c r="H2773" s="38">
        <f>SUM(G2773:G2774)</f>
        <v>33.933999999999997</v>
      </c>
      <c r="I2773" s="39"/>
      <c r="J2773" s="152">
        <v>0</v>
      </c>
      <c r="L2773" s="215">
        <v>1</v>
      </c>
      <c r="M2773" s="30">
        <v>21.452215999999996</v>
      </c>
      <c r="N2773" s="33">
        <f t="shared" si="267"/>
        <v>21.452215999999996</v>
      </c>
      <c r="O2773" s="38">
        <f>SUM(N2773:N2774)</f>
        <v>29.047503999999996</v>
      </c>
      <c r="P2773" s="36" t="str">
        <f t="shared" si="268"/>
        <v/>
      </c>
      <c r="Q2773" s="216">
        <f t="shared" si="269"/>
        <v>0.14400000000000002</v>
      </c>
      <c r="R2773" s="216">
        <f t="shared" si="270"/>
        <v>0.14400000000000002</v>
      </c>
      <c r="S2773" s="217">
        <f t="shared" si="271"/>
        <v>0.14400000000000002</v>
      </c>
    </row>
    <row r="2774" spans="1:19" ht="15.75" hidden="1" thickBot="1" x14ac:dyDescent="0.3">
      <c r="A2774" s="262"/>
      <c r="B2774" s="260"/>
      <c r="C2774" s="35" t="s">
        <v>8290</v>
      </c>
      <c r="D2774" s="35" t="s">
        <v>773</v>
      </c>
      <c r="E2774" s="36">
        <v>2</v>
      </c>
      <c r="F2774" s="33">
        <v>4.4364999999999997</v>
      </c>
      <c r="G2774" s="33">
        <f t="shared" si="266"/>
        <v>8.8729999999999993</v>
      </c>
      <c r="H2774" s="34"/>
      <c r="I2774" s="30"/>
      <c r="J2774" s="152">
        <v>0</v>
      </c>
      <c r="L2774" s="215">
        <v>2</v>
      </c>
      <c r="M2774" s="33">
        <v>3.797644</v>
      </c>
      <c r="N2774" s="33">
        <f t="shared" si="267"/>
        <v>7.595288</v>
      </c>
      <c r="O2774" s="34"/>
      <c r="P2774" s="36" t="str">
        <f t="shared" si="268"/>
        <v/>
      </c>
      <c r="Q2774" s="216">
        <f t="shared" si="269"/>
        <v>0.14399999999999991</v>
      </c>
      <c r="R2774" s="216">
        <f t="shared" si="270"/>
        <v>0.14399999999999991</v>
      </c>
      <c r="S2774" s="217" t="str">
        <f t="shared" si="271"/>
        <v/>
      </c>
    </row>
    <row r="2775" spans="1:19" ht="15.75" hidden="1" thickBot="1" x14ac:dyDescent="0.3">
      <c r="A2775" s="263"/>
      <c r="B2775" s="261"/>
      <c r="C2775" s="35"/>
      <c r="D2775" s="35"/>
      <c r="E2775" s="36"/>
      <c r="F2775" s="30" t="s">
        <v>416</v>
      </c>
      <c r="G2775" s="33" t="str">
        <f t="shared" si="266"/>
        <v/>
      </c>
      <c r="H2775" s="34"/>
      <c r="I2775" s="30"/>
      <c r="J2775" s="152">
        <v>0</v>
      </c>
      <c r="L2775" s="215"/>
      <c r="M2775" s="30"/>
      <c r="N2775" s="33" t="str">
        <f t="shared" si="267"/>
        <v/>
      </c>
      <c r="O2775" s="34"/>
      <c r="P2775" s="36" t="str">
        <f t="shared" si="268"/>
        <v/>
      </c>
      <c r="Q2775" s="216" t="str">
        <f t="shared" si="269"/>
        <v/>
      </c>
      <c r="R2775" s="216" t="str">
        <f t="shared" si="270"/>
        <v/>
      </c>
      <c r="S2775" s="217" t="str">
        <f t="shared" si="271"/>
        <v/>
      </c>
    </row>
    <row r="2776" spans="1:19" ht="15.75" hidden="1" thickBot="1" x14ac:dyDescent="0.3">
      <c r="A2776" s="256" t="s">
        <v>670</v>
      </c>
      <c r="B2776" s="259" t="str">
        <f>INDEX(Orçamentária!A:B,MATCH(Composições!A2776,Orçamentária!A:A,0),2)</f>
        <v>Vidro temperado incolor com 8mm de espessura</v>
      </c>
      <c r="C2776" s="40"/>
      <c r="D2776" s="25" t="s">
        <v>70</v>
      </c>
      <c r="E2776" s="26"/>
      <c r="F2776" s="41" t="s">
        <v>416</v>
      </c>
      <c r="G2776" s="27" t="str">
        <f t="shared" si="266"/>
        <v/>
      </c>
      <c r="H2776" s="28"/>
      <c r="I2776" s="29"/>
      <c r="J2776" s="152">
        <v>0</v>
      </c>
      <c r="L2776" s="218"/>
      <c r="M2776" s="41"/>
      <c r="N2776" s="27" t="str">
        <f t="shared" si="267"/>
        <v/>
      </c>
      <c r="O2776" s="28"/>
      <c r="P2776" s="36" t="str">
        <f t="shared" si="268"/>
        <v/>
      </c>
      <c r="Q2776" s="216" t="str">
        <f t="shared" si="269"/>
        <v/>
      </c>
      <c r="R2776" s="216" t="str">
        <f t="shared" si="270"/>
        <v/>
      </c>
      <c r="S2776" s="217" t="str">
        <f t="shared" si="271"/>
        <v/>
      </c>
    </row>
    <row r="2777" spans="1:19" ht="15.75" hidden="1" thickBot="1" x14ac:dyDescent="0.3">
      <c r="A2777" s="262"/>
      <c r="B2777" s="260"/>
      <c r="C2777" s="31"/>
      <c r="D2777" s="31"/>
      <c r="E2777" s="32"/>
      <c r="F2777" s="42" t="s">
        <v>416</v>
      </c>
      <c r="G2777" s="33" t="str">
        <f t="shared" si="266"/>
        <v/>
      </c>
      <c r="H2777" s="34"/>
      <c r="I2777" s="30"/>
      <c r="J2777" s="152">
        <v>0</v>
      </c>
      <c r="L2777" s="219"/>
      <c r="M2777" s="42"/>
      <c r="N2777" s="33" t="str">
        <f t="shared" si="267"/>
        <v/>
      </c>
      <c r="O2777" s="34"/>
      <c r="P2777" s="36" t="str">
        <f t="shared" si="268"/>
        <v/>
      </c>
      <c r="Q2777" s="216" t="str">
        <f t="shared" si="269"/>
        <v/>
      </c>
      <c r="R2777" s="216" t="str">
        <f t="shared" si="270"/>
        <v/>
      </c>
      <c r="S2777" s="217" t="str">
        <f t="shared" si="271"/>
        <v/>
      </c>
    </row>
    <row r="2778" spans="1:19" ht="15.75" hidden="1" thickBot="1" x14ac:dyDescent="0.3">
      <c r="A2778" s="262"/>
      <c r="B2778" s="260"/>
      <c r="C2778" s="35" t="s">
        <v>673</v>
      </c>
      <c r="D2778" s="35" t="s">
        <v>861</v>
      </c>
      <c r="E2778" s="36">
        <v>1</v>
      </c>
      <c r="F2778" s="33">
        <v>158.99200000000002</v>
      </c>
      <c r="G2778" s="33">
        <f t="shared" si="266"/>
        <v>158.99200000000002</v>
      </c>
      <c r="H2778" s="38">
        <f>SUM(G2778:G2784)</f>
        <v>275.42850299999998</v>
      </c>
      <c r="I2778" s="39"/>
      <c r="J2778" s="152">
        <v>0</v>
      </c>
      <c r="L2778" s="215">
        <v>1</v>
      </c>
      <c r="M2778" s="33">
        <v>136.09715200000002</v>
      </c>
      <c r="N2778" s="33">
        <f t="shared" si="267"/>
        <v>136.09715200000002</v>
      </c>
      <c r="O2778" s="38">
        <f>SUM(N2778:N2784)</f>
        <v>235.76679856800001</v>
      </c>
      <c r="P2778" s="36" t="str">
        <f t="shared" si="268"/>
        <v/>
      </c>
      <c r="Q2778" s="216">
        <f t="shared" si="269"/>
        <v>0.14399999999999991</v>
      </c>
      <c r="R2778" s="216">
        <f t="shared" si="270"/>
        <v>0.14399999999999991</v>
      </c>
      <c r="S2778" s="217">
        <f t="shared" si="271"/>
        <v>0.14399999999999991</v>
      </c>
    </row>
    <row r="2779" spans="1:19" ht="39" hidden="1" thickBot="1" x14ac:dyDescent="0.3">
      <c r="A2779" s="262"/>
      <c r="B2779" s="260"/>
      <c r="C2779" s="35" t="s">
        <v>8010</v>
      </c>
      <c r="D2779" s="35" t="s">
        <v>213</v>
      </c>
      <c r="E2779" s="36">
        <v>1.913</v>
      </c>
      <c r="F2779" s="33">
        <v>0.3705</v>
      </c>
      <c r="G2779" s="33">
        <f t="shared" si="266"/>
        <v>0.70876649999999997</v>
      </c>
      <c r="H2779" s="34"/>
      <c r="I2779" s="30"/>
      <c r="J2779" s="152">
        <v>0</v>
      </c>
      <c r="L2779" s="215">
        <v>1.913</v>
      </c>
      <c r="M2779" s="33">
        <v>0.31714799999999999</v>
      </c>
      <c r="N2779" s="33">
        <f t="shared" si="267"/>
        <v>0.60670412399999996</v>
      </c>
      <c r="O2779" s="34"/>
      <c r="P2779" s="36" t="str">
        <f t="shared" si="268"/>
        <v/>
      </c>
      <c r="Q2779" s="216">
        <f t="shared" si="269"/>
        <v>0.14400000000000002</v>
      </c>
      <c r="R2779" s="216">
        <f t="shared" si="270"/>
        <v>0.14400000000000002</v>
      </c>
      <c r="S2779" s="217" t="str">
        <f t="shared" si="271"/>
        <v/>
      </c>
    </row>
    <row r="2780" spans="1:19" ht="15.75" hidden="1" thickBot="1" x14ac:dyDescent="0.3">
      <c r="A2780" s="262"/>
      <c r="B2780" s="260"/>
      <c r="C2780" s="35" t="s">
        <v>709</v>
      </c>
      <c r="D2780" s="35" t="s">
        <v>773</v>
      </c>
      <c r="E2780" s="36">
        <v>0.83899999999999997</v>
      </c>
      <c r="F2780" s="33">
        <v>39.063999999999993</v>
      </c>
      <c r="G2780" s="33">
        <f t="shared" si="266"/>
        <v>32.774695999999992</v>
      </c>
      <c r="H2780" s="34"/>
      <c r="I2780" s="30"/>
      <c r="J2780" s="152">
        <v>0</v>
      </c>
      <c r="L2780" s="215">
        <v>0.83899999999999997</v>
      </c>
      <c r="M2780" s="33">
        <v>33.438783999999998</v>
      </c>
      <c r="N2780" s="33">
        <f t="shared" si="267"/>
        <v>28.055139775999997</v>
      </c>
      <c r="O2780" s="34"/>
      <c r="P2780" s="36" t="str">
        <f t="shared" si="268"/>
        <v/>
      </c>
      <c r="Q2780" s="216">
        <f t="shared" si="269"/>
        <v>0.14399999999999991</v>
      </c>
      <c r="R2780" s="216">
        <f t="shared" si="270"/>
        <v>0.14399999999999991</v>
      </c>
      <c r="S2780" s="217" t="str">
        <f t="shared" si="271"/>
        <v/>
      </c>
    </row>
    <row r="2781" spans="1:19" ht="26.25" hidden="1" thickBot="1" x14ac:dyDescent="0.3">
      <c r="A2781" s="262"/>
      <c r="B2781" s="260"/>
      <c r="C2781" s="35" t="s">
        <v>8168</v>
      </c>
      <c r="D2781" s="35" t="s">
        <v>385</v>
      </c>
      <c r="E2781" s="36">
        <v>2.605</v>
      </c>
      <c r="F2781" s="33">
        <v>2.4319999999999999</v>
      </c>
      <c r="G2781" s="33">
        <f t="shared" si="266"/>
        <v>6.3353599999999997</v>
      </c>
      <c r="H2781" s="34"/>
      <c r="I2781" s="30"/>
      <c r="J2781" s="152">
        <v>0</v>
      </c>
      <c r="L2781" s="215">
        <v>2.605</v>
      </c>
      <c r="M2781" s="33">
        <v>2.0817920000000001</v>
      </c>
      <c r="N2781" s="33">
        <f t="shared" si="267"/>
        <v>5.4230681600000006</v>
      </c>
      <c r="O2781" s="34"/>
      <c r="P2781" s="36" t="str">
        <f t="shared" si="268"/>
        <v/>
      </c>
      <c r="Q2781" s="216">
        <f t="shared" si="269"/>
        <v>0.14399999999999991</v>
      </c>
      <c r="R2781" s="216">
        <f t="shared" si="270"/>
        <v>0.14399999999999991</v>
      </c>
      <c r="S2781" s="217" t="str">
        <f t="shared" si="271"/>
        <v/>
      </c>
    </row>
    <row r="2782" spans="1:19" ht="15.75" hidden="1" thickBot="1" x14ac:dyDescent="0.3">
      <c r="A2782" s="262"/>
      <c r="B2782" s="260"/>
      <c r="C2782" s="35" t="s">
        <v>8373</v>
      </c>
      <c r="D2782" s="35" t="s">
        <v>213</v>
      </c>
      <c r="E2782" s="36">
        <v>0.34599999999999997</v>
      </c>
      <c r="F2782" s="33">
        <v>26.125</v>
      </c>
      <c r="G2782" s="33">
        <f t="shared" si="266"/>
        <v>9.0392499999999991</v>
      </c>
      <c r="H2782" s="34"/>
      <c r="I2782" s="30"/>
      <c r="J2782" s="152">
        <v>0</v>
      </c>
      <c r="L2782" s="215">
        <v>0.34599999999999997</v>
      </c>
      <c r="M2782" s="33">
        <v>22.363</v>
      </c>
      <c r="N2782" s="33">
        <f t="shared" si="267"/>
        <v>7.7375979999999993</v>
      </c>
      <c r="O2782" s="34"/>
      <c r="P2782" s="36" t="str">
        <f t="shared" si="268"/>
        <v/>
      </c>
      <c r="Q2782" s="216">
        <f t="shared" si="269"/>
        <v>0.14400000000000002</v>
      </c>
      <c r="R2782" s="216">
        <f t="shared" si="270"/>
        <v>0.14400000000000002</v>
      </c>
      <c r="S2782" s="217" t="str">
        <f t="shared" si="271"/>
        <v/>
      </c>
    </row>
    <row r="2783" spans="1:19" ht="15.75" hidden="1" thickBot="1" x14ac:dyDescent="0.3">
      <c r="A2783" s="262"/>
      <c r="B2783" s="260"/>
      <c r="C2783" s="35" t="s">
        <v>584</v>
      </c>
      <c r="D2783" s="35" t="s">
        <v>583</v>
      </c>
      <c r="E2783" s="36">
        <v>1.4690000000000001</v>
      </c>
      <c r="F2783" s="33">
        <v>20.225499999999997</v>
      </c>
      <c r="G2783" s="33">
        <f t="shared" si="266"/>
        <v>29.711259499999997</v>
      </c>
      <c r="H2783" s="34"/>
      <c r="I2783" s="30"/>
      <c r="J2783" s="152">
        <v>0</v>
      </c>
      <c r="L2783" s="215">
        <v>1.4690000000000001</v>
      </c>
      <c r="M2783" s="33">
        <v>17.313027999999996</v>
      </c>
      <c r="N2783" s="33">
        <f t="shared" si="267"/>
        <v>25.432838131999993</v>
      </c>
      <c r="O2783" s="34"/>
      <c r="P2783" s="36" t="str">
        <f t="shared" si="268"/>
        <v/>
      </c>
      <c r="Q2783" s="216">
        <f t="shared" si="269"/>
        <v>0.14400000000000013</v>
      </c>
      <c r="R2783" s="216">
        <f t="shared" si="270"/>
        <v>0.14400000000000013</v>
      </c>
      <c r="S2783" s="217" t="str">
        <f t="shared" si="271"/>
        <v/>
      </c>
    </row>
    <row r="2784" spans="1:19" ht="15.75" hidden="1" thickBot="1" x14ac:dyDescent="0.3">
      <c r="A2784" s="262"/>
      <c r="B2784" s="260"/>
      <c r="C2784" s="35" t="s">
        <v>2909</v>
      </c>
      <c r="D2784" s="35" t="s">
        <v>583</v>
      </c>
      <c r="E2784" s="36">
        <v>1.5109999999999999</v>
      </c>
      <c r="F2784" s="33">
        <v>25.060999999999996</v>
      </c>
      <c r="G2784" s="33">
        <f t="shared" si="266"/>
        <v>37.867170999999992</v>
      </c>
      <c r="H2784" s="34"/>
      <c r="I2784" s="30"/>
      <c r="J2784" s="152">
        <v>0</v>
      </c>
      <c r="L2784" s="215">
        <v>1.5109999999999999</v>
      </c>
      <c r="M2784" s="33">
        <v>21.452215999999996</v>
      </c>
      <c r="N2784" s="33">
        <f t="shared" si="267"/>
        <v>32.414298375999991</v>
      </c>
      <c r="O2784" s="34"/>
      <c r="P2784" s="36" t="str">
        <f t="shared" si="268"/>
        <v/>
      </c>
      <c r="Q2784" s="216">
        <f t="shared" si="269"/>
        <v>0.14400000000000002</v>
      </c>
      <c r="R2784" s="216">
        <f t="shared" si="270"/>
        <v>0.14400000000000002</v>
      </c>
      <c r="S2784" s="217" t="str">
        <f t="shared" si="271"/>
        <v/>
      </c>
    </row>
    <row r="2785" spans="1:19" ht="15.75" hidden="1" thickBot="1" x14ac:dyDescent="0.3">
      <c r="A2785" s="263"/>
      <c r="B2785" s="261"/>
      <c r="C2785" s="35"/>
      <c r="D2785" s="35"/>
      <c r="E2785" s="36"/>
      <c r="F2785" s="30" t="s">
        <v>416</v>
      </c>
      <c r="G2785" s="33" t="str">
        <f t="shared" si="266"/>
        <v/>
      </c>
      <c r="H2785" s="34"/>
      <c r="I2785" s="30"/>
      <c r="J2785" s="152">
        <v>0</v>
      </c>
      <c r="L2785" s="215"/>
      <c r="M2785" s="30"/>
      <c r="N2785" s="33" t="str">
        <f t="shared" si="267"/>
        <v/>
      </c>
      <c r="O2785" s="34"/>
      <c r="P2785" s="36" t="str">
        <f t="shared" si="268"/>
        <v/>
      </c>
      <c r="Q2785" s="216" t="str">
        <f t="shared" si="269"/>
        <v/>
      </c>
      <c r="R2785" s="216" t="str">
        <f t="shared" si="270"/>
        <v/>
      </c>
      <c r="S2785" s="217" t="str">
        <f t="shared" si="271"/>
        <v/>
      </c>
    </row>
    <row r="2786" spans="1:19" ht="15.75" hidden="1" thickBot="1" x14ac:dyDescent="0.3">
      <c r="A2786" s="256" t="s">
        <v>672</v>
      </c>
      <c r="B2786" s="259" t="str">
        <f>INDEX(Orçamentária!A:B,MATCH(Composições!A2786,Orçamentária!A:A,0),2)</f>
        <v>Vidro liso comum transparente 5mm</v>
      </c>
      <c r="C2786" s="40"/>
      <c r="D2786" s="25" t="s">
        <v>70</v>
      </c>
      <c r="E2786" s="26"/>
      <c r="F2786" s="41" t="s">
        <v>416</v>
      </c>
      <c r="G2786" s="27" t="str">
        <f t="shared" si="266"/>
        <v/>
      </c>
      <c r="H2786" s="28"/>
      <c r="I2786" s="29"/>
      <c r="J2786" s="152">
        <v>0</v>
      </c>
      <c r="L2786" s="218"/>
      <c r="M2786" s="41"/>
      <c r="N2786" s="27" t="str">
        <f t="shared" si="267"/>
        <v/>
      </c>
      <c r="O2786" s="28"/>
      <c r="P2786" s="36" t="str">
        <f t="shared" si="268"/>
        <v/>
      </c>
      <c r="Q2786" s="216" t="str">
        <f t="shared" si="269"/>
        <v/>
      </c>
      <c r="R2786" s="216" t="str">
        <f t="shared" si="270"/>
        <v/>
      </c>
      <c r="S2786" s="217" t="str">
        <f t="shared" si="271"/>
        <v/>
      </c>
    </row>
    <row r="2787" spans="1:19" ht="15.75" hidden="1" thickBot="1" x14ac:dyDescent="0.3">
      <c r="A2787" s="262"/>
      <c r="B2787" s="260"/>
      <c r="C2787" s="31"/>
      <c r="D2787" s="31"/>
      <c r="E2787" s="32"/>
      <c r="F2787" s="42" t="s">
        <v>416</v>
      </c>
      <c r="G2787" s="33" t="str">
        <f t="shared" si="266"/>
        <v/>
      </c>
      <c r="H2787" s="34"/>
      <c r="I2787" s="30"/>
      <c r="J2787" s="152">
        <v>0</v>
      </c>
      <c r="L2787" s="219"/>
      <c r="M2787" s="42"/>
      <c r="N2787" s="33" t="str">
        <f t="shared" si="267"/>
        <v/>
      </c>
      <c r="O2787" s="34"/>
      <c r="P2787" s="36" t="str">
        <f t="shared" si="268"/>
        <v/>
      </c>
      <c r="Q2787" s="216" t="str">
        <f t="shared" si="269"/>
        <v/>
      </c>
      <c r="R2787" s="216" t="str">
        <f t="shared" si="270"/>
        <v/>
      </c>
      <c r="S2787" s="217" t="str">
        <f t="shared" si="271"/>
        <v/>
      </c>
    </row>
    <row r="2788" spans="1:19" ht="15.75" hidden="1" thickBot="1" x14ac:dyDescent="0.3">
      <c r="A2788" s="262"/>
      <c r="B2788" s="260"/>
      <c r="C2788" s="35" t="s">
        <v>2909</v>
      </c>
      <c r="D2788" s="35" t="s">
        <v>583</v>
      </c>
      <c r="E2788" s="36">
        <v>1</v>
      </c>
      <c r="F2788" s="33">
        <v>25.060999999999996</v>
      </c>
      <c r="G2788" s="33">
        <f t="shared" si="266"/>
        <v>25.060999999999996</v>
      </c>
      <c r="H2788" s="38">
        <f>SUM(G2788:G2790)</f>
        <v>115.28249999999998</v>
      </c>
      <c r="I2788" s="39"/>
      <c r="J2788" s="152">
        <v>0</v>
      </c>
      <c r="L2788" s="215">
        <v>1</v>
      </c>
      <c r="M2788" s="33">
        <v>21.452215999999996</v>
      </c>
      <c r="N2788" s="33">
        <f t="shared" si="267"/>
        <v>21.452215999999996</v>
      </c>
      <c r="O2788" s="38">
        <f>SUM(N2788:N2790)</f>
        <v>98.681819999999988</v>
      </c>
      <c r="P2788" s="36" t="str">
        <f t="shared" si="268"/>
        <v/>
      </c>
      <c r="Q2788" s="216">
        <f t="shared" si="269"/>
        <v>0.14400000000000002</v>
      </c>
      <c r="R2788" s="216">
        <f t="shared" si="270"/>
        <v>0.14400000000000002</v>
      </c>
      <c r="S2788" s="217">
        <f t="shared" si="271"/>
        <v>0.14400000000000002</v>
      </c>
    </row>
    <row r="2789" spans="1:19" ht="15.75" hidden="1" thickBot="1" x14ac:dyDescent="0.3">
      <c r="A2789" s="262"/>
      <c r="B2789" s="260"/>
      <c r="C2789" s="35" t="s">
        <v>8290</v>
      </c>
      <c r="D2789" s="35" t="s">
        <v>773</v>
      </c>
      <c r="E2789" s="36">
        <v>2</v>
      </c>
      <c r="F2789" s="30">
        <v>4.4364999999999997</v>
      </c>
      <c r="G2789" s="33">
        <f t="shared" si="266"/>
        <v>8.8729999999999993</v>
      </c>
      <c r="H2789" s="34"/>
      <c r="I2789" s="30"/>
      <c r="J2789" s="152">
        <v>0</v>
      </c>
      <c r="L2789" s="215">
        <v>2</v>
      </c>
      <c r="M2789" s="30">
        <v>3.797644</v>
      </c>
      <c r="N2789" s="33">
        <f t="shared" si="267"/>
        <v>7.595288</v>
      </c>
      <c r="O2789" s="34"/>
      <c r="P2789" s="36" t="str">
        <f t="shared" si="268"/>
        <v/>
      </c>
      <c r="Q2789" s="216">
        <f t="shared" si="269"/>
        <v>0.14399999999999991</v>
      </c>
      <c r="R2789" s="216">
        <f t="shared" si="270"/>
        <v>0.14399999999999991</v>
      </c>
      <c r="S2789" s="217" t="str">
        <f t="shared" si="271"/>
        <v/>
      </c>
    </row>
    <row r="2790" spans="1:19" ht="15.75" hidden="1" thickBot="1" x14ac:dyDescent="0.3">
      <c r="A2790" s="262"/>
      <c r="B2790" s="260"/>
      <c r="C2790" s="35" t="s">
        <v>671</v>
      </c>
      <c r="D2790" s="35" t="s">
        <v>861</v>
      </c>
      <c r="E2790" s="36">
        <v>1</v>
      </c>
      <c r="F2790" s="30">
        <v>81.348499999999987</v>
      </c>
      <c r="G2790" s="33">
        <f t="shared" si="266"/>
        <v>81.348499999999987</v>
      </c>
      <c r="H2790" s="34"/>
      <c r="I2790" s="30"/>
      <c r="J2790" s="152">
        <v>0</v>
      </c>
      <c r="L2790" s="215">
        <v>1</v>
      </c>
      <c r="M2790" s="30">
        <v>69.634315999999984</v>
      </c>
      <c r="N2790" s="33">
        <f t="shared" si="267"/>
        <v>69.634315999999984</v>
      </c>
      <c r="O2790" s="34"/>
      <c r="P2790" s="36" t="str">
        <f t="shared" si="268"/>
        <v/>
      </c>
      <c r="Q2790" s="216">
        <f t="shared" si="269"/>
        <v>0.14400000000000002</v>
      </c>
      <c r="R2790" s="216">
        <f t="shared" si="270"/>
        <v>0.14400000000000002</v>
      </c>
      <c r="S2790" s="217" t="str">
        <f t="shared" si="271"/>
        <v/>
      </c>
    </row>
    <row r="2791" spans="1:19" ht="15.75" hidden="1" thickBot="1" x14ac:dyDescent="0.3">
      <c r="A2791" s="263"/>
      <c r="B2791" s="261"/>
      <c r="C2791" s="35"/>
      <c r="D2791" s="35"/>
      <c r="E2791" s="36"/>
      <c r="F2791" s="30" t="s">
        <v>416</v>
      </c>
      <c r="G2791" s="33" t="str">
        <f t="shared" si="266"/>
        <v/>
      </c>
      <c r="H2791" s="34"/>
      <c r="I2791" s="30"/>
      <c r="J2791" s="152">
        <v>0</v>
      </c>
      <c r="L2791" s="215"/>
      <c r="M2791" s="30"/>
      <c r="N2791" s="33" t="str">
        <f t="shared" si="267"/>
        <v/>
      </c>
      <c r="O2791" s="34"/>
      <c r="P2791" s="36" t="str">
        <f t="shared" si="268"/>
        <v/>
      </c>
      <c r="Q2791" s="216" t="str">
        <f t="shared" si="269"/>
        <v/>
      </c>
      <c r="R2791" s="216" t="str">
        <f t="shared" si="270"/>
        <v/>
      </c>
      <c r="S2791" s="217" t="str">
        <f t="shared" si="271"/>
        <v/>
      </c>
    </row>
    <row r="2792" spans="1:19" ht="15.75" hidden="1" thickBot="1" x14ac:dyDescent="0.3">
      <c r="A2792" s="256" t="s">
        <v>2413</v>
      </c>
      <c r="B2792" s="259" t="str">
        <f>INDEX(Orçamentária!A:B,MATCH(Composições!A2792,Orçamentária!A:A,0),2)</f>
        <v>Corte em vidro ou espelho reaproveitado</v>
      </c>
      <c r="C2792" s="40"/>
      <c r="D2792" s="25" t="s">
        <v>69</v>
      </c>
      <c r="E2792" s="26"/>
      <c r="F2792" s="41" t="s">
        <v>416</v>
      </c>
      <c r="G2792" s="27" t="str">
        <f t="shared" si="266"/>
        <v/>
      </c>
      <c r="H2792" s="28"/>
      <c r="I2792" s="29"/>
      <c r="J2792" s="152">
        <v>0</v>
      </c>
      <c r="L2792" s="218"/>
      <c r="M2792" s="41"/>
      <c r="N2792" s="27" t="str">
        <f t="shared" si="267"/>
        <v/>
      </c>
      <c r="O2792" s="28"/>
      <c r="P2792" s="36" t="str">
        <f t="shared" si="268"/>
        <v/>
      </c>
      <c r="Q2792" s="216" t="str">
        <f t="shared" si="269"/>
        <v/>
      </c>
      <c r="R2792" s="216" t="str">
        <f t="shared" si="270"/>
        <v/>
      </c>
      <c r="S2792" s="217" t="str">
        <f t="shared" si="271"/>
        <v/>
      </c>
    </row>
    <row r="2793" spans="1:19" ht="15.75" hidden="1" thickBot="1" x14ac:dyDescent="0.3">
      <c r="A2793" s="262"/>
      <c r="B2793" s="260"/>
      <c r="C2793" s="31"/>
      <c r="D2793" s="31"/>
      <c r="E2793" s="32"/>
      <c r="F2793" s="42" t="s">
        <v>416</v>
      </c>
      <c r="G2793" s="33" t="str">
        <f t="shared" si="266"/>
        <v/>
      </c>
      <c r="H2793" s="34"/>
      <c r="I2793" s="30"/>
      <c r="J2793" s="152">
        <v>0</v>
      </c>
      <c r="L2793" s="219"/>
      <c r="M2793" s="42"/>
      <c r="N2793" s="33" t="str">
        <f t="shared" si="267"/>
        <v/>
      </c>
      <c r="O2793" s="34"/>
      <c r="P2793" s="36" t="str">
        <f t="shared" si="268"/>
        <v/>
      </c>
      <c r="Q2793" s="216" t="str">
        <f t="shared" si="269"/>
        <v/>
      </c>
      <c r="R2793" s="216" t="str">
        <f t="shared" si="270"/>
        <v/>
      </c>
      <c r="S2793" s="217" t="str">
        <f t="shared" si="271"/>
        <v/>
      </c>
    </row>
    <row r="2794" spans="1:19" ht="15.75" hidden="1" thickBot="1" x14ac:dyDescent="0.3">
      <c r="A2794" s="262"/>
      <c r="B2794" s="260"/>
      <c r="C2794" s="35" t="s">
        <v>2909</v>
      </c>
      <c r="D2794" s="35" t="s">
        <v>583</v>
      </c>
      <c r="E2794" s="36">
        <v>0.5</v>
      </c>
      <c r="F2794" s="30">
        <v>25.060999999999996</v>
      </c>
      <c r="G2794" s="33">
        <f t="shared" si="266"/>
        <v>12.530499999999998</v>
      </c>
      <c r="H2794" s="38">
        <f>SUM(G2794:G2795)</f>
        <v>22.643249999999995</v>
      </c>
      <c r="I2794" s="39"/>
      <c r="J2794" s="152">
        <v>0</v>
      </c>
      <c r="L2794" s="215">
        <v>0.5</v>
      </c>
      <c r="M2794" s="30">
        <v>21.452215999999996</v>
      </c>
      <c r="N2794" s="33">
        <f t="shared" si="267"/>
        <v>10.726107999999998</v>
      </c>
      <c r="O2794" s="38">
        <f>SUM(N2794:N2795)</f>
        <v>19.382621999999998</v>
      </c>
      <c r="P2794" s="36" t="str">
        <f t="shared" si="268"/>
        <v/>
      </c>
      <c r="Q2794" s="216">
        <f t="shared" si="269"/>
        <v>0.14400000000000002</v>
      </c>
      <c r="R2794" s="216">
        <f t="shared" si="270"/>
        <v>0.14400000000000002</v>
      </c>
      <c r="S2794" s="217">
        <f t="shared" si="271"/>
        <v>0.14399999999999991</v>
      </c>
    </row>
    <row r="2795" spans="1:19" ht="15.75" hidden="1" thickBot="1" x14ac:dyDescent="0.3">
      <c r="A2795" s="262"/>
      <c r="B2795" s="260"/>
      <c r="C2795" s="35" t="s">
        <v>584</v>
      </c>
      <c r="D2795" s="35" t="s">
        <v>583</v>
      </c>
      <c r="E2795" s="36">
        <v>0.5</v>
      </c>
      <c r="F2795" s="30">
        <v>20.225499999999997</v>
      </c>
      <c r="G2795" s="33">
        <f t="shared" si="266"/>
        <v>10.112749999999998</v>
      </c>
      <c r="H2795" s="34"/>
      <c r="I2795" s="30"/>
      <c r="J2795" s="152">
        <v>0</v>
      </c>
      <c r="L2795" s="215">
        <v>0.5</v>
      </c>
      <c r="M2795" s="30">
        <v>17.313027999999996</v>
      </c>
      <c r="N2795" s="33">
        <f t="shared" si="267"/>
        <v>8.6565139999999978</v>
      </c>
      <c r="O2795" s="34"/>
      <c r="P2795" s="36" t="str">
        <f t="shared" si="268"/>
        <v/>
      </c>
      <c r="Q2795" s="216">
        <f t="shared" si="269"/>
        <v>0.14400000000000013</v>
      </c>
      <c r="R2795" s="216">
        <f t="shared" si="270"/>
        <v>0.14400000000000013</v>
      </c>
      <c r="S2795" s="217" t="str">
        <f t="shared" si="271"/>
        <v/>
      </c>
    </row>
    <row r="2796" spans="1:19" ht="15.75" hidden="1" thickBot="1" x14ac:dyDescent="0.3">
      <c r="A2796" s="263"/>
      <c r="B2796" s="261"/>
      <c r="C2796" s="35"/>
      <c r="D2796" s="35"/>
      <c r="E2796" s="36"/>
      <c r="F2796" s="30" t="s">
        <v>416</v>
      </c>
      <c r="G2796" s="33" t="str">
        <f t="shared" si="266"/>
        <v/>
      </c>
      <c r="H2796" s="34"/>
      <c r="I2796" s="30"/>
      <c r="J2796" s="152">
        <v>0</v>
      </c>
      <c r="L2796" s="215"/>
      <c r="M2796" s="30"/>
      <c r="N2796" s="33" t="str">
        <f t="shared" si="267"/>
        <v/>
      </c>
      <c r="O2796" s="34"/>
      <c r="P2796" s="36" t="str">
        <f t="shared" si="268"/>
        <v/>
      </c>
      <c r="Q2796" s="216" t="str">
        <f t="shared" si="269"/>
        <v/>
      </c>
      <c r="R2796" s="216" t="str">
        <f t="shared" si="270"/>
        <v/>
      </c>
      <c r="S2796" s="217" t="str">
        <f t="shared" si="271"/>
        <v/>
      </c>
    </row>
    <row r="2797" spans="1:19" ht="15.75" hidden="1" thickBot="1" x14ac:dyDescent="0.3">
      <c r="A2797" s="256" t="s">
        <v>2415</v>
      </c>
      <c r="B2797" s="259" t="str">
        <f>INDEX(Orçamentária!A:B,MATCH(Composições!A2797,Orçamentária!A:A,0),2)</f>
        <v>Lapidação de vidro / espelho reaproveitado</v>
      </c>
      <c r="C2797" s="40"/>
      <c r="D2797" s="25" t="s">
        <v>69</v>
      </c>
      <c r="E2797" s="26"/>
      <c r="F2797" s="41" t="s">
        <v>416</v>
      </c>
      <c r="G2797" s="27" t="str">
        <f t="shared" si="266"/>
        <v/>
      </c>
      <c r="H2797" s="28"/>
      <c r="I2797" s="29"/>
      <c r="J2797" s="152">
        <v>0</v>
      </c>
      <c r="L2797" s="218"/>
      <c r="M2797" s="41"/>
      <c r="N2797" s="27" t="str">
        <f t="shared" si="267"/>
        <v/>
      </c>
      <c r="O2797" s="28"/>
      <c r="P2797" s="36" t="str">
        <f t="shared" si="268"/>
        <v/>
      </c>
      <c r="Q2797" s="216" t="str">
        <f t="shared" si="269"/>
        <v/>
      </c>
      <c r="R2797" s="216" t="str">
        <f t="shared" si="270"/>
        <v/>
      </c>
      <c r="S2797" s="217" t="str">
        <f t="shared" si="271"/>
        <v/>
      </c>
    </row>
    <row r="2798" spans="1:19" ht="15.75" hidden="1" thickBot="1" x14ac:dyDescent="0.3">
      <c r="A2798" s="262"/>
      <c r="B2798" s="260"/>
      <c r="C2798" s="31"/>
      <c r="D2798" s="31"/>
      <c r="E2798" s="32"/>
      <c r="F2798" s="42" t="s">
        <v>416</v>
      </c>
      <c r="G2798" s="33" t="str">
        <f t="shared" si="266"/>
        <v/>
      </c>
      <c r="H2798" s="34"/>
      <c r="I2798" s="30"/>
      <c r="J2798" s="152">
        <v>0</v>
      </c>
      <c r="L2798" s="219"/>
      <c r="M2798" s="42"/>
      <c r="N2798" s="33" t="str">
        <f t="shared" si="267"/>
        <v/>
      </c>
      <c r="O2798" s="34"/>
      <c r="P2798" s="36" t="str">
        <f t="shared" si="268"/>
        <v/>
      </c>
      <c r="Q2798" s="216" t="str">
        <f t="shared" si="269"/>
        <v/>
      </c>
      <c r="R2798" s="216" t="str">
        <f t="shared" si="270"/>
        <v/>
      </c>
      <c r="S2798" s="217" t="str">
        <f t="shared" si="271"/>
        <v/>
      </c>
    </row>
    <row r="2799" spans="1:19" ht="15.75" hidden="1" thickBot="1" x14ac:dyDescent="0.3">
      <c r="A2799" s="262"/>
      <c r="B2799" s="260"/>
      <c r="C2799" s="35" t="s">
        <v>2909</v>
      </c>
      <c r="D2799" s="35" t="s">
        <v>583</v>
      </c>
      <c r="E2799" s="36">
        <v>0.75</v>
      </c>
      <c r="F2799" s="30">
        <v>25.060999999999996</v>
      </c>
      <c r="G2799" s="33">
        <f t="shared" si="266"/>
        <v>18.795749999999998</v>
      </c>
      <c r="H2799" s="38">
        <f>SUM(G2799:G2800)</f>
        <v>33.964874999999992</v>
      </c>
      <c r="I2799" s="39"/>
      <c r="J2799" s="152">
        <v>0</v>
      </c>
      <c r="L2799" s="215">
        <v>0.75</v>
      </c>
      <c r="M2799" s="30">
        <v>21.452215999999996</v>
      </c>
      <c r="N2799" s="33">
        <f t="shared" si="267"/>
        <v>16.089161999999998</v>
      </c>
      <c r="O2799" s="38">
        <f>SUM(N2799:N2800)</f>
        <v>29.073932999999997</v>
      </c>
      <c r="P2799" s="36" t="str">
        <f t="shared" si="268"/>
        <v/>
      </c>
      <c r="Q2799" s="216">
        <f t="shared" si="269"/>
        <v>0.14400000000000002</v>
      </c>
      <c r="R2799" s="216">
        <f t="shared" si="270"/>
        <v>0.14400000000000002</v>
      </c>
      <c r="S2799" s="217">
        <f t="shared" si="271"/>
        <v>0.14399999999999991</v>
      </c>
    </row>
    <row r="2800" spans="1:19" ht="15.75" hidden="1" thickBot="1" x14ac:dyDescent="0.3">
      <c r="A2800" s="262"/>
      <c r="B2800" s="260"/>
      <c r="C2800" s="35" t="s">
        <v>584</v>
      </c>
      <c r="D2800" s="35" t="s">
        <v>583</v>
      </c>
      <c r="E2800" s="36">
        <v>0.75</v>
      </c>
      <c r="F2800" s="30">
        <v>20.225499999999997</v>
      </c>
      <c r="G2800" s="33">
        <f t="shared" si="266"/>
        <v>15.169124999999998</v>
      </c>
      <c r="H2800" s="34"/>
      <c r="I2800" s="30"/>
      <c r="J2800" s="152">
        <v>0</v>
      </c>
      <c r="L2800" s="215">
        <v>0.75</v>
      </c>
      <c r="M2800" s="30">
        <v>17.313027999999996</v>
      </c>
      <c r="N2800" s="33">
        <f t="shared" si="267"/>
        <v>12.984770999999997</v>
      </c>
      <c r="O2800" s="34"/>
      <c r="P2800" s="36" t="str">
        <f t="shared" si="268"/>
        <v/>
      </c>
      <c r="Q2800" s="216">
        <f t="shared" si="269"/>
        <v>0.14400000000000013</v>
      </c>
      <c r="R2800" s="216">
        <f t="shared" si="270"/>
        <v>0.14400000000000013</v>
      </c>
      <c r="S2800" s="217" t="str">
        <f t="shared" si="271"/>
        <v/>
      </c>
    </row>
    <row r="2801" spans="1:19" ht="15.75" hidden="1" thickBot="1" x14ac:dyDescent="0.3">
      <c r="A2801" s="263"/>
      <c r="B2801" s="261"/>
      <c r="C2801" s="35"/>
      <c r="D2801" s="35"/>
      <c r="E2801" s="36"/>
      <c r="F2801" s="30" t="s">
        <v>416</v>
      </c>
      <c r="G2801" s="33" t="str">
        <f t="shared" si="266"/>
        <v/>
      </c>
      <c r="H2801" s="34"/>
      <c r="I2801" s="30"/>
      <c r="J2801" s="152">
        <v>0</v>
      </c>
      <c r="L2801" s="215"/>
      <c r="M2801" s="30"/>
      <c r="N2801" s="33" t="str">
        <f t="shared" si="267"/>
        <v/>
      </c>
      <c r="O2801" s="34"/>
      <c r="P2801" s="36" t="str">
        <f t="shared" si="268"/>
        <v/>
      </c>
      <c r="Q2801" s="216" t="str">
        <f t="shared" si="269"/>
        <v/>
      </c>
      <c r="R2801" s="216" t="str">
        <f t="shared" si="270"/>
        <v/>
      </c>
      <c r="S2801" s="217" t="str">
        <f t="shared" si="271"/>
        <v/>
      </c>
    </row>
    <row r="2802" spans="1:19" ht="15.75" hidden="1" thickBot="1" x14ac:dyDescent="0.3">
      <c r="A2802" s="256" t="s">
        <v>674</v>
      </c>
      <c r="B2802" s="259" t="str">
        <f>INDEX(Orçamentária!A:B,MATCH(Composições!A2802,Orçamentária!A:A,0),2)</f>
        <v>Vidro temperado incolor com 10 mm de espessura</v>
      </c>
      <c r="C2802" s="40"/>
      <c r="D2802" s="25" t="s">
        <v>70</v>
      </c>
      <c r="E2802" s="26"/>
      <c r="F2802" s="41" t="s">
        <v>416</v>
      </c>
      <c r="G2802" s="27" t="str">
        <f t="shared" si="266"/>
        <v/>
      </c>
      <c r="H2802" s="28"/>
      <c r="I2802" s="29"/>
      <c r="J2802" s="152">
        <v>0</v>
      </c>
      <c r="L2802" s="218"/>
      <c r="M2802" s="41"/>
      <c r="N2802" s="27" t="str">
        <f t="shared" si="267"/>
        <v/>
      </c>
      <c r="O2802" s="28"/>
      <c r="P2802" s="36" t="str">
        <f t="shared" si="268"/>
        <v/>
      </c>
      <c r="Q2802" s="216" t="str">
        <f t="shared" si="269"/>
        <v/>
      </c>
      <c r="R2802" s="216" t="str">
        <f t="shared" si="270"/>
        <v/>
      </c>
      <c r="S2802" s="217" t="str">
        <f t="shared" si="271"/>
        <v/>
      </c>
    </row>
    <row r="2803" spans="1:19" ht="15.75" hidden="1" thickBot="1" x14ac:dyDescent="0.3">
      <c r="A2803" s="262"/>
      <c r="B2803" s="260"/>
      <c r="C2803" s="31"/>
      <c r="D2803" s="31"/>
      <c r="E2803" s="32"/>
      <c r="F2803" s="42" t="s">
        <v>416</v>
      </c>
      <c r="G2803" s="33" t="str">
        <f t="shared" si="266"/>
        <v/>
      </c>
      <c r="H2803" s="34"/>
      <c r="I2803" s="30"/>
      <c r="J2803" s="152">
        <v>0</v>
      </c>
      <c r="L2803" s="219"/>
      <c r="M2803" s="42"/>
      <c r="N2803" s="33" t="str">
        <f t="shared" si="267"/>
        <v/>
      </c>
      <c r="O2803" s="34"/>
      <c r="P2803" s="36" t="str">
        <f t="shared" si="268"/>
        <v/>
      </c>
      <c r="Q2803" s="216" t="str">
        <f t="shared" si="269"/>
        <v/>
      </c>
      <c r="R2803" s="216" t="str">
        <f t="shared" si="270"/>
        <v/>
      </c>
      <c r="S2803" s="217" t="str">
        <f t="shared" si="271"/>
        <v/>
      </c>
    </row>
    <row r="2804" spans="1:19" ht="15.75" hidden="1" thickBot="1" x14ac:dyDescent="0.3">
      <c r="A2804" s="262"/>
      <c r="B2804" s="260"/>
      <c r="C2804" s="35" t="s">
        <v>675</v>
      </c>
      <c r="D2804" s="35" t="s">
        <v>861</v>
      </c>
      <c r="E2804" s="36">
        <v>1</v>
      </c>
      <c r="F2804" s="33">
        <v>206.40649999999999</v>
      </c>
      <c r="G2804" s="33">
        <f t="shared" si="266"/>
        <v>206.40649999999999</v>
      </c>
      <c r="H2804" s="38">
        <f>SUM(G2804:G2810)</f>
        <v>313.38504049999995</v>
      </c>
      <c r="I2804" s="39"/>
      <c r="J2804" s="152">
        <v>0</v>
      </c>
      <c r="L2804" s="215">
        <v>1</v>
      </c>
      <c r="M2804" s="33">
        <v>176.683964</v>
      </c>
      <c r="N2804" s="33">
        <f t="shared" si="267"/>
        <v>176.683964</v>
      </c>
      <c r="O2804" s="38">
        <f>SUM(N2804:N2810)</f>
        <v>268.25759466799997</v>
      </c>
      <c r="P2804" s="36" t="str">
        <f t="shared" si="268"/>
        <v/>
      </c>
      <c r="Q2804" s="216">
        <f t="shared" si="269"/>
        <v>0.14399999999999991</v>
      </c>
      <c r="R2804" s="216">
        <f t="shared" si="270"/>
        <v>0.14399999999999991</v>
      </c>
      <c r="S2804" s="217">
        <f t="shared" si="271"/>
        <v>0.14399999999999991</v>
      </c>
    </row>
    <row r="2805" spans="1:19" ht="39" hidden="1" thickBot="1" x14ac:dyDescent="0.3">
      <c r="A2805" s="262"/>
      <c r="B2805" s="260"/>
      <c r="C2805" s="35" t="s">
        <v>8010</v>
      </c>
      <c r="D2805" s="35" t="s">
        <v>213</v>
      </c>
      <c r="E2805" s="36">
        <v>1.7050000000000001</v>
      </c>
      <c r="F2805" s="33">
        <v>0.3705</v>
      </c>
      <c r="G2805" s="33">
        <f t="shared" si="266"/>
        <v>0.63170250000000006</v>
      </c>
      <c r="H2805" s="34"/>
      <c r="I2805" s="30"/>
      <c r="J2805" s="152">
        <v>0</v>
      </c>
      <c r="L2805" s="215">
        <v>1.7050000000000001</v>
      </c>
      <c r="M2805" s="33">
        <v>0.31714799999999999</v>
      </c>
      <c r="N2805" s="33">
        <f t="shared" si="267"/>
        <v>0.54073733999999996</v>
      </c>
      <c r="O2805" s="34"/>
      <c r="P2805" s="36" t="str">
        <f t="shared" si="268"/>
        <v/>
      </c>
      <c r="Q2805" s="216">
        <f t="shared" si="269"/>
        <v>0.14400000000000002</v>
      </c>
      <c r="R2805" s="216">
        <f t="shared" si="270"/>
        <v>0.14400000000000013</v>
      </c>
      <c r="S2805" s="217" t="str">
        <f t="shared" si="271"/>
        <v/>
      </c>
    </row>
    <row r="2806" spans="1:19" ht="15.75" hidden="1" thickBot="1" x14ac:dyDescent="0.3">
      <c r="A2806" s="262"/>
      <c r="B2806" s="260"/>
      <c r="C2806" s="35" t="s">
        <v>709</v>
      </c>
      <c r="D2806" s="35" t="s">
        <v>773</v>
      </c>
      <c r="E2806" s="36">
        <v>0.748</v>
      </c>
      <c r="F2806" s="33">
        <v>39.063999999999993</v>
      </c>
      <c r="G2806" s="33">
        <f t="shared" si="266"/>
        <v>29.219871999999995</v>
      </c>
      <c r="H2806" s="34"/>
      <c r="I2806" s="30"/>
      <c r="J2806" s="152">
        <v>0</v>
      </c>
      <c r="L2806" s="215">
        <v>0.748</v>
      </c>
      <c r="M2806" s="33">
        <v>33.438783999999998</v>
      </c>
      <c r="N2806" s="33">
        <f t="shared" si="267"/>
        <v>25.012210432</v>
      </c>
      <c r="O2806" s="34"/>
      <c r="P2806" s="36" t="str">
        <f t="shared" si="268"/>
        <v/>
      </c>
      <c r="Q2806" s="216">
        <f t="shared" si="269"/>
        <v>0.14399999999999991</v>
      </c>
      <c r="R2806" s="216">
        <f t="shared" si="270"/>
        <v>0.14399999999999991</v>
      </c>
      <c r="S2806" s="217" t="str">
        <f t="shared" si="271"/>
        <v/>
      </c>
    </row>
    <row r="2807" spans="1:19" ht="26.25" hidden="1" thickBot="1" x14ac:dyDescent="0.3">
      <c r="A2807" s="262"/>
      <c r="B2807" s="260"/>
      <c r="C2807" s="35" t="s">
        <v>8168</v>
      </c>
      <c r="D2807" s="35" t="s">
        <v>385</v>
      </c>
      <c r="E2807" s="36">
        <v>2.3220000000000001</v>
      </c>
      <c r="F2807" s="33">
        <v>2.4319999999999999</v>
      </c>
      <c r="G2807" s="33">
        <f t="shared" si="266"/>
        <v>5.6471039999999997</v>
      </c>
      <c r="H2807" s="34"/>
      <c r="I2807" s="30"/>
      <c r="J2807" s="152">
        <v>0</v>
      </c>
      <c r="L2807" s="215">
        <v>2.3220000000000001</v>
      </c>
      <c r="M2807" s="33">
        <v>2.0817920000000001</v>
      </c>
      <c r="N2807" s="33">
        <f t="shared" si="267"/>
        <v>4.8339210240000003</v>
      </c>
      <c r="O2807" s="34"/>
      <c r="P2807" s="36" t="str">
        <f t="shared" si="268"/>
        <v/>
      </c>
      <c r="Q2807" s="216">
        <f t="shared" si="269"/>
        <v>0.14399999999999991</v>
      </c>
      <c r="R2807" s="216">
        <f t="shared" si="270"/>
        <v>0.14399999999999991</v>
      </c>
      <c r="S2807" s="217" t="str">
        <f t="shared" si="271"/>
        <v/>
      </c>
    </row>
    <row r="2808" spans="1:19" ht="15.75" hidden="1" thickBot="1" x14ac:dyDescent="0.3">
      <c r="A2808" s="262"/>
      <c r="B2808" s="260"/>
      <c r="C2808" s="35" t="s">
        <v>8373</v>
      </c>
      <c r="D2808" s="35" t="s">
        <v>213</v>
      </c>
      <c r="E2808" s="36">
        <v>0.309</v>
      </c>
      <c r="F2808" s="33">
        <v>26.125</v>
      </c>
      <c r="G2808" s="33">
        <f t="shared" si="266"/>
        <v>8.0726250000000004</v>
      </c>
      <c r="H2808" s="34"/>
      <c r="I2808" s="30"/>
      <c r="J2808" s="152">
        <v>0</v>
      </c>
      <c r="L2808" s="215">
        <v>0.309</v>
      </c>
      <c r="M2808" s="33">
        <v>22.363</v>
      </c>
      <c r="N2808" s="33">
        <f t="shared" si="267"/>
        <v>6.9101669999999995</v>
      </c>
      <c r="O2808" s="34"/>
      <c r="P2808" s="36" t="str">
        <f t="shared" si="268"/>
        <v/>
      </c>
      <c r="Q2808" s="216">
        <f t="shared" si="269"/>
        <v>0.14400000000000002</v>
      </c>
      <c r="R2808" s="216">
        <f t="shared" si="270"/>
        <v>0.14400000000000013</v>
      </c>
      <c r="S2808" s="217" t="str">
        <f t="shared" si="271"/>
        <v/>
      </c>
    </row>
    <row r="2809" spans="1:19" ht="15.75" hidden="1" thickBot="1" x14ac:dyDescent="0.3">
      <c r="A2809" s="262"/>
      <c r="B2809" s="260"/>
      <c r="C2809" s="35" t="s">
        <v>584</v>
      </c>
      <c r="D2809" s="35" t="s">
        <v>583</v>
      </c>
      <c r="E2809" s="36">
        <v>1.3779999999999999</v>
      </c>
      <c r="F2809" s="30">
        <v>20.225499999999997</v>
      </c>
      <c r="G2809" s="33">
        <f t="shared" si="266"/>
        <v>27.870738999999993</v>
      </c>
      <c r="H2809" s="34"/>
      <c r="I2809" s="30"/>
      <c r="J2809" s="152">
        <v>0</v>
      </c>
      <c r="L2809" s="215">
        <v>1.3779999999999999</v>
      </c>
      <c r="M2809" s="30">
        <v>17.313027999999996</v>
      </c>
      <c r="N2809" s="33">
        <f t="shared" si="267"/>
        <v>23.857352583999994</v>
      </c>
      <c r="O2809" s="34"/>
      <c r="P2809" s="36" t="str">
        <f t="shared" si="268"/>
        <v/>
      </c>
      <c r="Q2809" s="216">
        <f t="shared" si="269"/>
        <v>0.14400000000000013</v>
      </c>
      <c r="R2809" s="216">
        <f t="shared" si="270"/>
        <v>0.14400000000000002</v>
      </c>
      <c r="S2809" s="217" t="str">
        <f t="shared" si="271"/>
        <v/>
      </c>
    </row>
    <row r="2810" spans="1:19" ht="15.75" hidden="1" thickBot="1" x14ac:dyDescent="0.3">
      <c r="A2810" s="262"/>
      <c r="B2810" s="260"/>
      <c r="C2810" s="35" t="s">
        <v>2909</v>
      </c>
      <c r="D2810" s="35" t="s">
        <v>583</v>
      </c>
      <c r="E2810" s="36">
        <v>1.4179999999999999</v>
      </c>
      <c r="F2810" s="30">
        <v>25.060999999999996</v>
      </c>
      <c r="G2810" s="33">
        <f t="shared" si="266"/>
        <v>35.536497999999995</v>
      </c>
      <c r="H2810" s="34"/>
      <c r="I2810" s="30"/>
      <c r="J2810" s="152">
        <v>0</v>
      </c>
      <c r="L2810" s="215">
        <v>1.4179999999999999</v>
      </c>
      <c r="M2810" s="30">
        <v>21.452215999999996</v>
      </c>
      <c r="N2810" s="33">
        <f t="shared" si="267"/>
        <v>30.419242287999992</v>
      </c>
      <c r="O2810" s="34"/>
      <c r="P2810" s="36" t="str">
        <f t="shared" si="268"/>
        <v/>
      </c>
      <c r="Q2810" s="216">
        <f t="shared" si="269"/>
        <v>0.14400000000000002</v>
      </c>
      <c r="R2810" s="216">
        <f t="shared" si="270"/>
        <v>0.14400000000000013</v>
      </c>
      <c r="S2810" s="217" t="str">
        <f t="shared" si="271"/>
        <v/>
      </c>
    </row>
    <row r="2811" spans="1:19" ht="15.75" hidden="1" thickBot="1" x14ac:dyDescent="0.3">
      <c r="A2811" s="263"/>
      <c r="B2811" s="261"/>
      <c r="C2811" s="35"/>
      <c r="D2811" s="35"/>
      <c r="E2811" s="36"/>
      <c r="F2811" s="30" t="s">
        <v>416</v>
      </c>
      <c r="G2811" s="33" t="str">
        <f t="shared" si="266"/>
        <v/>
      </c>
      <c r="H2811" s="34"/>
      <c r="I2811" s="30"/>
      <c r="J2811" s="152">
        <v>0</v>
      </c>
      <c r="L2811" s="215"/>
      <c r="M2811" s="30"/>
      <c r="N2811" s="33" t="str">
        <f t="shared" si="267"/>
        <v/>
      </c>
      <c r="O2811" s="34"/>
      <c r="P2811" s="36" t="str">
        <f t="shared" si="268"/>
        <v/>
      </c>
      <c r="Q2811" s="216" t="str">
        <f t="shared" si="269"/>
        <v/>
      </c>
      <c r="R2811" s="216" t="str">
        <f t="shared" si="270"/>
        <v/>
      </c>
      <c r="S2811" s="217" t="str">
        <f t="shared" si="271"/>
        <v/>
      </c>
    </row>
    <row r="2812" spans="1:19" ht="15.75" hidden="1" thickBot="1" x14ac:dyDescent="0.3">
      <c r="A2812" s="256" t="s">
        <v>676</v>
      </c>
      <c r="B2812" s="259" t="str">
        <f>INDEX(Orçamentária!A:B,MATCH(Composições!A2812,Orçamentária!A:A,0),2)</f>
        <v>Bucha para pivô de dobradiça para vidro temperado</v>
      </c>
      <c r="C2812" s="40"/>
      <c r="D2812" s="25" t="s">
        <v>16</v>
      </c>
      <c r="E2812" s="26"/>
      <c r="F2812" s="41" t="s">
        <v>416</v>
      </c>
      <c r="G2812" s="27" t="str">
        <f t="shared" si="266"/>
        <v/>
      </c>
      <c r="H2812" s="28"/>
      <c r="I2812" s="29"/>
      <c r="J2812" s="152">
        <v>0</v>
      </c>
      <c r="L2812" s="218"/>
      <c r="M2812" s="41"/>
      <c r="N2812" s="27" t="str">
        <f t="shared" si="267"/>
        <v/>
      </c>
      <c r="O2812" s="28"/>
      <c r="P2812" s="36" t="str">
        <f t="shared" si="268"/>
        <v/>
      </c>
      <c r="Q2812" s="216" t="str">
        <f t="shared" si="269"/>
        <v/>
      </c>
      <c r="R2812" s="216" t="str">
        <f t="shared" si="270"/>
        <v/>
      </c>
      <c r="S2812" s="217" t="str">
        <f t="shared" si="271"/>
        <v/>
      </c>
    </row>
    <row r="2813" spans="1:19" ht="15.75" hidden="1" thickBot="1" x14ac:dyDescent="0.3">
      <c r="A2813" s="262"/>
      <c r="B2813" s="260"/>
      <c r="C2813" s="31"/>
      <c r="D2813" s="31"/>
      <c r="E2813" s="32"/>
      <c r="F2813" s="42" t="s">
        <v>416</v>
      </c>
      <c r="G2813" s="33" t="str">
        <f t="shared" ref="G2813:G2876" si="272">IF(ISNUMBER(F2813),E2813*F2813,"")</f>
        <v/>
      </c>
      <c r="H2813" s="34"/>
      <c r="I2813" s="30"/>
      <c r="J2813" s="152">
        <v>0</v>
      </c>
      <c r="L2813" s="219"/>
      <c r="M2813" s="42"/>
      <c r="N2813" s="33" t="str">
        <f t="shared" ref="N2813:N2876" si="273">IF(ISNUMBER(M2813),L2813*M2813,"")</f>
        <v/>
      </c>
      <c r="O2813" s="34"/>
      <c r="P2813" s="36" t="str">
        <f t="shared" si="268"/>
        <v/>
      </c>
      <c r="Q2813" s="216" t="str">
        <f t="shared" si="269"/>
        <v/>
      </c>
      <c r="R2813" s="216" t="str">
        <f t="shared" si="270"/>
        <v/>
      </c>
      <c r="S2813" s="217" t="str">
        <f t="shared" si="271"/>
        <v/>
      </c>
    </row>
    <row r="2814" spans="1:19" ht="15.75" hidden="1" thickBot="1" x14ac:dyDescent="0.3">
      <c r="A2814" s="262"/>
      <c r="B2814" s="260"/>
      <c r="C2814" s="35" t="s">
        <v>2909</v>
      </c>
      <c r="D2814" s="35" t="s">
        <v>583</v>
      </c>
      <c r="E2814" s="36">
        <v>0.15</v>
      </c>
      <c r="F2814" s="33">
        <v>25.060999999999996</v>
      </c>
      <c r="G2814" s="33">
        <f t="shared" si="272"/>
        <v>3.7591499999999991</v>
      </c>
      <c r="H2814" s="38">
        <f>SUM(G2814:G2815)</f>
        <v>3.7591499999999991</v>
      </c>
      <c r="I2814" s="39"/>
      <c r="J2814" s="152">
        <v>0</v>
      </c>
      <c r="L2814" s="215">
        <v>0.15</v>
      </c>
      <c r="M2814" s="33">
        <v>21.452215999999996</v>
      </c>
      <c r="N2814" s="33">
        <f t="shared" si="273"/>
        <v>3.2178323999999994</v>
      </c>
      <c r="O2814" s="38">
        <f>SUM(N2814:N2815)</f>
        <v>3.2178323999999994</v>
      </c>
      <c r="P2814" s="36" t="str">
        <f t="shared" si="268"/>
        <v/>
      </c>
      <c r="Q2814" s="216">
        <f t="shared" si="269"/>
        <v>0.14400000000000002</v>
      </c>
      <c r="R2814" s="216">
        <f t="shared" si="270"/>
        <v>0.14400000000000002</v>
      </c>
      <c r="S2814" s="217">
        <f t="shared" si="271"/>
        <v>0.14400000000000002</v>
      </c>
    </row>
    <row r="2815" spans="1:19" ht="26.25" hidden="1" thickBot="1" x14ac:dyDescent="0.3">
      <c r="A2815" s="262"/>
      <c r="B2815" s="260"/>
      <c r="C2815" s="35" t="s">
        <v>677</v>
      </c>
      <c r="D2815" s="35" t="s">
        <v>16</v>
      </c>
      <c r="E2815" s="36">
        <v>1</v>
      </c>
      <c r="F2815" s="30">
        <v>0</v>
      </c>
      <c r="G2815" s="33">
        <f t="shared" si="272"/>
        <v>0</v>
      </c>
      <c r="H2815" s="34"/>
      <c r="I2815" s="30"/>
      <c r="J2815" s="152">
        <v>0</v>
      </c>
      <c r="L2815" s="215">
        <v>1</v>
      </c>
      <c r="M2815" s="30">
        <v>0</v>
      </c>
      <c r="N2815" s="33">
        <f t="shared" si="273"/>
        <v>0</v>
      </c>
      <c r="O2815" s="34"/>
      <c r="P2815" s="36" t="str">
        <f t="shared" si="268"/>
        <v/>
      </c>
      <c r="Q2815" s="216" t="e">
        <f t="shared" si="269"/>
        <v>#DIV/0!</v>
      </c>
      <c r="R2815" s="216" t="e">
        <f t="shared" si="270"/>
        <v>#DIV/0!</v>
      </c>
      <c r="S2815" s="217" t="str">
        <f t="shared" si="271"/>
        <v/>
      </c>
    </row>
    <row r="2816" spans="1:19" ht="15.75" hidden="1" thickBot="1" x14ac:dyDescent="0.3">
      <c r="A2816" s="263"/>
      <c r="B2816" s="261"/>
      <c r="C2816" s="35"/>
      <c r="D2816" s="35"/>
      <c r="E2816" s="36"/>
      <c r="F2816" s="30" t="s">
        <v>416</v>
      </c>
      <c r="G2816" s="33" t="str">
        <f t="shared" si="272"/>
        <v/>
      </c>
      <c r="H2816" s="34"/>
      <c r="I2816" s="30"/>
      <c r="J2816" s="152">
        <v>0</v>
      </c>
      <c r="L2816" s="215"/>
      <c r="M2816" s="30"/>
      <c r="N2816" s="33" t="str">
        <f t="shared" si="273"/>
        <v/>
      </c>
      <c r="O2816" s="34"/>
      <c r="P2816" s="36" t="str">
        <f t="shared" si="268"/>
        <v/>
      </c>
      <c r="Q2816" s="216" t="str">
        <f t="shared" si="269"/>
        <v/>
      </c>
      <c r="R2816" s="216" t="str">
        <f t="shared" si="270"/>
        <v/>
      </c>
      <c r="S2816" s="217" t="str">
        <f t="shared" si="271"/>
        <v/>
      </c>
    </row>
    <row r="2817" spans="1:19" ht="15.75" hidden="1" thickBot="1" x14ac:dyDescent="0.3">
      <c r="A2817" s="256" t="s">
        <v>678</v>
      </c>
      <c r="B2817" s="259" t="str">
        <f>INDEX(Orçamentária!A:B,MATCH(Composições!A2817,Orçamentária!A:A,0),2)</f>
        <v>Suporte para bandeira de vidro temperado, com ponto de giro para dobradiça</v>
      </c>
      <c r="C2817" s="40"/>
      <c r="D2817" s="25" t="s">
        <v>16</v>
      </c>
      <c r="E2817" s="26"/>
      <c r="F2817" s="41" t="s">
        <v>416</v>
      </c>
      <c r="G2817" s="27" t="str">
        <f t="shared" si="272"/>
        <v/>
      </c>
      <c r="H2817" s="28"/>
      <c r="I2817" s="29"/>
      <c r="J2817" s="152">
        <v>0</v>
      </c>
      <c r="L2817" s="218"/>
      <c r="M2817" s="41"/>
      <c r="N2817" s="27" t="str">
        <f t="shared" si="273"/>
        <v/>
      </c>
      <c r="O2817" s="28"/>
      <c r="P2817" s="36" t="str">
        <f t="shared" si="268"/>
        <v/>
      </c>
      <c r="Q2817" s="216" t="str">
        <f t="shared" si="269"/>
        <v/>
      </c>
      <c r="R2817" s="216" t="str">
        <f t="shared" si="270"/>
        <v/>
      </c>
      <c r="S2817" s="217" t="str">
        <f t="shared" si="271"/>
        <v/>
      </c>
    </row>
    <row r="2818" spans="1:19" ht="15.75" hidden="1" thickBot="1" x14ac:dyDescent="0.3">
      <c r="A2818" s="262"/>
      <c r="B2818" s="260"/>
      <c r="C2818" s="31"/>
      <c r="D2818" s="31"/>
      <c r="E2818" s="32"/>
      <c r="F2818" s="42" t="s">
        <v>416</v>
      </c>
      <c r="G2818" s="33" t="str">
        <f t="shared" si="272"/>
        <v/>
      </c>
      <c r="H2818" s="34"/>
      <c r="I2818" s="30"/>
      <c r="J2818" s="152">
        <v>0</v>
      </c>
      <c r="L2818" s="219"/>
      <c r="M2818" s="42"/>
      <c r="N2818" s="33" t="str">
        <f t="shared" si="273"/>
        <v/>
      </c>
      <c r="O2818" s="34"/>
      <c r="P2818" s="36" t="str">
        <f t="shared" si="268"/>
        <v/>
      </c>
      <c r="Q2818" s="216" t="str">
        <f t="shared" si="269"/>
        <v/>
      </c>
      <c r="R2818" s="216" t="str">
        <f t="shared" si="270"/>
        <v/>
      </c>
      <c r="S2818" s="217" t="str">
        <f t="shared" si="271"/>
        <v/>
      </c>
    </row>
    <row r="2819" spans="1:19" ht="15.75" hidden="1" thickBot="1" x14ac:dyDescent="0.3">
      <c r="A2819" s="262"/>
      <c r="B2819" s="260"/>
      <c r="C2819" s="35" t="s">
        <v>2909</v>
      </c>
      <c r="D2819" s="35" t="s">
        <v>583</v>
      </c>
      <c r="E2819" s="36">
        <v>0.3</v>
      </c>
      <c r="F2819" s="33">
        <v>25.060999999999996</v>
      </c>
      <c r="G2819" s="33">
        <f t="shared" si="272"/>
        <v>7.5182999999999982</v>
      </c>
      <c r="H2819" s="38">
        <f>SUM(G2819:G2820)</f>
        <v>7.5182999999999982</v>
      </c>
      <c r="I2819" s="39"/>
      <c r="J2819" s="152">
        <v>0</v>
      </c>
      <c r="L2819" s="215">
        <v>0.3</v>
      </c>
      <c r="M2819" s="33">
        <v>21.452215999999996</v>
      </c>
      <c r="N2819" s="33">
        <f t="shared" si="273"/>
        <v>6.4356647999999987</v>
      </c>
      <c r="O2819" s="38">
        <f>SUM(N2819:N2820)</f>
        <v>6.4356647999999987</v>
      </c>
      <c r="P2819" s="36" t="str">
        <f t="shared" si="268"/>
        <v/>
      </c>
      <c r="Q2819" s="216">
        <f t="shared" si="269"/>
        <v>0.14400000000000002</v>
      </c>
      <c r="R2819" s="216">
        <f t="shared" si="270"/>
        <v>0.14400000000000002</v>
      </c>
      <c r="S2819" s="217">
        <f t="shared" si="271"/>
        <v>0.14400000000000002</v>
      </c>
    </row>
    <row r="2820" spans="1:19" ht="26.25" hidden="1" thickBot="1" x14ac:dyDescent="0.3">
      <c r="A2820" s="262"/>
      <c r="B2820" s="260"/>
      <c r="C2820" s="35" t="s">
        <v>679</v>
      </c>
      <c r="D2820" s="46" t="s">
        <v>16</v>
      </c>
      <c r="E2820" s="36">
        <v>1</v>
      </c>
      <c r="F2820" s="30">
        <v>0</v>
      </c>
      <c r="G2820" s="33">
        <f t="shared" si="272"/>
        <v>0</v>
      </c>
      <c r="H2820" s="34"/>
      <c r="I2820" s="30"/>
      <c r="J2820" s="152">
        <v>0</v>
      </c>
      <c r="L2820" s="215">
        <v>1</v>
      </c>
      <c r="M2820" s="30">
        <v>0</v>
      </c>
      <c r="N2820" s="33">
        <f t="shared" si="273"/>
        <v>0</v>
      </c>
      <c r="O2820" s="34"/>
      <c r="P2820" s="36" t="str">
        <f t="shared" si="268"/>
        <v/>
      </c>
      <c r="Q2820" s="216" t="e">
        <f t="shared" si="269"/>
        <v>#DIV/0!</v>
      </c>
      <c r="R2820" s="216" t="e">
        <f t="shared" si="270"/>
        <v>#DIV/0!</v>
      </c>
      <c r="S2820" s="217" t="str">
        <f t="shared" si="271"/>
        <v/>
      </c>
    </row>
    <row r="2821" spans="1:19" ht="15.75" hidden="1" thickBot="1" x14ac:dyDescent="0.3">
      <c r="A2821" s="263"/>
      <c r="B2821" s="261"/>
      <c r="C2821" s="35"/>
      <c r="D2821" s="35"/>
      <c r="E2821" s="36"/>
      <c r="F2821" s="30" t="s">
        <v>416</v>
      </c>
      <c r="G2821" s="33" t="str">
        <f t="shared" si="272"/>
        <v/>
      </c>
      <c r="H2821" s="34"/>
      <c r="I2821" s="30"/>
      <c r="J2821" s="152">
        <v>0</v>
      </c>
      <c r="L2821" s="215"/>
      <c r="M2821" s="30"/>
      <c r="N2821" s="33" t="str">
        <f t="shared" si="273"/>
        <v/>
      </c>
      <c r="O2821" s="34"/>
      <c r="P2821" s="36" t="str">
        <f t="shared" si="268"/>
        <v/>
      </c>
      <c r="Q2821" s="216" t="str">
        <f t="shared" si="269"/>
        <v/>
      </c>
      <c r="R2821" s="216" t="str">
        <f t="shared" si="270"/>
        <v/>
      </c>
      <c r="S2821" s="217" t="str">
        <f t="shared" si="271"/>
        <v/>
      </c>
    </row>
    <row r="2822" spans="1:19" ht="15.75" hidden="1" thickBot="1" x14ac:dyDescent="0.3">
      <c r="A2822" s="256" t="s">
        <v>680</v>
      </c>
      <c r="B2822" s="259" t="str">
        <f>INDEX(Orçamentária!A:B,MATCH(Composições!A2822,Orçamentária!A:A,0),2)</f>
        <v>Suporte de canto, simples, para vidro temperado</v>
      </c>
      <c r="C2822" s="40"/>
      <c r="D2822" s="25" t="s">
        <v>16</v>
      </c>
      <c r="E2822" s="26"/>
      <c r="F2822" s="41" t="s">
        <v>416</v>
      </c>
      <c r="G2822" s="27" t="str">
        <f t="shared" si="272"/>
        <v/>
      </c>
      <c r="H2822" s="28"/>
      <c r="I2822" s="29"/>
      <c r="J2822" s="152">
        <v>0</v>
      </c>
      <c r="L2822" s="218"/>
      <c r="M2822" s="41"/>
      <c r="N2822" s="27" t="str">
        <f t="shared" si="273"/>
        <v/>
      </c>
      <c r="O2822" s="28"/>
      <c r="P2822" s="36" t="str">
        <f t="shared" si="268"/>
        <v/>
      </c>
      <c r="Q2822" s="216" t="str">
        <f t="shared" si="269"/>
        <v/>
      </c>
      <c r="R2822" s="216" t="str">
        <f t="shared" si="270"/>
        <v/>
      </c>
      <c r="S2822" s="217" t="str">
        <f t="shared" si="271"/>
        <v/>
      </c>
    </row>
    <row r="2823" spans="1:19" ht="15.75" hidden="1" thickBot="1" x14ac:dyDescent="0.3">
      <c r="A2823" s="262"/>
      <c r="B2823" s="260"/>
      <c r="C2823" s="31"/>
      <c r="D2823" s="31"/>
      <c r="E2823" s="32"/>
      <c r="F2823" s="42" t="s">
        <v>416</v>
      </c>
      <c r="G2823" s="33" t="str">
        <f t="shared" si="272"/>
        <v/>
      </c>
      <c r="H2823" s="34"/>
      <c r="I2823" s="30"/>
      <c r="J2823" s="152">
        <v>0</v>
      </c>
      <c r="L2823" s="219"/>
      <c r="M2823" s="42"/>
      <c r="N2823" s="33" t="str">
        <f t="shared" si="273"/>
        <v/>
      </c>
      <c r="O2823" s="34"/>
      <c r="P2823" s="36" t="str">
        <f t="shared" si="268"/>
        <v/>
      </c>
      <c r="Q2823" s="216" t="str">
        <f t="shared" si="269"/>
        <v/>
      </c>
      <c r="R2823" s="216" t="str">
        <f t="shared" si="270"/>
        <v/>
      </c>
      <c r="S2823" s="217" t="str">
        <f t="shared" si="271"/>
        <v/>
      </c>
    </row>
    <row r="2824" spans="1:19" ht="15.75" hidden="1" thickBot="1" x14ac:dyDescent="0.3">
      <c r="A2824" s="262"/>
      <c r="B2824" s="260"/>
      <c r="C2824" s="35" t="s">
        <v>2909</v>
      </c>
      <c r="D2824" s="35" t="s">
        <v>583</v>
      </c>
      <c r="E2824" s="36">
        <v>0.15</v>
      </c>
      <c r="F2824" s="33">
        <v>25.060999999999996</v>
      </c>
      <c r="G2824" s="33">
        <f t="shared" si="272"/>
        <v>3.7591499999999991</v>
      </c>
      <c r="H2824" s="38">
        <f>SUM(G2824:G2825)</f>
        <v>3.7591499999999991</v>
      </c>
      <c r="I2824" s="39"/>
      <c r="J2824" s="152">
        <v>0</v>
      </c>
      <c r="L2824" s="215">
        <v>0.15</v>
      </c>
      <c r="M2824" s="33">
        <v>21.452215999999996</v>
      </c>
      <c r="N2824" s="33">
        <f t="shared" si="273"/>
        <v>3.2178323999999994</v>
      </c>
      <c r="O2824" s="38">
        <f>SUM(N2824:N2825)</f>
        <v>3.2178323999999994</v>
      </c>
      <c r="P2824" s="36" t="str">
        <f t="shared" ref="P2824:P2887" si="274">IF(ISBLANK(L2824),"",IF($E2824&lt;&gt;L2824,"SIM",""))</f>
        <v/>
      </c>
      <c r="Q2824" s="216">
        <f t="shared" ref="Q2824:Q2887" si="275">IF(M2824="","",1-M2824/$F2824)</f>
        <v>0.14400000000000002</v>
      </c>
      <c r="R2824" s="216">
        <f t="shared" ref="R2824:R2887" si="276">IF(N2824="","",1-N2824/$G2824)</f>
        <v>0.14400000000000002</v>
      </c>
      <c r="S2824" s="217">
        <f t="shared" ref="S2824:S2887" si="277">IF(O2824="","",1-O2824/$H2824)</f>
        <v>0.14400000000000002</v>
      </c>
    </row>
    <row r="2825" spans="1:19" ht="26.25" hidden="1" thickBot="1" x14ac:dyDescent="0.3">
      <c r="A2825" s="262"/>
      <c r="B2825" s="260"/>
      <c r="C2825" s="35" t="s">
        <v>681</v>
      </c>
      <c r="D2825" s="35" t="s">
        <v>16</v>
      </c>
      <c r="E2825" s="36">
        <v>1</v>
      </c>
      <c r="F2825" s="30">
        <v>0</v>
      </c>
      <c r="G2825" s="33">
        <f t="shared" si="272"/>
        <v>0</v>
      </c>
      <c r="H2825" s="34"/>
      <c r="I2825" s="30"/>
      <c r="J2825" s="152">
        <v>0</v>
      </c>
      <c r="L2825" s="215">
        <v>1</v>
      </c>
      <c r="M2825" s="30">
        <v>0</v>
      </c>
      <c r="N2825" s="33">
        <f t="shared" si="273"/>
        <v>0</v>
      </c>
      <c r="O2825" s="34"/>
      <c r="P2825" s="36" t="str">
        <f t="shared" si="274"/>
        <v/>
      </c>
      <c r="Q2825" s="216" t="e">
        <f t="shared" si="275"/>
        <v>#DIV/0!</v>
      </c>
      <c r="R2825" s="216" t="e">
        <f t="shared" si="276"/>
        <v>#DIV/0!</v>
      </c>
      <c r="S2825" s="217" t="str">
        <f t="shared" si="277"/>
        <v/>
      </c>
    </row>
    <row r="2826" spans="1:19" ht="15.75" hidden="1" thickBot="1" x14ac:dyDescent="0.3">
      <c r="A2826" s="263"/>
      <c r="B2826" s="261"/>
      <c r="C2826" s="35"/>
      <c r="D2826" s="35"/>
      <c r="E2826" s="36"/>
      <c r="F2826" s="30" t="s">
        <v>416</v>
      </c>
      <c r="G2826" s="33" t="str">
        <f t="shared" si="272"/>
        <v/>
      </c>
      <c r="H2826" s="34"/>
      <c r="I2826" s="30"/>
      <c r="J2826" s="152">
        <v>0</v>
      </c>
      <c r="L2826" s="215"/>
      <c r="M2826" s="30"/>
      <c r="N2826" s="33" t="str">
        <f t="shared" si="273"/>
        <v/>
      </c>
      <c r="O2826" s="34"/>
      <c r="P2826" s="36" t="str">
        <f t="shared" si="274"/>
        <v/>
      </c>
      <c r="Q2826" s="216" t="str">
        <f t="shared" si="275"/>
        <v/>
      </c>
      <c r="R2826" s="216" t="str">
        <f t="shared" si="276"/>
        <v/>
      </c>
      <c r="S2826" s="217" t="str">
        <f t="shared" si="277"/>
        <v/>
      </c>
    </row>
    <row r="2827" spans="1:19" ht="15.75" hidden="1" thickBot="1" x14ac:dyDescent="0.3">
      <c r="A2827" s="256" t="s">
        <v>682</v>
      </c>
      <c r="B2827" s="259" t="str">
        <f>INDEX(Orçamentária!A:B,MATCH(Composições!A2827,Orçamentária!A:A,0),2)</f>
        <v>Suporte de união, sem batedor, para dois ou três vidros temperados</v>
      </c>
      <c r="C2827" s="40"/>
      <c r="D2827" s="25" t="s">
        <v>16</v>
      </c>
      <c r="E2827" s="26"/>
      <c r="F2827" s="41" t="s">
        <v>416</v>
      </c>
      <c r="G2827" s="27" t="str">
        <f t="shared" si="272"/>
        <v/>
      </c>
      <c r="H2827" s="28"/>
      <c r="I2827" s="29"/>
      <c r="J2827" s="152">
        <v>0</v>
      </c>
      <c r="L2827" s="218"/>
      <c r="M2827" s="41"/>
      <c r="N2827" s="27" t="str">
        <f t="shared" si="273"/>
        <v/>
      </c>
      <c r="O2827" s="28"/>
      <c r="P2827" s="36" t="str">
        <f t="shared" si="274"/>
        <v/>
      </c>
      <c r="Q2827" s="216" t="str">
        <f t="shared" si="275"/>
        <v/>
      </c>
      <c r="R2827" s="216" t="str">
        <f t="shared" si="276"/>
        <v/>
      </c>
      <c r="S2827" s="217" t="str">
        <f t="shared" si="277"/>
        <v/>
      </c>
    </row>
    <row r="2828" spans="1:19" ht="15.75" hidden="1" thickBot="1" x14ac:dyDescent="0.3">
      <c r="A2828" s="262"/>
      <c r="B2828" s="260"/>
      <c r="C2828" s="31"/>
      <c r="D2828" s="31"/>
      <c r="E2828" s="32"/>
      <c r="F2828" s="42" t="s">
        <v>416</v>
      </c>
      <c r="G2828" s="33" t="str">
        <f t="shared" si="272"/>
        <v/>
      </c>
      <c r="H2828" s="34"/>
      <c r="I2828" s="30"/>
      <c r="J2828" s="152">
        <v>0</v>
      </c>
      <c r="L2828" s="219"/>
      <c r="M2828" s="42"/>
      <c r="N2828" s="33" t="str">
        <f t="shared" si="273"/>
        <v/>
      </c>
      <c r="O2828" s="34"/>
      <c r="P2828" s="36" t="str">
        <f t="shared" si="274"/>
        <v/>
      </c>
      <c r="Q2828" s="216" t="str">
        <f t="shared" si="275"/>
        <v/>
      </c>
      <c r="R2828" s="216" t="str">
        <f t="shared" si="276"/>
        <v/>
      </c>
      <c r="S2828" s="217" t="str">
        <f t="shared" si="277"/>
        <v/>
      </c>
    </row>
    <row r="2829" spans="1:19" ht="15.75" hidden="1" thickBot="1" x14ac:dyDescent="0.3">
      <c r="A2829" s="262"/>
      <c r="B2829" s="260"/>
      <c r="C2829" s="35" t="s">
        <v>2909</v>
      </c>
      <c r="D2829" s="35" t="s">
        <v>583</v>
      </c>
      <c r="E2829" s="36">
        <v>0.3</v>
      </c>
      <c r="F2829" s="33">
        <v>25.060999999999996</v>
      </c>
      <c r="G2829" s="33">
        <f t="shared" si="272"/>
        <v>7.5182999999999982</v>
      </c>
      <c r="H2829" s="38">
        <f>SUM(G2829:G2830)</f>
        <v>7.5182999999999982</v>
      </c>
      <c r="I2829" s="39"/>
      <c r="J2829" s="152">
        <v>0</v>
      </c>
      <c r="L2829" s="215">
        <v>0.3</v>
      </c>
      <c r="M2829" s="33">
        <v>21.452215999999996</v>
      </c>
      <c r="N2829" s="33">
        <f t="shared" si="273"/>
        <v>6.4356647999999987</v>
      </c>
      <c r="O2829" s="38">
        <f>SUM(N2829:N2830)</f>
        <v>6.4356647999999987</v>
      </c>
      <c r="P2829" s="36" t="str">
        <f t="shared" si="274"/>
        <v/>
      </c>
      <c r="Q2829" s="216">
        <f t="shared" si="275"/>
        <v>0.14400000000000002</v>
      </c>
      <c r="R2829" s="216">
        <f t="shared" si="276"/>
        <v>0.14400000000000002</v>
      </c>
      <c r="S2829" s="217">
        <f t="shared" si="277"/>
        <v>0.14400000000000002</v>
      </c>
    </row>
    <row r="2830" spans="1:19" ht="26.25" hidden="1" thickBot="1" x14ac:dyDescent="0.3">
      <c r="A2830" s="262"/>
      <c r="B2830" s="260"/>
      <c r="C2830" s="35" t="s">
        <v>683</v>
      </c>
      <c r="D2830" s="35" t="s">
        <v>16</v>
      </c>
      <c r="E2830" s="36">
        <v>1</v>
      </c>
      <c r="F2830" s="30">
        <v>0</v>
      </c>
      <c r="G2830" s="33">
        <f t="shared" si="272"/>
        <v>0</v>
      </c>
      <c r="H2830" s="34"/>
      <c r="I2830" s="30"/>
      <c r="J2830" s="152">
        <v>0</v>
      </c>
      <c r="L2830" s="215">
        <v>1</v>
      </c>
      <c r="M2830" s="30">
        <v>0</v>
      </c>
      <c r="N2830" s="33">
        <f t="shared" si="273"/>
        <v>0</v>
      </c>
      <c r="O2830" s="34"/>
      <c r="P2830" s="36" t="str">
        <f t="shared" si="274"/>
        <v/>
      </c>
      <c r="Q2830" s="216" t="e">
        <f t="shared" si="275"/>
        <v>#DIV/0!</v>
      </c>
      <c r="R2830" s="216" t="e">
        <f t="shared" si="276"/>
        <v>#DIV/0!</v>
      </c>
      <c r="S2830" s="217" t="str">
        <f t="shared" si="277"/>
        <v/>
      </c>
    </row>
    <row r="2831" spans="1:19" ht="15.75" hidden="1" thickBot="1" x14ac:dyDescent="0.3">
      <c r="A2831" s="262"/>
      <c r="B2831" s="260"/>
      <c r="C2831" s="35"/>
      <c r="D2831" s="35"/>
      <c r="E2831" s="36"/>
      <c r="F2831" s="30" t="s">
        <v>416</v>
      </c>
      <c r="G2831" s="33" t="str">
        <f t="shared" si="272"/>
        <v/>
      </c>
      <c r="H2831" s="34"/>
      <c r="I2831" s="30"/>
      <c r="J2831" s="152">
        <v>0</v>
      </c>
      <c r="L2831" s="215"/>
      <c r="M2831" s="30"/>
      <c r="N2831" s="33" t="str">
        <f t="shared" si="273"/>
        <v/>
      </c>
      <c r="O2831" s="34"/>
      <c r="P2831" s="36" t="str">
        <f t="shared" si="274"/>
        <v/>
      </c>
      <c r="Q2831" s="216" t="str">
        <f t="shared" si="275"/>
        <v/>
      </c>
      <c r="R2831" s="216" t="str">
        <f t="shared" si="276"/>
        <v/>
      </c>
      <c r="S2831" s="217" t="str">
        <f t="shared" si="277"/>
        <v/>
      </c>
    </row>
    <row r="2832" spans="1:19" ht="39.75" hidden="1" thickBot="1" x14ac:dyDescent="0.3">
      <c r="A2832" s="262"/>
      <c r="B2832" s="260"/>
      <c r="C2832" s="146" t="s">
        <v>684</v>
      </c>
      <c r="D2832" s="35"/>
      <c r="E2832" s="36"/>
      <c r="F2832" s="30" t="s">
        <v>416</v>
      </c>
      <c r="G2832" s="33" t="str">
        <f t="shared" si="272"/>
        <v/>
      </c>
      <c r="H2832" s="34"/>
      <c r="I2832" s="30"/>
      <c r="J2832" s="152">
        <v>0</v>
      </c>
      <c r="L2832" s="215"/>
      <c r="M2832" s="30"/>
      <c r="N2832" s="33" t="str">
        <f t="shared" si="273"/>
        <v/>
      </c>
      <c r="O2832" s="34"/>
      <c r="P2832" s="36" t="str">
        <f t="shared" si="274"/>
        <v/>
      </c>
      <c r="Q2832" s="216" t="str">
        <f t="shared" si="275"/>
        <v/>
      </c>
      <c r="R2832" s="216" t="str">
        <f t="shared" si="276"/>
        <v/>
      </c>
      <c r="S2832" s="217" t="str">
        <f t="shared" si="277"/>
        <v/>
      </c>
    </row>
    <row r="2833" spans="1:19" ht="15.75" hidden="1" thickBot="1" x14ac:dyDescent="0.3">
      <c r="A2833" s="263"/>
      <c r="B2833" s="261"/>
      <c r="C2833" s="35"/>
      <c r="D2833" s="35"/>
      <c r="E2833" s="36"/>
      <c r="F2833" s="30" t="s">
        <v>416</v>
      </c>
      <c r="G2833" s="33" t="str">
        <f t="shared" si="272"/>
        <v/>
      </c>
      <c r="H2833" s="34"/>
      <c r="I2833" s="30"/>
      <c r="J2833" s="152">
        <v>0</v>
      </c>
      <c r="L2833" s="215"/>
      <c r="M2833" s="30"/>
      <c r="N2833" s="33" t="str">
        <f t="shared" si="273"/>
        <v/>
      </c>
      <c r="O2833" s="34"/>
      <c r="P2833" s="36" t="str">
        <f t="shared" si="274"/>
        <v/>
      </c>
      <c r="Q2833" s="216" t="str">
        <f t="shared" si="275"/>
        <v/>
      </c>
      <c r="R2833" s="216" t="str">
        <f t="shared" si="276"/>
        <v/>
      </c>
      <c r="S2833" s="217" t="str">
        <f t="shared" si="277"/>
        <v/>
      </c>
    </row>
    <row r="2834" spans="1:19" ht="15.75" hidden="1" thickBot="1" x14ac:dyDescent="0.3">
      <c r="A2834" s="256" t="s">
        <v>685</v>
      </c>
      <c r="B2834" s="259" t="str">
        <f>INDEX(Orçamentária!A:B,MATCH(Composições!A2834,Orçamentária!A:A,0),2)</f>
        <v>Botão de correção para vidro temperado</v>
      </c>
      <c r="C2834" s="40"/>
      <c r="D2834" s="25" t="s">
        <v>16</v>
      </c>
      <c r="E2834" s="26"/>
      <c r="F2834" s="41" t="s">
        <v>416</v>
      </c>
      <c r="G2834" s="27" t="str">
        <f t="shared" si="272"/>
        <v/>
      </c>
      <c r="H2834" s="28"/>
      <c r="I2834" s="29"/>
      <c r="J2834" s="152">
        <v>0</v>
      </c>
      <c r="L2834" s="218"/>
      <c r="M2834" s="41"/>
      <c r="N2834" s="27" t="str">
        <f t="shared" si="273"/>
        <v/>
      </c>
      <c r="O2834" s="28"/>
      <c r="P2834" s="36" t="str">
        <f t="shared" si="274"/>
        <v/>
      </c>
      <c r="Q2834" s="216" t="str">
        <f t="shared" si="275"/>
        <v/>
      </c>
      <c r="R2834" s="216" t="str">
        <f t="shared" si="276"/>
        <v/>
      </c>
      <c r="S2834" s="217" t="str">
        <f t="shared" si="277"/>
        <v/>
      </c>
    </row>
    <row r="2835" spans="1:19" ht="15.75" hidden="1" thickBot="1" x14ac:dyDescent="0.3">
      <c r="A2835" s="262"/>
      <c r="B2835" s="260"/>
      <c r="C2835" s="31"/>
      <c r="D2835" s="31"/>
      <c r="E2835" s="32"/>
      <c r="F2835" s="42" t="s">
        <v>416</v>
      </c>
      <c r="G2835" s="33" t="str">
        <f t="shared" si="272"/>
        <v/>
      </c>
      <c r="H2835" s="34"/>
      <c r="I2835" s="30"/>
      <c r="J2835" s="152">
        <v>0</v>
      </c>
      <c r="L2835" s="219"/>
      <c r="M2835" s="42"/>
      <c r="N2835" s="33" t="str">
        <f t="shared" si="273"/>
        <v/>
      </c>
      <c r="O2835" s="34"/>
      <c r="P2835" s="36" t="str">
        <f t="shared" si="274"/>
        <v/>
      </c>
      <c r="Q2835" s="216" t="str">
        <f t="shared" si="275"/>
        <v/>
      </c>
      <c r="R2835" s="216" t="str">
        <f t="shared" si="276"/>
        <v/>
      </c>
      <c r="S2835" s="217" t="str">
        <f t="shared" si="277"/>
        <v/>
      </c>
    </row>
    <row r="2836" spans="1:19" ht="15.75" hidden="1" thickBot="1" x14ac:dyDescent="0.3">
      <c r="A2836" s="262"/>
      <c r="B2836" s="260"/>
      <c r="C2836" s="35" t="s">
        <v>2909</v>
      </c>
      <c r="D2836" s="35" t="s">
        <v>583</v>
      </c>
      <c r="E2836" s="36">
        <v>0.15</v>
      </c>
      <c r="F2836" s="33">
        <v>25.060999999999996</v>
      </c>
      <c r="G2836" s="33">
        <f t="shared" si="272"/>
        <v>3.7591499999999991</v>
      </c>
      <c r="H2836" s="38">
        <f>SUM(G2836:G2837)</f>
        <v>3.7591499999999991</v>
      </c>
      <c r="I2836" s="39"/>
      <c r="J2836" s="152">
        <v>0</v>
      </c>
      <c r="L2836" s="215">
        <v>0.15</v>
      </c>
      <c r="M2836" s="33">
        <v>21.452215999999996</v>
      </c>
      <c r="N2836" s="33">
        <f t="shared" si="273"/>
        <v>3.2178323999999994</v>
      </c>
      <c r="O2836" s="38">
        <f>SUM(N2836:N2837)</f>
        <v>3.2178323999999994</v>
      </c>
      <c r="P2836" s="36" t="str">
        <f t="shared" si="274"/>
        <v/>
      </c>
      <c r="Q2836" s="216">
        <f t="shared" si="275"/>
        <v>0.14400000000000002</v>
      </c>
      <c r="R2836" s="216">
        <f t="shared" si="276"/>
        <v>0.14400000000000002</v>
      </c>
      <c r="S2836" s="217">
        <f t="shared" si="277"/>
        <v>0.14400000000000002</v>
      </c>
    </row>
    <row r="2837" spans="1:19" ht="15.75" hidden="1" thickBot="1" x14ac:dyDescent="0.3">
      <c r="A2837" s="262"/>
      <c r="B2837" s="260"/>
      <c r="C2837" s="35" t="s">
        <v>686</v>
      </c>
      <c r="D2837" s="35" t="s">
        <v>16</v>
      </c>
      <c r="E2837" s="36">
        <v>1</v>
      </c>
      <c r="F2837" s="30">
        <v>0</v>
      </c>
      <c r="G2837" s="33">
        <f t="shared" si="272"/>
        <v>0</v>
      </c>
      <c r="H2837" s="34"/>
      <c r="I2837" s="30"/>
      <c r="J2837" s="152">
        <v>0</v>
      </c>
      <c r="L2837" s="215">
        <v>1</v>
      </c>
      <c r="M2837" s="30">
        <v>0</v>
      </c>
      <c r="N2837" s="33">
        <f t="shared" si="273"/>
        <v>0</v>
      </c>
      <c r="O2837" s="34"/>
      <c r="P2837" s="36" t="str">
        <f t="shared" si="274"/>
        <v/>
      </c>
      <c r="Q2837" s="216" t="e">
        <f t="shared" si="275"/>
        <v>#DIV/0!</v>
      </c>
      <c r="R2837" s="216" t="e">
        <f t="shared" si="276"/>
        <v>#DIV/0!</v>
      </c>
      <c r="S2837" s="217" t="str">
        <f t="shared" si="277"/>
        <v/>
      </c>
    </row>
    <row r="2838" spans="1:19" ht="15.75" hidden="1" thickBot="1" x14ac:dyDescent="0.3">
      <c r="A2838" s="263"/>
      <c r="B2838" s="261"/>
      <c r="C2838" s="35"/>
      <c r="D2838" s="35"/>
      <c r="E2838" s="36"/>
      <c r="F2838" s="30" t="s">
        <v>416</v>
      </c>
      <c r="G2838" s="33" t="str">
        <f t="shared" si="272"/>
        <v/>
      </c>
      <c r="H2838" s="34"/>
      <c r="I2838" s="30"/>
      <c r="J2838" s="152">
        <v>0</v>
      </c>
      <c r="L2838" s="215"/>
      <c r="M2838" s="30"/>
      <c r="N2838" s="33" t="str">
        <f t="shared" si="273"/>
        <v/>
      </c>
      <c r="O2838" s="34"/>
      <c r="P2838" s="36" t="str">
        <f t="shared" si="274"/>
        <v/>
      </c>
      <c r="Q2838" s="216" t="str">
        <f t="shared" si="275"/>
        <v/>
      </c>
      <c r="R2838" s="216" t="str">
        <f t="shared" si="276"/>
        <v/>
      </c>
      <c r="S2838" s="217" t="str">
        <f t="shared" si="277"/>
        <v/>
      </c>
    </row>
    <row r="2839" spans="1:19" ht="15.75" hidden="1" thickBot="1" x14ac:dyDescent="0.3">
      <c r="A2839" s="256" t="s">
        <v>687</v>
      </c>
      <c r="B2839" s="259" t="str">
        <f>INDEX(Orçamentária!A:B,MATCH(Composições!A2839,Orçamentária!A:A,0),2)</f>
        <v>Fechadura bico-de-papagaio, com furo, para vidro temperado</v>
      </c>
      <c r="C2839" s="40"/>
      <c r="D2839" s="25" t="s">
        <v>16</v>
      </c>
      <c r="E2839" s="26"/>
      <c r="F2839" s="41" t="s">
        <v>416</v>
      </c>
      <c r="G2839" s="27" t="str">
        <f t="shared" si="272"/>
        <v/>
      </c>
      <c r="H2839" s="28"/>
      <c r="I2839" s="29"/>
      <c r="J2839" s="152">
        <v>0</v>
      </c>
      <c r="L2839" s="218"/>
      <c r="M2839" s="41"/>
      <c r="N2839" s="27" t="str">
        <f t="shared" si="273"/>
        <v/>
      </c>
      <c r="O2839" s="28"/>
      <c r="P2839" s="36" t="str">
        <f t="shared" si="274"/>
        <v/>
      </c>
      <c r="Q2839" s="216" t="str">
        <f t="shared" si="275"/>
        <v/>
      </c>
      <c r="R2839" s="216" t="str">
        <f t="shared" si="276"/>
        <v/>
      </c>
      <c r="S2839" s="217" t="str">
        <f t="shared" si="277"/>
        <v/>
      </c>
    </row>
    <row r="2840" spans="1:19" ht="15.75" hidden="1" thickBot="1" x14ac:dyDescent="0.3">
      <c r="A2840" s="262"/>
      <c r="B2840" s="260"/>
      <c r="C2840" s="31"/>
      <c r="D2840" s="31"/>
      <c r="E2840" s="32"/>
      <c r="F2840" s="42" t="s">
        <v>416</v>
      </c>
      <c r="G2840" s="33" t="str">
        <f t="shared" si="272"/>
        <v/>
      </c>
      <c r="H2840" s="34"/>
      <c r="I2840" s="30"/>
      <c r="J2840" s="152">
        <v>0</v>
      </c>
      <c r="L2840" s="219"/>
      <c r="M2840" s="42"/>
      <c r="N2840" s="33" t="str">
        <f t="shared" si="273"/>
        <v/>
      </c>
      <c r="O2840" s="34"/>
      <c r="P2840" s="36" t="str">
        <f t="shared" si="274"/>
        <v/>
      </c>
      <c r="Q2840" s="216" t="str">
        <f t="shared" si="275"/>
        <v/>
      </c>
      <c r="R2840" s="216" t="str">
        <f t="shared" si="276"/>
        <v/>
      </c>
      <c r="S2840" s="217" t="str">
        <f t="shared" si="277"/>
        <v/>
      </c>
    </row>
    <row r="2841" spans="1:19" ht="15.75" hidden="1" thickBot="1" x14ac:dyDescent="0.3">
      <c r="A2841" s="262"/>
      <c r="B2841" s="260"/>
      <c r="C2841" s="35" t="s">
        <v>2909</v>
      </c>
      <c r="D2841" s="35" t="s">
        <v>583</v>
      </c>
      <c r="E2841" s="36">
        <v>0.4</v>
      </c>
      <c r="F2841" s="33">
        <v>25.060999999999996</v>
      </c>
      <c r="G2841" s="33">
        <f t="shared" si="272"/>
        <v>10.0244</v>
      </c>
      <c r="H2841" s="38">
        <f>SUM(G2841:G2842)</f>
        <v>10.0244</v>
      </c>
      <c r="I2841" s="39"/>
      <c r="J2841" s="152">
        <v>0</v>
      </c>
      <c r="L2841" s="215">
        <v>0.4</v>
      </c>
      <c r="M2841" s="33">
        <v>21.452215999999996</v>
      </c>
      <c r="N2841" s="33">
        <f t="shared" si="273"/>
        <v>8.5808863999999989</v>
      </c>
      <c r="O2841" s="38">
        <f>SUM(N2841:N2842)</f>
        <v>8.5808863999999989</v>
      </c>
      <c r="P2841" s="36" t="str">
        <f t="shared" si="274"/>
        <v/>
      </c>
      <c r="Q2841" s="216">
        <f t="shared" si="275"/>
        <v>0.14400000000000002</v>
      </c>
      <c r="R2841" s="216">
        <f t="shared" si="276"/>
        <v>0.14400000000000013</v>
      </c>
      <c r="S2841" s="217">
        <f t="shared" si="277"/>
        <v>0.14400000000000013</v>
      </c>
    </row>
    <row r="2842" spans="1:19" ht="26.25" hidden="1" thickBot="1" x14ac:dyDescent="0.3">
      <c r="A2842" s="262"/>
      <c r="B2842" s="260"/>
      <c r="C2842" s="35" t="s">
        <v>688</v>
      </c>
      <c r="D2842" s="35" t="s">
        <v>16</v>
      </c>
      <c r="E2842" s="36">
        <v>1</v>
      </c>
      <c r="F2842" s="30" t="s">
        <v>416</v>
      </c>
      <c r="G2842" s="33" t="str">
        <f t="shared" si="272"/>
        <v/>
      </c>
      <c r="H2842" s="34"/>
      <c r="I2842" s="30"/>
      <c r="J2842" s="152">
        <v>0</v>
      </c>
      <c r="L2842" s="215">
        <v>1</v>
      </c>
      <c r="M2842" s="30"/>
      <c r="N2842" s="33" t="str">
        <f t="shared" si="273"/>
        <v/>
      </c>
      <c r="O2842" s="34"/>
      <c r="P2842" s="36" t="str">
        <f t="shared" si="274"/>
        <v/>
      </c>
      <c r="Q2842" s="216" t="str">
        <f t="shared" si="275"/>
        <v/>
      </c>
      <c r="R2842" s="216" t="str">
        <f t="shared" si="276"/>
        <v/>
      </c>
      <c r="S2842" s="217" t="str">
        <f t="shared" si="277"/>
        <v/>
      </c>
    </row>
    <row r="2843" spans="1:19" ht="15.75" hidden="1" thickBot="1" x14ac:dyDescent="0.3">
      <c r="A2843" s="263"/>
      <c r="B2843" s="261"/>
      <c r="C2843" s="35"/>
      <c r="D2843" s="35"/>
      <c r="E2843" s="36"/>
      <c r="F2843" s="30" t="s">
        <v>416</v>
      </c>
      <c r="G2843" s="33" t="str">
        <f t="shared" si="272"/>
        <v/>
      </c>
      <c r="H2843" s="34"/>
      <c r="I2843" s="30"/>
      <c r="J2843" s="152">
        <v>0</v>
      </c>
      <c r="L2843" s="215"/>
      <c r="M2843" s="30"/>
      <c r="N2843" s="33" t="str">
        <f t="shared" si="273"/>
        <v/>
      </c>
      <c r="O2843" s="34"/>
      <c r="P2843" s="36" t="str">
        <f t="shared" si="274"/>
        <v/>
      </c>
      <c r="Q2843" s="216" t="str">
        <f t="shared" si="275"/>
        <v/>
      </c>
      <c r="R2843" s="216" t="str">
        <f t="shared" si="276"/>
        <v/>
      </c>
      <c r="S2843" s="217" t="str">
        <f t="shared" si="277"/>
        <v/>
      </c>
    </row>
    <row r="2844" spans="1:19" ht="15.75" hidden="1" thickBot="1" x14ac:dyDescent="0.3">
      <c r="A2844" s="256" t="s">
        <v>689</v>
      </c>
      <c r="B2844" s="259" t="str">
        <f>INDEX(Orçamentária!A:B,MATCH(Composições!A2844,Orçamentária!A:A,0),2)</f>
        <v>Fechadura bico-de-papagaio, com furo, para janela de vidro temperado</v>
      </c>
      <c r="C2844" s="40"/>
      <c r="D2844" s="25" t="s">
        <v>16</v>
      </c>
      <c r="E2844" s="26"/>
      <c r="F2844" s="41" t="s">
        <v>416</v>
      </c>
      <c r="G2844" s="27" t="str">
        <f t="shared" si="272"/>
        <v/>
      </c>
      <c r="H2844" s="28"/>
      <c r="I2844" s="29"/>
      <c r="J2844" s="152">
        <v>0</v>
      </c>
      <c r="L2844" s="218"/>
      <c r="M2844" s="41"/>
      <c r="N2844" s="27" t="str">
        <f t="shared" si="273"/>
        <v/>
      </c>
      <c r="O2844" s="28"/>
      <c r="P2844" s="36" t="str">
        <f t="shared" si="274"/>
        <v/>
      </c>
      <c r="Q2844" s="216" t="str">
        <f t="shared" si="275"/>
        <v/>
      </c>
      <c r="R2844" s="216" t="str">
        <f t="shared" si="276"/>
        <v/>
      </c>
      <c r="S2844" s="217" t="str">
        <f t="shared" si="277"/>
        <v/>
      </c>
    </row>
    <row r="2845" spans="1:19" ht="15.75" hidden="1" thickBot="1" x14ac:dyDescent="0.3">
      <c r="A2845" s="262"/>
      <c r="B2845" s="260"/>
      <c r="C2845" s="31"/>
      <c r="D2845" s="31"/>
      <c r="E2845" s="32"/>
      <c r="F2845" s="42" t="s">
        <v>416</v>
      </c>
      <c r="G2845" s="33" t="str">
        <f t="shared" si="272"/>
        <v/>
      </c>
      <c r="H2845" s="34"/>
      <c r="I2845" s="30"/>
      <c r="J2845" s="152">
        <v>0</v>
      </c>
      <c r="L2845" s="219"/>
      <c r="M2845" s="42"/>
      <c r="N2845" s="33" t="str">
        <f t="shared" si="273"/>
        <v/>
      </c>
      <c r="O2845" s="34"/>
      <c r="P2845" s="36" t="str">
        <f t="shared" si="274"/>
        <v/>
      </c>
      <c r="Q2845" s="216" t="str">
        <f t="shared" si="275"/>
        <v/>
      </c>
      <c r="R2845" s="216" t="str">
        <f t="shared" si="276"/>
        <v/>
      </c>
      <c r="S2845" s="217" t="str">
        <f t="shared" si="277"/>
        <v/>
      </c>
    </row>
    <row r="2846" spans="1:19" ht="15.75" hidden="1" thickBot="1" x14ac:dyDescent="0.3">
      <c r="A2846" s="262"/>
      <c r="B2846" s="260"/>
      <c r="C2846" s="35" t="s">
        <v>2909</v>
      </c>
      <c r="D2846" s="35" t="s">
        <v>583</v>
      </c>
      <c r="E2846" s="36">
        <v>0.4</v>
      </c>
      <c r="F2846" s="33">
        <v>25.060999999999996</v>
      </c>
      <c r="G2846" s="33">
        <f t="shared" si="272"/>
        <v>10.0244</v>
      </c>
      <c r="H2846" s="38">
        <f>SUM(G2846:G2847)</f>
        <v>10.0244</v>
      </c>
      <c r="I2846" s="39"/>
      <c r="J2846" s="152">
        <v>0</v>
      </c>
      <c r="L2846" s="215">
        <v>0.4</v>
      </c>
      <c r="M2846" s="33">
        <v>21.452215999999996</v>
      </c>
      <c r="N2846" s="33">
        <f t="shared" si="273"/>
        <v>8.5808863999999989</v>
      </c>
      <c r="O2846" s="38">
        <f>SUM(N2846:N2847)</f>
        <v>8.5808863999999989</v>
      </c>
      <c r="P2846" s="36" t="str">
        <f t="shared" si="274"/>
        <v/>
      </c>
      <c r="Q2846" s="216">
        <f t="shared" si="275"/>
        <v>0.14400000000000002</v>
      </c>
      <c r="R2846" s="216">
        <f t="shared" si="276"/>
        <v>0.14400000000000013</v>
      </c>
      <c r="S2846" s="217">
        <f t="shared" si="277"/>
        <v>0.14400000000000013</v>
      </c>
    </row>
    <row r="2847" spans="1:19" ht="39" hidden="1" thickBot="1" x14ac:dyDescent="0.3">
      <c r="A2847" s="262"/>
      <c r="B2847" s="260"/>
      <c r="C2847" s="35" t="s">
        <v>690</v>
      </c>
      <c r="D2847" s="35" t="s">
        <v>16</v>
      </c>
      <c r="E2847" s="36">
        <v>1</v>
      </c>
      <c r="F2847" s="30" t="s">
        <v>416</v>
      </c>
      <c r="G2847" s="33" t="str">
        <f t="shared" si="272"/>
        <v/>
      </c>
      <c r="H2847" s="34"/>
      <c r="I2847" s="30"/>
      <c r="J2847" s="152">
        <v>0</v>
      </c>
      <c r="L2847" s="215">
        <v>1</v>
      </c>
      <c r="M2847" s="30"/>
      <c r="N2847" s="33" t="str">
        <f t="shared" si="273"/>
        <v/>
      </c>
      <c r="O2847" s="34"/>
      <c r="P2847" s="36" t="str">
        <f t="shared" si="274"/>
        <v/>
      </c>
      <c r="Q2847" s="216" t="str">
        <f t="shared" si="275"/>
        <v/>
      </c>
      <c r="R2847" s="216" t="str">
        <f t="shared" si="276"/>
        <v/>
      </c>
      <c r="S2847" s="217" t="str">
        <f t="shared" si="277"/>
        <v/>
      </c>
    </row>
    <row r="2848" spans="1:19" ht="15.75" hidden="1" thickBot="1" x14ac:dyDescent="0.3">
      <c r="A2848" s="263"/>
      <c r="B2848" s="261"/>
      <c r="C2848" s="35"/>
      <c r="D2848" s="35"/>
      <c r="E2848" s="36"/>
      <c r="F2848" s="30" t="s">
        <v>416</v>
      </c>
      <c r="G2848" s="33" t="str">
        <f t="shared" si="272"/>
        <v/>
      </c>
      <c r="H2848" s="34"/>
      <c r="I2848" s="30"/>
      <c r="J2848" s="152">
        <v>0</v>
      </c>
      <c r="L2848" s="215"/>
      <c r="M2848" s="30"/>
      <c r="N2848" s="33" t="str">
        <f t="shared" si="273"/>
        <v/>
      </c>
      <c r="O2848" s="34"/>
      <c r="P2848" s="36" t="str">
        <f t="shared" si="274"/>
        <v/>
      </c>
      <c r="Q2848" s="216" t="str">
        <f t="shared" si="275"/>
        <v/>
      </c>
      <c r="R2848" s="216" t="str">
        <f t="shared" si="276"/>
        <v/>
      </c>
      <c r="S2848" s="217" t="str">
        <f t="shared" si="277"/>
        <v/>
      </c>
    </row>
    <row r="2849" spans="1:19" ht="15.75" hidden="1" thickBot="1" x14ac:dyDescent="0.3">
      <c r="A2849" s="256" t="s">
        <v>691</v>
      </c>
      <c r="B2849" s="259" t="str">
        <f>INDEX(Orçamentária!A:B,MATCH(Composições!A2849,Orçamentária!A:A,0),2)</f>
        <v>Fechadura para porta de abrir de vidro temperado</v>
      </c>
      <c r="C2849" s="40"/>
      <c r="D2849" s="25" t="s">
        <v>16</v>
      </c>
      <c r="E2849" s="26"/>
      <c r="F2849" s="41" t="s">
        <v>416</v>
      </c>
      <c r="G2849" s="27" t="str">
        <f t="shared" si="272"/>
        <v/>
      </c>
      <c r="H2849" s="28"/>
      <c r="I2849" s="29"/>
      <c r="J2849" s="152">
        <v>0</v>
      </c>
      <c r="L2849" s="218"/>
      <c r="M2849" s="41"/>
      <c r="N2849" s="27" t="str">
        <f t="shared" si="273"/>
        <v/>
      </c>
      <c r="O2849" s="28"/>
      <c r="P2849" s="36" t="str">
        <f t="shared" si="274"/>
        <v/>
      </c>
      <c r="Q2849" s="216" t="str">
        <f t="shared" si="275"/>
        <v/>
      </c>
      <c r="R2849" s="216" t="str">
        <f t="shared" si="276"/>
        <v/>
      </c>
      <c r="S2849" s="217" t="str">
        <f t="shared" si="277"/>
        <v/>
      </c>
    </row>
    <row r="2850" spans="1:19" ht="15.75" hidden="1" thickBot="1" x14ac:dyDescent="0.3">
      <c r="A2850" s="262"/>
      <c r="B2850" s="260"/>
      <c r="C2850" s="31"/>
      <c r="D2850" s="31"/>
      <c r="E2850" s="32"/>
      <c r="F2850" s="42" t="s">
        <v>416</v>
      </c>
      <c r="G2850" s="33" t="str">
        <f t="shared" si="272"/>
        <v/>
      </c>
      <c r="H2850" s="34"/>
      <c r="I2850" s="30"/>
      <c r="J2850" s="152">
        <v>0</v>
      </c>
      <c r="L2850" s="219"/>
      <c r="M2850" s="42"/>
      <c r="N2850" s="33" t="str">
        <f t="shared" si="273"/>
        <v/>
      </c>
      <c r="O2850" s="34"/>
      <c r="P2850" s="36" t="str">
        <f t="shared" si="274"/>
        <v/>
      </c>
      <c r="Q2850" s="216" t="str">
        <f t="shared" si="275"/>
        <v/>
      </c>
      <c r="R2850" s="216" t="str">
        <f t="shared" si="276"/>
        <v/>
      </c>
      <c r="S2850" s="217" t="str">
        <f t="shared" si="277"/>
        <v/>
      </c>
    </row>
    <row r="2851" spans="1:19" ht="15.75" hidden="1" thickBot="1" x14ac:dyDescent="0.3">
      <c r="A2851" s="262"/>
      <c r="B2851" s="260"/>
      <c r="C2851" s="35" t="s">
        <v>2909</v>
      </c>
      <c r="D2851" s="35" t="s">
        <v>583</v>
      </c>
      <c r="E2851" s="36">
        <v>0.4</v>
      </c>
      <c r="F2851" s="33">
        <v>25.060999999999996</v>
      </c>
      <c r="G2851" s="33">
        <f t="shared" si="272"/>
        <v>10.0244</v>
      </c>
      <c r="H2851" s="38">
        <f>SUM(G2851:G2852)</f>
        <v>10.0244</v>
      </c>
      <c r="I2851" s="39"/>
      <c r="J2851" s="152">
        <v>0</v>
      </c>
      <c r="L2851" s="215">
        <v>0.4</v>
      </c>
      <c r="M2851" s="33">
        <v>21.452215999999996</v>
      </c>
      <c r="N2851" s="33">
        <f t="shared" si="273"/>
        <v>8.5808863999999989</v>
      </c>
      <c r="O2851" s="38">
        <f>SUM(N2851:N2852)</f>
        <v>8.5808863999999989</v>
      </c>
      <c r="P2851" s="36" t="str">
        <f t="shared" si="274"/>
        <v/>
      </c>
      <c r="Q2851" s="216">
        <f t="shared" si="275"/>
        <v>0.14400000000000002</v>
      </c>
      <c r="R2851" s="216">
        <f t="shared" si="276"/>
        <v>0.14400000000000013</v>
      </c>
      <c r="S2851" s="217">
        <f t="shared" si="277"/>
        <v>0.14400000000000013</v>
      </c>
    </row>
    <row r="2852" spans="1:19" ht="26.25" hidden="1" thickBot="1" x14ac:dyDescent="0.3">
      <c r="A2852" s="262"/>
      <c r="B2852" s="260"/>
      <c r="C2852" s="35" t="s">
        <v>692</v>
      </c>
      <c r="D2852" s="35" t="s">
        <v>16</v>
      </c>
      <c r="E2852" s="36">
        <v>1</v>
      </c>
      <c r="F2852" s="30" t="s">
        <v>416</v>
      </c>
      <c r="G2852" s="33" t="str">
        <f t="shared" si="272"/>
        <v/>
      </c>
      <c r="H2852" s="34"/>
      <c r="I2852" s="30"/>
      <c r="J2852" s="152">
        <v>0</v>
      </c>
      <c r="L2852" s="215">
        <v>1</v>
      </c>
      <c r="M2852" s="30"/>
      <c r="N2852" s="33" t="str">
        <f t="shared" si="273"/>
        <v/>
      </c>
      <c r="O2852" s="34"/>
      <c r="P2852" s="36" t="str">
        <f t="shared" si="274"/>
        <v/>
      </c>
      <c r="Q2852" s="216" t="str">
        <f t="shared" si="275"/>
        <v/>
      </c>
      <c r="R2852" s="216" t="str">
        <f t="shared" si="276"/>
        <v/>
      </c>
      <c r="S2852" s="217" t="str">
        <f t="shared" si="277"/>
        <v/>
      </c>
    </row>
    <row r="2853" spans="1:19" ht="15.75" hidden="1" thickBot="1" x14ac:dyDescent="0.3">
      <c r="A2853" s="263"/>
      <c r="B2853" s="261"/>
      <c r="C2853" s="35"/>
      <c r="D2853" s="35"/>
      <c r="E2853" s="36"/>
      <c r="F2853" s="30" t="s">
        <v>416</v>
      </c>
      <c r="G2853" s="33" t="str">
        <f t="shared" si="272"/>
        <v/>
      </c>
      <c r="H2853" s="34"/>
      <c r="I2853" s="30"/>
      <c r="J2853" s="152">
        <v>0</v>
      </c>
      <c r="L2853" s="215"/>
      <c r="M2853" s="30"/>
      <c r="N2853" s="33" t="str">
        <f t="shared" si="273"/>
        <v/>
      </c>
      <c r="O2853" s="34"/>
      <c r="P2853" s="36" t="str">
        <f t="shared" si="274"/>
        <v/>
      </c>
      <c r="Q2853" s="216" t="str">
        <f t="shared" si="275"/>
        <v/>
      </c>
      <c r="R2853" s="216" t="str">
        <f t="shared" si="276"/>
        <v/>
      </c>
      <c r="S2853" s="217" t="str">
        <f t="shared" si="277"/>
        <v/>
      </c>
    </row>
    <row r="2854" spans="1:19" ht="15.75" hidden="1" thickBot="1" x14ac:dyDescent="0.3">
      <c r="A2854" s="256" t="s">
        <v>693</v>
      </c>
      <c r="B2854" s="259" t="str">
        <f>INDEX(Orçamentária!A:B,MATCH(Composições!A2854,Orçamentária!A:A,0),2)</f>
        <v>Contra fechadura, para alvenaria, para porta com fechadura 1520/9520</v>
      </c>
      <c r="C2854" s="40"/>
      <c r="D2854" s="25" t="s">
        <v>16</v>
      </c>
      <c r="E2854" s="26"/>
      <c r="F2854" s="41" t="s">
        <v>416</v>
      </c>
      <c r="G2854" s="27" t="str">
        <f t="shared" si="272"/>
        <v/>
      </c>
      <c r="H2854" s="28"/>
      <c r="I2854" s="29"/>
      <c r="J2854" s="152">
        <v>0</v>
      </c>
      <c r="L2854" s="218"/>
      <c r="M2854" s="41"/>
      <c r="N2854" s="27" t="str">
        <f t="shared" si="273"/>
        <v/>
      </c>
      <c r="O2854" s="28"/>
      <c r="P2854" s="36" t="str">
        <f t="shared" si="274"/>
        <v/>
      </c>
      <c r="Q2854" s="216" t="str">
        <f t="shared" si="275"/>
        <v/>
      </c>
      <c r="R2854" s="216" t="str">
        <f t="shared" si="276"/>
        <v/>
      </c>
      <c r="S2854" s="217" t="str">
        <f t="shared" si="277"/>
        <v/>
      </c>
    </row>
    <row r="2855" spans="1:19" ht="15.75" hidden="1" thickBot="1" x14ac:dyDescent="0.3">
      <c r="A2855" s="262"/>
      <c r="B2855" s="260"/>
      <c r="C2855" s="31"/>
      <c r="D2855" s="31"/>
      <c r="E2855" s="32"/>
      <c r="F2855" s="42" t="s">
        <v>416</v>
      </c>
      <c r="G2855" s="33" t="str">
        <f t="shared" si="272"/>
        <v/>
      </c>
      <c r="H2855" s="34"/>
      <c r="I2855" s="30"/>
      <c r="J2855" s="152">
        <v>0</v>
      </c>
      <c r="L2855" s="219"/>
      <c r="M2855" s="42"/>
      <c r="N2855" s="33" t="str">
        <f t="shared" si="273"/>
        <v/>
      </c>
      <c r="O2855" s="34"/>
      <c r="P2855" s="36" t="str">
        <f t="shared" si="274"/>
        <v/>
      </c>
      <c r="Q2855" s="216" t="str">
        <f t="shared" si="275"/>
        <v/>
      </c>
      <c r="R2855" s="216" t="str">
        <f t="shared" si="276"/>
        <v/>
      </c>
      <c r="S2855" s="217" t="str">
        <f t="shared" si="277"/>
        <v/>
      </c>
    </row>
    <row r="2856" spans="1:19" ht="15.75" hidden="1" thickBot="1" x14ac:dyDescent="0.3">
      <c r="A2856" s="262"/>
      <c r="B2856" s="260"/>
      <c r="C2856" s="35" t="s">
        <v>2909</v>
      </c>
      <c r="D2856" s="35" t="s">
        <v>583</v>
      </c>
      <c r="E2856" s="36">
        <v>0.25</v>
      </c>
      <c r="F2856" s="33">
        <v>25.060999999999996</v>
      </c>
      <c r="G2856" s="33">
        <f t="shared" si="272"/>
        <v>6.2652499999999991</v>
      </c>
      <c r="H2856" s="38">
        <f>SUM(G2856:G2857)</f>
        <v>6.2652499999999991</v>
      </c>
      <c r="I2856" s="39"/>
      <c r="J2856" s="152">
        <v>0</v>
      </c>
      <c r="L2856" s="215">
        <v>0.25</v>
      </c>
      <c r="M2856" s="33">
        <v>21.452215999999996</v>
      </c>
      <c r="N2856" s="33">
        <f t="shared" si="273"/>
        <v>5.3630539999999991</v>
      </c>
      <c r="O2856" s="38">
        <f>SUM(N2856:N2857)</f>
        <v>5.3630539999999991</v>
      </c>
      <c r="P2856" s="36" t="str">
        <f t="shared" si="274"/>
        <v/>
      </c>
      <c r="Q2856" s="216">
        <f t="shared" si="275"/>
        <v>0.14400000000000002</v>
      </c>
      <c r="R2856" s="216">
        <f t="shared" si="276"/>
        <v>0.14400000000000002</v>
      </c>
      <c r="S2856" s="217">
        <f t="shared" si="277"/>
        <v>0.14400000000000002</v>
      </c>
    </row>
    <row r="2857" spans="1:19" ht="39" hidden="1" thickBot="1" x14ac:dyDescent="0.3">
      <c r="A2857" s="262"/>
      <c r="B2857" s="260"/>
      <c r="C2857" s="35" t="s">
        <v>694</v>
      </c>
      <c r="D2857" s="35" t="s">
        <v>16</v>
      </c>
      <c r="E2857" s="36">
        <v>1</v>
      </c>
      <c r="F2857" s="30" t="s">
        <v>416</v>
      </c>
      <c r="G2857" s="33" t="str">
        <f t="shared" si="272"/>
        <v/>
      </c>
      <c r="H2857" s="34"/>
      <c r="I2857" s="30"/>
      <c r="J2857" s="152">
        <v>0</v>
      </c>
      <c r="L2857" s="215">
        <v>1</v>
      </c>
      <c r="M2857" s="30"/>
      <c r="N2857" s="33" t="str">
        <f t="shared" si="273"/>
        <v/>
      </c>
      <c r="O2857" s="34"/>
      <c r="P2857" s="36" t="str">
        <f t="shared" si="274"/>
        <v/>
      </c>
      <c r="Q2857" s="216" t="str">
        <f t="shared" si="275"/>
        <v/>
      </c>
      <c r="R2857" s="216" t="str">
        <f t="shared" si="276"/>
        <v/>
      </c>
      <c r="S2857" s="217" t="str">
        <f t="shared" si="277"/>
        <v/>
      </c>
    </row>
    <row r="2858" spans="1:19" ht="15.75" hidden="1" thickBot="1" x14ac:dyDescent="0.3">
      <c r="A2858" s="263"/>
      <c r="B2858" s="261"/>
      <c r="C2858" s="35"/>
      <c r="D2858" s="35"/>
      <c r="E2858" s="36"/>
      <c r="F2858" s="30" t="s">
        <v>416</v>
      </c>
      <c r="G2858" s="33" t="str">
        <f t="shared" si="272"/>
        <v/>
      </c>
      <c r="H2858" s="34"/>
      <c r="I2858" s="30"/>
      <c r="J2858" s="152">
        <v>0</v>
      </c>
      <c r="L2858" s="215"/>
      <c r="M2858" s="30"/>
      <c r="N2858" s="33" t="str">
        <f t="shared" si="273"/>
        <v/>
      </c>
      <c r="O2858" s="34"/>
      <c r="P2858" s="36" t="str">
        <f t="shared" si="274"/>
        <v/>
      </c>
      <c r="Q2858" s="216" t="str">
        <f t="shared" si="275"/>
        <v/>
      </c>
      <c r="R2858" s="216" t="str">
        <f t="shared" si="276"/>
        <v/>
      </c>
      <c r="S2858" s="217" t="str">
        <f t="shared" si="277"/>
        <v/>
      </c>
    </row>
    <row r="2859" spans="1:19" ht="15.75" hidden="1" thickBot="1" x14ac:dyDescent="0.3">
      <c r="A2859" s="256" t="s">
        <v>695</v>
      </c>
      <c r="B2859" s="259" t="str">
        <f>INDEX(Orçamentária!A:B,MATCH(Composições!A2859,Orçamentária!A:A,0),2)</f>
        <v>Contra fechadura de pressão para porta de vidro temperado</v>
      </c>
      <c r="C2859" s="40"/>
      <c r="D2859" s="25" t="s">
        <v>16</v>
      </c>
      <c r="E2859" s="26"/>
      <c r="F2859" s="41" t="s">
        <v>416</v>
      </c>
      <c r="G2859" s="27" t="str">
        <f t="shared" si="272"/>
        <v/>
      </c>
      <c r="H2859" s="28"/>
      <c r="I2859" s="29"/>
      <c r="J2859" s="152">
        <v>0</v>
      </c>
      <c r="L2859" s="218"/>
      <c r="M2859" s="41"/>
      <c r="N2859" s="27" t="str">
        <f t="shared" si="273"/>
        <v/>
      </c>
      <c r="O2859" s="28"/>
      <c r="P2859" s="36" t="str">
        <f t="shared" si="274"/>
        <v/>
      </c>
      <c r="Q2859" s="216" t="str">
        <f t="shared" si="275"/>
        <v/>
      </c>
      <c r="R2859" s="216" t="str">
        <f t="shared" si="276"/>
        <v/>
      </c>
      <c r="S2859" s="217" t="str">
        <f t="shared" si="277"/>
        <v/>
      </c>
    </row>
    <row r="2860" spans="1:19" ht="15.75" hidden="1" thickBot="1" x14ac:dyDescent="0.3">
      <c r="A2860" s="262"/>
      <c r="B2860" s="260"/>
      <c r="C2860" s="31"/>
      <c r="D2860" s="31"/>
      <c r="E2860" s="32"/>
      <c r="F2860" s="42" t="s">
        <v>416</v>
      </c>
      <c r="G2860" s="33" t="str">
        <f t="shared" si="272"/>
        <v/>
      </c>
      <c r="H2860" s="34"/>
      <c r="I2860" s="30"/>
      <c r="J2860" s="152">
        <v>0</v>
      </c>
      <c r="L2860" s="219"/>
      <c r="M2860" s="42"/>
      <c r="N2860" s="33" t="str">
        <f t="shared" si="273"/>
        <v/>
      </c>
      <c r="O2860" s="34"/>
      <c r="P2860" s="36" t="str">
        <f t="shared" si="274"/>
        <v/>
      </c>
      <c r="Q2860" s="216" t="str">
        <f t="shared" si="275"/>
        <v/>
      </c>
      <c r="R2860" s="216" t="str">
        <f t="shared" si="276"/>
        <v/>
      </c>
      <c r="S2860" s="217" t="str">
        <f t="shared" si="277"/>
        <v/>
      </c>
    </row>
    <row r="2861" spans="1:19" ht="15.75" hidden="1" thickBot="1" x14ac:dyDescent="0.3">
      <c r="A2861" s="262"/>
      <c r="B2861" s="260"/>
      <c r="C2861" s="35" t="s">
        <v>2909</v>
      </c>
      <c r="D2861" s="35" t="s">
        <v>583</v>
      </c>
      <c r="E2861" s="36">
        <v>0.25</v>
      </c>
      <c r="F2861" s="33">
        <v>25.060999999999996</v>
      </c>
      <c r="G2861" s="33">
        <f t="shared" si="272"/>
        <v>6.2652499999999991</v>
      </c>
      <c r="H2861" s="38">
        <f>SUM(G2861:G2862)</f>
        <v>6.2652499999999991</v>
      </c>
      <c r="I2861" s="39"/>
      <c r="J2861" s="152">
        <v>0</v>
      </c>
      <c r="L2861" s="215">
        <v>0.25</v>
      </c>
      <c r="M2861" s="33">
        <v>21.452215999999996</v>
      </c>
      <c r="N2861" s="33">
        <f t="shared" si="273"/>
        <v>5.3630539999999991</v>
      </c>
      <c r="O2861" s="38">
        <f>SUM(N2861:N2862)</f>
        <v>5.3630539999999991</v>
      </c>
      <c r="P2861" s="36" t="str">
        <f t="shared" si="274"/>
        <v/>
      </c>
      <c r="Q2861" s="216">
        <f t="shared" si="275"/>
        <v>0.14400000000000002</v>
      </c>
      <c r="R2861" s="216">
        <f t="shared" si="276"/>
        <v>0.14400000000000002</v>
      </c>
      <c r="S2861" s="217">
        <f t="shared" si="277"/>
        <v>0.14400000000000002</v>
      </c>
    </row>
    <row r="2862" spans="1:19" ht="39" hidden="1" thickBot="1" x14ac:dyDescent="0.3">
      <c r="A2862" s="262"/>
      <c r="B2862" s="260"/>
      <c r="C2862" s="35" t="s">
        <v>696</v>
      </c>
      <c r="D2862" s="35" t="s">
        <v>16</v>
      </c>
      <c r="E2862" s="36">
        <v>1</v>
      </c>
      <c r="F2862" s="30" t="s">
        <v>416</v>
      </c>
      <c r="G2862" s="33" t="str">
        <f t="shared" si="272"/>
        <v/>
      </c>
      <c r="H2862" s="34"/>
      <c r="I2862" s="30"/>
      <c r="J2862" s="152">
        <v>0</v>
      </c>
      <c r="L2862" s="215">
        <v>1</v>
      </c>
      <c r="M2862" s="30"/>
      <c r="N2862" s="33" t="str">
        <f t="shared" si="273"/>
        <v/>
      </c>
      <c r="O2862" s="34"/>
      <c r="P2862" s="36" t="str">
        <f t="shared" si="274"/>
        <v/>
      </c>
      <c r="Q2862" s="216" t="str">
        <f t="shared" si="275"/>
        <v/>
      </c>
      <c r="R2862" s="216" t="str">
        <f t="shared" si="276"/>
        <v/>
      </c>
      <c r="S2862" s="217" t="str">
        <f t="shared" si="277"/>
        <v/>
      </c>
    </row>
    <row r="2863" spans="1:19" ht="15.75" hidden="1" thickBot="1" x14ac:dyDescent="0.3">
      <c r="A2863" s="263"/>
      <c r="B2863" s="261"/>
      <c r="C2863" s="35"/>
      <c r="D2863" s="35"/>
      <c r="E2863" s="36"/>
      <c r="F2863" s="30" t="s">
        <v>416</v>
      </c>
      <c r="G2863" s="33" t="str">
        <f t="shared" si="272"/>
        <v/>
      </c>
      <c r="H2863" s="34"/>
      <c r="I2863" s="30"/>
      <c r="J2863" s="152">
        <v>0</v>
      </c>
      <c r="L2863" s="215"/>
      <c r="M2863" s="30"/>
      <c r="N2863" s="33" t="str">
        <f t="shared" si="273"/>
        <v/>
      </c>
      <c r="O2863" s="34"/>
      <c r="P2863" s="36" t="str">
        <f t="shared" si="274"/>
        <v/>
      </c>
      <c r="Q2863" s="216" t="str">
        <f t="shared" si="275"/>
        <v/>
      </c>
      <c r="R2863" s="216" t="str">
        <f t="shared" si="276"/>
        <v/>
      </c>
      <c r="S2863" s="217" t="str">
        <f t="shared" si="277"/>
        <v/>
      </c>
    </row>
    <row r="2864" spans="1:19" ht="15.75" hidden="1" thickBot="1" x14ac:dyDescent="0.3">
      <c r="A2864" s="256" t="s">
        <v>697</v>
      </c>
      <c r="B2864" s="259" t="str">
        <f>INDEX(Orçamentária!A:B,MATCH(Composições!A2864,Orçamentária!A:A,0),2)</f>
        <v>Contra fechadura, com furo, para porta com furo</v>
      </c>
      <c r="C2864" s="40"/>
      <c r="D2864" s="25" t="s">
        <v>16</v>
      </c>
      <c r="E2864" s="26"/>
      <c r="F2864" s="41" t="s">
        <v>416</v>
      </c>
      <c r="G2864" s="27" t="str">
        <f t="shared" si="272"/>
        <v/>
      </c>
      <c r="H2864" s="28"/>
      <c r="I2864" s="29"/>
      <c r="J2864" s="152">
        <v>0</v>
      </c>
      <c r="L2864" s="218"/>
      <c r="M2864" s="41"/>
      <c r="N2864" s="27" t="str">
        <f t="shared" si="273"/>
        <v/>
      </c>
      <c r="O2864" s="28"/>
      <c r="P2864" s="36" t="str">
        <f t="shared" si="274"/>
        <v/>
      </c>
      <c r="Q2864" s="216" t="str">
        <f t="shared" si="275"/>
        <v/>
      </c>
      <c r="R2864" s="216" t="str">
        <f t="shared" si="276"/>
        <v/>
      </c>
      <c r="S2864" s="217" t="str">
        <f t="shared" si="277"/>
        <v/>
      </c>
    </row>
    <row r="2865" spans="1:19" ht="15.75" hidden="1" thickBot="1" x14ac:dyDescent="0.3">
      <c r="A2865" s="262"/>
      <c r="B2865" s="260"/>
      <c r="C2865" s="31"/>
      <c r="D2865" s="31"/>
      <c r="E2865" s="32"/>
      <c r="F2865" s="42" t="s">
        <v>416</v>
      </c>
      <c r="G2865" s="33" t="str">
        <f t="shared" si="272"/>
        <v/>
      </c>
      <c r="H2865" s="34"/>
      <c r="I2865" s="30"/>
      <c r="J2865" s="152">
        <v>0</v>
      </c>
      <c r="L2865" s="219"/>
      <c r="M2865" s="42"/>
      <c r="N2865" s="33" t="str">
        <f t="shared" si="273"/>
        <v/>
      </c>
      <c r="O2865" s="34"/>
      <c r="P2865" s="36" t="str">
        <f t="shared" si="274"/>
        <v/>
      </c>
      <c r="Q2865" s="216" t="str">
        <f t="shared" si="275"/>
        <v/>
      </c>
      <c r="R2865" s="216" t="str">
        <f t="shared" si="276"/>
        <v/>
      </c>
      <c r="S2865" s="217" t="str">
        <f t="shared" si="277"/>
        <v/>
      </c>
    </row>
    <row r="2866" spans="1:19" ht="15.75" hidden="1" thickBot="1" x14ac:dyDescent="0.3">
      <c r="A2866" s="262"/>
      <c r="B2866" s="260"/>
      <c r="C2866" s="35" t="s">
        <v>2909</v>
      </c>
      <c r="D2866" s="35" t="s">
        <v>583</v>
      </c>
      <c r="E2866" s="36">
        <v>0.25</v>
      </c>
      <c r="F2866" s="33">
        <v>25.060999999999996</v>
      </c>
      <c r="G2866" s="33">
        <f t="shared" si="272"/>
        <v>6.2652499999999991</v>
      </c>
      <c r="H2866" s="38">
        <f>SUM(G2866:G2867)</f>
        <v>6.2652499999999991</v>
      </c>
      <c r="I2866" s="39"/>
      <c r="J2866" s="152">
        <v>0</v>
      </c>
      <c r="L2866" s="215">
        <v>0.25</v>
      </c>
      <c r="M2866" s="33">
        <v>21.452215999999996</v>
      </c>
      <c r="N2866" s="33">
        <f t="shared" si="273"/>
        <v>5.3630539999999991</v>
      </c>
      <c r="O2866" s="38">
        <f>SUM(N2866:N2867)</f>
        <v>5.3630539999999991</v>
      </c>
      <c r="P2866" s="36" t="str">
        <f t="shared" si="274"/>
        <v/>
      </c>
      <c r="Q2866" s="216">
        <f t="shared" si="275"/>
        <v>0.14400000000000002</v>
      </c>
      <c r="R2866" s="216">
        <f t="shared" si="276"/>
        <v>0.14400000000000002</v>
      </c>
      <c r="S2866" s="217">
        <f t="shared" si="277"/>
        <v>0.14400000000000002</v>
      </c>
    </row>
    <row r="2867" spans="1:19" ht="39" hidden="1" thickBot="1" x14ac:dyDescent="0.3">
      <c r="A2867" s="262"/>
      <c r="B2867" s="260"/>
      <c r="C2867" s="35" t="s">
        <v>698</v>
      </c>
      <c r="D2867" s="35" t="s">
        <v>16</v>
      </c>
      <c r="E2867" s="36">
        <v>1</v>
      </c>
      <c r="F2867" s="30" t="s">
        <v>416</v>
      </c>
      <c r="G2867" s="33" t="str">
        <f t="shared" si="272"/>
        <v/>
      </c>
      <c r="H2867" s="34"/>
      <c r="I2867" s="30"/>
      <c r="J2867" s="152">
        <v>0</v>
      </c>
      <c r="L2867" s="215">
        <v>1</v>
      </c>
      <c r="M2867" s="30"/>
      <c r="N2867" s="33" t="str">
        <f t="shared" si="273"/>
        <v/>
      </c>
      <c r="O2867" s="34"/>
      <c r="P2867" s="36" t="str">
        <f t="shared" si="274"/>
        <v/>
      </c>
      <c r="Q2867" s="216" t="str">
        <f t="shared" si="275"/>
        <v/>
      </c>
      <c r="R2867" s="216" t="str">
        <f t="shared" si="276"/>
        <v/>
      </c>
      <c r="S2867" s="217" t="str">
        <f t="shared" si="277"/>
        <v/>
      </c>
    </row>
    <row r="2868" spans="1:19" ht="15.75" hidden="1" thickBot="1" x14ac:dyDescent="0.3">
      <c r="A2868" s="263"/>
      <c r="B2868" s="261"/>
      <c r="C2868" s="35"/>
      <c r="D2868" s="35"/>
      <c r="E2868" s="36"/>
      <c r="F2868" s="30" t="s">
        <v>416</v>
      </c>
      <c r="G2868" s="33" t="str">
        <f t="shared" si="272"/>
        <v/>
      </c>
      <c r="H2868" s="34"/>
      <c r="I2868" s="30"/>
      <c r="J2868" s="152">
        <v>0</v>
      </c>
      <c r="L2868" s="215"/>
      <c r="M2868" s="30"/>
      <c r="N2868" s="33" t="str">
        <f t="shared" si="273"/>
        <v/>
      </c>
      <c r="O2868" s="34"/>
      <c r="P2868" s="36" t="str">
        <f t="shared" si="274"/>
        <v/>
      </c>
      <c r="Q2868" s="216" t="str">
        <f t="shared" si="275"/>
        <v/>
      </c>
      <c r="R2868" s="216" t="str">
        <f t="shared" si="276"/>
        <v/>
      </c>
      <c r="S2868" s="217" t="str">
        <f t="shared" si="277"/>
        <v/>
      </c>
    </row>
    <row r="2869" spans="1:19" ht="15.75" hidden="1" thickBot="1" x14ac:dyDescent="0.3">
      <c r="A2869" s="256" t="s">
        <v>699</v>
      </c>
      <c r="B2869" s="259" t="str">
        <f>INDEX(Orçamentária!A:B,MATCH(Composições!A2869,Orçamentária!A:A,0),2)</f>
        <v>Trinco inferior, com miolo, para porta de vidro temperado</v>
      </c>
      <c r="C2869" s="40"/>
      <c r="D2869" s="25" t="s">
        <v>16</v>
      </c>
      <c r="E2869" s="26"/>
      <c r="F2869" s="41" t="s">
        <v>416</v>
      </c>
      <c r="G2869" s="27" t="str">
        <f t="shared" si="272"/>
        <v/>
      </c>
      <c r="H2869" s="28"/>
      <c r="I2869" s="29"/>
      <c r="J2869" s="152">
        <v>0</v>
      </c>
      <c r="L2869" s="218"/>
      <c r="M2869" s="41"/>
      <c r="N2869" s="27" t="str">
        <f t="shared" si="273"/>
        <v/>
      </c>
      <c r="O2869" s="28"/>
      <c r="P2869" s="36" t="str">
        <f t="shared" si="274"/>
        <v/>
      </c>
      <c r="Q2869" s="216" t="str">
        <f t="shared" si="275"/>
        <v/>
      </c>
      <c r="R2869" s="216" t="str">
        <f t="shared" si="276"/>
        <v/>
      </c>
      <c r="S2869" s="217" t="str">
        <f t="shared" si="277"/>
        <v/>
      </c>
    </row>
    <row r="2870" spans="1:19" ht="15.75" hidden="1" thickBot="1" x14ac:dyDescent="0.3">
      <c r="A2870" s="262"/>
      <c r="B2870" s="260"/>
      <c r="C2870" s="31"/>
      <c r="D2870" s="31"/>
      <c r="E2870" s="32"/>
      <c r="F2870" s="42" t="s">
        <v>416</v>
      </c>
      <c r="G2870" s="33" t="str">
        <f t="shared" si="272"/>
        <v/>
      </c>
      <c r="H2870" s="34"/>
      <c r="I2870" s="30"/>
      <c r="J2870" s="152">
        <v>0</v>
      </c>
      <c r="L2870" s="219"/>
      <c r="M2870" s="42"/>
      <c r="N2870" s="33" t="str">
        <f t="shared" si="273"/>
        <v/>
      </c>
      <c r="O2870" s="34"/>
      <c r="P2870" s="36" t="str">
        <f t="shared" si="274"/>
        <v/>
      </c>
      <c r="Q2870" s="216" t="str">
        <f t="shared" si="275"/>
        <v/>
      </c>
      <c r="R2870" s="216" t="str">
        <f t="shared" si="276"/>
        <v/>
      </c>
      <c r="S2870" s="217" t="str">
        <f t="shared" si="277"/>
        <v/>
      </c>
    </row>
    <row r="2871" spans="1:19" ht="15.75" hidden="1" thickBot="1" x14ac:dyDescent="0.3">
      <c r="A2871" s="262"/>
      <c r="B2871" s="260"/>
      <c r="C2871" s="35" t="s">
        <v>2909</v>
      </c>
      <c r="D2871" s="35" t="s">
        <v>583</v>
      </c>
      <c r="E2871" s="36">
        <v>0.25</v>
      </c>
      <c r="F2871" s="33">
        <v>25.060999999999996</v>
      </c>
      <c r="G2871" s="33">
        <f t="shared" si="272"/>
        <v>6.2652499999999991</v>
      </c>
      <c r="H2871" s="38">
        <f>SUM(G2871:G2872)</f>
        <v>6.2652499999999991</v>
      </c>
      <c r="I2871" s="39"/>
      <c r="J2871" s="152">
        <v>0</v>
      </c>
      <c r="L2871" s="215">
        <v>0.25</v>
      </c>
      <c r="M2871" s="33">
        <v>21.452215999999996</v>
      </c>
      <c r="N2871" s="33">
        <f t="shared" si="273"/>
        <v>5.3630539999999991</v>
      </c>
      <c r="O2871" s="38">
        <f>SUM(N2871:N2872)</f>
        <v>5.3630539999999991</v>
      </c>
      <c r="P2871" s="36" t="str">
        <f t="shared" si="274"/>
        <v/>
      </c>
      <c r="Q2871" s="216">
        <f t="shared" si="275"/>
        <v>0.14400000000000002</v>
      </c>
      <c r="R2871" s="216">
        <f t="shared" si="276"/>
        <v>0.14400000000000002</v>
      </c>
      <c r="S2871" s="217">
        <f t="shared" si="277"/>
        <v>0.14400000000000002</v>
      </c>
    </row>
    <row r="2872" spans="1:19" ht="26.25" hidden="1" thickBot="1" x14ac:dyDescent="0.3">
      <c r="A2872" s="262"/>
      <c r="B2872" s="260"/>
      <c r="C2872" s="35" t="s">
        <v>700</v>
      </c>
      <c r="D2872" s="35" t="s">
        <v>16</v>
      </c>
      <c r="E2872" s="36">
        <v>1</v>
      </c>
      <c r="F2872" s="30">
        <v>0</v>
      </c>
      <c r="G2872" s="33">
        <f t="shared" si="272"/>
        <v>0</v>
      </c>
      <c r="H2872" s="34"/>
      <c r="I2872" s="30"/>
      <c r="J2872" s="152">
        <v>0</v>
      </c>
      <c r="L2872" s="215">
        <v>1</v>
      </c>
      <c r="M2872" s="30">
        <v>0</v>
      </c>
      <c r="N2872" s="33">
        <f t="shared" si="273"/>
        <v>0</v>
      </c>
      <c r="O2872" s="34"/>
      <c r="P2872" s="36" t="str">
        <f t="shared" si="274"/>
        <v/>
      </c>
      <c r="Q2872" s="216" t="e">
        <f t="shared" si="275"/>
        <v>#DIV/0!</v>
      </c>
      <c r="R2872" s="216" t="e">
        <f t="shared" si="276"/>
        <v>#DIV/0!</v>
      </c>
      <c r="S2872" s="217" t="str">
        <f t="shared" si="277"/>
        <v/>
      </c>
    </row>
    <row r="2873" spans="1:19" ht="15.75" hidden="1" thickBot="1" x14ac:dyDescent="0.3">
      <c r="A2873" s="263"/>
      <c r="B2873" s="261"/>
      <c r="C2873" s="35"/>
      <c r="D2873" s="35"/>
      <c r="E2873" s="36"/>
      <c r="F2873" s="30" t="s">
        <v>416</v>
      </c>
      <c r="G2873" s="33" t="str">
        <f t="shared" si="272"/>
        <v/>
      </c>
      <c r="H2873" s="34"/>
      <c r="I2873" s="30"/>
      <c r="J2873" s="152">
        <v>0</v>
      </c>
      <c r="L2873" s="215"/>
      <c r="M2873" s="30"/>
      <c r="N2873" s="33" t="str">
        <f t="shared" si="273"/>
        <v/>
      </c>
      <c r="O2873" s="34"/>
      <c r="P2873" s="36" t="str">
        <f t="shared" si="274"/>
        <v/>
      </c>
      <c r="Q2873" s="216" t="str">
        <f t="shared" si="275"/>
        <v/>
      </c>
      <c r="R2873" s="216" t="str">
        <f t="shared" si="276"/>
        <v/>
      </c>
      <c r="S2873" s="217" t="str">
        <f t="shared" si="277"/>
        <v/>
      </c>
    </row>
    <row r="2874" spans="1:19" ht="15.75" hidden="1" thickBot="1" x14ac:dyDescent="0.3">
      <c r="A2874" s="256" t="s">
        <v>701</v>
      </c>
      <c r="B2874" s="259" t="str">
        <f>INDEX(Orçamentária!A:B,MATCH(Composições!A2874,Orçamentária!A:A,0),2)</f>
        <v>Mola hidráulica BTS 75R</v>
      </c>
      <c r="C2874" s="40"/>
      <c r="D2874" s="25" t="s">
        <v>16</v>
      </c>
      <c r="E2874" s="26"/>
      <c r="F2874" s="41" t="s">
        <v>416</v>
      </c>
      <c r="G2874" s="27" t="str">
        <f t="shared" si="272"/>
        <v/>
      </c>
      <c r="H2874" s="28"/>
      <c r="I2874" s="29"/>
      <c r="J2874" s="152">
        <v>0</v>
      </c>
      <c r="L2874" s="218"/>
      <c r="M2874" s="41"/>
      <c r="N2874" s="27" t="str">
        <f t="shared" si="273"/>
        <v/>
      </c>
      <c r="O2874" s="28"/>
      <c r="P2874" s="36" t="str">
        <f t="shared" si="274"/>
        <v/>
      </c>
      <c r="Q2874" s="216" t="str">
        <f t="shared" si="275"/>
        <v/>
      </c>
      <c r="R2874" s="216" t="str">
        <f t="shared" si="276"/>
        <v/>
      </c>
      <c r="S2874" s="217" t="str">
        <f t="shared" si="277"/>
        <v/>
      </c>
    </row>
    <row r="2875" spans="1:19" ht="15.75" hidden="1" thickBot="1" x14ac:dyDescent="0.3">
      <c r="A2875" s="262"/>
      <c r="B2875" s="260"/>
      <c r="C2875" s="31"/>
      <c r="D2875" s="31"/>
      <c r="E2875" s="32"/>
      <c r="F2875" s="42" t="s">
        <v>416</v>
      </c>
      <c r="G2875" s="33" t="str">
        <f t="shared" si="272"/>
        <v/>
      </c>
      <c r="H2875" s="34"/>
      <c r="I2875" s="30"/>
      <c r="J2875" s="152">
        <v>0</v>
      </c>
      <c r="L2875" s="219"/>
      <c r="M2875" s="42"/>
      <c r="N2875" s="33" t="str">
        <f t="shared" si="273"/>
        <v/>
      </c>
      <c r="O2875" s="34"/>
      <c r="P2875" s="36" t="str">
        <f t="shared" si="274"/>
        <v/>
      </c>
      <c r="Q2875" s="216" t="str">
        <f t="shared" si="275"/>
        <v/>
      </c>
      <c r="R2875" s="216" t="str">
        <f t="shared" si="276"/>
        <v/>
      </c>
      <c r="S2875" s="217" t="str">
        <f t="shared" si="277"/>
        <v/>
      </c>
    </row>
    <row r="2876" spans="1:19" ht="15.75" hidden="1" thickBot="1" x14ac:dyDescent="0.3">
      <c r="A2876" s="262"/>
      <c r="B2876" s="260"/>
      <c r="C2876" s="35" t="s">
        <v>2909</v>
      </c>
      <c r="D2876" s="35" t="s">
        <v>583</v>
      </c>
      <c r="E2876" s="36">
        <v>1.8180000000000001</v>
      </c>
      <c r="F2876" s="33">
        <v>25.060999999999996</v>
      </c>
      <c r="G2876" s="33">
        <f t="shared" si="272"/>
        <v>45.560897999999995</v>
      </c>
      <c r="H2876" s="38">
        <f>SUM(G2876:G2879)</f>
        <v>81.299356499999988</v>
      </c>
      <c r="I2876" s="39"/>
      <c r="J2876" s="152">
        <v>0</v>
      </c>
      <c r="L2876" s="215">
        <v>1.8180000000000001</v>
      </c>
      <c r="M2876" s="33">
        <v>21.452215999999996</v>
      </c>
      <c r="N2876" s="33">
        <f t="shared" si="273"/>
        <v>39.000128687999997</v>
      </c>
      <c r="O2876" s="38">
        <f>SUM(N2876:N2879)</f>
        <v>69.592249163999981</v>
      </c>
      <c r="P2876" s="36" t="str">
        <f t="shared" si="274"/>
        <v/>
      </c>
      <c r="Q2876" s="216">
        <f t="shared" si="275"/>
        <v>0.14400000000000002</v>
      </c>
      <c r="R2876" s="216">
        <f t="shared" si="276"/>
        <v>0.14400000000000002</v>
      </c>
      <c r="S2876" s="217">
        <f t="shared" si="277"/>
        <v>0.14400000000000013</v>
      </c>
    </row>
    <row r="2877" spans="1:19" ht="15.75" hidden="1" thickBot="1" x14ac:dyDescent="0.3">
      <c r="A2877" s="262"/>
      <c r="B2877" s="260"/>
      <c r="C2877" s="35" t="s">
        <v>584</v>
      </c>
      <c r="D2877" s="35" t="s">
        <v>583</v>
      </c>
      <c r="E2877" s="36">
        <v>1.7669999999999999</v>
      </c>
      <c r="F2877" s="30">
        <v>20.225499999999997</v>
      </c>
      <c r="G2877" s="33">
        <f t="shared" ref="G2877:G2940" si="278">IF(ISNUMBER(F2877),E2877*F2877,"")</f>
        <v>35.738458499999993</v>
      </c>
      <c r="H2877" s="34"/>
      <c r="I2877" s="30"/>
      <c r="J2877" s="152">
        <v>0</v>
      </c>
      <c r="L2877" s="215">
        <v>1.7669999999999999</v>
      </c>
      <c r="M2877" s="30">
        <v>17.313027999999996</v>
      </c>
      <c r="N2877" s="33">
        <f t="shared" ref="N2877:N2940" si="279">IF(ISNUMBER(M2877),L2877*M2877,"")</f>
        <v>30.592120475999991</v>
      </c>
      <c r="O2877" s="34"/>
      <c r="P2877" s="36" t="str">
        <f t="shared" si="274"/>
        <v/>
      </c>
      <c r="Q2877" s="216">
        <f t="shared" si="275"/>
        <v>0.14400000000000013</v>
      </c>
      <c r="R2877" s="216">
        <f t="shared" si="276"/>
        <v>0.14400000000000013</v>
      </c>
      <c r="S2877" s="217" t="str">
        <f t="shared" si="277"/>
        <v/>
      </c>
    </row>
    <row r="2878" spans="1:19" ht="15.75" hidden="1" thickBot="1" x14ac:dyDescent="0.3">
      <c r="A2878" s="262"/>
      <c r="B2878" s="260"/>
      <c r="C2878" s="35" t="s">
        <v>5551</v>
      </c>
      <c r="D2878" s="35" t="s">
        <v>16</v>
      </c>
      <c r="E2878" s="36">
        <v>1</v>
      </c>
      <c r="F2878" s="30" t="s">
        <v>416</v>
      </c>
      <c r="G2878" s="30" t="str">
        <f t="shared" si="278"/>
        <v/>
      </c>
      <c r="H2878" s="34"/>
      <c r="I2878" s="30"/>
      <c r="J2878" s="152">
        <v>0</v>
      </c>
      <c r="L2878" s="215">
        <v>1</v>
      </c>
      <c r="M2878" s="30"/>
      <c r="N2878" s="30" t="str">
        <f t="shared" si="279"/>
        <v/>
      </c>
      <c r="O2878" s="34"/>
      <c r="P2878" s="36" t="str">
        <f t="shared" si="274"/>
        <v/>
      </c>
      <c r="Q2878" s="216" t="str">
        <f t="shared" si="275"/>
        <v/>
      </c>
      <c r="R2878" s="216" t="str">
        <f t="shared" si="276"/>
        <v/>
      </c>
      <c r="S2878" s="217" t="str">
        <f t="shared" si="277"/>
        <v/>
      </c>
    </row>
    <row r="2879" spans="1:19" ht="39" hidden="1" thickBot="1" x14ac:dyDescent="0.3">
      <c r="A2879" s="262"/>
      <c r="B2879" s="260"/>
      <c r="C2879" s="35" t="s">
        <v>5550</v>
      </c>
      <c r="D2879" s="35" t="s">
        <v>16</v>
      </c>
      <c r="E2879" s="36">
        <v>1</v>
      </c>
      <c r="F2879" s="30" t="s">
        <v>416</v>
      </c>
      <c r="G2879" s="33" t="str">
        <f t="shared" si="278"/>
        <v/>
      </c>
      <c r="H2879" s="34"/>
      <c r="I2879" s="30"/>
      <c r="J2879" s="152">
        <v>0</v>
      </c>
      <c r="L2879" s="215">
        <v>1</v>
      </c>
      <c r="M2879" s="30"/>
      <c r="N2879" s="33" t="str">
        <f t="shared" si="279"/>
        <v/>
      </c>
      <c r="O2879" s="34"/>
      <c r="P2879" s="36" t="str">
        <f t="shared" si="274"/>
        <v/>
      </c>
      <c r="Q2879" s="216" t="str">
        <f t="shared" si="275"/>
        <v/>
      </c>
      <c r="R2879" s="216" t="str">
        <f t="shared" si="276"/>
        <v/>
      </c>
      <c r="S2879" s="217" t="str">
        <f t="shared" si="277"/>
        <v/>
      </c>
    </row>
    <row r="2880" spans="1:19" ht="15.75" hidden="1" thickBot="1" x14ac:dyDescent="0.3">
      <c r="A2880" s="263"/>
      <c r="B2880" s="261"/>
      <c r="C2880" s="35"/>
      <c r="D2880" s="35"/>
      <c r="E2880" s="36"/>
      <c r="F2880" s="30" t="s">
        <v>416</v>
      </c>
      <c r="G2880" s="33" t="str">
        <f t="shared" si="278"/>
        <v/>
      </c>
      <c r="H2880" s="34"/>
      <c r="I2880" s="30"/>
      <c r="J2880" s="152">
        <v>0</v>
      </c>
      <c r="L2880" s="215"/>
      <c r="M2880" s="30"/>
      <c r="N2880" s="33" t="str">
        <f t="shared" si="279"/>
        <v/>
      </c>
      <c r="O2880" s="34"/>
      <c r="P2880" s="36" t="str">
        <f t="shared" si="274"/>
        <v/>
      </c>
      <c r="Q2880" s="216" t="str">
        <f t="shared" si="275"/>
        <v/>
      </c>
      <c r="R2880" s="216" t="str">
        <f t="shared" si="276"/>
        <v/>
      </c>
      <c r="S2880" s="217" t="str">
        <f t="shared" si="277"/>
        <v/>
      </c>
    </row>
    <row r="2881" spans="1:19" ht="15.75" hidden="1" thickBot="1" x14ac:dyDescent="0.3">
      <c r="A2881" s="256" t="s">
        <v>702</v>
      </c>
      <c r="B2881" s="259" t="str">
        <f>INDEX(Orçamentária!A:B,MATCH(Composições!A2881,Orçamentária!A:A,0),2)</f>
        <v>Puxador redondo, padrão em poliéster, para porta de vidro temperado</v>
      </c>
      <c r="C2881" s="40"/>
      <c r="D2881" s="25" t="s">
        <v>16</v>
      </c>
      <c r="E2881" s="26"/>
      <c r="F2881" s="41" t="s">
        <v>416</v>
      </c>
      <c r="G2881" s="27" t="str">
        <f t="shared" si="278"/>
        <v/>
      </c>
      <c r="H2881" s="28"/>
      <c r="I2881" s="29"/>
      <c r="J2881" s="152">
        <v>0</v>
      </c>
      <c r="L2881" s="218"/>
      <c r="M2881" s="41"/>
      <c r="N2881" s="27" t="str">
        <f t="shared" si="279"/>
        <v/>
      </c>
      <c r="O2881" s="28"/>
      <c r="P2881" s="36" t="str">
        <f t="shared" si="274"/>
        <v/>
      </c>
      <c r="Q2881" s="216" t="str">
        <f t="shared" si="275"/>
        <v/>
      </c>
      <c r="R2881" s="216" t="str">
        <f t="shared" si="276"/>
        <v/>
      </c>
      <c r="S2881" s="217" t="str">
        <f t="shared" si="277"/>
        <v/>
      </c>
    </row>
    <row r="2882" spans="1:19" ht="15.75" hidden="1" thickBot="1" x14ac:dyDescent="0.3">
      <c r="A2882" s="262"/>
      <c r="B2882" s="260"/>
      <c r="C2882" s="31"/>
      <c r="D2882" s="31"/>
      <c r="E2882" s="32"/>
      <c r="F2882" s="42" t="s">
        <v>416</v>
      </c>
      <c r="G2882" s="33" t="str">
        <f t="shared" si="278"/>
        <v/>
      </c>
      <c r="H2882" s="34"/>
      <c r="I2882" s="30"/>
      <c r="J2882" s="152">
        <v>0</v>
      </c>
      <c r="L2882" s="219"/>
      <c r="M2882" s="42"/>
      <c r="N2882" s="33" t="str">
        <f t="shared" si="279"/>
        <v/>
      </c>
      <c r="O2882" s="34"/>
      <c r="P2882" s="36" t="str">
        <f t="shared" si="274"/>
        <v/>
      </c>
      <c r="Q2882" s="216" t="str">
        <f t="shared" si="275"/>
        <v/>
      </c>
      <c r="R2882" s="216" t="str">
        <f t="shared" si="276"/>
        <v/>
      </c>
      <c r="S2882" s="217" t="str">
        <f t="shared" si="277"/>
        <v/>
      </c>
    </row>
    <row r="2883" spans="1:19" ht="15.75" hidden="1" thickBot="1" x14ac:dyDescent="0.3">
      <c r="A2883" s="262"/>
      <c r="B2883" s="260"/>
      <c r="C2883" s="35" t="s">
        <v>2909</v>
      </c>
      <c r="D2883" s="35" t="s">
        <v>583</v>
      </c>
      <c r="E2883" s="36">
        <v>0.2</v>
      </c>
      <c r="F2883" s="33">
        <v>25.060999999999996</v>
      </c>
      <c r="G2883" s="33">
        <f t="shared" si="278"/>
        <v>5.0122</v>
      </c>
      <c r="H2883" s="38">
        <f>SUM(G2883:G2884)</f>
        <v>5.0122</v>
      </c>
      <c r="I2883" s="39"/>
      <c r="J2883" s="152">
        <v>0</v>
      </c>
      <c r="L2883" s="215">
        <v>0.2</v>
      </c>
      <c r="M2883" s="33">
        <v>21.452215999999996</v>
      </c>
      <c r="N2883" s="33">
        <f t="shared" si="279"/>
        <v>4.2904431999999995</v>
      </c>
      <c r="O2883" s="38">
        <f>SUM(N2883:N2884)</f>
        <v>4.2904431999999995</v>
      </c>
      <c r="P2883" s="36" t="str">
        <f t="shared" si="274"/>
        <v/>
      </c>
      <c r="Q2883" s="216">
        <f t="shared" si="275"/>
        <v>0.14400000000000002</v>
      </c>
      <c r="R2883" s="216">
        <f t="shared" si="276"/>
        <v>0.14400000000000013</v>
      </c>
      <c r="S2883" s="217">
        <f t="shared" si="277"/>
        <v>0.14400000000000013</v>
      </c>
    </row>
    <row r="2884" spans="1:19" ht="39" hidden="1" thickBot="1" x14ac:dyDescent="0.3">
      <c r="A2884" s="262"/>
      <c r="B2884" s="260"/>
      <c r="C2884" s="35" t="s">
        <v>703</v>
      </c>
      <c r="D2884" s="35" t="s">
        <v>16</v>
      </c>
      <c r="E2884" s="36">
        <v>1</v>
      </c>
      <c r="F2884" s="30" t="s">
        <v>416</v>
      </c>
      <c r="G2884" s="33" t="str">
        <f t="shared" si="278"/>
        <v/>
      </c>
      <c r="H2884" s="34"/>
      <c r="I2884" s="30"/>
      <c r="J2884" s="152">
        <v>0</v>
      </c>
      <c r="L2884" s="215">
        <v>1</v>
      </c>
      <c r="M2884" s="30"/>
      <c r="N2884" s="33" t="str">
        <f t="shared" si="279"/>
        <v/>
      </c>
      <c r="O2884" s="34"/>
      <c r="P2884" s="36" t="str">
        <f t="shared" si="274"/>
        <v/>
      </c>
      <c r="Q2884" s="216" t="str">
        <f t="shared" si="275"/>
        <v/>
      </c>
      <c r="R2884" s="216" t="str">
        <f t="shared" si="276"/>
        <v/>
      </c>
      <c r="S2884" s="217" t="str">
        <f t="shared" si="277"/>
        <v/>
      </c>
    </row>
    <row r="2885" spans="1:19" ht="15.75" hidden="1" thickBot="1" x14ac:dyDescent="0.3">
      <c r="A2885" s="263"/>
      <c r="B2885" s="261"/>
      <c r="C2885" s="35"/>
      <c r="D2885" s="35"/>
      <c r="E2885" s="36"/>
      <c r="F2885" s="30" t="s">
        <v>416</v>
      </c>
      <c r="G2885" s="33" t="str">
        <f t="shared" si="278"/>
        <v/>
      </c>
      <c r="H2885" s="34"/>
      <c r="I2885" s="30"/>
      <c r="J2885" s="152">
        <v>0</v>
      </c>
      <c r="L2885" s="215"/>
      <c r="M2885" s="30"/>
      <c r="N2885" s="33" t="str">
        <f t="shared" si="279"/>
        <v/>
      </c>
      <c r="O2885" s="34"/>
      <c r="P2885" s="36" t="str">
        <f t="shared" si="274"/>
        <v/>
      </c>
      <c r="Q2885" s="216" t="str">
        <f t="shared" si="275"/>
        <v/>
      </c>
      <c r="R2885" s="216" t="str">
        <f t="shared" si="276"/>
        <v/>
      </c>
      <c r="S2885" s="217" t="str">
        <f t="shared" si="277"/>
        <v/>
      </c>
    </row>
    <row r="2886" spans="1:19" ht="15.75" hidden="1" thickBot="1" x14ac:dyDescent="0.3">
      <c r="A2886" s="256" t="s">
        <v>704</v>
      </c>
      <c r="B2886" s="259" t="str">
        <f>INDEX(Orçamentária!A:B,MATCH(Composições!A2886,Orçamentária!A:A,0),2)</f>
        <v>Puxador em aço inox sob medida – Tipo A</v>
      </c>
      <c r="C2886" s="40"/>
      <c r="D2886" s="25" t="s">
        <v>16</v>
      </c>
      <c r="E2886" s="26"/>
      <c r="F2886" s="41" t="s">
        <v>416</v>
      </c>
      <c r="G2886" s="27" t="str">
        <f t="shared" si="278"/>
        <v/>
      </c>
      <c r="H2886" s="28"/>
      <c r="I2886" s="29"/>
      <c r="J2886" s="152">
        <v>0</v>
      </c>
      <c r="L2886" s="218"/>
      <c r="M2886" s="41"/>
      <c r="N2886" s="27" t="str">
        <f t="shared" si="279"/>
        <v/>
      </c>
      <c r="O2886" s="28"/>
      <c r="P2886" s="36" t="str">
        <f t="shared" si="274"/>
        <v/>
      </c>
      <c r="Q2886" s="216" t="str">
        <f t="shared" si="275"/>
        <v/>
      </c>
      <c r="R2886" s="216" t="str">
        <f t="shared" si="276"/>
        <v/>
      </c>
      <c r="S2886" s="217" t="str">
        <f t="shared" si="277"/>
        <v/>
      </c>
    </row>
    <row r="2887" spans="1:19" ht="15.75" hidden="1" thickBot="1" x14ac:dyDescent="0.3">
      <c r="A2887" s="262"/>
      <c r="B2887" s="260"/>
      <c r="C2887" s="31"/>
      <c r="D2887" s="31"/>
      <c r="E2887" s="32"/>
      <c r="F2887" s="42" t="s">
        <v>416</v>
      </c>
      <c r="G2887" s="33" t="str">
        <f t="shared" si="278"/>
        <v/>
      </c>
      <c r="H2887" s="34"/>
      <c r="I2887" s="30"/>
      <c r="J2887" s="152">
        <v>0</v>
      </c>
      <c r="L2887" s="219"/>
      <c r="M2887" s="42"/>
      <c r="N2887" s="33" t="str">
        <f t="shared" si="279"/>
        <v/>
      </c>
      <c r="O2887" s="34"/>
      <c r="P2887" s="36" t="str">
        <f t="shared" si="274"/>
        <v/>
      </c>
      <c r="Q2887" s="216" t="str">
        <f t="shared" si="275"/>
        <v/>
      </c>
      <c r="R2887" s="216" t="str">
        <f t="shared" si="276"/>
        <v/>
      </c>
      <c r="S2887" s="217" t="str">
        <f t="shared" si="277"/>
        <v/>
      </c>
    </row>
    <row r="2888" spans="1:19" ht="15.75" hidden="1" thickBot="1" x14ac:dyDescent="0.3">
      <c r="A2888" s="262"/>
      <c r="B2888" s="260"/>
      <c r="C2888" s="35" t="s">
        <v>2909</v>
      </c>
      <c r="D2888" s="35" t="s">
        <v>583</v>
      </c>
      <c r="E2888" s="36">
        <v>0.4</v>
      </c>
      <c r="F2888" s="33">
        <v>25.060999999999996</v>
      </c>
      <c r="G2888" s="33">
        <f t="shared" si="278"/>
        <v>10.0244</v>
      </c>
      <c r="H2888" s="38">
        <f>SUM(G2888:G2889)</f>
        <v>10.0244</v>
      </c>
      <c r="I2888" s="39"/>
      <c r="J2888" s="152">
        <v>0</v>
      </c>
      <c r="L2888" s="215">
        <v>0.4</v>
      </c>
      <c r="M2888" s="33">
        <v>21.452215999999996</v>
      </c>
      <c r="N2888" s="33">
        <f t="shared" si="279"/>
        <v>8.5808863999999989</v>
      </c>
      <c r="O2888" s="38">
        <f>SUM(N2888:N2889)</f>
        <v>8.5808863999999989</v>
      </c>
      <c r="P2888" s="36" t="str">
        <f t="shared" ref="P2888:P2951" si="280">IF(ISBLANK(L2888),"",IF($E2888&lt;&gt;L2888,"SIM",""))</f>
        <v/>
      </c>
      <c r="Q2888" s="216">
        <f t="shared" ref="Q2888:Q2951" si="281">IF(M2888="","",1-M2888/$F2888)</f>
        <v>0.14400000000000002</v>
      </c>
      <c r="R2888" s="216">
        <f t="shared" ref="R2888:R2951" si="282">IF(N2888="","",1-N2888/$G2888)</f>
        <v>0.14400000000000013</v>
      </c>
      <c r="S2888" s="217">
        <f t="shared" ref="S2888:S2951" si="283">IF(O2888="","",1-O2888/$H2888)</f>
        <v>0.14400000000000013</v>
      </c>
    </row>
    <row r="2889" spans="1:19" ht="15.75" hidden="1" thickBot="1" x14ac:dyDescent="0.3">
      <c r="A2889" s="262"/>
      <c r="B2889" s="260"/>
      <c r="C2889" s="35" t="s">
        <v>705</v>
      </c>
      <c r="D2889" s="46" t="s">
        <v>16</v>
      </c>
      <c r="E2889" s="36">
        <v>1</v>
      </c>
      <c r="F2889" s="30" t="s">
        <v>416</v>
      </c>
      <c r="G2889" s="33" t="str">
        <f t="shared" si="278"/>
        <v/>
      </c>
      <c r="H2889" s="34"/>
      <c r="I2889" s="30"/>
      <c r="J2889" s="152">
        <v>0</v>
      </c>
      <c r="L2889" s="215">
        <v>1</v>
      </c>
      <c r="M2889" s="30"/>
      <c r="N2889" s="33" t="str">
        <f t="shared" si="279"/>
        <v/>
      </c>
      <c r="O2889" s="34"/>
      <c r="P2889" s="36" t="str">
        <f t="shared" si="280"/>
        <v/>
      </c>
      <c r="Q2889" s="216" t="str">
        <f t="shared" si="281"/>
        <v/>
      </c>
      <c r="R2889" s="216" t="str">
        <f t="shared" si="282"/>
        <v/>
      </c>
      <c r="S2889" s="217" t="str">
        <f t="shared" si="283"/>
        <v/>
      </c>
    </row>
    <row r="2890" spans="1:19" ht="15.75" hidden="1" thickBot="1" x14ac:dyDescent="0.3">
      <c r="A2890" s="263"/>
      <c r="B2890" s="261"/>
      <c r="C2890" s="35"/>
      <c r="D2890" s="35"/>
      <c r="E2890" s="36"/>
      <c r="F2890" s="30" t="s">
        <v>416</v>
      </c>
      <c r="G2890" s="33" t="str">
        <f t="shared" si="278"/>
        <v/>
      </c>
      <c r="H2890" s="34"/>
      <c r="I2890" s="30"/>
      <c r="J2890" s="152">
        <v>0</v>
      </c>
      <c r="L2890" s="215"/>
      <c r="M2890" s="30"/>
      <c r="N2890" s="33" t="str">
        <f t="shared" si="279"/>
        <v/>
      </c>
      <c r="O2890" s="34"/>
      <c r="P2890" s="36" t="str">
        <f t="shared" si="280"/>
        <v/>
      </c>
      <c r="Q2890" s="216" t="str">
        <f t="shared" si="281"/>
        <v/>
      </c>
      <c r="R2890" s="216" t="str">
        <f t="shared" si="282"/>
        <v/>
      </c>
      <c r="S2890" s="217" t="str">
        <f t="shared" si="283"/>
        <v/>
      </c>
    </row>
    <row r="2891" spans="1:19" ht="15.75" hidden="1" thickBot="1" x14ac:dyDescent="0.3">
      <c r="A2891" s="256" t="s">
        <v>706</v>
      </c>
      <c r="B2891" s="259" t="str">
        <f>INDEX(Orçamentária!A:B,MATCH(Composições!A2891,Orçamentária!A:A,0),2)</f>
        <v>Dobradiça superior para porta de vidro temperado</v>
      </c>
      <c r="C2891" s="40"/>
      <c r="D2891" s="25" t="s">
        <v>16</v>
      </c>
      <c r="E2891" s="26"/>
      <c r="F2891" s="41" t="s">
        <v>416</v>
      </c>
      <c r="G2891" s="27" t="str">
        <f t="shared" si="278"/>
        <v/>
      </c>
      <c r="H2891" s="28"/>
      <c r="I2891" s="29"/>
      <c r="J2891" s="152">
        <v>0</v>
      </c>
      <c r="L2891" s="218"/>
      <c r="M2891" s="41"/>
      <c r="N2891" s="27" t="str">
        <f t="shared" si="279"/>
        <v/>
      </c>
      <c r="O2891" s="28"/>
      <c r="P2891" s="36" t="str">
        <f t="shared" si="280"/>
        <v/>
      </c>
      <c r="Q2891" s="216" t="str">
        <f t="shared" si="281"/>
        <v/>
      </c>
      <c r="R2891" s="216" t="str">
        <f t="shared" si="282"/>
        <v/>
      </c>
      <c r="S2891" s="217" t="str">
        <f t="shared" si="283"/>
        <v/>
      </c>
    </row>
    <row r="2892" spans="1:19" ht="15.75" hidden="1" thickBot="1" x14ac:dyDescent="0.3">
      <c r="A2892" s="262"/>
      <c r="B2892" s="260"/>
      <c r="C2892" s="31"/>
      <c r="D2892" s="31"/>
      <c r="E2892" s="32"/>
      <c r="F2892" s="42" t="s">
        <v>416</v>
      </c>
      <c r="G2892" s="33" t="str">
        <f t="shared" si="278"/>
        <v/>
      </c>
      <c r="H2892" s="34"/>
      <c r="I2892" s="30"/>
      <c r="J2892" s="152">
        <v>0</v>
      </c>
      <c r="L2892" s="219"/>
      <c r="M2892" s="42"/>
      <c r="N2892" s="33" t="str">
        <f t="shared" si="279"/>
        <v/>
      </c>
      <c r="O2892" s="34"/>
      <c r="P2892" s="36" t="str">
        <f t="shared" si="280"/>
        <v/>
      </c>
      <c r="Q2892" s="216" t="str">
        <f t="shared" si="281"/>
        <v/>
      </c>
      <c r="R2892" s="216" t="str">
        <f t="shared" si="282"/>
        <v/>
      </c>
      <c r="S2892" s="217" t="str">
        <f t="shared" si="283"/>
        <v/>
      </c>
    </row>
    <row r="2893" spans="1:19" ht="15.75" hidden="1" thickBot="1" x14ac:dyDescent="0.3">
      <c r="A2893" s="262"/>
      <c r="B2893" s="260"/>
      <c r="C2893" s="35" t="s">
        <v>2909</v>
      </c>
      <c r="D2893" s="35" t="s">
        <v>583</v>
      </c>
      <c r="E2893" s="36">
        <v>0.3</v>
      </c>
      <c r="F2893" s="33">
        <v>25.060999999999996</v>
      </c>
      <c r="G2893" s="33">
        <f t="shared" si="278"/>
        <v>7.5182999999999982</v>
      </c>
      <c r="H2893" s="38">
        <f>SUM(G2893:G2894)</f>
        <v>7.5182999999999982</v>
      </c>
      <c r="I2893" s="39"/>
      <c r="J2893" s="152">
        <v>0</v>
      </c>
      <c r="L2893" s="215">
        <v>0.3</v>
      </c>
      <c r="M2893" s="33">
        <v>21.452215999999996</v>
      </c>
      <c r="N2893" s="33">
        <f t="shared" si="279"/>
        <v>6.4356647999999987</v>
      </c>
      <c r="O2893" s="38">
        <f>SUM(N2893:N2894)</f>
        <v>6.4356647999999987</v>
      </c>
      <c r="P2893" s="36" t="str">
        <f t="shared" si="280"/>
        <v/>
      </c>
      <c r="Q2893" s="216">
        <f t="shared" si="281"/>
        <v>0.14400000000000002</v>
      </c>
      <c r="R2893" s="216">
        <f t="shared" si="282"/>
        <v>0.14400000000000002</v>
      </c>
      <c r="S2893" s="217">
        <f t="shared" si="283"/>
        <v>0.14400000000000002</v>
      </c>
    </row>
    <row r="2894" spans="1:19" ht="26.25" hidden="1" thickBot="1" x14ac:dyDescent="0.3">
      <c r="A2894" s="262"/>
      <c r="B2894" s="260"/>
      <c r="C2894" s="35" t="s">
        <v>707</v>
      </c>
      <c r="D2894" s="46" t="s">
        <v>16</v>
      </c>
      <c r="E2894" s="36">
        <v>1</v>
      </c>
      <c r="F2894" s="30">
        <v>0</v>
      </c>
      <c r="G2894" s="33">
        <f t="shared" si="278"/>
        <v>0</v>
      </c>
      <c r="H2894" s="34"/>
      <c r="I2894" s="30"/>
      <c r="J2894" s="152">
        <v>0</v>
      </c>
      <c r="L2894" s="215">
        <v>1</v>
      </c>
      <c r="M2894" s="30">
        <v>0</v>
      </c>
      <c r="N2894" s="33">
        <f t="shared" si="279"/>
        <v>0</v>
      </c>
      <c r="O2894" s="34"/>
      <c r="P2894" s="36" t="str">
        <f t="shared" si="280"/>
        <v/>
      </c>
      <c r="Q2894" s="216" t="e">
        <f t="shared" si="281"/>
        <v>#DIV/0!</v>
      </c>
      <c r="R2894" s="216" t="e">
        <f t="shared" si="282"/>
        <v>#DIV/0!</v>
      </c>
      <c r="S2894" s="217" t="str">
        <f t="shared" si="283"/>
        <v/>
      </c>
    </row>
    <row r="2895" spans="1:19" ht="15.75" hidden="1" thickBot="1" x14ac:dyDescent="0.3">
      <c r="A2895" s="263"/>
      <c r="B2895" s="261"/>
      <c r="C2895" s="35"/>
      <c r="D2895" s="35"/>
      <c r="E2895" s="36"/>
      <c r="F2895" s="30" t="s">
        <v>416</v>
      </c>
      <c r="G2895" s="33" t="str">
        <f t="shared" si="278"/>
        <v/>
      </c>
      <c r="H2895" s="34"/>
      <c r="I2895" s="30"/>
      <c r="J2895" s="152">
        <v>0</v>
      </c>
      <c r="L2895" s="215"/>
      <c r="M2895" s="30"/>
      <c r="N2895" s="33" t="str">
        <f t="shared" si="279"/>
        <v/>
      </c>
      <c r="O2895" s="34"/>
      <c r="P2895" s="36" t="str">
        <f t="shared" si="280"/>
        <v/>
      </c>
      <c r="Q2895" s="216" t="str">
        <f t="shared" si="281"/>
        <v/>
      </c>
      <c r="R2895" s="216" t="str">
        <f t="shared" si="282"/>
        <v/>
      </c>
      <c r="S2895" s="217" t="str">
        <f t="shared" si="283"/>
        <v/>
      </c>
    </row>
    <row r="2896" spans="1:19" ht="15.75" hidden="1" thickBot="1" x14ac:dyDescent="0.3">
      <c r="A2896" s="256" t="s">
        <v>708</v>
      </c>
      <c r="B2896" s="259" t="str">
        <f>INDEX(Orçamentária!A:B,MATCH(Composições!A2896,Orçamentária!A:A,0),2)</f>
        <v>Perfil em alumínio, tipo U - abas iguais - PU 5/8" x 5/8" – espessura 1,58 mm</v>
      </c>
      <c r="C2896" s="40"/>
      <c r="D2896" s="25" t="s">
        <v>69</v>
      </c>
      <c r="E2896" s="26"/>
      <c r="F2896" s="41" t="s">
        <v>416</v>
      </c>
      <c r="G2896" s="27" t="str">
        <f t="shared" si="278"/>
        <v/>
      </c>
      <c r="H2896" s="28"/>
      <c r="I2896" s="29"/>
      <c r="J2896" s="152">
        <v>0</v>
      </c>
      <c r="L2896" s="218"/>
      <c r="M2896" s="41"/>
      <c r="N2896" s="27" t="str">
        <f t="shared" si="279"/>
        <v/>
      </c>
      <c r="O2896" s="28"/>
      <c r="P2896" s="36" t="str">
        <f t="shared" si="280"/>
        <v/>
      </c>
      <c r="Q2896" s="216" t="str">
        <f t="shared" si="281"/>
        <v/>
      </c>
      <c r="R2896" s="216" t="str">
        <f t="shared" si="282"/>
        <v/>
      </c>
      <c r="S2896" s="217" t="str">
        <f t="shared" si="283"/>
        <v/>
      </c>
    </row>
    <row r="2897" spans="1:19" ht="15.75" hidden="1" thickBot="1" x14ac:dyDescent="0.3">
      <c r="A2897" s="262"/>
      <c r="B2897" s="260"/>
      <c r="C2897" s="31"/>
      <c r="D2897" s="31"/>
      <c r="E2897" s="32"/>
      <c r="F2897" s="42" t="s">
        <v>416</v>
      </c>
      <c r="G2897" s="33" t="str">
        <f t="shared" si="278"/>
        <v/>
      </c>
      <c r="H2897" s="34"/>
      <c r="I2897" s="30"/>
      <c r="J2897" s="152">
        <v>0</v>
      </c>
      <c r="L2897" s="219"/>
      <c r="M2897" s="42"/>
      <c r="N2897" s="33" t="str">
        <f t="shared" si="279"/>
        <v/>
      </c>
      <c r="O2897" s="34"/>
      <c r="P2897" s="36" t="str">
        <f t="shared" si="280"/>
        <v/>
      </c>
      <c r="Q2897" s="216" t="str">
        <f t="shared" si="281"/>
        <v/>
      </c>
      <c r="R2897" s="216" t="str">
        <f t="shared" si="282"/>
        <v/>
      </c>
      <c r="S2897" s="217" t="str">
        <f t="shared" si="283"/>
        <v/>
      </c>
    </row>
    <row r="2898" spans="1:19" ht="15.75" hidden="1" thickBot="1" x14ac:dyDescent="0.3">
      <c r="A2898" s="262"/>
      <c r="B2898" s="260"/>
      <c r="C2898" s="35" t="s">
        <v>2909</v>
      </c>
      <c r="D2898" s="35" t="s">
        <v>583</v>
      </c>
      <c r="E2898" s="36">
        <v>0.2</v>
      </c>
      <c r="F2898" s="33">
        <v>25.060999999999996</v>
      </c>
      <c r="G2898" s="33">
        <f t="shared" si="278"/>
        <v>5.0122</v>
      </c>
      <c r="H2898" s="38">
        <f>SUM(G2898:G2899)</f>
        <v>12.434359999999998</v>
      </c>
      <c r="I2898" s="39"/>
      <c r="J2898" s="152">
        <v>0</v>
      </c>
      <c r="L2898" s="215">
        <v>0.2</v>
      </c>
      <c r="M2898" s="33">
        <v>21.452215999999996</v>
      </c>
      <c r="N2898" s="33">
        <f t="shared" si="279"/>
        <v>4.2904431999999995</v>
      </c>
      <c r="O2898" s="38">
        <f>SUM(N2898:N2899)</f>
        <v>10.64381216</v>
      </c>
      <c r="P2898" s="36" t="str">
        <f t="shared" si="280"/>
        <v/>
      </c>
      <c r="Q2898" s="216">
        <f t="shared" si="281"/>
        <v>0.14400000000000002</v>
      </c>
      <c r="R2898" s="216">
        <f t="shared" si="282"/>
        <v>0.14400000000000013</v>
      </c>
      <c r="S2898" s="217">
        <f t="shared" si="283"/>
        <v>0.14399999999999991</v>
      </c>
    </row>
    <row r="2899" spans="1:19" ht="15.75" hidden="1" thickBot="1" x14ac:dyDescent="0.3">
      <c r="A2899" s="262"/>
      <c r="B2899" s="260"/>
      <c r="C2899" s="35" t="s">
        <v>709</v>
      </c>
      <c r="D2899" s="35" t="s">
        <v>773</v>
      </c>
      <c r="E2899" s="36">
        <v>0.19</v>
      </c>
      <c r="F2899" s="30">
        <v>39.063999999999993</v>
      </c>
      <c r="G2899" s="33">
        <f t="shared" si="278"/>
        <v>7.422159999999999</v>
      </c>
      <c r="H2899" s="34"/>
      <c r="I2899" s="30"/>
      <c r="J2899" s="152">
        <v>0</v>
      </c>
      <c r="L2899" s="215">
        <v>0.19</v>
      </c>
      <c r="M2899" s="30">
        <v>33.438783999999998</v>
      </c>
      <c r="N2899" s="33">
        <f t="shared" si="279"/>
        <v>6.3533689600000001</v>
      </c>
      <c r="O2899" s="34"/>
      <c r="P2899" s="36" t="str">
        <f t="shared" si="280"/>
        <v/>
      </c>
      <c r="Q2899" s="216">
        <f t="shared" si="281"/>
        <v>0.14399999999999991</v>
      </c>
      <c r="R2899" s="216">
        <f t="shared" si="282"/>
        <v>0.14399999999999991</v>
      </c>
      <c r="S2899" s="217" t="str">
        <f t="shared" si="283"/>
        <v/>
      </c>
    </row>
    <row r="2900" spans="1:19" ht="15.75" hidden="1" thickBot="1" x14ac:dyDescent="0.3">
      <c r="A2900" s="262"/>
      <c r="B2900" s="260"/>
      <c r="C2900" s="35"/>
      <c r="D2900" s="35"/>
      <c r="E2900" s="36"/>
      <c r="F2900" s="30" t="s">
        <v>416</v>
      </c>
      <c r="G2900" s="33" t="str">
        <f t="shared" si="278"/>
        <v/>
      </c>
      <c r="H2900" s="34"/>
      <c r="I2900" s="30"/>
      <c r="J2900" s="152">
        <v>0</v>
      </c>
      <c r="L2900" s="215"/>
      <c r="M2900" s="30"/>
      <c r="N2900" s="33" t="str">
        <f t="shared" si="279"/>
        <v/>
      </c>
      <c r="O2900" s="34"/>
      <c r="P2900" s="36" t="str">
        <f t="shared" si="280"/>
        <v/>
      </c>
      <c r="Q2900" s="216" t="str">
        <f t="shared" si="281"/>
        <v/>
      </c>
      <c r="R2900" s="216" t="str">
        <f t="shared" si="282"/>
        <v/>
      </c>
      <c r="S2900" s="217" t="str">
        <f t="shared" si="283"/>
        <v/>
      </c>
    </row>
    <row r="2901" spans="1:19" ht="26.25" hidden="1" thickBot="1" x14ac:dyDescent="0.3">
      <c r="A2901" s="262"/>
      <c r="B2901" s="260"/>
      <c r="C2901" s="47" t="s">
        <v>710</v>
      </c>
      <c r="D2901" s="35"/>
      <c r="E2901" s="36"/>
      <c r="F2901" s="30" t="s">
        <v>416</v>
      </c>
      <c r="G2901" s="33" t="str">
        <f t="shared" si="278"/>
        <v/>
      </c>
      <c r="H2901" s="34"/>
      <c r="I2901" s="30"/>
      <c r="J2901" s="152">
        <v>0</v>
      </c>
      <c r="L2901" s="215"/>
      <c r="M2901" s="30"/>
      <c r="N2901" s="33" t="str">
        <f t="shared" si="279"/>
        <v/>
      </c>
      <c r="O2901" s="34"/>
      <c r="P2901" s="36" t="str">
        <f t="shared" si="280"/>
        <v/>
      </c>
      <c r="Q2901" s="216" t="str">
        <f t="shared" si="281"/>
        <v/>
      </c>
      <c r="R2901" s="216" t="str">
        <f t="shared" si="282"/>
        <v/>
      </c>
      <c r="S2901" s="217" t="str">
        <f t="shared" si="283"/>
        <v/>
      </c>
    </row>
    <row r="2902" spans="1:19" ht="39" hidden="1" thickBot="1" x14ac:dyDescent="0.3">
      <c r="A2902" s="262"/>
      <c r="B2902" s="260"/>
      <c r="C2902" s="51" t="s">
        <v>711</v>
      </c>
      <c r="D2902" s="64"/>
      <c r="E2902" s="36"/>
      <c r="F2902" s="30" t="s">
        <v>416</v>
      </c>
      <c r="G2902" s="33" t="str">
        <f t="shared" si="278"/>
        <v/>
      </c>
      <c r="H2902" s="34"/>
      <c r="I2902" s="30"/>
      <c r="J2902" s="152">
        <v>0</v>
      </c>
      <c r="L2902" s="215"/>
      <c r="M2902" s="30"/>
      <c r="N2902" s="33" t="str">
        <f t="shared" si="279"/>
        <v/>
      </c>
      <c r="O2902" s="34"/>
      <c r="P2902" s="36" t="str">
        <f t="shared" si="280"/>
        <v/>
      </c>
      <c r="Q2902" s="216" t="str">
        <f t="shared" si="281"/>
        <v/>
      </c>
      <c r="R2902" s="216" t="str">
        <f t="shared" si="282"/>
        <v/>
      </c>
      <c r="S2902" s="217" t="str">
        <f t="shared" si="283"/>
        <v/>
      </c>
    </row>
    <row r="2903" spans="1:19" ht="15.75" hidden="1" thickBot="1" x14ac:dyDescent="0.3">
      <c r="A2903" s="263"/>
      <c r="B2903" s="261"/>
      <c r="C2903" s="35"/>
      <c r="D2903" s="35"/>
      <c r="E2903" s="36"/>
      <c r="F2903" s="30" t="s">
        <v>416</v>
      </c>
      <c r="G2903" s="33" t="str">
        <f t="shared" si="278"/>
        <v/>
      </c>
      <c r="H2903" s="34"/>
      <c r="I2903" s="30"/>
      <c r="J2903" s="152">
        <v>0</v>
      </c>
      <c r="L2903" s="215"/>
      <c r="M2903" s="30"/>
      <c r="N2903" s="33" t="str">
        <f t="shared" si="279"/>
        <v/>
      </c>
      <c r="O2903" s="34"/>
      <c r="P2903" s="36" t="str">
        <f t="shared" si="280"/>
        <v/>
      </c>
      <c r="Q2903" s="216" t="str">
        <f t="shared" si="281"/>
        <v/>
      </c>
      <c r="R2903" s="216" t="str">
        <f t="shared" si="282"/>
        <v/>
      </c>
      <c r="S2903" s="217" t="str">
        <f t="shared" si="283"/>
        <v/>
      </c>
    </row>
    <row r="2904" spans="1:19" ht="15.75" hidden="1" thickBot="1" x14ac:dyDescent="0.3">
      <c r="A2904" s="256" t="s">
        <v>712</v>
      </c>
      <c r="B2904" s="259" t="str">
        <f>INDEX(Orçamentária!A:B,MATCH(Composições!A2904,Orçamentária!A:A,0),2)</f>
        <v>Trilho superior em alumínio 60 mm x 49,5 mm, para vidro temperado</v>
      </c>
      <c r="C2904" s="40"/>
      <c r="D2904" s="25" t="s">
        <v>69</v>
      </c>
      <c r="E2904" s="26"/>
      <c r="F2904" s="41" t="s">
        <v>416</v>
      </c>
      <c r="G2904" s="27" t="str">
        <f t="shared" si="278"/>
        <v/>
      </c>
      <c r="H2904" s="28"/>
      <c r="I2904" s="29"/>
      <c r="J2904" s="152">
        <v>0</v>
      </c>
      <c r="L2904" s="218"/>
      <c r="M2904" s="41"/>
      <c r="N2904" s="27" t="str">
        <f t="shared" si="279"/>
        <v/>
      </c>
      <c r="O2904" s="28"/>
      <c r="P2904" s="36" t="str">
        <f t="shared" si="280"/>
        <v/>
      </c>
      <c r="Q2904" s="216" t="str">
        <f t="shared" si="281"/>
        <v/>
      </c>
      <c r="R2904" s="216" t="str">
        <f t="shared" si="282"/>
        <v/>
      </c>
      <c r="S2904" s="217" t="str">
        <f t="shared" si="283"/>
        <v/>
      </c>
    </row>
    <row r="2905" spans="1:19" ht="15.75" hidden="1" thickBot="1" x14ac:dyDescent="0.3">
      <c r="A2905" s="257"/>
      <c r="B2905" s="260"/>
      <c r="C2905" s="31"/>
      <c r="D2905" s="31"/>
      <c r="E2905" s="32"/>
      <c r="F2905" s="42" t="s">
        <v>416</v>
      </c>
      <c r="G2905" s="33" t="str">
        <f t="shared" si="278"/>
        <v/>
      </c>
      <c r="H2905" s="34"/>
      <c r="I2905" s="30"/>
      <c r="J2905" s="152">
        <v>0</v>
      </c>
      <c r="L2905" s="219"/>
      <c r="M2905" s="42"/>
      <c r="N2905" s="33" t="str">
        <f t="shared" si="279"/>
        <v/>
      </c>
      <c r="O2905" s="34"/>
      <c r="P2905" s="36" t="str">
        <f t="shared" si="280"/>
        <v/>
      </c>
      <c r="Q2905" s="216" t="str">
        <f t="shared" si="281"/>
        <v/>
      </c>
      <c r="R2905" s="216" t="str">
        <f t="shared" si="282"/>
        <v/>
      </c>
      <c r="S2905" s="217" t="str">
        <f t="shared" si="283"/>
        <v/>
      </c>
    </row>
    <row r="2906" spans="1:19" ht="15.75" hidden="1" thickBot="1" x14ac:dyDescent="0.3">
      <c r="A2906" s="257"/>
      <c r="B2906" s="260"/>
      <c r="C2906" s="35" t="s">
        <v>2909</v>
      </c>
      <c r="D2906" s="35" t="s">
        <v>583</v>
      </c>
      <c r="E2906" s="36">
        <v>0.3</v>
      </c>
      <c r="F2906" s="33">
        <v>25.060999999999996</v>
      </c>
      <c r="G2906" s="33">
        <f t="shared" si="278"/>
        <v>7.5182999999999982</v>
      </c>
      <c r="H2906" s="38">
        <f>SUM(G2906:G2907)</f>
        <v>37.714771999999996</v>
      </c>
      <c r="I2906" s="39"/>
      <c r="J2906" s="152">
        <v>0</v>
      </c>
      <c r="L2906" s="215">
        <v>0.3</v>
      </c>
      <c r="M2906" s="33">
        <v>21.452215999999996</v>
      </c>
      <c r="N2906" s="33">
        <f t="shared" si="279"/>
        <v>6.4356647999999987</v>
      </c>
      <c r="O2906" s="38">
        <f>SUM(N2906:N2907)</f>
        <v>32.283844832</v>
      </c>
      <c r="P2906" s="36" t="str">
        <f t="shared" si="280"/>
        <v/>
      </c>
      <c r="Q2906" s="216">
        <f t="shared" si="281"/>
        <v>0.14400000000000002</v>
      </c>
      <c r="R2906" s="216">
        <f t="shared" si="282"/>
        <v>0.14400000000000002</v>
      </c>
      <c r="S2906" s="217">
        <f t="shared" si="283"/>
        <v>0.14399999999999991</v>
      </c>
    </row>
    <row r="2907" spans="1:19" ht="15.75" hidden="1" thickBot="1" x14ac:dyDescent="0.3">
      <c r="A2907" s="257"/>
      <c r="B2907" s="260"/>
      <c r="C2907" s="35" t="s">
        <v>709</v>
      </c>
      <c r="D2907" s="35" t="s">
        <v>773</v>
      </c>
      <c r="E2907" s="36">
        <v>0.77300000000000002</v>
      </c>
      <c r="F2907" s="30">
        <v>39.063999999999993</v>
      </c>
      <c r="G2907" s="33">
        <f t="shared" si="278"/>
        <v>30.196471999999996</v>
      </c>
      <c r="H2907" s="34"/>
      <c r="I2907" s="30"/>
      <c r="J2907" s="152">
        <v>0</v>
      </c>
      <c r="L2907" s="215">
        <v>0.77300000000000002</v>
      </c>
      <c r="M2907" s="30">
        <v>33.438783999999998</v>
      </c>
      <c r="N2907" s="33">
        <f t="shared" si="279"/>
        <v>25.848180031999998</v>
      </c>
      <c r="O2907" s="34"/>
      <c r="P2907" s="36" t="str">
        <f t="shared" si="280"/>
        <v/>
      </c>
      <c r="Q2907" s="216">
        <f t="shared" si="281"/>
        <v>0.14399999999999991</v>
      </c>
      <c r="R2907" s="216">
        <f t="shared" si="282"/>
        <v>0.14399999999999991</v>
      </c>
      <c r="S2907" s="217" t="str">
        <f t="shared" si="283"/>
        <v/>
      </c>
    </row>
    <row r="2908" spans="1:19" ht="15.75" hidden="1" thickBot="1" x14ac:dyDescent="0.3">
      <c r="A2908" s="257"/>
      <c r="B2908" s="260"/>
      <c r="C2908" s="35"/>
      <c r="D2908" s="46"/>
      <c r="E2908" s="36"/>
      <c r="F2908" s="30" t="s">
        <v>416</v>
      </c>
      <c r="G2908" s="33" t="str">
        <f t="shared" si="278"/>
        <v/>
      </c>
      <c r="H2908" s="34"/>
      <c r="I2908" s="30"/>
      <c r="J2908" s="152">
        <v>0</v>
      </c>
      <c r="L2908" s="215"/>
      <c r="M2908" s="30"/>
      <c r="N2908" s="33" t="str">
        <f t="shared" si="279"/>
        <v/>
      </c>
      <c r="O2908" s="34"/>
      <c r="P2908" s="36" t="str">
        <f t="shared" si="280"/>
        <v/>
      </c>
      <c r="Q2908" s="216" t="str">
        <f t="shared" si="281"/>
        <v/>
      </c>
      <c r="R2908" s="216" t="str">
        <f t="shared" si="282"/>
        <v/>
      </c>
      <c r="S2908" s="217" t="str">
        <f t="shared" si="283"/>
        <v/>
      </c>
    </row>
    <row r="2909" spans="1:19" ht="26.25" hidden="1" thickBot="1" x14ac:dyDescent="0.3">
      <c r="A2909" s="257"/>
      <c r="B2909" s="260"/>
      <c r="C2909" s="47" t="s">
        <v>713</v>
      </c>
      <c r="D2909" s="46"/>
      <c r="E2909" s="36"/>
      <c r="F2909" s="30" t="s">
        <v>416</v>
      </c>
      <c r="G2909" s="33" t="str">
        <f t="shared" si="278"/>
        <v/>
      </c>
      <c r="H2909" s="34"/>
      <c r="I2909" s="30"/>
      <c r="J2909" s="152">
        <v>0</v>
      </c>
      <c r="L2909" s="215"/>
      <c r="M2909" s="30"/>
      <c r="N2909" s="33" t="str">
        <f t="shared" si="279"/>
        <v/>
      </c>
      <c r="O2909" s="34"/>
      <c r="P2909" s="36" t="str">
        <f t="shared" si="280"/>
        <v/>
      </c>
      <c r="Q2909" s="216" t="str">
        <f t="shared" si="281"/>
        <v/>
      </c>
      <c r="R2909" s="216" t="str">
        <f t="shared" si="282"/>
        <v/>
      </c>
      <c r="S2909" s="217" t="str">
        <f t="shared" si="283"/>
        <v/>
      </c>
    </row>
    <row r="2910" spans="1:19" ht="26.25" hidden="1" thickBot="1" x14ac:dyDescent="0.3">
      <c r="A2910" s="257"/>
      <c r="B2910" s="260"/>
      <c r="C2910" s="51" t="s">
        <v>714</v>
      </c>
      <c r="D2910" s="46"/>
      <c r="E2910" s="36"/>
      <c r="F2910" s="30" t="s">
        <v>416</v>
      </c>
      <c r="G2910" s="33" t="str">
        <f t="shared" si="278"/>
        <v/>
      </c>
      <c r="H2910" s="34"/>
      <c r="I2910" s="30"/>
      <c r="J2910" s="152">
        <v>0</v>
      </c>
      <c r="L2910" s="215"/>
      <c r="M2910" s="30"/>
      <c r="N2910" s="33" t="str">
        <f t="shared" si="279"/>
        <v/>
      </c>
      <c r="O2910" s="34"/>
      <c r="P2910" s="36" t="str">
        <f t="shared" si="280"/>
        <v/>
      </c>
      <c r="Q2910" s="216" t="str">
        <f t="shared" si="281"/>
        <v/>
      </c>
      <c r="R2910" s="216" t="str">
        <f t="shared" si="282"/>
        <v/>
      </c>
      <c r="S2910" s="217" t="str">
        <f t="shared" si="283"/>
        <v/>
      </c>
    </row>
    <row r="2911" spans="1:19" ht="15.75" hidden="1" thickBot="1" x14ac:dyDescent="0.3">
      <c r="A2911" s="258"/>
      <c r="B2911" s="261"/>
      <c r="C2911" s="35"/>
      <c r="D2911" s="35"/>
      <c r="E2911" s="36"/>
      <c r="F2911" s="30" t="s">
        <v>416</v>
      </c>
      <c r="G2911" s="33" t="str">
        <f t="shared" si="278"/>
        <v/>
      </c>
      <c r="H2911" s="34"/>
      <c r="I2911" s="30"/>
      <c r="J2911" s="152">
        <v>0</v>
      </c>
      <c r="L2911" s="215"/>
      <c r="M2911" s="30"/>
      <c r="N2911" s="33" t="str">
        <f t="shared" si="279"/>
        <v/>
      </c>
      <c r="O2911" s="34"/>
      <c r="P2911" s="36" t="str">
        <f t="shared" si="280"/>
        <v/>
      </c>
      <c r="Q2911" s="216" t="str">
        <f t="shared" si="281"/>
        <v/>
      </c>
      <c r="R2911" s="216" t="str">
        <f t="shared" si="282"/>
        <v/>
      </c>
      <c r="S2911" s="217" t="str">
        <f t="shared" si="283"/>
        <v/>
      </c>
    </row>
    <row r="2912" spans="1:19" ht="15.75" hidden="1" thickBot="1" x14ac:dyDescent="0.3">
      <c r="A2912" s="256" t="s">
        <v>715</v>
      </c>
      <c r="B2912" s="259" t="str">
        <f>INDEX(Orçamentária!A:B,MATCH(Composições!A2912,Orçamentária!A:A,0),2)</f>
        <v>Perfil em alumínio para acabamento de trilho superior</v>
      </c>
      <c r="C2912" s="40"/>
      <c r="D2912" s="25" t="s">
        <v>69</v>
      </c>
      <c r="E2912" s="26"/>
      <c r="F2912" s="41" t="s">
        <v>416</v>
      </c>
      <c r="G2912" s="27" t="str">
        <f t="shared" si="278"/>
        <v/>
      </c>
      <c r="H2912" s="28"/>
      <c r="I2912" s="29"/>
      <c r="J2912" s="152">
        <v>0</v>
      </c>
      <c r="L2912" s="218"/>
      <c r="M2912" s="41"/>
      <c r="N2912" s="27" t="str">
        <f t="shared" si="279"/>
        <v/>
      </c>
      <c r="O2912" s="28"/>
      <c r="P2912" s="36" t="str">
        <f t="shared" si="280"/>
        <v/>
      </c>
      <c r="Q2912" s="216" t="str">
        <f t="shared" si="281"/>
        <v/>
      </c>
      <c r="R2912" s="216" t="str">
        <f t="shared" si="282"/>
        <v/>
      </c>
      <c r="S2912" s="217" t="str">
        <f t="shared" si="283"/>
        <v/>
      </c>
    </row>
    <row r="2913" spans="1:19" ht="15.75" hidden="1" thickBot="1" x14ac:dyDescent="0.3">
      <c r="A2913" s="257"/>
      <c r="B2913" s="260"/>
      <c r="C2913" s="31"/>
      <c r="D2913" s="31"/>
      <c r="E2913" s="32"/>
      <c r="F2913" s="42" t="s">
        <v>416</v>
      </c>
      <c r="G2913" s="33" t="str">
        <f t="shared" si="278"/>
        <v/>
      </c>
      <c r="H2913" s="34"/>
      <c r="I2913" s="30"/>
      <c r="J2913" s="152">
        <v>0</v>
      </c>
      <c r="L2913" s="219"/>
      <c r="M2913" s="42"/>
      <c r="N2913" s="33" t="str">
        <f t="shared" si="279"/>
        <v/>
      </c>
      <c r="O2913" s="34"/>
      <c r="P2913" s="36" t="str">
        <f t="shared" si="280"/>
        <v/>
      </c>
      <c r="Q2913" s="216" t="str">
        <f t="shared" si="281"/>
        <v/>
      </c>
      <c r="R2913" s="216" t="str">
        <f t="shared" si="282"/>
        <v/>
      </c>
      <c r="S2913" s="217" t="str">
        <f t="shared" si="283"/>
        <v/>
      </c>
    </row>
    <row r="2914" spans="1:19" ht="15.75" hidden="1" thickBot="1" x14ac:dyDescent="0.3">
      <c r="A2914" s="257"/>
      <c r="B2914" s="260"/>
      <c r="C2914" s="35" t="s">
        <v>2909</v>
      </c>
      <c r="D2914" s="35" t="s">
        <v>583</v>
      </c>
      <c r="E2914" s="36">
        <v>0.2</v>
      </c>
      <c r="F2914" s="33">
        <v>25.060999999999996</v>
      </c>
      <c r="G2914" s="33">
        <f t="shared" si="278"/>
        <v>5.0122</v>
      </c>
      <c r="H2914" s="38">
        <f>SUM(G2914:G2915)</f>
        <v>15.989184</v>
      </c>
      <c r="I2914" s="39"/>
      <c r="J2914" s="152">
        <v>0</v>
      </c>
      <c r="L2914" s="215">
        <v>0.2</v>
      </c>
      <c r="M2914" s="33">
        <v>21.452215999999996</v>
      </c>
      <c r="N2914" s="33">
        <f t="shared" si="279"/>
        <v>4.2904431999999995</v>
      </c>
      <c r="O2914" s="38">
        <f>SUM(N2914:N2915)</f>
        <v>13.686741504</v>
      </c>
      <c r="P2914" s="36" t="str">
        <f t="shared" si="280"/>
        <v/>
      </c>
      <c r="Q2914" s="216">
        <f t="shared" si="281"/>
        <v>0.14400000000000002</v>
      </c>
      <c r="R2914" s="216">
        <f t="shared" si="282"/>
        <v>0.14400000000000013</v>
      </c>
      <c r="S2914" s="217">
        <f t="shared" si="283"/>
        <v>0.14400000000000002</v>
      </c>
    </row>
    <row r="2915" spans="1:19" ht="15.75" hidden="1" thickBot="1" x14ac:dyDescent="0.3">
      <c r="A2915" s="257"/>
      <c r="B2915" s="260"/>
      <c r="C2915" s="35" t="s">
        <v>709</v>
      </c>
      <c r="D2915" s="35" t="s">
        <v>773</v>
      </c>
      <c r="E2915" s="36">
        <v>0.28100000000000003</v>
      </c>
      <c r="F2915" s="30">
        <v>39.063999999999993</v>
      </c>
      <c r="G2915" s="33">
        <f t="shared" si="278"/>
        <v>10.976984</v>
      </c>
      <c r="H2915" s="34"/>
      <c r="I2915" s="30"/>
      <c r="J2915" s="152">
        <v>0</v>
      </c>
      <c r="L2915" s="215">
        <v>0.28100000000000003</v>
      </c>
      <c r="M2915" s="30">
        <v>33.438783999999998</v>
      </c>
      <c r="N2915" s="33">
        <f t="shared" si="279"/>
        <v>9.3962983040000001</v>
      </c>
      <c r="O2915" s="34"/>
      <c r="P2915" s="36" t="str">
        <f t="shared" si="280"/>
        <v/>
      </c>
      <c r="Q2915" s="216">
        <f t="shared" si="281"/>
        <v>0.14399999999999991</v>
      </c>
      <c r="R2915" s="216">
        <f t="shared" si="282"/>
        <v>0.14400000000000002</v>
      </c>
      <c r="S2915" s="217" t="str">
        <f t="shared" si="283"/>
        <v/>
      </c>
    </row>
    <row r="2916" spans="1:19" ht="15.75" hidden="1" thickBot="1" x14ac:dyDescent="0.3">
      <c r="A2916" s="257"/>
      <c r="B2916" s="260"/>
      <c r="C2916" s="35"/>
      <c r="D2916" s="46"/>
      <c r="E2916" s="36"/>
      <c r="F2916" s="30" t="s">
        <v>416</v>
      </c>
      <c r="G2916" s="33" t="str">
        <f t="shared" si="278"/>
        <v/>
      </c>
      <c r="H2916" s="34"/>
      <c r="I2916" s="30"/>
      <c r="J2916" s="152">
        <v>0</v>
      </c>
      <c r="L2916" s="215"/>
      <c r="M2916" s="30"/>
      <c r="N2916" s="33" t="str">
        <f t="shared" si="279"/>
        <v/>
      </c>
      <c r="O2916" s="34"/>
      <c r="P2916" s="36" t="str">
        <f t="shared" si="280"/>
        <v/>
      </c>
      <c r="Q2916" s="216" t="str">
        <f t="shared" si="281"/>
        <v/>
      </c>
      <c r="R2916" s="216" t="str">
        <f t="shared" si="282"/>
        <v/>
      </c>
      <c r="S2916" s="217" t="str">
        <f t="shared" si="283"/>
        <v/>
      </c>
    </row>
    <row r="2917" spans="1:19" ht="26.25" hidden="1" thickBot="1" x14ac:dyDescent="0.3">
      <c r="A2917" s="257"/>
      <c r="B2917" s="260"/>
      <c r="C2917" s="47" t="s">
        <v>716</v>
      </c>
      <c r="D2917" s="46"/>
      <c r="E2917" s="36"/>
      <c r="F2917" s="30" t="s">
        <v>416</v>
      </c>
      <c r="G2917" s="33" t="str">
        <f t="shared" si="278"/>
        <v/>
      </c>
      <c r="H2917" s="34"/>
      <c r="I2917" s="30"/>
      <c r="J2917" s="152">
        <v>0</v>
      </c>
      <c r="L2917" s="215"/>
      <c r="M2917" s="30"/>
      <c r="N2917" s="33" t="str">
        <f t="shared" si="279"/>
        <v/>
      </c>
      <c r="O2917" s="34"/>
      <c r="P2917" s="36" t="str">
        <f t="shared" si="280"/>
        <v/>
      </c>
      <c r="Q2917" s="216" t="str">
        <f t="shared" si="281"/>
        <v/>
      </c>
      <c r="R2917" s="216" t="str">
        <f t="shared" si="282"/>
        <v/>
      </c>
      <c r="S2917" s="217" t="str">
        <f t="shared" si="283"/>
        <v/>
      </c>
    </row>
    <row r="2918" spans="1:19" ht="26.25" hidden="1" thickBot="1" x14ac:dyDescent="0.3">
      <c r="A2918" s="257"/>
      <c r="B2918" s="260"/>
      <c r="C2918" s="51" t="s">
        <v>714</v>
      </c>
      <c r="D2918" s="46"/>
      <c r="E2918" s="36"/>
      <c r="F2918" s="30" t="s">
        <v>416</v>
      </c>
      <c r="G2918" s="33" t="str">
        <f t="shared" si="278"/>
        <v/>
      </c>
      <c r="H2918" s="34"/>
      <c r="I2918" s="30"/>
      <c r="J2918" s="152">
        <v>0</v>
      </c>
      <c r="L2918" s="215"/>
      <c r="M2918" s="30"/>
      <c r="N2918" s="33" t="str">
        <f t="shared" si="279"/>
        <v/>
      </c>
      <c r="O2918" s="34"/>
      <c r="P2918" s="36" t="str">
        <f t="shared" si="280"/>
        <v/>
      </c>
      <c r="Q2918" s="216" t="str">
        <f t="shared" si="281"/>
        <v/>
      </c>
      <c r="R2918" s="216" t="str">
        <f t="shared" si="282"/>
        <v/>
      </c>
      <c r="S2918" s="217" t="str">
        <f t="shared" si="283"/>
        <v/>
      </c>
    </row>
    <row r="2919" spans="1:19" ht="15.75" hidden="1" thickBot="1" x14ac:dyDescent="0.3">
      <c r="A2919" s="258"/>
      <c r="B2919" s="261"/>
      <c r="C2919" s="35"/>
      <c r="D2919" s="35"/>
      <c r="E2919" s="36"/>
      <c r="F2919" s="30" t="s">
        <v>416</v>
      </c>
      <c r="G2919" s="33" t="str">
        <f t="shared" si="278"/>
        <v/>
      </c>
      <c r="H2919" s="34"/>
      <c r="I2919" s="30"/>
      <c r="J2919" s="152">
        <v>0</v>
      </c>
      <c r="L2919" s="215"/>
      <c r="M2919" s="30"/>
      <c r="N2919" s="33" t="str">
        <f t="shared" si="279"/>
        <v/>
      </c>
      <c r="O2919" s="34"/>
      <c r="P2919" s="36" t="str">
        <f t="shared" si="280"/>
        <v/>
      </c>
      <c r="Q2919" s="216" t="str">
        <f t="shared" si="281"/>
        <v/>
      </c>
      <c r="R2919" s="216" t="str">
        <f t="shared" si="282"/>
        <v/>
      </c>
      <c r="S2919" s="217" t="str">
        <f t="shared" si="283"/>
        <v/>
      </c>
    </row>
    <row r="2920" spans="1:19" ht="15.75" hidden="1" thickBot="1" x14ac:dyDescent="0.3">
      <c r="A2920" s="256" t="s">
        <v>717</v>
      </c>
      <c r="B2920" s="259" t="str">
        <f>INDEX(Orçamentária!A:B,MATCH(Composições!A2920,Orçamentária!A:A,0),2)</f>
        <v>Perfil guia inferior de alumínio 39,3 mm x 24 mm para vidro temperado 10 mm</v>
      </c>
      <c r="C2920" s="40"/>
      <c r="D2920" s="25" t="s">
        <v>69</v>
      </c>
      <c r="E2920" s="26"/>
      <c r="F2920" s="41" t="s">
        <v>416</v>
      </c>
      <c r="G2920" s="27" t="str">
        <f t="shared" si="278"/>
        <v/>
      </c>
      <c r="H2920" s="28"/>
      <c r="I2920" s="29"/>
      <c r="J2920" s="152">
        <v>0</v>
      </c>
      <c r="L2920" s="218"/>
      <c r="M2920" s="41"/>
      <c r="N2920" s="27" t="str">
        <f t="shared" si="279"/>
        <v/>
      </c>
      <c r="O2920" s="28"/>
      <c r="P2920" s="36" t="str">
        <f t="shared" si="280"/>
        <v/>
      </c>
      <c r="Q2920" s="216" t="str">
        <f t="shared" si="281"/>
        <v/>
      </c>
      <c r="R2920" s="216" t="str">
        <f t="shared" si="282"/>
        <v/>
      </c>
      <c r="S2920" s="217" t="str">
        <f t="shared" si="283"/>
        <v/>
      </c>
    </row>
    <row r="2921" spans="1:19" ht="15.75" hidden="1" thickBot="1" x14ac:dyDescent="0.3">
      <c r="A2921" s="257"/>
      <c r="B2921" s="260"/>
      <c r="C2921" s="31"/>
      <c r="D2921" s="31"/>
      <c r="E2921" s="32"/>
      <c r="F2921" s="42" t="s">
        <v>416</v>
      </c>
      <c r="G2921" s="33" t="str">
        <f t="shared" si="278"/>
        <v/>
      </c>
      <c r="H2921" s="34"/>
      <c r="I2921" s="30"/>
      <c r="J2921" s="152">
        <v>0</v>
      </c>
      <c r="L2921" s="219"/>
      <c r="M2921" s="42"/>
      <c r="N2921" s="33" t="str">
        <f t="shared" si="279"/>
        <v/>
      </c>
      <c r="O2921" s="34"/>
      <c r="P2921" s="36" t="str">
        <f t="shared" si="280"/>
        <v/>
      </c>
      <c r="Q2921" s="216" t="str">
        <f t="shared" si="281"/>
        <v/>
      </c>
      <c r="R2921" s="216" t="str">
        <f t="shared" si="282"/>
        <v/>
      </c>
      <c r="S2921" s="217" t="str">
        <f t="shared" si="283"/>
        <v/>
      </c>
    </row>
    <row r="2922" spans="1:19" ht="15.75" hidden="1" thickBot="1" x14ac:dyDescent="0.3">
      <c r="A2922" s="257"/>
      <c r="B2922" s="260"/>
      <c r="C2922" s="35" t="s">
        <v>2909</v>
      </c>
      <c r="D2922" s="35" t="s">
        <v>583</v>
      </c>
      <c r="E2922" s="36">
        <v>0.3</v>
      </c>
      <c r="F2922" s="33">
        <v>25.060999999999996</v>
      </c>
      <c r="G2922" s="33">
        <f t="shared" si="278"/>
        <v>7.5182999999999982</v>
      </c>
      <c r="H2922" s="38">
        <f>SUM(G2922:G2923)</f>
        <v>25.136163999999994</v>
      </c>
      <c r="I2922" s="39"/>
      <c r="J2922" s="152">
        <v>0</v>
      </c>
      <c r="L2922" s="215">
        <v>0.3</v>
      </c>
      <c r="M2922" s="33">
        <v>21.452215999999996</v>
      </c>
      <c r="N2922" s="33">
        <f t="shared" si="279"/>
        <v>6.4356647999999987</v>
      </c>
      <c r="O2922" s="38">
        <f>SUM(N2922:N2923)</f>
        <v>21.516556383999998</v>
      </c>
      <c r="P2922" s="36" t="str">
        <f t="shared" si="280"/>
        <v/>
      </c>
      <c r="Q2922" s="216">
        <f t="shared" si="281"/>
        <v>0.14400000000000002</v>
      </c>
      <c r="R2922" s="216">
        <f t="shared" si="282"/>
        <v>0.14400000000000002</v>
      </c>
      <c r="S2922" s="217">
        <f t="shared" si="283"/>
        <v>0.14399999999999991</v>
      </c>
    </row>
    <row r="2923" spans="1:19" ht="15.75" hidden="1" thickBot="1" x14ac:dyDescent="0.3">
      <c r="A2923" s="257"/>
      <c r="B2923" s="260"/>
      <c r="C2923" s="35" t="s">
        <v>709</v>
      </c>
      <c r="D2923" s="35" t="s">
        <v>773</v>
      </c>
      <c r="E2923" s="36">
        <v>0.45100000000000001</v>
      </c>
      <c r="F2923" s="30">
        <v>39.063999999999993</v>
      </c>
      <c r="G2923" s="33">
        <f t="shared" si="278"/>
        <v>17.617863999999997</v>
      </c>
      <c r="H2923" s="34"/>
      <c r="I2923" s="30"/>
      <c r="J2923" s="152">
        <v>0</v>
      </c>
      <c r="L2923" s="215">
        <v>0.45100000000000001</v>
      </c>
      <c r="M2923" s="30">
        <v>33.438783999999998</v>
      </c>
      <c r="N2923" s="33">
        <f t="shared" si="279"/>
        <v>15.080891584</v>
      </c>
      <c r="O2923" s="34"/>
      <c r="P2923" s="36" t="str">
        <f t="shared" si="280"/>
        <v/>
      </c>
      <c r="Q2923" s="216">
        <f t="shared" si="281"/>
        <v>0.14399999999999991</v>
      </c>
      <c r="R2923" s="216">
        <f t="shared" si="282"/>
        <v>0.14399999999999991</v>
      </c>
      <c r="S2923" s="217" t="str">
        <f t="shared" si="283"/>
        <v/>
      </c>
    </row>
    <row r="2924" spans="1:19" ht="15.75" hidden="1" thickBot="1" x14ac:dyDescent="0.3">
      <c r="A2924" s="257"/>
      <c r="B2924" s="260"/>
      <c r="C2924" s="35"/>
      <c r="D2924" s="46"/>
      <c r="E2924" s="36"/>
      <c r="F2924" s="30" t="s">
        <v>416</v>
      </c>
      <c r="G2924" s="33" t="str">
        <f t="shared" si="278"/>
        <v/>
      </c>
      <c r="H2924" s="34"/>
      <c r="I2924" s="30"/>
      <c r="J2924" s="152">
        <v>0</v>
      </c>
      <c r="L2924" s="215"/>
      <c r="M2924" s="30"/>
      <c r="N2924" s="33" t="str">
        <f t="shared" si="279"/>
        <v/>
      </c>
      <c r="O2924" s="34"/>
      <c r="P2924" s="36" t="str">
        <f t="shared" si="280"/>
        <v/>
      </c>
      <c r="Q2924" s="216" t="str">
        <f t="shared" si="281"/>
        <v/>
      </c>
      <c r="R2924" s="216" t="str">
        <f t="shared" si="282"/>
        <v/>
      </c>
      <c r="S2924" s="217" t="str">
        <f t="shared" si="283"/>
        <v/>
      </c>
    </row>
    <row r="2925" spans="1:19" ht="26.25" hidden="1" thickBot="1" x14ac:dyDescent="0.3">
      <c r="A2925" s="257"/>
      <c r="B2925" s="260"/>
      <c r="C2925" s="47" t="s">
        <v>716</v>
      </c>
      <c r="D2925" s="46"/>
      <c r="E2925" s="36"/>
      <c r="F2925" s="30" t="s">
        <v>416</v>
      </c>
      <c r="G2925" s="33" t="str">
        <f t="shared" si="278"/>
        <v/>
      </c>
      <c r="H2925" s="34"/>
      <c r="I2925" s="30"/>
      <c r="J2925" s="152">
        <v>0</v>
      </c>
      <c r="L2925" s="215"/>
      <c r="M2925" s="30"/>
      <c r="N2925" s="33" t="str">
        <f t="shared" si="279"/>
        <v/>
      </c>
      <c r="O2925" s="34"/>
      <c r="P2925" s="36" t="str">
        <f t="shared" si="280"/>
        <v/>
      </c>
      <c r="Q2925" s="216" t="str">
        <f t="shared" si="281"/>
        <v/>
      </c>
      <c r="R2925" s="216" t="str">
        <f t="shared" si="282"/>
        <v/>
      </c>
      <c r="S2925" s="217" t="str">
        <f t="shared" si="283"/>
        <v/>
      </c>
    </row>
    <row r="2926" spans="1:19" ht="26.25" hidden="1" thickBot="1" x14ac:dyDescent="0.3">
      <c r="A2926" s="257"/>
      <c r="B2926" s="260"/>
      <c r="C2926" s="51" t="s">
        <v>714</v>
      </c>
      <c r="D2926" s="46"/>
      <c r="E2926" s="36"/>
      <c r="F2926" s="30" t="s">
        <v>416</v>
      </c>
      <c r="G2926" s="33" t="str">
        <f t="shared" si="278"/>
        <v/>
      </c>
      <c r="H2926" s="34"/>
      <c r="I2926" s="30"/>
      <c r="J2926" s="152">
        <v>0</v>
      </c>
      <c r="L2926" s="215"/>
      <c r="M2926" s="30"/>
      <c r="N2926" s="33" t="str">
        <f t="shared" si="279"/>
        <v/>
      </c>
      <c r="O2926" s="34"/>
      <c r="P2926" s="36" t="str">
        <f t="shared" si="280"/>
        <v/>
      </c>
      <c r="Q2926" s="216" t="str">
        <f t="shared" si="281"/>
        <v/>
      </c>
      <c r="R2926" s="216" t="str">
        <f t="shared" si="282"/>
        <v/>
      </c>
      <c r="S2926" s="217" t="str">
        <f t="shared" si="283"/>
        <v/>
      </c>
    </row>
    <row r="2927" spans="1:19" ht="15.75" hidden="1" thickBot="1" x14ac:dyDescent="0.3">
      <c r="A2927" s="258"/>
      <c r="B2927" s="261"/>
      <c r="C2927" s="35"/>
      <c r="D2927" s="35"/>
      <c r="E2927" s="36"/>
      <c r="F2927" s="30" t="s">
        <v>416</v>
      </c>
      <c r="G2927" s="33" t="str">
        <f t="shared" si="278"/>
        <v/>
      </c>
      <c r="H2927" s="34"/>
      <c r="I2927" s="30"/>
      <c r="J2927" s="152">
        <v>0</v>
      </c>
      <c r="L2927" s="215"/>
      <c r="M2927" s="30"/>
      <c r="N2927" s="33" t="str">
        <f t="shared" si="279"/>
        <v/>
      </c>
      <c r="O2927" s="34"/>
      <c r="P2927" s="36" t="str">
        <f t="shared" si="280"/>
        <v/>
      </c>
      <c r="Q2927" s="216" t="str">
        <f t="shared" si="281"/>
        <v/>
      </c>
      <c r="R2927" s="216" t="str">
        <f t="shared" si="282"/>
        <v/>
      </c>
      <c r="S2927" s="217" t="str">
        <f t="shared" si="283"/>
        <v/>
      </c>
    </row>
    <row r="2928" spans="1:19" ht="15.75" hidden="1" thickBot="1" x14ac:dyDescent="0.3">
      <c r="A2928" s="256" t="s">
        <v>718</v>
      </c>
      <c r="B2928" s="259" t="str">
        <f>INDEX(Orçamentária!A:B,MATCH(Composições!A2928,Orçamentária!A:A,0),2)</f>
        <v>Capa do Perfil Guia Inferior “Click”</v>
      </c>
      <c r="C2928" s="40"/>
      <c r="D2928" s="25" t="s">
        <v>69</v>
      </c>
      <c r="E2928" s="26"/>
      <c r="F2928" s="41" t="s">
        <v>416</v>
      </c>
      <c r="G2928" s="27" t="str">
        <f t="shared" si="278"/>
        <v/>
      </c>
      <c r="H2928" s="28"/>
      <c r="I2928" s="29"/>
      <c r="J2928" s="152">
        <v>0</v>
      </c>
      <c r="L2928" s="218"/>
      <c r="M2928" s="41"/>
      <c r="N2928" s="27" t="str">
        <f t="shared" si="279"/>
        <v/>
      </c>
      <c r="O2928" s="28"/>
      <c r="P2928" s="36" t="str">
        <f t="shared" si="280"/>
        <v/>
      </c>
      <c r="Q2928" s="216" t="str">
        <f t="shared" si="281"/>
        <v/>
      </c>
      <c r="R2928" s="216" t="str">
        <f t="shared" si="282"/>
        <v/>
      </c>
      <c r="S2928" s="217" t="str">
        <f t="shared" si="283"/>
        <v/>
      </c>
    </row>
    <row r="2929" spans="1:19" ht="15.75" hidden="1" thickBot="1" x14ac:dyDescent="0.3">
      <c r="A2929" s="257"/>
      <c r="B2929" s="260"/>
      <c r="C2929" s="31"/>
      <c r="D2929" s="31"/>
      <c r="E2929" s="32"/>
      <c r="F2929" s="42" t="s">
        <v>416</v>
      </c>
      <c r="G2929" s="33" t="str">
        <f t="shared" si="278"/>
        <v/>
      </c>
      <c r="H2929" s="34"/>
      <c r="I2929" s="30"/>
      <c r="J2929" s="152">
        <v>0</v>
      </c>
      <c r="L2929" s="219"/>
      <c r="M2929" s="42"/>
      <c r="N2929" s="33" t="str">
        <f t="shared" si="279"/>
        <v/>
      </c>
      <c r="O2929" s="34"/>
      <c r="P2929" s="36" t="str">
        <f t="shared" si="280"/>
        <v/>
      </c>
      <c r="Q2929" s="216" t="str">
        <f t="shared" si="281"/>
        <v/>
      </c>
      <c r="R2929" s="216" t="str">
        <f t="shared" si="282"/>
        <v/>
      </c>
      <c r="S2929" s="217" t="str">
        <f t="shared" si="283"/>
        <v/>
      </c>
    </row>
    <row r="2930" spans="1:19" ht="15.75" hidden="1" thickBot="1" x14ac:dyDescent="0.3">
      <c r="A2930" s="257"/>
      <c r="B2930" s="260"/>
      <c r="C2930" s="35" t="s">
        <v>2909</v>
      </c>
      <c r="D2930" s="35" t="s">
        <v>583</v>
      </c>
      <c r="E2930" s="36">
        <v>0.15</v>
      </c>
      <c r="F2930" s="33">
        <v>25.060999999999996</v>
      </c>
      <c r="G2930" s="33">
        <f t="shared" si="278"/>
        <v>3.7591499999999991</v>
      </c>
      <c r="H2930" s="38">
        <f>SUM(G2930:G2931)</f>
        <v>8.0561899999999973</v>
      </c>
      <c r="I2930" s="39"/>
      <c r="J2930" s="152">
        <v>0</v>
      </c>
      <c r="L2930" s="215">
        <v>0.15</v>
      </c>
      <c r="M2930" s="33">
        <v>21.452215999999996</v>
      </c>
      <c r="N2930" s="33">
        <f t="shared" si="279"/>
        <v>3.2178323999999994</v>
      </c>
      <c r="O2930" s="38">
        <f>SUM(N2930:N2931)</f>
        <v>6.8960986399999991</v>
      </c>
      <c r="P2930" s="36" t="str">
        <f t="shared" si="280"/>
        <v/>
      </c>
      <c r="Q2930" s="216">
        <f t="shared" si="281"/>
        <v>0.14400000000000002</v>
      </c>
      <c r="R2930" s="216">
        <f t="shared" si="282"/>
        <v>0.14400000000000002</v>
      </c>
      <c r="S2930" s="217">
        <f t="shared" si="283"/>
        <v>0.14399999999999979</v>
      </c>
    </row>
    <row r="2931" spans="1:19" ht="15.75" hidden="1" thickBot="1" x14ac:dyDescent="0.3">
      <c r="A2931" s="257"/>
      <c r="B2931" s="260"/>
      <c r="C2931" s="35" t="s">
        <v>709</v>
      </c>
      <c r="D2931" s="35" t="s">
        <v>773</v>
      </c>
      <c r="E2931" s="36">
        <v>0.11</v>
      </c>
      <c r="F2931" s="30">
        <v>39.063999999999993</v>
      </c>
      <c r="G2931" s="33">
        <f t="shared" si="278"/>
        <v>4.2970399999999991</v>
      </c>
      <c r="H2931" s="34"/>
      <c r="I2931" s="30"/>
      <c r="J2931" s="152">
        <v>0</v>
      </c>
      <c r="L2931" s="215">
        <v>0.11</v>
      </c>
      <c r="M2931" s="30">
        <v>33.438783999999998</v>
      </c>
      <c r="N2931" s="33">
        <f t="shared" si="279"/>
        <v>3.6782662399999997</v>
      </c>
      <c r="O2931" s="34"/>
      <c r="P2931" s="36" t="str">
        <f t="shared" si="280"/>
        <v/>
      </c>
      <c r="Q2931" s="216">
        <f t="shared" si="281"/>
        <v>0.14399999999999991</v>
      </c>
      <c r="R2931" s="216">
        <f t="shared" si="282"/>
        <v>0.14399999999999991</v>
      </c>
      <c r="S2931" s="217" t="str">
        <f t="shared" si="283"/>
        <v/>
      </c>
    </row>
    <row r="2932" spans="1:19" ht="15.75" hidden="1" thickBot="1" x14ac:dyDescent="0.3">
      <c r="A2932" s="257"/>
      <c r="B2932" s="260"/>
      <c r="C2932" s="35"/>
      <c r="D2932" s="46"/>
      <c r="E2932" s="36"/>
      <c r="F2932" s="30" t="s">
        <v>416</v>
      </c>
      <c r="G2932" s="33" t="str">
        <f t="shared" si="278"/>
        <v/>
      </c>
      <c r="H2932" s="34"/>
      <c r="I2932" s="30"/>
      <c r="J2932" s="152">
        <v>0</v>
      </c>
      <c r="L2932" s="215"/>
      <c r="M2932" s="30"/>
      <c r="N2932" s="33" t="str">
        <f t="shared" si="279"/>
        <v/>
      </c>
      <c r="O2932" s="34"/>
      <c r="P2932" s="36" t="str">
        <f t="shared" si="280"/>
        <v/>
      </c>
      <c r="Q2932" s="216" t="str">
        <f t="shared" si="281"/>
        <v/>
      </c>
      <c r="R2932" s="216" t="str">
        <f t="shared" si="282"/>
        <v/>
      </c>
      <c r="S2932" s="217" t="str">
        <f t="shared" si="283"/>
        <v/>
      </c>
    </row>
    <row r="2933" spans="1:19" ht="26.25" hidden="1" thickBot="1" x14ac:dyDescent="0.3">
      <c r="A2933" s="257"/>
      <c r="B2933" s="260"/>
      <c r="C2933" s="47" t="s">
        <v>719</v>
      </c>
      <c r="D2933" s="46"/>
      <c r="E2933" s="36"/>
      <c r="F2933" s="30" t="s">
        <v>416</v>
      </c>
      <c r="G2933" s="33" t="str">
        <f t="shared" si="278"/>
        <v/>
      </c>
      <c r="H2933" s="34"/>
      <c r="I2933" s="30"/>
      <c r="J2933" s="152">
        <v>0</v>
      </c>
      <c r="L2933" s="215"/>
      <c r="M2933" s="30"/>
      <c r="N2933" s="33" t="str">
        <f t="shared" si="279"/>
        <v/>
      </c>
      <c r="O2933" s="34"/>
      <c r="P2933" s="36" t="str">
        <f t="shared" si="280"/>
        <v/>
      </c>
      <c r="Q2933" s="216" t="str">
        <f t="shared" si="281"/>
        <v/>
      </c>
      <c r="R2933" s="216" t="str">
        <f t="shared" si="282"/>
        <v/>
      </c>
      <c r="S2933" s="217" t="str">
        <f t="shared" si="283"/>
        <v/>
      </c>
    </row>
    <row r="2934" spans="1:19" ht="26.25" hidden="1" thickBot="1" x14ac:dyDescent="0.3">
      <c r="A2934" s="257"/>
      <c r="B2934" s="260"/>
      <c r="C2934" s="51" t="s">
        <v>714</v>
      </c>
      <c r="D2934" s="46"/>
      <c r="E2934" s="36"/>
      <c r="F2934" s="30" t="s">
        <v>416</v>
      </c>
      <c r="G2934" s="33" t="str">
        <f t="shared" si="278"/>
        <v/>
      </c>
      <c r="H2934" s="34"/>
      <c r="I2934" s="30"/>
      <c r="J2934" s="152">
        <v>0</v>
      </c>
      <c r="L2934" s="215"/>
      <c r="M2934" s="30"/>
      <c r="N2934" s="33" t="str">
        <f t="shared" si="279"/>
        <v/>
      </c>
      <c r="O2934" s="34"/>
      <c r="P2934" s="36" t="str">
        <f t="shared" si="280"/>
        <v/>
      </c>
      <c r="Q2934" s="216" t="str">
        <f t="shared" si="281"/>
        <v/>
      </c>
      <c r="R2934" s="216" t="str">
        <f t="shared" si="282"/>
        <v/>
      </c>
      <c r="S2934" s="217" t="str">
        <f t="shared" si="283"/>
        <v/>
      </c>
    </row>
    <row r="2935" spans="1:19" ht="15.75" hidden="1" thickBot="1" x14ac:dyDescent="0.3">
      <c r="A2935" s="258"/>
      <c r="B2935" s="261"/>
      <c r="C2935" s="35"/>
      <c r="D2935" s="35"/>
      <c r="E2935" s="36"/>
      <c r="F2935" s="30" t="s">
        <v>416</v>
      </c>
      <c r="G2935" s="33" t="str">
        <f t="shared" si="278"/>
        <v/>
      </c>
      <c r="H2935" s="34"/>
      <c r="I2935" s="30"/>
      <c r="J2935" s="152">
        <v>0</v>
      </c>
      <c r="L2935" s="215"/>
      <c r="M2935" s="30"/>
      <c r="N2935" s="33" t="str">
        <f t="shared" si="279"/>
        <v/>
      </c>
      <c r="O2935" s="34"/>
      <c r="P2935" s="36" t="str">
        <f t="shared" si="280"/>
        <v/>
      </c>
      <c r="Q2935" s="216" t="str">
        <f t="shared" si="281"/>
        <v/>
      </c>
      <c r="R2935" s="216" t="str">
        <f t="shared" si="282"/>
        <v/>
      </c>
      <c r="S2935" s="217" t="str">
        <f t="shared" si="283"/>
        <v/>
      </c>
    </row>
    <row r="2936" spans="1:19" ht="15.75" hidden="1" thickBot="1" x14ac:dyDescent="0.3">
      <c r="A2936" s="256" t="s">
        <v>720</v>
      </c>
      <c r="B2936" s="259" t="str">
        <f>INDEX(Orçamentária!A:B,MATCH(Composições!A2936,Orçamentária!A:A,0),2)</f>
        <v>Dobradiça inferior para porta de vidro temperado</v>
      </c>
      <c r="C2936" s="40"/>
      <c r="D2936" s="25" t="s">
        <v>16</v>
      </c>
      <c r="E2936" s="26"/>
      <c r="F2936" s="41" t="s">
        <v>416</v>
      </c>
      <c r="G2936" s="27" t="str">
        <f t="shared" si="278"/>
        <v/>
      </c>
      <c r="H2936" s="28"/>
      <c r="I2936" s="29"/>
      <c r="J2936" s="152">
        <v>0</v>
      </c>
      <c r="L2936" s="218"/>
      <c r="M2936" s="41"/>
      <c r="N2936" s="27" t="str">
        <f t="shared" si="279"/>
        <v/>
      </c>
      <c r="O2936" s="28"/>
      <c r="P2936" s="36" t="str">
        <f t="shared" si="280"/>
        <v/>
      </c>
      <c r="Q2936" s="216" t="str">
        <f t="shared" si="281"/>
        <v/>
      </c>
      <c r="R2936" s="216" t="str">
        <f t="shared" si="282"/>
        <v/>
      </c>
      <c r="S2936" s="217" t="str">
        <f t="shared" si="283"/>
        <v/>
      </c>
    </row>
    <row r="2937" spans="1:19" ht="15.75" hidden="1" thickBot="1" x14ac:dyDescent="0.3">
      <c r="A2937" s="262"/>
      <c r="B2937" s="260"/>
      <c r="C2937" s="31"/>
      <c r="D2937" s="31"/>
      <c r="E2937" s="32"/>
      <c r="F2937" s="42" t="s">
        <v>416</v>
      </c>
      <c r="G2937" s="33" t="str">
        <f t="shared" si="278"/>
        <v/>
      </c>
      <c r="H2937" s="34"/>
      <c r="I2937" s="30"/>
      <c r="J2937" s="152">
        <v>0</v>
      </c>
      <c r="L2937" s="219"/>
      <c r="M2937" s="42"/>
      <c r="N2937" s="33" t="str">
        <f t="shared" si="279"/>
        <v/>
      </c>
      <c r="O2937" s="34"/>
      <c r="P2937" s="36" t="str">
        <f t="shared" si="280"/>
        <v/>
      </c>
      <c r="Q2937" s="216" t="str">
        <f t="shared" si="281"/>
        <v/>
      </c>
      <c r="R2937" s="216" t="str">
        <f t="shared" si="282"/>
        <v/>
      </c>
      <c r="S2937" s="217" t="str">
        <f t="shared" si="283"/>
        <v/>
      </c>
    </row>
    <row r="2938" spans="1:19" ht="15.75" hidden="1" thickBot="1" x14ac:dyDescent="0.3">
      <c r="A2938" s="262"/>
      <c r="B2938" s="260"/>
      <c r="C2938" s="35" t="s">
        <v>2909</v>
      </c>
      <c r="D2938" s="35" t="s">
        <v>583</v>
      </c>
      <c r="E2938" s="36">
        <v>0.3</v>
      </c>
      <c r="F2938" s="33">
        <v>25.060999999999996</v>
      </c>
      <c r="G2938" s="33">
        <f t="shared" si="278"/>
        <v>7.5182999999999982</v>
      </c>
      <c r="H2938" s="38">
        <f>SUM(G2938:G2939)</f>
        <v>7.5182999999999982</v>
      </c>
      <c r="I2938" s="39"/>
      <c r="J2938" s="152">
        <v>0</v>
      </c>
      <c r="L2938" s="215">
        <v>0.3</v>
      </c>
      <c r="M2938" s="33">
        <v>21.452215999999996</v>
      </c>
      <c r="N2938" s="33">
        <f t="shared" si="279"/>
        <v>6.4356647999999987</v>
      </c>
      <c r="O2938" s="38">
        <f>SUM(N2938:N2939)</f>
        <v>6.4356647999999987</v>
      </c>
      <c r="P2938" s="36" t="str">
        <f t="shared" si="280"/>
        <v/>
      </c>
      <c r="Q2938" s="216">
        <f t="shared" si="281"/>
        <v>0.14400000000000002</v>
      </c>
      <c r="R2938" s="216">
        <f t="shared" si="282"/>
        <v>0.14400000000000002</v>
      </c>
      <c r="S2938" s="217">
        <f t="shared" si="283"/>
        <v>0.14400000000000002</v>
      </c>
    </row>
    <row r="2939" spans="1:19" ht="26.25" hidden="1" thickBot="1" x14ac:dyDescent="0.3">
      <c r="A2939" s="262"/>
      <c r="B2939" s="260"/>
      <c r="C2939" s="35" t="s">
        <v>721</v>
      </c>
      <c r="D2939" s="35" t="s">
        <v>16</v>
      </c>
      <c r="E2939" s="36">
        <v>1</v>
      </c>
      <c r="F2939" s="30">
        <v>0</v>
      </c>
      <c r="G2939" s="33">
        <f t="shared" si="278"/>
        <v>0</v>
      </c>
      <c r="H2939" s="34"/>
      <c r="I2939" s="30"/>
      <c r="J2939" s="152">
        <v>0</v>
      </c>
      <c r="L2939" s="215">
        <v>1</v>
      </c>
      <c r="M2939" s="30">
        <v>0</v>
      </c>
      <c r="N2939" s="33">
        <f t="shared" si="279"/>
        <v>0</v>
      </c>
      <c r="O2939" s="34"/>
      <c r="P2939" s="36" t="str">
        <f t="shared" si="280"/>
        <v/>
      </c>
      <c r="Q2939" s="216" t="e">
        <f t="shared" si="281"/>
        <v>#DIV/0!</v>
      </c>
      <c r="R2939" s="216" t="e">
        <f t="shared" si="282"/>
        <v>#DIV/0!</v>
      </c>
      <c r="S2939" s="217" t="str">
        <f t="shared" si="283"/>
        <v/>
      </c>
    </row>
    <row r="2940" spans="1:19" ht="15.75" hidden="1" thickBot="1" x14ac:dyDescent="0.3">
      <c r="A2940" s="263"/>
      <c r="B2940" s="261"/>
      <c r="C2940" s="35"/>
      <c r="D2940" s="35"/>
      <c r="E2940" s="36"/>
      <c r="F2940" s="30" t="s">
        <v>416</v>
      </c>
      <c r="G2940" s="33" t="str">
        <f t="shared" si="278"/>
        <v/>
      </c>
      <c r="H2940" s="34"/>
      <c r="I2940" s="30"/>
      <c r="J2940" s="152">
        <v>0</v>
      </c>
      <c r="L2940" s="215"/>
      <c r="M2940" s="30"/>
      <c r="N2940" s="33" t="str">
        <f t="shared" si="279"/>
        <v/>
      </c>
      <c r="O2940" s="34"/>
      <c r="P2940" s="36" t="str">
        <f t="shared" si="280"/>
        <v/>
      </c>
      <c r="Q2940" s="216" t="str">
        <f t="shared" si="281"/>
        <v/>
      </c>
      <c r="R2940" s="216" t="str">
        <f t="shared" si="282"/>
        <v/>
      </c>
      <c r="S2940" s="217" t="str">
        <f t="shared" si="283"/>
        <v/>
      </c>
    </row>
    <row r="2941" spans="1:19" ht="15.75" hidden="1" thickBot="1" x14ac:dyDescent="0.3">
      <c r="A2941" s="256" t="s">
        <v>722</v>
      </c>
      <c r="B2941" s="259" t="str">
        <f>INDEX(Orçamentária!A:B,MATCH(Composições!A2941,Orçamentária!A:A,0),2)</f>
        <v>Escova de vedação para vidro temperado</v>
      </c>
      <c r="C2941" s="40"/>
      <c r="D2941" s="25" t="s">
        <v>69</v>
      </c>
      <c r="E2941" s="26"/>
      <c r="F2941" s="41" t="s">
        <v>416</v>
      </c>
      <c r="G2941" s="27" t="str">
        <f t="shared" ref="G2941:G3004" si="284">IF(ISNUMBER(F2941),E2941*F2941,"")</f>
        <v/>
      </c>
      <c r="H2941" s="28"/>
      <c r="I2941" s="29"/>
      <c r="J2941" s="152">
        <v>0</v>
      </c>
      <c r="L2941" s="218"/>
      <c r="M2941" s="41"/>
      <c r="N2941" s="27" t="str">
        <f t="shared" ref="N2941:N3004" si="285">IF(ISNUMBER(M2941),L2941*M2941,"")</f>
        <v/>
      </c>
      <c r="O2941" s="28"/>
      <c r="P2941" s="36" t="str">
        <f t="shared" si="280"/>
        <v/>
      </c>
      <c r="Q2941" s="216" t="str">
        <f t="shared" si="281"/>
        <v/>
      </c>
      <c r="R2941" s="216" t="str">
        <f t="shared" si="282"/>
        <v/>
      </c>
      <c r="S2941" s="217" t="str">
        <f t="shared" si="283"/>
        <v/>
      </c>
    </row>
    <row r="2942" spans="1:19" ht="15.75" hidden="1" thickBot="1" x14ac:dyDescent="0.3">
      <c r="A2942" s="262"/>
      <c r="B2942" s="260"/>
      <c r="C2942" s="31"/>
      <c r="D2942" s="31"/>
      <c r="E2942" s="32"/>
      <c r="F2942" s="42" t="s">
        <v>416</v>
      </c>
      <c r="G2942" s="33" t="str">
        <f t="shared" si="284"/>
        <v/>
      </c>
      <c r="H2942" s="34"/>
      <c r="I2942" s="30"/>
      <c r="J2942" s="152">
        <v>0</v>
      </c>
      <c r="L2942" s="219"/>
      <c r="M2942" s="42"/>
      <c r="N2942" s="33" t="str">
        <f t="shared" si="285"/>
        <v/>
      </c>
      <c r="O2942" s="34"/>
      <c r="P2942" s="36" t="str">
        <f t="shared" si="280"/>
        <v/>
      </c>
      <c r="Q2942" s="216" t="str">
        <f t="shared" si="281"/>
        <v/>
      </c>
      <c r="R2942" s="216" t="str">
        <f t="shared" si="282"/>
        <v/>
      </c>
      <c r="S2942" s="217" t="str">
        <f t="shared" si="283"/>
        <v/>
      </c>
    </row>
    <row r="2943" spans="1:19" ht="15.75" hidden="1" thickBot="1" x14ac:dyDescent="0.3">
      <c r="A2943" s="262"/>
      <c r="B2943" s="260"/>
      <c r="C2943" s="35" t="s">
        <v>2909</v>
      </c>
      <c r="D2943" s="35" t="s">
        <v>583</v>
      </c>
      <c r="E2943" s="36">
        <v>0.3</v>
      </c>
      <c r="F2943" s="33">
        <v>25.060999999999996</v>
      </c>
      <c r="G2943" s="33">
        <f t="shared" si="284"/>
        <v>7.5182999999999982</v>
      </c>
      <c r="H2943" s="38">
        <f>SUM(G2943:G2944)</f>
        <v>7.5182999999999982</v>
      </c>
      <c r="I2943" s="39"/>
      <c r="J2943" s="152">
        <v>0</v>
      </c>
      <c r="L2943" s="215">
        <v>0.3</v>
      </c>
      <c r="M2943" s="33">
        <v>21.452215999999996</v>
      </c>
      <c r="N2943" s="33">
        <f t="shared" si="285"/>
        <v>6.4356647999999987</v>
      </c>
      <c r="O2943" s="38">
        <f>SUM(N2943:N2944)</f>
        <v>6.4356647999999987</v>
      </c>
      <c r="P2943" s="36" t="str">
        <f t="shared" si="280"/>
        <v/>
      </c>
      <c r="Q2943" s="216">
        <f t="shared" si="281"/>
        <v>0.14400000000000002</v>
      </c>
      <c r="R2943" s="216">
        <f t="shared" si="282"/>
        <v>0.14400000000000002</v>
      </c>
      <c r="S2943" s="217">
        <f t="shared" si="283"/>
        <v>0.14400000000000002</v>
      </c>
    </row>
    <row r="2944" spans="1:19" ht="51.75" hidden="1" thickBot="1" x14ac:dyDescent="0.3">
      <c r="A2944" s="262"/>
      <c r="B2944" s="260"/>
      <c r="C2944" s="35" t="s">
        <v>723</v>
      </c>
      <c r="D2944" s="35" t="s">
        <v>16</v>
      </c>
      <c r="E2944" s="36">
        <v>1</v>
      </c>
      <c r="F2944" s="30" t="s">
        <v>416</v>
      </c>
      <c r="G2944" s="33" t="str">
        <f t="shared" si="284"/>
        <v/>
      </c>
      <c r="H2944" s="34"/>
      <c r="I2944" s="30"/>
      <c r="J2944" s="152">
        <v>0</v>
      </c>
      <c r="L2944" s="215">
        <v>1</v>
      </c>
      <c r="M2944" s="30"/>
      <c r="N2944" s="33" t="str">
        <f t="shared" si="285"/>
        <v/>
      </c>
      <c r="O2944" s="34"/>
      <c r="P2944" s="36" t="str">
        <f t="shared" si="280"/>
        <v/>
      </c>
      <c r="Q2944" s="216" t="str">
        <f t="shared" si="281"/>
        <v/>
      </c>
      <c r="R2944" s="216" t="str">
        <f t="shared" si="282"/>
        <v/>
      </c>
      <c r="S2944" s="217" t="str">
        <f t="shared" si="283"/>
        <v/>
      </c>
    </row>
    <row r="2945" spans="1:19" ht="15.75" hidden="1" thickBot="1" x14ac:dyDescent="0.3">
      <c r="A2945" s="263"/>
      <c r="B2945" s="261"/>
      <c r="C2945" s="35"/>
      <c r="D2945" s="35"/>
      <c r="E2945" s="36"/>
      <c r="F2945" s="30" t="s">
        <v>416</v>
      </c>
      <c r="G2945" s="33" t="str">
        <f t="shared" si="284"/>
        <v/>
      </c>
      <c r="H2945" s="34"/>
      <c r="I2945" s="30"/>
      <c r="J2945" s="152">
        <v>0</v>
      </c>
      <c r="L2945" s="215"/>
      <c r="M2945" s="30"/>
      <c r="N2945" s="33" t="str">
        <f t="shared" si="285"/>
        <v/>
      </c>
      <c r="O2945" s="34"/>
      <c r="P2945" s="36" t="str">
        <f t="shared" si="280"/>
        <v/>
      </c>
      <c r="Q2945" s="216" t="str">
        <f t="shared" si="281"/>
        <v/>
      </c>
      <c r="R2945" s="216" t="str">
        <f t="shared" si="282"/>
        <v/>
      </c>
      <c r="S2945" s="217" t="str">
        <f t="shared" si="283"/>
        <v/>
      </c>
    </row>
    <row r="2946" spans="1:19" ht="15.75" hidden="1" thickBot="1" x14ac:dyDescent="0.3">
      <c r="A2946" s="256" t="s">
        <v>724</v>
      </c>
      <c r="B2946" s="259" t="str">
        <f>INDEX(Orçamentária!A:B,MATCH(Composições!A2946,Orçamentária!A:A,0),2)</f>
        <v>Roldana simples para porta de correr em vidro temperado</v>
      </c>
      <c r="C2946" s="40"/>
      <c r="D2946" s="25" t="s">
        <v>16</v>
      </c>
      <c r="E2946" s="26"/>
      <c r="F2946" s="41" t="s">
        <v>416</v>
      </c>
      <c r="G2946" s="27" t="str">
        <f t="shared" si="284"/>
        <v/>
      </c>
      <c r="H2946" s="28"/>
      <c r="I2946" s="29"/>
      <c r="J2946" s="152">
        <v>0</v>
      </c>
      <c r="L2946" s="218"/>
      <c r="M2946" s="41"/>
      <c r="N2946" s="27" t="str">
        <f t="shared" si="285"/>
        <v/>
      </c>
      <c r="O2946" s="28"/>
      <c r="P2946" s="36" t="str">
        <f t="shared" si="280"/>
        <v/>
      </c>
      <c r="Q2946" s="216" t="str">
        <f t="shared" si="281"/>
        <v/>
      </c>
      <c r="R2946" s="216" t="str">
        <f t="shared" si="282"/>
        <v/>
      </c>
      <c r="S2946" s="217" t="str">
        <f t="shared" si="283"/>
        <v/>
      </c>
    </row>
    <row r="2947" spans="1:19" ht="15.75" hidden="1" thickBot="1" x14ac:dyDescent="0.3">
      <c r="A2947" s="262"/>
      <c r="B2947" s="260"/>
      <c r="C2947" s="31"/>
      <c r="D2947" s="31"/>
      <c r="E2947" s="32"/>
      <c r="F2947" s="42" t="s">
        <v>416</v>
      </c>
      <c r="G2947" s="33" t="str">
        <f t="shared" si="284"/>
        <v/>
      </c>
      <c r="H2947" s="34"/>
      <c r="I2947" s="30"/>
      <c r="J2947" s="152">
        <v>0</v>
      </c>
      <c r="L2947" s="219"/>
      <c r="M2947" s="42"/>
      <c r="N2947" s="33" t="str">
        <f t="shared" si="285"/>
        <v/>
      </c>
      <c r="O2947" s="34"/>
      <c r="P2947" s="36" t="str">
        <f t="shared" si="280"/>
        <v/>
      </c>
      <c r="Q2947" s="216" t="str">
        <f t="shared" si="281"/>
        <v/>
      </c>
      <c r="R2947" s="216" t="str">
        <f t="shared" si="282"/>
        <v/>
      </c>
      <c r="S2947" s="217" t="str">
        <f t="shared" si="283"/>
        <v/>
      </c>
    </row>
    <row r="2948" spans="1:19" ht="15.75" hidden="1" thickBot="1" x14ac:dyDescent="0.3">
      <c r="A2948" s="262"/>
      <c r="B2948" s="260"/>
      <c r="C2948" s="35" t="s">
        <v>2909</v>
      </c>
      <c r="D2948" s="35" t="s">
        <v>583</v>
      </c>
      <c r="E2948" s="36">
        <v>0.15</v>
      </c>
      <c r="F2948" s="33">
        <v>25.060999999999996</v>
      </c>
      <c r="G2948" s="33">
        <f t="shared" si="284"/>
        <v>3.7591499999999991</v>
      </c>
      <c r="H2948" s="38">
        <f>SUM(G2948:G2949)</f>
        <v>3.7591499999999991</v>
      </c>
      <c r="I2948" s="39"/>
      <c r="J2948" s="152">
        <v>0</v>
      </c>
      <c r="L2948" s="215">
        <v>0.15</v>
      </c>
      <c r="M2948" s="33">
        <v>21.452215999999996</v>
      </c>
      <c r="N2948" s="33">
        <f t="shared" si="285"/>
        <v>3.2178323999999994</v>
      </c>
      <c r="O2948" s="38">
        <f>SUM(N2948:N2949)</f>
        <v>3.2178323999999994</v>
      </c>
      <c r="P2948" s="36" t="str">
        <f t="shared" si="280"/>
        <v/>
      </c>
      <c r="Q2948" s="216">
        <f t="shared" si="281"/>
        <v>0.14400000000000002</v>
      </c>
      <c r="R2948" s="216">
        <f t="shared" si="282"/>
        <v>0.14400000000000002</v>
      </c>
      <c r="S2948" s="217">
        <f t="shared" si="283"/>
        <v>0.14400000000000002</v>
      </c>
    </row>
    <row r="2949" spans="1:19" ht="26.25" hidden="1" thickBot="1" x14ac:dyDescent="0.3">
      <c r="A2949" s="262"/>
      <c r="B2949" s="260"/>
      <c r="C2949" s="35" t="s">
        <v>725</v>
      </c>
      <c r="D2949" s="35" t="s">
        <v>16</v>
      </c>
      <c r="E2949" s="36">
        <v>1</v>
      </c>
      <c r="F2949" s="30" t="s">
        <v>416</v>
      </c>
      <c r="G2949" s="33" t="str">
        <f t="shared" si="284"/>
        <v/>
      </c>
      <c r="H2949" s="34"/>
      <c r="I2949" s="30"/>
      <c r="J2949" s="152">
        <v>0</v>
      </c>
      <c r="L2949" s="215">
        <v>1</v>
      </c>
      <c r="M2949" s="30"/>
      <c r="N2949" s="33" t="str">
        <f t="shared" si="285"/>
        <v/>
      </c>
      <c r="O2949" s="34"/>
      <c r="P2949" s="36" t="str">
        <f t="shared" si="280"/>
        <v/>
      </c>
      <c r="Q2949" s="216" t="str">
        <f t="shared" si="281"/>
        <v/>
      </c>
      <c r="R2949" s="216" t="str">
        <f t="shared" si="282"/>
        <v/>
      </c>
      <c r="S2949" s="217" t="str">
        <f t="shared" si="283"/>
        <v/>
      </c>
    </row>
    <row r="2950" spans="1:19" ht="15.75" hidden="1" thickBot="1" x14ac:dyDescent="0.3">
      <c r="A2950" s="263"/>
      <c r="B2950" s="261"/>
      <c r="C2950" s="35"/>
      <c r="D2950" s="35"/>
      <c r="E2950" s="36"/>
      <c r="F2950" s="30" t="s">
        <v>416</v>
      </c>
      <c r="G2950" s="33" t="str">
        <f t="shared" si="284"/>
        <v/>
      </c>
      <c r="H2950" s="34"/>
      <c r="I2950" s="30"/>
      <c r="J2950" s="152">
        <v>0</v>
      </c>
      <c r="L2950" s="215"/>
      <c r="M2950" s="30"/>
      <c r="N2950" s="33" t="str">
        <f t="shared" si="285"/>
        <v/>
      </c>
      <c r="O2950" s="34"/>
      <c r="P2950" s="36" t="str">
        <f t="shared" si="280"/>
        <v/>
      </c>
      <c r="Q2950" s="216" t="str">
        <f t="shared" si="281"/>
        <v/>
      </c>
      <c r="R2950" s="216" t="str">
        <f t="shared" si="282"/>
        <v/>
      </c>
      <c r="S2950" s="217" t="str">
        <f t="shared" si="283"/>
        <v/>
      </c>
    </row>
    <row r="2951" spans="1:19" ht="15.75" hidden="1" thickBot="1" x14ac:dyDescent="0.3">
      <c r="A2951" s="256" t="s">
        <v>726</v>
      </c>
      <c r="B2951" s="259" t="str">
        <f>INDEX(Orçamentária!A:B,MATCH(Composições!A2951,Orçamentária!A:A,0),2)</f>
        <v>Roldana dupla para porta de correr em vidro temperado</v>
      </c>
      <c r="C2951" s="40"/>
      <c r="D2951" s="25" t="s">
        <v>16</v>
      </c>
      <c r="E2951" s="26"/>
      <c r="F2951" s="41" t="s">
        <v>416</v>
      </c>
      <c r="G2951" s="27" t="str">
        <f t="shared" si="284"/>
        <v/>
      </c>
      <c r="H2951" s="28"/>
      <c r="I2951" s="29"/>
      <c r="J2951" s="152">
        <v>0</v>
      </c>
      <c r="L2951" s="218"/>
      <c r="M2951" s="41"/>
      <c r="N2951" s="27" t="str">
        <f t="shared" si="285"/>
        <v/>
      </c>
      <c r="O2951" s="28"/>
      <c r="P2951" s="36" t="str">
        <f t="shared" si="280"/>
        <v/>
      </c>
      <c r="Q2951" s="216" t="str">
        <f t="shared" si="281"/>
        <v/>
      </c>
      <c r="R2951" s="216" t="str">
        <f t="shared" si="282"/>
        <v/>
      </c>
      <c r="S2951" s="217" t="str">
        <f t="shared" si="283"/>
        <v/>
      </c>
    </row>
    <row r="2952" spans="1:19" ht="15.75" hidden="1" thickBot="1" x14ac:dyDescent="0.3">
      <c r="A2952" s="262"/>
      <c r="B2952" s="260"/>
      <c r="C2952" s="31"/>
      <c r="D2952" s="31"/>
      <c r="E2952" s="32"/>
      <c r="F2952" s="42" t="s">
        <v>416</v>
      </c>
      <c r="G2952" s="33" t="str">
        <f t="shared" si="284"/>
        <v/>
      </c>
      <c r="H2952" s="34"/>
      <c r="I2952" s="30"/>
      <c r="J2952" s="152">
        <v>0</v>
      </c>
      <c r="L2952" s="219"/>
      <c r="M2952" s="42"/>
      <c r="N2952" s="33" t="str">
        <f t="shared" si="285"/>
        <v/>
      </c>
      <c r="O2952" s="34"/>
      <c r="P2952" s="36" t="str">
        <f t="shared" ref="P2952:P3015" si="286">IF(ISBLANK(L2952),"",IF($E2952&lt;&gt;L2952,"SIM",""))</f>
        <v/>
      </c>
      <c r="Q2952" s="216" t="str">
        <f t="shared" ref="Q2952:Q3015" si="287">IF(M2952="","",1-M2952/$F2952)</f>
        <v/>
      </c>
      <c r="R2952" s="216" t="str">
        <f t="shared" ref="R2952:R3015" si="288">IF(N2952="","",1-N2952/$G2952)</f>
        <v/>
      </c>
      <c r="S2952" s="217" t="str">
        <f t="shared" ref="S2952:S3015" si="289">IF(O2952="","",1-O2952/$H2952)</f>
        <v/>
      </c>
    </row>
    <row r="2953" spans="1:19" ht="15.75" hidden="1" thickBot="1" x14ac:dyDescent="0.3">
      <c r="A2953" s="262"/>
      <c r="B2953" s="260"/>
      <c r="C2953" s="35" t="s">
        <v>2909</v>
      </c>
      <c r="D2953" s="35" t="s">
        <v>583</v>
      </c>
      <c r="E2953" s="36">
        <v>0.15</v>
      </c>
      <c r="F2953" s="33">
        <v>25.060999999999996</v>
      </c>
      <c r="G2953" s="33">
        <f t="shared" si="284"/>
        <v>3.7591499999999991</v>
      </c>
      <c r="H2953" s="38">
        <f>SUM(G2953:G2954)</f>
        <v>3.7591499999999991</v>
      </c>
      <c r="I2953" s="39"/>
      <c r="J2953" s="152">
        <v>0</v>
      </c>
      <c r="L2953" s="215">
        <v>0.15</v>
      </c>
      <c r="M2953" s="33">
        <v>21.452215999999996</v>
      </c>
      <c r="N2953" s="33">
        <f t="shared" si="285"/>
        <v>3.2178323999999994</v>
      </c>
      <c r="O2953" s="38">
        <f>SUM(N2953:N2954)</f>
        <v>3.2178323999999994</v>
      </c>
      <c r="P2953" s="36" t="str">
        <f t="shared" si="286"/>
        <v/>
      </c>
      <c r="Q2953" s="216">
        <f t="shared" si="287"/>
        <v>0.14400000000000002</v>
      </c>
      <c r="R2953" s="216">
        <f t="shared" si="288"/>
        <v>0.14400000000000002</v>
      </c>
      <c r="S2953" s="217">
        <f t="shared" si="289"/>
        <v>0.14400000000000002</v>
      </c>
    </row>
    <row r="2954" spans="1:19" ht="26.25" hidden="1" thickBot="1" x14ac:dyDescent="0.3">
      <c r="A2954" s="262"/>
      <c r="B2954" s="260"/>
      <c r="C2954" s="35" t="s">
        <v>727</v>
      </c>
      <c r="D2954" s="35" t="s">
        <v>16</v>
      </c>
      <c r="E2954" s="36">
        <v>1</v>
      </c>
      <c r="F2954" s="30" t="s">
        <v>416</v>
      </c>
      <c r="G2954" s="33" t="str">
        <f t="shared" si="284"/>
        <v/>
      </c>
      <c r="H2954" s="34"/>
      <c r="I2954" s="30"/>
      <c r="J2954" s="152">
        <v>0</v>
      </c>
      <c r="L2954" s="215">
        <v>1</v>
      </c>
      <c r="M2954" s="30"/>
      <c r="N2954" s="33" t="str">
        <f t="shared" si="285"/>
        <v/>
      </c>
      <c r="O2954" s="34"/>
      <c r="P2954" s="36" t="str">
        <f t="shared" si="286"/>
        <v/>
      </c>
      <c r="Q2954" s="216" t="str">
        <f t="shared" si="287"/>
        <v/>
      </c>
      <c r="R2954" s="216" t="str">
        <f t="shared" si="288"/>
        <v/>
      </c>
      <c r="S2954" s="217" t="str">
        <f t="shared" si="289"/>
        <v/>
      </c>
    </row>
    <row r="2955" spans="1:19" ht="15.75" hidden="1" thickBot="1" x14ac:dyDescent="0.3">
      <c r="A2955" s="263"/>
      <c r="B2955" s="261"/>
      <c r="C2955" s="35"/>
      <c r="D2955" s="35"/>
      <c r="E2955" s="36"/>
      <c r="F2955" s="30" t="s">
        <v>416</v>
      </c>
      <c r="G2955" s="33" t="str">
        <f t="shared" si="284"/>
        <v/>
      </c>
      <c r="H2955" s="34"/>
      <c r="I2955" s="30"/>
      <c r="J2955" s="152">
        <v>0</v>
      </c>
      <c r="L2955" s="215"/>
      <c r="M2955" s="30"/>
      <c r="N2955" s="33" t="str">
        <f t="shared" si="285"/>
        <v/>
      </c>
      <c r="O2955" s="34"/>
      <c r="P2955" s="36" t="str">
        <f t="shared" si="286"/>
        <v/>
      </c>
      <c r="Q2955" s="216" t="str">
        <f t="shared" si="287"/>
        <v/>
      </c>
      <c r="R2955" s="216" t="str">
        <f t="shared" si="288"/>
        <v/>
      </c>
      <c r="S2955" s="217" t="str">
        <f t="shared" si="289"/>
        <v/>
      </c>
    </row>
    <row r="2956" spans="1:19" ht="15.75" hidden="1" thickBot="1" x14ac:dyDescent="0.3">
      <c r="A2956" s="256" t="s">
        <v>728</v>
      </c>
      <c r="B2956" s="259" t="str">
        <f>INDEX(Orçamentária!A:B,MATCH(Composições!A2956,Orçamentária!A:A,0),2)</f>
        <v>Capuchinho para trinco para vidro temperado</v>
      </c>
      <c r="C2956" s="40"/>
      <c r="D2956" s="25" t="s">
        <v>16</v>
      </c>
      <c r="E2956" s="26"/>
      <c r="F2956" s="41" t="s">
        <v>416</v>
      </c>
      <c r="G2956" s="27" t="str">
        <f t="shared" si="284"/>
        <v/>
      </c>
      <c r="H2956" s="28"/>
      <c r="I2956" s="29"/>
      <c r="J2956" s="152">
        <v>0</v>
      </c>
      <c r="L2956" s="218"/>
      <c r="M2956" s="41"/>
      <c r="N2956" s="27" t="str">
        <f t="shared" si="285"/>
        <v/>
      </c>
      <c r="O2956" s="28"/>
      <c r="P2956" s="36" t="str">
        <f t="shared" si="286"/>
        <v/>
      </c>
      <c r="Q2956" s="216" t="str">
        <f t="shared" si="287"/>
        <v/>
      </c>
      <c r="R2956" s="216" t="str">
        <f t="shared" si="288"/>
        <v/>
      </c>
      <c r="S2956" s="217" t="str">
        <f t="shared" si="289"/>
        <v/>
      </c>
    </row>
    <row r="2957" spans="1:19" ht="15.75" hidden="1" thickBot="1" x14ac:dyDescent="0.3">
      <c r="A2957" s="262"/>
      <c r="B2957" s="260"/>
      <c r="C2957" s="31"/>
      <c r="D2957" s="31"/>
      <c r="E2957" s="32"/>
      <c r="F2957" s="42" t="s">
        <v>416</v>
      </c>
      <c r="G2957" s="33" t="str">
        <f t="shared" si="284"/>
        <v/>
      </c>
      <c r="H2957" s="34"/>
      <c r="I2957" s="30"/>
      <c r="J2957" s="152">
        <v>0</v>
      </c>
      <c r="L2957" s="219"/>
      <c r="M2957" s="42"/>
      <c r="N2957" s="33" t="str">
        <f t="shared" si="285"/>
        <v/>
      </c>
      <c r="O2957" s="34"/>
      <c r="P2957" s="36" t="str">
        <f t="shared" si="286"/>
        <v/>
      </c>
      <c r="Q2957" s="216" t="str">
        <f t="shared" si="287"/>
        <v/>
      </c>
      <c r="R2957" s="216" t="str">
        <f t="shared" si="288"/>
        <v/>
      </c>
      <c r="S2957" s="217" t="str">
        <f t="shared" si="289"/>
        <v/>
      </c>
    </row>
    <row r="2958" spans="1:19" ht="15.75" hidden="1" thickBot="1" x14ac:dyDescent="0.3">
      <c r="A2958" s="262"/>
      <c r="B2958" s="260"/>
      <c r="C2958" s="35" t="s">
        <v>2909</v>
      </c>
      <c r="D2958" s="35" t="s">
        <v>583</v>
      </c>
      <c r="E2958" s="36">
        <v>0.1</v>
      </c>
      <c r="F2958" s="33">
        <v>25.060999999999996</v>
      </c>
      <c r="G2958" s="33">
        <f t="shared" si="284"/>
        <v>2.5061</v>
      </c>
      <c r="H2958" s="38">
        <f>SUM(G2958:G2959)</f>
        <v>2.5061</v>
      </c>
      <c r="I2958" s="39"/>
      <c r="J2958" s="152">
        <v>0</v>
      </c>
      <c r="L2958" s="215">
        <v>0.1</v>
      </c>
      <c r="M2958" s="33">
        <v>21.452215999999996</v>
      </c>
      <c r="N2958" s="33">
        <f t="shared" si="285"/>
        <v>2.1452215999999997</v>
      </c>
      <c r="O2958" s="38">
        <f>SUM(N2958:N2959)</f>
        <v>2.1452215999999997</v>
      </c>
      <c r="P2958" s="36" t="str">
        <f t="shared" si="286"/>
        <v/>
      </c>
      <c r="Q2958" s="216">
        <f t="shared" si="287"/>
        <v>0.14400000000000002</v>
      </c>
      <c r="R2958" s="216">
        <f t="shared" si="288"/>
        <v>0.14400000000000013</v>
      </c>
      <c r="S2958" s="217">
        <f t="shared" si="289"/>
        <v>0.14400000000000013</v>
      </c>
    </row>
    <row r="2959" spans="1:19" ht="39" hidden="1" thickBot="1" x14ac:dyDescent="0.3">
      <c r="A2959" s="262"/>
      <c r="B2959" s="260"/>
      <c r="C2959" s="35" t="s">
        <v>729</v>
      </c>
      <c r="D2959" s="35" t="s">
        <v>16</v>
      </c>
      <c r="E2959" s="36">
        <v>1</v>
      </c>
      <c r="F2959" s="30">
        <v>0</v>
      </c>
      <c r="G2959" s="33">
        <f t="shared" si="284"/>
        <v>0</v>
      </c>
      <c r="H2959" s="34"/>
      <c r="I2959" s="30"/>
      <c r="J2959" s="152">
        <v>0</v>
      </c>
      <c r="L2959" s="215">
        <v>1</v>
      </c>
      <c r="M2959" s="30">
        <v>0</v>
      </c>
      <c r="N2959" s="33">
        <f t="shared" si="285"/>
        <v>0</v>
      </c>
      <c r="O2959" s="34"/>
      <c r="P2959" s="36" t="str">
        <f t="shared" si="286"/>
        <v/>
      </c>
      <c r="Q2959" s="216" t="e">
        <f t="shared" si="287"/>
        <v>#DIV/0!</v>
      </c>
      <c r="R2959" s="216" t="e">
        <f t="shared" si="288"/>
        <v>#DIV/0!</v>
      </c>
      <c r="S2959" s="217" t="str">
        <f t="shared" si="289"/>
        <v/>
      </c>
    </row>
    <row r="2960" spans="1:19" ht="15.75" hidden="1" thickBot="1" x14ac:dyDescent="0.3">
      <c r="A2960" s="263"/>
      <c r="B2960" s="261"/>
      <c r="C2960" s="35"/>
      <c r="D2960" s="35"/>
      <c r="E2960" s="36"/>
      <c r="F2960" s="30" t="s">
        <v>416</v>
      </c>
      <c r="G2960" s="33" t="str">
        <f t="shared" si="284"/>
        <v/>
      </c>
      <c r="H2960" s="34"/>
      <c r="I2960" s="30"/>
      <c r="J2960" s="152">
        <v>0</v>
      </c>
      <c r="L2960" s="215"/>
      <c r="M2960" s="30"/>
      <c r="N2960" s="33" t="str">
        <f t="shared" si="285"/>
        <v/>
      </c>
      <c r="O2960" s="34"/>
      <c r="P2960" s="36" t="str">
        <f t="shared" si="286"/>
        <v/>
      </c>
      <c r="Q2960" s="216" t="str">
        <f t="shared" si="287"/>
        <v/>
      </c>
      <c r="R2960" s="216" t="str">
        <f t="shared" si="288"/>
        <v/>
      </c>
      <c r="S2960" s="217" t="str">
        <f t="shared" si="289"/>
        <v/>
      </c>
    </row>
    <row r="2961" spans="1:19" ht="15.75" hidden="1" thickBot="1" x14ac:dyDescent="0.3">
      <c r="A2961" s="256" t="s">
        <v>730</v>
      </c>
      <c r="B2961" s="259" t="str">
        <f>INDEX(Orçamentária!A:B,MATCH(Composições!A2961,Orçamentária!A:A,0),2)</f>
        <v>Facão simples para lateral e bandeira de vidro temperado</v>
      </c>
      <c r="C2961" s="40"/>
      <c r="D2961" s="25" t="s">
        <v>16</v>
      </c>
      <c r="E2961" s="26"/>
      <c r="F2961" s="41" t="s">
        <v>416</v>
      </c>
      <c r="G2961" s="27" t="str">
        <f t="shared" si="284"/>
        <v/>
      </c>
      <c r="H2961" s="28"/>
      <c r="I2961" s="29"/>
      <c r="J2961" s="152">
        <v>0</v>
      </c>
      <c r="L2961" s="218"/>
      <c r="M2961" s="41"/>
      <c r="N2961" s="27" t="str">
        <f t="shared" si="285"/>
        <v/>
      </c>
      <c r="O2961" s="28"/>
      <c r="P2961" s="36" t="str">
        <f t="shared" si="286"/>
        <v/>
      </c>
      <c r="Q2961" s="216" t="str">
        <f t="shared" si="287"/>
        <v/>
      </c>
      <c r="R2961" s="216" t="str">
        <f t="shared" si="288"/>
        <v/>
      </c>
      <c r="S2961" s="217" t="str">
        <f t="shared" si="289"/>
        <v/>
      </c>
    </row>
    <row r="2962" spans="1:19" ht="15.75" hidden="1" thickBot="1" x14ac:dyDescent="0.3">
      <c r="A2962" s="262"/>
      <c r="B2962" s="260"/>
      <c r="C2962" s="31"/>
      <c r="D2962" s="31"/>
      <c r="E2962" s="32"/>
      <c r="F2962" s="42" t="s">
        <v>416</v>
      </c>
      <c r="G2962" s="33" t="str">
        <f t="shared" si="284"/>
        <v/>
      </c>
      <c r="H2962" s="34"/>
      <c r="I2962" s="30"/>
      <c r="J2962" s="152">
        <v>0</v>
      </c>
      <c r="L2962" s="219"/>
      <c r="M2962" s="42"/>
      <c r="N2962" s="33" t="str">
        <f t="shared" si="285"/>
        <v/>
      </c>
      <c r="O2962" s="34"/>
      <c r="P2962" s="36" t="str">
        <f t="shared" si="286"/>
        <v/>
      </c>
      <c r="Q2962" s="216" t="str">
        <f t="shared" si="287"/>
        <v/>
      </c>
      <c r="R2962" s="216" t="str">
        <f t="shared" si="288"/>
        <v/>
      </c>
      <c r="S2962" s="217" t="str">
        <f t="shared" si="289"/>
        <v/>
      </c>
    </row>
    <row r="2963" spans="1:19" ht="15.75" hidden="1" thickBot="1" x14ac:dyDescent="0.3">
      <c r="A2963" s="262"/>
      <c r="B2963" s="260"/>
      <c r="C2963" s="35" t="s">
        <v>2909</v>
      </c>
      <c r="D2963" s="35" t="s">
        <v>583</v>
      </c>
      <c r="E2963" s="36">
        <v>0.4</v>
      </c>
      <c r="F2963" s="33">
        <v>25.060999999999996</v>
      </c>
      <c r="G2963" s="33">
        <f t="shared" si="284"/>
        <v>10.0244</v>
      </c>
      <c r="H2963" s="38">
        <f>SUM(G2963:G2964)</f>
        <v>10.0244</v>
      </c>
      <c r="I2963" s="39"/>
      <c r="J2963" s="152">
        <v>0</v>
      </c>
      <c r="L2963" s="215">
        <v>0.4</v>
      </c>
      <c r="M2963" s="33">
        <v>21.452215999999996</v>
      </c>
      <c r="N2963" s="33">
        <f t="shared" si="285"/>
        <v>8.5808863999999989</v>
      </c>
      <c r="O2963" s="38">
        <f>SUM(N2963:N2964)</f>
        <v>8.5808863999999989</v>
      </c>
      <c r="P2963" s="36" t="str">
        <f t="shared" si="286"/>
        <v/>
      </c>
      <c r="Q2963" s="216">
        <f t="shared" si="287"/>
        <v>0.14400000000000002</v>
      </c>
      <c r="R2963" s="216">
        <f t="shared" si="288"/>
        <v>0.14400000000000013</v>
      </c>
      <c r="S2963" s="217">
        <f t="shared" si="289"/>
        <v>0.14400000000000013</v>
      </c>
    </row>
    <row r="2964" spans="1:19" ht="39" hidden="1" thickBot="1" x14ac:dyDescent="0.3">
      <c r="A2964" s="262"/>
      <c r="B2964" s="260"/>
      <c r="C2964" s="35" t="s">
        <v>731</v>
      </c>
      <c r="D2964" s="35" t="s">
        <v>16</v>
      </c>
      <c r="E2964" s="36">
        <v>1</v>
      </c>
      <c r="F2964" s="30">
        <v>0</v>
      </c>
      <c r="G2964" s="33">
        <f t="shared" si="284"/>
        <v>0</v>
      </c>
      <c r="H2964" s="34"/>
      <c r="I2964" s="30"/>
      <c r="J2964" s="152">
        <v>0</v>
      </c>
      <c r="L2964" s="215">
        <v>1</v>
      </c>
      <c r="M2964" s="30">
        <v>0</v>
      </c>
      <c r="N2964" s="33">
        <f t="shared" si="285"/>
        <v>0</v>
      </c>
      <c r="O2964" s="34"/>
      <c r="P2964" s="36" t="str">
        <f t="shared" si="286"/>
        <v/>
      </c>
      <c r="Q2964" s="216" t="e">
        <f t="shared" si="287"/>
        <v>#DIV/0!</v>
      </c>
      <c r="R2964" s="216" t="e">
        <f t="shared" si="288"/>
        <v>#DIV/0!</v>
      </c>
      <c r="S2964" s="217" t="str">
        <f t="shared" si="289"/>
        <v/>
      </c>
    </row>
    <row r="2965" spans="1:19" ht="15.75" hidden="1" thickBot="1" x14ac:dyDescent="0.3">
      <c r="A2965" s="263"/>
      <c r="B2965" s="261"/>
      <c r="C2965" s="35"/>
      <c r="D2965" s="35"/>
      <c r="E2965" s="36"/>
      <c r="F2965" s="30" t="s">
        <v>416</v>
      </c>
      <c r="G2965" s="33" t="str">
        <f t="shared" si="284"/>
        <v/>
      </c>
      <c r="H2965" s="34"/>
      <c r="I2965" s="30"/>
      <c r="J2965" s="152">
        <v>0</v>
      </c>
      <c r="L2965" s="215"/>
      <c r="M2965" s="30"/>
      <c r="N2965" s="33" t="str">
        <f t="shared" si="285"/>
        <v/>
      </c>
      <c r="O2965" s="34"/>
      <c r="P2965" s="36" t="str">
        <f t="shared" si="286"/>
        <v/>
      </c>
      <c r="Q2965" s="216" t="str">
        <f t="shared" si="287"/>
        <v/>
      </c>
      <c r="R2965" s="216" t="str">
        <f t="shared" si="288"/>
        <v/>
      </c>
      <c r="S2965" s="217" t="str">
        <f t="shared" si="289"/>
        <v/>
      </c>
    </row>
    <row r="2966" spans="1:19" ht="15.75" hidden="1" thickBot="1" x14ac:dyDescent="0.3">
      <c r="A2966" s="256" t="s">
        <v>732</v>
      </c>
      <c r="B2966" s="259" t="str">
        <f>INDEX(Orçamentária!A:B,MATCH(Composições!A2966,Orçamentária!A:A,0),2)</f>
        <v>Fechadura de pressão para porta de abrir em vidro temperado</v>
      </c>
      <c r="C2966" s="40"/>
      <c r="D2966" s="25" t="s">
        <v>16</v>
      </c>
      <c r="E2966" s="26"/>
      <c r="F2966" s="41" t="s">
        <v>416</v>
      </c>
      <c r="G2966" s="27" t="str">
        <f t="shared" si="284"/>
        <v/>
      </c>
      <c r="H2966" s="28"/>
      <c r="I2966" s="29"/>
      <c r="J2966" s="152">
        <v>0</v>
      </c>
      <c r="L2966" s="218"/>
      <c r="M2966" s="41"/>
      <c r="N2966" s="27" t="str">
        <f t="shared" si="285"/>
        <v/>
      </c>
      <c r="O2966" s="28"/>
      <c r="P2966" s="36" t="str">
        <f t="shared" si="286"/>
        <v/>
      </c>
      <c r="Q2966" s="216" t="str">
        <f t="shared" si="287"/>
        <v/>
      </c>
      <c r="R2966" s="216" t="str">
        <f t="shared" si="288"/>
        <v/>
      </c>
      <c r="S2966" s="217" t="str">
        <f t="shared" si="289"/>
        <v/>
      </c>
    </row>
    <row r="2967" spans="1:19" ht="15.75" hidden="1" thickBot="1" x14ac:dyDescent="0.3">
      <c r="A2967" s="262"/>
      <c r="B2967" s="260"/>
      <c r="C2967" s="31"/>
      <c r="D2967" s="31"/>
      <c r="E2967" s="32"/>
      <c r="F2967" s="42" t="s">
        <v>416</v>
      </c>
      <c r="G2967" s="33" t="str">
        <f t="shared" si="284"/>
        <v/>
      </c>
      <c r="H2967" s="34"/>
      <c r="I2967" s="30"/>
      <c r="J2967" s="152">
        <v>0</v>
      </c>
      <c r="L2967" s="219"/>
      <c r="M2967" s="42"/>
      <c r="N2967" s="33" t="str">
        <f t="shared" si="285"/>
        <v/>
      </c>
      <c r="O2967" s="34"/>
      <c r="P2967" s="36" t="str">
        <f t="shared" si="286"/>
        <v/>
      </c>
      <c r="Q2967" s="216" t="str">
        <f t="shared" si="287"/>
        <v/>
      </c>
      <c r="R2967" s="216" t="str">
        <f t="shared" si="288"/>
        <v/>
      </c>
      <c r="S2967" s="217" t="str">
        <f t="shared" si="289"/>
        <v/>
      </c>
    </row>
    <row r="2968" spans="1:19" ht="15.75" hidden="1" thickBot="1" x14ac:dyDescent="0.3">
      <c r="A2968" s="262"/>
      <c r="B2968" s="260"/>
      <c r="C2968" s="35" t="s">
        <v>2909</v>
      </c>
      <c r="D2968" s="35" t="s">
        <v>583</v>
      </c>
      <c r="E2968" s="36">
        <v>0.4</v>
      </c>
      <c r="F2968" s="33">
        <v>25.060999999999996</v>
      </c>
      <c r="G2968" s="33">
        <f t="shared" si="284"/>
        <v>10.0244</v>
      </c>
      <c r="H2968" s="38">
        <f>SUM(G2968:G2969)</f>
        <v>10.0244</v>
      </c>
      <c r="I2968" s="39"/>
      <c r="J2968" s="152">
        <v>0</v>
      </c>
      <c r="L2968" s="215">
        <v>0.4</v>
      </c>
      <c r="M2968" s="33">
        <v>21.452215999999996</v>
      </c>
      <c r="N2968" s="33">
        <f t="shared" si="285"/>
        <v>8.5808863999999989</v>
      </c>
      <c r="O2968" s="38">
        <f>SUM(N2968:N2969)</f>
        <v>8.5808863999999989</v>
      </c>
      <c r="P2968" s="36" t="str">
        <f t="shared" si="286"/>
        <v/>
      </c>
      <c r="Q2968" s="216">
        <f t="shared" si="287"/>
        <v>0.14400000000000002</v>
      </c>
      <c r="R2968" s="216">
        <f t="shared" si="288"/>
        <v>0.14400000000000013</v>
      </c>
      <c r="S2968" s="217">
        <f t="shared" si="289"/>
        <v>0.14400000000000013</v>
      </c>
    </row>
    <row r="2969" spans="1:19" ht="39" hidden="1" thickBot="1" x14ac:dyDescent="0.3">
      <c r="A2969" s="262"/>
      <c r="B2969" s="260"/>
      <c r="C2969" s="35" t="s">
        <v>733</v>
      </c>
      <c r="D2969" s="35" t="s">
        <v>16</v>
      </c>
      <c r="E2969" s="36">
        <v>1</v>
      </c>
      <c r="F2969" s="30" t="s">
        <v>416</v>
      </c>
      <c r="G2969" s="33" t="str">
        <f t="shared" si="284"/>
        <v/>
      </c>
      <c r="H2969" s="34"/>
      <c r="I2969" s="30"/>
      <c r="J2969" s="152">
        <v>0</v>
      </c>
      <c r="L2969" s="215">
        <v>1</v>
      </c>
      <c r="M2969" s="30"/>
      <c r="N2969" s="33" t="str">
        <f t="shared" si="285"/>
        <v/>
      </c>
      <c r="O2969" s="34"/>
      <c r="P2969" s="36" t="str">
        <f t="shared" si="286"/>
        <v/>
      </c>
      <c r="Q2969" s="216" t="str">
        <f t="shared" si="287"/>
        <v/>
      </c>
      <c r="R2969" s="216" t="str">
        <f t="shared" si="288"/>
        <v/>
      </c>
      <c r="S2969" s="217" t="str">
        <f t="shared" si="289"/>
        <v/>
      </c>
    </row>
    <row r="2970" spans="1:19" ht="15.75" hidden="1" thickBot="1" x14ac:dyDescent="0.3">
      <c r="A2970" s="263"/>
      <c r="B2970" s="261"/>
      <c r="C2970" s="35"/>
      <c r="D2970" s="35"/>
      <c r="E2970" s="36"/>
      <c r="F2970" s="30" t="s">
        <v>416</v>
      </c>
      <c r="G2970" s="33" t="str">
        <f t="shared" si="284"/>
        <v/>
      </c>
      <c r="H2970" s="34"/>
      <c r="I2970" s="30"/>
      <c r="J2970" s="152">
        <v>0</v>
      </c>
      <c r="L2970" s="215"/>
      <c r="M2970" s="30"/>
      <c r="N2970" s="33" t="str">
        <f t="shared" si="285"/>
        <v/>
      </c>
      <c r="O2970" s="34"/>
      <c r="P2970" s="36" t="str">
        <f t="shared" si="286"/>
        <v/>
      </c>
      <c r="Q2970" s="216" t="str">
        <f t="shared" si="287"/>
        <v/>
      </c>
      <c r="R2970" s="216" t="str">
        <f t="shared" si="288"/>
        <v/>
      </c>
      <c r="S2970" s="217" t="str">
        <f t="shared" si="289"/>
        <v/>
      </c>
    </row>
    <row r="2971" spans="1:19" ht="15.75" hidden="1" thickBot="1" x14ac:dyDescent="0.3">
      <c r="A2971" s="256" t="s">
        <v>734</v>
      </c>
      <c r="B2971" s="259" t="str">
        <f>INDEX(Orçamentária!A:B,MATCH(Composições!A2971,Orçamentária!A:A,0),2)</f>
        <v>Suporte de união, com miolo, para vidro temperado</v>
      </c>
      <c r="C2971" s="40"/>
      <c r="D2971" s="25" t="s">
        <v>16</v>
      </c>
      <c r="E2971" s="26"/>
      <c r="F2971" s="41" t="s">
        <v>416</v>
      </c>
      <c r="G2971" s="27" t="str">
        <f t="shared" si="284"/>
        <v/>
      </c>
      <c r="H2971" s="28"/>
      <c r="I2971" s="29"/>
      <c r="J2971" s="152">
        <v>0</v>
      </c>
      <c r="L2971" s="218"/>
      <c r="M2971" s="41"/>
      <c r="N2971" s="27" t="str">
        <f t="shared" si="285"/>
        <v/>
      </c>
      <c r="O2971" s="28"/>
      <c r="P2971" s="36" t="str">
        <f t="shared" si="286"/>
        <v/>
      </c>
      <c r="Q2971" s="216" t="str">
        <f t="shared" si="287"/>
        <v/>
      </c>
      <c r="R2971" s="216" t="str">
        <f t="shared" si="288"/>
        <v/>
      </c>
      <c r="S2971" s="217" t="str">
        <f t="shared" si="289"/>
        <v/>
      </c>
    </row>
    <row r="2972" spans="1:19" ht="15.75" hidden="1" thickBot="1" x14ac:dyDescent="0.3">
      <c r="A2972" s="262"/>
      <c r="B2972" s="260"/>
      <c r="C2972" s="31"/>
      <c r="D2972" s="31"/>
      <c r="E2972" s="32"/>
      <c r="F2972" s="42" t="s">
        <v>416</v>
      </c>
      <c r="G2972" s="33" t="str">
        <f t="shared" si="284"/>
        <v/>
      </c>
      <c r="H2972" s="34"/>
      <c r="I2972" s="30"/>
      <c r="J2972" s="152">
        <v>0</v>
      </c>
      <c r="L2972" s="219"/>
      <c r="M2972" s="42"/>
      <c r="N2972" s="33" t="str">
        <f t="shared" si="285"/>
        <v/>
      </c>
      <c r="O2972" s="34"/>
      <c r="P2972" s="36" t="str">
        <f t="shared" si="286"/>
        <v/>
      </c>
      <c r="Q2972" s="216" t="str">
        <f t="shared" si="287"/>
        <v/>
      </c>
      <c r="R2972" s="216" t="str">
        <f t="shared" si="288"/>
        <v/>
      </c>
      <c r="S2972" s="217" t="str">
        <f t="shared" si="289"/>
        <v/>
      </c>
    </row>
    <row r="2973" spans="1:19" ht="15.75" hidden="1" thickBot="1" x14ac:dyDescent="0.3">
      <c r="A2973" s="262"/>
      <c r="B2973" s="260"/>
      <c r="C2973" s="35" t="s">
        <v>2909</v>
      </c>
      <c r="D2973" s="35" t="s">
        <v>583</v>
      </c>
      <c r="E2973" s="36">
        <v>0.3</v>
      </c>
      <c r="F2973" s="33">
        <v>25.060999999999996</v>
      </c>
      <c r="G2973" s="33">
        <f t="shared" si="284"/>
        <v>7.5182999999999982</v>
      </c>
      <c r="H2973" s="38">
        <f>SUM(G2973:G2974)</f>
        <v>7.5182999999999982</v>
      </c>
      <c r="I2973" s="39"/>
      <c r="J2973" s="152">
        <v>0</v>
      </c>
      <c r="L2973" s="215">
        <v>0.3</v>
      </c>
      <c r="M2973" s="33">
        <v>21.452215999999996</v>
      </c>
      <c r="N2973" s="33">
        <f t="shared" si="285"/>
        <v>6.4356647999999987</v>
      </c>
      <c r="O2973" s="38">
        <f>SUM(N2973:N2974)</f>
        <v>6.4356647999999987</v>
      </c>
      <c r="P2973" s="36" t="str">
        <f t="shared" si="286"/>
        <v/>
      </c>
      <c r="Q2973" s="216">
        <f t="shared" si="287"/>
        <v>0.14400000000000002</v>
      </c>
      <c r="R2973" s="216">
        <f t="shared" si="288"/>
        <v>0.14400000000000002</v>
      </c>
      <c r="S2973" s="217">
        <f t="shared" si="289"/>
        <v>0.14400000000000002</v>
      </c>
    </row>
    <row r="2974" spans="1:19" ht="26.25" hidden="1" thickBot="1" x14ac:dyDescent="0.3">
      <c r="A2974" s="262"/>
      <c r="B2974" s="260"/>
      <c r="C2974" s="35" t="s">
        <v>735</v>
      </c>
      <c r="D2974" s="35" t="s">
        <v>16</v>
      </c>
      <c r="E2974" s="36">
        <v>1</v>
      </c>
      <c r="F2974" s="30">
        <v>0</v>
      </c>
      <c r="G2974" s="33">
        <f t="shared" si="284"/>
        <v>0</v>
      </c>
      <c r="H2974" s="34"/>
      <c r="I2974" s="30"/>
      <c r="J2974" s="152">
        <v>0</v>
      </c>
      <c r="L2974" s="215">
        <v>1</v>
      </c>
      <c r="M2974" s="30">
        <v>0</v>
      </c>
      <c r="N2974" s="33">
        <f t="shared" si="285"/>
        <v>0</v>
      </c>
      <c r="O2974" s="34"/>
      <c r="P2974" s="36" t="str">
        <f t="shared" si="286"/>
        <v/>
      </c>
      <c r="Q2974" s="216" t="e">
        <f t="shared" si="287"/>
        <v>#DIV/0!</v>
      </c>
      <c r="R2974" s="216" t="e">
        <f t="shared" si="288"/>
        <v>#DIV/0!</v>
      </c>
      <c r="S2974" s="217" t="str">
        <f t="shared" si="289"/>
        <v/>
      </c>
    </row>
    <row r="2975" spans="1:19" ht="15.75" hidden="1" thickBot="1" x14ac:dyDescent="0.3">
      <c r="A2975" s="263"/>
      <c r="B2975" s="261"/>
      <c r="C2975" s="35"/>
      <c r="D2975" s="35"/>
      <c r="E2975" s="36"/>
      <c r="F2975" s="30" t="s">
        <v>416</v>
      </c>
      <c r="G2975" s="33" t="str">
        <f t="shared" si="284"/>
        <v/>
      </c>
      <c r="H2975" s="34"/>
      <c r="I2975" s="30"/>
      <c r="J2975" s="152">
        <v>0</v>
      </c>
      <c r="L2975" s="215"/>
      <c r="M2975" s="30"/>
      <c r="N2975" s="33" t="str">
        <f t="shared" si="285"/>
        <v/>
      </c>
      <c r="O2975" s="34"/>
      <c r="P2975" s="36" t="str">
        <f t="shared" si="286"/>
        <v/>
      </c>
      <c r="Q2975" s="216" t="str">
        <f t="shared" si="287"/>
        <v/>
      </c>
      <c r="R2975" s="216" t="str">
        <f t="shared" si="288"/>
        <v/>
      </c>
      <c r="S2975" s="217" t="str">
        <f t="shared" si="289"/>
        <v/>
      </c>
    </row>
    <row r="2976" spans="1:19" ht="15.75" hidden="1" thickBot="1" x14ac:dyDescent="0.3">
      <c r="A2976" s="256" t="s">
        <v>736</v>
      </c>
      <c r="B2976" s="259" t="str">
        <f>INDEX(Orçamentária!A:B,MATCH(Composições!A2976,Orçamentária!A:A,0),2)</f>
        <v>Suporte para basculante e pivotante de vidro temperado</v>
      </c>
      <c r="C2976" s="40"/>
      <c r="D2976" s="25" t="s">
        <v>16</v>
      </c>
      <c r="E2976" s="26"/>
      <c r="F2976" s="41" t="s">
        <v>416</v>
      </c>
      <c r="G2976" s="27" t="str">
        <f t="shared" si="284"/>
        <v/>
      </c>
      <c r="H2976" s="28"/>
      <c r="I2976" s="29"/>
      <c r="J2976" s="152">
        <v>0</v>
      </c>
      <c r="L2976" s="218"/>
      <c r="M2976" s="41"/>
      <c r="N2976" s="27" t="str">
        <f t="shared" si="285"/>
        <v/>
      </c>
      <c r="O2976" s="28"/>
      <c r="P2976" s="36" t="str">
        <f t="shared" si="286"/>
        <v/>
      </c>
      <c r="Q2976" s="216" t="str">
        <f t="shared" si="287"/>
        <v/>
      </c>
      <c r="R2976" s="216" t="str">
        <f t="shared" si="288"/>
        <v/>
      </c>
      <c r="S2976" s="217" t="str">
        <f t="shared" si="289"/>
        <v/>
      </c>
    </row>
    <row r="2977" spans="1:19" ht="15.75" hidden="1" thickBot="1" x14ac:dyDescent="0.3">
      <c r="A2977" s="262"/>
      <c r="B2977" s="260"/>
      <c r="C2977" s="31"/>
      <c r="D2977" s="31"/>
      <c r="E2977" s="32"/>
      <c r="F2977" s="42" t="s">
        <v>416</v>
      </c>
      <c r="G2977" s="33" t="str">
        <f t="shared" si="284"/>
        <v/>
      </c>
      <c r="H2977" s="34"/>
      <c r="I2977" s="30"/>
      <c r="J2977" s="152">
        <v>0</v>
      </c>
      <c r="L2977" s="219"/>
      <c r="M2977" s="42"/>
      <c r="N2977" s="33" t="str">
        <f t="shared" si="285"/>
        <v/>
      </c>
      <c r="O2977" s="34"/>
      <c r="P2977" s="36" t="str">
        <f t="shared" si="286"/>
        <v/>
      </c>
      <c r="Q2977" s="216" t="str">
        <f t="shared" si="287"/>
        <v/>
      </c>
      <c r="R2977" s="216" t="str">
        <f t="shared" si="288"/>
        <v/>
      </c>
      <c r="S2977" s="217" t="str">
        <f t="shared" si="289"/>
        <v/>
      </c>
    </row>
    <row r="2978" spans="1:19" ht="15.75" hidden="1" thickBot="1" x14ac:dyDescent="0.3">
      <c r="A2978" s="262"/>
      <c r="B2978" s="260"/>
      <c r="C2978" s="35" t="s">
        <v>2909</v>
      </c>
      <c r="D2978" s="35" t="s">
        <v>583</v>
      </c>
      <c r="E2978" s="36">
        <v>0.2</v>
      </c>
      <c r="F2978" s="33">
        <v>25.060999999999996</v>
      </c>
      <c r="G2978" s="33">
        <f t="shared" si="284"/>
        <v>5.0122</v>
      </c>
      <c r="H2978" s="38">
        <f>SUM(G2978:G2979)</f>
        <v>5.0122</v>
      </c>
      <c r="I2978" s="39"/>
      <c r="J2978" s="152">
        <v>0</v>
      </c>
      <c r="L2978" s="215">
        <v>0.2</v>
      </c>
      <c r="M2978" s="33">
        <v>21.452215999999996</v>
      </c>
      <c r="N2978" s="33">
        <f t="shared" si="285"/>
        <v>4.2904431999999995</v>
      </c>
      <c r="O2978" s="38">
        <f>SUM(N2978:N2979)</f>
        <v>4.2904431999999995</v>
      </c>
      <c r="P2978" s="36" t="str">
        <f t="shared" si="286"/>
        <v/>
      </c>
      <c r="Q2978" s="216">
        <f t="shared" si="287"/>
        <v>0.14400000000000002</v>
      </c>
      <c r="R2978" s="216">
        <f t="shared" si="288"/>
        <v>0.14400000000000013</v>
      </c>
      <c r="S2978" s="217">
        <f t="shared" si="289"/>
        <v>0.14400000000000013</v>
      </c>
    </row>
    <row r="2979" spans="1:19" ht="26.25" hidden="1" thickBot="1" x14ac:dyDescent="0.3">
      <c r="A2979" s="262"/>
      <c r="B2979" s="260"/>
      <c r="C2979" s="35" t="s">
        <v>737</v>
      </c>
      <c r="D2979" s="35" t="s">
        <v>16</v>
      </c>
      <c r="E2979" s="36">
        <v>1</v>
      </c>
      <c r="F2979" s="30">
        <v>0</v>
      </c>
      <c r="G2979" s="33">
        <f t="shared" si="284"/>
        <v>0</v>
      </c>
      <c r="H2979" s="34"/>
      <c r="I2979" s="30"/>
      <c r="J2979" s="152">
        <v>0</v>
      </c>
      <c r="L2979" s="215">
        <v>1</v>
      </c>
      <c r="M2979" s="30">
        <v>0</v>
      </c>
      <c r="N2979" s="33">
        <f t="shared" si="285"/>
        <v>0</v>
      </c>
      <c r="O2979" s="34"/>
      <c r="P2979" s="36" t="str">
        <f t="shared" si="286"/>
        <v/>
      </c>
      <c r="Q2979" s="216" t="e">
        <f t="shared" si="287"/>
        <v>#DIV/0!</v>
      </c>
      <c r="R2979" s="216" t="e">
        <f t="shared" si="288"/>
        <v>#DIV/0!</v>
      </c>
      <c r="S2979" s="217" t="str">
        <f t="shared" si="289"/>
        <v/>
      </c>
    </row>
    <row r="2980" spans="1:19" ht="15.75" hidden="1" thickBot="1" x14ac:dyDescent="0.3">
      <c r="A2980" s="263"/>
      <c r="B2980" s="261"/>
      <c r="C2980" s="35"/>
      <c r="D2980" s="35"/>
      <c r="E2980" s="36"/>
      <c r="F2980" s="30" t="s">
        <v>416</v>
      </c>
      <c r="G2980" s="33" t="str">
        <f t="shared" si="284"/>
        <v/>
      </c>
      <c r="H2980" s="34"/>
      <c r="I2980" s="30"/>
      <c r="J2980" s="152">
        <v>0</v>
      </c>
      <c r="L2980" s="215"/>
      <c r="M2980" s="30"/>
      <c r="N2980" s="33" t="str">
        <f t="shared" si="285"/>
        <v/>
      </c>
      <c r="O2980" s="34"/>
      <c r="P2980" s="36" t="str">
        <f t="shared" si="286"/>
        <v/>
      </c>
      <c r="Q2980" s="216" t="str">
        <f t="shared" si="287"/>
        <v/>
      </c>
      <c r="R2980" s="216" t="str">
        <f t="shared" si="288"/>
        <v/>
      </c>
      <c r="S2980" s="217" t="str">
        <f t="shared" si="289"/>
        <v/>
      </c>
    </row>
    <row r="2981" spans="1:19" ht="15.75" hidden="1" thickBot="1" x14ac:dyDescent="0.3">
      <c r="A2981" s="256" t="s">
        <v>738</v>
      </c>
      <c r="B2981" s="259" t="str">
        <f>INDEX(Orçamentária!A:B,MATCH(Composições!A2981,Orçamentária!A:A,0),2)</f>
        <v>Trinco central para basculante em vidro temperado</v>
      </c>
      <c r="C2981" s="40"/>
      <c r="D2981" s="25" t="s">
        <v>16</v>
      </c>
      <c r="E2981" s="26"/>
      <c r="F2981" s="41" t="s">
        <v>416</v>
      </c>
      <c r="G2981" s="27" t="str">
        <f t="shared" si="284"/>
        <v/>
      </c>
      <c r="H2981" s="28"/>
      <c r="I2981" s="29"/>
      <c r="J2981" s="152">
        <v>0</v>
      </c>
      <c r="L2981" s="218"/>
      <c r="M2981" s="41"/>
      <c r="N2981" s="27" t="str">
        <f t="shared" si="285"/>
        <v/>
      </c>
      <c r="O2981" s="28"/>
      <c r="P2981" s="36" t="str">
        <f t="shared" si="286"/>
        <v/>
      </c>
      <c r="Q2981" s="216" t="str">
        <f t="shared" si="287"/>
        <v/>
      </c>
      <c r="R2981" s="216" t="str">
        <f t="shared" si="288"/>
        <v/>
      </c>
      <c r="S2981" s="217" t="str">
        <f t="shared" si="289"/>
        <v/>
      </c>
    </row>
    <row r="2982" spans="1:19" ht="15.75" hidden="1" thickBot="1" x14ac:dyDescent="0.3">
      <c r="A2982" s="262"/>
      <c r="B2982" s="260"/>
      <c r="C2982" s="31"/>
      <c r="D2982" s="31"/>
      <c r="E2982" s="32"/>
      <c r="F2982" s="42" t="s">
        <v>416</v>
      </c>
      <c r="G2982" s="33" t="str">
        <f t="shared" si="284"/>
        <v/>
      </c>
      <c r="H2982" s="34"/>
      <c r="I2982" s="30"/>
      <c r="J2982" s="152">
        <v>0</v>
      </c>
      <c r="L2982" s="219"/>
      <c r="M2982" s="42"/>
      <c r="N2982" s="33" t="str">
        <f t="shared" si="285"/>
        <v/>
      </c>
      <c r="O2982" s="34"/>
      <c r="P2982" s="36" t="str">
        <f t="shared" si="286"/>
        <v/>
      </c>
      <c r="Q2982" s="216" t="str">
        <f t="shared" si="287"/>
        <v/>
      </c>
      <c r="R2982" s="216" t="str">
        <f t="shared" si="288"/>
        <v/>
      </c>
      <c r="S2982" s="217" t="str">
        <f t="shared" si="289"/>
        <v/>
      </c>
    </row>
    <row r="2983" spans="1:19" ht="15.75" hidden="1" thickBot="1" x14ac:dyDescent="0.3">
      <c r="A2983" s="262"/>
      <c r="B2983" s="260"/>
      <c r="C2983" s="35" t="s">
        <v>2909</v>
      </c>
      <c r="D2983" s="35" t="s">
        <v>583</v>
      </c>
      <c r="E2983" s="36">
        <v>0.2</v>
      </c>
      <c r="F2983" s="33">
        <v>25.060999999999996</v>
      </c>
      <c r="G2983" s="33">
        <f t="shared" si="284"/>
        <v>5.0122</v>
      </c>
      <c r="H2983" s="38">
        <f>SUM(G2983:G2984)</f>
        <v>5.0122</v>
      </c>
      <c r="I2983" s="39"/>
      <c r="J2983" s="152">
        <v>0</v>
      </c>
      <c r="L2983" s="215">
        <v>0.2</v>
      </c>
      <c r="M2983" s="33">
        <v>21.452215999999996</v>
      </c>
      <c r="N2983" s="33">
        <f t="shared" si="285"/>
        <v>4.2904431999999995</v>
      </c>
      <c r="O2983" s="38">
        <f>SUM(N2983:N2984)</f>
        <v>4.2904431999999995</v>
      </c>
      <c r="P2983" s="36" t="str">
        <f t="shared" si="286"/>
        <v/>
      </c>
      <c r="Q2983" s="216">
        <f t="shared" si="287"/>
        <v>0.14400000000000002</v>
      </c>
      <c r="R2983" s="216">
        <f t="shared" si="288"/>
        <v>0.14400000000000013</v>
      </c>
      <c r="S2983" s="217">
        <f t="shared" si="289"/>
        <v>0.14400000000000013</v>
      </c>
    </row>
    <row r="2984" spans="1:19" ht="26.25" hidden="1" thickBot="1" x14ac:dyDescent="0.3">
      <c r="A2984" s="262"/>
      <c r="B2984" s="260"/>
      <c r="C2984" s="35" t="s">
        <v>739</v>
      </c>
      <c r="D2984" s="46" t="s">
        <v>16</v>
      </c>
      <c r="E2984" s="36">
        <v>1</v>
      </c>
      <c r="F2984" s="30">
        <v>0</v>
      </c>
      <c r="G2984" s="33">
        <f t="shared" si="284"/>
        <v>0</v>
      </c>
      <c r="H2984" s="34"/>
      <c r="I2984" s="30"/>
      <c r="J2984" s="152">
        <v>0</v>
      </c>
      <c r="L2984" s="215">
        <v>1</v>
      </c>
      <c r="M2984" s="30">
        <v>0</v>
      </c>
      <c r="N2984" s="33">
        <f t="shared" si="285"/>
        <v>0</v>
      </c>
      <c r="O2984" s="34"/>
      <c r="P2984" s="36" t="str">
        <f t="shared" si="286"/>
        <v/>
      </c>
      <c r="Q2984" s="216" t="e">
        <f t="shared" si="287"/>
        <v>#DIV/0!</v>
      </c>
      <c r="R2984" s="216" t="e">
        <f t="shared" si="288"/>
        <v>#DIV/0!</v>
      </c>
      <c r="S2984" s="217" t="str">
        <f t="shared" si="289"/>
        <v/>
      </c>
    </row>
    <row r="2985" spans="1:19" ht="15.75" hidden="1" thickBot="1" x14ac:dyDescent="0.3">
      <c r="A2985" s="263"/>
      <c r="B2985" s="261"/>
      <c r="C2985" s="35"/>
      <c r="D2985" s="35"/>
      <c r="E2985" s="36"/>
      <c r="F2985" s="30" t="s">
        <v>416</v>
      </c>
      <c r="G2985" s="33" t="str">
        <f t="shared" si="284"/>
        <v/>
      </c>
      <c r="H2985" s="34"/>
      <c r="I2985" s="30"/>
      <c r="J2985" s="152">
        <v>0</v>
      </c>
      <c r="L2985" s="215"/>
      <c r="M2985" s="30"/>
      <c r="N2985" s="33" t="str">
        <f t="shared" si="285"/>
        <v/>
      </c>
      <c r="O2985" s="34"/>
      <c r="P2985" s="36" t="str">
        <f t="shared" si="286"/>
        <v/>
      </c>
      <c r="Q2985" s="216" t="str">
        <f t="shared" si="287"/>
        <v/>
      </c>
      <c r="R2985" s="216" t="str">
        <f t="shared" si="288"/>
        <v/>
      </c>
      <c r="S2985" s="217" t="str">
        <f t="shared" si="289"/>
        <v/>
      </c>
    </row>
    <row r="2986" spans="1:19" ht="15.75" hidden="1" thickBot="1" x14ac:dyDescent="0.3">
      <c r="A2986" s="256" t="s">
        <v>740</v>
      </c>
      <c r="B2986" s="259" t="str">
        <f>INDEX(Orçamentária!A:B,MATCH(Composições!A2986,Orçamentária!A:A,0),2)</f>
        <v>Vidro laminado incolor de 8mm de espessura</v>
      </c>
      <c r="C2986" s="40"/>
      <c r="D2986" s="25" t="s">
        <v>70</v>
      </c>
      <c r="E2986" s="26"/>
      <c r="F2986" s="41" t="s">
        <v>416</v>
      </c>
      <c r="G2986" s="27" t="str">
        <f t="shared" si="284"/>
        <v/>
      </c>
      <c r="H2986" s="28"/>
      <c r="I2986" s="29"/>
      <c r="J2986" s="152">
        <v>0</v>
      </c>
      <c r="L2986" s="218"/>
      <c r="M2986" s="41"/>
      <c r="N2986" s="27" t="str">
        <f t="shared" si="285"/>
        <v/>
      </c>
      <c r="O2986" s="28"/>
      <c r="P2986" s="36" t="str">
        <f t="shared" si="286"/>
        <v/>
      </c>
      <c r="Q2986" s="216" t="str">
        <f t="shared" si="287"/>
        <v/>
      </c>
      <c r="R2986" s="216" t="str">
        <f t="shared" si="288"/>
        <v/>
      </c>
      <c r="S2986" s="217" t="str">
        <f t="shared" si="289"/>
        <v/>
      </c>
    </row>
    <row r="2987" spans="1:19" ht="15.75" hidden="1" thickBot="1" x14ac:dyDescent="0.3">
      <c r="A2987" s="262"/>
      <c r="B2987" s="260"/>
      <c r="C2987" s="31"/>
      <c r="D2987" s="31"/>
      <c r="E2987" s="32"/>
      <c r="F2987" s="42" t="s">
        <v>416</v>
      </c>
      <c r="G2987" s="33" t="str">
        <f t="shared" si="284"/>
        <v/>
      </c>
      <c r="H2987" s="34"/>
      <c r="I2987" s="30"/>
      <c r="J2987" s="152">
        <v>0</v>
      </c>
      <c r="L2987" s="219"/>
      <c r="M2987" s="42"/>
      <c r="N2987" s="33" t="str">
        <f t="shared" si="285"/>
        <v/>
      </c>
      <c r="O2987" s="34"/>
      <c r="P2987" s="36" t="str">
        <f t="shared" si="286"/>
        <v/>
      </c>
      <c r="Q2987" s="216" t="str">
        <f t="shared" si="287"/>
        <v/>
      </c>
      <c r="R2987" s="216" t="str">
        <f t="shared" si="288"/>
        <v/>
      </c>
      <c r="S2987" s="217" t="str">
        <f t="shared" si="289"/>
        <v/>
      </c>
    </row>
    <row r="2988" spans="1:19" ht="39" hidden="1" thickBot="1" x14ac:dyDescent="0.3">
      <c r="A2988" s="262"/>
      <c r="B2988" s="260"/>
      <c r="C2988" s="35" t="s">
        <v>8010</v>
      </c>
      <c r="D2988" s="35" t="s">
        <v>213</v>
      </c>
      <c r="E2988" s="36">
        <v>2.1960000000000002</v>
      </c>
      <c r="F2988" s="33">
        <v>0.3705</v>
      </c>
      <c r="G2988" s="33">
        <f t="shared" si="284"/>
        <v>0.81361800000000006</v>
      </c>
      <c r="H2988" s="38">
        <f>SUM(G2988:G2994)</f>
        <v>509.24296849999996</v>
      </c>
      <c r="I2988" s="39"/>
      <c r="J2988" s="152">
        <v>0</v>
      </c>
      <c r="L2988" s="215">
        <v>2.1960000000000002</v>
      </c>
      <c r="M2988" s="33">
        <v>0.31714799999999999</v>
      </c>
      <c r="N2988" s="33">
        <f t="shared" si="285"/>
        <v>0.69645700799999999</v>
      </c>
      <c r="O2988" s="38">
        <f>SUM(N2988:N2994)</f>
        <v>435.91198103599993</v>
      </c>
      <c r="P2988" s="36" t="str">
        <f t="shared" si="286"/>
        <v/>
      </c>
      <c r="Q2988" s="216">
        <f t="shared" si="287"/>
        <v>0.14400000000000002</v>
      </c>
      <c r="R2988" s="216">
        <f t="shared" si="288"/>
        <v>0.14400000000000013</v>
      </c>
      <c r="S2988" s="217">
        <f t="shared" si="289"/>
        <v>0.14400000000000013</v>
      </c>
    </row>
    <row r="2989" spans="1:19" ht="26.25" hidden="1" thickBot="1" x14ac:dyDescent="0.3">
      <c r="A2989" s="262"/>
      <c r="B2989" s="260"/>
      <c r="C2989" s="35" t="s">
        <v>1039</v>
      </c>
      <c r="D2989" s="35" t="s">
        <v>385</v>
      </c>
      <c r="E2989" s="36">
        <v>3.4159999999999999</v>
      </c>
      <c r="F2989" s="33">
        <v>16.149999999999999</v>
      </c>
      <c r="G2989" s="33">
        <f t="shared" si="284"/>
        <v>55.168399999999991</v>
      </c>
      <c r="H2989" s="34"/>
      <c r="I2989" s="30"/>
      <c r="J2989" s="152">
        <v>0</v>
      </c>
      <c r="L2989" s="215">
        <v>3.4159999999999999</v>
      </c>
      <c r="M2989" s="33">
        <v>13.824399999999999</v>
      </c>
      <c r="N2989" s="33">
        <f t="shared" si="285"/>
        <v>47.224150399999992</v>
      </c>
      <c r="O2989" s="34"/>
      <c r="P2989" s="36" t="str">
        <f t="shared" si="286"/>
        <v/>
      </c>
      <c r="Q2989" s="216">
        <f t="shared" si="287"/>
        <v>0.14400000000000002</v>
      </c>
      <c r="R2989" s="216">
        <f t="shared" si="288"/>
        <v>0.14400000000000002</v>
      </c>
      <c r="S2989" s="217" t="str">
        <f t="shared" si="289"/>
        <v/>
      </c>
    </row>
    <row r="2990" spans="1:19" ht="15.75" hidden="1" thickBot="1" x14ac:dyDescent="0.3">
      <c r="A2990" s="262"/>
      <c r="B2990" s="260"/>
      <c r="C2990" s="35" t="s">
        <v>709</v>
      </c>
      <c r="D2990" s="35" t="s">
        <v>773</v>
      </c>
      <c r="E2990" s="36">
        <v>0.96399999999999997</v>
      </c>
      <c r="F2990" s="30">
        <v>39.063999999999993</v>
      </c>
      <c r="G2990" s="33">
        <f t="shared" si="284"/>
        <v>37.657695999999994</v>
      </c>
      <c r="H2990" s="34"/>
      <c r="I2990" s="30"/>
      <c r="J2990" s="152">
        <v>0</v>
      </c>
      <c r="L2990" s="215">
        <v>0.96399999999999997</v>
      </c>
      <c r="M2990" s="30">
        <v>33.438783999999998</v>
      </c>
      <c r="N2990" s="33">
        <f t="shared" si="285"/>
        <v>32.234987775999997</v>
      </c>
      <c r="O2990" s="34"/>
      <c r="P2990" s="36" t="str">
        <f t="shared" si="286"/>
        <v/>
      </c>
      <c r="Q2990" s="216">
        <f t="shared" si="287"/>
        <v>0.14399999999999991</v>
      </c>
      <c r="R2990" s="216">
        <f t="shared" si="288"/>
        <v>0.14399999999999991</v>
      </c>
      <c r="S2990" s="217" t="str">
        <f t="shared" si="289"/>
        <v/>
      </c>
    </row>
    <row r="2991" spans="1:19" ht="26.25" hidden="1" thickBot="1" x14ac:dyDescent="0.3">
      <c r="A2991" s="262"/>
      <c r="B2991" s="260"/>
      <c r="C2991" s="35" t="s">
        <v>1040</v>
      </c>
      <c r="D2991" s="35" t="s">
        <v>861</v>
      </c>
      <c r="E2991" s="36">
        <v>1</v>
      </c>
      <c r="F2991" s="30">
        <v>333.83</v>
      </c>
      <c r="G2991" s="33">
        <f t="shared" si="284"/>
        <v>333.83</v>
      </c>
      <c r="H2991" s="34"/>
      <c r="I2991" s="30"/>
      <c r="J2991" s="152">
        <v>0</v>
      </c>
      <c r="L2991" s="215">
        <v>1</v>
      </c>
      <c r="M2991" s="30">
        <v>285.75847999999996</v>
      </c>
      <c r="N2991" s="33">
        <f t="shared" si="285"/>
        <v>285.75847999999996</v>
      </c>
      <c r="O2991" s="34"/>
      <c r="P2991" s="36" t="str">
        <f t="shared" si="286"/>
        <v/>
      </c>
      <c r="Q2991" s="216">
        <f t="shared" si="287"/>
        <v>0.14400000000000002</v>
      </c>
      <c r="R2991" s="216">
        <f t="shared" si="288"/>
        <v>0.14400000000000002</v>
      </c>
      <c r="S2991" s="217" t="str">
        <f t="shared" si="289"/>
        <v/>
      </c>
    </row>
    <row r="2992" spans="1:19" ht="26.25" hidden="1" thickBot="1" x14ac:dyDescent="0.3">
      <c r="A2992" s="262"/>
      <c r="B2992" s="260"/>
      <c r="C2992" s="35" t="s">
        <v>8168</v>
      </c>
      <c r="D2992" s="35" t="s">
        <v>385</v>
      </c>
      <c r="E2992" s="36">
        <v>2.992</v>
      </c>
      <c r="F2992" s="30">
        <v>2.4319999999999999</v>
      </c>
      <c r="G2992" s="33">
        <f t="shared" si="284"/>
        <v>7.2765439999999995</v>
      </c>
      <c r="H2992" s="34"/>
      <c r="I2992" s="30"/>
      <c r="J2992" s="152">
        <v>0</v>
      </c>
      <c r="L2992" s="215">
        <v>2.992</v>
      </c>
      <c r="M2992" s="30">
        <v>2.0817920000000001</v>
      </c>
      <c r="N2992" s="33">
        <f t="shared" si="285"/>
        <v>6.228721664</v>
      </c>
      <c r="O2992" s="34"/>
      <c r="P2992" s="36" t="str">
        <f t="shared" si="286"/>
        <v/>
      </c>
      <c r="Q2992" s="216">
        <f t="shared" si="287"/>
        <v>0.14399999999999991</v>
      </c>
      <c r="R2992" s="216">
        <f t="shared" si="288"/>
        <v>0.14399999999999991</v>
      </c>
      <c r="S2992" s="217" t="str">
        <f t="shared" si="289"/>
        <v/>
      </c>
    </row>
    <row r="2993" spans="1:19" ht="15.75" hidden="1" thickBot="1" x14ac:dyDescent="0.3">
      <c r="A2993" s="262"/>
      <c r="B2993" s="260"/>
      <c r="C2993" s="35" t="s">
        <v>584</v>
      </c>
      <c r="D2993" s="35" t="s">
        <v>583</v>
      </c>
      <c r="E2993" s="36">
        <v>1.619</v>
      </c>
      <c r="F2993" s="30">
        <v>20.225499999999997</v>
      </c>
      <c r="G2993" s="33">
        <f t="shared" si="284"/>
        <v>32.745084499999997</v>
      </c>
      <c r="H2993" s="34"/>
      <c r="I2993" s="30"/>
      <c r="J2993" s="152">
        <v>0</v>
      </c>
      <c r="L2993" s="215">
        <v>1.619</v>
      </c>
      <c r="M2993" s="30">
        <v>17.313027999999996</v>
      </c>
      <c r="N2993" s="33">
        <f t="shared" si="285"/>
        <v>28.029792331999992</v>
      </c>
      <c r="O2993" s="34"/>
      <c r="P2993" s="36" t="str">
        <f t="shared" si="286"/>
        <v/>
      </c>
      <c r="Q2993" s="216">
        <f t="shared" si="287"/>
        <v>0.14400000000000013</v>
      </c>
      <c r="R2993" s="216">
        <f t="shared" si="288"/>
        <v>0.14400000000000013</v>
      </c>
      <c r="S2993" s="217" t="str">
        <f t="shared" si="289"/>
        <v/>
      </c>
    </row>
    <row r="2994" spans="1:19" ht="15.75" hidden="1" thickBot="1" x14ac:dyDescent="0.3">
      <c r="A2994" s="262"/>
      <c r="B2994" s="260"/>
      <c r="C2994" s="35" t="s">
        <v>2909</v>
      </c>
      <c r="D2994" s="35" t="s">
        <v>583</v>
      </c>
      <c r="E2994" s="36">
        <v>1.6659999999999999</v>
      </c>
      <c r="F2994" s="30">
        <v>25.060999999999996</v>
      </c>
      <c r="G2994" s="33">
        <f t="shared" si="284"/>
        <v>41.751625999999995</v>
      </c>
      <c r="H2994" s="34"/>
      <c r="I2994" s="30"/>
      <c r="J2994" s="152">
        <v>0</v>
      </c>
      <c r="L2994" s="215">
        <v>1.6659999999999999</v>
      </c>
      <c r="M2994" s="30">
        <v>21.452215999999996</v>
      </c>
      <c r="N2994" s="33">
        <f t="shared" si="285"/>
        <v>35.73939185599999</v>
      </c>
      <c r="O2994" s="34"/>
      <c r="P2994" s="36" t="str">
        <f t="shared" si="286"/>
        <v/>
      </c>
      <c r="Q2994" s="216">
        <f t="shared" si="287"/>
        <v>0.14400000000000002</v>
      </c>
      <c r="R2994" s="216">
        <f t="shared" si="288"/>
        <v>0.14400000000000013</v>
      </c>
      <c r="S2994" s="217" t="str">
        <f t="shared" si="289"/>
        <v/>
      </c>
    </row>
    <row r="2995" spans="1:19" ht="15.75" hidden="1" thickBot="1" x14ac:dyDescent="0.3">
      <c r="A2995" s="263"/>
      <c r="B2995" s="261"/>
      <c r="C2995" s="35"/>
      <c r="D2995" s="35"/>
      <c r="E2995" s="36"/>
      <c r="F2995" s="30" t="s">
        <v>416</v>
      </c>
      <c r="G2995" s="33" t="str">
        <f t="shared" si="284"/>
        <v/>
      </c>
      <c r="H2995" s="34"/>
      <c r="I2995" s="30"/>
      <c r="J2995" s="152">
        <v>0</v>
      </c>
      <c r="L2995" s="215"/>
      <c r="M2995" s="30"/>
      <c r="N2995" s="33" t="str">
        <f t="shared" si="285"/>
        <v/>
      </c>
      <c r="O2995" s="34"/>
      <c r="P2995" s="36" t="str">
        <f t="shared" si="286"/>
        <v/>
      </c>
      <c r="Q2995" s="216" t="str">
        <f t="shared" si="287"/>
        <v/>
      </c>
      <c r="R2995" s="216" t="str">
        <f t="shared" si="288"/>
        <v/>
      </c>
      <c r="S2995" s="217" t="str">
        <f t="shared" si="289"/>
        <v/>
      </c>
    </row>
    <row r="2996" spans="1:19" ht="15.75" hidden="1" thickBot="1" x14ac:dyDescent="0.3">
      <c r="A2996" s="256" t="s">
        <v>742</v>
      </c>
      <c r="B2996" s="259" t="str">
        <f>INDEX(Orçamentária!A:B,MATCH(Composições!A2996,Orçamentária!A:A,0),2)</f>
        <v>Dobradiça automática vidro/alvenaria para box de vidro temperado</v>
      </c>
      <c r="C2996" s="40"/>
      <c r="D2996" s="25" t="s">
        <v>16</v>
      </c>
      <c r="E2996" s="26"/>
      <c r="F2996" s="41" t="s">
        <v>416</v>
      </c>
      <c r="G2996" s="27" t="str">
        <f t="shared" si="284"/>
        <v/>
      </c>
      <c r="H2996" s="28"/>
      <c r="I2996" s="29"/>
      <c r="J2996" s="152">
        <v>0</v>
      </c>
      <c r="L2996" s="218"/>
      <c r="M2996" s="41"/>
      <c r="N2996" s="27" t="str">
        <f t="shared" si="285"/>
        <v/>
      </c>
      <c r="O2996" s="28"/>
      <c r="P2996" s="36" t="str">
        <f t="shared" si="286"/>
        <v/>
      </c>
      <c r="Q2996" s="216" t="str">
        <f t="shared" si="287"/>
        <v/>
      </c>
      <c r="R2996" s="216" t="str">
        <f t="shared" si="288"/>
        <v/>
      </c>
      <c r="S2996" s="217" t="str">
        <f t="shared" si="289"/>
        <v/>
      </c>
    </row>
    <row r="2997" spans="1:19" ht="15.75" hidden="1" thickBot="1" x14ac:dyDescent="0.3">
      <c r="A2997" s="262"/>
      <c r="B2997" s="260"/>
      <c r="C2997" s="31"/>
      <c r="D2997" s="31"/>
      <c r="E2997" s="32"/>
      <c r="F2997" s="42" t="s">
        <v>416</v>
      </c>
      <c r="G2997" s="33" t="str">
        <f t="shared" si="284"/>
        <v/>
      </c>
      <c r="H2997" s="34"/>
      <c r="I2997" s="30"/>
      <c r="J2997" s="152">
        <v>0</v>
      </c>
      <c r="L2997" s="219"/>
      <c r="M2997" s="42"/>
      <c r="N2997" s="33" t="str">
        <f t="shared" si="285"/>
        <v/>
      </c>
      <c r="O2997" s="34"/>
      <c r="P2997" s="36" t="str">
        <f t="shared" si="286"/>
        <v/>
      </c>
      <c r="Q2997" s="216" t="str">
        <f t="shared" si="287"/>
        <v/>
      </c>
      <c r="R2997" s="216" t="str">
        <f t="shared" si="288"/>
        <v/>
      </c>
      <c r="S2997" s="217" t="str">
        <f t="shared" si="289"/>
        <v/>
      </c>
    </row>
    <row r="2998" spans="1:19" ht="15.75" hidden="1" thickBot="1" x14ac:dyDescent="0.3">
      <c r="A2998" s="262"/>
      <c r="B2998" s="260"/>
      <c r="C2998" s="35" t="s">
        <v>2909</v>
      </c>
      <c r="D2998" s="35" t="s">
        <v>583</v>
      </c>
      <c r="E2998" s="36">
        <v>0.2</v>
      </c>
      <c r="F2998" s="33">
        <v>25.060999999999996</v>
      </c>
      <c r="G2998" s="33">
        <f t="shared" si="284"/>
        <v>5.0122</v>
      </c>
      <c r="H2998" s="38">
        <f>SUM(G2998:G2999)</f>
        <v>5.0122</v>
      </c>
      <c r="I2998" s="39"/>
      <c r="J2998" s="152">
        <v>0</v>
      </c>
      <c r="L2998" s="215">
        <v>0.2</v>
      </c>
      <c r="M2998" s="33">
        <v>21.452215999999996</v>
      </c>
      <c r="N2998" s="33">
        <f t="shared" si="285"/>
        <v>4.2904431999999995</v>
      </c>
      <c r="O2998" s="38">
        <f>SUM(N2998:N2999)</f>
        <v>4.2904431999999995</v>
      </c>
      <c r="P2998" s="36" t="str">
        <f t="shared" si="286"/>
        <v/>
      </c>
      <c r="Q2998" s="216">
        <f t="shared" si="287"/>
        <v>0.14400000000000002</v>
      </c>
      <c r="R2998" s="216">
        <f t="shared" si="288"/>
        <v>0.14400000000000013</v>
      </c>
      <c r="S2998" s="217">
        <f t="shared" si="289"/>
        <v>0.14400000000000013</v>
      </c>
    </row>
    <row r="2999" spans="1:19" ht="26.25" hidden="1" thickBot="1" x14ac:dyDescent="0.3">
      <c r="A2999" s="262"/>
      <c r="B2999" s="260"/>
      <c r="C2999" s="35" t="s">
        <v>743</v>
      </c>
      <c r="D2999" s="35" t="s">
        <v>16</v>
      </c>
      <c r="E2999" s="36">
        <v>1</v>
      </c>
      <c r="F2999" s="30" t="s">
        <v>416</v>
      </c>
      <c r="G2999" s="33" t="str">
        <f t="shared" si="284"/>
        <v/>
      </c>
      <c r="H2999" s="34"/>
      <c r="I2999" s="30"/>
      <c r="J2999" s="152">
        <v>0</v>
      </c>
      <c r="L2999" s="215">
        <v>1</v>
      </c>
      <c r="M2999" s="30"/>
      <c r="N2999" s="33" t="str">
        <f t="shared" si="285"/>
        <v/>
      </c>
      <c r="O2999" s="34"/>
      <c r="P2999" s="36" t="str">
        <f t="shared" si="286"/>
        <v/>
      </c>
      <c r="Q2999" s="216" t="str">
        <f t="shared" si="287"/>
        <v/>
      </c>
      <c r="R2999" s="216" t="str">
        <f t="shared" si="288"/>
        <v/>
      </c>
      <c r="S2999" s="217" t="str">
        <f t="shared" si="289"/>
        <v/>
      </c>
    </row>
    <row r="3000" spans="1:19" ht="15.75" hidden="1" thickBot="1" x14ac:dyDescent="0.3">
      <c r="A3000" s="263"/>
      <c r="B3000" s="261"/>
      <c r="C3000" s="35"/>
      <c r="D3000" s="35"/>
      <c r="E3000" s="36"/>
      <c r="F3000" s="30" t="s">
        <v>416</v>
      </c>
      <c r="G3000" s="33" t="str">
        <f t="shared" si="284"/>
        <v/>
      </c>
      <c r="H3000" s="34"/>
      <c r="I3000" s="30"/>
      <c r="J3000" s="152">
        <v>0</v>
      </c>
      <c r="L3000" s="215"/>
      <c r="M3000" s="30"/>
      <c r="N3000" s="33" t="str">
        <f t="shared" si="285"/>
        <v/>
      </c>
      <c r="O3000" s="34"/>
      <c r="P3000" s="36" t="str">
        <f t="shared" si="286"/>
        <v/>
      </c>
      <c r="Q3000" s="216" t="str">
        <f t="shared" si="287"/>
        <v/>
      </c>
      <c r="R3000" s="216" t="str">
        <f t="shared" si="288"/>
        <v/>
      </c>
      <c r="S3000" s="217" t="str">
        <f t="shared" si="289"/>
        <v/>
      </c>
    </row>
    <row r="3001" spans="1:19" ht="15.75" hidden="1" thickBot="1" x14ac:dyDescent="0.3">
      <c r="A3001" s="256" t="s">
        <v>744</v>
      </c>
      <c r="B3001" s="259" t="str">
        <f>INDEX(Orçamentária!A:B,MATCH(Composições!A3001,Orçamentária!A:A,0),2)</f>
        <v>Dobradiça horizontal para vidro basculante com trinco</v>
      </c>
      <c r="C3001" s="40"/>
      <c r="D3001" s="25" t="s">
        <v>16</v>
      </c>
      <c r="E3001" s="26"/>
      <c r="F3001" s="41" t="s">
        <v>416</v>
      </c>
      <c r="G3001" s="27" t="str">
        <f t="shared" si="284"/>
        <v/>
      </c>
      <c r="H3001" s="28"/>
      <c r="I3001" s="29"/>
      <c r="J3001" s="152">
        <v>0</v>
      </c>
      <c r="L3001" s="218"/>
      <c r="M3001" s="41"/>
      <c r="N3001" s="27" t="str">
        <f t="shared" si="285"/>
        <v/>
      </c>
      <c r="O3001" s="28"/>
      <c r="P3001" s="36" t="str">
        <f t="shared" si="286"/>
        <v/>
      </c>
      <c r="Q3001" s="216" t="str">
        <f t="shared" si="287"/>
        <v/>
      </c>
      <c r="R3001" s="216" t="str">
        <f t="shared" si="288"/>
        <v/>
      </c>
      <c r="S3001" s="217" t="str">
        <f t="shared" si="289"/>
        <v/>
      </c>
    </row>
    <row r="3002" spans="1:19" ht="15.75" hidden="1" thickBot="1" x14ac:dyDescent="0.3">
      <c r="A3002" s="262"/>
      <c r="B3002" s="260"/>
      <c r="C3002" s="31"/>
      <c r="D3002" s="31"/>
      <c r="E3002" s="32"/>
      <c r="F3002" s="42" t="s">
        <v>416</v>
      </c>
      <c r="G3002" s="33" t="str">
        <f t="shared" si="284"/>
        <v/>
      </c>
      <c r="H3002" s="34"/>
      <c r="I3002" s="30"/>
      <c r="J3002" s="152">
        <v>0</v>
      </c>
      <c r="L3002" s="219"/>
      <c r="M3002" s="42"/>
      <c r="N3002" s="33" t="str">
        <f t="shared" si="285"/>
        <v/>
      </c>
      <c r="O3002" s="34"/>
      <c r="P3002" s="36" t="str">
        <f t="shared" si="286"/>
        <v/>
      </c>
      <c r="Q3002" s="216" t="str">
        <f t="shared" si="287"/>
        <v/>
      </c>
      <c r="R3002" s="216" t="str">
        <f t="shared" si="288"/>
        <v/>
      </c>
      <c r="S3002" s="217" t="str">
        <f t="shared" si="289"/>
        <v/>
      </c>
    </row>
    <row r="3003" spans="1:19" ht="15.75" hidden="1" thickBot="1" x14ac:dyDescent="0.3">
      <c r="A3003" s="262"/>
      <c r="B3003" s="260"/>
      <c r="C3003" s="35" t="s">
        <v>2909</v>
      </c>
      <c r="D3003" s="35" t="s">
        <v>583</v>
      </c>
      <c r="E3003" s="36">
        <v>0.2</v>
      </c>
      <c r="F3003" s="33">
        <v>25.060999999999996</v>
      </c>
      <c r="G3003" s="33">
        <f t="shared" si="284"/>
        <v>5.0122</v>
      </c>
      <c r="H3003" s="38">
        <f>SUM(G3003:G3004)</f>
        <v>5.0122</v>
      </c>
      <c r="I3003" s="39"/>
      <c r="J3003" s="152">
        <v>0</v>
      </c>
      <c r="L3003" s="215">
        <v>0.2</v>
      </c>
      <c r="M3003" s="33">
        <v>21.452215999999996</v>
      </c>
      <c r="N3003" s="33">
        <f t="shared" si="285"/>
        <v>4.2904431999999995</v>
      </c>
      <c r="O3003" s="38">
        <f>SUM(N3003:N3004)</f>
        <v>4.2904431999999995</v>
      </c>
      <c r="P3003" s="36" t="str">
        <f t="shared" si="286"/>
        <v/>
      </c>
      <c r="Q3003" s="216">
        <f t="shared" si="287"/>
        <v>0.14400000000000002</v>
      </c>
      <c r="R3003" s="216">
        <f t="shared" si="288"/>
        <v>0.14400000000000013</v>
      </c>
      <c r="S3003" s="217">
        <f t="shared" si="289"/>
        <v>0.14400000000000013</v>
      </c>
    </row>
    <row r="3004" spans="1:19" ht="39" hidden="1" thickBot="1" x14ac:dyDescent="0.3">
      <c r="A3004" s="262"/>
      <c r="B3004" s="260"/>
      <c r="C3004" s="35" t="s">
        <v>745</v>
      </c>
      <c r="D3004" s="35" t="s">
        <v>16</v>
      </c>
      <c r="E3004" s="36">
        <v>1</v>
      </c>
      <c r="F3004" s="30" t="s">
        <v>416</v>
      </c>
      <c r="G3004" s="33" t="str">
        <f t="shared" si="284"/>
        <v/>
      </c>
      <c r="H3004" s="34"/>
      <c r="I3004" s="30"/>
      <c r="J3004" s="152">
        <v>0</v>
      </c>
      <c r="L3004" s="215">
        <v>1</v>
      </c>
      <c r="M3004" s="30"/>
      <c r="N3004" s="33" t="str">
        <f t="shared" si="285"/>
        <v/>
      </c>
      <c r="O3004" s="34"/>
      <c r="P3004" s="36" t="str">
        <f t="shared" si="286"/>
        <v/>
      </c>
      <c r="Q3004" s="216" t="str">
        <f t="shared" si="287"/>
        <v/>
      </c>
      <c r="R3004" s="216" t="str">
        <f t="shared" si="288"/>
        <v/>
      </c>
      <c r="S3004" s="217" t="str">
        <f t="shared" si="289"/>
        <v/>
      </c>
    </row>
    <row r="3005" spans="1:19" ht="15.75" hidden="1" thickBot="1" x14ac:dyDescent="0.3">
      <c r="A3005" s="263"/>
      <c r="B3005" s="261"/>
      <c r="C3005" s="35"/>
      <c r="D3005" s="35"/>
      <c r="E3005" s="36"/>
      <c r="F3005" s="30" t="s">
        <v>416</v>
      </c>
      <c r="G3005" s="33" t="str">
        <f t="shared" ref="G3005:G3068" si="290">IF(ISNUMBER(F3005),E3005*F3005,"")</f>
        <v/>
      </c>
      <c r="H3005" s="34"/>
      <c r="I3005" s="30"/>
      <c r="J3005" s="152">
        <v>0</v>
      </c>
      <c r="L3005" s="215"/>
      <c r="M3005" s="30"/>
      <c r="N3005" s="33" t="str">
        <f t="shared" ref="N3005:N3068" si="291">IF(ISNUMBER(M3005),L3005*M3005,"")</f>
        <v/>
      </c>
      <c r="O3005" s="34"/>
      <c r="P3005" s="36" t="str">
        <f t="shared" si="286"/>
        <v/>
      </c>
      <c r="Q3005" s="216" t="str">
        <f t="shared" si="287"/>
        <v/>
      </c>
      <c r="R3005" s="216" t="str">
        <f t="shared" si="288"/>
        <v/>
      </c>
      <c r="S3005" s="217" t="str">
        <f t="shared" si="289"/>
        <v/>
      </c>
    </row>
    <row r="3006" spans="1:19" ht="15.75" hidden="1" thickBot="1" x14ac:dyDescent="0.3">
      <c r="A3006" s="256" t="s">
        <v>746</v>
      </c>
      <c r="B3006" s="259" t="str">
        <f>INDEX(Orçamentária!A:B,MATCH(Composições!A3006,Orçamentária!A:A,0),2)</f>
        <v>Dobradiça horizontal para vidro basculante</v>
      </c>
      <c r="C3006" s="40"/>
      <c r="D3006" s="25" t="s">
        <v>16</v>
      </c>
      <c r="E3006" s="26"/>
      <c r="F3006" s="41" t="s">
        <v>416</v>
      </c>
      <c r="G3006" s="27" t="str">
        <f t="shared" si="290"/>
        <v/>
      </c>
      <c r="H3006" s="28"/>
      <c r="I3006" s="29"/>
      <c r="J3006" s="152">
        <v>0</v>
      </c>
      <c r="L3006" s="218"/>
      <c r="M3006" s="41"/>
      <c r="N3006" s="27" t="str">
        <f t="shared" si="291"/>
        <v/>
      </c>
      <c r="O3006" s="28"/>
      <c r="P3006" s="36" t="str">
        <f t="shared" si="286"/>
        <v/>
      </c>
      <c r="Q3006" s="216" t="str">
        <f t="shared" si="287"/>
        <v/>
      </c>
      <c r="R3006" s="216" t="str">
        <f t="shared" si="288"/>
        <v/>
      </c>
      <c r="S3006" s="217" t="str">
        <f t="shared" si="289"/>
        <v/>
      </c>
    </row>
    <row r="3007" spans="1:19" ht="15.75" hidden="1" thickBot="1" x14ac:dyDescent="0.3">
      <c r="A3007" s="262"/>
      <c r="B3007" s="260"/>
      <c r="C3007" s="31"/>
      <c r="D3007" s="31"/>
      <c r="E3007" s="32"/>
      <c r="F3007" s="42" t="s">
        <v>416</v>
      </c>
      <c r="G3007" s="33" t="str">
        <f t="shared" si="290"/>
        <v/>
      </c>
      <c r="H3007" s="34"/>
      <c r="I3007" s="30"/>
      <c r="J3007" s="152">
        <v>0</v>
      </c>
      <c r="L3007" s="219"/>
      <c r="M3007" s="42"/>
      <c r="N3007" s="33" t="str">
        <f t="shared" si="291"/>
        <v/>
      </c>
      <c r="O3007" s="34"/>
      <c r="P3007" s="36" t="str">
        <f t="shared" si="286"/>
        <v/>
      </c>
      <c r="Q3007" s="216" t="str">
        <f t="shared" si="287"/>
        <v/>
      </c>
      <c r="R3007" s="216" t="str">
        <f t="shared" si="288"/>
        <v/>
      </c>
      <c r="S3007" s="217" t="str">
        <f t="shared" si="289"/>
        <v/>
      </c>
    </row>
    <row r="3008" spans="1:19" ht="15.75" hidden="1" thickBot="1" x14ac:dyDescent="0.3">
      <c r="A3008" s="262"/>
      <c r="B3008" s="260"/>
      <c r="C3008" s="35" t="s">
        <v>2909</v>
      </c>
      <c r="D3008" s="35" t="s">
        <v>583</v>
      </c>
      <c r="E3008" s="36">
        <v>0.2</v>
      </c>
      <c r="F3008" s="33">
        <v>25.060999999999996</v>
      </c>
      <c r="G3008" s="33">
        <f t="shared" si="290"/>
        <v>5.0122</v>
      </c>
      <c r="H3008" s="38">
        <f>SUM(G3008:G3009)</f>
        <v>5.0122</v>
      </c>
      <c r="I3008" s="39"/>
      <c r="J3008" s="152">
        <v>0</v>
      </c>
      <c r="L3008" s="215">
        <v>0.2</v>
      </c>
      <c r="M3008" s="33">
        <v>21.452215999999996</v>
      </c>
      <c r="N3008" s="33">
        <f t="shared" si="291"/>
        <v>4.2904431999999995</v>
      </c>
      <c r="O3008" s="38">
        <f>SUM(N3008:N3009)</f>
        <v>4.2904431999999995</v>
      </c>
      <c r="P3008" s="36" t="str">
        <f t="shared" si="286"/>
        <v/>
      </c>
      <c r="Q3008" s="216">
        <f t="shared" si="287"/>
        <v>0.14400000000000002</v>
      </c>
      <c r="R3008" s="216">
        <f t="shared" si="288"/>
        <v>0.14400000000000013</v>
      </c>
      <c r="S3008" s="217">
        <f t="shared" si="289"/>
        <v>0.14400000000000013</v>
      </c>
    </row>
    <row r="3009" spans="1:19" ht="26.25" hidden="1" thickBot="1" x14ac:dyDescent="0.3">
      <c r="A3009" s="262"/>
      <c r="B3009" s="260"/>
      <c r="C3009" s="35" t="s">
        <v>747</v>
      </c>
      <c r="D3009" s="35" t="s">
        <v>16</v>
      </c>
      <c r="E3009" s="36">
        <v>1</v>
      </c>
      <c r="F3009" s="30" t="s">
        <v>416</v>
      </c>
      <c r="G3009" s="33" t="str">
        <f t="shared" si="290"/>
        <v/>
      </c>
      <c r="H3009" s="34"/>
      <c r="I3009" s="30"/>
      <c r="J3009" s="152">
        <v>0</v>
      </c>
      <c r="L3009" s="215">
        <v>1</v>
      </c>
      <c r="M3009" s="30"/>
      <c r="N3009" s="33" t="str">
        <f t="shared" si="291"/>
        <v/>
      </c>
      <c r="O3009" s="34"/>
      <c r="P3009" s="36" t="str">
        <f t="shared" si="286"/>
        <v/>
      </c>
      <c r="Q3009" s="216" t="str">
        <f t="shared" si="287"/>
        <v/>
      </c>
      <c r="R3009" s="216" t="str">
        <f t="shared" si="288"/>
        <v/>
      </c>
      <c r="S3009" s="217" t="str">
        <f t="shared" si="289"/>
        <v/>
      </c>
    </row>
    <row r="3010" spans="1:19" ht="15.75" hidden="1" thickBot="1" x14ac:dyDescent="0.3">
      <c r="A3010" s="263"/>
      <c r="B3010" s="261"/>
      <c r="C3010" s="35"/>
      <c r="D3010" s="35"/>
      <c r="E3010" s="36"/>
      <c r="F3010" s="30" t="s">
        <v>416</v>
      </c>
      <c r="G3010" s="33" t="str">
        <f t="shared" si="290"/>
        <v/>
      </c>
      <c r="H3010" s="34"/>
      <c r="I3010" s="30"/>
      <c r="J3010" s="152">
        <v>0</v>
      </c>
      <c r="L3010" s="215"/>
      <c r="M3010" s="30"/>
      <c r="N3010" s="33" t="str">
        <f t="shared" si="291"/>
        <v/>
      </c>
      <c r="O3010" s="34"/>
      <c r="P3010" s="36" t="str">
        <f t="shared" si="286"/>
        <v/>
      </c>
      <c r="Q3010" s="216" t="str">
        <f t="shared" si="287"/>
        <v/>
      </c>
      <c r="R3010" s="216" t="str">
        <f t="shared" si="288"/>
        <v/>
      </c>
      <c r="S3010" s="217" t="str">
        <f t="shared" si="289"/>
        <v/>
      </c>
    </row>
    <row r="3011" spans="1:19" ht="15.75" hidden="1" thickBot="1" x14ac:dyDescent="0.3">
      <c r="A3011" s="256" t="s">
        <v>748</v>
      </c>
      <c r="B3011" s="259" t="str">
        <f>INDEX(Orçamentária!A:B,MATCH(Composições!A3011,Orçamentária!A:A,0),2)</f>
        <v>Fechadura elétrica para porta de vidro temperado</v>
      </c>
      <c r="C3011" s="40"/>
      <c r="D3011" s="25" t="s">
        <v>16</v>
      </c>
      <c r="E3011" s="26"/>
      <c r="F3011" s="41" t="s">
        <v>416</v>
      </c>
      <c r="G3011" s="27" t="str">
        <f t="shared" si="290"/>
        <v/>
      </c>
      <c r="H3011" s="28"/>
      <c r="I3011" s="29"/>
      <c r="J3011" s="152">
        <v>0</v>
      </c>
      <c r="L3011" s="218"/>
      <c r="M3011" s="41"/>
      <c r="N3011" s="27" t="str">
        <f t="shared" si="291"/>
        <v/>
      </c>
      <c r="O3011" s="28"/>
      <c r="P3011" s="36" t="str">
        <f t="shared" si="286"/>
        <v/>
      </c>
      <c r="Q3011" s="216" t="str">
        <f t="shared" si="287"/>
        <v/>
      </c>
      <c r="R3011" s="216" t="str">
        <f t="shared" si="288"/>
        <v/>
      </c>
      <c r="S3011" s="217" t="str">
        <f t="shared" si="289"/>
        <v/>
      </c>
    </row>
    <row r="3012" spans="1:19" ht="15.75" hidden="1" thickBot="1" x14ac:dyDescent="0.3">
      <c r="A3012" s="262"/>
      <c r="B3012" s="260"/>
      <c r="C3012" s="31"/>
      <c r="D3012" s="31"/>
      <c r="E3012" s="32"/>
      <c r="F3012" s="42" t="s">
        <v>416</v>
      </c>
      <c r="G3012" s="33" t="str">
        <f t="shared" si="290"/>
        <v/>
      </c>
      <c r="H3012" s="34"/>
      <c r="I3012" s="30"/>
      <c r="J3012" s="152">
        <v>0</v>
      </c>
      <c r="L3012" s="219"/>
      <c r="M3012" s="42"/>
      <c r="N3012" s="33" t="str">
        <f t="shared" si="291"/>
        <v/>
      </c>
      <c r="O3012" s="34"/>
      <c r="P3012" s="36" t="str">
        <f t="shared" si="286"/>
        <v/>
      </c>
      <c r="Q3012" s="216" t="str">
        <f t="shared" si="287"/>
        <v/>
      </c>
      <c r="R3012" s="216" t="str">
        <f t="shared" si="288"/>
        <v/>
      </c>
      <c r="S3012" s="217" t="str">
        <f t="shared" si="289"/>
        <v/>
      </c>
    </row>
    <row r="3013" spans="1:19" ht="15.75" hidden="1" thickBot="1" x14ac:dyDescent="0.3">
      <c r="A3013" s="262"/>
      <c r="B3013" s="260"/>
      <c r="C3013" s="35" t="s">
        <v>2909</v>
      </c>
      <c r="D3013" s="35" t="s">
        <v>583</v>
      </c>
      <c r="E3013" s="36">
        <v>1.5</v>
      </c>
      <c r="F3013" s="33">
        <v>25.060999999999996</v>
      </c>
      <c r="G3013" s="33">
        <f t="shared" si="290"/>
        <v>37.591499999999996</v>
      </c>
      <c r="H3013" s="38">
        <f>SUM(G3013:G3014)</f>
        <v>37.591499999999996</v>
      </c>
      <c r="I3013" s="39"/>
      <c r="J3013" s="152">
        <v>0</v>
      </c>
      <c r="L3013" s="215">
        <v>1.5</v>
      </c>
      <c r="M3013" s="33">
        <v>21.452215999999996</v>
      </c>
      <c r="N3013" s="33">
        <f t="shared" si="291"/>
        <v>32.178323999999996</v>
      </c>
      <c r="O3013" s="38">
        <f>SUM(N3013:N3014)</f>
        <v>32.178323999999996</v>
      </c>
      <c r="P3013" s="36" t="str">
        <f t="shared" si="286"/>
        <v/>
      </c>
      <c r="Q3013" s="216">
        <f t="shared" si="287"/>
        <v>0.14400000000000002</v>
      </c>
      <c r="R3013" s="216">
        <f t="shared" si="288"/>
        <v>0.14400000000000002</v>
      </c>
      <c r="S3013" s="217">
        <f t="shared" si="289"/>
        <v>0.14400000000000002</v>
      </c>
    </row>
    <row r="3014" spans="1:19" ht="51.75" hidden="1" thickBot="1" x14ac:dyDescent="0.3">
      <c r="A3014" s="262"/>
      <c r="B3014" s="260"/>
      <c r="C3014" s="147" t="s">
        <v>749</v>
      </c>
      <c r="D3014" s="35" t="s">
        <v>16</v>
      </c>
      <c r="E3014" s="36">
        <v>1</v>
      </c>
      <c r="F3014" s="30" t="s">
        <v>416</v>
      </c>
      <c r="G3014" s="33" t="str">
        <f t="shared" si="290"/>
        <v/>
      </c>
      <c r="H3014" s="34"/>
      <c r="I3014" s="30"/>
      <c r="J3014" s="152">
        <v>0</v>
      </c>
      <c r="L3014" s="215">
        <v>1</v>
      </c>
      <c r="M3014" s="30"/>
      <c r="N3014" s="33" t="str">
        <f t="shared" si="291"/>
        <v/>
      </c>
      <c r="O3014" s="34"/>
      <c r="P3014" s="36" t="str">
        <f t="shared" si="286"/>
        <v/>
      </c>
      <c r="Q3014" s="216" t="str">
        <f t="shared" si="287"/>
        <v/>
      </c>
      <c r="R3014" s="216" t="str">
        <f t="shared" si="288"/>
        <v/>
      </c>
      <c r="S3014" s="217" t="str">
        <f t="shared" si="289"/>
        <v/>
      </c>
    </row>
    <row r="3015" spans="1:19" ht="15.75" hidden="1" thickBot="1" x14ac:dyDescent="0.3">
      <c r="A3015" s="263"/>
      <c r="B3015" s="261"/>
      <c r="C3015" s="35"/>
      <c r="D3015" s="35"/>
      <c r="E3015" s="36"/>
      <c r="F3015" s="30" t="s">
        <v>416</v>
      </c>
      <c r="G3015" s="33" t="str">
        <f t="shared" si="290"/>
        <v/>
      </c>
      <c r="H3015" s="34"/>
      <c r="I3015" s="30"/>
      <c r="J3015" s="152">
        <v>0</v>
      </c>
      <c r="L3015" s="215"/>
      <c r="M3015" s="30"/>
      <c r="N3015" s="33" t="str">
        <f t="shared" si="291"/>
        <v/>
      </c>
      <c r="O3015" s="34"/>
      <c r="P3015" s="36" t="str">
        <f t="shared" si="286"/>
        <v/>
      </c>
      <c r="Q3015" s="216" t="str">
        <f t="shared" si="287"/>
        <v/>
      </c>
      <c r="R3015" s="216" t="str">
        <f t="shared" si="288"/>
        <v/>
      </c>
      <c r="S3015" s="217" t="str">
        <f t="shared" si="289"/>
        <v/>
      </c>
    </row>
    <row r="3016" spans="1:19" ht="15.75" hidden="1" thickBot="1" x14ac:dyDescent="0.3">
      <c r="A3016" s="256" t="s">
        <v>750</v>
      </c>
      <c r="B3016" s="259" t="str">
        <f>INDEX(Orçamentária!A:B,MATCH(Composições!A3016,Orçamentária!A:A,0),2)</f>
        <v>Porteiro eletrônico</v>
      </c>
      <c r="C3016" s="40"/>
      <c r="D3016" s="25" t="s">
        <v>16</v>
      </c>
      <c r="E3016" s="26"/>
      <c r="F3016" s="41" t="s">
        <v>416</v>
      </c>
      <c r="G3016" s="27" t="str">
        <f t="shared" si="290"/>
        <v/>
      </c>
      <c r="H3016" s="28"/>
      <c r="I3016" s="29"/>
      <c r="J3016" s="152">
        <v>0</v>
      </c>
      <c r="L3016" s="218"/>
      <c r="M3016" s="41"/>
      <c r="N3016" s="27" t="str">
        <f t="shared" si="291"/>
        <v/>
      </c>
      <c r="O3016" s="28"/>
      <c r="P3016" s="36" t="str">
        <f t="shared" ref="P3016:P3079" si="292">IF(ISBLANK(L3016),"",IF($E3016&lt;&gt;L3016,"SIM",""))</f>
        <v/>
      </c>
      <c r="Q3016" s="216" t="str">
        <f t="shared" ref="Q3016:Q3079" si="293">IF(M3016="","",1-M3016/$F3016)</f>
        <v/>
      </c>
      <c r="R3016" s="216" t="str">
        <f t="shared" ref="R3016:R3079" si="294">IF(N3016="","",1-N3016/$G3016)</f>
        <v/>
      </c>
      <c r="S3016" s="217" t="str">
        <f t="shared" ref="S3016:S3079" si="295">IF(O3016="","",1-O3016/$H3016)</f>
        <v/>
      </c>
    </row>
    <row r="3017" spans="1:19" ht="15.75" hidden="1" thickBot="1" x14ac:dyDescent="0.3">
      <c r="A3017" s="262"/>
      <c r="B3017" s="260"/>
      <c r="C3017" s="31"/>
      <c r="D3017" s="31"/>
      <c r="E3017" s="32"/>
      <c r="F3017" s="42" t="s">
        <v>416</v>
      </c>
      <c r="G3017" s="33" t="str">
        <f t="shared" si="290"/>
        <v/>
      </c>
      <c r="H3017" s="34"/>
      <c r="I3017" s="30"/>
      <c r="J3017" s="152">
        <v>0</v>
      </c>
      <c r="L3017" s="219"/>
      <c r="M3017" s="42"/>
      <c r="N3017" s="33" t="str">
        <f t="shared" si="291"/>
        <v/>
      </c>
      <c r="O3017" s="34"/>
      <c r="P3017" s="36" t="str">
        <f t="shared" si="292"/>
        <v/>
      </c>
      <c r="Q3017" s="216" t="str">
        <f t="shared" si="293"/>
        <v/>
      </c>
      <c r="R3017" s="216" t="str">
        <f t="shared" si="294"/>
        <v/>
      </c>
      <c r="S3017" s="217" t="str">
        <f t="shared" si="295"/>
        <v/>
      </c>
    </row>
    <row r="3018" spans="1:19" ht="15.75" hidden="1" thickBot="1" x14ac:dyDescent="0.3">
      <c r="A3018" s="262"/>
      <c r="B3018" s="260"/>
      <c r="C3018" s="35" t="s">
        <v>2909</v>
      </c>
      <c r="D3018" s="35" t="s">
        <v>583</v>
      </c>
      <c r="E3018" s="36">
        <v>1.5</v>
      </c>
      <c r="F3018" s="33">
        <v>25.060999999999996</v>
      </c>
      <c r="G3018" s="33">
        <f t="shared" si="290"/>
        <v>37.591499999999996</v>
      </c>
      <c r="H3018" s="38">
        <f>SUM(G3018:G3019)</f>
        <v>37.591499999999996</v>
      </c>
      <c r="I3018" s="39"/>
      <c r="J3018" s="152">
        <v>0</v>
      </c>
      <c r="L3018" s="215">
        <v>1.5</v>
      </c>
      <c r="M3018" s="33">
        <v>21.452215999999996</v>
      </c>
      <c r="N3018" s="33">
        <f t="shared" si="291"/>
        <v>32.178323999999996</v>
      </c>
      <c r="O3018" s="38">
        <f>SUM(N3018:N3019)</f>
        <v>32.178323999999996</v>
      </c>
      <c r="P3018" s="36" t="str">
        <f t="shared" si="292"/>
        <v/>
      </c>
      <c r="Q3018" s="216">
        <f t="shared" si="293"/>
        <v>0.14400000000000002</v>
      </c>
      <c r="R3018" s="216">
        <f t="shared" si="294"/>
        <v>0.14400000000000002</v>
      </c>
      <c r="S3018" s="217">
        <f t="shared" si="295"/>
        <v>0.14400000000000002</v>
      </c>
    </row>
    <row r="3019" spans="1:19" ht="15.75" hidden="1" thickBot="1" x14ac:dyDescent="0.3">
      <c r="A3019" s="262"/>
      <c r="B3019" s="260"/>
      <c r="C3019" s="35" t="s">
        <v>751</v>
      </c>
      <c r="D3019" s="35" t="s">
        <v>16</v>
      </c>
      <c r="E3019" s="36">
        <v>1</v>
      </c>
      <c r="F3019" s="30" t="s">
        <v>416</v>
      </c>
      <c r="G3019" s="33" t="str">
        <f t="shared" si="290"/>
        <v/>
      </c>
      <c r="H3019" s="34"/>
      <c r="I3019" s="30"/>
      <c r="J3019" s="152">
        <v>0</v>
      </c>
      <c r="L3019" s="215">
        <v>1</v>
      </c>
      <c r="M3019" s="30"/>
      <c r="N3019" s="33" t="str">
        <f t="shared" si="291"/>
        <v/>
      </c>
      <c r="O3019" s="34"/>
      <c r="P3019" s="36" t="str">
        <f t="shared" si="292"/>
        <v/>
      </c>
      <c r="Q3019" s="216" t="str">
        <f t="shared" si="293"/>
        <v/>
      </c>
      <c r="R3019" s="216" t="str">
        <f t="shared" si="294"/>
        <v/>
      </c>
      <c r="S3019" s="217" t="str">
        <f t="shared" si="295"/>
        <v/>
      </c>
    </row>
    <row r="3020" spans="1:19" ht="15.75" hidden="1" thickBot="1" x14ac:dyDescent="0.3">
      <c r="A3020" s="263"/>
      <c r="B3020" s="261"/>
      <c r="C3020" s="35"/>
      <c r="D3020" s="35"/>
      <c r="E3020" s="36"/>
      <c r="F3020" s="30" t="s">
        <v>416</v>
      </c>
      <c r="G3020" s="33" t="str">
        <f t="shared" si="290"/>
        <v/>
      </c>
      <c r="H3020" s="34"/>
      <c r="I3020" s="30"/>
      <c r="J3020" s="152">
        <v>0</v>
      </c>
      <c r="L3020" s="215"/>
      <c r="M3020" s="30"/>
      <c r="N3020" s="33" t="str">
        <f t="shared" si="291"/>
        <v/>
      </c>
      <c r="O3020" s="34"/>
      <c r="P3020" s="36" t="str">
        <f t="shared" si="292"/>
        <v/>
      </c>
      <c r="Q3020" s="216" t="str">
        <f t="shared" si="293"/>
        <v/>
      </c>
      <c r="R3020" s="216" t="str">
        <f t="shared" si="294"/>
        <v/>
      </c>
      <c r="S3020" s="217" t="str">
        <f t="shared" si="295"/>
        <v/>
      </c>
    </row>
    <row r="3021" spans="1:19" ht="15.75" hidden="1" thickBot="1" x14ac:dyDescent="0.3">
      <c r="A3021" s="256" t="s">
        <v>752</v>
      </c>
      <c r="B3021" s="259" t="str">
        <f>INDEX(Orçamentária!A:B,MATCH(Composições!A3021,Orçamentária!A:A,0),2)</f>
        <v>Acionador fixo</v>
      </c>
      <c r="C3021" s="40"/>
      <c r="D3021" s="25" t="s">
        <v>16</v>
      </c>
      <c r="E3021" s="26"/>
      <c r="F3021" s="41" t="s">
        <v>416</v>
      </c>
      <c r="G3021" s="27" t="str">
        <f t="shared" si="290"/>
        <v/>
      </c>
      <c r="H3021" s="28"/>
      <c r="I3021" s="29"/>
      <c r="J3021" s="152">
        <v>0</v>
      </c>
      <c r="L3021" s="218"/>
      <c r="M3021" s="41"/>
      <c r="N3021" s="27" t="str">
        <f t="shared" si="291"/>
        <v/>
      </c>
      <c r="O3021" s="28"/>
      <c r="P3021" s="36" t="str">
        <f t="shared" si="292"/>
        <v/>
      </c>
      <c r="Q3021" s="216" t="str">
        <f t="shared" si="293"/>
        <v/>
      </c>
      <c r="R3021" s="216" t="str">
        <f t="shared" si="294"/>
        <v/>
      </c>
      <c r="S3021" s="217" t="str">
        <f t="shared" si="295"/>
        <v/>
      </c>
    </row>
    <row r="3022" spans="1:19" ht="15.75" hidden="1" thickBot="1" x14ac:dyDescent="0.3">
      <c r="A3022" s="262"/>
      <c r="B3022" s="260"/>
      <c r="C3022" s="31"/>
      <c r="D3022" s="31"/>
      <c r="E3022" s="32"/>
      <c r="F3022" s="42" t="s">
        <v>416</v>
      </c>
      <c r="G3022" s="33" t="str">
        <f t="shared" si="290"/>
        <v/>
      </c>
      <c r="H3022" s="34"/>
      <c r="I3022" s="30"/>
      <c r="J3022" s="152">
        <v>0</v>
      </c>
      <c r="L3022" s="219"/>
      <c r="M3022" s="42"/>
      <c r="N3022" s="33" t="str">
        <f t="shared" si="291"/>
        <v/>
      </c>
      <c r="O3022" s="34"/>
      <c r="P3022" s="36" t="str">
        <f t="shared" si="292"/>
        <v/>
      </c>
      <c r="Q3022" s="216" t="str">
        <f t="shared" si="293"/>
        <v/>
      </c>
      <c r="R3022" s="216" t="str">
        <f t="shared" si="294"/>
        <v/>
      </c>
      <c r="S3022" s="217" t="str">
        <f t="shared" si="295"/>
        <v/>
      </c>
    </row>
    <row r="3023" spans="1:19" ht="15.75" hidden="1" thickBot="1" x14ac:dyDescent="0.3">
      <c r="A3023" s="262"/>
      <c r="B3023" s="260"/>
      <c r="C3023" s="35" t="s">
        <v>2909</v>
      </c>
      <c r="D3023" s="35" t="s">
        <v>583</v>
      </c>
      <c r="E3023" s="36">
        <v>1</v>
      </c>
      <c r="F3023" s="33">
        <v>25.060999999999996</v>
      </c>
      <c r="G3023" s="33">
        <f t="shared" si="290"/>
        <v>25.060999999999996</v>
      </c>
      <c r="H3023" s="38">
        <f>SUM(G3023:G3024)</f>
        <v>25.060999999999996</v>
      </c>
      <c r="I3023" s="39"/>
      <c r="J3023" s="152">
        <v>0</v>
      </c>
      <c r="L3023" s="215">
        <v>1</v>
      </c>
      <c r="M3023" s="33">
        <v>21.452215999999996</v>
      </c>
      <c r="N3023" s="33">
        <f t="shared" si="291"/>
        <v>21.452215999999996</v>
      </c>
      <c r="O3023" s="38">
        <f>SUM(N3023:N3024)</f>
        <v>21.452215999999996</v>
      </c>
      <c r="P3023" s="36" t="str">
        <f t="shared" si="292"/>
        <v/>
      </c>
      <c r="Q3023" s="216">
        <f t="shared" si="293"/>
        <v>0.14400000000000002</v>
      </c>
      <c r="R3023" s="216">
        <f t="shared" si="294"/>
        <v>0.14400000000000002</v>
      </c>
      <c r="S3023" s="217">
        <f t="shared" si="295"/>
        <v>0.14400000000000002</v>
      </c>
    </row>
    <row r="3024" spans="1:19" ht="26.25" hidden="1" thickBot="1" x14ac:dyDescent="0.3">
      <c r="A3024" s="262"/>
      <c r="B3024" s="260"/>
      <c r="C3024" s="35" t="s">
        <v>753</v>
      </c>
      <c r="D3024" s="35" t="s">
        <v>16</v>
      </c>
      <c r="E3024" s="36">
        <v>1</v>
      </c>
      <c r="F3024" s="30" t="s">
        <v>416</v>
      </c>
      <c r="G3024" s="33" t="str">
        <f t="shared" si="290"/>
        <v/>
      </c>
      <c r="H3024" s="34"/>
      <c r="I3024" s="30"/>
      <c r="J3024" s="152">
        <v>0</v>
      </c>
      <c r="L3024" s="215">
        <v>1</v>
      </c>
      <c r="M3024" s="30"/>
      <c r="N3024" s="33" t="str">
        <f t="shared" si="291"/>
        <v/>
      </c>
      <c r="O3024" s="34"/>
      <c r="P3024" s="36" t="str">
        <f t="shared" si="292"/>
        <v/>
      </c>
      <c r="Q3024" s="216" t="str">
        <f t="shared" si="293"/>
        <v/>
      </c>
      <c r="R3024" s="216" t="str">
        <f t="shared" si="294"/>
        <v/>
      </c>
      <c r="S3024" s="217" t="str">
        <f t="shared" si="295"/>
        <v/>
      </c>
    </row>
    <row r="3025" spans="1:19" ht="15.75" hidden="1" thickBot="1" x14ac:dyDescent="0.3">
      <c r="A3025" s="263"/>
      <c r="B3025" s="261"/>
      <c r="C3025" s="35"/>
      <c r="D3025" s="35"/>
      <c r="E3025" s="36"/>
      <c r="F3025" s="30" t="s">
        <v>416</v>
      </c>
      <c r="G3025" s="33" t="str">
        <f t="shared" si="290"/>
        <v/>
      </c>
      <c r="H3025" s="34"/>
      <c r="I3025" s="30"/>
      <c r="J3025" s="152">
        <v>0</v>
      </c>
      <c r="L3025" s="215"/>
      <c r="M3025" s="30"/>
      <c r="N3025" s="33" t="str">
        <f t="shared" si="291"/>
        <v/>
      </c>
      <c r="O3025" s="34"/>
      <c r="P3025" s="36" t="str">
        <f t="shared" si="292"/>
        <v/>
      </c>
      <c r="Q3025" s="216" t="str">
        <f t="shared" si="293"/>
        <v/>
      </c>
      <c r="R3025" s="216" t="str">
        <f t="shared" si="294"/>
        <v/>
      </c>
      <c r="S3025" s="217" t="str">
        <f t="shared" si="295"/>
        <v/>
      </c>
    </row>
    <row r="3026" spans="1:19" ht="15.75" hidden="1" thickBot="1" x14ac:dyDescent="0.3">
      <c r="A3026" s="256" t="s">
        <v>754</v>
      </c>
      <c r="B3026" s="259" t="str">
        <f>INDEX(Orçamentária!A:B,MATCH(Composições!A3026,Orçamentária!A:A,0),2)</f>
        <v>Mini chapinha para trinco basculante</v>
      </c>
      <c r="C3026" s="40"/>
      <c r="D3026" s="25" t="s">
        <v>16</v>
      </c>
      <c r="E3026" s="26"/>
      <c r="F3026" s="41" t="s">
        <v>416</v>
      </c>
      <c r="G3026" s="27" t="str">
        <f t="shared" si="290"/>
        <v/>
      </c>
      <c r="H3026" s="28"/>
      <c r="I3026" s="29"/>
      <c r="J3026" s="152">
        <v>0</v>
      </c>
      <c r="L3026" s="218"/>
      <c r="M3026" s="41"/>
      <c r="N3026" s="27" t="str">
        <f t="shared" si="291"/>
        <v/>
      </c>
      <c r="O3026" s="28"/>
      <c r="P3026" s="36" t="str">
        <f t="shared" si="292"/>
        <v/>
      </c>
      <c r="Q3026" s="216" t="str">
        <f t="shared" si="293"/>
        <v/>
      </c>
      <c r="R3026" s="216" t="str">
        <f t="shared" si="294"/>
        <v/>
      </c>
      <c r="S3026" s="217" t="str">
        <f t="shared" si="295"/>
        <v/>
      </c>
    </row>
    <row r="3027" spans="1:19" ht="15.75" hidden="1" thickBot="1" x14ac:dyDescent="0.3">
      <c r="A3027" s="262"/>
      <c r="B3027" s="260"/>
      <c r="C3027" s="31"/>
      <c r="D3027" s="31"/>
      <c r="E3027" s="32"/>
      <c r="F3027" s="42" t="s">
        <v>416</v>
      </c>
      <c r="G3027" s="33" t="str">
        <f t="shared" si="290"/>
        <v/>
      </c>
      <c r="H3027" s="34"/>
      <c r="I3027" s="30"/>
      <c r="J3027" s="152">
        <v>0</v>
      </c>
      <c r="L3027" s="219"/>
      <c r="M3027" s="42"/>
      <c r="N3027" s="33" t="str">
        <f t="shared" si="291"/>
        <v/>
      </c>
      <c r="O3027" s="34"/>
      <c r="P3027" s="36" t="str">
        <f t="shared" si="292"/>
        <v/>
      </c>
      <c r="Q3027" s="216" t="str">
        <f t="shared" si="293"/>
        <v/>
      </c>
      <c r="R3027" s="216" t="str">
        <f t="shared" si="294"/>
        <v/>
      </c>
      <c r="S3027" s="217" t="str">
        <f t="shared" si="295"/>
        <v/>
      </c>
    </row>
    <row r="3028" spans="1:19" ht="15.75" hidden="1" thickBot="1" x14ac:dyDescent="0.3">
      <c r="A3028" s="262"/>
      <c r="B3028" s="260"/>
      <c r="C3028" s="35" t="s">
        <v>2909</v>
      </c>
      <c r="D3028" s="35" t="s">
        <v>583</v>
      </c>
      <c r="E3028" s="36">
        <v>0.1</v>
      </c>
      <c r="F3028" s="33">
        <v>25.060999999999996</v>
      </c>
      <c r="G3028" s="33">
        <f t="shared" si="290"/>
        <v>2.5061</v>
      </c>
      <c r="H3028" s="38">
        <f>SUM(G3028:G3029)</f>
        <v>2.5061</v>
      </c>
      <c r="I3028" s="39"/>
      <c r="J3028" s="152">
        <v>0</v>
      </c>
      <c r="L3028" s="215">
        <v>0.1</v>
      </c>
      <c r="M3028" s="33">
        <v>21.452215999999996</v>
      </c>
      <c r="N3028" s="33">
        <f t="shared" si="291"/>
        <v>2.1452215999999997</v>
      </c>
      <c r="O3028" s="38">
        <f>SUM(N3028:N3029)</f>
        <v>2.1452215999999997</v>
      </c>
      <c r="P3028" s="36" t="str">
        <f t="shared" si="292"/>
        <v/>
      </c>
      <c r="Q3028" s="216">
        <f t="shared" si="293"/>
        <v>0.14400000000000002</v>
      </c>
      <c r="R3028" s="216">
        <f t="shared" si="294"/>
        <v>0.14400000000000013</v>
      </c>
      <c r="S3028" s="217">
        <f t="shared" si="295"/>
        <v>0.14400000000000013</v>
      </c>
    </row>
    <row r="3029" spans="1:19" ht="26.25" hidden="1" thickBot="1" x14ac:dyDescent="0.3">
      <c r="A3029" s="262"/>
      <c r="B3029" s="260"/>
      <c r="C3029" s="35" t="s">
        <v>755</v>
      </c>
      <c r="D3029" s="35" t="s">
        <v>16</v>
      </c>
      <c r="E3029" s="36">
        <v>1</v>
      </c>
      <c r="F3029" s="30" t="s">
        <v>416</v>
      </c>
      <c r="G3029" s="33" t="str">
        <f t="shared" si="290"/>
        <v/>
      </c>
      <c r="H3029" s="34"/>
      <c r="I3029" s="30"/>
      <c r="J3029" s="152">
        <v>0</v>
      </c>
      <c r="L3029" s="215">
        <v>1</v>
      </c>
      <c r="M3029" s="30"/>
      <c r="N3029" s="33" t="str">
        <f t="shared" si="291"/>
        <v/>
      </c>
      <c r="O3029" s="34"/>
      <c r="P3029" s="36" t="str">
        <f t="shared" si="292"/>
        <v/>
      </c>
      <c r="Q3029" s="216" t="str">
        <f t="shared" si="293"/>
        <v/>
      </c>
      <c r="R3029" s="216" t="str">
        <f t="shared" si="294"/>
        <v/>
      </c>
      <c r="S3029" s="217" t="str">
        <f t="shared" si="295"/>
        <v/>
      </c>
    </row>
    <row r="3030" spans="1:19" ht="15.75" hidden="1" thickBot="1" x14ac:dyDescent="0.3">
      <c r="A3030" s="263"/>
      <c r="B3030" s="261"/>
      <c r="C3030" s="35"/>
      <c r="D3030" s="35"/>
      <c r="E3030" s="36"/>
      <c r="F3030" s="30" t="s">
        <v>416</v>
      </c>
      <c r="G3030" s="33" t="str">
        <f t="shared" si="290"/>
        <v/>
      </c>
      <c r="H3030" s="34"/>
      <c r="I3030" s="30"/>
      <c r="J3030" s="152">
        <v>0</v>
      </c>
      <c r="L3030" s="215"/>
      <c r="M3030" s="30"/>
      <c r="N3030" s="33" t="str">
        <f t="shared" si="291"/>
        <v/>
      </c>
      <c r="O3030" s="34"/>
      <c r="P3030" s="36" t="str">
        <f t="shared" si="292"/>
        <v/>
      </c>
      <c r="Q3030" s="216" t="str">
        <f t="shared" si="293"/>
        <v/>
      </c>
      <c r="R3030" s="216" t="str">
        <f t="shared" si="294"/>
        <v/>
      </c>
      <c r="S3030" s="217" t="str">
        <f t="shared" si="295"/>
        <v/>
      </c>
    </row>
    <row r="3031" spans="1:19" ht="15.75" hidden="1" thickBot="1" x14ac:dyDescent="0.3">
      <c r="A3031" s="256" t="s">
        <v>756</v>
      </c>
      <c r="B3031" s="259" t="str">
        <f>INDEX(Orçamentária!A:B,MATCH(Composições!A3031,Orçamentária!A:A,0),2)</f>
        <v>Puxador metálico - diâmetro de 22 mm a 25 mm</v>
      </c>
      <c r="C3031" s="40"/>
      <c r="D3031" s="25" t="s">
        <v>16</v>
      </c>
      <c r="E3031" s="26"/>
      <c r="F3031" s="41" t="s">
        <v>416</v>
      </c>
      <c r="G3031" s="27" t="str">
        <f t="shared" si="290"/>
        <v/>
      </c>
      <c r="H3031" s="28"/>
      <c r="I3031" s="29"/>
      <c r="J3031" s="152">
        <v>0</v>
      </c>
      <c r="L3031" s="218"/>
      <c r="M3031" s="41"/>
      <c r="N3031" s="27" t="str">
        <f t="shared" si="291"/>
        <v/>
      </c>
      <c r="O3031" s="28"/>
      <c r="P3031" s="36" t="str">
        <f t="shared" si="292"/>
        <v/>
      </c>
      <c r="Q3031" s="216" t="str">
        <f t="shared" si="293"/>
        <v/>
      </c>
      <c r="R3031" s="216" t="str">
        <f t="shared" si="294"/>
        <v/>
      </c>
      <c r="S3031" s="217" t="str">
        <f t="shared" si="295"/>
        <v/>
      </c>
    </row>
    <row r="3032" spans="1:19" ht="15.75" hidden="1" thickBot="1" x14ac:dyDescent="0.3">
      <c r="A3032" s="262"/>
      <c r="B3032" s="260"/>
      <c r="C3032" s="31"/>
      <c r="D3032" s="31"/>
      <c r="E3032" s="32"/>
      <c r="F3032" s="42" t="s">
        <v>416</v>
      </c>
      <c r="G3032" s="33" t="str">
        <f t="shared" si="290"/>
        <v/>
      </c>
      <c r="H3032" s="34"/>
      <c r="I3032" s="30"/>
      <c r="J3032" s="152">
        <v>0</v>
      </c>
      <c r="L3032" s="219"/>
      <c r="M3032" s="42"/>
      <c r="N3032" s="33" t="str">
        <f t="shared" si="291"/>
        <v/>
      </c>
      <c r="O3032" s="34"/>
      <c r="P3032" s="36" t="str">
        <f t="shared" si="292"/>
        <v/>
      </c>
      <c r="Q3032" s="216" t="str">
        <f t="shared" si="293"/>
        <v/>
      </c>
      <c r="R3032" s="216" t="str">
        <f t="shared" si="294"/>
        <v/>
      </c>
      <c r="S3032" s="217" t="str">
        <f t="shared" si="295"/>
        <v/>
      </c>
    </row>
    <row r="3033" spans="1:19" ht="15.75" hidden="1" thickBot="1" x14ac:dyDescent="0.3">
      <c r="A3033" s="262"/>
      <c r="B3033" s="260"/>
      <c r="C3033" s="35" t="s">
        <v>2909</v>
      </c>
      <c r="D3033" s="35" t="s">
        <v>583</v>
      </c>
      <c r="E3033" s="36">
        <v>0.2</v>
      </c>
      <c r="F3033" s="33">
        <v>25.060999999999996</v>
      </c>
      <c r="G3033" s="33">
        <f t="shared" si="290"/>
        <v>5.0122</v>
      </c>
      <c r="H3033" s="38">
        <f>SUM(G3033:G3034)</f>
        <v>5.0122</v>
      </c>
      <c r="I3033" s="39"/>
      <c r="J3033" s="152">
        <v>0</v>
      </c>
      <c r="L3033" s="215">
        <v>0.2</v>
      </c>
      <c r="M3033" s="33">
        <v>21.452215999999996</v>
      </c>
      <c r="N3033" s="33">
        <f t="shared" si="291"/>
        <v>4.2904431999999995</v>
      </c>
      <c r="O3033" s="38">
        <f>SUM(N3033:N3034)</f>
        <v>4.2904431999999995</v>
      </c>
      <c r="P3033" s="36" t="str">
        <f t="shared" si="292"/>
        <v/>
      </c>
      <c r="Q3033" s="216">
        <f t="shared" si="293"/>
        <v>0.14400000000000002</v>
      </c>
      <c r="R3033" s="216">
        <f t="shared" si="294"/>
        <v>0.14400000000000013</v>
      </c>
      <c r="S3033" s="217">
        <f t="shared" si="295"/>
        <v>0.14400000000000013</v>
      </c>
    </row>
    <row r="3034" spans="1:19" ht="26.25" hidden="1" thickBot="1" x14ac:dyDescent="0.3">
      <c r="A3034" s="262"/>
      <c r="B3034" s="260"/>
      <c r="C3034" s="35" t="s">
        <v>757</v>
      </c>
      <c r="D3034" s="35" t="s">
        <v>16</v>
      </c>
      <c r="E3034" s="36">
        <v>1</v>
      </c>
      <c r="F3034" s="30" t="s">
        <v>416</v>
      </c>
      <c r="G3034" s="33" t="str">
        <f t="shared" si="290"/>
        <v/>
      </c>
      <c r="H3034" s="34"/>
      <c r="I3034" s="30"/>
      <c r="J3034" s="152">
        <v>0</v>
      </c>
      <c r="L3034" s="215">
        <v>1</v>
      </c>
      <c r="M3034" s="30"/>
      <c r="N3034" s="33" t="str">
        <f t="shared" si="291"/>
        <v/>
      </c>
      <c r="O3034" s="34"/>
      <c r="P3034" s="36" t="str">
        <f t="shared" si="292"/>
        <v/>
      </c>
      <c r="Q3034" s="216" t="str">
        <f t="shared" si="293"/>
        <v/>
      </c>
      <c r="R3034" s="216" t="str">
        <f t="shared" si="294"/>
        <v/>
      </c>
      <c r="S3034" s="217" t="str">
        <f t="shared" si="295"/>
        <v/>
      </c>
    </row>
    <row r="3035" spans="1:19" ht="15.75" hidden="1" thickBot="1" x14ac:dyDescent="0.3">
      <c r="A3035" s="263"/>
      <c r="B3035" s="261"/>
      <c r="C3035" s="35"/>
      <c r="D3035" s="35"/>
      <c r="E3035" s="36"/>
      <c r="F3035" s="30" t="s">
        <v>416</v>
      </c>
      <c r="G3035" s="33" t="str">
        <f t="shared" si="290"/>
        <v/>
      </c>
      <c r="H3035" s="34"/>
      <c r="I3035" s="30"/>
      <c r="J3035" s="152">
        <v>0</v>
      </c>
      <c r="L3035" s="215"/>
      <c r="M3035" s="30"/>
      <c r="N3035" s="33" t="str">
        <f t="shared" si="291"/>
        <v/>
      </c>
      <c r="O3035" s="34"/>
      <c r="P3035" s="36" t="str">
        <f t="shared" si="292"/>
        <v/>
      </c>
      <c r="Q3035" s="216" t="str">
        <f t="shared" si="293"/>
        <v/>
      </c>
      <c r="R3035" s="216" t="str">
        <f t="shared" si="294"/>
        <v/>
      </c>
      <c r="S3035" s="217" t="str">
        <f t="shared" si="295"/>
        <v/>
      </c>
    </row>
    <row r="3036" spans="1:19" ht="15.75" hidden="1" thickBot="1" x14ac:dyDescent="0.3">
      <c r="A3036" s="256" t="s">
        <v>758</v>
      </c>
      <c r="B3036" s="259" t="str">
        <f>INDEX(Orçamentária!A:B,MATCH(Composições!A3036,Orçamentária!A:A,0),2)</f>
        <v>Trinco sem miolo para vidro temperado</v>
      </c>
      <c r="C3036" s="40"/>
      <c r="D3036" s="25" t="s">
        <v>16</v>
      </c>
      <c r="E3036" s="26"/>
      <c r="F3036" s="41" t="s">
        <v>416</v>
      </c>
      <c r="G3036" s="27" t="str">
        <f t="shared" si="290"/>
        <v/>
      </c>
      <c r="H3036" s="28"/>
      <c r="I3036" s="29"/>
      <c r="J3036" s="152">
        <v>0</v>
      </c>
      <c r="L3036" s="218"/>
      <c r="M3036" s="41"/>
      <c r="N3036" s="27" t="str">
        <f t="shared" si="291"/>
        <v/>
      </c>
      <c r="O3036" s="28"/>
      <c r="P3036" s="36" t="str">
        <f t="shared" si="292"/>
        <v/>
      </c>
      <c r="Q3036" s="216" t="str">
        <f t="shared" si="293"/>
        <v/>
      </c>
      <c r="R3036" s="216" t="str">
        <f t="shared" si="294"/>
        <v/>
      </c>
      <c r="S3036" s="217" t="str">
        <f t="shared" si="295"/>
        <v/>
      </c>
    </row>
    <row r="3037" spans="1:19" ht="15.75" hidden="1" thickBot="1" x14ac:dyDescent="0.3">
      <c r="A3037" s="262"/>
      <c r="B3037" s="260"/>
      <c r="C3037" s="31"/>
      <c r="D3037" s="31"/>
      <c r="E3037" s="32"/>
      <c r="F3037" s="42" t="s">
        <v>416</v>
      </c>
      <c r="G3037" s="33" t="str">
        <f t="shared" si="290"/>
        <v/>
      </c>
      <c r="H3037" s="34"/>
      <c r="I3037" s="30"/>
      <c r="J3037" s="152">
        <v>0</v>
      </c>
      <c r="L3037" s="219"/>
      <c r="M3037" s="42"/>
      <c r="N3037" s="33" t="str">
        <f t="shared" si="291"/>
        <v/>
      </c>
      <c r="O3037" s="34"/>
      <c r="P3037" s="36" t="str">
        <f t="shared" si="292"/>
        <v/>
      </c>
      <c r="Q3037" s="216" t="str">
        <f t="shared" si="293"/>
        <v/>
      </c>
      <c r="R3037" s="216" t="str">
        <f t="shared" si="294"/>
        <v/>
      </c>
      <c r="S3037" s="217" t="str">
        <f t="shared" si="295"/>
        <v/>
      </c>
    </row>
    <row r="3038" spans="1:19" ht="15.75" hidden="1" thickBot="1" x14ac:dyDescent="0.3">
      <c r="A3038" s="262"/>
      <c r="B3038" s="260"/>
      <c r="C3038" s="35" t="s">
        <v>2909</v>
      </c>
      <c r="D3038" s="35" t="s">
        <v>583</v>
      </c>
      <c r="E3038" s="36">
        <v>0.2</v>
      </c>
      <c r="F3038" s="33">
        <v>25.060999999999996</v>
      </c>
      <c r="G3038" s="33">
        <f t="shared" si="290"/>
        <v>5.0122</v>
      </c>
      <c r="H3038" s="38">
        <f>SUM(G3038:G3039)</f>
        <v>5.0122</v>
      </c>
      <c r="I3038" s="39"/>
      <c r="J3038" s="152">
        <v>0</v>
      </c>
      <c r="L3038" s="215">
        <v>0.2</v>
      </c>
      <c r="M3038" s="33">
        <v>21.452215999999996</v>
      </c>
      <c r="N3038" s="33">
        <f t="shared" si="291"/>
        <v>4.2904431999999995</v>
      </c>
      <c r="O3038" s="38">
        <f>SUM(N3038:N3039)</f>
        <v>4.2904431999999995</v>
      </c>
      <c r="P3038" s="36" t="str">
        <f t="shared" si="292"/>
        <v/>
      </c>
      <c r="Q3038" s="216">
        <f t="shared" si="293"/>
        <v>0.14400000000000002</v>
      </c>
      <c r="R3038" s="216">
        <f t="shared" si="294"/>
        <v>0.14400000000000013</v>
      </c>
      <c r="S3038" s="217">
        <f t="shared" si="295"/>
        <v>0.14400000000000013</v>
      </c>
    </row>
    <row r="3039" spans="1:19" ht="39" hidden="1" thickBot="1" x14ac:dyDescent="0.3">
      <c r="A3039" s="262"/>
      <c r="B3039" s="260"/>
      <c r="C3039" s="35" t="s">
        <v>759</v>
      </c>
      <c r="D3039" s="35" t="s">
        <v>16</v>
      </c>
      <c r="E3039" s="36">
        <v>1</v>
      </c>
      <c r="F3039" s="30" t="s">
        <v>416</v>
      </c>
      <c r="G3039" s="33" t="str">
        <f t="shared" si="290"/>
        <v/>
      </c>
      <c r="H3039" s="34"/>
      <c r="I3039" s="30"/>
      <c r="J3039" s="152">
        <v>0</v>
      </c>
      <c r="L3039" s="215">
        <v>1</v>
      </c>
      <c r="M3039" s="30"/>
      <c r="N3039" s="33" t="str">
        <f t="shared" si="291"/>
        <v/>
      </c>
      <c r="O3039" s="34"/>
      <c r="P3039" s="36" t="str">
        <f t="shared" si="292"/>
        <v/>
      </c>
      <c r="Q3039" s="216" t="str">
        <f t="shared" si="293"/>
        <v/>
      </c>
      <c r="R3039" s="216" t="str">
        <f t="shared" si="294"/>
        <v/>
      </c>
      <c r="S3039" s="217" t="str">
        <f t="shared" si="295"/>
        <v/>
      </c>
    </row>
    <row r="3040" spans="1:19" ht="15.75" hidden="1" thickBot="1" x14ac:dyDescent="0.3">
      <c r="A3040" s="263"/>
      <c r="B3040" s="261"/>
      <c r="C3040" s="35"/>
      <c r="D3040" s="35"/>
      <c r="E3040" s="36"/>
      <c r="F3040" s="30" t="s">
        <v>416</v>
      </c>
      <c r="G3040" s="33" t="str">
        <f t="shared" si="290"/>
        <v/>
      </c>
      <c r="H3040" s="34"/>
      <c r="I3040" s="30"/>
      <c r="J3040" s="152">
        <v>0</v>
      </c>
      <c r="L3040" s="215"/>
      <c r="M3040" s="30"/>
      <c r="N3040" s="33" t="str">
        <f t="shared" si="291"/>
        <v/>
      </c>
      <c r="O3040" s="34"/>
      <c r="P3040" s="36" t="str">
        <f t="shared" si="292"/>
        <v/>
      </c>
      <c r="Q3040" s="216" t="str">
        <f t="shared" si="293"/>
        <v/>
      </c>
      <c r="R3040" s="216" t="str">
        <f t="shared" si="294"/>
        <v/>
      </c>
      <c r="S3040" s="217" t="str">
        <f t="shared" si="295"/>
        <v/>
      </c>
    </row>
    <row r="3041" spans="1:19" ht="15.75" hidden="1" thickBot="1" x14ac:dyDescent="0.3">
      <c r="A3041" s="256" t="s">
        <v>760</v>
      </c>
      <c r="B3041" s="259" t="str">
        <f>INDEX(Orçamentária!A:B,MATCH(Composições!A3041,Orçamentária!A:A,0),2)</f>
        <v>Tubo de alumínio quadrado 50 x 50 mm</v>
      </c>
      <c r="C3041" s="40"/>
      <c r="D3041" s="25" t="s">
        <v>69</v>
      </c>
      <c r="E3041" s="26"/>
      <c r="F3041" s="41" t="s">
        <v>416</v>
      </c>
      <c r="G3041" s="27" t="str">
        <f t="shared" si="290"/>
        <v/>
      </c>
      <c r="H3041" s="28"/>
      <c r="I3041" s="29"/>
      <c r="J3041" s="152">
        <v>0</v>
      </c>
      <c r="L3041" s="218"/>
      <c r="M3041" s="41"/>
      <c r="N3041" s="27" t="str">
        <f t="shared" si="291"/>
        <v/>
      </c>
      <c r="O3041" s="28"/>
      <c r="P3041" s="36" t="str">
        <f t="shared" si="292"/>
        <v/>
      </c>
      <c r="Q3041" s="216" t="str">
        <f t="shared" si="293"/>
        <v/>
      </c>
      <c r="R3041" s="216" t="str">
        <f t="shared" si="294"/>
        <v/>
      </c>
      <c r="S3041" s="217" t="str">
        <f t="shared" si="295"/>
        <v/>
      </c>
    </row>
    <row r="3042" spans="1:19" ht="15.75" hidden="1" thickBot="1" x14ac:dyDescent="0.3">
      <c r="A3042" s="257"/>
      <c r="B3042" s="260"/>
      <c r="C3042" s="31"/>
      <c r="D3042" s="31"/>
      <c r="E3042" s="32"/>
      <c r="F3042" s="42" t="s">
        <v>416</v>
      </c>
      <c r="G3042" s="33" t="str">
        <f t="shared" si="290"/>
        <v/>
      </c>
      <c r="H3042" s="34"/>
      <c r="I3042" s="30"/>
      <c r="J3042" s="152">
        <v>0</v>
      </c>
      <c r="L3042" s="219"/>
      <c r="M3042" s="42"/>
      <c r="N3042" s="33" t="str">
        <f t="shared" si="291"/>
        <v/>
      </c>
      <c r="O3042" s="34"/>
      <c r="P3042" s="36" t="str">
        <f t="shared" si="292"/>
        <v/>
      </c>
      <c r="Q3042" s="216" t="str">
        <f t="shared" si="293"/>
        <v/>
      </c>
      <c r="R3042" s="216" t="str">
        <f t="shared" si="294"/>
        <v/>
      </c>
      <c r="S3042" s="217" t="str">
        <f t="shared" si="295"/>
        <v/>
      </c>
    </row>
    <row r="3043" spans="1:19" ht="15.75" hidden="1" thickBot="1" x14ac:dyDescent="0.3">
      <c r="A3043" s="257"/>
      <c r="B3043" s="260"/>
      <c r="C3043" s="35" t="s">
        <v>2909</v>
      </c>
      <c r="D3043" s="35" t="s">
        <v>583</v>
      </c>
      <c r="E3043" s="36">
        <v>0.25</v>
      </c>
      <c r="F3043" s="33">
        <v>25.060999999999996</v>
      </c>
      <c r="G3043" s="33">
        <f t="shared" si="290"/>
        <v>6.2652499999999991</v>
      </c>
      <c r="H3043" s="38">
        <f>SUM(G3043:G3044)</f>
        <v>39.586841999999997</v>
      </c>
      <c r="I3043" s="39"/>
      <c r="J3043" s="152">
        <v>0</v>
      </c>
      <c r="L3043" s="215">
        <v>0.25</v>
      </c>
      <c r="M3043" s="33">
        <v>21.452215999999996</v>
      </c>
      <c r="N3043" s="33">
        <f t="shared" si="291"/>
        <v>5.3630539999999991</v>
      </c>
      <c r="O3043" s="38">
        <f>SUM(N3043:N3044)</f>
        <v>33.886336751999998</v>
      </c>
      <c r="P3043" s="36" t="str">
        <f t="shared" si="292"/>
        <v/>
      </c>
      <c r="Q3043" s="216">
        <f t="shared" si="293"/>
        <v>0.14400000000000002</v>
      </c>
      <c r="R3043" s="216">
        <f t="shared" si="294"/>
        <v>0.14400000000000002</v>
      </c>
      <c r="S3043" s="217">
        <f t="shared" si="295"/>
        <v>0.14400000000000002</v>
      </c>
    </row>
    <row r="3044" spans="1:19" ht="15.75" hidden="1" thickBot="1" x14ac:dyDescent="0.3">
      <c r="A3044" s="257"/>
      <c r="B3044" s="260"/>
      <c r="C3044" s="35" t="s">
        <v>709</v>
      </c>
      <c r="D3044" s="35" t="s">
        <v>773</v>
      </c>
      <c r="E3044" s="36">
        <v>0.85299999999999998</v>
      </c>
      <c r="F3044" s="30">
        <v>39.063999999999993</v>
      </c>
      <c r="G3044" s="33">
        <f t="shared" si="290"/>
        <v>33.321591999999995</v>
      </c>
      <c r="H3044" s="34"/>
      <c r="I3044" s="30"/>
      <c r="J3044" s="152">
        <v>0</v>
      </c>
      <c r="L3044" s="215">
        <v>0.85299999999999998</v>
      </c>
      <c r="M3044" s="30">
        <v>33.438783999999998</v>
      </c>
      <c r="N3044" s="33">
        <f t="shared" si="291"/>
        <v>28.523282751999997</v>
      </c>
      <c r="O3044" s="34"/>
      <c r="P3044" s="36" t="str">
        <f t="shared" si="292"/>
        <v/>
      </c>
      <c r="Q3044" s="216">
        <f t="shared" si="293"/>
        <v>0.14399999999999991</v>
      </c>
      <c r="R3044" s="216">
        <f t="shared" si="294"/>
        <v>0.14400000000000002</v>
      </c>
      <c r="S3044" s="217" t="str">
        <f t="shared" si="295"/>
        <v/>
      </c>
    </row>
    <row r="3045" spans="1:19" ht="15.75" hidden="1" thickBot="1" x14ac:dyDescent="0.3">
      <c r="A3045" s="257"/>
      <c r="B3045" s="260"/>
      <c r="C3045" s="35"/>
      <c r="D3045" s="46"/>
      <c r="E3045" s="36"/>
      <c r="F3045" s="30" t="s">
        <v>416</v>
      </c>
      <c r="G3045" s="33" t="str">
        <f t="shared" si="290"/>
        <v/>
      </c>
      <c r="H3045" s="34"/>
      <c r="I3045" s="30"/>
      <c r="J3045" s="152">
        <v>0</v>
      </c>
      <c r="L3045" s="215"/>
      <c r="M3045" s="30"/>
      <c r="N3045" s="33" t="str">
        <f t="shared" si="291"/>
        <v/>
      </c>
      <c r="O3045" s="34"/>
      <c r="P3045" s="36" t="str">
        <f t="shared" si="292"/>
        <v/>
      </c>
      <c r="Q3045" s="216" t="str">
        <f t="shared" si="293"/>
        <v/>
      </c>
      <c r="R3045" s="216" t="str">
        <f t="shared" si="294"/>
        <v/>
      </c>
      <c r="S3045" s="217" t="str">
        <f t="shared" si="295"/>
        <v/>
      </c>
    </row>
    <row r="3046" spans="1:19" ht="26.25" hidden="1" thickBot="1" x14ac:dyDescent="0.3">
      <c r="A3046" s="257"/>
      <c r="B3046" s="260"/>
      <c r="C3046" s="47" t="s">
        <v>761</v>
      </c>
      <c r="D3046" s="46"/>
      <c r="E3046" s="36"/>
      <c r="F3046" s="30" t="s">
        <v>416</v>
      </c>
      <c r="G3046" s="33" t="str">
        <f t="shared" si="290"/>
        <v/>
      </c>
      <c r="H3046" s="34"/>
      <c r="I3046" s="30"/>
      <c r="J3046" s="152">
        <v>0</v>
      </c>
      <c r="L3046" s="215"/>
      <c r="M3046" s="30"/>
      <c r="N3046" s="33" t="str">
        <f t="shared" si="291"/>
        <v/>
      </c>
      <c r="O3046" s="34"/>
      <c r="P3046" s="36" t="str">
        <f t="shared" si="292"/>
        <v/>
      </c>
      <c r="Q3046" s="216" t="str">
        <f t="shared" si="293"/>
        <v/>
      </c>
      <c r="R3046" s="216" t="str">
        <f t="shared" si="294"/>
        <v/>
      </c>
      <c r="S3046" s="217" t="str">
        <f t="shared" si="295"/>
        <v/>
      </c>
    </row>
    <row r="3047" spans="1:19" ht="26.25" hidden="1" thickBot="1" x14ac:dyDescent="0.3">
      <c r="A3047" s="257"/>
      <c r="B3047" s="260"/>
      <c r="C3047" s="51" t="s">
        <v>714</v>
      </c>
      <c r="D3047" s="46"/>
      <c r="E3047" s="36"/>
      <c r="F3047" s="30" t="s">
        <v>416</v>
      </c>
      <c r="G3047" s="33" t="str">
        <f t="shared" si="290"/>
        <v/>
      </c>
      <c r="H3047" s="34"/>
      <c r="I3047" s="30"/>
      <c r="J3047" s="152">
        <v>0</v>
      </c>
      <c r="L3047" s="215"/>
      <c r="M3047" s="30"/>
      <c r="N3047" s="33" t="str">
        <f t="shared" si="291"/>
        <v/>
      </c>
      <c r="O3047" s="34"/>
      <c r="P3047" s="36" t="str">
        <f t="shared" si="292"/>
        <v/>
      </c>
      <c r="Q3047" s="216" t="str">
        <f t="shared" si="293"/>
        <v/>
      </c>
      <c r="R3047" s="216" t="str">
        <f t="shared" si="294"/>
        <v/>
      </c>
      <c r="S3047" s="217" t="str">
        <f t="shared" si="295"/>
        <v/>
      </c>
    </row>
    <row r="3048" spans="1:19" ht="15.75" hidden="1" thickBot="1" x14ac:dyDescent="0.3">
      <c r="A3048" s="258"/>
      <c r="B3048" s="261"/>
      <c r="C3048" s="35"/>
      <c r="D3048" s="35"/>
      <c r="E3048" s="36"/>
      <c r="F3048" s="30" t="s">
        <v>416</v>
      </c>
      <c r="G3048" s="33" t="str">
        <f t="shared" si="290"/>
        <v/>
      </c>
      <c r="H3048" s="34"/>
      <c r="I3048" s="30"/>
      <c r="J3048" s="152">
        <v>0</v>
      </c>
      <c r="L3048" s="215"/>
      <c r="M3048" s="30"/>
      <c r="N3048" s="33" t="str">
        <f t="shared" si="291"/>
        <v/>
      </c>
      <c r="O3048" s="34"/>
      <c r="P3048" s="36" t="str">
        <f t="shared" si="292"/>
        <v/>
      </c>
      <c r="Q3048" s="216" t="str">
        <f t="shared" si="293"/>
        <v/>
      </c>
      <c r="R3048" s="216" t="str">
        <f t="shared" si="294"/>
        <v/>
      </c>
      <c r="S3048" s="217" t="str">
        <f t="shared" si="295"/>
        <v/>
      </c>
    </row>
    <row r="3049" spans="1:19" ht="15.75" hidden="1" thickBot="1" x14ac:dyDescent="0.3">
      <c r="A3049" s="256" t="s">
        <v>762</v>
      </c>
      <c r="B3049" s="259" t="str">
        <f>INDEX(Orçamentária!A:B,MATCH(Composições!A3049,Orçamentária!A:A,0),2)</f>
        <v>Veda fresta adesivo “E” branco</v>
      </c>
      <c r="C3049" s="40"/>
      <c r="D3049" s="25" t="s">
        <v>69</v>
      </c>
      <c r="E3049" s="26"/>
      <c r="F3049" s="41" t="s">
        <v>416</v>
      </c>
      <c r="G3049" s="27" t="str">
        <f t="shared" si="290"/>
        <v/>
      </c>
      <c r="H3049" s="28"/>
      <c r="I3049" s="29"/>
      <c r="J3049" s="152">
        <v>0</v>
      </c>
      <c r="L3049" s="218"/>
      <c r="M3049" s="41"/>
      <c r="N3049" s="27" t="str">
        <f t="shared" si="291"/>
        <v/>
      </c>
      <c r="O3049" s="28"/>
      <c r="P3049" s="36" t="str">
        <f t="shared" si="292"/>
        <v/>
      </c>
      <c r="Q3049" s="216" t="str">
        <f t="shared" si="293"/>
        <v/>
      </c>
      <c r="R3049" s="216" t="str">
        <f t="shared" si="294"/>
        <v/>
      </c>
      <c r="S3049" s="217" t="str">
        <f t="shared" si="295"/>
        <v/>
      </c>
    </row>
    <row r="3050" spans="1:19" ht="15.75" hidden="1" thickBot="1" x14ac:dyDescent="0.3">
      <c r="A3050" s="262"/>
      <c r="B3050" s="260"/>
      <c r="C3050" s="31"/>
      <c r="D3050" s="31"/>
      <c r="E3050" s="32"/>
      <c r="F3050" s="42" t="s">
        <v>416</v>
      </c>
      <c r="G3050" s="33" t="str">
        <f t="shared" si="290"/>
        <v/>
      </c>
      <c r="H3050" s="34"/>
      <c r="I3050" s="30"/>
      <c r="J3050" s="152">
        <v>0</v>
      </c>
      <c r="L3050" s="219"/>
      <c r="M3050" s="42"/>
      <c r="N3050" s="33" t="str">
        <f t="shared" si="291"/>
        <v/>
      </c>
      <c r="O3050" s="34"/>
      <c r="P3050" s="36" t="str">
        <f t="shared" si="292"/>
        <v/>
      </c>
      <c r="Q3050" s="216" t="str">
        <f t="shared" si="293"/>
        <v/>
      </c>
      <c r="R3050" s="216" t="str">
        <f t="shared" si="294"/>
        <v/>
      </c>
      <c r="S3050" s="217" t="str">
        <f t="shared" si="295"/>
        <v/>
      </c>
    </row>
    <row r="3051" spans="1:19" ht="15.75" hidden="1" thickBot="1" x14ac:dyDescent="0.3">
      <c r="A3051" s="262"/>
      <c r="B3051" s="260"/>
      <c r="C3051" s="35" t="s">
        <v>2909</v>
      </c>
      <c r="D3051" s="35" t="s">
        <v>583</v>
      </c>
      <c r="E3051" s="36">
        <v>0.2</v>
      </c>
      <c r="F3051" s="33">
        <v>25.060999999999996</v>
      </c>
      <c r="G3051" s="33">
        <f t="shared" si="290"/>
        <v>5.0122</v>
      </c>
      <c r="H3051" s="38">
        <f>SUM(G3051:G3052)</f>
        <v>5.0122</v>
      </c>
      <c r="I3051" s="39"/>
      <c r="J3051" s="152">
        <v>0</v>
      </c>
      <c r="L3051" s="215">
        <v>0.2</v>
      </c>
      <c r="M3051" s="33">
        <v>21.452215999999996</v>
      </c>
      <c r="N3051" s="33">
        <f t="shared" si="291"/>
        <v>4.2904431999999995</v>
      </c>
      <c r="O3051" s="38">
        <f>SUM(N3051:N3052)</f>
        <v>4.2904431999999995</v>
      </c>
      <c r="P3051" s="36" t="str">
        <f t="shared" si="292"/>
        <v/>
      </c>
      <c r="Q3051" s="216">
        <f t="shared" si="293"/>
        <v>0.14400000000000002</v>
      </c>
      <c r="R3051" s="216">
        <f t="shared" si="294"/>
        <v>0.14400000000000013</v>
      </c>
      <c r="S3051" s="217">
        <f t="shared" si="295"/>
        <v>0.14400000000000013</v>
      </c>
    </row>
    <row r="3052" spans="1:19" ht="26.25" hidden="1" thickBot="1" x14ac:dyDescent="0.3">
      <c r="A3052" s="262"/>
      <c r="B3052" s="260"/>
      <c r="C3052" s="35" t="s">
        <v>763</v>
      </c>
      <c r="D3052" s="35" t="s">
        <v>69</v>
      </c>
      <c r="E3052" s="36">
        <v>0.11899999999999999</v>
      </c>
      <c r="F3052" s="30" t="s">
        <v>416</v>
      </c>
      <c r="G3052" s="33" t="str">
        <f t="shared" si="290"/>
        <v/>
      </c>
      <c r="H3052" s="34"/>
      <c r="I3052" s="30"/>
      <c r="J3052" s="152">
        <v>0</v>
      </c>
      <c r="L3052" s="215">
        <v>0.11899999999999999</v>
      </c>
      <c r="M3052" s="30"/>
      <c r="N3052" s="33" t="str">
        <f t="shared" si="291"/>
        <v/>
      </c>
      <c r="O3052" s="34"/>
      <c r="P3052" s="36" t="str">
        <f t="shared" si="292"/>
        <v/>
      </c>
      <c r="Q3052" s="216" t="str">
        <f t="shared" si="293"/>
        <v/>
      </c>
      <c r="R3052" s="216" t="str">
        <f t="shared" si="294"/>
        <v/>
      </c>
      <c r="S3052" s="217" t="str">
        <f t="shared" si="295"/>
        <v/>
      </c>
    </row>
    <row r="3053" spans="1:19" ht="15.75" hidden="1" thickBot="1" x14ac:dyDescent="0.3">
      <c r="A3053" s="263"/>
      <c r="B3053" s="261"/>
      <c r="C3053" s="35"/>
      <c r="D3053" s="35"/>
      <c r="E3053" s="36"/>
      <c r="F3053" s="30" t="s">
        <v>416</v>
      </c>
      <c r="G3053" s="33" t="str">
        <f t="shared" si="290"/>
        <v/>
      </c>
      <c r="H3053" s="34"/>
      <c r="I3053" s="30"/>
      <c r="J3053" s="152">
        <v>0</v>
      </c>
      <c r="L3053" s="215"/>
      <c r="M3053" s="30"/>
      <c r="N3053" s="33" t="str">
        <f t="shared" si="291"/>
        <v/>
      </c>
      <c r="O3053" s="34"/>
      <c r="P3053" s="36" t="str">
        <f t="shared" si="292"/>
        <v/>
      </c>
      <c r="Q3053" s="216" t="str">
        <f t="shared" si="293"/>
        <v/>
      </c>
      <c r="R3053" s="216" t="str">
        <f t="shared" si="294"/>
        <v/>
      </c>
      <c r="S3053" s="217" t="str">
        <f t="shared" si="295"/>
        <v/>
      </c>
    </row>
    <row r="3054" spans="1:19" ht="15.75" hidden="1" thickBot="1" x14ac:dyDescent="0.3">
      <c r="A3054" s="256" t="s">
        <v>764</v>
      </c>
      <c r="B3054" s="259" t="str">
        <f>INDEX(Orçamentária!A:B,MATCH(Composições!A3054,Orçamentária!A:A,0),2)</f>
        <v>Vedapress 10 mm</v>
      </c>
      <c r="C3054" s="40"/>
      <c r="D3054" s="25" t="s">
        <v>69</v>
      </c>
      <c r="E3054" s="26"/>
      <c r="F3054" s="41" t="s">
        <v>416</v>
      </c>
      <c r="G3054" s="27" t="str">
        <f t="shared" si="290"/>
        <v/>
      </c>
      <c r="H3054" s="28"/>
      <c r="I3054" s="29"/>
      <c r="J3054" s="152">
        <v>0</v>
      </c>
      <c r="L3054" s="218"/>
      <c r="M3054" s="41"/>
      <c r="N3054" s="27" t="str">
        <f t="shared" si="291"/>
        <v/>
      </c>
      <c r="O3054" s="28"/>
      <c r="P3054" s="36" t="str">
        <f t="shared" si="292"/>
        <v/>
      </c>
      <c r="Q3054" s="216" t="str">
        <f t="shared" si="293"/>
        <v/>
      </c>
      <c r="R3054" s="216" t="str">
        <f t="shared" si="294"/>
        <v/>
      </c>
      <c r="S3054" s="217" t="str">
        <f t="shared" si="295"/>
        <v/>
      </c>
    </row>
    <row r="3055" spans="1:19" ht="15.75" hidden="1" thickBot="1" x14ac:dyDescent="0.3">
      <c r="A3055" s="257"/>
      <c r="B3055" s="260"/>
      <c r="C3055" s="31"/>
      <c r="D3055" s="31"/>
      <c r="E3055" s="32"/>
      <c r="F3055" s="42" t="s">
        <v>416</v>
      </c>
      <c r="G3055" s="33" t="str">
        <f t="shared" si="290"/>
        <v/>
      </c>
      <c r="H3055" s="34"/>
      <c r="I3055" s="30"/>
      <c r="J3055" s="152">
        <v>0</v>
      </c>
      <c r="L3055" s="219"/>
      <c r="M3055" s="42"/>
      <c r="N3055" s="33" t="str">
        <f t="shared" si="291"/>
        <v/>
      </c>
      <c r="O3055" s="34"/>
      <c r="P3055" s="36" t="str">
        <f t="shared" si="292"/>
        <v/>
      </c>
      <c r="Q3055" s="216" t="str">
        <f t="shared" si="293"/>
        <v/>
      </c>
      <c r="R3055" s="216" t="str">
        <f t="shared" si="294"/>
        <v/>
      </c>
      <c r="S3055" s="217" t="str">
        <f t="shared" si="295"/>
        <v/>
      </c>
    </row>
    <row r="3056" spans="1:19" ht="15.75" hidden="1" thickBot="1" x14ac:dyDescent="0.3">
      <c r="A3056" s="257"/>
      <c r="B3056" s="260"/>
      <c r="C3056" s="35" t="s">
        <v>2909</v>
      </c>
      <c r="D3056" s="35" t="s">
        <v>583</v>
      </c>
      <c r="E3056" s="36">
        <v>0.3</v>
      </c>
      <c r="F3056" s="33">
        <v>25.060999999999996</v>
      </c>
      <c r="G3056" s="33">
        <f t="shared" si="290"/>
        <v>7.5182999999999982</v>
      </c>
      <c r="H3056" s="38">
        <f>SUM(G3056:G3057)</f>
        <v>12.166915999999997</v>
      </c>
      <c r="I3056" s="39"/>
      <c r="J3056" s="152">
        <v>0</v>
      </c>
      <c r="L3056" s="215">
        <v>0.3</v>
      </c>
      <c r="M3056" s="33">
        <v>21.452215999999996</v>
      </c>
      <c r="N3056" s="33">
        <f t="shared" si="291"/>
        <v>6.4356647999999987</v>
      </c>
      <c r="O3056" s="38">
        <f>SUM(N3056:N3057)</f>
        <v>10.414880095999997</v>
      </c>
      <c r="P3056" s="36" t="str">
        <f t="shared" si="292"/>
        <v/>
      </c>
      <c r="Q3056" s="216">
        <f t="shared" si="293"/>
        <v>0.14400000000000002</v>
      </c>
      <c r="R3056" s="216">
        <f t="shared" si="294"/>
        <v>0.14400000000000002</v>
      </c>
      <c r="S3056" s="217">
        <f t="shared" si="295"/>
        <v>0.14400000000000002</v>
      </c>
    </row>
    <row r="3057" spans="1:19" ht="15.75" hidden="1" thickBot="1" x14ac:dyDescent="0.3">
      <c r="A3057" s="257"/>
      <c r="B3057" s="260"/>
      <c r="C3057" s="35" t="s">
        <v>709</v>
      </c>
      <c r="D3057" s="35" t="s">
        <v>773</v>
      </c>
      <c r="E3057" s="36">
        <v>0.11899999999999999</v>
      </c>
      <c r="F3057" s="30">
        <v>39.063999999999993</v>
      </c>
      <c r="G3057" s="33">
        <f t="shared" si="290"/>
        <v>4.6486159999999987</v>
      </c>
      <c r="H3057" s="34"/>
      <c r="I3057" s="30"/>
      <c r="J3057" s="152">
        <v>0</v>
      </c>
      <c r="L3057" s="215">
        <v>0.11899999999999999</v>
      </c>
      <c r="M3057" s="30">
        <v>33.438783999999998</v>
      </c>
      <c r="N3057" s="33">
        <f t="shared" si="291"/>
        <v>3.9792152959999996</v>
      </c>
      <c r="O3057" s="34"/>
      <c r="P3057" s="36" t="str">
        <f t="shared" si="292"/>
        <v/>
      </c>
      <c r="Q3057" s="216">
        <f t="shared" si="293"/>
        <v>0.14399999999999991</v>
      </c>
      <c r="R3057" s="216">
        <f t="shared" si="294"/>
        <v>0.14399999999999991</v>
      </c>
      <c r="S3057" s="217" t="str">
        <f t="shared" si="295"/>
        <v/>
      </c>
    </row>
    <row r="3058" spans="1:19" ht="15.75" hidden="1" thickBot="1" x14ac:dyDescent="0.3">
      <c r="A3058" s="257"/>
      <c r="B3058" s="260"/>
      <c r="C3058" s="35"/>
      <c r="D3058" s="35"/>
      <c r="E3058" s="36"/>
      <c r="F3058" s="30" t="s">
        <v>416</v>
      </c>
      <c r="G3058" s="33" t="str">
        <f t="shared" si="290"/>
        <v/>
      </c>
      <c r="H3058" s="34"/>
      <c r="I3058" s="30"/>
      <c r="J3058" s="152">
        <v>0</v>
      </c>
      <c r="L3058" s="215"/>
      <c r="M3058" s="30"/>
      <c r="N3058" s="33" t="str">
        <f t="shared" si="291"/>
        <v/>
      </c>
      <c r="O3058" s="34"/>
      <c r="P3058" s="36" t="str">
        <f t="shared" si="292"/>
        <v/>
      </c>
      <c r="Q3058" s="216" t="str">
        <f t="shared" si="293"/>
        <v/>
      </c>
      <c r="R3058" s="216" t="str">
        <f t="shared" si="294"/>
        <v/>
      </c>
      <c r="S3058" s="217" t="str">
        <f t="shared" si="295"/>
        <v/>
      </c>
    </row>
    <row r="3059" spans="1:19" ht="39" hidden="1" thickBot="1" x14ac:dyDescent="0.3">
      <c r="A3059" s="257"/>
      <c r="B3059" s="260"/>
      <c r="C3059" s="47" t="s">
        <v>765</v>
      </c>
      <c r="D3059" s="35"/>
      <c r="E3059" s="36"/>
      <c r="F3059" s="30" t="s">
        <v>416</v>
      </c>
      <c r="G3059" s="33" t="str">
        <f t="shared" si="290"/>
        <v/>
      </c>
      <c r="H3059" s="34"/>
      <c r="I3059" s="30"/>
      <c r="J3059" s="152">
        <v>0</v>
      </c>
      <c r="L3059" s="215"/>
      <c r="M3059" s="30"/>
      <c r="N3059" s="33" t="str">
        <f t="shared" si="291"/>
        <v/>
      </c>
      <c r="O3059" s="34"/>
      <c r="P3059" s="36" t="str">
        <f t="shared" si="292"/>
        <v/>
      </c>
      <c r="Q3059" s="216" t="str">
        <f t="shared" si="293"/>
        <v/>
      </c>
      <c r="R3059" s="216" t="str">
        <f t="shared" si="294"/>
        <v/>
      </c>
      <c r="S3059" s="217" t="str">
        <f t="shared" si="295"/>
        <v/>
      </c>
    </row>
    <row r="3060" spans="1:19" ht="15.75" hidden="1" thickBot="1" x14ac:dyDescent="0.3">
      <c r="A3060" s="257"/>
      <c r="B3060" s="260"/>
      <c r="C3060" s="51" t="s">
        <v>766</v>
      </c>
      <c r="D3060" s="35"/>
      <c r="E3060" s="36"/>
      <c r="F3060" s="30" t="s">
        <v>416</v>
      </c>
      <c r="G3060" s="33" t="str">
        <f t="shared" si="290"/>
        <v/>
      </c>
      <c r="H3060" s="34"/>
      <c r="I3060" s="30"/>
      <c r="J3060" s="152">
        <v>0</v>
      </c>
      <c r="L3060" s="215"/>
      <c r="M3060" s="30"/>
      <c r="N3060" s="33" t="str">
        <f t="shared" si="291"/>
        <v/>
      </c>
      <c r="O3060" s="34"/>
      <c r="P3060" s="36" t="str">
        <f t="shared" si="292"/>
        <v/>
      </c>
      <c r="Q3060" s="216" t="str">
        <f t="shared" si="293"/>
        <v/>
      </c>
      <c r="R3060" s="216" t="str">
        <f t="shared" si="294"/>
        <v/>
      </c>
      <c r="S3060" s="217" t="str">
        <f t="shared" si="295"/>
        <v/>
      </c>
    </row>
    <row r="3061" spans="1:19" ht="15.75" hidden="1" thickBot="1" x14ac:dyDescent="0.3">
      <c r="A3061" s="258"/>
      <c r="B3061" s="261"/>
      <c r="C3061" s="35"/>
      <c r="D3061" s="35"/>
      <c r="E3061" s="36"/>
      <c r="F3061" s="30" t="s">
        <v>416</v>
      </c>
      <c r="G3061" s="33" t="str">
        <f t="shared" si="290"/>
        <v/>
      </c>
      <c r="H3061" s="34"/>
      <c r="I3061" s="30"/>
      <c r="J3061" s="152">
        <v>0</v>
      </c>
      <c r="L3061" s="215"/>
      <c r="M3061" s="30"/>
      <c r="N3061" s="33" t="str">
        <f t="shared" si="291"/>
        <v/>
      </c>
      <c r="O3061" s="34"/>
      <c r="P3061" s="36" t="str">
        <f t="shared" si="292"/>
        <v/>
      </c>
      <c r="Q3061" s="216" t="str">
        <f t="shared" si="293"/>
        <v/>
      </c>
      <c r="R3061" s="216" t="str">
        <f t="shared" si="294"/>
        <v/>
      </c>
      <c r="S3061" s="217" t="str">
        <f t="shared" si="295"/>
        <v/>
      </c>
    </row>
    <row r="3062" spans="1:19" ht="15.75" hidden="1" thickBot="1" x14ac:dyDescent="0.3">
      <c r="A3062" s="256" t="s">
        <v>767</v>
      </c>
      <c r="B3062" s="259" t="str">
        <f>INDEX(Orçamentária!A:B,MATCH(Composições!A3062,Orçamentária!A:A,0),2)</f>
        <v>Regulagem de ferragens</v>
      </c>
      <c r="C3062" s="40"/>
      <c r="D3062" s="25" t="s">
        <v>16</v>
      </c>
      <c r="E3062" s="26"/>
      <c r="F3062" s="41" t="s">
        <v>416</v>
      </c>
      <c r="G3062" s="27" t="str">
        <f t="shared" si="290"/>
        <v/>
      </c>
      <c r="H3062" s="28"/>
      <c r="I3062" s="29"/>
      <c r="J3062" s="152">
        <v>0</v>
      </c>
      <c r="L3062" s="218"/>
      <c r="M3062" s="41"/>
      <c r="N3062" s="27" t="str">
        <f t="shared" si="291"/>
        <v/>
      </c>
      <c r="O3062" s="28"/>
      <c r="P3062" s="36" t="str">
        <f t="shared" si="292"/>
        <v/>
      </c>
      <c r="Q3062" s="216" t="str">
        <f t="shared" si="293"/>
        <v/>
      </c>
      <c r="R3062" s="216" t="str">
        <f t="shared" si="294"/>
        <v/>
      </c>
      <c r="S3062" s="217" t="str">
        <f t="shared" si="295"/>
        <v/>
      </c>
    </row>
    <row r="3063" spans="1:19" ht="15.75" hidden="1" thickBot="1" x14ac:dyDescent="0.3">
      <c r="A3063" s="262"/>
      <c r="B3063" s="260"/>
      <c r="C3063" s="31"/>
      <c r="D3063" s="31"/>
      <c r="E3063" s="32"/>
      <c r="F3063" s="42" t="s">
        <v>416</v>
      </c>
      <c r="G3063" s="33" t="str">
        <f t="shared" si="290"/>
        <v/>
      </c>
      <c r="H3063" s="34"/>
      <c r="I3063" s="30"/>
      <c r="J3063" s="152">
        <v>0</v>
      </c>
      <c r="L3063" s="219"/>
      <c r="M3063" s="42"/>
      <c r="N3063" s="33" t="str">
        <f t="shared" si="291"/>
        <v/>
      </c>
      <c r="O3063" s="34"/>
      <c r="P3063" s="36" t="str">
        <f t="shared" si="292"/>
        <v/>
      </c>
      <c r="Q3063" s="216" t="str">
        <f t="shared" si="293"/>
        <v/>
      </c>
      <c r="R3063" s="216" t="str">
        <f t="shared" si="294"/>
        <v/>
      </c>
      <c r="S3063" s="217" t="str">
        <f t="shared" si="295"/>
        <v/>
      </c>
    </row>
    <row r="3064" spans="1:19" ht="15.75" hidden="1" thickBot="1" x14ac:dyDescent="0.3">
      <c r="A3064" s="262"/>
      <c r="B3064" s="260"/>
      <c r="C3064" s="35" t="s">
        <v>2909</v>
      </c>
      <c r="D3064" s="35" t="s">
        <v>583</v>
      </c>
      <c r="E3064" s="36">
        <v>1.5</v>
      </c>
      <c r="F3064" s="33">
        <v>25.060999999999996</v>
      </c>
      <c r="G3064" s="33">
        <f t="shared" si="290"/>
        <v>37.591499999999996</v>
      </c>
      <c r="H3064" s="38">
        <f>SUM(G3064:G3064)</f>
        <v>37.591499999999996</v>
      </c>
      <c r="I3064" s="39"/>
      <c r="J3064" s="152">
        <v>0</v>
      </c>
      <c r="L3064" s="215">
        <v>1.5</v>
      </c>
      <c r="M3064" s="33">
        <v>21.452215999999996</v>
      </c>
      <c r="N3064" s="33">
        <f t="shared" si="291"/>
        <v>32.178323999999996</v>
      </c>
      <c r="O3064" s="38">
        <f>SUM(N3064:N3064)</f>
        <v>32.178323999999996</v>
      </c>
      <c r="P3064" s="36" t="str">
        <f t="shared" si="292"/>
        <v/>
      </c>
      <c r="Q3064" s="216">
        <f t="shared" si="293"/>
        <v>0.14400000000000002</v>
      </c>
      <c r="R3064" s="216">
        <f t="shared" si="294"/>
        <v>0.14400000000000002</v>
      </c>
      <c r="S3064" s="217">
        <f t="shared" si="295"/>
        <v>0.14400000000000002</v>
      </c>
    </row>
    <row r="3065" spans="1:19" ht="15.75" hidden="1" thickBot="1" x14ac:dyDescent="0.3">
      <c r="A3065" s="263"/>
      <c r="B3065" s="261"/>
      <c r="C3065" s="35"/>
      <c r="D3065" s="35"/>
      <c r="E3065" s="36"/>
      <c r="F3065" s="30" t="s">
        <v>416</v>
      </c>
      <c r="G3065" s="33" t="str">
        <f t="shared" si="290"/>
        <v/>
      </c>
      <c r="H3065" s="34"/>
      <c r="I3065" s="30"/>
      <c r="J3065" s="152">
        <v>0</v>
      </c>
      <c r="L3065" s="215"/>
      <c r="M3065" s="30"/>
      <c r="N3065" s="33" t="str">
        <f t="shared" si="291"/>
        <v/>
      </c>
      <c r="O3065" s="34"/>
      <c r="P3065" s="36" t="str">
        <f t="shared" si="292"/>
        <v/>
      </c>
      <c r="Q3065" s="216" t="str">
        <f t="shared" si="293"/>
        <v/>
      </c>
      <c r="R3065" s="216" t="str">
        <f t="shared" si="294"/>
        <v/>
      </c>
      <c r="S3065" s="217" t="str">
        <f t="shared" si="295"/>
        <v/>
      </c>
    </row>
    <row r="3066" spans="1:19" ht="15.75" hidden="1" thickBot="1" x14ac:dyDescent="0.3">
      <c r="A3066" s="256" t="s">
        <v>768</v>
      </c>
      <c r="B3066" s="259" t="str">
        <f>INDEX(Orçamentária!A:B,MATCH(Composições!A3066,Orçamentária!A:A,0),2)</f>
        <v>Vidro fumê / bronze temperado 10 mm</v>
      </c>
      <c r="C3066" s="40"/>
      <c r="D3066" s="25" t="s">
        <v>70</v>
      </c>
      <c r="E3066" s="26"/>
      <c r="F3066" s="41" t="s">
        <v>416</v>
      </c>
      <c r="G3066" s="27" t="str">
        <f t="shared" si="290"/>
        <v/>
      </c>
      <c r="H3066" s="28"/>
      <c r="I3066" s="29"/>
      <c r="J3066" s="152">
        <v>0</v>
      </c>
      <c r="L3066" s="218"/>
      <c r="M3066" s="41"/>
      <c r="N3066" s="27" t="str">
        <f t="shared" si="291"/>
        <v/>
      </c>
      <c r="O3066" s="28"/>
      <c r="P3066" s="36" t="str">
        <f t="shared" si="292"/>
        <v/>
      </c>
      <c r="Q3066" s="216" t="str">
        <f t="shared" si="293"/>
        <v/>
      </c>
      <c r="R3066" s="216" t="str">
        <f t="shared" si="294"/>
        <v/>
      </c>
      <c r="S3066" s="217" t="str">
        <f t="shared" si="295"/>
        <v/>
      </c>
    </row>
    <row r="3067" spans="1:19" ht="15.75" hidden="1" thickBot="1" x14ac:dyDescent="0.3">
      <c r="A3067" s="262"/>
      <c r="B3067" s="260"/>
      <c r="C3067" s="31"/>
      <c r="D3067" s="31"/>
      <c r="E3067" s="32"/>
      <c r="F3067" s="42" t="s">
        <v>416</v>
      </c>
      <c r="G3067" s="33" t="str">
        <f t="shared" si="290"/>
        <v/>
      </c>
      <c r="H3067" s="34"/>
      <c r="I3067" s="30"/>
      <c r="J3067" s="152">
        <v>0</v>
      </c>
      <c r="L3067" s="219"/>
      <c r="M3067" s="42"/>
      <c r="N3067" s="33" t="str">
        <f t="shared" si="291"/>
        <v/>
      </c>
      <c r="O3067" s="34"/>
      <c r="P3067" s="36" t="str">
        <f t="shared" si="292"/>
        <v/>
      </c>
      <c r="Q3067" s="216" t="str">
        <f t="shared" si="293"/>
        <v/>
      </c>
      <c r="R3067" s="216" t="str">
        <f t="shared" si="294"/>
        <v/>
      </c>
      <c r="S3067" s="217" t="str">
        <f t="shared" si="295"/>
        <v/>
      </c>
    </row>
    <row r="3068" spans="1:19" ht="15.75" hidden="1" thickBot="1" x14ac:dyDescent="0.3">
      <c r="A3068" s="262"/>
      <c r="B3068" s="260"/>
      <c r="C3068" s="35" t="s">
        <v>2909</v>
      </c>
      <c r="D3068" s="35" t="s">
        <v>583</v>
      </c>
      <c r="E3068" s="36">
        <v>0.47899999999999998</v>
      </c>
      <c r="F3068" s="33">
        <v>25.060999999999996</v>
      </c>
      <c r="G3068" s="33">
        <f t="shared" si="290"/>
        <v>12.004218999999997</v>
      </c>
      <c r="H3068" s="38">
        <f>SUM(G3068:G3072)</f>
        <v>105.68020399999999</v>
      </c>
      <c r="I3068" s="39"/>
      <c r="J3068" s="152">
        <v>0</v>
      </c>
      <c r="L3068" s="215">
        <v>0.47899999999999998</v>
      </c>
      <c r="M3068" s="33">
        <v>21.452215999999996</v>
      </c>
      <c r="N3068" s="33">
        <f t="shared" si="291"/>
        <v>10.275611463999997</v>
      </c>
      <c r="O3068" s="38">
        <f>SUM(N3068:N3072)</f>
        <v>90.462254623999996</v>
      </c>
      <c r="P3068" s="36" t="str">
        <f t="shared" si="292"/>
        <v/>
      </c>
      <c r="Q3068" s="216">
        <f t="shared" si="293"/>
        <v>0.14400000000000002</v>
      </c>
      <c r="R3068" s="216">
        <f t="shared" si="294"/>
        <v>0.14400000000000002</v>
      </c>
      <c r="S3068" s="217">
        <f t="shared" si="295"/>
        <v>0.14399999999999991</v>
      </c>
    </row>
    <row r="3069" spans="1:19" ht="15.75" hidden="1" thickBot="1" x14ac:dyDescent="0.3">
      <c r="A3069" s="262"/>
      <c r="B3069" s="260"/>
      <c r="C3069" s="35" t="s">
        <v>584</v>
      </c>
      <c r="D3069" s="35" t="s">
        <v>583</v>
      </c>
      <c r="E3069" s="36">
        <v>0.46600000000000003</v>
      </c>
      <c r="F3069" s="33">
        <v>20.225499999999997</v>
      </c>
      <c r="G3069" s="33">
        <f t="shared" ref="G3069:G3132" si="296">IF(ISNUMBER(F3069),E3069*F3069,"")</f>
        <v>9.425082999999999</v>
      </c>
      <c r="H3069" s="34"/>
      <c r="I3069" s="30"/>
      <c r="J3069" s="152">
        <v>0</v>
      </c>
      <c r="L3069" s="215">
        <v>0.46600000000000003</v>
      </c>
      <c r="M3069" s="33">
        <v>17.313027999999996</v>
      </c>
      <c r="N3069" s="33">
        <f t="shared" ref="N3069:N3132" si="297">IF(ISNUMBER(M3069),L3069*M3069,"")</f>
        <v>8.0678710479999989</v>
      </c>
      <c r="O3069" s="34"/>
      <c r="P3069" s="36" t="str">
        <f t="shared" si="292"/>
        <v/>
      </c>
      <c r="Q3069" s="216">
        <f t="shared" si="293"/>
        <v>0.14400000000000013</v>
      </c>
      <c r="R3069" s="216">
        <f t="shared" si="294"/>
        <v>0.14400000000000002</v>
      </c>
      <c r="S3069" s="217" t="str">
        <f t="shared" si="295"/>
        <v/>
      </c>
    </row>
    <row r="3070" spans="1:19" ht="26.25" hidden="1" thickBot="1" x14ac:dyDescent="0.3">
      <c r="A3070" s="262"/>
      <c r="B3070" s="260"/>
      <c r="C3070" s="35" t="s">
        <v>1039</v>
      </c>
      <c r="D3070" s="35" t="s">
        <v>385</v>
      </c>
      <c r="E3070" s="36">
        <v>4.609</v>
      </c>
      <c r="F3070" s="30">
        <v>16.149999999999999</v>
      </c>
      <c r="G3070" s="33">
        <f t="shared" si="296"/>
        <v>74.43535</v>
      </c>
      <c r="H3070" s="34"/>
      <c r="I3070" s="30"/>
      <c r="J3070" s="152">
        <v>0</v>
      </c>
      <c r="L3070" s="215">
        <v>4.609</v>
      </c>
      <c r="M3070" s="30">
        <v>13.824399999999999</v>
      </c>
      <c r="N3070" s="33">
        <f t="shared" si="297"/>
        <v>63.716659599999993</v>
      </c>
      <c r="O3070" s="34"/>
      <c r="P3070" s="36" t="str">
        <f t="shared" si="292"/>
        <v/>
      </c>
      <c r="Q3070" s="216">
        <f t="shared" si="293"/>
        <v>0.14400000000000002</v>
      </c>
      <c r="R3070" s="216">
        <f t="shared" si="294"/>
        <v>0.14400000000000013</v>
      </c>
      <c r="S3070" s="217" t="str">
        <f t="shared" si="295"/>
        <v/>
      </c>
    </row>
    <row r="3071" spans="1:19" ht="26.25" hidden="1" thickBot="1" x14ac:dyDescent="0.3">
      <c r="A3071" s="262"/>
      <c r="B3071" s="260"/>
      <c r="C3071" s="35" t="s">
        <v>8168</v>
      </c>
      <c r="D3071" s="35" t="s">
        <v>385</v>
      </c>
      <c r="E3071" s="36">
        <v>4.0359999999999996</v>
      </c>
      <c r="F3071" s="30">
        <v>2.4319999999999999</v>
      </c>
      <c r="G3071" s="33">
        <f t="shared" si="296"/>
        <v>9.8155519999999985</v>
      </c>
      <c r="H3071" s="34"/>
      <c r="I3071" s="30"/>
      <c r="J3071" s="152">
        <v>0</v>
      </c>
      <c r="L3071" s="215">
        <v>4.0359999999999996</v>
      </c>
      <c r="M3071" s="30">
        <v>2.0817920000000001</v>
      </c>
      <c r="N3071" s="33">
        <f t="shared" si="297"/>
        <v>8.4021125119999986</v>
      </c>
      <c r="O3071" s="34"/>
      <c r="P3071" s="36" t="str">
        <f t="shared" si="292"/>
        <v/>
      </c>
      <c r="Q3071" s="216">
        <f t="shared" si="293"/>
        <v>0.14399999999999991</v>
      </c>
      <c r="R3071" s="216">
        <f t="shared" si="294"/>
        <v>0.14400000000000002</v>
      </c>
      <c r="S3071" s="217" t="str">
        <f t="shared" si="295"/>
        <v/>
      </c>
    </row>
    <row r="3072" spans="1:19" ht="15.75" hidden="1" thickBot="1" x14ac:dyDescent="0.3">
      <c r="A3072" s="262"/>
      <c r="B3072" s="260"/>
      <c r="C3072" s="35" t="s">
        <v>769</v>
      </c>
      <c r="D3072" s="35" t="s">
        <v>70</v>
      </c>
      <c r="E3072" s="36">
        <v>1</v>
      </c>
      <c r="F3072" s="30" t="s">
        <v>416</v>
      </c>
      <c r="G3072" s="33" t="str">
        <f t="shared" si="296"/>
        <v/>
      </c>
      <c r="H3072" s="34"/>
      <c r="I3072" s="30"/>
      <c r="J3072" s="152">
        <v>0</v>
      </c>
      <c r="L3072" s="215">
        <v>1</v>
      </c>
      <c r="M3072" s="30"/>
      <c r="N3072" s="33" t="str">
        <f t="shared" si="297"/>
        <v/>
      </c>
      <c r="O3072" s="34"/>
      <c r="P3072" s="36" t="str">
        <f t="shared" si="292"/>
        <v/>
      </c>
      <c r="Q3072" s="216" t="str">
        <f t="shared" si="293"/>
        <v/>
      </c>
      <c r="R3072" s="216" t="str">
        <f t="shared" si="294"/>
        <v/>
      </c>
      <c r="S3072" s="217" t="str">
        <f t="shared" si="295"/>
        <v/>
      </c>
    </row>
    <row r="3073" spans="1:19" ht="15.75" hidden="1" thickBot="1" x14ac:dyDescent="0.3">
      <c r="A3073" s="263"/>
      <c r="B3073" s="261"/>
      <c r="C3073" s="35"/>
      <c r="D3073" s="35"/>
      <c r="E3073" s="36"/>
      <c r="F3073" s="30" t="s">
        <v>416</v>
      </c>
      <c r="G3073" s="33" t="str">
        <f t="shared" si="296"/>
        <v/>
      </c>
      <c r="H3073" s="34"/>
      <c r="I3073" s="30"/>
      <c r="J3073" s="152">
        <v>0</v>
      </c>
      <c r="L3073" s="215"/>
      <c r="M3073" s="30"/>
      <c r="N3073" s="33" t="str">
        <f t="shared" si="297"/>
        <v/>
      </c>
      <c r="O3073" s="34"/>
      <c r="P3073" s="36" t="str">
        <f t="shared" si="292"/>
        <v/>
      </c>
      <c r="Q3073" s="216" t="str">
        <f t="shared" si="293"/>
        <v/>
      </c>
      <c r="R3073" s="216" t="str">
        <f t="shared" si="294"/>
        <v/>
      </c>
      <c r="S3073" s="217" t="str">
        <f t="shared" si="295"/>
        <v/>
      </c>
    </row>
    <row r="3074" spans="1:19" ht="15.75" hidden="1" thickBot="1" x14ac:dyDescent="0.3">
      <c r="A3074" s="256" t="s">
        <v>770</v>
      </c>
      <c r="B3074" s="259" t="str">
        <f>INDEX(Orçamentária!A:B,MATCH(Composições!A3074,Orçamentária!A:A,0),2)</f>
        <v>Puxador em aço inox sob medida – Tipo B</v>
      </c>
      <c r="C3074" s="40"/>
      <c r="D3074" s="25" t="s">
        <v>16</v>
      </c>
      <c r="E3074" s="26"/>
      <c r="F3074" s="41" t="s">
        <v>416</v>
      </c>
      <c r="G3074" s="27" t="str">
        <f t="shared" si="296"/>
        <v/>
      </c>
      <c r="H3074" s="28"/>
      <c r="I3074" s="29"/>
      <c r="J3074" s="152">
        <v>0</v>
      </c>
      <c r="L3074" s="218"/>
      <c r="M3074" s="41"/>
      <c r="N3074" s="27" t="str">
        <f t="shared" si="297"/>
        <v/>
      </c>
      <c r="O3074" s="28"/>
      <c r="P3074" s="36" t="str">
        <f t="shared" si="292"/>
        <v/>
      </c>
      <c r="Q3074" s="216" t="str">
        <f t="shared" si="293"/>
        <v/>
      </c>
      <c r="R3074" s="216" t="str">
        <f t="shared" si="294"/>
        <v/>
      </c>
      <c r="S3074" s="217" t="str">
        <f t="shared" si="295"/>
        <v/>
      </c>
    </row>
    <row r="3075" spans="1:19" ht="15.75" hidden="1" thickBot="1" x14ac:dyDescent="0.3">
      <c r="A3075" s="262"/>
      <c r="B3075" s="260"/>
      <c r="C3075" s="31"/>
      <c r="D3075" s="31"/>
      <c r="E3075" s="32"/>
      <c r="F3075" s="42" t="s">
        <v>416</v>
      </c>
      <c r="G3075" s="33" t="str">
        <f t="shared" si="296"/>
        <v/>
      </c>
      <c r="H3075" s="34"/>
      <c r="I3075" s="30"/>
      <c r="J3075" s="152">
        <v>0</v>
      </c>
      <c r="L3075" s="219"/>
      <c r="M3075" s="42"/>
      <c r="N3075" s="33" t="str">
        <f t="shared" si="297"/>
        <v/>
      </c>
      <c r="O3075" s="34"/>
      <c r="P3075" s="36" t="str">
        <f t="shared" si="292"/>
        <v/>
      </c>
      <c r="Q3075" s="216" t="str">
        <f t="shared" si="293"/>
        <v/>
      </c>
      <c r="R3075" s="216" t="str">
        <f t="shared" si="294"/>
        <v/>
      </c>
      <c r="S3075" s="217" t="str">
        <f t="shared" si="295"/>
        <v/>
      </c>
    </row>
    <row r="3076" spans="1:19" ht="15.75" hidden="1" thickBot="1" x14ac:dyDescent="0.3">
      <c r="A3076" s="262"/>
      <c r="B3076" s="260"/>
      <c r="C3076" s="35" t="s">
        <v>2909</v>
      </c>
      <c r="D3076" s="35" t="s">
        <v>583</v>
      </c>
      <c r="E3076" s="36">
        <v>0.4</v>
      </c>
      <c r="F3076" s="33">
        <v>25.060999999999996</v>
      </c>
      <c r="G3076" s="33">
        <f t="shared" si="296"/>
        <v>10.0244</v>
      </c>
      <c r="H3076" s="38">
        <f>SUM(G3076:G3077)</f>
        <v>10.0244</v>
      </c>
      <c r="I3076" s="39"/>
      <c r="J3076" s="152">
        <v>0</v>
      </c>
      <c r="L3076" s="215">
        <v>0.4</v>
      </c>
      <c r="M3076" s="33">
        <v>21.452215999999996</v>
      </c>
      <c r="N3076" s="33">
        <f t="shared" si="297"/>
        <v>8.5808863999999989</v>
      </c>
      <c r="O3076" s="38">
        <f>SUM(N3076:N3077)</f>
        <v>8.5808863999999989</v>
      </c>
      <c r="P3076" s="36" t="str">
        <f t="shared" si="292"/>
        <v/>
      </c>
      <c r="Q3076" s="216">
        <f t="shared" si="293"/>
        <v>0.14400000000000002</v>
      </c>
      <c r="R3076" s="216">
        <f t="shared" si="294"/>
        <v>0.14400000000000013</v>
      </c>
      <c r="S3076" s="217">
        <f t="shared" si="295"/>
        <v>0.14400000000000013</v>
      </c>
    </row>
    <row r="3077" spans="1:19" ht="15.75" hidden="1" thickBot="1" x14ac:dyDescent="0.3">
      <c r="A3077" s="262"/>
      <c r="B3077" s="260"/>
      <c r="C3077" s="35" t="s">
        <v>771</v>
      </c>
      <c r="D3077" s="46" t="s">
        <v>16</v>
      </c>
      <c r="E3077" s="36">
        <v>1</v>
      </c>
      <c r="F3077" s="30" t="s">
        <v>416</v>
      </c>
      <c r="G3077" s="33" t="str">
        <f t="shared" si="296"/>
        <v/>
      </c>
      <c r="H3077" s="34"/>
      <c r="I3077" s="30"/>
      <c r="J3077" s="152">
        <v>0</v>
      </c>
      <c r="L3077" s="215">
        <v>1</v>
      </c>
      <c r="M3077" s="30"/>
      <c r="N3077" s="33" t="str">
        <f t="shared" si="297"/>
        <v/>
      </c>
      <c r="O3077" s="34"/>
      <c r="P3077" s="36" t="str">
        <f t="shared" si="292"/>
        <v/>
      </c>
      <c r="Q3077" s="216" t="str">
        <f t="shared" si="293"/>
        <v/>
      </c>
      <c r="R3077" s="216" t="str">
        <f t="shared" si="294"/>
        <v/>
      </c>
      <c r="S3077" s="217" t="str">
        <f t="shared" si="295"/>
        <v/>
      </c>
    </row>
    <row r="3078" spans="1:19" ht="15.75" hidden="1" thickBot="1" x14ac:dyDescent="0.3">
      <c r="A3078" s="263"/>
      <c r="B3078" s="261"/>
      <c r="C3078" s="35"/>
      <c r="D3078" s="35"/>
      <c r="E3078" s="36"/>
      <c r="F3078" s="30" t="s">
        <v>416</v>
      </c>
      <c r="G3078" s="33" t="str">
        <f t="shared" si="296"/>
        <v/>
      </c>
      <c r="H3078" s="34"/>
      <c r="I3078" s="30"/>
      <c r="J3078" s="152">
        <v>0</v>
      </c>
      <c r="L3078" s="215"/>
      <c r="M3078" s="30"/>
      <c r="N3078" s="33" t="str">
        <f t="shared" si="297"/>
        <v/>
      </c>
      <c r="O3078" s="34"/>
      <c r="P3078" s="36" t="str">
        <f t="shared" si="292"/>
        <v/>
      </c>
      <c r="Q3078" s="216" t="str">
        <f t="shared" si="293"/>
        <v/>
      </c>
      <c r="R3078" s="216" t="str">
        <f t="shared" si="294"/>
        <v/>
      </c>
      <c r="S3078" s="217" t="str">
        <f t="shared" si="295"/>
        <v/>
      </c>
    </row>
    <row r="3079" spans="1:19" ht="15.75" hidden="1" thickBot="1" x14ac:dyDescent="0.3">
      <c r="A3079" s="256" t="s">
        <v>772</v>
      </c>
      <c r="B3079" s="259" t="str">
        <f>INDEX(Orçamentária!A:B,MATCH(Composições!A3079,Orçamentária!A:A,0),2)</f>
        <v>Armação de aço CA-50 bitolas de 5,0 mm a 8,00 mm</v>
      </c>
      <c r="C3079" s="40"/>
      <c r="D3079" s="25" t="s">
        <v>28</v>
      </c>
      <c r="E3079" s="26"/>
      <c r="F3079" s="41" t="s">
        <v>416</v>
      </c>
      <c r="G3079" s="27" t="str">
        <f t="shared" si="296"/>
        <v/>
      </c>
      <c r="H3079" s="28"/>
      <c r="I3079" s="29"/>
      <c r="J3079" s="152">
        <v>0</v>
      </c>
      <c r="L3079" s="218"/>
      <c r="M3079" s="41"/>
      <c r="N3079" s="27" t="str">
        <f t="shared" si="297"/>
        <v/>
      </c>
      <c r="O3079" s="28"/>
      <c r="P3079" s="36" t="str">
        <f t="shared" si="292"/>
        <v/>
      </c>
      <c r="Q3079" s="216" t="str">
        <f t="shared" si="293"/>
        <v/>
      </c>
      <c r="R3079" s="216" t="str">
        <f t="shared" si="294"/>
        <v/>
      </c>
      <c r="S3079" s="217" t="str">
        <f t="shared" si="295"/>
        <v/>
      </c>
    </row>
    <row r="3080" spans="1:19" ht="15.75" hidden="1" thickBot="1" x14ac:dyDescent="0.3">
      <c r="A3080" s="262"/>
      <c r="B3080" s="260"/>
      <c r="C3080" s="31"/>
      <c r="D3080" s="31"/>
      <c r="E3080" s="32"/>
      <c r="F3080" s="42" t="s">
        <v>416</v>
      </c>
      <c r="G3080" s="33" t="str">
        <f t="shared" si="296"/>
        <v/>
      </c>
      <c r="H3080" s="34"/>
      <c r="I3080" s="30"/>
      <c r="J3080" s="152">
        <v>0</v>
      </c>
      <c r="L3080" s="219"/>
      <c r="M3080" s="42"/>
      <c r="N3080" s="33" t="str">
        <f t="shared" si="297"/>
        <v/>
      </c>
      <c r="O3080" s="34"/>
      <c r="P3080" s="36" t="str">
        <f t="shared" ref="P3080:P3143" si="298">IF(ISBLANK(L3080),"",IF($E3080&lt;&gt;L3080,"SIM",""))</f>
        <v/>
      </c>
      <c r="Q3080" s="216" t="str">
        <f t="shared" ref="Q3080:Q3143" si="299">IF(M3080="","",1-M3080/$F3080)</f>
        <v/>
      </c>
      <c r="R3080" s="216" t="str">
        <f t="shared" ref="R3080:R3143" si="300">IF(N3080="","",1-N3080/$G3080)</f>
        <v/>
      </c>
      <c r="S3080" s="217" t="str">
        <f t="shared" ref="S3080:S3143" si="301">IF(O3080="","",1-O3080/$H3080)</f>
        <v/>
      </c>
    </row>
    <row r="3081" spans="1:19" ht="39" hidden="1" thickBot="1" x14ac:dyDescent="0.3">
      <c r="A3081" s="262"/>
      <c r="B3081" s="260"/>
      <c r="C3081" s="35" t="s">
        <v>774</v>
      </c>
      <c r="D3081" s="35" t="s">
        <v>213</v>
      </c>
      <c r="E3081" s="36">
        <v>0.74299999999999999</v>
      </c>
      <c r="F3081" s="30">
        <v>0.20899999999999999</v>
      </c>
      <c r="G3081" s="33">
        <f t="shared" si="296"/>
        <v>0.15528699999999998</v>
      </c>
      <c r="H3081" s="38">
        <f>SUM(G3081:G3085)</f>
        <v>13.973526249999999</v>
      </c>
      <c r="I3081" s="39"/>
      <c r="J3081" s="152">
        <v>0</v>
      </c>
      <c r="L3081" s="215">
        <v>0.74299999999999999</v>
      </c>
      <c r="M3081" s="30">
        <v>0.17890400000000001</v>
      </c>
      <c r="N3081" s="33">
        <f t="shared" si="297"/>
        <v>0.13292567199999999</v>
      </c>
      <c r="O3081" s="38">
        <f>SUM(N3081:N3085)</f>
        <v>11.961338469999999</v>
      </c>
      <c r="P3081" s="36" t="str">
        <f t="shared" si="298"/>
        <v/>
      </c>
      <c r="Q3081" s="216">
        <f t="shared" si="299"/>
        <v>0.14399999999999991</v>
      </c>
      <c r="R3081" s="216">
        <f t="shared" si="300"/>
        <v>0.14399999999999991</v>
      </c>
      <c r="S3081" s="217">
        <f t="shared" si="301"/>
        <v>0.14400000000000002</v>
      </c>
    </row>
    <row r="3082" spans="1:19" ht="26.25" hidden="1" thickBot="1" x14ac:dyDescent="0.3">
      <c r="A3082" s="262"/>
      <c r="B3082" s="260"/>
      <c r="C3082" s="35" t="s">
        <v>3060</v>
      </c>
      <c r="D3082" s="35" t="s">
        <v>773</v>
      </c>
      <c r="E3082" s="36">
        <v>2.5000000000000001E-2</v>
      </c>
      <c r="F3082" s="30">
        <v>21.042499999999997</v>
      </c>
      <c r="G3082" s="33">
        <f t="shared" si="296"/>
        <v>0.52606249999999999</v>
      </c>
      <c r="H3082" s="34"/>
      <c r="I3082" s="30"/>
      <c r="J3082" s="152">
        <v>0</v>
      </c>
      <c r="L3082" s="215">
        <v>2.5000000000000001E-2</v>
      </c>
      <c r="M3082" s="30">
        <v>18.012379999999997</v>
      </c>
      <c r="N3082" s="33">
        <f t="shared" si="297"/>
        <v>0.45030949999999992</v>
      </c>
      <c r="O3082" s="34"/>
      <c r="P3082" s="36" t="str">
        <f t="shared" si="298"/>
        <v/>
      </c>
      <c r="Q3082" s="216">
        <f t="shared" si="299"/>
        <v>0.14400000000000002</v>
      </c>
      <c r="R3082" s="216">
        <f t="shared" si="300"/>
        <v>0.14400000000000013</v>
      </c>
      <c r="S3082" s="217" t="str">
        <f t="shared" si="301"/>
        <v/>
      </c>
    </row>
    <row r="3083" spans="1:19" ht="15.75" hidden="1" thickBot="1" x14ac:dyDescent="0.3">
      <c r="A3083" s="262"/>
      <c r="B3083" s="260"/>
      <c r="C3083" s="35" t="s">
        <v>775</v>
      </c>
      <c r="D3083" s="35" t="s">
        <v>583</v>
      </c>
      <c r="E3083" s="36">
        <v>9.1999999999999998E-3</v>
      </c>
      <c r="F3083" s="30">
        <v>20.196999999999999</v>
      </c>
      <c r="G3083" s="33">
        <f t="shared" si="296"/>
        <v>0.18581239999999999</v>
      </c>
      <c r="H3083" s="34"/>
      <c r="I3083" s="30"/>
      <c r="J3083" s="152">
        <v>0</v>
      </c>
      <c r="L3083" s="215">
        <v>9.1999999999999998E-3</v>
      </c>
      <c r="M3083" s="30">
        <v>17.288632</v>
      </c>
      <c r="N3083" s="33">
        <f t="shared" si="297"/>
        <v>0.15905541439999998</v>
      </c>
      <c r="O3083" s="34"/>
      <c r="P3083" s="36" t="str">
        <f t="shared" si="298"/>
        <v/>
      </c>
      <c r="Q3083" s="216">
        <f t="shared" si="299"/>
        <v>0.14400000000000002</v>
      </c>
      <c r="R3083" s="216">
        <f t="shared" si="300"/>
        <v>0.14400000000000002</v>
      </c>
      <c r="S3083" s="217" t="str">
        <f t="shared" si="301"/>
        <v/>
      </c>
    </row>
    <row r="3084" spans="1:19" ht="15.75" hidden="1" thickBot="1" x14ac:dyDescent="0.3">
      <c r="A3084" s="262"/>
      <c r="B3084" s="260"/>
      <c r="C3084" s="35" t="s">
        <v>776</v>
      </c>
      <c r="D3084" s="35" t="s">
        <v>583</v>
      </c>
      <c r="E3084" s="36">
        <v>5.6099999999999997E-2</v>
      </c>
      <c r="F3084" s="30">
        <v>26.970499999999998</v>
      </c>
      <c r="G3084" s="33">
        <f t="shared" si="296"/>
        <v>1.5130450499999999</v>
      </c>
      <c r="H3084" s="34"/>
      <c r="I3084" s="30"/>
      <c r="J3084" s="152">
        <v>0</v>
      </c>
      <c r="L3084" s="215">
        <v>5.6099999999999997E-2</v>
      </c>
      <c r="M3084" s="30">
        <v>23.086748</v>
      </c>
      <c r="N3084" s="33">
        <f t="shared" si="297"/>
        <v>1.2951665628</v>
      </c>
      <c r="O3084" s="34"/>
      <c r="P3084" s="36" t="str">
        <f t="shared" si="298"/>
        <v/>
      </c>
      <c r="Q3084" s="216">
        <f t="shared" si="299"/>
        <v>0.14399999999999991</v>
      </c>
      <c r="R3084" s="216">
        <f t="shared" si="300"/>
        <v>0.14399999999999991</v>
      </c>
      <c r="S3084" s="217" t="str">
        <f t="shared" si="301"/>
        <v/>
      </c>
    </row>
    <row r="3085" spans="1:19" ht="15.75" hidden="1" thickBot="1" x14ac:dyDescent="0.3">
      <c r="A3085" s="262"/>
      <c r="B3085" s="260"/>
      <c r="C3085" s="35" t="s">
        <v>6817</v>
      </c>
      <c r="D3085" s="35" t="s">
        <v>773</v>
      </c>
      <c r="E3085" s="36">
        <v>1</v>
      </c>
      <c r="F3085" s="30">
        <v>11.593319299999999</v>
      </c>
      <c r="G3085" s="33">
        <f t="shared" si="296"/>
        <v>11.593319299999999</v>
      </c>
      <c r="H3085" s="34"/>
      <c r="I3085" s="30"/>
      <c r="J3085" s="152">
        <v>0</v>
      </c>
      <c r="L3085" s="215">
        <v>1</v>
      </c>
      <c r="M3085" s="30">
        <v>9.9238813207999996</v>
      </c>
      <c r="N3085" s="33">
        <f t="shared" si="297"/>
        <v>9.9238813207999996</v>
      </c>
      <c r="O3085" s="34"/>
      <c r="P3085" s="36" t="str">
        <f t="shared" si="298"/>
        <v/>
      </c>
      <c r="Q3085" s="216">
        <f t="shared" si="299"/>
        <v>0.14400000000000002</v>
      </c>
      <c r="R3085" s="216">
        <f t="shared" si="300"/>
        <v>0.14400000000000002</v>
      </c>
      <c r="S3085" s="217" t="str">
        <f t="shared" si="301"/>
        <v/>
      </c>
    </row>
    <row r="3086" spans="1:19" ht="15.75" hidden="1" thickBot="1" x14ac:dyDescent="0.3">
      <c r="A3086" s="263"/>
      <c r="B3086" s="261"/>
      <c r="C3086" s="35"/>
      <c r="D3086" s="35"/>
      <c r="E3086" s="36"/>
      <c r="F3086" s="30" t="s">
        <v>416</v>
      </c>
      <c r="G3086" s="33" t="str">
        <f t="shared" si="296"/>
        <v/>
      </c>
      <c r="H3086" s="34"/>
      <c r="I3086" s="30"/>
      <c r="J3086" s="152">
        <v>0</v>
      </c>
      <c r="L3086" s="215"/>
      <c r="M3086" s="30"/>
      <c r="N3086" s="33" t="str">
        <f t="shared" si="297"/>
        <v/>
      </c>
      <c r="O3086" s="34"/>
      <c r="P3086" s="36" t="str">
        <f t="shared" si="298"/>
        <v/>
      </c>
      <c r="Q3086" s="216" t="str">
        <f t="shared" si="299"/>
        <v/>
      </c>
      <c r="R3086" s="216" t="str">
        <f t="shared" si="300"/>
        <v/>
      </c>
      <c r="S3086" s="217" t="str">
        <f t="shared" si="301"/>
        <v/>
      </c>
    </row>
    <row r="3087" spans="1:19" ht="15.75" hidden="1" thickBot="1" x14ac:dyDescent="0.3">
      <c r="A3087" s="256" t="s">
        <v>777</v>
      </c>
      <c r="B3087" s="259" t="str">
        <f>INDEX(Orçamentária!A:B,MATCH(Composições!A3087,Orçamentária!A:A,0),2)</f>
        <v>Pivô para dobradiça inferior (Montagem com a 1103-TQ)</v>
      </c>
      <c r="C3087" s="40"/>
      <c r="D3087" s="25" t="s">
        <v>16</v>
      </c>
      <c r="E3087" s="26"/>
      <c r="F3087" s="41" t="s">
        <v>416</v>
      </c>
      <c r="G3087" s="27" t="str">
        <f t="shared" si="296"/>
        <v/>
      </c>
      <c r="H3087" s="28"/>
      <c r="I3087" s="29"/>
      <c r="J3087" s="152">
        <v>0</v>
      </c>
      <c r="L3087" s="218"/>
      <c r="M3087" s="41"/>
      <c r="N3087" s="27" t="str">
        <f t="shared" si="297"/>
        <v/>
      </c>
      <c r="O3087" s="28"/>
      <c r="P3087" s="36" t="str">
        <f t="shared" si="298"/>
        <v/>
      </c>
      <c r="Q3087" s="216" t="str">
        <f t="shared" si="299"/>
        <v/>
      </c>
      <c r="R3087" s="216" t="str">
        <f t="shared" si="300"/>
        <v/>
      </c>
      <c r="S3087" s="217" t="str">
        <f t="shared" si="301"/>
        <v/>
      </c>
    </row>
    <row r="3088" spans="1:19" ht="15.75" hidden="1" thickBot="1" x14ac:dyDescent="0.3">
      <c r="A3088" s="262"/>
      <c r="B3088" s="260"/>
      <c r="C3088" s="31"/>
      <c r="D3088" s="31"/>
      <c r="E3088" s="32"/>
      <c r="F3088" s="42" t="s">
        <v>416</v>
      </c>
      <c r="G3088" s="33" t="str">
        <f t="shared" si="296"/>
        <v/>
      </c>
      <c r="H3088" s="34"/>
      <c r="I3088" s="30"/>
      <c r="J3088" s="152">
        <v>0</v>
      </c>
      <c r="L3088" s="219"/>
      <c r="M3088" s="42"/>
      <c r="N3088" s="33" t="str">
        <f t="shared" si="297"/>
        <v/>
      </c>
      <c r="O3088" s="34"/>
      <c r="P3088" s="36" t="str">
        <f t="shared" si="298"/>
        <v/>
      </c>
      <c r="Q3088" s="216" t="str">
        <f t="shared" si="299"/>
        <v/>
      </c>
      <c r="R3088" s="216" t="str">
        <f t="shared" si="300"/>
        <v/>
      </c>
      <c r="S3088" s="217" t="str">
        <f t="shared" si="301"/>
        <v/>
      </c>
    </row>
    <row r="3089" spans="1:19" ht="15.75" hidden="1" thickBot="1" x14ac:dyDescent="0.3">
      <c r="A3089" s="262"/>
      <c r="B3089" s="260"/>
      <c r="C3089" s="35" t="s">
        <v>2909</v>
      </c>
      <c r="D3089" s="35" t="s">
        <v>583</v>
      </c>
      <c r="E3089" s="36">
        <v>0.2</v>
      </c>
      <c r="F3089" s="33">
        <v>25.060999999999996</v>
      </c>
      <c r="G3089" s="33">
        <f t="shared" si="296"/>
        <v>5.0122</v>
      </c>
      <c r="H3089" s="38">
        <f>SUM(G3089:G3090)</f>
        <v>5.0122</v>
      </c>
      <c r="I3089" s="39"/>
      <c r="J3089" s="152">
        <v>0</v>
      </c>
      <c r="L3089" s="215">
        <v>0.2</v>
      </c>
      <c r="M3089" s="33">
        <v>21.452215999999996</v>
      </c>
      <c r="N3089" s="33">
        <f t="shared" si="297"/>
        <v>4.2904431999999995</v>
      </c>
      <c r="O3089" s="38">
        <f>SUM(N3089:N3090)</f>
        <v>4.2904431999999995</v>
      </c>
      <c r="P3089" s="36" t="str">
        <f t="shared" si="298"/>
        <v/>
      </c>
      <c r="Q3089" s="216">
        <f t="shared" si="299"/>
        <v>0.14400000000000002</v>
      </c>
      <c r="R3089" s="216">
        <f t="shared" si="300"/>
        <v>0.14400000000000013</v>
      </c>
      <c r="S3089" s="217">
        <f t="shared" si="301"/>
        <v>0.14400000000000013</v>
      </c>
    </row>
    <row r="3090" spans="1:19" ht="26.25" hidden="1" thickBot="1" x14ac:dyDescent="0.3">
      <c r="A3090" s="262"/>
      <c r="B3090" s="260"/>
      <c r="C3090" s="35" t="s">
        <v>778</v>
      </c>
      <c r="D3090" s="35" t="s">
        <v>16</v>
      </c>
      <c r="E3090" s="36">
        <v>1</v>
      </c>
      <c r="F3090" s="30" t="s">
        <v>416</v>
      </c>
      <c r="G3090" s="33" t="str">
        <f t="shared" si="296"/>
        <v/>
      </c>
      <c r="H3090" s="34"/>
      <c r="I3090" s="30"/>
      <c r="J3090" s="152">
        <v>0</v>
      </c>
      <c r="L3090" s="215">
        <v>1</v>
      </c>
      <c r="M3090" s="30"/>
      <c r="N3090" s="33" t="str">
        <f t="shared" si="297"/>
        <v/>
      </c>
      <c r="O3090" s="34"/>
      <c r="P3090" s="36" t="str">
        <f t="shared" si="298"/>
        <v/>
      </c>
      <c r="Q3090" s="216" t="str">
        <f t="shared" si="299"/>
        <v/>
      </c>
      <c r="R3090" s="216" t="str">
        <f t="shared" si="300"/>
        <v/>
      </c>
      <c r="S3090" s="217" t="str">
        <f t="shared" si="301"/>
        <v/>
      </c>
    </row>
    <row r="3091" spans="1:19" ht="15.75" hidden="1" thickBot="1" x14ac:dyDescent="0.3">
      <c r="A3091" s="263"/>
      <c r="B3091" s="261"/>
      <c r="C3091" s="35"/>
      <c r="D3091" s="35"/>
      <c r="E3091" s="36"/>
      <c r="F3091" s="30" t="s">
        <v>416</v>
      </c>
      <c r="G3091" s="33" t="str">
        <f t="shared" si="296"/>
        <v/>
      </c>
      <c r="H3091" s="34"/>
      <c r="I3091" s="30"/>
      <c r="J3091" s="152">
        <v>0</v>
      </c>
      <c r="L3091" s="215"/>
      <c r="M3091" s="30"/>
      <c r="N3091" s="33" t="str">
        <f t="shared" si="297"/>
        <v/>
      </c>
      <c r="O3091" s="34"/>
      <c r="P3091" s="36" t="str">
        <f t="shared" si="298"/>
        <v/>
      </c>
      <c r="Q3091" s="216" t="str">
        <f t="shared" si="299"/>
        <v/>
      </c>
      <c r="R3091" s="216" t="str">
        <f t="shared" si="300"/>
        <v/>
      </c>
      <c r="S3091" s="217" t="str">
        <f t="shared" si="301"/>
        <v/>
      </c>
    </row>
    <row r="3092" spans="1:19" ht="15.75" hidden="1" thickBot="1" x14ac:dyDescent="0.3">
      <c r="A3092" s="256" t="s">
        <v>779</v>
      </c>
      <c r="B3092" s="259" t="str">
        <f>INDEX(Orçamentária!A:B,MATCH(Composições!A3092,Orçamentária!A:A,0),2)</f>
        <v>Dobradiça direita inferior excêntrica</v>
      </c>
      <c r="C3092" s="40"/>
      <c r="D3092" s="25" t="s">
        <v>16</v>
      </c>
      <c r="E3092" s="26"/>
      <c r="F3092" s="41" t="s">
        <v>416</v>
      </c>
      <c r="G3092" s="27" t="str">
        <f t="shared" si="296"/>
        <v/>
      </c>
      <c r="H3092" s="28"/>
      <c r="I3092" s="29"/>
      <c r="J3092" s="152">
        <v>0</v>
      </c>
      <c r="L3092" s="218"/>
      <c r="M3092" s="41"/>
      <c r="N3092" s="27" t="str">
        <f t="shared" si="297"/>
        <v/>
      </c>
      <c r="O3092" s="28"/>
      <c r="P3092" s="36" t="str">
        <f t="shared" si="298"/>
        <v/>
      </c>
      <c r="Q3092" s="216" t="str">
        <f t="shared" si="299"/>
        <v/>
      </c>
      <c r="R3092" s="216" t="str">
        <f t="shared" si="300"/>
        <v/>
      </c>
      <c r="S3092" s="217" t="str">
        <f t="shared" si="301"/>
        <v/>
      </c>
    </row>
    <row r="3093" spans="1:19" ht="15.75" hidden="1" thickBot="1" x14ac:dyDescent="0.3">
      <c r="A3093" s="262"/>
      <c r="B3093" s="260"/>
      <c r="C3093" s="31"/>
      <c r="D3093" s="31"/>
      <c r="E3093" s="32"/>
      <c r="F3093" s="42" t="s">
        <v>416</v>
      </c>
      <c r="G3093" s="33" t="str">
        <f t="shared" si="296"/>
        <v/>
      </c>
      <c r="H3093" s="34"/>
      <c r="I3093" s="30"/>
      <c r="J3093" s="152">
        <v>0</v>
      </c>
      <c r="L3093" s="219"/>
      <c r="M3093" s="42"/>
      <c r="N3093" s="33" t="str">
        <f t="shared" si="297"/>
        <v/>
      </c>
      <c r="O3093" s="34"/>
      <c r="P3093" s="36" t="str">
        <f t="shared" si="298"/>
        <v/>
      </c>
      <c r="Q3093" s="216" t="str">
        <f t="shared" si="299"/>
        <v/>
      </c>
      <c r="R3093" s="216" t="str">
        <f t="shared" si="300"/>
        <v/>
      </c>
      <c r="S3093" s="217" t="str">
        <f t="shared" si="301"/>
        <v/>
      </c>
    </row>
    <row r="3094" spans="1:19" ht="15.75" hidden="1" thickBot="1" x14ac:dyDescent="0.3">
      <c r="A3094" s="262"/>
      <c r="B3094" s="260"/>
      <c r="C3094" s="35" t="s">
        <v>2909</v>
      </c>
      <c r="D3094" s="35" t="s">
        <v>583</v>
      </c>
      <c r="E3094" s="36">
        <v>0.3</v>
      </c>
      <c r="F3094" s="33">
        <v>25.060999999999996</v>
      </c>
      <c r="G3094" s="33">
        <f t="shared" si="296"/>
        <v>7.5182999999999982</v>
      </c>
      <c r="H3094" s="38">
        <f>SUM(G3094:G3095)</f>
        <v>7.5182999999999982</v>
      </c>
      <c r="I3094" s="39"/>
      <c r="J3094" s="152">
        <v>0</v>
      </c>
      <c r="L3094" s="215">
        <v>0.3</v>
      </c>
      <c r="M3094" s="33">
        <v>21.452215999999996</v>
      </c>
      <c r="N3094" s="33">
        <f t="shared" si="297"/>
        <v>6.4356647999999987</v>
      </c>
      <c r="O3094" s="38">
        <f>SUM(N3094:N3095)</f>
        <v>6.4356647999999987</v>
      </c>
      <c r="P3094" s="36" t="str">
        <f t="shared" si="298"/>
        <v/>
      </c>
      <c r="Q3094" s="216">
        <f t="shared" si="299"/>
        <v>0.14400000000000002</v>
      </c>
      <c r="R3094" s="216">
        <f t="shared" si="300"/>
        <v>0.14400000000000002</v>
      </c>
      <c r="S3094" s="217">
        <f t="shared" si="301"/>
        <v>0.14400000000000002</v>
      </c>
    </row>
    <row r="3095" spans="1:19" ht="39" hidden="1" thickBot="1" x14ac:dyDescent="0.3">
      <c r="A3095" s="262"/>
      <c r="B3095" s="260"/>
      <c r="C3095" s="35" t="s">
        <v>780</v>
      </c>
      <c r="D3095" s="35" t="s">
        <v>16</v>
      </c>
      <c r="E3095" s="36">
        <v>1</v>
      </c>
      <c r="F3095" s="30" t="s">
        <v>416</v>
      </c>
      <c r="G3095" s="33" t="str">
        <f t="shared" si="296"/>
        <v/>
      </c>
      <c r="H3095" s="34"/>
      <c r="I3095" s="30"/>
      <c r="J3095" s="152">
        <v>0</v>
      </c>
      <c r="L3095" s="215">
        <v>1</v>
      </c>
      <c r="M3095" s="30"/>
      <c r="N3095" s="33" t="str">
        <f t="shared" si="297"/>
        <v/>
      </c>
      <c r="O3095" s="34"/>
      <c r="P3095" s="36" t="str">
        <f t="shared" si="298"/>
        <v/>
      </c>
      <c r="Q3095" s="216" t="str">
        <f t="shared" si="299"/>
        <v/>
      </c>
      <c r="R3095" s="216" t="str">
        <f t="shared" si="300"/>
        <v/>
      </c>
      <c r="S3095" s="217" t="str">
        <f t="shared" si="301"/>
        <v/>
      </c>
    </row>
    <row r="3096" spans="1:19" ht="15.75" hidden="1" thickBot="1" x14ac:dyDescent="0.3">
      <c r="A3096" s="263"/>
      <c r="B3096" s="261"/>
      <c r="C3096" s="35"/>
      <c r="D3096" s="35"/>
      <c r="E3096" s="36"/>
      <c r="F3096" s="30" t="s">
        <v>416</v>
      </c>
      <c r="G3096" s="33" t="str">
        <f t="shared" si="296"/>
        <v/>
      </c>
      <c r="H3096" s="34"/>
      <c r="I3096" s="30"/>
      <c r="J3096" s="152">
        <v>0</v>
      </c>
      <c r="L3096" s="215"/>
      <c r="M3096" s="30"/>
      <c r="N3096" s="33" t="str">
        <f t="shared" si="297"/>
        <v/>
      </c>
      <c r="O3096" s="34"/>
      <c r="P3096" s="36" t="str">
        <f t="shared" si="298"/>
        <v/>
      </c>
      <c r="Q3096" s="216" t="str">
        <f t="shared" si="299"/>
        <v/>
      </c>
      <c r="R3096" s="216" t="str">
        <f t="shared" si="300"/>
        <v/>
      </c>
      <c r="S3096" s="217" t="str">
        <f t="shared" si="301"/>
        <v/>
      </c>
    </row>
    <row r="3097" spans="1:19" ht="15.75" hidden="1" thickBot="1" x14ac:dyDescent="0.3">
      <c r="A3097" s="256" t="s">
        <v>781</v>
      </c>
      <c r="B3097" s="259" t="str">
        <f>INDEX(Orçamentária!A:B,MATCH(Composições!A3097,Orçamentária!A:A,0),2)</f>
        <v>Dobradiça esquerda inferior excêntrica</v>
      </c>
      <c r="C3097" s="40"/>
      <c r="D3097" s="25" t="s">
        <v>16</v>
      </c>
      <c r="E3097" s="26"/>
      <c r="F3097" s="41" t="s">
        <v>416</v>
      </c>
      <c r="G3097" s="27" t="str">
        <f t="shared" si="296"/>
        <v/>
      </c>
      <c r="H3097" s="28"/>
      <c r="I3097" s="29"/>
      <c r="J3097" s="152">
        <v>0</v>
      </c>
      <c r="L3097" s="218"/>
      <c r="M3097" s="41"/>
      <c r="N3097" s="27" t="str">
        <f t="shared" si="297"/>
        <v/>
      </c>
      <c r="O3097" s="28"/>
      <c r="P3097" s="36" t="str">
        <f t="shared" si="298"/>
        <v/>
      </c>
      <c r="Q3097" s="216" t="str">
        <f t="shared" si="299"/>
        <v/>
      </c>
      <c r="R3097" s="216" t="str">
        <f t="shared" si="300"/>
        <v/>
      </c>
      <c r="S3097" s="217" t="str">
        <f t="shared" si="301"/>
        <v/>
      </c>
    </row>
    <row r="3098" spans="1:19" ht="15.75" hidden="1" thickBot="1" x14ac:dyDescent="0.3">
      <c r="A3098" s="262"/>
      <c r="B3098" s="260"/>
      <c r="C3098" s="31"/>
      <c r="D3098" s="31"/>
      <c r="E3098" s="32"/>
      <c r="F3098" s="42" t="s">
        <v>416</v>
      </c>
      <c r="G3098" s="33" t="str">
        <f t="shared" si="296"/>
        <v/>
      </c>
      <c r="H3098" s="34"/>
      <c r="I3098" s="30"/>
      <c r="J3098" s="152">
        <v>0</v>
      </c>
      <c r="L3098" s="219"/>
      <c r="M3098" s="42"/>
      <c r="N3098" s="33" t="str">
        <f t="shared" si="297"/>
        <v/>
      </c>
      <c r="O3098" s="34"/>
      <c r="P3098" s="36" t="str">
        <f t="shared" si="298"/>
        <v/>
      </c>
      <c r="Q3098" s="216" t="str">
        <f t="shared" si="299"/>
        <v/>
      </c>
      <c r="R3098" s="216" t="str">
        <f t="shared" si="300"/>
        <v/>
      </c>
      <c r="S3098" s="217" t="str">
        <f t="shared" si="301"/>
        <v/>
      </c>
    </row>
    <row r="3099" spans="1:19" ht="15.75" hidden="1" thickBot="1" x14ac:dyDescent="0.3">
      <c r="A3099" s="262"/>
      <c r="B3099" s="260"/>
      <c r="C3099" s="35" t="s">
        <v>2909</v>
      </c>
      <c r="D3099" s="35" t="s">
        <v>583</v>
      </c>
      <c r="E3099" s="36">
        <v>0.3</v>
      </c>
      <c r="F3099" s="33">
        <v>25.060999999999996</v>
      </c>
      <c r="G3099" s="33">
        <f t="shared" si="296"/>
        <v>7.5182999999999982</v>
      </c>
      <c r="H3099" s="38">
        <f>SUM(G3099:G3100)</f>
        <v>7.5182999999999982</v>
      </c>
      <c r="I3099" s="39"/>
      <c r="J3099" s="152">
        <v>0</v>
      </c>
      <c r="L3099" s="215">
        <v>0.3</v>
      </c>
      <c r="M3099" s="33">
        <v>21.452215999999996</v>
      </c>
      <c r="N3099" s="33">
        <f t="shared" si="297"/>
        <v>6.4356647999999987</v>
      </c>
      <c r="O3099" s="38">
        <f>SUM(N3099:N3100)</f>
        <v>6.4356647999999987</v>
      </c>
      <c r="P3099" s="36" t="str">
        <f t="shared" si="298"/>
        <v/>
      </c>
      <c r="Q3099" s="216">
        <f t="shared" si="299"/>
        <v>0.14400000000000002</v>
      </c>
      <c r="R3099" s="216">
        <f t="shared" si="300"/>
        <v>0.14400000000000002</v>
      </c>
      <c r="S3099" s="217">
        <f t="shared" si="301"/>
        <v>0.14400000000000002</v>
      </c>
    </row>
    <row r="3100" spans="1:19" ht="39" hidden="1" thickBot="1" x14ac:dyDescent="0.3">
      <c r="A3100" s="262"/>
      <c r="B3100" s="260"/>
      <c r="C3100" s="35" t="s">
        <v>782</v>
      </c>
      <c r="D3100" s="35" t="s">
        <v>16</v>
      </c>
      <c r="E3100" s="36">
        <v>1</v>
      </c>
      <c r="F3100" s="30" t="s">
        <v>416</v>
      </c>
      <c r="G3100" s="33" t="str">
        <f t="shared" si="296"/>
        <v/>
      </c>
      <c r="H3100" s="34"/>
      <c r="I3100" s="30"/>
      <c r="J3100" s="152">
        <v>0</v>
      </c>
      <c r="L3100" s="215">
        <v>1</v>
      </c>
      <c r="M3100" s="30"/>
      <c r="N3100" s="33" t="str">
        <f t="shared" si="297"/>
        <v/>
      </c>
      <c r="O3100" s="34"/>
      <c r="P3100" s="36" t="str">
        <f t="shared" si="298"/>
        <v/>
      </c>
      <c r="Q3100" s="216" t="str">
        <f t="shared" si="299"/>
        <v/>
      </c>
      <c r="R3100" s="216" t="str">
        <f t="shared" si="300"/>
        <v/>
      </c>
      <c r="S3100" s="217" t="str">
        <f t="shared" si="301"/>
        <v/>
      </c>
    </row>
    <row r="3101" spans="1:19" ht="15.75" hidden="1" thickBot="1" x14ac:dyDescent="0.3">
      <c r="A3101" s="263"/>
      <c r="B3101" s="261"/>
      <c r="C3101" s="35"/>
      <c r="D3101" s="35"/>
      <c r="E3101" s="36"/>
      <c r="F3101" s="30" t="s">
        <v>416</v>
      </c>
      <c r="G3101" s="33" t="str">
        <f t="shared" si="296"/>
        <v/>
      </c>
      <c r="H3101" s="34"/>
      <c r="I3101" s="30"/>
      <c r="J3101" s="152">
        <v>0</v>
      </c>
      <c r="L3101" s="215"/>
      <c r="M3101" s="30"/>
      <c r="N3101" s="33" t="str">
        <f t="shared" si="297"/>
        <v/>
      </c>
      <c r="O3101" s="34"/>
      <c r="P3101" s="36" t="str">
        <f t="shared" si="298"/>
        <v/>
      </c>
      <c r="Q3101" s="216" t="str">
        <f t="shared" si="299"/>
        <v/>
      </c>
      <c r="R3101" s="216" t="str">
        <f t="shared" si="300"/>
        <v/>
      </c>
      <c r="S3101" s="217" t="str">
        <f t="shared" si="301"/>
        <v/>
      </c>
    </row>
    <row r="3102" spans="1:19" ht="15.75" hidden="1" thickBot="1" x14ac:dyDescent="0.3">
      <c r="A3102" s="256" t="s">
        <v>783</v>
      </c>
      <c r="B3102" s="259" t="str">
        <f>INDEX(Orçamentária!A:B,MATCH(Composições!A3102,Orçamentária!A:A,0),2)</f>
        <v>Dobradiça pivotante inferior com trinco</v>
      </c>
      <c r="C3102" s="40"/>
      <c r="D3102" s="25" t="s">
        <v>16</v>
      </c>
      <c r="E3102" s="26"/>
      <c r="F3102" s="41" t="s">
        <v>416</v>
      </c>
      <c r="G3102" s="27" t="str">
        <f t="shared" si="296"/>
        <v/>
      </c>
      <c r="H3102" s="28"/>
      <c r="I3102" s="29"/>
      <c r="J3102" s="152">
        <v>0</v>
      </c>
      <c r="L3102" s="218"/>
      <c r="M3102" s="41"/>
      <c r="N3102" s="27" t="str">
        <f t="shared" si="297"/>
        <v/>
      </c>
      <c r="O3102" s="28"/>
      <c r="P3102" s="36" t="str">
        <f t="shared" si="298"/>
        <v/>
      </c>
      <c r="Q3102" s="216" t="str">
        <f t="shared" si="299"/>
        <v/>
      </c>
      <c r="R3102" s="216" t="str">
        <f t="shared" si="300"/>
        <v/>
      </c>
      <c r="S3102" s="217" t="str">
        <f t="shared" si="301"/>
        <v/>
      </c>
    </row>
    <row r="3103" spans="1:19" ht="15.75" hidden="1" thickBot="1" x14ac:dyDescent="0.3">
      <c r="A3103" s="262"/>
      <c r="B3103" s="260"/>
      <c r="C3103" s="31"/>
      <c r="D3103" s="31"/>
      <c r="E3103" s="32"/>
      <c r="F3103" s="42" t="s">
        <v>416</v>
      </c>
      <c r="G3103" s="33" t="str">
        <f t="shared" si="296"/>
        <v/>
      </c>
      <c r="H3103" s="34"/>
      <c r="I3103" s="30"/>
      <c r="J3103" s="152">
        <v>0</v>
      </c>
      <c r="L3103" s="219"/>
      <c r="M3103" s="42"/>
      <c r="N3103" s="33" t="str">
        <f t="shared" si="297"/>
        <v/>
      </c>
      <c r="O3103" s="34"/>
      <c r="P3103" s="36" t="str">
        <f t="shared" si="298"/>
        <v/>
      </c>
      <c r="Q3103" s="216" t="str">
        <f t="shared" si="299"/>
        <v/>
      </c>
      <c r="R3103" s="216" t="str">
        <f t="shared" si="300"/>
        <v/>
      </c>
      <c r="S3103" s="217" t="str">
        <f t="shared" si="301"/>
        <v/>
      </c>
    </row>
    <row r="3104" spans="1:19" ht="15.75" hidden="1" thickBot="1" x14ac:dyDescent="0.3">
      <c r="A3104" s="262"/>
      <c r="B3104" s="260"/>
      <c r="C3104" s="35" t="s">
        <v>2909</v>
      </c>
      <c r="D3104" s="35" t="s">
        <v>583</v>
      </c>
      <c r="E3104" s="36">
        <v>0.3</v>
      </c>
      <c r="F3104" s="33">
        <v>25.060999999999996</v>
      </c>
      <c r="G3104" s="33">
        <f t="shared" si="296"/>
        <v>7.5182999999999982</v>
      </c>
      <c r="H3104" s="38">
        <f>SUM(G3104:G3105)</f>
        <v>7.5182999999999982</v>
      </c>
      <c r="I3104" s="39"/>
      <c r="J3104" s="152">
        <v>0</v>
      </c>
      <c r="L3104" s="215">
        <v>0.3</v>
      </c>
      <c r="M3104" s="33">
        <v>21.452215999999996</v>
      </c>
      <c r="N3104" s="33">
        <f t="shared" si="297"/>
        <v>6.4356647999999987</v>
      </c>
      <c r="O3104" s="38">
        <f>SUM(N3104:N3105)</f>
        <v>6.4356647999999987</v>
      </c>
      <c r="P3104" s="36" t="str">
        <f t="shared" si="298"/>
        <v/>
      </c>
      <c r="Q3104" s="216">
        <f t="shared" si="299"/>
        <v>0.14400000000000002</v>
      </c>
      <c r="R3104" s="216">
        <f t="shared" si="300"/>
        <v>0.14400000000000002</v>
      </c>
      <c r="S3104" s="217">
        <f t="shared" si="301"/>
        <v>0.14400000000000002</v>
      </c>
    </row>
    <row r="3105" spans="1:19" ht="26.25" hidden="1" thickBot="1" x14ac:dyDescent="0.3">
      <c r="A3105" s="262"/>
      <c r="B3105" s="260"/>
      <c r="C3105" s="35" t="s">
        <v>784</v>
      </c>
      <c r="D3105" s="35" t="s">
        <v>16</v>
      </c>
      <c r="E3105" s="36">
        <v>1</v>
      </c>
      <c r="F3105" s="30" t="s">
        <v>416</v>
      </c>
      <c r="G3105" s="33" t="str">
        <f t="shared" si="296"/>
        <v/>
      </c>
      <c r="H3105" s="34"/>
      <c r="I3105" s="30"/>
      <c r="J3105" s="152">
        <v>0</v>
      </c>
      <c r="L3105" s="215">
        <v>1</v>
      </c>
      <c r="M3105" s="30"/>
      <c r="N3105" s="33" t="str">
        <f t="shared" si="297"/>
        <v/>
      </c>
      <c r="O3105" s="34"/>
      <c r="P3105" s="36" t="str">
        <f t="shared" si="298"/>
        <v/>
      </c>
      <c r="Q3105" s="216" t="str">
        <f t="shared" si="299"/>
        <v/>
      </c>
      <c r="R3105" s="216" t="str">
        <f t="shared" si="300"/>
        <v/>
      </c>
      <c r="S3105" s="217" t="str">
        <f t="shared" si="301"/>
        <v/>
      </c>
    </row>
    <row r="3106" spans="1:19" ht="15.75" hidden="1" thickBot="1" x14ac:dyDescent="0.3">
      <c r="A3106" s="263"/>
      <c r="B3106" s="261"/>
      <c r="C3106" s="35"/>
      <c r="D3106" s="35"/>
      <c r="E3106" s="36"/>
      <c r="F3106" s="30" t="s">
        <v>416</v>
      </c>
      <c r="G3106" s="33" t="str">
        <f t="shared" si="296"/>
        <v/>
      </c>
      <c r="H3106" s="34"/>
      <c r="I3106" s="30"/>
      <c r="J3106" s="152">
        <v>0</v>
      </c>
      <c r="L3106" s="215"/>
      <c r="M3106" s="30"/>
      <c r="N3106" s="33" t="str">
        <f t="shared" si="297"/>
        <v/>
      </c>
      <c r="O3106" s="34"/>
      <c r="P3106" s="36" t="str">
        <f t="shared" si="298"/>
        <v/>
      </c>
      <c r="Q3106" s="216" t="str">
        <f t="shared" si="299"/>
        <v/>
      </c>
      <c r="R3106" s="216" t="str">
        <f t="shared" si="300"/>
        <v/>
      </c>
      <c r="S3106" s="217" t="str">
        <f t="shared" si="301"/>
        <v/>
      </c>
    </row>
    <row r="3107" spans="1:19" ht="15.75" hidden="1" thickBot="1" x14ac:dyDescent="0.3">
      <c r="A3107" s="256" t="s">
        <v>785</v>
      </c>
      <c r="B3107" s="259" t="str">
        <f>INDEX(Orçamentária!A:B,MATCH(Composições!A3107,Orçamentária!A:A,0),2)</f>
        <v>Carrinho para porta de correr 1 roldana e 2 furos</v>
      </c>
      <c r="C3107" s="40"/>
      <c r="D3107" s="25" t="s">
        <v>16</v>
      </c>
      <c r="E3107" s="26"/>
      <c r="F3107" s="41" t="s">
        <v>416</v>
      </c>
      <c r="G3107" s="27" t="str">
        <f t="shared" si="296"/>
        <v/>
      </c>
      <c r="H3107" s="28"/>
      <c r="I3107" s="29"/>
      <c r="J3107" s="152">
        <v>0</v>
      </c>
      <c r="L3107" s="218"/>
      <c r="M3107" s="41"/>
      <c r="N3107" s="27" t="str">
        <f t="shared" si="297"/>
        <v/>
      </c>
      <c r="O3107" s="28"/>
      <c r="P3107" s="36" t="str">
        <f t="shared" si="298"/>
        <v/>
      </c>
      <c r="Q3107" s="216" t="str">
        <f t="shared" si="299"/>
        <v/>
      </c>
      <c r="R3107" s="216" t="str">
        <f t="shared" si="300"/>
        <v/>
      </c>
      <c r="S3107" s="217" t="str">
        <f t="shared" si="301"/>
        <v/>
      </c>
    </row>
    <row r="3108" spans="1:19" ht="15.75" hidden="1" thickBot="1" x14ac:dyDescent="0.3">
      <c r="A3108" s="262"/>
      <c r="B3108" s="260"/>
      <c r="C3108" s="31"/>
      <c r="D3108" s="31"/>
      <c r="E3108" s="32"/>
      <c r="F3108" s="42" t="s">
        <v>416</v>
      </c>
      <c r="G3108" s="33" t="str">
        <f t="shared" si="296"/>
        <v/>
      </c>
      <c r="H3108" s="34"/>
      <c r="I3108" s="30"/>
      <c r="J3108" s="152">
        <v>0</v>
      </c>
      <c r="L3108" s="219"/>
      <c r="M3108" s="42"/>
      <c r="N3108" s="33" t="str">
        <f t="shared" si="297"/>
        <v/>
      </c>
      <c r="O3108" s="34"/>
      <c r="P3108" s="36" t="str">
        <f t="shared" si="298"/>
        <v/>
      </c>
      <c r="Q3108" s="216" t="str">
        <f t="shared" si="299"/>
        <v/>
      </c>
      <c r="R3108" s="216" t="str">
        <f t="shared" si="300"/>
        <v/>
      </c>
      <c r="S3108" s="217" t="str">
        <f t="shared" si="301"/>
        <v/>
      </c>
    </row>
    <row r="3109" spans="1:19" ht="15.75" hidden="1" thickBot="1" x14ac:dyDescent="0.3">
      <c r="A3109" s="262"/>
      <c r="B3109" s="260"/>
      <c r="C3109" s="35" t="s">
        <v>2909</v>
      </c>
      <c r="D3109" s="35" t="s">
        <v>583</v>
      </c>
      <c r="E3109" s="36">
        <v>0.15</v>
      </c>
      <c r="F3109" s="33">
        <v>25.060999999999996</v>
      </c>
      <c r="G3109" s="33">
        <f t="shared" si="296"/>
        <v>3.7591499999999991</v>
      </c>
      <c r="H3109" s="38">
        <f>SUM(G3109:G3110)</f>
        <v>3.7591499999999991</v>
      </c>
      <c r="I3109" s="39"/>
      <c r="J3109" s="152">
        <v>0</v>
      </c>
      <c r="L3109" s="215">
        <v>0.15</v>
      </c>
      <c r="M3109" s="33">
        <v>21.452215999999996</v>
      </c>
      <c r="N3109" s="33">
        <f t="shared" si="297"/>
        <v>3.2178323999999994</v>
      </c>
      <c r="O3109" s="38">
        <f>SUM(N3109:N3110)</f>
        <v>3.2178323999999994</v>
      </c>
      <c r="P3109" s="36" t="str">
        <f t="shared" si="298"/>
        <v/>
      </c>
      <c r="Q3109" s="216">
        <f t="shared" si="299"/>
        <v>0.14400000000000002</v>
      </c>
      <c r="R3109" s="216">
        <f t="shared" si="300"/>
        <v>0.14400000000000002</v>
      </c>
      <c r="S3109" s="217">
        <f t="shared" si="301"/>
        <v>0.14400000000000002</v>
      </c>
    </row>
    <row r="3110" spans="1:19" ht="26.25" hidden="1" thickBot="1" x14ac:dyDescent="0.3">
      <c r="A3110" s="262"/>
      <c r="B3110" s="260"/>
      <c r="C3110" s="35" t="s">
        <v>786</v>
      </c>
      <c r="D3110" s="35" t="s">
        <v>16</v>
      </c>
      <c r="E3110" s="36">
        <v>1</v>
      </c>
      <c r="F3110" s="30" t="s">
        <v>416</v>
      </c>
      <c r="G3110" s="33" t="str">
        <f t="shared" si="296"/>
        <v/>
      </c>
      <c r="H3110" s="34"/>
      <c r="I3110" s="30"/>
      <c r="J3110" s="152">
        <v>0</v>
      </c>
      <c r="L3110" s="215">
        <v>1</v>
      </c>
      <c r="M3110" s="30"/>
      <c r="N3110" s="33" t="str">
        <f t="shared" si="297"/>
        <v/>
      </c>
      <c r="O3110" s="34"/>
      <c r="P3110" s="36" t="str">
        <f t="shared" si="298"/>
        <v/>
      </c>
      <c r="Q3110" s="216" t="str">
        <f t="shared" si="299"/>
        <v/>
      </c>
      <c r="R3110" s="216" t="str">
        <f t="shared" si="300"/>
        <v/>
      </c>
      <c r="S3110" s="217" t="str">
        <f t="shared" si="301"/>
        <v/>
      </c>
    </row>
    <row r="3111" spans="1:19" ht="15.75" hidden="1" thickBot="1" x14ac:dyDescent="0.3">
      <c r="A3111" s="263"/>
      <c r="B3111" s="261"/>
      <c r="C3111" s="35"/>
      <c r="D3111" s="35"/>
      <c r="E3111" s="36"/>
      <c r="F3111" s="30" t="s">
        <v>416</v>
      </c>
      <c r="G3111" s="33" t="str">
        <f t="shared" si="296"/>
        <v/>
      </c>
      <c r="H3111" s="34"/>
      <c r="I3111" s="30"/>
      <c r="J3111" s="152">
        <v>0</v>
      </c>
      <c r="L3111" s="215"/>
      <c r="M3111" s="30"/>
      <c r="N3111" s="33" t="str">
        <f t="shared" si="297"/>
        <v/>
      </c>
      <c r="O3111" s="34"/>
      <c r="P3111" s="36" t="str">
        <f t="shared" si="298"/>
        <v/>
      </c>
      <c r="Q3111" s="216" t="str">
        <f t="shared" si="299"/>
        <v/>
      </c>
      <c r="R3111" s="216" t="str">
        <f t="shared" si="300"/>
        <v/>
      </c>
      <c r="S3111" s="217" t="str">
        <f t="shared" si="301"/>
        <v/>
      </c>
    </row>
    <row r="3112" spans="1:19" ht="15.75" hidden="1" thickBot="1" x14ac:dyDescent="0.3">
      <c r="A3112" s="256" t="s">
        <v>787</v>
      </c>
      <c r="B3112" s="259" t="str">
        <f>INDEX(Orçamentária!A:B,MATCH(Composições!A3112,Orçamentária!A:A,0),2)</f>
        <v>Carrinho para porta de correr 2 roldanas e 2 furos</v>
      </c>
      <c r="C3112" s="40"/>
      <c r="D3112" s="25" t="s">
        <v>16</v>
      </c>
      <c r="E3112" s="26"/>
      <c r="F3112" s="41" t="s">
        <v>416</v>
      </c>
      <c r="G3112" s="27" t="str">
        <f t="shared" si="296"/>
        <v/>
      </c>
      <c r="H3112" s="28"/>
      <c r="I3112" s="29"/>
      <c r="J3112" s="152">
        <v>0</v>
      </c>
      <c r="L3112" s="218"/>
      <c r="M3112" s="41"/>
      <c r="N3112" s="27" t="str">
        <f t="shared" si="297"/>
        <v/>
      </c>
      <c r="O3112" s="28"/>
      <c r="P3112" s="36" t="str">
        <f t="shared" si="298"/>
        <v/>
      </c>
      <c r="Q3112" s="216" t="str">
        <f t="shared" si="299"/>
        <v/>
      </c>
      <c r="R3112" s="216" t="str">
        <f t="shared" si="300"/>
        <v/>
      </c>
      <c r="S3112" s="217" t="str">
        <f t="shared" si="301"/>
        <v/>
      </c>
    </row>
    <row r="3113" spans="1:19" ht="15.75" hidden="1" thickBot="1" x14ac:dyDescent="0.3">
      <c r="A3113" s="262"/>
      <c r="B3113" s="260"/>
      <c r="C3113" s="31"/>
      <c r="D3113" s="31"/>
      <c r="E3113" s="32"/>
      <c r="F3113" s="42" t="s">
        <v>416</v>
      </c>
      <c r="G3113" s="33" t="str">
        <f t="shared" si="296"/>
        <v/>
      </c>
      <c r="H3113" s="34"/>
      <c r="I3113" s="30"/>
      <c r="J3113" s="152">
        <v>0</v>
      </c>
      <c r="L3113" s="219"/>
      <c r="M3113" s="42"/>
      <c r="N3113" s="33" t="str">
        <f t="shared" si="297"/>
        <v/>
      </c>
      <c r="O3113" s="34"/>
      <c r="P3113" s="36" t="str">
        <f t="shared" si="298"/>
        <v/>
      </c>
      <c r="Q3113" s="216" t="str">
        <f t="shared" si="299"/>
        <v/>
      </c>
      <c r="R3113" s="216" t="str">
        <f t="shared" si="300"/>
        <v/>
      </c>
      <c r="S3113" s="217" t="str">
        <f t="shared" si="301"/>
        <v/>
      </c>
    </row>
    <row r="3114" spans="1:19" ht="15.75" hidden="1" thickBot="1" x14ac:dyDescent="0.3">
      <c r="A3114" s="262"/>
      <c r="B3114" s="260"/>
      <c r="C3114" s="35" t="s">
        <v>2909</v>
      </c>
      <c r="D3114" s="35" t="s">
        <v>583</v>
      </c>
      <c r="E3114" s="36">
        <v>0.15</v>
      </c>
      <c r="F3114" s="33">
        <v>25.060999999999996</v>
      </c>
      <c r="G3114" s="33">
        <f t="shared" si="296"/>
        <v>3.7591499999999991</v>
      </c>
      <c r="H3114" s="38">
        <f>SUM(G3114:G3115)</f>
        <v>3.7591499999999991</v>
      </c>
      <c r="I3114" s="39"/>
      <c r="J3114" s="152">
        <v>0</v>
      </c>
      <c r="L3114" s="215">
        <v>0.15</v>
      </c>
      <c r="M3114" s="33">
        <v>21.452215999999996</v>
      </c>
      <c r="N3114" s="33">
        <f t="shared" si="297"/>
        <v>3.2178323999999994</v>
      </c>
      <c r="O3114" s="38">
        <f>SUM(N3114:N3115)</f>
        <v>3.2178323999999994</v>
      </c>
      <c r="P3114" s="36" t="str">
        <f t="shared" si="298"/>
        <v/>
      </c>
      <c r="Q3114" s="216">
        <f t="shared" si="299"/>
        <v>0.14400000000000002</v>
      </c>
      <c r="R3114" s="216">
        <f t="shared" si="300"/>
        <v>0.14400000000000002</v>
      </c>
      <c r="S3114" s="217">
        <f t="shared" si="301"/>
        <v>0.14400000000000002</v>
      </c>
    </row>
    <row r="3115" spans="1:19" ht="26.25" hidden="1" thickBot="1" x14ac:dyDescent="0.3">
      <c r="A3115" s="262"/>
      <c r="B3115" s="260"/>
      <c r="C3115" s="35" t="s">
        <v>788</v>
      </c>
      <c r="D3115" s="35" t="s">
        <v>16</v>
      </c>
      <c r="E3115" s="36">
        <v>1</v>
      </c>
      <c r="F3115" s="30" t="s">
        <v>416</v>
      </c>
      <c r="G3115" s="33" t="str">
        <f t="shared" si="296"/>
        <v/>
      </c>
      <c r="H3115" s="34"/>
      <c r="I3115" s="30"/>
      <c r="J3115" s="152">
        <v>0</v>
      </c>
      <c r="L3115" s="215">
        <v>1</v>
      </c>
      <c r="M3115" s="30"/>
      <c r="N3115" s="33" t="str">
        <f t="shared" si="297"/>
        <v/>
      </c>
      <c r="O3115" s="34"/>
      <c r="P3115" s="36" t="str">
        <f t="shared" si="298"/>
        <v/>
      </c>
      <c r="Q3115" s="216" t="str">
        <f t="shared" si="299"/>
        <v/>
      </c>
      <c r="R3115" s="216" t="str">
        <f t="shared" si="300"/>
        <v/>
      </c>
      <c r="S3115" s="217" t="str">
        <f t="shared" si="301"/>
        <v/>
      </c>
    </row>
    <row r="3116" spans="1:19" ht="15.75" hidden="1" thickBot="1" x14ac:dyDescent="0.3">
      <c r="A3116" s="263"/>
      <c r="B3116" s="261"/>
      <c r="C3116" s="35"/>
      <c r="D3116" s="35"/>
      <c r="E3116" s="36"/>
      <c r="F3116" s="30" t="s">
        <v>416</v>
      </c>
      <c r="G3116" s="33" t="str">
        <f t="shared" si="296"/>
        <v/>
      </c>
      <c r="H3116" s="34"/>
      <c r="I3116" s="30"/>
      <c r="J3116" s="152">
        <v>0</v>
      </c>
      <c r="L3116" s="215"/>
      <c r="M3116" s="30"/>
      <c r="N3116" s="33" t="str">
        <f t="shared" si="297"/>
        <v/>
      </c>
      <c r="O3116" s="34"/>
      <c r="P3116" s="36" t="str">
        <f t="shared" si="298"/>
        <v/>
      </c>
      <c r="Q3116" s="216" t="str">
        <f t="shared" si="299"/>
        <v/>
      </c>
      <c r="R3116" s="216" t="str">
        <f t="shared" si="300"/>
        <v/>
      </c>
      <c r="S3116" s="217" t="str">
        <f t="shared" si="301"/>
        <v/>
      </c>
    </row>
    <row r="3117" spans="1:19" ht="15.75" hidden="1" thickBot="1" x14ac:dyDescent="0.3">
      <c r="A3117" s="256" t="s">
        <v>789</v>
      </c>
      <c r="B3117" s="259" t="str">
        <f>INDEX(Orçamentária!A:B,MATCH(Composições!A3117,Orçamentária!A:A,0),2)</f>
        <v>Carrinho para porta de correr com roldana côncava</v>
      </c>
      <c r="C3117" s="40"/>
      <c r="D3117" s="25" t="s">
        <v>16</v>
      </c>
      <c r="E3117" s="26"/>
      <c r="F3117" s="41" t="s">
        <v>416</v>
      </c>
      <c r="G3117" s="27" t="str">
        <f t="shared" si="296"/>
        <v/>
      </c>
      <c r="H3117" s="28"/>
      <c r="I3117" s="29"/>
      <c r="J3117" s="152">
        <v>0</v>
      </c>
      <c r="L3117" s="218"/>
      <c r="M3117" s="41"/>
      <c r="N3117" s="27" t="str">
        <f t="shared" si="297"/>
        <v/>
      </c>
      <c r="O3117" s="28"/>
      <c r="P3117" s="36" t="str">
        <f t="shared" si="298"/>
        <v/>
      </c>
      <c r="Q3117" s="216" t="str">
        <f t="shared" si="299"/>
        <v/>
      </c>
      <c r="R3117" s="216" t="str">
        <f t="shared" si="300"/>
        <v/>
      </c>
      <c r="S3117" s="217" t="str">
        <f t="shared" si="301"/>
        <v/>
      </c>
    </row>
    <row r="3118" spans="1:19" ht="15.75" hidden="1" thickBot="1" x14ac:dyDescent="0.3">
      <c r="A3118" s="262"/>
      <c r="B3118" s="260"/>
      <c r="C3118" s="31"/>
      <c r="D3118" s="31"/>
      <c r="E3118" s="32"/>
      <c r="F3118" s="42" t="s">
        <v>416</v>
      </c>
      <c r="G3118" s="33" t="str">
        <f t="shared" si="296"/>
        <v/>
      </c>
      <c r="H3118" s="34"/>
      <c r="I3118" s="30"/>
      <c r="J3118" s="152">
        <v>0</v>
      </c>
      <c r="L3118" s="219"/>
      <c r="M3118" s="42"/>
      <c r="N3118" s="33" t="str">
        <f t="shared" si="297"/>
        <v/>
      </c>
      <c r="O3118" s="34"/>
      <c r="P3118" s="36" t="str">
        <f t="shared" si="298"/>
        <v/>
      </c>
      <c r="Q3118" s="216" t="str">
        <f t="shared" si="299"/>
        <v/>
      </c>
      <c r="R3118" s="216" t="str">
        <f t="shared" si="300"/>
        <v/>
      </c>
      <c r="S3118" s="217" t="str">
        <f t="shared" si="301"/>
        <v/>
      </c>
    </row>
    <row r="3119" spans="1:19" ht="15.75" hidden="1" thickBot="1" x14ac:dyDescent="0.3">
      <c r="A3119" s="262"/>
      <c r="B3119" s="260"/>
      <c r="C3119" s="35" t="s">
        <v>2909</v>
      </c>
      <c r="D3119" s="35" t="s">
        <v>583</v>
      </c>
      <c r="E3119" s="36">
        <v>0.15</v>
      </c>
      <c r="F3119" s="33">
        <v>25.060999999999996</v>
      </c>
      <c r="G3119" s="33">
        <f t="shared" si="296"/>
        <v>3.7591499999999991</v>
      </c>
      <c r="H3119" s="38">
        <f>SUM(G3119:G3120)</f>
        <v>3.7591499999999991</v>
      </c>
      <c r="I3119" s="39"/>
      <c r="J3119" s="152">
        <v>0</v>
      </c>
      <c r="L3119" s="215">
        <v>0.15</v>
      </c>
      <c r="M3119" s="33">
        <v>21.452215999999996</v>
      </c>
      <c r="N3119" s="33">
        <f t="shared" si="297"/>
        <v>3.2178323999999994</v>
      </c>
      <c r="O3119" s="38">
        <f>SUM(N3119:N3120)</f>
        <v>3.2178323999999994</v>
      </c>
      <c r="P3119" s="36" t="str">
        <f t="shared" si="298"/>
        <v/>
      </c>
      <c r="Q3119" s="216">
        <f t="shared" si="299"/>
        <v>0.14400000000000002</v>
      </c>
      <c r="R3119" s="216">
        <f t="shared" si="300"/>
        <v>0.14400000000000002</v>
      </c>
      <c r="S3119" s="217">
        <f t="shared" si="301"/>
        <v>0.14400000000000002</v>
      </c>
    </row>
    <row r="3120" spans="1:19" ht="26.25" hidden="1" thickBot="1" x14ac:dyDescent="0.3">
      <c r="A3120" s="262"/>
      <c r="B3120" s="260"/>
      <c r="C3120" s="35" t="s">
        <v>790</v>
      </c>
      <c r="D3120" s="35" t="s">
        <v>16</v>
      </c>
      <c r="E3120" s="36">
        <v>1</v>
      </c>
      <c r="F3120" s="30" t="s">
        <v>416</v>
      </c>
      <c r="G3120" s="33" t="str">
        <f t="shared" si="296"/>
        <v/>
      </c>
      <c r="H3120" s="34"/>
      <c r="I3120" s="30"/>
      <c r="J3120" s="152">
        <v>0</v>
      </c>
      <c r="L3120" s="215">
        <v>1</v>
      </c>
      <c r="M3120" s="30"/>
      <c r="N3120" s="33" t="str">
        <f t="shared" si="297"/>
        <v/>
      </c>
      <c r="O3120" s="34"/>
      <c r="P3120" s="36" t="str">
        <f t="shared" si="298"/>
        <v/>
      </c>
      <c r="Q3120" s="216" t="str">
        <f t="shared" si="299"/>
        <v/>
      </c>
      <c r="R3120" s="216" t="str">
        <f t="shared" si="300"/>
        <v/>
      </c>
      <c r="S3120" s="217" t="str">
        <f t="shared" si="301"/>
        <v/>
      </c>
    </row>
    <row r="3121" spans="1:19" ht="15.75" hidden="1" thickBot="1" x14ac:dyDescent="0.3">
      <c r="A3121" s="263"/>
      <c r="B3121" s="261"/>
      <c r="C3121" s="35"/>
      <c r="D3121" s="35"/>
      <c r="E3121" s="36"/>
      <c r="F3121" s="30" t="s">
        <v>416</v>
      </c>
      <c r="G3121" s="33" t="str">
        <f t="shared" si="296"/>
        <v/>
      </c>
      <c r="H3121" s="34"/>
      <c r="I3121" s="30"/>
      <c r="J3121" s="152">
        <v>0</v>
      </c>
      <c r="L3121" s="215"/>
      <c r="M3121" s="30"/>
      <c r="N3121" s="33" t="str">
        <f t="shared" si="297"/>
        <v/>
      </c>
      <c r="O3121" s="34"/>
      <c r="P3121" s="36" t="str">
        <f t="shared" si="298"/>
        <v/>
      </c>
      <c r="Q3121" s="216" t="str">
        <f t="shared" si="299"/>
        <v/>
      </c>
      <c r="R3121" s="216" t="str">
        <f t="shared" si="300"/>
        <v/>
      </c>
      <c r="S3121" s="217" t="str">
        <f t="shared" si="301"/>
        <v/>
      </c>
    </row>
    <row r="3122" spans="1:19" ht="15.75" hidden="1" thickBot="1" x14ac:dyDescent="0.3">
      <c r="A3122" s="256" t="s">
        <v>791</v>
      </c>
      <c r="B3122" s="259" t="str">
        <f>INDEX(Orçamentária!A:B,MATCH(Composições!A3122,Orçamentária!A:A,0),2)</f>
        <v>Guia de nylon para porta de correr</v>
      </c>
      <c r="C3122" s="40"/>
      <c r="D3122" s="25" t="s">
        <v>16</v>
      </c>
      <c r="E3122" s="26"/>
      <c r="F3122" s="41" t="s">
        <v>416</v>
      </c>
      <c r="G3122" s="27" t="str">
        <f t="shared" si="296"/>
        <v/>
      </c>
      <c r="H3122" s="28"/>
      <c r="I3122" s="29"/>
      <c r="J3122" s="152">
        <v>0</v>
      </c>
      <c r="L3122" s="218"/>
      <c r="M3122" s="41"/>
      <c r="N3122" s="27" t="str">
        <f t="shared" si="297"/>
        <v/>
      </c>
      <c r="O3122" s="28"/>
      <c r="P3122" s="36" t="str">
        <f t="shared" si="298"/>
        <v/>
      </c>
      <c r="Q3122" s="216" t="str">
        <f t="shared" si="299"/>
        <v/>
      </c>
      <c r="R3122" s="216" t="str">
        <f t="shared" si="300"/>
        <v/>
      </c>
      <c r="S3122" s="217" t="str">
        <f t="shared" si="301"/>
        <v/>
      </c>
    </row>
    <row r="3123" spans="1:19" ht="15.75" hidden="1" thickBot="1" x14ac:dyDescent="0.3">
      <c r="A3123" s="262"/>
      <c r="B3123" s="260"/>
      <c r="C3123" s="31"/>
      <c r="D3123" s="31"/>
      <c r="E3123" s="32"/>
      <c r="F3123" s="42" t="s">
        <v>416</v>
      </c>
      <c r="G3123" s="33" t="str">
        <f t="shared" si="296"/>
        <v/>
      </c>
      <c r="H3123" s="34"/>
      <c r="I3123" s="30"/>
      <c r="J3123" s="152">
        <v>0</v>
      </c>
      <c r="L3123" s="219"/>
      <c r="M3123" s="42"/>
      <c r="N3123" s="33" t="str">
        <f t="shared" si="297"/>
        <v/>
      </c>
      <c r="O3123" s="34"/>
      <c r="P3123" s="36" t="str">
        <f t="shared" si="298"/>
        <v/>
      </c>
      <c r="Q3123" s="216" t="str">
        <f t="shared" si="299"/>
        <v/>
      </c>
      <c r="R3123" s="216" t="str">
        <f t="shared" si="300"/>
        <v/>
      </c>
      <c r="S3123" s="217" t="str">
        <f t="shared" si="301"/>
        <v/>
      </c>
    </row>
    <row r="3124" spans="1:19" ht="15.75" hidden="1" thickBot="1" x14ac:dyDescent="0.3">
      <c r="A3124" s="262"/>
      <c r="B3124" s="260"/>
      <c r="C3124" s="35" t="s">
        <v>2909</v>
      </c>
      <c r="D3124" s="35" t="s">
        <v>583</v>
      </c>
      <c r="E3124" s="36">
        <v>0.15</v>
      </c>
      <c r="F3124" s="33">
        <v>25.060999999999996</v>
      </c>
      <c r="G3124" s="33">
        <f t="shared" si="296"/>
        <v>3.7591499999999991</v>
      </c>
      <c r="H3124" s="38">
        <f>SUM(G3124:G3125)</f>
        <v>3.7591499999999991</v>
      </c>
      <c r="I3124" s="39"/>
      <c r="J3124" s="152">
        <v>0</v>
      </c>
      <c r="L3124" s="215">
        <v>0.15</v>
      </c>
      <c r="M3124" s="33">
        <v>21.452215999999996</v>
      </c>
      <c r="N3124" s="33">
        <f t="shared" si="297"/>
        <v>3.2178323999999994</v>
      </c>
      <c r="O3124" s="38">
        <f>SUM(N3124:N3125)</f>
        <v>3.2178323999999994</v>
      </c>
      <c r="P3124" s="36" t="str">
        <f t="shared" si="298"/>
        <v/>
      </c>
      <c r="Q3124" s="216">
        <f t="shared" si="299"/>
        <v>0.14400000000000002</v>
      </c>
      <c r="R3124" s="216">
        <f t="shared" si="300"/>
        <v>0.14400000000000002</v>
      </c>
      <c r="S3124" s="217">
        <f t="shared" si="301"/>
        <v>0.14400000000000002</v>
      </c>
    </row>
    <row r="3125" spans="1:19" ht="15.75" hidden="1" thickBot="1" x14ac:dyDescent="0.3">
      <c r="A3125" s="262"/>
      <c r="B3125" s="260"/>
      <c r="C3125" s="35" t="s">
        <v>792</v>
      </c>
      <c r="D3125" s="35" t="s">
        <v>16</v>
      </c>
      <c r="E3125" s="36">
        <v>1</v>
      </c>
      <c r="F3125" s="30" t="s">
        <v>416</v>
      </c>
      <c r="G3125" s="33" t="str">
        <f t="shared" si="296"/>
        <v/>
      </c>
      <c r="H3125" s="34"/>
      <c r="I3125" s="30"/>
      <c r="J3125" s="152">
        <v>0</v>
      </c>
      <c r="L3125" s="215">
        <v>1</v>
      </c>
      <c r="M3125" s="30"/>
      <c r="N3125" s="33" t="str">
        <f t="shared" si="297"/>
        <v/>
      </c>
      <c r="O3125" s="34"/>
      <c r="P3125" s="36" t="str">
        <f t="shared" si="298"/>
        <v/>
      </c>
      <c r="Q3125" s="216" t="str">
        <f t="shared" si="299"/>
        <v/>
      </c>
      <c r="R3125" s="216" t="str">
        <f t="shared" si="300"/>
        <v/>
      </c>
      <c r="S3125" s="217" t="str">
        <f t="shared" si="301"/>
        <v/>
      </c>
    </row>
    <row r="3126" spans="1:19" ht="15.75" hidden="1" thickBot="1" x14ac:dyDescent="0.3">
      <c r="A3126" s="263"/>
      <c r="B3126" s="261"/>
      <c r="C3126" s="35"/>
      <c r="D3126" s="35"/>
      <c r="E3126" s="36"/>
      <c r="F3126" s="30" t="s">
        <v>416</v>
      </c>
      <c r="G3126" s="33" t="str">
        <f t="shared" si="296"/>
        <v/>
      </c>
      <c r="H3126" s="34"/>
      <c r="I3126" s="30"/>
      <c r="J3126" s="152">
        <v>0</v>
      </c>
      <c r="L3126" s="215"/>
      <c r="M3126" s="30"/>
      <c r="N3126" s="33" t="str">
        <f t="shared" si="297"/>
        <v/>
      </c>
      <c r="O3126" s="34"/>
      <c r="P3126" s="36" t="str">
        <f t="shared" si="298"/>
        <v/>
      </c>
      <c r="Q3126" s="216" t="str">
        <f t="shared" si="299"/>
        <v/>
      </c>
      <c r="R3126" s="216" t="str">
        <f t="shared" si="300"/>
        <v/>
      </c>
      <c r="S3126" s="217" t="str">
        <f t="shared" si="301"/>
        <v/>
      </c>
    </row>
    <row r="3127" spans="1:19" ht="15.75" hidden="1" thickBot="1" x14ac:dyDescent="0.3">
      <c r="A3127" s="256" t="s">
        <v>793</v>
      </c>
      <c r="B3127" s="259" t="str">
        <f>INDEX(Orçamentária!A:B,MATCH(Composições!A3127,Orçamentária!A:A,0),2)</f>
        <v>Puxador H tubular em aço inox, comprimento 45cm, para portas de vidro temperado</v>
      </c>
      <c r="C3127" s="40"/>
      <c r="D3127" s="25" t="s">
        <v>16</v>
      </c>
      <c r="E3127" s="26"/>
      <c r="F3127" s="41" t="s">
        <v>416</v>
      </c>
      <c r="G3127" s="27" t="str">
        <f t="shared" si="296"/>
        <v/>
      </c>
      <c r="H3127" s="28"/>
      <c r="I3127" s="29"/>
      <c r="J3127" s="152">
        <v>0</v>
      </c>
      <c r="L3127" s="218"/>
      <c r="M3127" s="41"/>
      <c r="N3127" s="27" t="str">
        <f t="shared" si="297"/>
        <v/>
      </c>
      <c r="O3127" s="28"/>
      <c r="P3127" s="36" t="str">
        <f t="shared" si="298"/>
        <v/>
      </c>
      <c r="Q3127" s="216" t="str">
        <f t="shared" si="299"/>
        <v/>
      </c>
      <c r="R3127" s="216" t="str">
        <f t="shared" si="300"/>
        <v/>
      </c>
      <c r="S3127" s="217" t="str">
        <f t="shared" si="301"/>
        <v/>
      </c>
    </row>
    <row r="3128" spans="1:19" ht="15.75" hidden="1" thickBot="1" x14ac:dyDescent="0.3">
      <c r="A3128" s="262"/>
      <c r="B3128" s="260"/>
      <c r="C3128" s="31"/>
      <c r="D3128" s="31"/>
      <c r="E3128" s="32"/>
      <c r="F3128" s="42" t="s">
        <v>416</v>
      </c>
      <c r="G3128" s="33" t="str">
        <f t="shared" si="296"/>
        <v/>
      </c>
      <c r="H3128" s="34"/>
      <c r="I3128" s="30"/>
      <c r="J3128" s="152">
        <v>0</v>
      </c>
      <c r="L3128" s="219"/>
      <c r="M3128" s="42"/>
      <c r="N3128" s="33" t="str">
        <f t="shared" si="297"/>
        <v/>
      </c>
      <c r="O3128" s="34"/>
      <c r="P3128" s="36" t="str">
        <f t="shared" si="298"/>
        <v/>
      </c>
      <c r="Q3128" s="216" t="str">
        <f t="shared" si="299"/>
        <v/>
      </c>
      <c r="R3128" s="216" t="str">
        <f t="shared" si="300"/>
        <v/>
      </c>
      <c r="S3128" s="217" t="str">
        <f t="shared" si="301"/>
        <v/>
      </c>
    </row>
    <row r="3129" spans="1:19" ht="15.75" hidden="1" thickBot="1" x14ac:dyDescent="0.3">
      <c r="A3129" s="262"/>
      <c r="B3129" s="260"/>
      <c r="C3129" s="35" t="s">
        <v>2909</v>
      </c>
      <c r="D3129" s="35" t="s">
        <v>583</v>
      </c>
      <c r="E3129" s="36">
        <v>0.4</v>
      </c>
      <c r="F3129" s="33">
        <v>25.060999999999996</v>
      </c>
      <c r="G3129" s="33">
        <f t="shared" si="296"/>
        <v>10.0244</v>
      </c>
      <c r="H3129" s="38">
        <f>SUM(G3129:G3130)</f>
        <v>10.0244</v>
      </c>
      <c r="I3129" s="39"/>
      <c r="J3129" s="152">
        <v>0</v>
      </c>
      <c r="L3129" s="215">
        <v>0.4</v>
      </c>
      <c r="M3129" s="33">
        <v>21.452215999999996</v>
      </c>
      <c r="N3129" s="33">
        <f t="shared" si="297"/>
        <v>8.5808863999999989</v>
      </c>
      <c r="O3129" s="38">
        <f>SUM(N3129:N3130)</f>
        <v>8.5808863999999989</v>
      </c>
      <c r="P3129" s="36" t="str">
        <f t="shared" si="298"/>
        <v/>
      </c>
      <c r="Q3129" s="216">
        <f t="shared" si="299"/>
        <v>0.14400000000000002</v>
      </c>
      <c r="R3129" s="216">
        <f t="shared" si="300"/>
        <v>0.14400000000000013</v>
      </c>
      <c r="S3129" s="217">
        <f t="shared" si="301"/>
        <v>0.14400000000000013</v>
      </c>
    </row>
    <row r="3130" spans="1:19" ht="39" hidden="1" thickBot="1" x14ac:dyDescent="0.3">
      <c r="A3130" s="262"/>
      <c r="B3130" s="260"/>
      <c r="C3130" s="35" t="s">
        <v>794</v>
      </c>
      <c r="D3130" s="35" t="s">
        <v>16</v>
      </c>
      <c r="E3130" s="36">
        <v>1</v>
      </c>
      <c r="F3130" s="30" t="s">
        <v>416</v>
      </c>
      <c r="G3130" s="33" t="str">
        <f t="shared" si="296"/>
        <v/>
      </c>
      <c r="H3130" s="34"/>
      <c r="I3130" s="30"/>
      <c r="J3130" s="152">
        <v>0</v>
      </c>
      <c r="L3130" s="215">
        <v>1</v>
      </c>
      <c r="M3130" s="30"/>
      <c r="N3130" s="33" t="str">
        <f t="shared" si="297"/>
        <v/>
      </c>
      <c r="O3130" s="34"/>
      <c r="P3130" s="36" t="str">
        <f t="shared" si="298"/>
        <v/>
      </c>
      <c r="Q3130" s="216" t="str">
        <f t="shared" si="299"/>
        <v/>
      </c>
      <c r="R3130" s="216" t="str">
        <f t="shared" si="300"/>
        <v/>
      </c>
      <c r="S3130" s="217" t="str">
        <f t="shared" si="301"/>
        <v/>
      </c>
    </row>
    <row r="3131" spans="1:19" ht="15.75" hidden="1" thickBot="1" x14ac:dyDescent="0.3">
      <c r="A3131" s="263"/>
      <c r="B3131" s="261"/>
      <c r="C3131" s="35"/>
      <c r="D3131" s="35"/>
      <c r="E3131" s="36"/>
      <c r="F3131" s="30" t="s">
        <v>416</v>
      </c>
      <c r="G3131" s="33" t="str">
        <f t="shared" si="296"/>
        <v/>
      </c>
      <c r="H3131" s="34"/>
      <c r="I3131" s="30"/>
      <c r="J3131" s="152">
        <v>0</v>
      </c>
      <c r="L3131" s="215"/>
      <c r="M3131" s="30"/>
      <c r="N3131" s="33" t="str">
        <f t="shared" si="297"/>
        <v/>
      </c>
      <c r="O3131" s="34"/>
      <c r="P3131" s="36" t="str">
        <f t="shared" si="298"/>
        <v/>
      </c>
      <c r="Q3131" s="216" t="str">
        <f t="shared" si="299"/>
        <v/>
      </c>
      <c r="R3131" s="216" t="str">
        <f t="shared" si="300"/>
        <v/>
      </c>
      <c r="S3131" s="217" t="str">
        <f t="shared" si="301"/>
        <v/>
      </c>
    </row>
    <row r="3132" spans="1:19" ht="15.75" hidden="1" thickBot="1" x14ac:dyDescent="0.3">
      <c r="A3132" s="256" t="s">
        <v>795</v>
      </c>
      <c r="B3132" s="259" t="str">
        <f>INDEX(Orçamentária!A:B,MATCH(Composições!A3132,Orçamentária!A:A,0),2)</f>
        <v>Transporte de vidros</v>
      </c>
      <c r="C3132" s="40"/>
      <c r="D3132" s="25" t="s">
        <v>2468</v>
      </c>
      <c r="E3132" s="26"/>
      <c r="F3132" s="41" t="s">
        <v>416</v>
      </c>
      <c r="G3132" s="27" t="str">
        <f t="shared" si="296"/>
        <v/>
      </c>
      <c r="H3132" s="28"/>
      <c r="I3132" s="29"/>
      <c r="J3132" s="152">
        <v>0</v>
      </c>
      <c r="L3132" s="218"/>
      <c r="M3132" s="41"/>
      <c r="N3132" s="27" t="str">
        <f t="shared" si="297"/>
        <v/>
      </c>
      <c r="O3132" s="28"/>
      <c r="P3132" s="36" t="str">
        <f t="shared" si="298"/>
        <v/>
      </c>
      <c r="Q3132" s="216" t="str">
        <f t="shared" si="299"/>
        <v/>
      </c>
      <c r="R3132" s="216" t="str">
        <f t="shared" si="300"/>
        <v/>
      </c>
      <c r="S3132" s="217" t="str">
        <f t="shared" si="301"/>
        <v/>
      </c>
    </row>
    <row r="3133" spans="1:19" ht="15.75" hidden="1" thickBot="1" x14ac:dyDescent="0.3">
      <c r="A3133" s="257"/>
      <c r="B3133" s="260"/>
      <c r="C3133" s="31"/>
      <c r="D3133" s="31"/>
      <c r="E3133" s="32"/>
      <c r="F3133" s="42" t="s">
        <v>416</v>
      </c>
      <c r="G3133" s="33" t="str">
        <f t="shared" ref="G3133:G3176" si="302">IF(ISNUMBER(F3133),E3133*F3133,"")</f>
        <v/>
      </c>
      <c r="H3133" s="34"/>
      <c r="I3133" s="30"/>
      <c r="J3133" s="152">
        <v>0</v>
      </c>
      <c r="L3133" s="219"/>
      <c r="M3133" s="42"/>
      <c r="N3133" s="33" t="str">
        <f t="shared" ref="N3133:N3176" si="303">IF(ISNUMBER(M3133),L3133*M3133,"")</f>
        <v/>
      </c>
      <c r="O3133" s="34"/>
      <c r="P3133" s="36" t="str">
        <f t="shared" si="298"/>
        <v/>
      </c>
      <c r="Q3133" s="216" t="str">
        <f t="shared" si="299"/>
        <v/>
      </c>
      <c r="R3133" s="216" t="str">
        <f t="shared" si="300"/>
        <v/>
      </c>
      <c r="S3133" s="217" t="str">
        <f t="shared" si="301"/>
        <v/>
      </c>
    </row>
    <row r="3134" spans="1:19" ht="15.75" hidden="1" thickBot="1" x14ac:dyDescent="0.3">
      <c r="A3134" s="257"/>
      <c r="B3134" s="260"/>
      <c r="C3134" s="35" t="s">
        <v>584</v>
      </c>
      <c r="D3134" s="35" t="s">
        <v>583</v>
      </c>
      <c r="E3134" s="36">
        <v>2.9209999999999998</v>
      </c>
      <c r="F3134" s="33">
        <v>20.225499999999997</v>
      </c>
      <c r="G3134" s="33">
        <f t="shared" si="302"/>
        <v>59.078685499999985</v>
      </c>
      <c r="H3134" s="38">
        <f>SUM(G3134:G3134)</f>
        <v>59.078685499999985</v>
      </c>
      <c r="I3134" s="39"/>
      <c r="J3134" s="152">
        <v>0</v>
      </c>
      <c r="L3134" s="215">
        <v>2.9209999999999998</v>
      </c>
      <c r="M3134" s="33">
        <v>17.313027999999996</v>
      </c>
      <c r="N3134" s="33">
        <f t="shared" si="303"/>
        <v>50.571354787999987</v>
      </c>
      <c r="O3134" s="38">
        <f>SUM(N3134:N3134)</f>
        <v>50.571354787999987</v>
      </c>
      <c r="P3134" s="36" t="str">
        <f t="shared" si="298"/>
        <v/>
      </c>
      <c r="Q3134" s="216">
        <f t="shared" si="299"/>
        <v>0.14400000000000013</v>
      </c>
      <c r="R3134" s="216">
        <f t="shared" si="300"/>
        <v>0.14400000000000002</v>
      </c>
      <c r="S3134" s="217">
        <f t="shared" si="301"/>
        <v>0.14400000000000002</v>
      </c>
    </row>
    <row r="3135" spans="1:19" ht="15.75" hidden="1" thickBot="1" x14ac:dyDescent="0.3">
      <c r="A3135" s="257"/>
      <c r="B3135" s="260"/>
      <c r="C3135" s="35"/>
      <c r="D3135" s="35"/>
      <c r="E3135" s="36"/>
      <c r="F3135" s="30" t="s">
        <v>416</v>
      </c>
      <c r="G3135" s="33" t="str">
        <f t="shared" si="302"/>
        <v/>
      </c>
      <c r="H3135" s="34"/>
      <c r="I3135" s="30"/>
      <c r="J3135" s="152">
        <v>0</v>
      </c>
      <c r="L3135" s="215"/>
      <c r="M3135" s="30"/>
      <c r="N3135" s="33" t="str">
        <f t="shared" si="303"/>
        <v/>
      </c>
      <c r="O3135" s="34"/>
      <c r="P3135" s="36" t="str">
        <f t="shared" si="298"/>
        <v/>
      </c>
      <c r="Q3135" s="216" t="str">
        <f t="shared" si="299"/>
        <v/>
      </c>
      <c r="R3135" s="216" t="str">
        <f t="shared" si="300"/>
        <v/>
      </c>
      <c r="S3135" s="217" t="str">
        <f t="shared" si="301"/>
        <v/>
      </c>
    </row>
    <row r="3136" spans="1:19" ht="15.75" hidden="1" thickBot="1" x14ac:dyDescent="0.3">
      <c r="A3136" s="257"/>
      <c r="B3136" s="260"/>
      <c r="C3136" s="51" t="s">
        <v>766</v>
      </c>
      <c r="D3136" s="35"/>
      <c r="E3136" s="36"/>
      <c r="F3136" s="30" t="s">
        <v>416</v>
      </c>
      <c r="G3136" s="33" t="str">
        <f t="shared" si="302"/>
        <v/>
      </c>
      <c r="H3136" s="34"/>
      <c r="I3136" s="30"/>
      <c r="J3136" s="152">
        <v>0</v>
      </c>
      <c r="L3136" s="215"/>
      <c r="M3136" s="30"/>
      <c r="N3136" s="33" t="str">
        <f t="shared" si="303"/>
        <v/>
      </c>
      <c r="O3136" s="34"/>
      <c r="P3136" s="36" t="str">
        <f t="shared" si="298"/>
        <v/>
      </c>
      <c r="Q3136" s="216" t="str">
        <f t="shared" si="299"/>
        <v/>
      </c>
      <c r="R3136" s="216" t="str">
        <f t="shared" si="300"/>
        <v/>
      </c>
      <c r="S3136" s="217" t="str">
        <f t="shared" si="301"/>
        <v/>
      </c>
    </row>
    <row r="3137" spans="1:19" ht="15.75" hidden="1" thickBot="1" x14ac:dyDescent="0.3">
      <c r="A3137" s="258"/>
      <c r="B3137" s="261"/>
      <c r="C3137" s="35"/>
      <c r="D3137" s="35"/>
      <c r="E3137" s="36"/>
      <c r="F3137" s="30" t="s">
        <v>416</v>
      </c>
      <c r="G3137" s="33" t="str">
        <f t="shared" si="302"/>
        <v/>
      </c>
      <c r="H3137" s="34"/>
      <c r="I3137" s="30"/>
      <c r="J3137" s="152">
        <v>0</v>
      </c>
      <c r="L3137" s="215"/>
      <c r="M3137" s="30"/>
      <c r="N3137" s="33" t="str">
        <f t="shared" si="303"/>
        <v/>
      </c>
      <c r="O3137" s="34"/>
      <c r="P3137" s="36" t="str">
        <f t="shared" si="298"/>
        <v/>
      </c>
      <c r="Q3137" s="216" t="str">
        <f t="shared" si="299"/>
        <v/>
      </c>
      <c r="R3137" s="216" t="str">
        <f t="shared" si="300"/>
        <v/>
      </c>
      <c r="S3137" s="217" t="str">
        <f t="shared" si="301"/>
        <v/>
      </c>
    </row>
    <row r="3138" spans="1:19" ht="15.75" hidden="1" thickBot="1" x14ac:dyDescent="0.3">
      <c r="A3138" s="256" t="s">
        <v>796</v>
      </c>
      <c r="B3138" s="259" t="str">
        <f>INDEX(Orçamentária!A:B,MATCH(Composições!A3138,Orçamentária!A:A,0),2)</f>
        <v>Vidro fantasia 4 mm (canelado, martelado, pontilhado e mini-boreal)</v>
      </c>
      <c r="C3138" s="40"/>
      <c r="D3138" s="25" t="s">
        <v>70</v>
      </c>
      <c r="E3138" s="26"/>
      <c r="F3138" s="41" t="s">
        <v>416</v>
      </c>
      <c r="G3138" s="27" t="str">
        <f t="shared" si="302"/>
        <v/>
      </c>
      <c r="H3138" s="28"/>
      <c r="I3138" s="29"/>
      <c r="J3138" s="152">
        <v>0</v>
      </c>
      <c r="L3138" s="218"/>
      <c r="M3138" s="41"/>
      <c r="N3138" s="27" t="str">
        <f t="shared" si="303"/>
        <v/>
      </c>
      <c r="O3138" s="28"/>
      <c r="P3138" s="36" t="str">
        <f t="shared" si="298"/>
        <v/>
      </c>
      <c r="Q3138" s="216" t="str">
        <f t="shared" si="299"/>
        <v/>
      </c>
      <c r="R3138" s="216" t="str">
        <f t="shared" si="300"/>
        <v/>
      </c>
      <c r="S3138" s="217" t="str">
        <f t="shared" si="301"/>
        <v/>
      </c>
    </row>
    <row r="3139" spans="1:19" ht="15.75" hidden="1" thickBot="1" x14ac:dyDescent="0.3">
      <c r="A3139" s="262"/>
      <c r="B3139" s="260"/>
      <c r="C3139" s="31"/>
      <c r="D3139" s="31"/>
      <c r="E3139" s="32"/>
      <c r="F3139" s="42" t="s">
        <v>416</v>
      </c>
      <c r="G3139" s="33" t="str">
        <f t="shared" si="302"/>
        <v/>
      </c>
      <c r="H3139" s="34"/>
      <c r="I3139" s="30"/>
      <c r="J3139" s="152">
        <v>0</v>
      </c>
      <c r="L3139" s="219"/>
      <c r="M3139" s="42"/>
      <c r="N3139" s="33" t="str">
        <f t="shared" si="303"/>
        <v/>
      </c>
      <c r="O3139" s="34"/>
      <c r="P3139" s="36" t="str">
        <f t="shared" si="298"/>
        <v/>
      </c>
      <c r="Q3139" s="216" t="str">
        <f t="shared" si="299"/>
        <v/>
      </c>
      <c r="R3139" s="216" t="str">
        <f t="shared" si="300"/>
        <v/>
      </c>
      <c r="S3139" s="217" t="str">
        <f t="shared" si="301"/>
        <v/>
      </c>
    </row>
    <row r="3140" spans="1:19" ht="15.75" hidden="1" thickBot="1" x14ac:dyDescent="0.3">
      <c r="A3140" s="262"/>
      <c r="B3140" s="260"/>
      <c r="C3140" s="35" t="s">
        <v>2909</v>
      </c>
      <c r="D3140" s="35" t="s">
        <v>583</v>
      </c>
      <c r="E3140" s="36">
        <v>1.5</v>
      </c>
      <c r="F3140" s="33">
        <v>25.060999999999996</v>
      </c>
      <c r="G3140" s="33">
        <f t="shared" si="302"/>
        <v>37.591499999999996</v>
      </c>
      <c r="H3140" s="38">
        <f>SUM(G3140:G3142)</f>
        <v>115.91899999999998</v>
      </c>
      <c r="I3140" s="39"/>
      <c r="J3140" s="152">
        <v>0</v>
      </c>
      <c r="L3140" s="215">
        <v>1.5</v>
      </c>
      <c r="M3140" s="33">
        <v>21.452215999999996</v>
      </c>
      <c r="N3140" s="33">
        <f t="shared" si="303"/>
        <v>32.178323999999996</v>
      </c>
      <c r="O3140" s="38">
        <f>SUM(N3140:N3142)</f>
        <v>99.226664</v>
      </c>
      <c r="P3140" s="36" t="str">
        <f t="shared" si="298"/>
        <v/>
      </c>
      <c r="Q3140" s="216">
        <f t="shared" si="299"/>
        <v>0.14400000000000002</v>
      </c>
      <c r="R3140" s="216">
        <f t="shared" si="300"/>
        <v>0.14400000000000002</v>
      </c>
      <c r="S3140" s="217">
        <f t="shared" si="301"/>
        <v>0.14399999999999991</v>
      </c>
    </row>
    <row r="3141" spans="1:19" ht="15.75" hidden="1" thickBot="1" x14ac:dyDescent="0.3">
      <c r="A3141" s="262"/>
      <c r="B3141" s="260"/>
      <c r="C3141" s="35" t="s">
        <v>584</v>
      </c>
      <c r="D3141" s="35" t="s">
        <v>583</v>
      </c>
      <c r="E3141" s="36">
        <v>1</v>
      </c>
      <c r="F3141" s="33">
        <v>20.225499999999997</v>
      </c>
      <c r="G3141" s="33">
        <f t="shared" si="302"/>
        <v>20.225499999999997</v>
      </c>
      <c r="H3141" s="34"/>
      <c r="I3141" s="30"/>
      <c r="J3141" s="152">
        <v>0</v>
      </c>
      <c r="L3141" s="215">
        <v>1</v>
      </c>
      <c r="M3141" s="33">
        <v>17.313027999999996</v>
      </c>
      <c r="N3141" s="33">
        <f t="shared" si="303"/>
        <v>17.313027999999996</v>
      </c>
      <c r="O3141" s="34"/>
      <c r="P3141" s="36" t="str">
        <f t="shared" si="298"/>
        <v/>
      </c>
      <c r="Q3141" s="216">
        <f t="shared" si="299"/>
        <v>0.14400000000000013</v>
      </c>
      <c r="R3141" s="216">
        <f t="shared" si="300"/>
        <v>0.14400000000000013</v>
      </c>
      <c r="S3141" s="217" t="str">
        <f t="shared" si="301"/>
        <v/>
      </c>
    </row>
    <row r="3142" spans="1:19" ht="15.75" hidden="1" thickBot="1" x14ac:dyDescent="0.3">
      <c r="A3142" s="262"/>
      <c r="B3142" s="260"/>
      <c r="C3142" s="35" t="s">
        <v>797</v>
      </c>
      <c r="D3142" s="35" t="s">
        <v>861</v>
      </c>
      <c r="E3142" s="36">
        <v>1</v>
      </c>
      <c r="F3142" s="30">
        <v>58.101999999999997</v>
      </c>
      <c r="G3142" s="33">
        <f t="shared" si="302"/>
        <v>58.101999999999997</v>
      </c>
      <c r="H3142" s="34"/>
      <c r="I3142" s="30"/>
      <c r="J3142" s="152">
        <v>0</v>
      </c>
      <c r="L3142" s="215">
        <v>1</v>
      </c>
      <c r="M3142" s="30">
        <v>49.735312</v>
      </c>
      <c r="N3142" s="33">
        <f t="shared" si="303"/>
        <v>49.735312</v>
      </c>
      <c r="O3142" s="34"/>
      <c r="P3142" s="36" t="str">
        <f t="shared" si="298"/>
        <v/>
      </c>
      <c r="Q3142" s="216">
        <f t="shared" si="299"/>
        <v>0.14399999999999991</v>
      </c>
      <c r="R3142" s="216">
        <f t="shared" si="300"/>
        <v>0.14399999999999991</v>
      </c>
      <c r="S3142" s="217" t="str">
        <f t="shared" si="301"/>
        <v/>
      </c>
    </row>
    <row r="3143" spans="1:19" ht="15.75" hidden="1" thickBot="1" x14ac:dyDescent="0.3">
      <c r="A3143" s="263"/>
      <c r="B3143" s="261"/>
      <c r="C3143" s="35"/>
      <c r="D3143" s="35"/>
      <c r="E3143" s="36"/>
      <c r="F3143" s="30" t="s">
        <v>416</v>
      </c>
      <c r="G3143" s="33" t="str">
        <f t="shared" si="302"/>
        <v/>
      </c>
      <c r="H3143" s="34"/>
      <c r="I3143" s="30"/>
      <c r="J3143" s="152">
        <v>0</v>
      </c>
      <c r="L3143" s="215"/>
      <c r="M3143" s="30"/>
      <c r="N3143" s="33" t="str">
        <f t="shared" si="303"/>
        <v/>
      </c>
      <c r="O3143" s="34"/>
      <c r="P3143" s="36" t="str">
        <f t="shared" si="298"/>
        <v/>
      </c>
      <c r="Q3143" s="216" t="str">
        <f t="shared" si="299"/>
        <v/>
      </c>
      <c r="R3143" s="216" t="str">
        <f t="shared" si="300"/>
        <v/>
      </c>
      <c r="S3143" s="217" t="str">
        <f t="shared" si="301"/>
        <v/>
      </c>
    </row>
    <row r="3144" spans="1:19" ht="15.75" hidden="1" thickBot="1" x14ac:dyDescent="0.3">
      <c r="A3144" s="256" t="s">
        <v>798</v>
      </c>
      <c r="B3144" s="259" t="str">
        <f>INDEX(Orçamentária!A:B,MATCH(Composições!A3144,Orçamentária!A:A,0),2)</f>
        <v>Vidro fumê/bronze 5 mm</v>
      </c>
      <c r="C3144" s="40"/>
      <c r="D3144" s="25" t="s">
        <v>70</v>
      </c>
      <c r="E3144" s="26"/>
      <c r="F3144" s="41" t="s">
        <v>416</v>
      </c>
      <c r="G3144" s="27" t="str">
        <f t="shared" si="302"/>
        <v/>
      </c>
      <c r="H3144" s="28"/>
      <c r="I3144" s="29"/>
      <c r="J3144" s="152">
        <v>0</v>
      </c>
      <c r="L3144" s="218"/>
      <c r="M3144" s="41"/>
      <c r="N3144" s="27" t="str">
        <f t="shared" si="303"/>
        <v/>
      </c>
      <c r="O3144" s="28"/>
      <c r="P3144" s="36" t="str">
        <f t="shared" ref="P3144:P3207" si="304">IF(ISBLANK(L3144),"",IF($E3144&lt;&gt;L3144,"SIM",""))</f>
        <v/>
      </c>
      <c r="Q3144" s="216" t="str">
        <f t="shared" ref="Q3144:Q3207" si="305">IF(M3144="","",1-M3144/$F3144)</f>
        <v/>
      </c>
      <c r="R3144" s="216" t="str">
        <f t="shared" ref="R3144:R3207" si="306">IF(N3144="","",1-N3144/$G3144)</f>
        <v/>
      </c>
      <c r="S3144" s="217" t="str">
        <f t="shared" ref="S3144:S3207" si="307">IF(O3144="","",1-O3144/$H3144)</f>
        <v/>
      </c>
    </row>
    <row r="3145" spans="1:19" ht="15.75" hidden="1" thickBot="1" x14ac:dyDescent="0.3">
      <c r="A3145" s="262"/>
      <c r="B3145" s="260"/>
      <c r="C3145" s="31"/>
      <c r="D3145" s="31"/>
      <c r="E3145" s="32"/>
      <c r="F3145" s="42" t="s">
        <v>416</v>
      </c>
      <c r="G3145" s="33" t="str">
        <f t="shared" si="302"/>
        <v/>
      </c>
      <c r="H3145" s="34"/>
      <c r="I3145" s="30"/>
      <c r="J3145" s="152">
        <v>0</v>
      </c>
      <c r="L3145" s="219"/>
      <c r="M3145" s="42"/>
      <c r="N3145" s="33" t="str">
        <f t="shared" si="303"/>
        <v/>
      </c>
      <c r="O3145" s="34"/>
      <c r="P3145" s="36" t="str">
        <f t="shared" si="304"/>
        <v/>
      </c>
      <c r="Q3145" s="216" t="str">
        <f t="shared" si="305"/>
        <v/>
      </c>
      <c r="R3145" s="216" t="str">
        <f t="shared" si="306"/>
        <v/>
      </c>
      <c r="S3145" s="217" t="str">
        <f t="shared" si="307"/>
        <v/>
      </c>
    </row>
    <row r="3146" spans="1:19" ht="15.75" hidden="1" thickBot="1" x14ac:dyDescent="0.3">
      <c r="A3146" s="262"/>
      <c r="B3146" s="260"/>
      <c r="C3146" s="35" t="s">
        <v>2909</v>
      </c>
      <c r="D3146" s="35" t="s">
        <v>583</v>
      </c>
      <c r="E3146" s="36">
        <v>1.5</v>
      </c>
      <c r="F3146" s="33">
        <v>25.060999999999996</v>
      </c>
      <c r="G3146" s="33">
        <f t="shared" si="302"/>
        <v>37.591499999999996</v>
      </c>
      <c r="H3146" s="38">
        <f>SUM(G3146:G3148)</f>
        <v>158.17499999999998</v>
      </c>
      <c r="I3146" s="39"/>
      <c r="J3146" s="152">
        <v>0</v>
      </c>
      <c r="L3146" s="215">
        <v>1.5</v>
      </c>
      <c r="M3146" s="33">
        <v>21.452215999999996</v>
      </c>
      <c r="N3146" s="33">
        <f t="shared" si="303"/>
        <v>32.178323999999996</v>
      </c>
      <c r="O3146" s="38">
        <f>SUM(N3146:N3148)</f>
        <v>135.39779999999999</v>
      </c>
      <c r="P3146" s="36" t="str">
        <f t="shared" si="304"/>
        <v/>
      </c>
      <c r="Q3146" s="216">
        <f t="shared" si="305"/>
        <v>0.14400000000000002</v>
      </c>
      <c r="R3146" s="216">
        <f t="shared" si="306"/>
        <v>0.14400000000000002</v>
      </c>
      <c r="S3146" s="217">
        <f t="shared" si="307"/>
        <v>0.14400000000000002</v>
      </c>
    </row>
    <row r="3147" spans="1:19" ht="15.75" hidden="1" thickBot="1" x14ac:dyDescent="0.3">
      <c r="A3147" s="262"/>
      <c r="B3147" s="260"/>
      <c r="C3147" s="35" t="s">
        <v>584</v>
      </c>
      <c r="D3147" s="35" t="s">
        <v>583</v>
      </c>
      <c r="E3147" s="36">
        <v>1</v>
      </c>
      <c r="F3147" s="33">
        <v>20.225499999999997</v>
      </c>
      <c r="G3147" s="33">
        <f t="shared" si="302"/>
        <v>20.225499999999997</v>
      </c>
      <c r="H3147" s="34"/>
      <c r="I3147" s="30"/>
      <c r="J3147" s="152">
        <v>0</v>
      </c>
      <c r="L3147" s="215">
        <v>1</v>
      </c>
      <c r="M3147" s="33">
        <v>17.313027999999996</v>
      </c>
      <c r="N3147" s="33">
        <f t="shared" si="303"/>
        <v>17.313027999999996</v>
      </c>
      <c r="O3147" s="34"/>
      <c r="P3147" s="36" t="str">
        <f t="shared" si="304"/>
        <v/>
      </c>
      <c r="Q3147" s="216">
        <f t="shared" si="305"/>
        <v>0.14400000000000013</v>
      </c>
      <c r="R3147" s="216">
        <f t="shared" si="306"/>
        <v>0.14400000000000013</v>
      </c>
      <c r="S3147" s="217" t="str">
        <f t="shared" si="307"/>
        <v/>
      </c>
    </row>
    <row r="3148" spans="1:19" ht="15.75" hidden="1" thickBot="1" x14ac:dyDescent="0.3">
      <c r="A3148" s="262"/>
      <c r="B3148" s="260"/>
      <c r="C3148" s="35" t="s">
        <v>799</v>
      </c>
      <c r="D3148" s="35" t="s">
        <v>861</v>
      </c>
      <c r="E3148" s="36">
        <v>1</v>
      </c>
      <c r="F3148" s="30">
        <v>100.35799999999999</v>
      </c>
      <c r="G3148" s="33">
        <f t="shared" si="302"/>
        <v>100.35799999999999</v>
      </c>
      <c r="H3148" s="34"/>
      <c r="I3148" s="30"/>
      <c r="J3148" s="152">
        <v>0</v>
      </c>
      <c r="L3148" s="215">
        <v>1</v>
      </c>
      <c r="M3148" s="30">
        <v>85.906447999999997</v>
      </c>
      <c r="N3148" s="33">
        <f t="shared" si="303"/>
        <v>85.906447999999997</v>
      </c>
      <c r="O3148" s="34"/>
      <c r="P3148" s="36" t="str">
        <f t="shared" si="304"/>
        <v/>
      </c>
      <c r="Q3148" s="216">
        <f t="shared" si="305"/>
        <v>0.14399999999999991</v>
      </c>
      <c r="R3148" s="216">
        <f t="shared" si="306"/>
        <v>0.14399999999999991</v>
      </c>
      <c r="S3148" s="217" t="str">
        <f t="shared" si="307"/>
        <v/>
      </c>
    </row>
    <row r="3149" spans="1:19" ht="15.75" hidden="1" thickBot="1" x14ac:dyDescent="0.3">
      <c r="A3149" s="263"/>
      <c r="B3149" s="261"/>
      <c r="C3149" s="35"/>
      <c r="D3149" s="35"/>
      <c r="E3149" s="36"/>
      <c r="F3149" s="30" t="s">
        <v>416</v>
      </c>
      <c r="G3149" s="33" t="str">
        <f t="shared" si="302"/>
        <v/>
      </c>
      <c r="H3149" s="34"/>
      <c r="I3149" s="30"/>
      <c r="J3149" s="152">
        <v>0</v>
      </c>
      <c r="L3149" s="215"/>
      <c r="M3149" s="30"/>
      <c r="N3149" s="33" t="str">
        <f t="shared" si="303"/>
        <v/>
      </c>
      <c r="O3149" s="34"/>
      <c r="P3149" s="36" t="str">
        <f t="shared" si="304"/>
        <v/>
      </c>
      <c r="Q3149" s="216" t="str">
        <f t="shared" si="305"/>
        <v/>
      </c>
      <c r="R3149" s="216" t="str">
        <f t="shared" si="306"/>
        <v/>
      </c>
      <c r="S3149" s="217" t="str">
        <f t="shared" si="307"/>
        <v/>
      </c>
    </row>
    <row r="3150" spans="1:19" ht="15.75" hidden="1" thickBot="1" x14ac:dyDescent="0.3">
      <c r="A3150" s="256" t="s">
        <v>800</v>
      </c>
      <c r="B3150" s="259" t="str">
        <f>INDEX(Orçamentária!A:B,MATCH(Composições!A3150,Orçamentária!A:A,0),2)</f>
        <v>Recuperação de massa em esquadria metálica</v>
      </c>
      <c r="C3150" s="40"/>
      <c r="D3150" s="25" t="s">
        <v>69</v>
      </c>
      <c r="E3150" s="26"/>
      <c r="F3150" s="41" t="s">
        <v>416</v>
      </c>
      <c r="G3150" s="27" t="str">
        <f t="shared" si="302"/>
        <v/>
      </c>
      <c r="H3150" s="28"/>
      <c r="I3150" s="29"/>
      <c r="J3150" s="152">
        <v>0</v>
      </c>
      <c r="L3150" s="218"/>
      <c r="M3150" s="41"/>
      <c r="N3150" s="27" t="str">
        <f t="shared" si="303"/>
        <v/>
      </c>
      <c r="O3150" s="28"/>
      <c r="P3150" s="36" t="str">
        <f t="shared" si="304"/>
        <v/>
      </c>
      <c r="Q3150" s="216" t="str">
        <f t="shared" si="305"/>
        <v/>
      </c>
      <c r="R3150" s="216" t="str">
        <f t="shared" si="306"/>
        <v/>
      </c>
      <c r="S3150" s="217" t="str">
        <f t="shared" si="307"/>
        <v/>
      </c>
    </row>
    <row r="3151" spans="1:19" ht="15.75" hidden="1" thickBot="1" x14ac:dyDescent="0.3">
      <c r="A3151" s="262"/>
      <c r="B3151" s="260"/>
      <c r="C3151" s="31"/>
      <c r="D3151" s="31"/>
      <c r="E3151" s="32"/>
      <c r="F3151" s="42" t="s">
        <v>416</v>
      </c>
      <c r="G3151" s="33" t="str">
        <f t="shared" si="302"/>
        <v/>
      </c>
      <c r="H3151" s="34"/>
      <c r="I3151" s="30"/>
      <c r="J3151" s="152">
        <v>0</v>
      </c>
      <c r="L3151" s="219"/>
      <c r="M3151" s="42"/>
      <c r="N3151" s="33" t="str">
        <f t="shared" si="303"/>
        <v/>
      </c>
      <c r="O3151" s="34"/>
      <c r="P3151" s="36" t="str">
        <f t="shared" si="304"/>
        <v/>
      </c>
      <c r="Q3151" s="216" t="str">
        <f t="shared" si="305"/>
        <v/>
      </c>
      <c r="R3151" s="216" t="str">
        <f t="shared" si="306"/>
        <v/>
      </c>
      <c r="S3151" s="217" t="str">
        <f t="shared" si="307"/>
        <v/>
      </c>
    </row>
    <row r="3152" spans="1:19" ht="15.75" hidden="1" thickBot="1" x14ac:dyDescent="0.3">
      <c r="A3152" s="262"/>
      <c r="B3152" s="260"/>
      <c r="C3152" s="35" t="s">
        <v>2909</v>
      </c>
      <c r="D3152" s="35" t="s">
        <v>583</v>
      </c>
      <c r="E3152" s="36">
        <v>0.5</v>
      </c>
      <c r="F3152" s="33">
        <v>25.060999999999996</v>
      </c>
      <c r="G3152" s="33">
        <f t="shared" si="302"/>
        <v>12.530499999999998</v>
      </c>
      <c r="H3152" s="38">
        <f>SUM(G3152:G3154)</f>
        <v>26.459874999999997</v>
      </c>
      <c r="I3152" s="39"/>
      <c r="J3152" s="152">
        <v>0</v>
      </c>
      <c r="L3152" s="215">
        <v>0.5</v>
      </c>
      <c r="M3152" s="33">
        <v>21.452215999999996</v>
      </c>
      <c r="N3152" s="33">
        <f t="shared" si="303"/>
        <v>10.726107999999998</v>
      </c>
      <c r="O3152" s="38">
        <f>SUM(N3152:N3154)</f>
        <v>22.649652999999997</v>
      </c>
      <c r="P3152" s="36" t="str">
        <f t="shared" si="304"/>
        <v/>
      </c>
      <c r="Q3152" s="216">
        <f t="shared" si="305"/>
        <v>0.14400000000000002</v>
      </c>
      <c r="R3152" s="216">
        <f t="shared" si="306"/>
        <v>0.14400000000000002</v>
      </c>
      <c r="S3152" s="217">
        <f t="shared" si="307"/>
        <v>0.14400000000000002</v>
      </c>
    </row>
    <row r="3153" spans="1:19" ht="15.75" hidden="1" thickBot="1" x14ac:dyDescent="0.3">
      <c r="A3153" s="262"/>
      <c r="B3153" s="260"/>
      <c r="C3153" s="35" t="s">
        <v>584</v>
      </c>
      <c r="D3153" s="35" t="s">
        <v>583</v>
      </c>
      <c r="E3153" s="36">
        <v>0.25</v>
      </c>
      <c r="F3153" s="33">
        <v>20.225499999999997</v>
      </c>
      <c r="G3153" s="33">
        <f t="shared" si="302"/>
        <v>5.0563749999999992</v>
      </c>
      <c r="H3153" s="34"/>
      <c r="I3153" s="30"/>
      <c r="J3153" s="152">
        <v>0</v>
      </c>
      <c r="L3153" s="215">
        <v>0.25</v>
      </c>
      <c r="M3153" s="33">
        <v>17.313027999999996</v>
      </c>
      <c r="N3153" s="33">
        <f t="shared" si="303"/>
        <v>4.3282569999999989</v>
      </c>
      <c r="O3153" s="34"/>
      <c r="P3153" s="36" t="str">
        <f t="shared" si="304"/>
        <v/>
      </c>
      <c r="Q3153" s="216">
        <f t="shared" si="305"/>
        <v>0.14400000000000013</v>
      </c>
      <c r="R3153" s="216">
        <f t="shared" si="306"/>
        <v>0.14400000000000013</v>
      </c>
      <c r="S3153" s="217" t="str">
        <f t="shared" si="307"/>
        <v/>
      </c>
    </row>
    <row r="3154" spans="1:19" ht="15.75" hidden="1" thickBot="1" x14ac:dyDescent="0.3">
      <c r="A3154" s="262"/>
      <c r="B3154" s="260"/>
      <c r="C3154" s="35" t="s">
        <v>8290</v>
      </c>
      <c r="D3154" s="35" t="s">
        <v>773</v>
      </c>
      <c r="E3154" s="36">
        <v>2</v>
      </c>
      <c r="F3154" s="30">
        <v>4.4364999999999997</v>
      </c>
      <c r="G3154" s="33">
        <f t="shared" si="302"/>
        <v>8.8729999999999993</v>
      </c>
      <c r="H3154" s="34"/>
      <c r="I3154" s="30"/>
      <c r="J3154" s="152">
        <v>0</v>
      </c>
      <c r="L3154" s="215">
        <v>2</v>
      </c>
      <c r="M3154" s="30">
        <v>3.797644</v>
      </c>
      <c r="N3154" s="33">
        <f t="shared" si="303"/>
        <v>7.595288</v>
      </c>
      <c r="O3154" s="34"/>
      <c r="P3154" s="36" t="str">
        <f t="shared" si="304"/>
        <v/>
      </c>
      <c r="Q3154" s="216">
        <f t="shared" si="305"/>
        <v>0.14399999999999991</v>
      </c>
      <c r="R3154" s="216">
        <f t="shared" si="306"/>
        <v>0.14399999999999991</v>
      </c>
      <c r="S3154" s="217" t="str">
        <f t="shared" si="307"/>
        <v/>
      </c>
    </row>
    <row r="3155" spans="1:19" ht="15.75" hidden="1" thickBot="1" x14ac:dyDescent="0.3">
      <c r="A3155" s="263"/>
      <c r="B3155" s="261"/>
      <c r="C3155" s="35"/>
      <c r="D3155" s="35"/>
      <c r="E3155" s="36"/>
      <c r="F3155" s="30" t="s">
        <v>416</v>
      </c>
      <c r="G3155" s="33" t="str">
        <f t="shared" si="302"/>
        <v/>
      </c>
      <c r="H3155" s="34"/>
      <c r="I3155" s="30"/>
      <c r="J3155" s="152">
        <v>0</v>
      </c>
      <c r="L3155" s="215"/>
      <c r="M3155" s="30"/>
      <c r="N3155" s="33" t="str">
        <f t="shared" si="303"/>
        <v/>
      </c>
      <c r="O3155" s="34"/>
      <c r="P3155" s="36" t="str">
        <f t="shared" si="304"/>
        <v/>
      </c>
      <c r="Q3155" s="216" t="str">
        <f t="shared" si="305"/>
        <v/>
      </c>
      <c r="R3155" s="216" t="str">
        <f t="shared" si="306"/>
        <v/>
      </c>
      <c r="S3155" s="217" t="str">
        <f t="shared" si="307"/>
        <v/>
      </c>
    </row>
    <row r="3156" spans="1:19" ht="15.75" hidden="1" thickBot="1" x14ac:dyDescent="0.3">
      <c r="A3156" s="256" t="s">
        <v>801</v>
      </c>
      <c r="B3156" s="259" t="str">
        <f>INDEX(Orçamentária!A:B,MATCH(Composições!A3156,Orçamentária!A:A,0),2)</f>
        <v>Instalação de espelho reaproveitado</v>
      </c>
      <c r="C3156" s="40"/>
      <c r="D3156" s="25" t="s">
        <v>70</v>
      </c>
      <c r="E3156" s="26"/>
      <c r="F3156" s="41" t="s">
        <v>416</v>
      </c>
      <c r="G3156" s="27" t="str">
        <f t="shared" si="302"/>
        <v/>
      </c>
      <c r="H3156" s="28"/>
      <c r="I3156" s="29"/>
      <c r="J3156" s="152">
        <v>0</v>
      </c>
      <c r="L3156" s="218"/>
      <c r="M3156" s="41"/>
      <c r="N3156" s="27" t="str">
        <f t="shared" si="303"/>
        <v/>
      </c>
      <c r="O3156" s="28"/>
      <c r="P3156" s="36" t="str">
        <f t="shared" si="304"/>
        <v/>
      </c>
      <c r="Q3156" s="216" t="str">
        <f t="shared" si="305"/>
        <v/>
      </c>
      <c r="R3156" s="216" t="str">
        <f t="shared" si="306"/>
        <v/>
      </c>
      <c r="S3156" s="217" t="str">
        <f t="shared" si="307"/>
        <v/>
      </c>
    </row>
    <row r="3157" spans="1:19" ht="15.75" hidden="1" thickBot="1" x14ac:dyDescent="0.3">
      <c r="A3157" s="262"/>
      <c r="B3157" s="260"/>
      <c r="C3157" s="31"/>
      <c r="D3157" s="31"/>
      <c r="E3157" s="32"/>
      <c r="F3157" s="42" t="s">
        <v>416</v>
      </c>
      <c r="G3157" s="33" t="str">
        <f t="shared" si="302"/>
        <v/>
      </c>
      <c r="H3157" s="34"/>
      <c r="I3157" s="30"/>
      <c r="J3157" s="152">
        <v>0</v>
      </c>
      <c r="L3157" s="219"/>
      <c r="M3157" s="42"/>
      <c r="N3157" s="33" t="str">
        <f t="shared" si="303"/>
        <v/>
      </c>
      <c r="O3157" s="34"/>
      <c r="P3157" s="36" t="str">
        <f t="shared" si="304"/>
        <v/>
      </c>
      <c r="Q3157" s="216" t="str">
        <f t="shared" si="305"/>
        <v/>
      </c>
      <c r="R3157" s="216" t="str">
        <f t="shared" si="306"/>
        <v/>
      </c>
      <c r="S3157" s="217" t="str">
        <f t="shared" si="307"/>
        <v/>
      </c>
    </row>
    <row r="3158" spans="1:19" ht="15.75" hidden="1" thickBot="1" x14ac:dyDescent="0.3">
      <c r="A3158" s="262"/>
      <c r="B3158" s="260"/>
      <c r="C3158" s="35" t="s">
        <v>584</v>
      </c>
      <c r="D3158" s="35" t="s">
        <v>583</v>
      </c>
      <c r="E3158" s="36">
        <v>1</v>
      </c>
      <c r="F3158" s="33">
        <v>20.225499999999997</v>
      </c>
      <c r="G3158" s="33">
        <f t="shared" si="302"/>
        <v>20.225499999999997</v>
      </c>
      <c r="H3158" s="38">
        <f>SUM(G3158:G3159)</f>
        <v>57.816999999999993</v>
      </c>
      <c r="I3158" s="39"/>
      <c r="J3158" s="152">
        <v>0</v>
      </c>
      <c r="L3158" s="215">
        <v>1</v>
      </c>
      <c r="M3158" s="33">
        <v>17.313027999999996</v>
      </c>
      <c r="N3158" s="33">
        <f t="shared" si="303"/>
        <v>17.313027999999996</v>
      </c>
      <c r="O3158" s="38">
        <f>SUM(N3158:N3159)</f>
        <v>49.491351999999992</v>
      </c>
      <c r="P3158" s="36" t="str">
        <f t="shared" si="304"/>
        <v/>
      </c>
      <c r="Q3158" s="216">
        <f t="shared" si="305"/>
        <v>0.14400000000000013</v>
      </c>
      <c r="R3158" s="216">
        <f t="shared" si="306"/>
        <v>0.14400000000000013</v>
      </c>
      <c r="S3158" s="217">
        <f t="shared" si="307"/>
        <v>0.14400000000000002</v>
      </c>
    </row>
    <row r="3159" spans="1:19" ht="15.75" hidden="1" thickBot="1" x14ac:dyDescent="0.3">
      <c r="A3159" s="262"/>
      <c r="B3159" s="260"/>
      <c r="C3159" s="35" t="s">
        <v>2909</v>
      </c>
      <c r="D3159" s="35" t="s">
        <v>583</v>
      </c>
      <c r="E3159" s="36">
        <v>1.5</v>
      </c>
      <c r="F3159" s="33">
        <v>25.060999999999996</v>
      </c>
      <c r="G3159" s="33">
        <f t="shared" si="302"/>
        <v>37.591499999999996</v>
      </c>
      <c r="H3159" s="34"/>
      <c r="I3159" s="30"/>
      <c r="J3159" s="152">
        <v>0</v>
      </c>
      <c r="L3159" s="215">
        <v>1.5</v>
      </c>
      <c r="M3159" s="33">
        <v>21.452215999999996</v>
      </c>
      <c r="N3159" s="33">
        <f t="shared" si="303"/>
        <v>32.178323999999996</v>
      </c>
      <c r="O3159" s="34"/>
      <c r="P3159" s="36" t="str">
        <f t="shared" si="304"/>
        <v/>
      </c>
      <c r="Q3159" s="216">
        <f t="shared" si="305"/>
        <v>0.14400000000000002</v>
      </c>
      <c r="R3159" s="216">
        <f t="shared" si="306"/>
        <v>0.14400000000000002</v>
      </c>
      <c r="S3159" s="217" t="str">
        <f t="shared" si="307"/>
        <v/>
      </c>
    </row>
    <row r="3160" spans="1:19" ht="15.75" hidden="1" thickBot="1" x14ac:dyDescent="0.3">
      <c r="A3160" s="263"/>
      <c r="B3160" s="261"/>
      <c r="C3160" s="35"/>
      <c r="D3160" s="35"/>
      <c r="E3160" s="36"/>
      <c r="F3160" s="30" t="s">
        <v>416</v>
      </c>
      <c r="G3160" s="33" t="str">
        <f t="shared" si="302"/>
        <v/>
      </c>
      <c r="H3160" s="34"/>
      <c r="I3160" s="30"/>
      <c r="J3160" s="152">
        <v>0</v>
      </c>
      <c r="L3160" s="215"/>
      <c r="M3160" s="30"/>
      <c r="N3160" s="33" t="str">
        <f t="shared" si="303"/>
        <v/>
      </c>
      <c r="O3160" s="34"/>
      <c r="P3160" s="36" t="str">
        <f t="shared" si="304"/>
        <v/>
      </c>
      <c r="Q3160" s="216" t="str">
        <f t="shared" si="305"/>
        <v/>
      </c>
      <c r="R3160" s="216" t="str">
        <f t="shared" si="306"/>
        <v/>
      </c>
      <c r="S3160" s="217" t="str">
        <f t="shared" si="307"/>
        <v/>
      </c>
    </row>
    <row r="3161" spans="1:19" ht="15.75" hidden="1" thickBot="1" x14ac:dyDescent="0.3">
      <c r="A3161" s="256" t="s">
        <v>802</v>
      </c>
      <c r="B3161" s="259" t="str">
        <f>INDEX(Orçamentária!A:B,MATCH(Composições!A3161,Orçamentária!A:A,0),2)</f>
        <v>Espelho fumê/bronze 4mm lapidado</v>
      </c>
      <c r="C3161" s="40"/>
      <c r="D3161" s="25" t="s">
        <v>70</v>
      </c>
      <c r="E3161" s="26"/>
      <c r="F3161" s="41" t="s">
        <v>416</v>
      </c>
      <c r="G3161" s="27" t="str">
        <f t="shared" si="302"/>
        <v/>
      </c>
      <c r="H3161" s="28"/>
      <c r="I3161" s="29"/>
      <c r="J3161" s="152">
        <v>0</v>
      </c>
      <c r="L3161" s="218"/>
      <c r="M3161" s="41"/>
      <c r="N3161" s="27" t="str">
        <f t="shared" si="303"/>
        <v/>
      </c>
      <c r="O3161" s="28"/>
      <c r="P3161" s="36" t="str">
        <f t="shared" si="304"/>
        <v/>
      </c>
      <c r="Q3161" s="216" t="str">
        <f t="shared" si="305"/>
        <v/>
      </c>
      <c r="R3161" s="216" t="str">
        <f t="shared" si="306"/>
        <v/>
      </c>
      <c r="S3161" s="217" t="str">
        <f t="shared" si="307"/>
        <v/>
      </c>
    </row>
    <row r="3162" spans="1:19" ht="15.75" hidden="1" thickBot="1" x14ac:dyDescent="0.3">
      <c r="A3162" s="262"/>
      <c r="B3162" s="260"/>
      <c r="C3162" s="31"/>
      <c r="D3162" s="31"/>
      <c r="E3162" s="32"/>
      <c r="F3162" s="42" t="s">
        <v>416</v>
      </c>
      <c r="G3162" s="33" t="str">
        <f t="shared" si="302"/>
        <v/>
      </c>
      <c r="H3162" s="34"/>
      <c r="I3162" s="30"/>
      <c r="J3162" s="152">
        <v>0</v>
      </c>
      <c r="L3162" s="219"/>
      <c r="M3162" s="42"/>
      <c r="N3162" s="33" t="str">
        <f t="shared" si="303"/>
        <v/>
      </c>
      <c r="O3162" s="34"/>
      <c r="P3162" s="36" t="str">
        <f t="shared" si="304"/>
        <v/>
      </c>
      <c r="Q3162" s="216" t="str">
        <f t="shared" si="305"/>
        <v/>
      </c>
      <c r="R3162" s="216" t="str">
        <f t="shared" si="306"/>
        <v/>
      </c>
      <c r="S3162" s="217" t="str">
        <f t="shared" si="307"/>
        <v/>
      </c>
    </row>
    <row r="3163" spans="1:19" ht="15.75" hidden="1" thickBot="1" x14ac:dyDescent="0.3">
      <c r="A3163" s="262"/>
      <c r="B3163" s="260"/>
      <c r="C3163" s="35" t="s">
        <v>803</v>
      </c>
      <c r="D3163" s="46" t="s">
        <v>70</v>
      </c>
      <c r="E3163" s="36">
        <v>1</v>
      </c>
      <c r="F3163" s="33" t="s">
        <v>416</v>
      </c>
      <c r="G3163" s="33" t="str">
        <f t="shared" si="302"/>
        <v/>
      </c>
      <c r="H3163" s="38">
        <f>SUM(G3163:G3165)</f>
        <v>57.816999999999993</v>
      </c>
      <c r="I3163" s="39"/>
      <c r="J3163" s="152">
        <v>0</v>
      </c>
      <c r="L3163" s="215">
        <v>1</v>
      </c>
      <c r="M3163" s="33"/>
      <c r="N3163" s="33" t="str">
        <f t="shared" si="303"/>
        <v/>
      </c>
      <c r="O3163" s="38">
        <f>SUM(N3163:N3165)</f>
        <v>49.491351999999992</v>
      </c>
      <c r="P3163" s="36" t="str">
        <f t="shared" si="304"/>
        <v/>
      </c>
      <c r="Q3163" s="216" t="str">
        <f t="shared" si="305"/>
        <v/>
      </c>
      <c r="R3163" s="216" t="str">
        <f t="shared" si="306"/>
        <v/>
      </c>
      <c r="S3163" s="217">
        <f t="shared" si="307"/>
        <v>0.14400000000000002</v>
      </c>
    </row>
    <row r="3164" spans="1:19" ht="15.75" hidden="1" thickBot="1" x14ac:dyDescent="0.3">
      <c r="A3164" s="262"/>
      <c r="B3164" s="260"/>
      <c r="C3164" s="35" t="s">
        <v>584</v>
      </c>
      <c r="D3164" s="35" t="s">
        <v>583</v>
      </c>
      <c r="E3164" s="36">
        <v>1</v>
      </c>
      <c r="F3164" s="30">
        <v>20.225499999999997</v>
      </c>
      <c r="G3164" s="33">
        <f t="shared" si="302"/>
        <v>20.225499999999997</v>
      </c>
      <c r="H3164" s="34"/>
      <c r="I3164" s="30"/>
      <c r="J3164" s="152">
        <v>0</v>
      </c>
      <c r="L3164" s="215">
        <v>1</v>
      </c>
      <c r="M3164" s="30">
        <v>17.313027999999996</v>
      </c>
      <c r="N3164" s="33">
        <f t="shared" si="303"/>
        <v>17.313027999999996</v>
      </c>
      <c r="O3164" s="34"/>
      <c r="P3164" s="36" t="str">
        <f t="shared" si="304"/>
        <v/>
      </c>
      <c r="Q3164" s="216">
        <f t="shared" si="305"/>
        <v>0.14400000000000013</v>
      </c>
      <c r="R3164" s="216">
        <f t="shared" si="306"/>
        <v>0.14400000000000013</v>
      </c>
      <c r="S3164" s="217" t="str">
        <f t="shared" si="307"/>
        <v/>
      </c>
    </row>
    <row r="3165" spans="1:19" ht="15.75" hidden="1" thickBot="1" x14ac:dyDescent="0.3">
      <c r="A3165" s="262"/>
      <c r="B3165" s="260"/>
      <c r="C3165" s="35" t="s">
        <v>2909</v>
      </c>
      <c r="D3165" s="35" t="s">
        <v>583</v>
      </c>
      <c r="E3165" s="36">
        <v>1.5</v>
      </c>
      <c r="F3165" s="30">
        <v>25.060999999999996</v>
      </c>
      <c r="G3165" s="33">
        <f t="shared" si="302"/>
        <v>37.591499999999996</v>
      </c>
      <c r="H3165" s="34"/>
      <c r="I3165" s="30"/>
      <c r="J3165" s="152">
        <v>0</v>
      </c>
      <c r="L3165" s="215">
        <v>1.5</v>
      </c>
      <c r="M3165" s="30">
        <v>21.452215999999996</v>
      </c>
      <c r="N3165" s="33">
        <f t="shared" si="303"/>
        <v>32.178323999999996</v>
      </c>
      <c r="O3165" s="34"/>
      <c r="P3165" s="36" t="str">
        <f t="shared" si="304"/>
        <v/>
      </c>
      <c r="Q3165" s="216">
        <f t="shared" si="305"/>
        <v>0.14400000000000002</v>
      </c>
      <c r="R3165" s="216">
        <f t="shared" si="306"/>
        <v>0.14400000000000002</v>
      </c>
      <c r="S3165" s="217" t="str">
        <f t="shared" si="307"/>
        <v/>
      </c>
    </row>
    <row r="3166" spans="1:19" ht="15.75" hidden="1" thickBot="1" x14ac:dyDescent="0.3">
      <c r="A3166" s="263"/>
      <c r="B3166" s="261"/>
      <c r="C3166" s="35"/>
      <c r="D3166" s="35"/>
      <c r="E3166" s="36"/>
      <c r="F3166" s="30" t="s">
        <v>416</v>
      </c>
      <c r="G3166" s="33" t="str">
        <f t="shared" si="302"/>
        <v/>
      </c>
      <c r="H3166" s="34"/>
      <c r="I3166" s="30"/>
      <c r="J3166" s="152">
        <v>0</v>
      </c>
      <c r="L3166" s="215"/>
      <c r="M3166" s="30"/>
      <c r="N3166" s="33" t="str">
        <f t="shared" si="303"/>
        <v/>
      </c>
      <c r="O3166" s="34"/>
      <c r="P3166" s="36" t="str">
        <f t="shared" si="304"/>
        <v/>
      </c>
      <c r="Q3166" s="216" t="str">
        <f t="shared" si="305"/>
        <v/>
      </c>
      <c r="R3166" s="216" t="str">
        <f t="shared" si="306"/>
        <v/>
      </c>
      <c r="S3166" s="217" t="str">
        <f t="shared" si="307"/>
        <v/>
      </c>
    </row>
    <row r="3167" spans="1:19" ht="15.75" hidden="1" thickBot="1" x14ac:dyDescent="0.3">
      <c r="A3167" s="256" t="s">
        <v>804</v>
      </c>
      <c r="B3167" s="259" t="str">
        <f>INDEX(Orçamentária!A:B,MATCH(Composições!A3167,Orçamentária!A:A,0),2)</f>
        <v>Finesson (parafuso de fixação francês)</v>
      </c>
      <c r="C3167" s="40"/>
      <c r="D3167" s="25" t="s">
        <v>16</v>
      </c>
      <c r="E3167" s="26"/>
      <c r="F3167" s="41" t="s">
        <v>416</v>
      </c>
      <c r="G3167" s="27" t="str">
        <f t="shared" si="302"/>
        <v/>
      </c>
      <c r="H3167" s="28"/>
      <c r="I3167" s="29"/>
      <c r="J3167" s="152">
        <v>0</v>
      </c>
      <c r="L3167" s="218"/>
      <c r="M3167" s="41"/>
      <c r="N3167" s="27" t="str">
        <f t="shared" si="303"/>
        <v/>
      </c>
      <c r="O3167" s="28"/>
      <c r="P3167" s="36" t="str">
        <f t="shared" si="304"/>
        <v/>
      </c>
      <c r="Q3167" s="216" t="str">
        <f t="shared" si="305"/>
        <v/>
      </c>
      <c r="R3167" s="216" t="str">
        <f t="shared" si="306"/>
        <v/>
      </c>
      <c r="S3167" s="217" t="str">
        <f t="shared" si="307"/>
        <v/>
      </c>
    </row>
    <row r="3168" spans="1:19" ht="15.75" hidden="1" thickBot="1" x14ac:dyDescent="0.3">
      <c r="A3168" s="262"/>
      <c r="B3168" s="260"/>
      <c r="C3168" s="31"/>
      <c r="D3168" s="31"/>
      <c r="E3168" s="32"/>
      <c r="F3168" s="42" t="s">
        <v>416</v>
      </c>
      <c r="G3168" s="33" t="str">
        <f t="shared" si="302"/>
        <v/>
      </c>
      <c r="H3168" s="34"/>
      <c r="I3168" s="30"/>
      <c r="J3168" s="152">
        <v>0</v>
      </c>
      <c r="L3168" s="219"/>
      <c r="M3168" s="42"/>
      <c r="N3168" s="33" t="str">
        <f t="shared" si="303"/>
        <v/>
      </c>
      <c r="O3168" s="34"/>
      <c r="P3168" s="36" t="str">
        <f t="shared" si="304"/>
        <v/>
      </c>
      <c r="Q3168" s="216" t="str">
        <f t="shared" si="305"/>
        <v/>
      </c>
      <c r="R3168" s="216" t="str">
        <f t="shared" si="306"/>
        <v/>
      </c>
      <c r="S3168" s="217" t="str">
        <f t="shared" si="307"/>
        <v/>
      </c>
    </row>
    <row r="3169" spans="1:19" ht="15.75" hidden="1" thickBot="1" x14ac:dyDescent="0.3">
      <c r="A3169" s="262"/>
      <c r="B3169" s="260"/>
      <c r="C3169" s="35" t="s">
        <v>2909</v>
      </c>
      <c r="D3169" s="35" t="s">
        <v>583</v>
      </c>
      <c r="E3169" s="36">
        <v>0.1</v>
      </c>
      <c r="F3169" s="33">
        <v>25.060999999999996</v>
      </c>
      <c r="G3169" s="33">
        <f t="shared" si="302"/>
        <v>2.5061</v>
      </c>
      <c r="H3169" s="38">
        <f>SUM(G3169:G3170)</f>
        <v>9.9445999999999994</v>
      </c>
      <c r="I3169" s="39"/>
      <c r="J3169" s="152">
        <v>0</v>
      </c>
      <c r="L3169" s="215">
        <v>0.1</v>
      </c>
      <c r="M3169" s="33">
        <v>21.452215999999996</v>
      </c>
      <c r="N3169" s="33">
        <f t="shared" si="303"/>
        <v>2.1452215999999997</v>
      </c>
      <c r="O3169" s="38">
        <f>SUM(N3169:N3170)</f>
        <v>8.5125775999999984</v>
      </c>
      <c r="P3169" s="36" t="str">
        <f t="shared" si="304"/>
        <v/>
      </c>
      <c r="Q3169" s="216">
        <f t="shared" si="305"/>
        <v>0.14400000000000002</v>
      </c>
      <c r="R3169" s="216">
        <f t="shared" si="306"/>
        <v>0.14400000000000013</v>
      </c>
      <c r="S3169" s="217">
        <f t="shared" si="307"/>
        <v>0.14400000000000013</v>
      </c>
    </row>
    <row r="3170" spans="1:19" ht="26.25" hidden="1" thickBot="1" x14ac:dyDescent="0.3">
      <c r="A3170" s="262"/>
      <c r="B3170" s="260"/>
      <c r="C3170" s="35" t="s">
        <v>8307</v>
      </c>
      <c r="D3170" s="35" t="s">
        <v>213</v>
      </c>
      <c r="E3170" s="36">
        <v>1</v>
      </c>
      <c r="F3170" s="30">
        <v>7.4384999999999994</v>
      </c>
      <c r="G3170" s="33">
        <f t="shared" si="302"/>
        <v>7.4384999999999994</v>
      </c>
      <c r="H3170" s="34"/>
      <c r="I3170" s="30"/>
      <c r="J3170" s="152">
        <v>0</v>
      </c>
      <c r="L3170" s="215">
        <v>1</v>
      </c>
      <c r="M3170" s="30">
        <v>6.3673559999999991</v>
      </c>
      <c r="N3170" s="33">
        <f t="shared" si="303"/>
        <v>6.3673559999999991</v>
      </c>
      <c r="O3170" s="34"/>
      <c r="P3170" s="36" t="str">
        <f t="shared" si="304"/>
        <v/>
      </c>
      <c r="Q3170" s="216">
        <f t="shared" si="305"/>
        <v>0.14400000000000002</v>
      </c>
      <c r="R3170" s="216">
        <f t="shared" si="306"/>
        <v>0.14400000000000002</v>
      </c>
      <c r="S3170" s="217" t="str">
        <f t="shared" si="307"/>
        <v/>
      </c>
    </row>
    <row r="3171" spans="1:19" ht="15.75" hidden="1" thickBot="1" x14ac:dyDescent="0.3">
      <c r="A3171" s="263"/>
      <c r="B3171" s="261"/>
      <c r="C3171" s="35"/>
      <c r="D3171" s="35"/>
      <c r="E3171" s="36"/>
      <c r="F3171" s="30" t="s">
        <v>416</v>
      </c>
      <c r="G3171" s="33" t="str">
        <f t="shared" si="302"/>
        <v/>
      </c>
      <c r="H3171" s="34"/>
      <c r="I3171" s="30"/>
      <c r="J3171" s="152">
        <v>0</v>
      </c>
      <c r="L3171" s="215"/>
      <c r="M3171" s="30"/>
      <c r="N3171" s="33" t="str">
        <f t="shared" si="303"/>
        <v/>
      </c>
      <c r="O3171" s="34"/>
      <c r="P3171" s="36" t="str">
        <f t="shared" si="304"/>
        <v/>
      </c>
      <c r="Q3171" s="216" t="str">
        <f t="shared" si="305"/>
        <v/>
      </c>
      <c r="R3171" s="216" t="str">
        <f t="shared" si="306"/>
        <v/>
      </c>
      <c r="S3171" s="217" t="str">
        <f t="shared" si="307"/>
        <v/>
      </c>
    </row>
    <row r="3172" spans="1:19" ht="15.75" hidden="1" thickBot="1" x14ac:dyDescent="0.3">
      <c r="A3172" s="256" t="s">
        <v>805</v>
      </c>
      <c r="B3172" s="259" t="str">
        <f>INDEX(Orçamentária!A:B,MATCH(Composições!A3172,Orçamentária!A:A,0),2)</f>
        <v>Graute industrializado, 50 MPa ≤ fck ≤ 60 MPa</v>
      </c>
      <c r="C3172" s="40"/>
      <c r="D3172" s="25" t="s">
        <v>80</v>
      </c>
      <c r="E3172" s="26"/>
      <c r="F3172" s="41" t="s">
        <v>416</v>
      </c>
      <c r="G3172" s="27" t="str">
        <f t="shared" si="302"/>
        <v/>
      </c>
      <c r="H3172" s="28"/>
      <c r="I3172" s="29"/>
      <c r="J3172" s="152">
        <v>0</v>
      </c>
      <c r="L3172" s="218"/>
      <c r="M3172" s="41"/>
      <c r="N3172" s="27" t="str">
        <f t="shared" si="303"/>
        <v/>
      </c>
      <c r="O3172" s="28"/>
      <c r="P3172" s="36" t="str">
        <f t="shared" si="304"/>
        <v/>
      </c>
      <c r="Q3172" s="216" t="str">
        <f t="shared" si="305"/>
        <v/>
      </c>
      <c r="R3172" s="216" t="str">
        <f t="shared" si="306"/>
        <v/>
      </c>
      <c r="S3172" s="217" t="str">
        <f t="shared" si="307"/>
        <v/>
      </c>
    </row>
    <row r="3173" spans="1:19" ht="15.75" hidden="1" thickBot="1" x14ac:dyDescent="0.3">
      <c r="A3173" s="262"/>
      <c r="B3173" s="260"/>
      <c r="C3173" s="31"/>
      <c r="D3173" s="31"/>
      <c r="E3173" s="32"/>
      <c r="F3173" s="42" t="s">
        <v>416</v>
      </c>
      <c r="G3173" s="33" t="str">
        <f t="shared" si="302"/>
        <v/>
      </c>
      <c r="H3173" s="34"/>
      <c r="I3173" s="30"/>
      <c r="J3173" s="152">
        <v>0</v>
      </c>
      <c r="L3173" s="219"/>
      <c r="M3173" s="42"/>
      <c r="N3173" s="33" t="str">
        <f t="shared" si="303"/>
        <v/>
      </c>
      <c r="O3173" s="34"/>
      <c r="P3173" s="36" t="str">
        <f t="shared" si="304"/>
        <v/>
      </c>
      <c r="Q3173" s="216" t="str">
        <f t="shared" si="305"/>
        <v/>
      </c>
      <c r="R3173" s="216" t="str">
        <f t="shared" si="306"/>
        <v/>
      </c>
      <c r="S3173" s="217" t="str">
        <f t="shared" si="307"/>
        <v/>
      </c>
    </row>
    <row r="3174" spans="1:19" ht="15.75" hidden="1" thickBot="1" x14ac:dyDescent="0.3">
      <c r="A3174" s="262"/>
      <c r="B3174" s="260"/>
      <c r="C3174" s="35" t="s">
        <v>591</v>
      </c>
      <c r="D3174" s="35" t="s">
        <v>583</v>
      </c>
      <c r="E3174" s="36">
        <v>4.8468999999999998</v>
      </c>
      <c r="F3174" s="30">
        <v>27.160499999999999</v>
      </c>
      <c r="G3174" s="33">
        <f t="shared" si="302"/>
        <v>131.64422744999999</v>
      </c>
      <c r="H3174" s="38">
        <f>SUM(G3174:G3176)</f>
        <v>4460.5988855999994</v>
      </c>
      <c r="I3174" s="39"/>
      <c r="J3174" s="152">
        <v>0</v>
      </c>
      <c r="L3174" s="215">
        <v>4.8468999999999998</v>
      </c>
      <c r="M3174" s="30">
        <v>23.249388</v>
      </c>
      <c r="N3174" s="33">
        <f t="shared" si="303"/>
        <v>112.68745869719999</v>
      </c>
      <c r="O3174" s="38">
        <f>SUM(N3174:N3176)</f>
        <v>3818.2726460735998</v>
      </c>
      <c r="P3174" s="36" t="str">
        <f t="shared" si="304"/>
        <v/>
      </c>
      <c r="Q3174" s="216">
        <f t="shared" si="305"/>
        <v>0.14400000000000002</v>
      </c>
      <c r="R3174" s="216">
        <f t="shared" si="306"/>
        <v>0.14400000000000002</v>
      </c>
      <c r="S3174" s="217">
        <f t="shared" si="307"/>
        <v>0.14399999999999991</v>
      </c>
    </row>
    <row r="3175" spans="1:19" ht="15.75" hidden="1" thickBot="1" x14ac:dyDescent="0.3">
      <c r="A3175" s="262"/>
      <c r="B3175" s="260"/>
      <c r="C3175" s="35" t="s">
        <v>584</v>
      </c>
      <c r="D3175" s="35" t="s">
        <v>583</v>
      </c>
      <c r="E3175" s="36">
        <v>3.2313000000000001</v>
      </c>
      <c r="F3175" s="30">
        <v>20.225499999999997</v>
      </c>
      <c r="G3175" s="33">
        <f t="shared" si="302"/>
        <v>65.354658149999992</v>
      </c>
      <c r="H3175" s="34"/>
      <c r="I3175" s="30"/>
      <c r="J3175" s="152">
        <v>0</v>
      </c>
      <c r="L3175" s="215">
        <v>3.2313000000000001</v>
      </c>
      <c r="M3175" s="30">
        <v>17.313027999999996</v>
      </c>
      <c r="N3175" s="33">
        <f t="shared" si="303"/>
        <v>55.943587376399989</v>
      </c>
      <c r="O3175" s="34"/>
      <c r="P3175" s="36" t="str">
        <f t="shared" si="304"/>
        <v/>
      </c>
      <c r="Q3175" s="216">
        <f t="shared" si="305"/>
        <v>0.14400000000000013</v>
      </c>
      <c r="R3175" s="216">
        <f t="shared" si="306"/>
        <v>0.14400000000000002</v>
      </c>
      <c r="S3175" s="217" t="str">
        <f t="shared" si="307"/>
        <v/>
      </c>
    </row>
    <row r="3176" spans="1:19" ht="15.75" hidden="1" thickBot="1" x14ac:dyDescent="0.3">
      <c r="A3176" s="262"/>
      <c r="B3176" s="260"/>
      <c r="C3176" s="35" t="s">
        <v>806</v>
      </c>
      <c r="D3176" s="35" t="s">
        <v>773</v>
      </c>
      <c r="E3176" s="36">
        <v>2200</v>
      </c>
      <c r="F3176" s="30">
        <v>1.9379999999999999</v>
      </c>
      <c r="G3176" s="33">
        <f t="shared" si="302"/>
        <v>4263.5999999999995</v>
      </c>
      <c r="H3176" s="34"/>
      <c r="I3176" s="30"/>
      <c r="J3176" s="152">
        <v>0</v>
      </c>
      <c r="L3176" s="215">
        <v>2200</v>
      </c>
      <c r="M3176" s="30">
        <v>1.658928</v>
      </c>
      <c r="N3176" s="33">
        <f t="shared" si="303"/>
        <v>3649.6415999999999</v>
      </c>
      <c r="O3176" s="34"/>
      <c r="P3176" s="36" t="str">
        <f t="shared" si="304"/>
        <v/>
      </c>
      <c r="Q3176" s="216">
        <f t="shared" si="305"/>
        <v>0.14400000000000002</v>
      </c>
      <c r="R3176" s="216">
        <f t="shared" si="306"/>
        <v>0.14399999999999991</v>
      </c>
      <c r="S3176" s="217" t="str">
        <f t="shared" si="307"/>
        <v/>
      </c>
    </row>
    <row r="3177" spans="1:19" ht="15.75" hidden="1" thickBot="1" x14ac:dyDescent="0.3">
      <c r="A3177" s="262"/>
      <c r="B3177" s="260"/>
      <c r="C3177" s="35"/>
      <c r="D3177" s="46"/>
      <c r="E3177" s="36"/>
      <c r="F3177" s="30" t="s">
        <v>416</v>
      </c>
      <c r="G3177" s="33"/>
      <c r="H3177" s="34"/>
      <c r="I3177" s="30"/>
      <c r="J3177" s="152">
        <v>0</v>
      </c>
      <c r="L3177" s="215"/>
      <c r="M3177" s="30"/>
      <c r="N3177" s="33"/>
      <c r="O3177" s="34"/>
      <c r="P3177" s="36" t="str">
        <f t="shared" si="304"/>
        <v/>
      </c>
      <c r="Q3177" s="216" t="str">
        <f t="shared" si="305"/>
        <v/>
      </c>
      <c r="R3177" s="216" t="str">
        <f t="shared" si="306"/>
        <v/>
      </c>
      <c r="S3177" s="217" t="str">
        <f t="shared" si="307"/>
        <v/>
      </c>
    </row>
    <row r="3178" spans="1:19" ht="26.25" hidden="1" thickBot="1" x14ac:dyDescent="0.3">
      <c r="A3178" s="262"/>
      <c r="B3178" s="260"/>
      <c r="C3178" s="47" t="s">
        <v>5781</v>
      </c>
      <c r="D3178" s="46"/>
      <c r="E3178" s="36"/>
      <c r="F3178" s="30" t="s">
        <v>416</v>
      </c>
      <c r="G3178" s="33"/>
      <c r="H3178" s="34"/>
      <c r="I3178" s="30"/>
      <c r="J3178" s="152">
        <v>0</v>
      </c>
      <c r="L3178" s="215"/>
      <c r="M3178" s="30"/>
      <c r="N3178" s="33"/>
      <c r="O3178" s="34"/>
      <c r="P3178" s="36" t="str">
        <f t="shared" si="304"/>
        <v/>
      </c>
      <c r="Q3178" s="216" t="str">
        <f t="shared" si="305"/>
        <v/>
      </c>
      <c r="R3178" s="216" t="str">
        <f t="shared" si="306"/>
        <v/>
      </c>
      <c r="S3178" s="217" t="str">
        <f t="shared" si="307"/>
        <v/>
      </c>
    </row>
    <row r="3179" spans="1:19" ht="30.75" hidden="1" thickBot="1" x14ac:dyDescent="0.3">
      <c r="A3179" s="262"/>
      <c r="B3179" s="260"/>
      <c r="C3179" s="159" t="s">
        <v>5782</v>
      </c>
      <c r="D3179" s="46"/>
      <c r="E3179" s="36"/>
      <c r="F3179" s="30" t="s">
        <v>416</v>
      </c>
      <c r="G3179" s="33"/>
      <c r="H3179" s="34"/>
      <c r="I3179" s="30"/>
      <c r="J3179" s="152">
        <v>0</v>
      </c>
      <c r="L3179" s="215"/>
      <c r="M3179" s="30"/>
      <c r="N3179" s="33"/>
      <c r="O3179" s="34"/>
      <c r="P3179" s="36" t="str">
        <f t="shared" si="304"/>
        <v/>
      </c>
      <c r="Q3179" s="216" t="str">
        <f t="shared" si="305"/>
        <v/>
      </c>
      <c r="R3179" s="216" t="str">
        <f t="shared" si="306"/>
        <v/>
      </c>
      <c r="S3179" s="217" t="str">
        <f t="shared" si="307"/>
        <v/>
      </c>
    </row>
    <row r="3180" spans="1:19" ht="15.75" hidden="1" thickBot="1" x14ac:dyDescent="0.3">
      <c r="A3180" s="263"/>
      <c r="B3180" s="261"/>
      <c r="C3180" s="35"/>
      <c r="D3180" s="35"/>
      <c r="E3180" s="36"/>
      <c r="F3180" s="30" t="s">
        <v>416</v>
      </c>
      <c r="G3180" s="33" t="str">
        <f t="shared" ref="G3180:G3243" si="308">IF(ISNUMBER(F3180),E3180*F3180,"")</f>
        <v/>
      </c>
      <c r="H3180" s="34"/>
      <c r="I3180" s="30"/>
      <c r="J3180" s="152">
        <v>0</v>
      </c>
      <c r="L3180" s="215"/>
      <c r="M3180" s="30"/>
      <c r="N3180" s="33" t="str">
        <f t="shared" ref="N3180:N3243" si="309">IF(ISNUMBER(M3180),L3180*M3180,"")</f>
        <v/>
      </c>
      <c r="O3180" s="34"/>
      <c r="P3180" s="36" t="str">
        <f t="shared" si="304"/>
        <v/>
      </c>
      <c r="Q3180" s="216" t="str">
        <f t="shared" si="305"/>
        <v/>
      </c>
      <c r="R3180" s="216" t="str">
        <f t="shared" si="306"/>
        <v/>
      </c>
      <c r="S3180" s="217" t="str">
        <f t="shared" si="307"/>
        <v/>
      </c>
    </row>
    <row r="3181" spans="1:19" ht="15.75" hidden="1" thickBot="1" x14ac:dyDescent="0.3">
      <c r="A3181" s="256" t="s">
        <v>807</v>
      </c>
      <c r="B3181" s="259" t="str">
        <f>INDEX(Orçamentária!A:B,MATCH(Composições!A3181,Orçamentária!A:A,0),2)</f>
        <v>Armação de aço CA-50 bitolas de 10,0 mm a 12,5 mm</v>
      </c>
      <c r="C3181" s="40"/>
      <c r="D3181" s="25" t="s">
        <v>28</v>
      </c>
      <c r="E3181" s="26"/>
      <c r="F3181" s="41" t="s">
        <v>416</v>
      </c>
      <c r="G3181" s="27" t="str">
        <f t="shared" si="308"/>
        <v/>
      </c>
      <c r="H3181" s="28"/>
      <c r="I3181" s="29"/>
      <c r="J3181" s="152">
        <v>0</v>
      </c>
      <c r="L3181" s="218"/>
      <c r="M3181" s="41"/>
      <c r="N3181" s="27" t="str">
        <f t="shared" si="309"/>
        <v/>
      </c>
      <c r="O3181" s="28"/>
      <c r="P3181" s="36" t="str">
        <f t="shared" si="304"/>
        <v/>
      </c>
      <c r="Q3181" s="216" t="str">
        <f t="shared" si="305"/>
        <v/>
      </c>
      <c r="R3181" s="216" t="str">
        <f t="shared" si="306"/>
        <v/>
      </c>
      <c r="S3181" s="217" t="str">
        <f t="shared" si="307"/>
        <v/>
      </c>
    </row>
    <row r="3182" spans="1:19" ht="15.75" hidden="1" thickBot="1" x14ac:dyDescent="0.3">
      <c r="A3182" s="262"/>
      <c r="B3182" s="260"/>
      <c r="C3182" s="31"/>
      <c r="D3182" s="31"/>
      <c r="E3182" s="32"/>
      <c r="F3182" s="42" t="s">
        <v>416</v>
      </c>
      <c r="G3182" s="33" t="str">
        <f t="shared" si="308"/>
        <v/>
      </c>
      <c r="H3182" s="34"/>
      <c r="I3182" s="30"/>
      <c r="J3182" s="152">
        <v>0</v>
      </c>
      <c r="L3182" s="219"/>
      <c r="M3182" s="42"/>
      <c r="N3182" s="33" t="str">
        <f t="shared" si="309"/>
        <v/>
      </c>
      <c r="O3182" s="34"/>
      <c r="P3182" s="36" t="str">
        <f t="shared" si="304"/>
        <v/>
      </c>
      <c r="Q3182" s="216" t="str">
        <f t="shared" si="305"/>
        <v/>
      </c>
      <c r="R3182" s="216" t="str">
        <f t="shared" si="306"/>
        <v/>
      </c>
      <c r="S3182" s="217" t="str">
        <f t="shared" si="307"/>
        <v/>
      </c>
    </row>
    <row r="3183" spans="1:19" ht="39" hidden="1" thickBot="1" x14ac:dyDescent="0.3">
      <c r="A3183" s="262"/>
      <c r="B3183" s="260"/>
      <c r="C3183" s="35" t="s">
        <v>774</v>
      </c>
      <c r="D3183" s="35" t="s">
        <v>213</v>
      </c>
      <c r="E3183" s="36">
        <v>0.36699999999999999</v>
      </c>
      <c r="F3183" s="30">
        <v>0.20899999999999999</v>
      </c>
      <c r="G3183" s="33">
        <f t="shared" si="308"/>
        <v>7.6702999999999993E-2</v>
      </c>
      <c r="H3183" s="38">
        <f>SUM(G3183:G3187)</f>
        <v>10.595050750000002</v>
      </c>
      <c r="I3183" s="39"/>
      <c r="J3183" s="152">
        <v>0</v>
      </c>
      <c r="L3183" s="215">
        <v>0.36699999999999999</v>
      </c>
      <c r="M3183" s="30">
        <v>0.17890400000000001</v>
      </c>
      <c r="N3183" s="33">
        <f t="shared" si="309"/>
        <v>6.5657768000000005E-2</v>
      </c>
      <c r="O3183" s="38">
        <f>SUM(N3183:N3187)</f>
        <v>9.069363442000002</v>
      </c>
      <c r="P3183" s="36" t="str">
        <f t="shared" si="304"/>
        <v/>
      </c>
      <c r="Q3183" s="216">
        <f t="shared" si="305"/>
        <v>0.14399999999999991</v>
      </c>
      <c r="R3183" s="216">
        <f t="shared" si="306"/>
        <v>0.14399999999999991</v>
      </c>
      <c r="S3183" s="217">
        <f t="shared" si="307"/>
        <v>0.14400000000000002</v>
      </c>
    </row>
    <row r="3184" spans="1:19" ht="26.25" hidden="1" thickBot="1" x14ac:dyDescent="0.3">
      <c r="A3184" s="262"/>
      <c r="B3184" s="260"/>
      <c r="C3184" s="35" t="s">
        <v>3060</v>
      </c>
      <c r="D3184" s="35" t="s">
        <v>773</v>
      </c>
      <c r="E3184" s="36">
        <v>2.5000000000000001E-2</v>
      </c>
      <c r="F3184" s="30">
        <v>21.042499999999997</v>
      </c>
      <c r="G3184" s="33">
        <f t="shared" si="308"/>
        <v>0.52606249999999999</v>
      </c>
      <c r="H3184" s="34"/>
      <c r="I3184" s="30"/>
      <c r="J3184" s="152">
        <v>0</v>
      </c>
      <c r="L3184" s="215">
        <v>2.5000000000000001E-2</v>
      </c>
      <c r="M3184" s="30">
        <v>18.012379999999997</v>
      </c>
      <c r="N3184" s="33">
        <f t="shared" si="309"/>
        <v>0.45030949999999992</v>
      </c>
      <c r="O3184" s="34"/>
      <c r="P3184" s="36" t="str">
        <f t="shared" si="304"/>
        <v/>
      </c>
      <c r="Q3184" s="216">
        <f t="shared" si="305"/>
        <v>0.14400000000000002</v>
      </c>
      <c r="R3184" s="216">
        <f t="shared" si="306"/>
        <v>0.14400000000000013</v>
      </c>
      <c r="S3184" s="217" t="str">
        <f t="shared" si="307"/>
        <v/>
      </c>
    </row>
    <row r="3185" spans="1:19" ht="15.75" hidden="1" thickBot="1" x14ac:dyDescent="0.3">
      <c r="A3185" s="262"/>
      <c r="B3185" s="260"/>
      <c r="C3185" s="35" t="s">
        <v>775</v>
      </c>
      <c r="D3185" s="35" t="s">
        <v>583</v>
      </c>
      <c r="E3185" s="36">
        <v>4.1999999999999997E-3</v>
      </c>
      <c r="F3185" s="30">
        <v>20.196999999999999</v>
      </c>
      <c r="G3185" s="33">
        <f t="shared" si="308"/>
        <v>8.4827399999999997E-2</v>
      </c>
      <c r="H3185" s="34"/>
      <c r="I3185" s="30"/>
      <c r="J3185" s="152">
        <v>0</v>
      </c>
      <c r="L3185" s="215">
        <v>4.1999999999999997E-3</v>
      </c>
      <c r="M3185" s="30">
        <v>17.288632</v>
      </c>
      <c r="N3185" s="33">
        <f t="shared" si="309"/>
        <v>7.2612254399999993E-2</v>
      </c>
      <c r="O3185" s="34"/>
      <c r="P3185" s="36" t="str">
        <f t="shared" si="304"/>
        <v/>
      </c>
      <c r="Q3185" s="216">
        <f t="shared" si="305"/>
        <v>0.14400000000000002</v>
      </c>
      <c r="R3185" s="216">
        <f t="shared" si="306"/>
        <v>0.14400000000000002</v>
      </c>
      <c r="S3185" s="217" t="str">
        <f t="shared" si="307"/>
        <v/>
      </c>
    </row>
    <row r="3186" spans="1:19" ht="15.75" hidden="1" thickBot="1" x14ac:dyDescent="0.3">
      <c r="A3186" s="262"/>
      <c r="B3186" s="260"/>
      <c r="C3186" s="35" t="s">
        <v>776</v>
      </c>
      <c r="D3186" s="35" t="s">
        <v>583</v>
      </c>
      <c r="E3186" s="36">
        <v>2.5700000000000001E-2</v>
      </c>
      <c r="F3186" s="30">
        <v>26.970499999999998</v>
      </c>
      <c r="G3186" s="33">
        <f t="shared" si="308"/>
        <v>0.69314184999999995</v>
      </c>
      <c r="H3186" s="34"/>
      <c r="I3186" s="30"/>
      <c r="J3186" s="152">
        <v>0</v>
      </c>
      <c r="L3186" s="215">
        <v>2.5700000000000001E-2</v>
      </c>
      <c r="M3186" s="30">
        <v>23.086748</v>
      </c>
      <c r="N3186" s="33">
        <f t="shared" si="309"/>
        <v>0.59332942359999996</v>
      </c>
      <c r="O3186" s="34"/>
      <c r="P3186" s="36" t="str">
        <f t="shared" si="304"/>
        <v/>
      </c>
      <c r="Q3186" s="216">
        <f t="shared" si="305"/>
        <v>0.14399999999999991</v>
      </c>
      <c r="R3186" s="216">
        <f t="shared" si="306"/>
        <v>0.14400000000000002</v>
      </c>
      <c r="S3186" s="217" t="str">
        <f t="shared" si="307"/>
        <v/>
      </c>
    </row>
    <row r="3187" spans="1:19" ht="15.75" hidden="1" thickBot="1" x14ac:dyDescent="0.3">
      <c r="A3187" s="262"/>
      <c r="B3187" s="260"/>
      <c r="C3187" s="35" t="s">
        <v>6818</v>
      </c>
      <c r="D3187" s="46" t="s">
        <v>773</v>
      </c>
      <c r="E3187" s="36">
        <v>1</v>
      </c>
      <c r="F3187" s="30">
        <v>9.2143160000000019</v>
      </c>
      <c r="G3187" s="33">
        <f t="shared" si="308"/>
        <v>9.2143160000000019</v>
      </c>
      <c r="H3187" s="34"/>
      <c r="I3187" s="30"/>
      <c r="J3187" s="152">
        <v>0</v>
      </c>
      <c r="L3187" s="215">
        <v>1</v>
      </c>
      <c r="M3187" s="30">
        <v>7.8874544960000019</v>
      </c>
      <c r="N3187" s="33">
        <f t="shared" si="309"/>
        <v>7.8874544960000019</v>
      </c>
      <c r="O3187" s="34"/>
      <c r="P3187" s="36" t="str">
        <f t="shared" si="304"/>
        <v/>
      </c>
      <c r="Q3187" s="216">
        <f t="shared" si="305"/>
        <v>0.14400000000000002</v>
      </c>
      <c r="R3187" s="216">
        <f t="shared" si="306"/>
        <v>0.14400000000000002</v>
      </c>
      <c r="S3187" s="217" t="str">
        <f t="shared" si="307"/>
        <v/>
      </c>
    </row>
    <row r="3188" spans="1:19" ht="15.75" hidden="1" thickBot="1" x14ac:dyDescent="0.3">
      <c r="A3188" s="263"/>
      <c r="B3188" s="261"/>
      <c r="C3188" s="35"/>
      <c r="D3188" s="35"/>
      <c r="E3188" s="36"/>
      <c r="F3188" s="30" t="s">
        <v>416</v>
      </c>
      <c r="G3188" s="33" t="str">
        <f t="shared" si="308"/>
        <v/>
      </c>
      <c r="H3188" s="34"/>
      <c r="I3188" s="30"/>
      <c r="J3188" s="152">
        <v>0</v>
      </c>
      <c r="L3188" s="215"/>
      <c r="M3188" s="30"/>
      <c r="N3188" s="33" t="str">
        <f t="shared" si="309"/>
        <v/>
      </c>
      <c r="O3188" s="34"/>
      <c r="P3188" s="36" t="str">
        <f t="shared" si="304"/>
        <v/>
      </c>
      <c r="Q3188" s="216" t="str">
        <f t="shared" si="305"/>
        <v/>
      </c>
      <c r="R3188" s="216" t="str">
        <f t="shared" si="306"/>
        <v/>
      </c>
      <c r="S3188" s="217" t="str">
        <f t="shared" si="307"/>
        <v/>
      </c>
    </row>
    <row r="3189" spans="1:19" ht="15.75" hidden="1" thickBot="1" x14ac:dyDescent="0.3">
      <c r="A3189" s="256" t="s">
        <v>808</v>
      </c>
      <c r="B3189" s="259" t="str">
        <f>INDEX(Orçamentária!A:B,MATCH(Composições!A3189,Orçamentária!A:A,0),2)</f>
        <v>Armação de aço CA-50 bitolas de 16,0 mm a 25,0 mm</v>
      </c>
      <c r="C3189" s="40"/>
      <c r="D3189" s="25" t="s">
        <v>28</v>
      </c>
      <c r="E3189" s="26"/>
      <c r="F3189" s="41" t="s">
        <v>416</v>
      </c>
      <c r="G3189" s="27" t="str">
        <f t="shared" si="308"/>
        <v/>
      </c>
      <c r="H3189" s="28"/>
      <c r="I3189" s="29"/>
      <c r="J3189" s="152">
        <v>0</v>
      </c>
      <c r="L3189" s="218"/>
      <c r="M3189" s="41"/>
      <c r="N3189" s="27" t="str">
        <f t="shared" si="309"/>
        <v/>
      </c>
      <c r="O3189" s="28"/>
      <c r="P3189" s="36" t="str">
        <f t="shared" si="304"/>
        <v/>
      </c>
      <c r="Q3189" s="216" t="str">
        <f t="shared" si="305"/>
        <v/>
      </c>
      <c r="R3189" s="216" t="str">
        <f t="shared" si="306"/>
        <v/>
      </c>
      <c r="S3189" s="217" t="str">
        <f t="shared" si="307"/>
        <v/>
      </c>
    </row>
    <row r="3190" spans="1:19" ht="15.75" hidden="1" thickBot="1" x14ac:dyDescent="0.3">
      <c r="A3190" s="262"/>
      <c r="B3190" s="260"/>
      <c r="C3190" s="31"/>
      <c r="D3190" s="31"/>
      <c r="E3190" s="32"/>
      <c r="F3190" s="42" t="s">
        <v>416</v>
      </c>
      <c r="G3190" s="33" t="str">
        <f t="shared" si="308"/>
        <v/>
      </c>
      <c r="H3190" s="34"/>
      <c r="I3190" s="30"/>
      <c r="J3190" s="152">
        <v>0</v>
      </c>
      <c r="L3190" s="219"/>
      <c r="M3190" s="42"/>
      <c r="N3190" s="33" t="str">
        <f t="shared" si="309"/>
        <v/>
      </c>
      <c r="O3190" s="34"/>
      <c r="P3190" s="36" t="str">
        <f t="shared" si="304"/>
        <v/>
      </c>
      <c r="Q3190" s="216" t="str">
        <f t="shared" si="305"/>
        <v/>
      </c>
      <c r="R3190" s="216" t="str">
        <f t="shared" si="306"/>
        <v/>
      </c>
      <c r="S3190" s="217" t="str">
        <f t="shared" si="307"/>
        <v/>
      </c>
    </row>
    <row r="3191" spans="1:19" ht="39" hidden="1" thickBot="1" x14ac:dyDescent="0.3">
      <c r="A3191" s="262"/>
      <c r="B3191" s="260"/>
      <c r="C3191" s="35" t="s">
        <v>774</v>
      </c>
      <c r="D3191" s="35" t="s">
        <v>213</v>
      </c>
      <c r="E3191" s="36">
        <v>0.21199999999999999</v>
      </c>
      <c r="F3191" s="30">
        <v>0.20899999999999999</v>
      </c>
      <c r="G3191" s="33">
        <f t="shared" si="308"/>
        <v>4.4308E-2</v>
      </c>
      <c r="H3191" s="38">
        <f>SUM(G3191:G3195)</f>
        <v>10.294354850000001</v>
      </c>
      <c r="I3191" s="39"/>
      <c r="J3191" s="152">
        <v>0</v>
      </c>
      <c r="L3191" s="215">
        <v>0.21199999999999999</v>
      </c>
      <c r="M3191" s="30">
        <v>0.17890400000000001</v>
      </c>
      <c r="N3191" s="33">
        <f t="shared" si="309"/>
        <v>3.7927648000000001E-2</v>
      </c>
      <c r="O3191" s="38">
        <f>SUM(N3191:N3195)</f>
        <v>8.8119677516000028</v>
      </c>
      <c r="P3191" s="36" t="str">
        <f t="shared" si="304"/>
        <v/>
      </c>
      <c r="Q3191" s="216">
        <f t="shared" si="305"/>
        <v>0.14399999999999991</v>
      </c>
      <c r="R3191" s="216">
        <f t="shared" si="306"/>
        <v>0.14400000000000002</v>
      </c>
      <c r="S3191" s="217">
        <f t="shared" si="307"/>
        <v>0.14399999999999979</v>
      </c>
    </row>
    <row r="3192" spans="1:19" ht="26.25" hidden="1" thickBot="1" x14ac:dyDescent="0.3">
      <c r="A3192" s="262"/>
      <c r="B3192" s="260"/>
      <c r="C3192" s="35" t="s">
        <v>3060</v>
      </c>
      <c r="D3192" s="35" t="s">
        <v>773</v>
      </c>
      <c r="E3192" s="36">
        <v>2.5000000000000001E-2</v>
      </c>
      <c r="F3192" s="30">
        <v>21.042499999999997</v>
      </c>
      <c r="G3192" s="33">
        <f t="shared" si="308"/>
        <v>0.52606249999999999</v>
      </c>
      <c r="H3192" s="34"/>
      <c r="I3192" s="30"/>
      <c r="J3192" s="152">
        <v>0</v>
      </c>
      <c r="L3192" s="215">
        <v>2.5000000000000001E-2</v>
      </c>
      <c r="M3192" s="30">
        <v>18.012379999999997</v>
      </c>
      <c r="N3192" s="33">
        <f t="shared" si="309"/>
        <v>0.45030949999999992</v>
      </c>
      <c r="O3192" s="34"/>
      <c r="P3192" s="36" t="str">
        <f t="shared" si="304"/>
        <v/>
      </c>
      <c r="Q3192" s="216">
        <f t="shared" si="305"/>
        <v>0.14400000000000002</v>
      </c>
      <c r="R3192" s="216">
        <f t="shared" si="306"/>
        <v>0.14400000000000013</v>
      </c>
      <c r="S3192" s="217" t="str">
        <f t="shared" si="307"/>
        <v/>
      </c>
    </row>
    <row r="3193" spans="1:19" ht="15.75" hidden="1" thickBot="1" x14ac:dyDescent="0.3">
      <c r="A3193" s="262"/>
      <c r="B3193" s="260"/>
      <c r="C3193" s="35" t="s">
        <v>775</v>
      </c>
      <c r="D3193" s="35" t="s">
        <v>583</v>
      </c>
      <c r="E3193" s="36">
        <v>3.2000000000000002E-3</v>
      </c>
      <c r="F3193" s="30">
        <v>20.196999999999999</v>
      </c>
      <c r="G3193" s="33">
        <f t="shared" si="308"/>
        <v>6.4630400000000005E-2</v>
      </c>
      <c r="H3193" s="34"/>
      <c r="I3193" s="30"/>
      <c r="J3193" s="152">
        <v>0</v>
      </c>
      <c r="L3193" s="215">
        <v>3.2000000000000002E-3</v>
      </c>
      <c r="M3193" s="30">
        <v>17.288632</v>
      </c>
      <c r="N3193" s="33">
        <f t="shared" si="309"/>
        <v>5.5323622400000001E-2</v>
      </c>
      <c r="O3193" s="34"/>
      <c r="P3193" s="36" t="str">
        <f t="shared" si="304"/>
        <v/>
      </c>
      <c r="Q3193" s="216">
        <f t="shared" si="305"/>
        <v>0.14400000000000002</v>
      </c>
      <c r="R3193" s="216">
        <f t="shared" si="306"/>
        <v>0.14400000000000002</v>
      </c>
      <c r="S3193" s="217" t="str">
        <f t="shared" si="307"/>
        <v/>
      </c>
    </row>
    <row r="3194" spans="1:19" ht="15.75" hidden="1" thickBot="1" x14ac:dyDescent="0.3">
      <c r="A3194" s="262"/>
      <c r="B3194" s="260"/>
      <c r="C3194" s="35" t="s">
        <v>776</v>
      </c>
      <c r="D3194" s="35" t="s">
        <v>583</v>
      </c>
      <c r="E3194" s="36">
        <v>1.9400000000000001E-2</v>
      </c>
      <c r="F3194" s="30">
        <v>26.970499999999998</v>
      </c>
      <c r="G3194" s="33">
        <f t="shared" si="308"/>
        <v>0.52322769999999996</v>
      </c>
      <c r="H3194" s="34"/>
      <c r="I3194" s="30"/>
      <c r="J3194" s="152">
        <v>0</v>
      </c>
      <c r="L3194" s="215">
        <v>1.9400000000000001E-2</v>
      </c>
      <c r="M3194" s="30">
        <v>23.086748</v>
      </c>
      <c r="N3194" s="33">
        <f t="shared" si="309"/>
        <v>0.44788291120000001</v>
      </c>
      <c r="O3194" s="34"/>
      <c r="P3194" s="36" t="str">
        <f t="shared" si="304"/>
        <v/>
      </c>
      <c r="Q3194" s="216">
        <f t="shared" si="305"/>
        <v>0.14399999999999991</v>
      </c>
      <c r="R3194" s="216">
        <f t="shared" si="306"/>
        <v>0.14399999999999991</v>
      </c>
      <c r="S3194" s="217" t="str">
        <f t="shared" si="307"/>
        <v/>
      </c>
    </row>
    <row r="3195" spans="1:19" ht="15.75" hidden="1" thickBot="1" x14ac:dyDescent="0.3">
      <c r="A3195" s="262"/>
      <c r="B3195" s="260"/>
      <c r="C3195" s="35" t="s">
        <v>6819</v>
      </c>
      <c r="D3195" s="46" t="s">
        <v>773</v>
      </c>
      <c r="E3195" s="36">
        <v>1</v>
      </c>
      <c r="F3195" s="30">
        <v>9.136126250000002</v>
      </c>
      <c r="G3195" s="33">
        <f t="shared" si="308"/>
        <v>9.136126250000002</v>
      </c>
      <c r="H3195" s="34"/>
      <c r="I3195" s="30"/>
      <c r="J3195" s="152">
        <v>0</v>
      </c>
      <c r="L3195" s="215">
        <v>1</v>
      </c>
      <c r="M3195" s="30">
        <v>7.820524070000002</v>
      </c>
      <c r="N3195" s="33">
        <f t="shared" si="309"/>
        <v>7.820524070000002</v>
      </c>
      <c r="O3195" s="34"/>
      <c r="P3195" s="36" t="str">
        <f t="shared" si="304"/>
        <v/>
      </c>
      <c r="Q3195" s="216">
        <f t="shared" si="305"/>
        <v>0.14400000000000002</v>
      </c>
      <c r="R3195" s="216">
        <f t="shared" si="306"/>
        <v>0.14400000000000002</v>
      </c>
      <c r="S3195" s="217" t="str">
        <f t="shared" si="307"/>
        <v/>
      </c>
    </row>
    <row r="3196" spans="1:19" ht="15.75" hidden="1" thickBot="1" x14ac:dyDescent="0.3">
      <c r="A3196" s="263"/>
      <c r="B3196" s="261"/>
      <c r="C3196" s="35"/>
      <c r="D3196" s="35"/>
      <c r="E3196" s="36"/>
      <c r="F3196" s="30" t="s">
        <v>416</v>
      </c>
      <c r="G3196" s="33" t="str">
        <f t="shared" si="308"/>
        <v/>
      </c>
      <c r="H3196" s="34"/>
      <c r="I3196" s="30"/>
      <c r="J3196" s="152">
        <v>0</v>
      </c>
      <c r="L3196" s="215"/>
      <c r="M3196" s="30"/>
      <c r="N3196" s="33" t="str">
        <f t="shared" si="309"/>
        <v/>
      </c>
      <c r="O3196" s="34"/>
      <c r="P3196" s="36" t="str">
        <f t="shared" si="304"/>
        <v/>
      </c>
      <c r="Q3196" s="216" t="str">
        <f t="shared" si="305"/>
        <v/>
      </c>
      <c r="R3196" s="216" t="str">
        <f t="shared" si="306"/>
        <v/>
      </c>
      <c r="S3196" s="217" t="str">
        <f t="shared" si="307"/>
        <v/>
      </c>
    </row>
    <row r="3197" spans="1:19" ht="15.75" hidden="1" thickBot="1" x14ac:dyDescent="0.3">
      <c r="A3197" s="256" t="s">
        <v>809</v>
      </c>
      <c r="B3197" s="259" t="str">
        <f>INDEX(Orçamentária!A:B,MATCH(Composições!A3197,Orçamentária!A:A,0),2)</f>
        <v>Remoção de mola hidráulica de piso</v>
      </c>
      <c r="C3197" s="40"/>
      <c r="D3197" s="25" t="s">
        <v>16</v>
      </c>
      <c r="E3197" s="26"/>
      <c r="F3197" s="41" t="s">
        <v>416</v>
      </c>
      <c r="G3197" s="27" t="str">
        <f t="shared" si="308"/>
        <v/>
      </c>
      <c r="H3197" s="28"/>
      <c r="I3197" s="29"/>
      <c r="J3197" s="152">
        <v>0</v>
      </c>
      <c r="L3197" s="218"/>
      <c r="M3197" s="41"/>
      <c r="N3197" s="27" t="str">
        <f t="shared" si="309"/>
        <v/>
      </c>
      <c r="O3197" s="28"/>
      <c r="P3197" s="36" t="str">
        <f t="shared" si="304"/>
        <v/>
      </c>
      <c r="Q3197" s="216" t="str">
        <f t="shared" si="305"/>
        <v/>
      </c>
      <c r="R3197" s="216" t="str">
        <f t="shared" si="306"/>
        <v/>
      </c>
      <c r="S3197" s="217" t="str">
        <f t="shared" si="307"/>
        <v/>
      </c>
    </row>
    <row r="3198" spans="1:19" ht="15.75" hidden="1" thickBot="1" x14ac:dyDescent="0.3">
      <c r="A3198" s="262"/>
      <c r="B3198" s="260"/>
      <c r="C3198" s="148"/>
      <c r="D3198" s="31"/>
      <c r="E3198" s="32"/>
      <c r="F3198" s="42" t="s">
        <v>416</v>
      </c>
      <c r="G3198" s="33" t="str">
        <f t="shared" si="308"/>
        <v/>
      </c>
      <c r="H3198" s="34"/>
      <c r="I3198" s="30"/>
      <c r="J3198" s="152">
        <v>0</v>
      </c>
      <c r="L3198" s="219"/>
      <c r="M3198" s="42"/>
      <c r="N3198" s="33" t="str">
        <f t="shared" si="309"/>
        <v/>
      </c>
      <c r="O3198" s="34"/>
      <c r="P3198" s="36" t="str">
        <f t="shared" si="304"/>
        <v/>
      </c>
      <c r="Q3198" s="216" t="str">
        <f t="shared" si="305"/>
        <v/>
      </c>
      <c r="R3198" s="216" t="str">
        <f t="shared" si="306"/>
        <v/>
      </c>
      <c r="S3198" s="217" t="str">
        <f t="shared" si="307"/>
        <v/>
      </c>
    </row>
    <row r="3199" spans="1:19" ht="15.75" hidden="1" thickBot="1" x14ac:dyDescent="0.3">
      <c r="A3199" s="262"/>
      <c r="B3199" s="260"/>
      <c r="C3199" s="35" t="s">
        <v>584</v>
      </c>
      <c r="D3199" s="35" t="s">
        <v>583</v>
      </c>
      <c r="E3199" s="36">
        <v>0.55000000000000004</v>
      </c>
      <c r="F3199" s="30">
        <v>20.225499999999997</v>
      </c>
      <c r="G3199" s="33">
        <f t="shared" si="308"/>
        <v>11.124025</v>
      </c>
      <c r="H3199" s="38">
        <f>SUM(G3199:G3200)</f>
        <v>24.907575000000001</v>
      </c>
      <c r="I3199" s="39"/>
      <c r="J3199" s="152">
        <v>0</v>
      </c>
      <c r="L3199" s="215">
        <v>0.55000000000000004</v>
      </c>
      <c r="M3199" s="30">
        <v>17.313027999999996</v>
      </c>
      <c r="N3199" s="33">
        <f t="shared" si="309"/>
        <v>9.5221653999999987</v>
      </c>
      <c r="O3199" s="38">
        <f>SUM(N3199:N3200)</f>
        <v>21.320884199999998</v>
      </c>
      <c r="P3199" s="36" t="str">
        <f t="shared" si="304"/>
        <v/>
      </c>
      <c r="Q3199" s="216">
        <f t="shared" si="305"/>
        <v>0.14400000000000013</v>
      </c>
      <c r="R3199" s="216">
        <f t="shared" si="306"/>
        <v>0.14400000000000013</v>
      </c>
      <c r="S3199" s="217">
        <f t="shared" si="307"/>
        <v>0.14400000000000013</v>
      </c>
    </row>
    <row r="3200" spans="1:19" ht="15.75" hidden="1" thickBot="1" x14ac:dyDescent="0.3">
      <c r="A3200" s="262"/>
      <c r="B3200" s="260"/>
      <c r="C3200" s="35" t="s">
        <v>2909</v>
      </c>
      <c r="D3200" s="35" t="s">
        <v>583</v>
      </c>
      <c r="E3200" s="36">
        <v>0.55000000000000004</v>
      </c>
      <c r="F3200" s="30">
        <v>25.060999999999996</v>
      </c>
      <c r="G3200" s="33">
        <f t="shared" si="308"/>
        <v>13.78355</v>
      </c>
      <c r="H3200" s="34"/>
      <c r="I3200" s="30"/>
      <c r="J3200" s="152">
        <v>0</v>
      </c>
      <c r="L3200" s="215">
        <v>0.55000000000000004</v>
      </c>
      <c r="M3200" s="30">
        <v>21.452215999999996</v>
      </c>
      <c r="N3200" s="33">
        <f t="shared" si="309"/>
        <v>11.7987188</v>
      </c>
      <c r="O3200" s="34"/>
      <c r="P3200" s="36" t="str">
        <f t="shared" si="304"/>
        <v/>
      </c>
      <c r="Q3200" s="216">
        <f t="shared" si="305"/>
        <v>0.14400000000000002</v>
      </c>
      <c r="R3200" s="216">
        <f t="shared" si="306"/>
        <v>0.14400000000000002</v>
      </c>
      <c r="S3200" s="217" t="str">
        <f t="shared" si="307"/>
        <v/>
      </c>
    </row>
    <row r="3201" spans="1:19" ht="15.75" hidden="1" thickBot="1" x14ac:dyDescent="0.3">
      <c r="A3201" s="263"/>
      <c r="B3201" s="261"/>
      <c r="C3201" s="35"/>
      <c r="D3201" s="35"/>
      <c r="E3201" s="36"/>
      <c r="F3201" s="30" t="s">
        <v>416</v>
      </c>
      <c r="G3201" s="33" t="str">
        <f t="shared" si="308"/>
        <v/>
      </c>
      <c r="H3201" s="34"/>
      <c r="I3201" s="30"/>
      <c r="J3201" s="152">
        <v>0</v>
      </c>
      <c r="L3201" s="215"/>
      <c r="M3201" s="30"/>
      <c r="N3201" s="33" t="str">
        <f t="shared" si="309"/>
        <v/>
      </c>
      <c r="O3201" s="34"/>
      <c r="P3201" s="36" t="str">
        <f t="shared" si="304"/>
        <v/>
      </c>
      <c r="Q3201" s="216" t="str">
        <f t="shared" si="305"/>
        <v/>
      </c>
      <c r="R3201" s="216" t="str">
        <f t="shared" si="306"/>
        <v/>
      </c>
      <c r="S3201" s="217" t="str">
        <f t="shared" si="307"/>
        <v/>
      </c>
    </row>
    <row r="3202" spans="1:19" ht="15.75" thickBot="1" x14ac:dyDescent="0.3">
      <c r="A3202" s="256" t="s">
        <v>810</v>
      </c>
      <c r="B3202" s="259" t="str">
        <f>INDEX(Orçamentária!A:B,MATCH(Composições!A3202,Orçamentária!A:A,0),2)</f>
        <v>Escavação manual de valas</v>
      </c>
      <c r="C3202" s="40"/>
      <c r="D3202" s="25" t="s">
        <v>80</v>
      </c>
      <c r="E3202" s="26"/>
      <c r="F3202" s="41" t="s">
        <v>416</v>
      </c>
      <c r="G3202" s="27" t="str">
        <f t="shared" si="308"/>
        <v/>
      </c>
      <c r="H3202" s="28"/>
      <c r="I3202" s="29"/>
      <c r="J3202" s="152">
        <v>24</v>
      </c>
      <c r="L3202" s="218"/>
      <c r="M3202" s="41"/>
      <c r="N3202" s="27" t="str">
        <f t="shared" si="309"/>
        <v/>
      </c>
      <c r="O3202" s="28"/>
      <c r="P3202" s="36" t="str">
        <f t="shared" si="304"/>
        <v/>
      </c>
      <c r="Q3202" s="216" t="str">
        <f t="shared" si="305"/>
        <v/>
      </c>
      <c r="R3202" s="216" t="str">
        <f t="shared" si="306"/>
        <v/>
      </c>
      <c r="S3202" s="217" t="str">
        <f t="shared" si="307"/>
        <v/>
      </c>
    </row>
    <row r="3203" spans="1:19" x14ac:dyDescent="0.25">
      <c r="A3203" s="262"/>
      <c r="B3203" s="260"/>
      <c r="C3203" s="31"/>
      <c r="D3203" s="31"/>
      <c r="E3203" s="32"/>
      <c r="F3203" s="42" t="s">
        <v>416</v>
      </c>
      <c r="G3203" s="33" t="str">
        <f t="shared" si="308"/>
        <v/>
      </c>
      <c r="H3203" s="34"/>
      <c r="I3203" s="30"/>
      <c r="J3203" s="152">
        <v>24</v>
      </c>
      <c r="L3203" s="219"/>
      <c r="M3203" s="42"/>
      <c r="N3203" s="33" t="str">
        <f t="shared" si="309"/>
        <v/>
      </c>
      <c r="O3203" s="34"/>
      <c r="P3203" s="36" t="str">
        <f t="shared" si="304"/>
        <v/>
      </c>
      <c r="Q3203" s="216" t="str">
        <f t="shared" si="305"/>
        <v/>
      </c>
      <c r="R3203" s="216" t="str">
        <f t="shared" si="306"/>
        <v/>
      </c>
      <c r="S3203" s="217" t="str">
        <f t="shared" si="307"/>
        <v/>
      </c>
    </row>
    <row r="3204" spans="1:19" x14ac:dyDescent="0.25">
      <c r="A3204" s="262"/>
      <c r="B3204" s="260"/>
      <c r="C3204" s="35" t="s">
        <v>584</v>
      </c>
      <c r="D3204" s="35" t="s">
        <v>583</v>
      </c>
      <c r="E3204" s="36">
        <v>3.956</v>
      </c>
      <c r="F3204" s="30">
        <v>20.225499999999997</v>
      </c>
      <c r="G3204" s="33">
        <f t="shared" si="308"/>
        <v>80.012077999999988</v>
      </c>
      <c r="H3204" s="38">
        <f>SUM(G3204:G3204)</f>
        <v>80.012077999999988</v>
      </c>
      <c r="I3204" s="39"/>
      <c r="J3204" s="152">
        <v>24</v>
      </c>
      <c r="L3204" s="215">
        <v>3.956</v>
      </c>
      <c r="M3204" s="30">
        <v>17.313027999999996</v>
      </c>
      <c r="N3204" s="33">
        <f t="shared" si="309"/>
        <v>68.490338767999987</v>
      </c>
      <c r="O3204" s="38">
        <f>SUM(N3204:N3204)</f>
        <v>68.490338767999987</v>
      </c>
      <c r="P3204" s="36" t="str">
        <f t="shared" si="304"/>
        <v/>
      </c>
      <c r="Q3204" s="216">
        <f t="shared" si="305"/>
        <v>0.14400000000000013</v>
      </c>
      <c r="R3204" s="216">
        <f t="shared" si="306"/>
        <v>0.14400000000000002</v>
      </c>
      <c r="S3204" s="217">
        <f t="shared" si="307"/>
        <v>0.14400000000000002</v>
      </c>
    </row>
    <row r="3205" spans="1:19" ht="15.75" thickBot="1" x14ac:dyDescent="0.3">
      <c r="A3205" s="263"/>
      <c r="B3205" s="261"/>
      <c r="C3205" s="35"/>
      <c r="D3205" s="35"/>
      <c r="E3205" s="36"/>
      <c r="F3205" s="30" t="s">
        <v>416</v>
      </c>
      <c r="G3205" s="33" t="str">
        <f t="shared" si="308"/>
        <v/>
      </c>
      <c r="H3205" s="34"/>
      <c r="I3205" s="30"/>
      <c r="J3205" s="152">
        <v>24</v>
      </c>
      <c r="L3205" s="215"/>
      <c r="M3205" s="30"/>
      <c r="N3205" s="33" t="str">
        <f t="shared" si="309"/>
        <v/>
      </c>
      <c r="O3205" s="34"/>
      <c r="P3205" s="36" t="str">
        <f t="shared" si="304"/>
        <v/>
      </c>
      <c r="Q3205" s="216" t="str">
        <f t="shared" si="305"/>
        <v/>
      </c>
      <c r="R3205" s="216" t="str">
        <f t="shared" si="306"/>
        <v/>
      </c>
      <c r="S3205" s="217" t="str">
        <f t="shared" si="307"/>
        <v/>
      </c>
    </row>
    <row r="3206" spans="1:19" ht="15.75" thickBot="1" x14ac:dyDescent="0.3">
      <c r="A3206" s="256" t="s">
        <v>811</v>
      </c>
      <c r="B3206" s="259" t="str">
        <f>INDEX(Orçamentária!A:B,MATCH(Composições!A3206,Orçamentária!A:A,0),2)</f>
        <v>Reaterro de vala com compactação mecanizada</v>
      </c>
      <c r="C3206" s="40"/>
      <c r="D3206" s="25" t="s">
        <v>80</v>
      </c>
      <c r="E3206" s="26"/>
      <c r="F3206" s="41" t="s">
        <v>416</v>
      </c>
      <c r="G3206" s="27" t="str">
        <f t="shared" si="308"/>
        <v/>
      </c>
      <c r="H3206" s="28"/>
      <c r="I3206" s="29"/>
      <c r="J3206" s="152">
        <v>12</v>
      </c>
      <c r="L3206" s="218"/>
      <c r="M3206" s="41"/>
      <c r="N3206" s="27" t="str">
        <f t="shared" si="309"/>
        <v/>
      </c>
      <c r="O3206" s="28"/>
      <c r="P3206" s="36" t="str">
        <f t="shared" si="304"/>
        <v/>
      </c>
      <c r="Q3206" s="216" t="str">
        <f t="shared" si="305"/>
        <v/>
      </c>
      <c r="R3206" s="216" t="str">
        <f t="shared" si="306"/>
        <v/>
      </c>
      <c r="S3206" s="217" t="str">
        <f t="shared" si="307"/>
        <v/>
      </c>
    </row>
    <row r="3207" spans="1:19" x14ac:dyDescent="0.25">
      <c r="A3207" s="262"/>
      <c r="B3207" s="260"/>
      <c r="C3207" s="31"/>
      <c r="D3207" s="31"/>
      <c r="E3207" s="32"/>
      <c r="F3207" s="42" t="s">
        <v>416</v>
      </c>
      <c r="G3207" s="33" t="str">
        <f t="shared" si="308"/>
        <v/>
      </c>
      <c r="H3207" s="34"/>
      <c r="I3207" s="30"/>
      <c r="J3207" s="152">
        <v>12</v>
      </c>
      <c r="L3207" s="219"/>
      <c r="M3207" s="42"/>
      <c r="N3207" s="33" t="str">
        <f t="shared" si="309"/>
        <v/>
      </c>
      <c r="O3207" s="34"/>
      <c r="P3207" s="36" t="str">
        <f t="shared" si="304"/>
        <v/>
      </c>
      <c r="Q3207" s="216" t="str">
        <f t="shared" si="305"/>
        <v/>
      </c>
      <c r="R3207" s="216" t="str">
        <f t="shared" si="306"/>
        <v/>
      </c>
      <c r="S3207" s="217" t="str">
        <f t="shared" si="307"/>
        <v/>
      </c>
    </row>
    <row r="3208" spans="1:19" x14ac:dyDescent="0.25">
      <c r="A3208" s="262"/>
      <c r="B3208" s="260"/>
      <c r="C3208" s="35" t="s">
        <v>584</v>
      </c>
      <c r="D3208" s="35" t="s">
        <v>583</v>
      </c>
      <c r="E3208" s="36">
        <v>0.65</v>
      </c>
      <c r="F3208" s="30">
        <v>20.225499999999997</v>
      </c>
      <c r="G3208" s="33">
        <f t="shared" si="308"/>
        <v>13.146574999999999</v>
      </c>
      <c r="H3208" s="38">
        <f>SUM(G3208:G3211)</f>
        <v>28.403945499999999</v>
      </c>
      <c r="I3208" s="39"/>
      <c r="J3208" s="152">
        <v>12</v>
      </c>
      <c r="L3208" s="215">
        <v>0.65</v>
      </c>
      <c r="M3208" s="30">
        <v>17.313027999999996</v>
      </c>
      <c r="N3208" s="33">
        <f t="shared" si="309"/>
        <v>11.253468199999997</v>
      </c>
      <c r="O3208" s="38">
        <f>SUM(N3208:N3211)</f>
        <v>24.313777347999999</v>
      </c>
      <c r="P3208" s="36" t="str">
        <f t="shared" ref="P3208:P3271" si="310">IF(ISBLANK(L3208),"",IF($E3208&lt;&gt;L3208,"SIM",""))</f>
        <v/>
      </c>
      <c r="Q3208" s="216">
        <f t="shared" ref="Q3208:Q3271" si="311">IF(M3208="","",1-M3208/$F3208)</f>
        <v>0.14400000000000013</v>
      </c>
      <c r="R3208" s="216">
        <f t="shared" ref="R3208:R3271" si="312">IF(N3208="","",1-N3208/$G3208)</f>
        <v>0.14400000000000013</v>
      </c>
      <c r="S3208" s="217">
        <f t="shared" ref="S3208:S3271" si="313">IF(O3208="","",1-O3208/$H3208)</f>
        <v>0.14400000000000002</v>
      </c>
    </row>
    <row r="3209" spans="1:19" ht="25.5" x14ac:dyDescent="0.25">
      <c r="A3209" s="262"/>
      <c r="B3209" s="260"/>
      <c r="C3209" s="35" t="s">
        <v>812</v>
      </c>
      <c r="D3209" s="35" t="s">
        <v>813</v>
      </c>
      <c r="E3209" s="36">
        <v>0.27400000000000002</v>
      </c>
      <c r="F3209" s="30">
        <v>27.512</v>
      </c>
      <c r="G3209" s="33">
        <f t="shared" si="308"/>
        <v>7.5382880000000005</v>
      </c>
      <c r="H3209" s="34"/>
      <c r="I3209" s="30"/>
      <c r="J3209" s="152">
        <v>12</v>
      </c>
      <c r="L3209" s="215">
        <v>0.27400000000000002</v>
      </c>
      <c r="M3209" s="30">
        <v>23.550272</v>
      </c>
      <c r="N3209" s="33">
        <f t="shared" si="309"/>
        <v>6.4527745280000008</v>
      </c>
      <c r="O3209" s="34"/>
      <c r="P3209" s="36" t="str">
        <f t="shared" si="310"/>
        <v/>
      </c>
      <c r="Q3209" s="216">
        <f t="shared" si="311"/>
        <v>0.14400000000000002</v>
      </c>
      <c r="R3209" s="216">
        <f t="shared" si="312"/>
        <v>0.14399999999999991</v>
      </c>
      <c r="S3209" s="217" t="str">
        <f t="shared" si="313"/>
        <v/>
      </c>
    </row>
    <row r="3210" spans="1:19" ht="25.5" x14ac:dyDescent="0.25">
      <c r="A3210" s="262"/>
      <c r="B3210" s="260"/>
      <c r="C3210" s="35" t="s">
        <v>814</v>
      </c>
      <c r="D3210" s="35" t="s">
        <v>815</v>
      </c>
      <c r="E3210" s="36">
        <v>0.254</v>
      </c>
      <c r="F3210" s="30">
        <v>22.001999999999999</v>
      </c>
      <c r="G3210" s="33">
        <f t="shared" si="308"/>
        <v>5.588508</v>
      </c>
      <c r="H3210" s="34"/>
      <c r="I3210" s="30"/>
      <c r="J3210" s="152">
        <v>12</v>
      </c>
      <c r="L3210" s="215">
        <v>0.254</v>
      </c>
      <c r="M3210" s="30">
        <v>18.833711999999998</v>
      </c>
      <c r="N3210" s="33">
        <f t="shared" si="309"/>
        <v>4.7837628479999994</v>
      </c>
      <c r="O3210" s="34"/>
      <c r="P3210" s="36" t="str">
        <f t="shared" si="310"/>
        <v/>
      </c>
      <c r="Q3210" s="216">
        <f t="shared" si="311"/>
        <v>0.14400000000000002</v>
      </c>
      <c r="R3210" s="216">
        <f t="shared" si="312"/>
        <v>0.14400000000000013</v>
      </c>
      <c r="S3210" s="217" t="str">
        <f t="shared" si="313"/>
        <v/>
      </c>
    </row>
    <row r="3211" spans="1:19" ht="25.5" x14ac:dyDescent="0.25">
      <c r="A3211" s="262"/>
      <c r="B3211" s="260"/>
      <c r="C3211" s="35" t="s">
        <v>816</v>
      </c>
      <c r="D3211" s="35" t="s">
        <v>87</v>
      </c>
      <c r="E3211" s="36">
        <v>1</v>
      </c>
      <c r="F3211" s="30">
        <v>2.1305744999999998</v>
      </c>
      <c r="G3211" s="33">
        <f t="shared" si="308"/>
        <v>2.1305744999999998</v>
      </c>
      <c r="H3211" s="34"/>
      <c r="I3211" s="30"/>
      <c r="J3211" s="152">
        <v>12</v>
      </c>
      <c r="L3211" s="215">
        <v>1</v>
      </c>
      <c r="M3211" s="30">
        <v>1.8237717719999997</v>
      </c>
      <c r="N3211" s="33">
        <f t="shared" si="309"/>
        <v>1.8237717719999997</v>
      </c>
      <c r="O3211" s="34"/>
      <c r="P3211" s="36" t="str">
        <f t="shared" si="310"/>
        <v/>
      </c>
      <c r="Q3211" s="216">
        <f t="shared" si="311"/>
        <v>0.14400000000000002</v>
      </c>
      <c r="R3211" s="216">
        <f t="shared" si="312"/>
        <v>0.14400000000000002</v>
      </c>
      <c r="S3211" s="217" t="str">
        <f t="shared" si="313"/>
        <v/>
      </c>
    </row>
    <row r="3212" spans="1:19" ht="15.75" thickBot="1" x14ac:dyDescent="0.3">
      <c r="A3212" s="263"/>
      <c r="B3212" s="261"/>
      <c r="C3212" s="35"/>
      <c r="D3212" s="35"/>
      <c r="E3212" s="36"/>
      <c r="F3212" s="30" t="s">
        <v>416</v>
      </c>
      <c r="G3212" s="33" t="str">
        <f t="shared" si="308"/>
        <v/>
      </c>
      <c r="H3212" s="34"/>
      <c r="I3212" s="30"/>
      <c r="J3212" s="152">
        <v>12</v>
      </c>
      <c r="L3212" s="215"/>
      <c r="M3212" s="30"/>
      <c r="N3212" s="33" t="str">
        <f t="shared" si="309"/>
        <v/>
      </c>
      <c r="O3212" s="34"/>
      <c r="P3212" s="36" t="str">
        <f t="shared" si="310"/>
        <v/>
      </c>
      <c r="Q3212" s="216" t="str">
        <f t="shared" si="311"/>
        <v/>
      </c>
      <c r="R3212" s="216" t="str">
        <f t="shared" si="312"/>
        <v/>
      </c>
      <c r="S3212" s="217" t="str">
        <f t="shared" si="313"/>
        <v/>
      </c>
    </row>
    <row r="3213" spans="1:19" ht="15.75" hidden="1" thickBot="1" x14ac:dyDescent="0.3">
      <c r="A3213" s="256" t="s">
        <v>817</v>
      </c>
      <c r="B3213" s="259" t="str">
        <f>INDEX(Orçamentária!A:B,MATCH(Composições!A3213,Orçamentária!A:A,0),2)</f>
        <v>Aterro de vala com compactação mecanizada</v>
      </c>
      <c r="C3213" s="40"/>
      <c r="D3213" s="25" t="s">
        <v>80</v>
      </c>
      <c r="E3213" s="26"/>
      <c r="F3213" s="41" t="s">
        <v>416</v>
      </c>
      <c r="G3213" s="27" t="str">
        <f t="shared" si="308"/>
        <v/>
      </c>
      <c r="H3213" s="28"/>
      <c r="I3213" s="29"/>
      <c r="J3213" s="152">
        <v>0</v>
      </c>
      <c r="L3213" s="218"/>
      <c r="M3213" s="41"/>
      <c r="N3213" s="27" t="str">
        <f t="shared" si="309"/>
        <v/>
      </c>
      <c r="O3213" s="28"/>
      <c r="P3213" s="36" t="str">
        <f t="shared" si="310"/>
        <v/>
      </c>
      <c r="Q3213" s="216" t="str">
        <f t="shared" si="311"/>
        <v/>
      </c>
      <c r="R3213" s="216" t="str">
        <f t="shared" si="312"/>
        <v/>
      </c>
      <c r="S3213" s="217" t="str">
        <f t="shared" si="313"/>
        <v/>
      </c>
    </row>
    <row r="3214" spans="1:19" ht="15.75" hidden="1" thickBot="1" x14ac:dyDescent="0.3">
      <c r="A3214" s="262"/>
      <c r="B3214" s="260"/>
      <c r="C3214" s="31"/>
      <c r="D3214" s="31"/>
      <c r="E3214" s="32"/>
      <c r="F3214" s="42" t="s">
        <v>416</v>
      </c>
      <c r="G3214" s="33" t="str">
        <f t="shared" si="308"/>
        <v/>
      </c>
      <c r="H3214" s="34"/>
      <c r="I3214" s="30"/>
      <c r="J3214" s="152">
        <v>0</v>
      </c>
      <c r="L3214" s="219"/>
      <c r="M3214" s="42"/>
      <c r="N3214" s="33" t="str">
        <f t="shared" si="309"/>
        <v/>
      </c>
      <c r="O3214" s="34"/>
      <c r="P3214" s="36" t="str">
        <f t="shared" si="310"/>
        <v/>
      </c>
      <c r="Q3214" s="216" t="str">
        <f t="shared" si="311"/>
        <v/>
      </c>
      <c r="R3214" s="216" t="str">
        <f t="shared" si="312"/>
        <v/>
      </c>
      <c r="S3214" s="217" t="str">
        <f t="shared" si="313"/>
        <v/>
      </c>
    </row>
    <row r="3215" spans="1:19" ht="51.75" hidden="1" thickBot="1" x14ac:dyDescent="0.3">
      <c r="A3215" s="262"/>
      <c r="B3215" s="260"/>
      <c r="C3215" s="35" t="s">
        <v>818</v>
      </c>
      <c r="D3215" s="35" t="s">
        <v>813</v>
      </c>
      <c r="E3215" s="36">
        <v>6.0000000000000001E-3</v>
      </c>
      <c r="F3215" s="30">
        <v>294.57599999999996</v>
      </c>
      <c r="G3215" s="33">
        <f t="shared" si="308"/>
        <v>1.7674559999999999</v>
      </c>
      <c r="H3215" s="38">
        <f>SUM(G3215:G3222)</f>
        <v>218.15851774999999</v>
      </c>
      <c r="I3215" s="39"/>
      <c r="J3215" s="152">
        <v>0</v>
      </c>
      <c r="L3215" s="215">
        <v>6.0000000000000001E-3</v>
      </c>
      <c r="M3215" s="30">
        <v>252.15705599999998</v>
      </c>
      <c r="N3215" s="33">
        <f t="shared" si="309"/>
        <v>1.5129423359999998</v>
      </c>
      <c r="O3215" s="38">
        <f>SUM(N3215:N3222)</f>
        <v>186.74369119400001</v>
      </c>
      <c r="P3215" s="36" t="str">
        <f t="shared" si="310"/>
        <v/>
      </c>
      <c r="Q3215" s="216">
        <f t="shared" si="311"/>
        <v>0.14399999999999991</v>
      </c>
      <c r="R3215" s="216">
        <f t="shared" si="312"/>
        <v>0.14400000000000002</v>
      </c>
      <c r="S3215" s="217">
        <f t="shared" si="313"/>
        <v>0.14399999999999991</v>
      </c>
    </row>
    <row r="3216" spans="1:19" ht="51.75" hidden="1" thickBot="1" x14ac:dyDescent="0.3">
      <c r="A3216" s="262"/>
      <c r="B3216" s="260"/>
      <c r="C3216" s="35" t="s">
        <v>819</v>
      </c>
      <c r="D3216" s="35" t="s">
        <v>815</v>
      </c>
      <c r="E3216" s="36">
        <v>3.0000000000000001E-3</v>
      </c>
      <c r="F3216" s="30">
        <v>60.363</v>
      </c>
      <c r="G3216" s="33">
        <f t="shared" si="308"/>
        <v>0.181089</v>
      </c>
      <c r="H3216" s="34"/>
      <c r="I3216" s="30"/>
      <c r="J3216" s="152">
        <v>0</v>
      </c>
      <c r="L3216" s="215">
        <v>3.0000000000000001E-3</v>
      </c>
      <c r="M3216" s="30">
        <v>51.670727999999997</v>
      </c>
      <c r="N3216" s="33">
        <f t="shared" si="309"/>
        <v>0.155012184</v>
      </c>
      <c r="O3216" s="34"/>
      <c r="P3216" s="36" t="str">
        <f t="shared" si="310"/>
        <v/>
      </c>
      <c r="Q3216" s="216">
        <f t="shared" si="311"/>
        <v>0.14400000000000002</v>
      </c>
      <c r="R3216" s="216">
        <f t="shared" si="312"/>
        <v>0.14400000000000002</v>
      </c>
      <c r="S3216" s="217" t="str">
        <f t="shared" si="313"/>
        <v/>
      </c>
    </row>
    <row r="3217" spans="1:19" ht="26.25" hidden="1" thickBot="1" x14ac:dyDescent="0.3">
      <c r="A3217" s="262"/>
      <c r="B3217" s="260"/>
      <c r="C3217" s="35" t="s">
        <v>820</v>
      </c>
      <c r="D3217" s="35" t="s">
        <v>87</v>
      </c>
      <c r="E3217" s="36">
        <v>1.25</v>
      </c>
      <c r="F3217" s="30">
        <v>90.724999999999994</v>
      </c>
      <c r="G3217" s="33">
        <f t="shared" si="308"/>
        <v>113.40625</v>
      </c>
      <c r="H3217" s="34"/>
      <c r="I3217" s="30"/>
      <c r="J3217" s="152">
        <v>0</v>
      </c>
      <c r="L3217" s="215">
        <v>1.25</v>
      </c>
      <c r="M3217" s="30">
        <v>77.660600000000002</v>
      </c>
      <c r="N3217" s="33">
        <f t="shared" si="309"/>
        <v>97.075749999999999</v>
      </c>
      <c r="O3217" s="34"/>
      <c r="P3217" s="36" t="str">
        <f t="shared" si="310"/>
        <v/>
      </c>
      <c r="Q3217" s="216">
        <f t="shared" si="311"/>
        <v>0.14399999999999991</v>
      </c>
      <c r="R3217" s="216">
        <f t="shared" si="312"/>
        <v>0.14400000000000002</v>
      </c>
      <c r="S3217" s="217" t="str">
        <f t="shared" si="313"/>
        <v/>
      </c>
    </row>
    <row r="3218" spans="1:19" ht="15.75" hidden="1" thickBot="1" x14ac:dyDescent="0.3">
      <c r="A3218" s="262"/>
      <c r="B3218" s="260"/>
      <c r="C3218" s="35" t="s">
        <v>584</v>
      </c>
      <c r="D3218" s="35" t="s">
        <v>583</v>
      </c>
      <c r="E3218" s="36">
        <v>0.65900000000000003</v>
      </c>
      <c r="F3218" s="30">
        <v>20.225499999999997</v>
      </c>
      <c r="G3218" s="33">
        <f t="shared" si="308"/>
        <v>13.328604499999999</v>
      </c>
      <c r="H3218" s="34"/>
      <c r="I3218" s="30"/>
      <c r="J3218" s="152">
        <v>0</v>
      </c>
      <c r="L3218" s="215">
        <v>0.65900000000000003</v>
      </c>
      <c r="M3218" s="30">
        <v>17.313027999999996</v>
      </c>
      <c r="N3218" s="33">
        <f t="shared" si="309"/>
        <v>11.409285451999997</v>
      </c>
      <c r="O3218" s="34"/>
      <c r="P3218" s="36" t="str">
        <f t="shared" si="310"/>
        <v/>
      </c>
      <c r="Q3218" s="216">
        <f t="shared" si="311"/>
        <v>0.14400000000000013</v>
      </c>
      <c r="R3218" s="216">
        <f t="shared" si="312"/>
        <v>0.14400000000000013</v>
      </c>
      <c r="S3218" s="217" t="str">
        <f t="shared" si="313"/>
        <v/>
      </c>
    </row>
    <row r="3219" spans="1:19" ht="39" hidden="1" thickBot="1" x14ac:dyDescent="0.3">
      <c r="A3219" s="262"/>
      <c r="B3219" s="260"/>
      <c r="C3219" s="35" t="s">
        <v>812</v>
      </c>
      <c r="D3219" s="35" t="s">
        <v>813</v>
      </c>
      <c r="E3219" s="36">
        <v>0.27400000000000002</v>
      </c>
      <c r="F3219" s="30">
        <v>27.512</v>
      </c>
      <c r="G3219" s="33">
        <f t="shared" si="308"/>
        <v>7.5382880000000005</v>
      </c>
      <c r="H3219" s="34"/>
      <c r="I3219" s="30"/>
      <c r="J3219" s="152">
        <v>0</v>
      </c>
      <c r="L3219" s="215">
        <v>0.27400000000000002</v>
      </c>
      <c r="M3219" s="30">
        <v>23.550272</v>
      </c>
      <c r="N3219" s="33">
        <f t="shared" si="309"/>
        <v>6.4527745280000008</v>
      </c>
      <c r="O3219" s="34"/>
      <c r="P3219" s="36" t="str">
        <f t="shared" si="310"/>
        <v/>
      </c>
      <c r="Q3219" s="216">
        <f t="shared" si="311"/>
        <v>0.14400000000000002</v>
      </c>
      <c r="R3219" s="216">
        <f t="shared" si="312"/>
        <v>0.14399999999999991</v>
      </c>
      <c r="S3219" s="217" t="str">
        <f t="shared" si="313"/>
        <v/>
      </c>
    </row>
    <row r="3220" spans="1:19" ht="39" hidden="1" thickBot="1" x14ac:dyDescent="0.3">
      <c r="A3220" s="262"/>
      <c r="B3220" s="260"/>
      <c r="C3220" s="35" t="s">
        <v>814</v>
      </c>
      <c r="D3220" s="35" t="s">
        <v>815</v>
      </c>
      <c r="E3220" s="36">
        <v>0.254</v>
      </c>
      <c r="F3220" s="30">
        <v>22.001999999999999</v>
      </c>
      <c r="G3220" s="33">
        <f t="shared" si="308"/>
        <v>5.588508</v>
      </c>
      <c r="H3220" s="34"/>
      <c r="I3220" s="30"/>
      <c r="J3220" s="152">
        <v>0</v>
      </c>
      <c r="L3220" s="215">
        <v>0.254</v>
      </c>
      <c r="M3220" s="30">
        <v>18.833711999999998</v>
      </c>
      <c r="N3220" s="33">
        <f t="shared" si="309"/>
        <v>4.7837628479999994</v>
      </c>
      <c r="O3220" s="34"/>
      <c r="P3220" s="36" t="str">
        <f t="shared" si="310"/>
        <v/>
      </c>
      <c r="Q3220" s="216">
        <f t="shared" si="311"/>
        <v>0.14400000000000002</v>
      </c>
      <c r="R3220" s="216">
        <f t="shared" si="312"/>
        <v>0.14400000000000013</v>
      </c>
      <c r="S3220" s="217" t="str">
        <f t="shared" si="313"/>
        <v/>
      </c>
    </row>
    <row r="3221" spans="1:19" ht="51.75" hidden="1" thickBot="1" x14ac:dyDescent="0.3">
      <c r="A3221" s="262"/>
      <c r="B3221" s="260"/>
      <c r="C3221" s="35" t="s">
        <v>3071</v>
      </c>
      <c r="D3221" s="35" t="s">
        <v>80</v>
      </c>
      <c r="E3221" s="36">
        <f>E3217*1</f>
        <v>1.25</v>
      </c>
      <c r="F3221" s="33">
        <v>7.9257587999999988</v>
      </c>
      <c r="G3221" s="33">
        <f t="shared" si="308"/>
        <v>9.907198499999998</v>
      </c>
      <c r="H3221" s="34"/>
      <c r="I3221" s="30"/>
      <c r="J3221" s="152">
        <v>0</v>
      </c>
      <c r="L3221" s="215">
        <v>1.25</v>
      </c>
      <c r="M3221" s="33">
        <v>6.7844495327999992</v>
      </c>
      <c r="N3221" s="33">
        <f t="shared" si="309"/>
        <v>8.4805619159999992</v>
      </c>
      <c r="O3221" s="34"/>
      <c r="P3221" s="36" t="str">
        <f t="shared" si="310"/>
        <v/>
      </c>
      <c r="Q3221" s="216">
        <f t="shared" si="311"/>
        <v>0.14400000000000002</v>
      </c>
      <c r="R3221" s="216">
        <f t="shared" si="312"/>
        <v>0.14399999999999991</v>
      </c>
      <c r="S3221" s="217" t="str">
        <f t="shared" si="313"/>
        <v/>
      </c>
    </row>
    <row r="3222" spans="1:19" ht="39" hidden="1" thickBot="1" x14ac:dyDescent="0.3">
      <c r="A3222" s="262"/>
      <c r="B3222" s="260"/>
      <c r="C3222" s="35" t="s">
        <v>88</v>
      </c>
      <c r="D3222" s="46" t="s">
        <v>89</v>
      </c>
      <c r="E3222" s="36">
        <f>E3217*20</f>
        <v>25</v>
      </c>
      <c r="F3222" s="33">
        <v>2.6576449499999995</v>
      </c>
      <c r="G3222" s="33">
        <f t="shared" si="308"/>
        <v>66.441123749999988</v>
      </c>
      <c r="H3222" s="34"/>
      <c r="I3222" s="30"/>
      <c r="J3222" s="152">
        <v>0</v>
      </c>
      <c r="L3222" s="215">
        <v>25</v>
      </c>
      <c r="M3222" s="33">
        <v>2.2749440771999998</v>
      </c>
      <c r="N3222" s="33">
        <f t="shared" si="309"/>
        <v>56.873601929999992</v>
      </c>
      <c r="O3222" s="34"/>
      <c r="P3222" s="36" t="str">
        <f t="shared" si="310"/>
        <v/>
      </c>
      <c r="Q3222" s="216">
        <f t="shared" si="311"/>
        <v>0.14399999999999991</v>
      </c>
      <c r="R3222" s="216">
        <f t="shared" si="312"/>
        <v>0.14400000000000002</v>
      </c>
      <c r="S3222" s="217" t="str">
        <f t="shared" si="313"/>
        <v/>
      </c>
    </row>
    <row r="3223" spans="1:19" ht="15.75" hidden="1" thickBot="1" x14ac:dyDescent="0.3">
      <c r="A3223" s="262"/>
      <c r="B3223" s="260"/>
      <c r="C3223" s="50"/>
      <c r="D3223" s="46"/>
      <c r="E3223" s="36"/>
      <c r="F3223" s="33" t="s">
        <v>416</v>
      </c>
      <c r="G3223" s="33" t="str">
        <f t="shared" si="308"/>
        <v/>
      </c>
      <c r="H3223" s="34"/>
      <c r="I3223" s="30"/>
      <c r="J3223" s="152">
        <v>0</v>
      </c>
      <c r="L3223" s="215"/>
      <c r="M3223" s="33"/>
      <c r="N3223" s="33" t="str">
        <f t="shared" si="309"/>
        <v/>
      </c>
      <c r="O3223" s="34"/>
      <c r="P3223" s="36" t="str">
        <f t="shared" si="310"/>
        <v/>
      </c>
      <c r="Q3223" s="216" t="str">
        <f t="shared" si="311"/>
        <v/>
      </c>
      <c r="R3223" s="216" t="str">
        <f t="shared" si="312"/>
        <v/>
      </c>
      <c r="S3223" s="217" t="str">
        <f t="shared" si="313"/>
        <v/>
      </c>
    </row>
    <row r="3224" spans="1:19" ht="26.25" hidden="1" thickBot="1" x14ac:dyDescent="0.3">
      <c r="A3224" s="262"/>
      <c r="B3224" s="260"/>
      <c r="C3224" s="47" t="s">
        <v>821</v>
      </c>
      <c r="D3224" s="46"/>
      <c r="E3224" s="36"/>
      <c r="F3224" s="33" t="s">
        <v>416</v>
      </c>
      <c r="G3224" s="33" t="str">
        <f t="shared" si="308"/>
        <v/>
      </c>
      <c r="H3224" s="34"/>
      <c r="I3224" s="30"/>
      <c r="J3224" s="152">
        <v>0</v>
      </c>
      <c r="L3224" s="215"/>
      <c r="M3224" s="33"/>
      <c r="N3224" s="33" t="str">
        <f t="shared" si="309"/>
        <v/>
      </c>
      <c r="O3224" s="34"/>
      <c r="P3224" s="36" t="str">
        <f t="shared" si="310"/>
        <v/>
      </c>
      <c r="Q3224" s="216" t="str">
        <f t="shared" si="311"/>
        <v/>
      </c>
      <c r="R3224" s="216" t="str">
        <f t="shared" si="312"/>
        <v/>
      </c>
      <c r="S3224" s="217" t="str">
        <f t="shared" si="313"/>
        <v/>
      </c>
    </row>
    <row r="3225" spans="1:19" ht="15.75" hidden="1" thickBot="1" x14ac:dyDescent="0.3">
      <c r="A3225" s="263"/>
      <c r="B3225" s="261"/>
      <c r="C3225" s="35"/>
      <c r="D3225" s="35"/>
      <c r="E3225" s="36"/>
      <c r="F3225" s="30" t="s">
        <v>416</v>
      </c>
      <c r="G3225" s="30" t="str">
        <f t="shared" si="308"/>
        <v/>
      </c>
      <c r="H3225" s="34"/>
      <c r="I3225" s="30"/>
      <c r="J3225" s="152">
        <v>0</v>
      </c>
      <c r="L3225" s="215"/>
      <c r="M3225" s="30"/>
      <c r="N3225" s="30" t="str">
        <f t="shared" si="309"/>
        <v/>
      </c>
      <c r="O3225" s="34"/>
      <c r="P3225" s="36" t="str">
        <f t="shared" si="310"/>
        <v/>
      </c>
      <c r="Q3225" s="216" t="str">
        <f t="shared" si="311"/>
        <v/>
      </c>
      <c r="R3225" s="216" t="str">
        <f t="shared" si="312"/>
        <v/>
      </c>
      <c r="S3225" s="217" t="str">
        <f t="shared" si="313"/>
        <v/>
      </c>
    </row>
    <row r="3226" spans="1:19" ht="15.75" hidden="1" thickBot="1" x14ac:dyDescent="0.3">
      <c r="A3226" s="256" t="s">
        <v>822</v>
      </c>
      <c r="B3226" s="259" t="str">
        <f>INDEX(Orçamentária!A:B,MATCH(Composições!A3226,Orçamentária!A:A,0),2)</f>
        <v>Tubo de cobre classe "E" 22 mm</v>
      </c>
      <c r="C3226" s="40"/>
      <c r="D3226" s="25" t="s">
        <v>69</v>
      </c>
      <c r="E3226" s="26"/>
      <c r="F3226" s="41" t="s">
        <v>416</v>
      </c>
      <c r="G3226" s="27" t="str">
        <f t="shared" si="308"/>
        <v/>
      </c>
      <c r="H3226" s="28"/>
      <c r="I3226" s="29"/>
      <c r="J3226" s="152">
        <v>0</v>
      </c>
      <c r="L3226" s="218"/>
      <c r="M3226" s="41"/>
      <c r="N3226" s="27" t="str">
        <f t="shared" si="309"/>
        <v/>
      </c>
      <c r="O3226" s="28"/>
      <c r="P3226" s="36" t="str">
        <f t="shared" si="310"/>
        <v/>
      </c>
      <c r="Q3226" s="216" t="str">
        <f t="shared" si="311"/>
        <v/>
      </c>
      <c r="R3226" s="216" t="str">
        <f t="shared" si="312"/>
        <v/>
      </c>
      <c r="S3226" s="217" t="str">
        <f t="shared" si="313"/>
        <v/>
      </c>
    </row>
    <row r="3227" spans="1:19" ht="15.75" hidden="1" thickBot="1" x14ac:dyDescent="0.3">
      <c r="A3227" s="262"/>
      <c r="B3227" s="260"/>
      <c r="C3227" s="31"/>
      <c r="D3227" s="31"/>
      <c r="E3227" s="32"/>
      <c r="F3227" s="42" t="s">
        <v>416</v>
      </c>
      <c r="G3227" s="33" t="str">
        <f t="shared" si="308"/>
        <v/>
      </c>
      <c r="H3227" s="34"/>
      <c r="I3227" s="30"/>
      <c r="J3227" s="152">
        <v>0</v>
      </c>
      <c r="L3227" s="219"/>
      <c r="M3227" s="42"/>
      <c r="N3227" s="33" t="str">
        <f t="shared" si="309"/>
        <v/>
      </c>
      <c r="O3227" s="34"/>
      <c r="P3227" s="36" t="str">
        <f t="shared" si="310"/>
        <v/>
      </c>
      <c r="Q3227" s="216" t="str">
        <f t="shared" si="311"/>
        <v/>
      </c>
      <c r="R3227" s="216" t="str">
        <f t="shared" si="312"/>
        <v/>
      </c>
      <c r="S3227" s="217" t="str">
        <f t="shared" si="313"/>
        <v/>
      </c>
    </row>
    <row r="3228" spans="1:19" ht="26.25" hidden="1" thickBot="1" x14ac:dyDescent="0.3">
      <c r="A3228" s="262"/>
      <c r="B3228" s="260"/>
      <c r="C3228" s="35" t="s">
        <v>823</v>
      </c>
      <c r="D3228" s="35" t="s">
        <v>385</v>
      </c>
      <c r="E3228" s="36">
        <v>1.0210999999999999</v>
      </c>
      <c r="F3228" s="30">
        <v>56.097499999999997</v>
      </c>
      <c r="G3228" s="33">
        <f t="shared" si="308"/>
        <v>57.281157249999993</v>
      </c>
      <c r="H3228" s="38">
        <f>SUM(G3228:G3230)</f>
        <v>64.188189249999994</v>
      </c>
      <c r="I3228" s="39"/>
      <c r="J3228" s="152">
        <v>0</v>
      </c>
      <c r="L3228" s="215">
        <v>1.0210999999999999</v>
      </c>
      <c r="M3228" s="30">
        <v>48.019459999999995</v>
      </c>
      <c r="N3228" s="33">
        <f t="shared" si="309"/>
        <v>49.032670605999989</v>
      </c>
      <c r="O3228" s="38">
        <f>SUM(N3228:N3230)</f>
        <v>54.945089997999986</v>
      </c>
      <c r="P3228" s="36" t="str">
        <f t="shared" si="310"/>
        <v/>
      </c>
      <c r="Q3228" s="216">
        <f t="shared" si="311"/>
        <v>0.14400000000000002</v>
      </c>
      <c r="R3228" s="216">
        <f t="shared" si="312"/>
        <v>0.14400000000000013</v>
      </c>
      <c r="S3228" s="217">
        <f t="shared" si="313"/>
        <v>0.14400000000000013</v>
      </c>
    </row>
    <row r="3229" spans="1:19" ht="26.25" hidden="1" thickBot="1" x14ac:dyDescent="0.3">
      <c r="A3229" s="262"/>
      <c r="B3229" s="260"/>
      <c r="C3229" s="35" t="s">
        <v>824</v>
      </c>
      <c r="D3229" s="35" t="s">
        <v>583</v>
      </c>
      <c r="E3229" s="36">
        <v>0.14399999999999999</v>
      </c>
      <c r="F3229" s="30">
        <v>21.166</v>
      </c>
      <c r="G3229" s="33">
        <f t="shared" si="308"/>
        <v>3.0479039999999999</v>
      </c>
      <c r="H3229" s="34"/>
      <c r="I3229" s="30"/>
      <c r="J3229" s="152">
        <v>0</v>
      </c>
      <c r="L3229" s="215">
        <v>0.14399999999999999</v>
      </c>
      <c r="M3229" s="30">
        <v>18.118096000000001</v>
      </c>
      <c r="N3229" s="33">
        <f t="shared" si="309"/>
        <v>2.609005824</v>
      </c>
      <c r="O3229" s="34"/>
      <c r="P3229" s="36" t="str">
        <f t="shared" si="310"/>
        <v/>
      </c>
      <c r="Q3229" s="216">
        <f t="shared" si="311"/>
        <v>0.14399999999999991</v>
      </c>
      <c r="R3229" s="216">
        <f t="shared" si="312"/>
        <v>0.14400000000000002</v>
      </c>
      <c r="S3229" s="217" t="str">
        <f t="shared" si="313"/>
        <v/>
      </c>
    </row>
    <row r="3230" spans="1:19" ht="26.25" hidden="1" thickBot="1" x14ac:dyDescent="0.3">
      <c r="A3230" s="262"/>
      <c r="B3230" s="260"/>
      <c r="C3230" s="35" t="s">
        <v>825</v>
      </c>
      <c r="D3230" s="35" t="s">
        <v>583</v>
      </c>
      <c r="E3230" s="36">
        <v>0.14399999999999999</v>
      </c>
      <c r="F3230" s="30">
        <v>26.799499999999998</v>
      </c>
      <c r="G3230" s="33">
        <f t="shared" si="308"/>
        <v>3.8591279999999997</v>
      </c>
      <c r="H3230" s="34"/>
      <c r="I3230" s="30"/>
      <c r="J3230" s="152">
        <v>0</v>
      </c>
      <c r="L3230" s="215">
        <v>0.14399999999999999</v>
      </c>
      <c r="M3230" s="30">
        <v>22.940372</v>
      </c>
      <c r="N3230" s="33">
        <f t="shared" si="309"/>
        <v>3.3034135679999999</v>
      </c>
      <c r="O3230" s="34"/>
      <c r="P3230" s="36" t="str">
        <f t="shared" si="310"/>
        <v/>
      </c>
      <c r="Q3230" s="216">
        <f t="shared" si="311"/>
        <v>0.14399999999999991</v>
      </c>
      <c r="R3230" s="216">
        <f t="shared" si="312"/>
        <v>0.14400000000000002</v>
      </c>
      <c r="S3230" s="217" t="str">
        <f t="shared" si="313"/>
        <v/>
      </c>
    </row>
    <row r="3231" spans="1:19" ht="15.75" hidden="1" thickBot="1" x14ac:dyDescent="0.3">
      <c r="A3231" s="263"/>
      <c r="B3231" s="261"/>
      <c r="C3231" s="35"/>
      <c r="D3231" s="35"/>
      <c r="E3231" s="36"/>
      <c r="F3231" s="30" t="s">
        <v>416</v>
      </c>
      <c r="G3231" s="33" t="str">
        <f t="shared" si="308"/>
        <v/>
      </c>
      <c r="H3231" s="34"/>
      <c r="I3231" s="30"/>
      <c r="J3231" s="152">
        <v>0</v>
      </c>
      <c r="L3231" s="215"/>
      <c r="M3231" s="30"/>
      <c r="N3231" s="33" t="str">
        <f t="shared" si="309"/>
        <v/>
      </c>
      <c r="O3231" s="34"/>
      <c r="P3231" s="36" t="str">
        <f t="shared" si="310"/>
        <v/>
      </c>
      <c r="Q3231" s="216" t="str">
        <f t="shared" si="311"/>
        <v/>
      </c>
      <c r="R3231" s="216" t="str">
        <f t="shared" si="312"/>
        <v/>
      </c>
      <c r="S3231" s="217" t="str">
        <f t="shared" si="313"/>
        <v/>
      </c>
    </row>
    <row r="3232" spans="1:19" ht="15.75" hidden="1" thickBot="1" x14ac:dyDescent="0.3">
      <c r="A3232" s="256" t="s">
        <v>826</v>
      </c>
      <c r="B3232" s="259" t="str">
        <f>INDEX(Orçamentária!A:B,MATCH(Composições!A3232,Orçamentária!A:A,0),2)</f>
        <v>Tubo de cobre classe "E" 28 mm</v>
      </c>
      <c r="C3232" s="40"/>
      <c r="D3232" s="25" t="s">
        <v>69</v>
      </c>
      <c r="E3232" s="26"/>
      <c r="F3232" s="41" t="s">
        <v>416</v>
      </c>
      <c r="G3232" s="27" t="str">
        <f t="shared" si="308"/>
        <v/>
      </c>
      <c r="H3232" s="28"/>
      <c r="I3232" s="29"/>
      <c r="J3232" s="152">
        <v>0</v>
      </c>
      <c r="L3232" s="218"/>
      <c r="M3232" s="41"/>
      <c r="N3232" s="27" t="str">
        <f t="shared" si="309"/>
        <v/>
      </c>
      <c r="O3232" s="28"/>
      <c r="P3232" s="36" t="str">
        <f t="shared" si="310"/>
        <v/>
      </c>
      <c r="Q3232" s="216" t="str">
        <f t="shared" si="311"/>
        <v/>
      </c>
      <c r="R3232" s="216" t="str">
        <f t="shared" si="312"/>
        <v/>
      </c>
      <c r="S3232" s="217" t="str">
        <f t="shared" si="313"/>
        <v/>
      </c>
    </row>
    <row r="3233" spans="1:19" ht="15.75" hidden="1" thickBot="1" x14ac:dyDescent="0.3">
      <c r="A3233" s="262"/>
      <c r="B3233" s="260"/>
      <c r="C3233" s="31"/>
      <c r="D3233" s="31"/>
      <c r="E3233" s="32"/>
      <c r="F3233" s="42" t="s">
        <v>416</v>
      </c>
      <c r="G3233" s="33" t="str">
        <f t="shared" si="308"/>
        <v/>
      </c>
      <c r="H3233" s="34"/>
      <c r="I3233" s="30"/>
      <c r="J3233" s="152">
        <v>0</v>
      </c>
      <c r="L3233" s="219"/>
      <c r="M3233" s="42"/>
      <c r="N3233" s="33" t="str">
        <f t="shared" si="309"/>
        <v/>
      </c>
      <c r="O3233" s="34"/>
      <c r="P3233" s="36" t="str">
        <f t="shared" si="310"/>
        <v/>
      </c>
      <c r="Q3233" s="216" t="str">
        <f t="shared" si="311"/>
        <v/>
      </c>
      <c r="R3233" s="216" t="str">
        <f t="shared" si="312"/>
        <v/>
      </c>
      <c r="S3233" s="217" t="str">
        <f t="shared" si="313"/>
        <v/>
      </c>
    </row>
    <row r="3234" spans="1:19" ht="26.25" hidden="1" thickBot="1" x14ac:dyDescent="0.3">
      <c r="A3234" s="262"/>
      <c r="B3234" s="260"/>
      <c r="C3234" s="35" t="s">
        <v>827</v>
      </c>
      <c r="D3234" s="35" t="s">
        <v>385</v>
      </c>
      <c r="E3234" s="36">
        <v>1.0210999999999999</v>
      </c>
      <c r="F3234" s="30">
        <v>71.202500000000001</v>
      </c>
      <c r="G3234" s="33">
        <f t="shared" si="308"/>
        <v>72.704872749999993</v>
      </c>
      <c r="H3234" s="38">
        <f>SUM(G3234:G3236)</f>
        <v>80.379352749999995</v>
      </c>
      <c r="I3234" s="39"/>
      <c r="J3234" s="152">
        <v>0</v>
      </c>
      <c r="L3234" s="215">
        <v>1.0210999999999999</v>
      </c>
      <c r="M3234" s="30">
        <v>60.949339999999999</v>
      </c>
      <c r="N3234" s="33">
        <f t="shared" si="309"/>
        <v>62.235371073999993</v>
      </c>
      <c r="O3234" s="38">
        <f>SUM(N3234:N3236)</f>
        <v>68.804725953999991</v>
      </c>
      <c r="P3234" s="36" t="str">
        <f t="shared" si="310"/>
        <v/>
      </c>
      <c r="Q3234" s="216">
        <f t="shared" si="311"/>
        <v>0.14400000000000002</v>
      </c>
      <c r="R3234" s="216">
        <f t="shared" si="312"/>
        <v>0.14400000000000002</v>
      </c>
      <c r="S3234" s="217">
        <f t="shared" si="313"/>
        <v>0.14400000000000002</v>
      </c>
    </row>
    <row r="3235" spans="1:19" ht="26.25" hidden="1" thickBot="1" x14ac:dyDescent="0.3">
      <c r="A3235" s="262"/>
      <c r="B3235" s="260"/>
      <c r="C3235" s="35" t="s">
        <v>824</v>
      </c>
      <c r="D3235" s="35" t="s">
        <v>583</v>
      </c>
      <c r="E3235" s="36">
        <v>0.16</v>
      </c>
      <c r="F3235" s="30">
        <v>21.166</v>
      </c>
      <c r="G3235" s="33">
        <f t="shared" si="308"/>
        <v>3.3865600000000002</v>
      </c>
      <c r="H3235" s="34"/>
      <c r="I3235" s="30"/>
      <c r="J3235" s="152">
        <v>0</v>
      </c>
      <c r="L3235" s="215">
        <v>0.16</v>
      </c>
      <c r="M3235" s="30">
        <v>18.118096000000001</v>
      </c>
      <c r="N3235" s="33">
        <f t="shared" si="309"/>
        <v>2.8988953600000005</v>
      </c>
      <c r="O3235" s="34"/>
      <c r="P3235" s="36" t="str">
        <f t="shared" si="310"/>
        <v/>
      </c>
      <c r="Q3235" s="216">
        <f t="shared" si="311"/>
        <v>0.14399999999999991</v>
      </c>
      <c r="R3235" s="216">
        <f t="shared" si="312"/>
        <v>0.14399999999999991</v>
      </c>
      <c r="S3235" s="217" t="str">
        <f t="shared" si="313"/>
        <v/>
      </c>
    </row>
    <row r="3236" spans="1:19" ht="26.25" hidden="1" thickBot="1" x14ac:dyDescent="0.3">
      <c r="A3236" s="262"/>
      <c r="B3236" s="260"/>
      <c r="C3236" s="35" t="s">
        <v>825</v>
      </c>
      <c r="D3236" s="35" t="s">
        <v>583</v>
      </c>
      <c r="E3236" s="36">
        <v>0.16</v>
      </c>
      <c r="F3236" s="30">
        <v>26.799499999999998</v>
      </c>
      <c r="G3236" s="33">
        <f t="shared" si="308"/>
        <v>4.2879199999999997</v>
      </c>
      <c r="H3236" s="34"/>
      <c r="I3236" s="30"/>
      <c r="J3236" s="152">
        <v>0</v>
      </c>
      <c r="L3236" s="215">
        <v>0.16</v>
      </c>
      <c r="M3236" s="30">
        <v>22.940372</v>
      </c>
      <c r="N3236" s="33">
        <f t="shared" si="309"/>
        <v>3.6704595200000001</v>
      </c>
      <c r="O3236" s="34"/>
      <c r="P3236" s="36" t="str">
        <f t="shared" si="310"/>
        <v/>
      </c>
      <c r="Q3236" s="216">
        <f t="shared" si="311"/>
        <v>0.14399999999999991</v>
      </c>
      <c r="R3236" s="216">
        <f t="shared" si="312"/>
        <v>0.14399999999999991</v>
      </c>
      <c r="S3236" s="217" t="str">
        <f t="shared" si="313"/>
        <v/>
      </c>
    </row>
    <row r="3237" spans="1:19" ht="15.75" hidden="1" thickBot="1" x14ac:dyDescent="0.3">
      <c r="A3237" s="263"/>
      <c r="B3237" s="261"/>
      <c r="C3237" s="35"/>
      <c r="D3237" s="35"/>
      <c r="E3237" s="36"/>
      <c r="F3237" s="30" t="s">
        <v>416</v>
      </c>
      <c r="G3237" s="33" t="str">
        <f t="shared" si="308"/>
        <v/>
      </c>
      <c r="H3237" s="34"/>
      <c r="I3237" s="30"/>
      <c r="J3237" s="152">
        <v>0</v>
      </c>
      <c r="L3237" s="215"/>
      <c r="M3237" s="30"/>
      <c r="N3237" s="33" t="str">
        <f t="shared" si="309"/>
        <v/>
      </c>
      <c r="O3237" s="34"/>
      <c r="P3237" s="36" t="str">
        <f t="shared" si="310"/>
        <v/>
      </c>
      <c r="Q3237" s="216" t="str">
        <f t="shared" si="311"/>
        <v/>
      </c>
      <c r="R3237" s="216" t="str">
        <f t="shared" si="312"/>
        <v/>
      </c>
      <c r="S3237" s="217" t="str">
        <f t="shared" si="313"/>
        <v/>
      </c>
    </row>
    <row r="3238" spans="1:19" ht="15.75" hidden="1" thickBot="1" x14ac:dyDescent="0.3">
      <c r="A3238" s="256" t="s">
        <v>828</v>
      </c>
      <c r="B3238" s="259" t="str">
        <f>INDEX(Orçamentária!A:B,MATCH(Composições!A3238,Orçamentária!A:A,0),2)</f>
        <v>Tubo de cobre classe "E" 42 mm</v>
      </c>
      <c r="C3238" s="40"/>
      <c r="D3238" s="25" t="s">
        <v>69</v>
      </c>
      <c r="E3238" s="26"/>
      <c r="F3238" s="41" t="s">
        <v>416</v>
      </c>
      <c r="G3238" s="27" t="str">
        <f t="shared" si="308"/>
        <v/>
      </c>
      <c r="H3238" s="28"/>
      <c r="I3238" s="29"/>
      <c r="J3238" s="152">
        <v>0</v>
      </c>
      <c r="L3238" s="218"/>
      <c r="M3238" s="41"/>
      <c r="N3238" s="27" t="str">
        <f t="shared" si="309"/>
        <v/>
      </c>
      <c r="O3238" s="28"/>
      <c r="P3238" s="36" t="str">
        <f t="shared" si="310"/>
        <v/>
      </c>
      <c r="Q3238" s="216" t="str">
        <f t="shared" si="311"/>
        <v/>
      </c>
      <c r="R3238" s="216" t="str">
        <f t="shared" si="312"/>
        <v/>
      </c>
      <c r="S3238" s="217" t="str">
        <f t="shared" si="313"/>
        <v/>
      </c>
    </row>
    <row r="3239" spans="1:19" ht="15.75" hidden="1" thickBot="1" x14ac:dyDescent="0.3">
      <c r="A3239" s="262"/>
      <c r="B3239" s="260"/>
      <c r="C3239" s="31"/>
      <c r="D3239" s="31"/>
      <c r="E3239" s="32"/>
      <c r="F3239" s="42" t="s">
        <v>416</v>
      </c>
      <c r="G3239" s="33" t="str">
        <f t="shared" si="308"/>
        <v/>
      </c>
      <c r="H3239" s="34"/>
      <c r="I3239" s="30"/>
      <c r="J3239" s="152">
        <v>0</v>
      </c>
      <c r="L3239" s="219"/>
      <c r="M3239" s="42"/>
      <c r="N3239" s="33" t="str">
        <f t="shared" si="309"/>
        <v/>
      </c>
      <c r="O3239" s="34"/>
      <c r="P3239" s="36" t="str">
        <f t="shared" si="310"/>
        <v/>
      </c>
      <c r="Q3239" s="216" t="str">
        <f t="shared" si="311"/>
        <v/>
      </c>
      <c r="R3239" s="216" t="str">
        <f t="shared" si="312"/>
        <v/>
      </c>
      <c r="S3239" s="217" t="str">
        <f t="shared" si="313"/>
        <v/>
      </c>
    </row>
    <row r="3240" spans="1:19" ht="26.25" hidden="1" thickBot="1" x14ac:dyDescent="0.3">
      <c r="A3240" s="262"/>
      <c r="B3240" s="260"/>
      <c r="C3240" s="35" t="s">
        <v>829</v>
      </c>
      <c r="D3240" s="35" t="s">
        <v>385</v>
      </c>
      <c r="E3240" s="36">
        <v>1.0210999999999999</v>
      </c>
      <c r="F3240" s="30">
        <v>139.63099999999997</v>
      </c>
      <c r="G3240" s="33">
        <f t="shared" si="308"/>
        <v>142.57721409999996</v>
      </c>
      <c r="H3240" s="38">
        <f>SUM(G3240:G3242)</f>
        <v>146.22259209999999</v>
      </c>
      <c r="I3240" s="39"/>
      <c r="J3240" s="152">
        <v>0</v>
      </c>
      <c r="L3240" s="215">
        <v>1.0210999999999999</v>
      </c>
      <c r="M3240" s="30">
        <v>119.52413599999997</v>
      </c>
      <c r="N3240" s="33">
        <f t="shared" si="309"/>
        <v>122.04609526959996</v>
      </c>
      <c r="O3240" s="38">
        <f>SUM(N3240:N3242)</f>
        <v>125.16653883759996</v>
      </c>
      <c r="P3240" s="36" t="str">
        <f t="shared" si="310"/>
        <v/>
      </c>
      <c r="Q3240" s="216">
        <f t="shared" si="311"/>
        <v>0.14400000000000002</v>
      </c>
      <c r="R3240" s="216">
        <f t="shared" si="312"/>
        <v>0.14400000000000002</v>
      </c>
      <c r="S3240" s="217">
        <f t="shared" si="313"/>
        <v>0.14400000000000024</v>
      </c>
    </row>
    <row r="3241" spans="1:19" ht="26.25" hidden="1" thickBot="1" x14ac:dyDescent="0.3">
      <c r="A3241" s="262"/>
      <c r="B3241" s="260"/>
      <c r="C3241" s="35" t="s">
        <v>824</v>
      </c>
      <c r="D3241" s="35" t="s">
        <v>583</v>
      </c>
      <c r="E3241" s="36">
        <v>7.5999999999999998E-2</v>
      </c>
      <c r="F3241" s="30">
        <v>21.166</v>
      </c>
      <c r="G3241" s="33">
        <f t="shared" si="308"/>
        <v>1.608616</v>
      </c>
      <c r="H3241" s="34"/>
      <c r="I3241" s="30"/>
      <c r="J3241" s="152">
        <v>0</v>
      </c>
      <c r="L3241" s="215">
        <v>7.5999999999999998E-2</v>
      </c>
      <c r="M3241" s="30">
        <v>18.118096000000001</v>
      </c>
      <c r="N3241" s="33">
        <f t="shared" si="309"/>
        <v>1.3769752960000001</v>
      </c>
      <c r="O3241" s="34"/>
      <c r="P3241" s="36" t="str">
        <f t="shared" si="310"/>
        <v/>
      </c>
      <c r="Q3241" s="216">
        <f t="shared" si="311"/>
        <v>0.14399999999999991</v>
      </c>
      <c r="R3241" s="216">
        <f t="shared" si="312"/>
        <v>0.14399999999999991</v>
      </c>
      <c r="S3241" s="217" t="str">
        <f t="shared" si="313"/>
        <v/>
      </c>
    </row>
    <row r="3242" spans="1:19" ht="26.25" hidden="1" thickBot="1" x14ac:dyDescent="0.3">
      <c r="A3242" s="262"/>
      <c r="B3242" s="260"/>
      <c r="C3242" s="35" t="s">
        <v>825</v>
      </c>
      <c r="D3242" s="35" t="s">
        <v>583</v>
      </c>
      <c r="E3242" s="36">
        <v>7.5999999999999998E-2</v>
      </c>
      <c r="F3242" s="30">
        <v>26.799499999999998</v>
      </c>
      <c r="G3242" s="33">
        <f t="shared" si="308"/>
        <v>2.036762</v>
      </c>
      <c r="H3242" s="34"/>
      <c r="I3242" s="30"/>
      <c r="J3242" s="152">
        <v>0</v>
      </c>
      <c r="L3242" s="215">
        <v>7.5999999999999998E-2</v>
      </c>
      <c r="M3242" s="30">
        <v>22.940372</v>
      </c>
      <c r="N3242" s="33">
        <f t="shared" si="309"/>
        <v>1.7434682719999999</v>
      </c>
      <c r="O3242" s="34"/>
      <c r="P3242" s="36" t="str">
        <f t="shared" si="310"/>
        <v/>
      </c>
      <c r="Q3242" s="216">
        <f t="shared" si="311"/>
        <v>0.14399999999999991</v>
      </c>
      <c r="R3242" s="216">
        <f t="shared" si="312"/>
        <v>0.14400000000000002</v>
      </c>
      <c r="S3242" s="217" t="str">
        <f t="shared" si="313"/>
        <v/>
      </c>
    </row>
    <row r="3243" spans="1:19" ht="15.75" hidden="1" thickBot="1" x14ac:dyDescent="0.3">
      <c r="A3243" s="263"/>
      <c r="B3243" s="261"/>
      <c r="C3243" s="35"/>
      <c r="D3243" s="35"/>
      <c r="E3243" s="36"/>
      <c r="F3243" s="30" t="s">
        <v>416</v>
      </c>
      <c r="G3243" s="33" t="str">
        <f t="shared" si="308"/>
        <v/>
      </c>
      <c r="H3243" s="34"/>
      <c r="I3243" s="30"/>
      <c r="J3243" s="152">
        <v>0</v>
      </c>
      <c r="L3243" s="215"/>
      <c r="M3243" s="30"/>
      <c r="N3243" s="33" t="str">
        <f t="shared" si="309"/>
        <v/>
      </c>
      <c r="O3243" s="34"/>
      <c r="P3243" s="36" t="str">
        <f t="shared" si="310"/>
        <v/>
      </c>
      <c r="Q3243" s="216" t="str">
        <f t="shared" si="311"/>
        <v/>
      </c>
      <c r="R3243" s="216" t="str">
        <f t="shared" si="312"/>
        <v/>
      </c>
      <c r="S3243" s="217" t="str">
        <f t="shared" si="313"/>
        <v/>
      </c>
    </row>
    <row r="3244" spans="1:19" ht="15.75" hidden="1" thickBot="1" x14ac:dyDescent="0.3">
      <c r="A3244" s="256" t="s">
        <v>830</v>
      </c>
      <c r="B3244" s="259" t="str">
        <f>INDEX(Orçamentária!A:B,MATCH(Composições!A3244,Orçamentária!A:A,0),2)</f>
        <v>Bacia conforto (h=44 cm) – Linha Acessibilidade</v>
      </c>
      <c r="C3244" s="40"/>
      <c r="D3244" s="25" t="s">
        <v>16</v>
      </c>
      <c r="E3244" s="26"/>
      <c r="F3244" s="41" t="s">
        <v>416</v>
      </c>
      <c r="G3244" s="27" t="str">
        <f t="shared" ref="G3244:G3307" si="314">IF(ISNUMBER(F3244),E3244*F3244,"")</f>
        <v/>
      </c>
      <c r="H3244" s="28"/>
      <c r="I3244" s="29"/>
      <c r="J3244" s="152">
        <v>0</v>
      </c>
      <c r="L3244" s="218"/>
      <c r="M3244" s="41"/>
      <c r="N3244" s="27" t="str">
        <f t="shared" ref="N3244:N3307" si="315">IF(ISNUMBER(M3244),L3244*M3244,"")</f>
        <v/>
      </c>
      <c r="O3244" s="28"/>
      <c r="P3244" s="36" t="str">
        <f t="shared" si="310"/>
        <v/>
      </c>
      <c r="Q3244" s="216" t="str">
        <f t="shared" si="311"/>
        <v/>
      </c>
      <c r="R3244" s="216" t="str">
        <f t="shared" si="312"/>
        <v/>
      </c>
      <c r="S3244" s="217" t="str">
        <f t="shared" si="313"/>
        <v/>
      </c>
    </row>
    <row r="3245" spans="1:19" ht="15.75" hidden="1" thickBot="1" x14ac:dyDescent="0.3">
      <c r="A3245" s="262"/>
      <c r="B3245" s="260"/>
      <c r="C3245" s="31"/>
      <c r="D3245" s="31"/>
      <c r="E3245" s="32"/>
      <c r="F3245" s="42" t="s">
        <v>416</v>
      </c>
      <c r="G3245" s="33" t="str">
        <f t="shared" si="314"/>
        <v/>
      </c>
      <c r="H3245" s="34"/>
      <c r="I3245" s="30"/>
      <c r="J3245" s="152">
        <v>0</v>
      </c>
      <c r="L3245" s="219"/>
      <c r="M3245" s="42"/>
      <c r="N3245" s="33" t="str">
        <f t="shared" si="315"/>
        <v/>
      </c>
      <c r="O3245" s="34"/>
      <c r="P3245" s="36" t="str">
        <f t="shared" si="310"/>
        <v/>
      </c>
      <c r="Q3245" s="216" t="str">
        <f t="shared" si="311"/>
        <v/>
      </c>
      <c r="R3245" s="216" t="str">
        <f t="shared" si="312"/>
        <v/>
      </c>
      <c r="S3245" s="217" t="str">
        <f t="shared" si="313"/>
        <v/>
      </c>
    </row>
    <row r="3246" spans="1:19" ht="39" hidden="1" thickBot="1" x14ac:dyDescent="0.3">
      <c r="A3246" s="262"/>
      <c r="B3246" s="260"/>
      <c r="C3246" s="35" t="s">
        <v>8308</v>
      </c>
      <c r="D3246" s="35" t="s">
        <v>213</v>
      </c>
      <c r="E3246" s="36">
        <v>2</v>
      </c>
      <c r="F3246" s="30">
        <v>22.799999999999997</v>
      </c>
      <c r="G3246" s="33">
        <f t="shared" si="314"/>
        <v>45.599999999999994</v>
      </c>
      <c r="H3246" s="38">
        <f>SUM(G3246:G3252)</f>
        <v>678.33500939999999</v>
      </c>
      <c r="I3246" s="39"/>
      <c r="J3246" s="152">
        <v>0</v>
      </c>
      <c r="L3246" s="215">
        <v>2</v>
      </c>
      <c r="M3246" s="30">
        <v>19.516799999999996</v>
      </c>
      <c r="N3246" s="33">
        <f t="shared" si="315"/>
        <v>39.033599999999993</v>
      </c>
      <c r="O3246" s="38">
        <f>SUM(N3246:N3252)</f>
        <v>580.65476804640002</v>
      </c>
      <c r="P3246" s="36" t="str">
        <f t="shared" si="310"/>
        <v/>
      </c>
      <c r="Q3246" s="216">
        <f t="shared" si="311"/>
        <v>0.14400000000000002</v>
      </c>
      <c r="R3246" s="216">
        <f t="shared" si="312"/>
        <v>0.14400000000000002</v>
      </c>
      <c r="S3246" s="217">
        <f t="shared" si="313"/>
        <v>0.14399999999999991</v>
      </c>
    </row>
    <row r="3247" spans="1:19" ht="26.25" hidden="1" thickBot="1" x14ac:dyDescent="0.3">
      <c r="A3247" s="262"/>
      <c r="B3247" s="260"/>
      <c r="C3247" s="35" t="s">
        <v>7982</v>
      </c>
      <c r="D3247" s="35" t="s">
        <v>213</v>
      </c>
      <c r="E3247" s="36">
        <v>1</v>
      </c>
      <c r="F3247" s="30">
        <v>14.3925</v>
      </c>
      <c r="G3247" s="33">
        <f t="shared" si="314"/>
        <v>14.3925</v>
      </c>
      <c r="H3247" s="34"/>
      <c r="I3247" s="30"/>
      <c r="J3247" s="152">
        <v>0</v>
      </c>
      <c r="L3247" s="215">
        <v>1</v>
      </c>
      <c r="M3247" s="30">
        <v>12.319980000000001</v>
      </c>
      <c r="N3247" s="33">
        <f t="shared" si="315"/>
        <v>12.319980000000001</v>
      </c>
      <c r="O3247" s="34"/>
      <c r="P3247" s="36" t="str">
        <f t="shared" si="310"/>
        <v/>
      </c>
      <c r="Q3247" s="216">
        <f t="shared" si="311"/>
        <v>0.14399999999999991</v>
      </c>
      <c r="R3247" s="216">
        <f t="shared" si="312"/>
        <v>0.14399999999999991</v>
      </c>
      <c r="S3247" s="217" t="str">
        <f t="shared" si="313"/>
        <v/>
      </c>
    </row>
    <row r="3248" spans="1:19" ht="26.25" hidden="1" thickBot="1" x14ac:dyDescent="0.3">
      <c r="A3248" s="262"/>
      <c r="B3248" s="260"/>
      <c r="C3248" s="35" t="s">
        <v>7994</v>
      </c>
      <c r="D3248" s="35" t="s">
        <v>213</v>
      </c>
      <c r="E3248" s="36">
        <v>1</v>
      </c>
      <c r="F3248" s="30">
        <v>569.74350000000004</v>
      </c>
      <c r="G3248" s="33">
        <f t="shared" si="314"/>
        <v>569.74350000000004</v>
      </c>
      <c r="H3248" s="34"/>
      <c r="I3248" s="30"/>
      <c r="J3248" s="152">
        <v>0</v>
      </c>
      <c r="L3248" s="215">
        <v>1</v>
      </c>
      <c r="M3248" s="30">
        <v>487.70043600000002</v>
      </c>
      <c r="N3248" s="33">
        <f t="shared" si="315"/>
        <v>487.70043600000002</v>
      </c>
      <c r="O3248" s="34"/>
      <c r="P3248" s="36" t="str">
        <f t="shared" si="310"/>
        <v/>
      </c>
      <c r="Q3248" s="216">
        <f t="shared" si="311"/>
        <v>0.14400000000000002</v>
      </c>
      <c r="R3248" s="216">
        <f t="shared" si="312"/>
        <v>0.14400000000000002</v>
      </c>
      <c r="S3248" s="217" t="str">
        <f t="shared" si="313"/>
        <v/>
      </c>
    </row>
    <row r="3249" spans="1:19" ht="15.75" hidden="1" thickBot="1" x14ac:dyDescent="0.3">
      <c r="A3249" s="262"/>
      <c r="B3249" s="260"/>
      <c r="C3249" s="35" t="s">
        <v>3061</v>
      </c>
      <c r="D3249" s="35" t="s">
        <v>773</v>
      </c>
      <c r="E3249" s="36">
        <v>8.8099999999999998E-2</v>
      </c>
      <c r="F3249" s="30">
        <v>72.836500000000001</v>
      </c>
      <c r="G3249" s="33">
        <f t="shared" si="314"/>
        <v>6.4168956499999998</v>
      </c>
      <c r="H3249" s="34"/>
      <c r="I3249" s="30"/>
      <c r="J3249" s="152">
        <v>0</v>
      </c>
      <c r="L3249" s="215">
        <v>8.8099999999999998E-2</v>
      </c>
      <c r="M3249" s="30">
        <v>62.348044000000002</v>
      </c>
      <c r="N3249" s="33">
        <f t="shared" si="315"/>
        <v>5.4928626763999997</v>
      </c>
      <c r="O3249" s="34"/>
      <c r="P3249" s="36" t="str">
        <f t="shared" si="310"/>
        <v/>
      </c>
      <c r="Q3249" s="216">
        <f t="shared" si="311"/>
        <v>0.14400000000000002</v>
      </c>
      <c r="R3249" s="216">
        <f t="shared" si="312"/>
        <v>0.14400000000000002</v>
      </c>
      <c r="S3249" s="217" t="str">
        <f t="shared" si="313"/>
        <v/>
      </c>
    </row>
    <row r="3250" spans="1:19" ht="26.25" hidden="1" thickBot="1" x14ac:dyDescent="0.3">
      <c r="A3250" s="262"/>
      <c r="B3250" s="260"/>
      <c r="C3250" s="35" t="s">
        <v>825</v>
      </c>
      <c r="D3250" s="35" t="s">
        <v>583</v>
      </c>
      <c r="E3250" s="36">
        <v>1.1539999999999999</v>
      </c>
      <c r="F3250" s="30">
        <v>26.799499999999998</v>
      </c>
      <c r="G3250" s="33">
        <f t="shared" si="314"/>
        <v>30.926622999999996</v>
      </c>
      <c r="H3250" s="34"/>
      <c r="I3250" s="30"/>
      <c r="J3250" s="152">
        <v>0</v>
      </c>
      <c r="L3250" s="215">
        <v>1.1539999999999999</v>
      </c>
      <c r="M3250" s="30">
        <v>22.940372</v>
      </c>
      <c r="N3250" s="33">
        <f t="shared" si="315"/>
        <v>26.473189287999997</v>
      </c>
      <c r="O3250" s="34"/>
      <c r="P3250" s="36" t="str">
        <f t="shared" si="310"/>
        <v/>
      </c>
      <c r="Q3250" s="216">
        <f t="shared" si="311"/>
        <v>0.14399999999999991</v>
      </c>
      <c r="R3250" s="216">
        <f t="shared" si="312"/>
        <v>0.14400000000000002</v>
      </c>
      <c r="S3250" s="217" t="str">
        <f t="shared" si="313"/>
        <v/>
      </c>
    </row>
    <row r="3251" spans="1:19" ht="15.75" hidden="1" thickBot="1" x14ac:dyDescent="0.3">
      <c r="A3251" s="262"/>
      <c r="B3251" s="260"/>
      <c r="C3251" s="35" t="s">
        <v>584</v>
      </c>
      <c r="D3251" s="35" t="s">
        <v>583</v>
      </c>
      <c r="E3251" s="36">
        <v>0.55649999999999999</v>
      </c>
      <c r="F3251" s="30">
        <v>20.225499999999997</v>
      </c>
      <c r="G3251" s="33">
        <f t="shared" si="314"/>
        <v>11.255490749999998</v>
      </c>
      <c r="H3251" s="34"/>
      <c r="I3251" s="30"/>
      <c r="J3251" s="152">
        <v>0</v>
      </c>
      <c r="L3251" s="215">
        <v>0.55649999999999999</v>
      </c>
      <c r="M3251" s="30">
        <v>17.313027999999996</v>
      </c>
      <c r="N3251" s="33">
        <f t="shared" si="315"/>
        <v>9.6347000819999966</v>
      </c>
      <c r="O3251" s="34"/>
      <c r="P3251" s="36" t="str">
        <f t="shared" si="310"/>
        <v/>
      </c>
      <c r="Q3251" s="216">
        <f t="shared" si="311"/>
        <v>0.14400000000000013</v>
      </c>
      <c r="R3251" s="216">
        <f t="shared" si="312"/>
        <v>0.14400000000000013</v>
      </c>
      <c r="S3251" s="217" t="str">
        <f t="shared" si="313"/>
        <v/>
      </c>
    </row>
    <row r="3252" spans="1:19" ht="26.25" hidden="1" thickBot="1" x14ac:dyDescent="0.3">
      <c r="A3252" s="262"/>
      <c r="B3252" s="260"/>
      <c r="C3252" s="35" t="s">
        <v>233</v>
      </c>
      <c r="D3252" s="35" t="s">
        <v>16</v>
      </c>
      <c r="E3252" s="36">
        <v>1</v>
      </c>
      <c r="F3252" s="33" t="s">
        <v>416</v>
      </c>
      <c r="G3252" s="33" t="str">
        <f t="shared" si="314"/>
        <v/>
      </c>
      <c r="H3252" s="34"/>
      <c r="I3252" s="30"/>
      <c r="J3252" s="152">
        <v>0</v>
      </c>
      <c r="L3252" s="215">
        <v>1</v>
      </c>
      <c r="M3252" s="33"/>
      <c r="N3252" s="33" t="str">
        <f t="shared" si="315"/>
        <v/>
      </c>
      <c r="O3252" s="34"/>
      <c r="P3252" s="36" t="str">
        <f t="shared" si="310"/>
        <v/>
      </c>
      <c r="Q3252" s="216" t="str">
        <f t="shared" si="311"/>
        <v/>
      </c>
      <c r="R3252" s="216" t="str">
        <f t="shared" si="312"/>
        <v/>
      </c>
      <c r="S3252" s="217" t="str">
        <f t="shared" si="313"/>
        <v/>
      </c>
    </row>
    <row r="3253" spans="1:19" ht="15.75" hidden="1" thickBot="1" x14ac:dyDescent="0.3">
      <c r="A3253" s="263"/>
      <c r="B3253" s="261"/>
      <c r="C3253" s="35"/>
      <c r="D3253" s="35"/>
      <c r="E3253" s="36"/>
      <c r="F3253" s="30" t="s">
        <v>416</v>
      </c>
      <c r="G3253" s="33" t="str">
        <f t="shared" si="314"/>
        <v/>
      </c>
      <c r="H3253" s="34"/>
      <c r="I3253" s="30"/>
      <c r="J3253" s="152">
        <v>0</v>
      </c>
      <c r="L3253" s="215"/>
      <c r="M3253" s="30"/>
      <c r="N3253" s="33" t="str">
        <f t="shared" si="315"/>
        <v/>
      </c>
      <c r="O3253" s="34"/>
      <c r="P3253" s="36" t="str">
        <f t="shared" si="310"/>
        <v/>
      </c>
      <c r="Q3253" s="216" t="str">
        <f t="shared" si="311"/>
        <v/>
      </c>
      <c r="R3253" s="216" t="str">
        <f t="shared" si="312"/>
        <v/>
      </c>
      <c r="S3253" s="217" t="str">
        <f t="shared" si="313"/>
        <v/>
      </c>
    </row>
    <row r="3254" spans="1:19" ht="15.75" hidden="1" thickBot="1" x14ac:dyDescent="0.3">
      <c r="A3254" s="256" t="s">
        <v>831</v>
      </c>
      <c r="B3254" s="259" t="str">
        <f>INDEX(Orçamentária!A:B,MATCH(Composições!A3254,Orçamentária!A:A,0),2)</f>
        <v>Assento para bacia convencional - Linha Acessibilidade</v>
      </c>
      <c r="C3254" s="40"/>
      <c r="D3254" s="25" t="s">
        <v>16</v>
      </c>
      <c r="E3254" s="26"/>
      <c r="F3254" s="41" t="s">
        <v>416</v>
      </c>
      <c r="G3254" s="27" t="str">
        <f t="shared" si="314"/>
        <v/>
      </c>
      <c r="H3254" s="28"/>
      <c r="I3254" s="29"/>
      <c r="J3254" s="152">
        <v>0</v>
      </c>
      <c r="L3254" s="218"/>
      <c r="M3254" s="41"/>
      <c r="N3254" s="27" t="str">
        <f t="shared" si="315"/>
        <v/>
      </c>
      <c r="O3254" s="28"/>
      <c r="P3254" s="36" t="str">
        <f t="shared" si="310"/>
        <v/>
      </c>
      <c r="Q3254" s="216" t="str">
        <f t="shared" si="311"/>
        <v/>
      </c>
      <c r="R3254" s="216" t="str">
        <f t="shared" si="312"/>
        <v/>
      </c>
      <c r="S3254" s="217" t="str">
        <f t="shared" si="313"/>
        <v/>
      </c>
    </row>
    <row r="3255" spans="1:19" ht="15.75" hidden="1" thickBot="1" x14ac:dyDescent="0.3">
      <c r="A3255" s="262"/>
      <c r="B3255" s="260"/>
      <c r="C3255" s="31"/>
      <c r="D3255" s="31"/>
      <c r="E3255" s="32"/>
      <c r="F3255" s="42" t="s">
        <v>416</v>
      </c>
      <c r="G3255" s="33" t="str">
        <f t="shared" si="314"/>
        <v/>
      </c>
      <c r="H3255" s="34"/>
      <c r="I3255" s="30"/>
      <c r="J3255" s="152">
        <v>0</v>
      </c>
      <c r="L3255" s="219"/>
      <c r="M3255" s="42"/>
      <c r="N3255" s="33" t="str">
        <f t="shared" si="315"/>
        <v/>
      </c>
      <c r="O3255" s="34"/>
      <c r="P3255" s="36" t="str">
        <f t="shared" si="310"/>
        <v/>
      </c>
      <c r="Q3255" s="216" t="str">
        <f t="shared" si="311"/>
        <v/>
      </c>
      <c r="R3255" s="216" t="str">
        <f t="shared" si="312"/>
        <v/>
      </c>
      <c r="S3255" s="217" t="str">
        <f t="shared" si="313"/>
        <v/>
      </c>
    </row>
    <row r="3256" spans="1:19" ht="26.25" hidden="1" thickBot="1" x14ac:dyDescent="0.3">
      <c r="A3256" s="262"/>
      <c r="B3256" s="260"/>
      <c r="C3256" s="35" t="s">
        <v>832</v>
      </c>
      <c r="D3256" s="46" t="s">
        <v>107</v>
      </c>
      <c r="E3256" s="36">
        <v>1</v>
      </c>
      <c r="F3256" s="30" t="s">
        <v>416</v>
      </c>
      <c r="G3256" s="33" t="str">
        <f t="shared" si="314"/>
        <v/>
      </c>
      <c r="H3256" s="38">
        <f>SUM(G3256:G3257)</f>
        <v>2.0225499999999998</v>
      </c>
      <c r="I3256" s="39"/>
      <c r="J3256" s="152">
        <v>0</v>
      </c>
      <c r="L3256" s="215">
        <v>1</v>
      </c>
      <c r="M3256" s="30"/>
      <c r="N3256" s="33" t="str">
        <f t="shared" si="315"/>
        <v/>
      </c>
      <c r="O3256" s="38">
        <f>SUM(N3256:N3257)</f>
        <v>1.7313027999999997</v>
      </c>
      <c r="P3256" s="36" t="str">
        <f t="shared" si="310"/>
        <v/>
      </c>
      <c r="Q3256" s="216" t="str">
        <f t="shared" si="311"/>
        <v/>
      </c>
      <c r="R3256" s="216" t="str">
        <f t="shared" si="312"/>
        <v/>
      </c>
      <c r="S3256" s="217">
        <f t="shared" si="313"/>
        <v>0.14400000000000013</v>
      </c>
    </row>
    <row r="3257" spans="1:19" ht="15.75" hidden="1" thickBot="1" x14ac:dyDescent="0.3">
      <c r="A3257" s="262"/>
      <c r="B3257" s="260"/>
      <c r="C3257" s="35" t="s">
        <v>584</v>
      </c>
      <c r="D3257" s="35" t="s">
        <v>583</v>
      </c>
      <c r="E3257" s="36">
        <v>0.1</v>
      </c>
      <c r="F3257" s="30">
        <v>20.225499999999997</v>
      </c>
      <c r="G3257" s="33">
        <f t="shared" si="314"/>
        <v>2.0225499999999998</v>
      </c>
      <c r="H3257" s="34"/>
      <c r="I3257" s="30"/>
      <c r="J3257" s="152">
        <v>0</v>
      </c>
      <c r="L3257" s="215">
        <v>0.1</v>
      </c>
      <c r="M3257" s="30">
        <v>17.313027999999996</v>
      </c>
      <c r="N3257" s="33">
        <f t="shared" si="315"/>
        <v>1.7313027999999997</v>
      </c>
      <c r="O3257" s="34"/>
      <c r="P3257" s="36" t="str">
        <f t="shared" si="310"/>
        <v/>
      </c>
      <c r="Q3257" s="216">
        <f t="shared" si="311"/>
        <v>0.14400000000000013</v>
      </c>
      <c r="R3257" s="216">
        <f t="shared" si="312"/>
        <v>0.14400000000000013</v>
      </c>
      <c r="S3257" s="217" t="str">
        <f t="shared" si="313"/>
        <v/>
      </c>
    </row>
    <row r="3258" spans="1:19" ht="15.75" hidden="1" thickBot="1" x14ac:dyDescent="0.3">
      <c r="A3258" s="263"/>
      <c r="B3258" s="261"/>
      <c r="C3258" s="35"/>
      <c r="D3258" s="35"/>
      <c r="E3258" s="36"/>
      <c r="F3258" s="30" t="s">
        <v>416</v>
      </c>
      <c r="G3258" s="33" t="str">
        <f t="shared" si="314"/>
        <v/>
      </c>
      <c r="H3258" s="34"/>
      <c r="I3258" s="30"/>
      <c r="J3258" s="152">
        <v>0</v>
      </c>
      <c r="L3258" s="215"/>
      <c r="M3258" s="30"/>
      <c r="N3258" s="33" t="str">
        <f t="shared" si="315"/>
        <v/>
      </c>
      <c r="O3258" s="34"/>
      <c r="P3258" s="36" t="str">
        <f t="shared" si="310"/>
        <v/>
      </c>
      <c r="Q3258" s="216" t="str">
        <f t="shared" si="311"/>
        <v/>
      </c>
      <c r="R3258" s="216" t="str">
        <f t="shared" si="312"/>
        <v/>
      </c>
      <c r="S3258" s="217" t="str">
        <f t="shared" si="313"/>
        <v/>
      </c>
    </row>
    <row r="3259" spans="1:19" ht="15.75" hidden="1" thickBot="1" x14ac:dyDescent="0.3">
      <c r="A3259" s="256" t="s">
        <v>833</v>
      </c>
      <c r="B3259" s="259" t="str">
        <f>INDEX(Orçamentária!A:B,MATCH(Composições!A3259,Orçamentária!A:A,0),2)</f>
        <v>Base registro de gaveta 1 1/2”</v>
      </c>
      <c r="C3259" s="40"/>
      <c r="D3259" s="25" t="s">
        <v>16</v>
      </c>
      <c r="E3259" s="26"/>
      <c r="F3259" s="41" t="s">
        <v>416</v>
      </c>
      <c r="G3259" s="27" t="str">
        <f t="shared" si="314"/>
        <v/>
      </c>
      <c r="H3259" s="28"/>
      <c r="I3259" s="29"/>
      <c r="J3259" s="152">
        <v>0</v>
      </c>
      <c r="L3259" s="218"/>
      <c r="M3259" s="41"/>
      <c r="N3259" s="27" t="str">
        <f t="shared" si="315"/>
        <v/>
      </c>
      <c r="O3259" s="28"/>
      <c r="P3259" s="36" t="str">
        <f t="shared" si="310"/>
        <v/>
      </c>
      <c r="Q3259" s="216" t="str">
        <f t="shared" si="311"/>
        <v/>
      </c>
      <c r="R3259" s="216" t="str">
        <f t="shared" si="312"/>
        <v/>
      </c>
      <c r="S3259" s="217" t="str">
        <f t="shared" si="313"/>
        <v/>
      </c>
    </row>
    <row r="3260" spans="1:19" ht="15.75" hidden="1" thickBot="1" x14ac:dyDescent="0.3">
      <c r="A3260" s="262"/>
      <c r="B3260" s="260"/>
      <c r="C3260" s="31"/>
      <c r="D3260" s="31"/>
      <c r="E3260" s="32"/>
      <c r="F3260" s="42" t="s">
        <v>416</v>
      </c>
      <c r="G3260" s="33" t="str">
        <f t="shared" si="314"/>
        <v/>
      </c>
      <c r="H3260" s="34"/>
      <c r="I3260" s="30"/>
      <c r="J3260" s="152">
        <v>0</v>
      </c>
      <c r="L3260" s="219"/>
      <c r="M3260" s="42"/>
      <c r="N3260" s="33" t="str">
        <f t="shared" si="315"/>
        <v/>
      </c>
      <c r="O3260" s="34"/>
      <c r="P3260" s="36" t="str">
        <f t="shared" si="310"/>
        <v/>
      </c>
      <c r="Q3260" s="216" t="str">
        <f t="shared" si="311"/>
        <v/>
      </c>
      <c r="R3260" s="216" t="str">
        <f t="shared" si="312"/>
        <v/>
      </c>
      <c r="S3260" s="217" t="str">
        <f t="shared" si="313"/>
        <v/>
      </c>
    </row>
    <row r="3261" spans="1:19" ht="26.25" hidden="1" thickBot="1" x14ac:dyDescent="0.3">
      <c r="A3261" s="262"/>
      <c r="B3261" s="260"/>
      <c r="C3261" s="35" t="s">
        <v>834</v>
      </c>
      <c r="D3261" s="46" t="s">
        <v>107</v>
      </c>
      <c r="E3261" s="36">
        <v>1</v>
      </c>
      <c r="F3261" s="30" t="s">
        <v>416</v>
      </c>
      <c r="G3261" s="33" t="str">
        <f t="shared" si="314"/>
        <v/>
      </c>
      <c r="H3261" s="38">
        <f>SUM(G3261:G3264)</f>
        <v>12.915136949999999</v>
      </c>
      <c r="I3261" s="39"/>
      <c r="J3261" s="152">
        <v>0</v>
      </c>
      <c r="L3261" s="215">
        <v>1</v>
      </c>
      <c r="M3261" s="30"/>
      <c r="N3261" s="33" t="str">
        <f t="shared" si="315"/>
        <v/>
      </c>
      <c r="O3261" s="38">
        <f>SUM(N3261:N3264)</f>
        <v>11.0553572292</v>
      </c>
      <c r="P3261" s="36" t="str">
        <f t="shared" si="310"/>
        <v/>
      </c>
      <c r="Q3261" s="216" t="str">
        <f t="shared" si="311"/>
        <v/>
      </c>
      <c r="R3261" s="216" t="str">
        <f t="shared" si="312"/>
        <v/>
      </c>
      <c r="S3261" s="217">
        <f t="shared" si="313"/>
        <v>0.14399999999999991</v>
      </c>
    </row>
    <row r="3262" spans="1:19" ht="15.75" hidden="1" thickBot="1" x14ac:dyDescent="0.3">
      <c r="A3262" s="262"/>
      <c r="B3262" s="260"/>
      <c r="C3262" s="35" t="s">
        <v>244</v>
      </c>
      <c r="D3262" s="35" t="s">
        <v>213</v>
      </c>
      <c r="E3262" s="36">
        <v>1.9199999999999998E-2</v>
      </c>
      <c r="F3262" s="30">
        <v>14.8865</v>
      </c>
      <c r="G3262" s="33">
        <f t="shared" si="314"/>
        <v>0.28582079999999999</v>
      </c>
      <c r="H3262" s="34"/>
      <c r="I3262" s="30"/>
      <c r="J3262" s="152">
        <v>0</v>
      </c>
      <c r="L3262" s="215">
        <v>1.9199999999999998E-2</v>
      </c>
      <c r="M3262" s="30">
        <v>12.742844</v>
      </c>
      <c r="N3262" s="33">
        <f t="shared" si="315"/>
        <v>0.24466260479999999</v>
      </c>
      <c r="O3262" s="34"/>
      <c r="P3262" s="36" t="str">
        <f t="shared" si="310"/>
        <v/>
      </c>
      <c r="Q3262" s="216">
        <f t="shared" si="311"/>
        <v>0.14400000000000002</v>
      </c>
      <c r="R3262" s="216">
        <f t="shared" si="312"/>
        <v>0.14400000000000002</v>
      </c>
      <c r="S3262" s="217" t="str">
        <f t="shared" si="313"/>
        <v/>
      </c>
    </row>
    <row r="3263" spans="1:19" ht="26.25" hidden="1" thickBot="1" x14ac:dyDescent="0.3">
      <c r="A3263" s="262"/>
      <c r="B3263" s="260"/>
      <c r="C3263" s="35" t="s">
        <v>825</v>
      </c>
      <c r="D3263" s="35" t="s">
        <v>583</v>
      </c>
      <c r="E3263" s="36">
        <v>0.26329999999999998</v>
      </c>
      <c r="F3263" s="30">
        <v>26.799499999999998</v>
      </c>
      <c r="G3263" s="33">
        <f t="shared" si="314"/>
        <v>7.0563083499999992</v>
      </c>
      <c r="H3263" s="34"/>
      <c r="I3263" s="30"/>
      <c r="J3263" s="152">
        <v>0</v>
      </c>
      <c r="L3263" s="215">
        <v>0.26329999999999998</v>
      </c>
      <c r="M3263" s="30">
        <v>22.940372</v>
      </c>
      <c r="N3263" s="33">
        <f t="shared" si="315"/>
        <v>6.0401999475999997</v>
      </c>
      <c r="O3263" s="34"/>
      <c r="P3263" s="36" t="str">
        <f t="shared" si="310"/>
        <v/>
      </c>
      <c r="Q3263" s="216">
        <f t="shared" si="311"/>
        <v>0.14399999999999991</v>
      </c>
      <c r="R3263" s="216">
        <f t="shared" si="312"/>
        <v>0.14399999999999991</v>
      </c>
      <c r="S3263" s="217" t="str">
        <f t="shared" si="313"/>
        <v/>
      </c>
    </row>
    <row r="3264" spans="1:19" ht="26.25" hidden="1" thickBot="1" x14ac:dyDescent="0.3">
      <c r="A3264" s="262"/>
      <c r="B3264" s="260"/>
      <c r="C3264" s="35" t="s">
        <v>824</v>
      </c>
      <c r="D3264" s="35" t="s">
        <v>583</v>
      </c>
      <c r="E3264" s="36">
        <v>0.26329999999999998</v>
      </c>
      <c r="F3264" s="30">
        <v>21.166</v>
      </c>
      <c r="G3264" s="33">
        <f t="shared" si="314"/>
        <v>5.5730078000000001</v>
      </c>
      <c r="H3264" s="34"/>
      <c r="I3264" s="30"/>
      <c r="J3264" s="152">
        <v>0</v>
      </c>
      <c r="L3264" s="215">
        <v>0.26329999999999998</v>
      </c>
      <c r="M3264" s="30">
        <v>18.118096000000001</v>
      </c>
      <c r="N3264" s="33">
        <f t="shared" si="315"/>
        <v>4.7704946768000003</v>
      </c>
      <c r="O3264" s="34"/>
      <c r="P3264" s="36" t="str">
        <f t="shared" si="310"/>
        <v/>
      </c>
      <c r="Q3264" s="216">
        <f t="shared" si="311"/>
        <v>0.14399999999999991</v>
      </c>
      <c r="R3264" s="216">
        <f t="shared" si="312"/>
        <v>0.14399999999999991</v>
      </c>
      <c r="S3264" s="217" t="str">
        <f t="shared" si="313"/>
        <v/>
      </c>
    </row>
    <row r="3265" spans="1:19" ht="15.75" hidden="1" thickBot="1" x14ac:dyDescent="0.3">
      <c r="A3265" s="263"/>
      <c r="B3265" s="261"/>
      <c r="C3265" s="35"/>
      <c r="D3265" s="35"/>
      <c r="E3265" s="36"/>
      <c r="F3265" s="30" t="s">
        <v>416</v>
      </c>
      <c r="G3265" s="33" t="str">
        <f t="shared" si="314"/>
        <v/>
      </c>
      <c r="H3265" s="34"/>
      <c r="I3265" s="30"/>
      <c r="J3265" s="152">
        <v>0</v>
      </c>
      <c r="L3265" s="215"/>
      <c r="M3265" s="30"/>
      <c r="N3265" s="33" t="str">
        <f t="shared" si="315"/>
        <v/>
      </c>
      <c r="O3265" s="34"/>
      <c r="P3265" s="36" t="str">
        <f t="shared" si="310"/>
        <v/>
      </c>
      <c r="Q3265" s="216" t="str">
        <f t="shared" si="311"/>
        <v/>
      </c>
      <c r="R3265" s="216" t="str">
        <f t="shared" si="312"/>
        <v/>
      </c>
      <c r="S3265" s="217" t="str">
        <f t="shared" si="313"/>
        <v/>
      </c>
    </row>
    <row r="3266" spans="1:19" ht="15.75" hidden="1" thickBot="1" x14ac:dyDescent="0.3">
      <c r="A3266" s="256" t="s">
        <v>835</v>
      </c>
      <c r="B3266" s="259" t="str">
        <f>INDEX(Orçamentária!A:B,MATCH(Composições!A3266,Orçamentária!A:A,0),2)</f>
        <v>Condutor 25 mm²</v>
      </c>
      <c r="C3266" s="40"/>
      <c r="D3266" s="25" t="s">
        <v>69</v>
      </c>
      <c r="E3266" s="26"/>
      <c r="F3266" s="41" t="s">
        <v>416</v>
      </c>
      <c r="G3266" s="27" t="str">
        <f t="shared" si="314"/>
        <v/>
      </c>
      <c r="H3266" s="28"/>
      <c r="I3266" s="29"/>
      <c r="J3266" s="152">
        <v>0</v>
      </c>
      <c r="L3266" s="218"/>
      <c r="M3266" s="41"/>
      <c r="N3266" s="27" t="str">
        <f t="shared" si="315"/>
        <v/>
      </c>
      <c r="O3266" s="28"/>
      <c r="P3266" s="36" t="str">
        <f t="shared" si="310"/>
        <v/>
      </c>
      <c r="Q3266" s="216" t="str">
        <f t="shared" si="311"/>
        <v/>
      </c>
      <c r="R3266" s="216" t="str">
        <f t="shared" si="312"/>
        <v/>
      </c>
      <c r="S3266" s="217" t="str">
        <f t="shared" si="313"/>
        <v/>
      </c>
    </row>
    <row r="3267" spans="1:19" ht="15.75" hidden="1" thickBot="1" x14ac:dyDescent="0.3">
      <c r="A3267" s="262"/>
      <c r="B3267" s="260"/>
      <c r="C3267" s="31"/>
      <c r="D3267" s="31"/>
      <c r="E3267" s="32"/>
      <c r="F3267" s="42" t="s">
        <v>416</v>
      </c>
      <c r="G3267" s="33" t="str">
        <f t="shared" si="314"/>
        <v/>
      </c>
      <c r="H3267" s="34"/>
      <c r="I3267" s="30"/>
      <c r="J3267" s="152">
        <v>0</v>
      </c>
      <c r="L3267" s="219"/>
      <c r="M3267" s="42"/>
      <c r="N3267" s="33" t="str">
        <f t="shared" si="315"/>
        <v/>
      </c>
      <c r="O3267" s="34"/>
      <c r="P3267" s="36" t="str">
        <f t="shared" si="310"/>
        <v/>
      </c>
      <c r="Q3267" s="216" t="str">
        <f t="shared" si="311"/>
        <v/>
      </c>
      <c r="R3267" s="216" t="str">
        <f t="shared" si="312"/>
        <v/>
      </c>
      <c r="S3267" s="217" t="str">
        <f t="shared" si="313"/>
        <v/>
      </c>
    </row>
    <row r="3268" spans="1:19" ht="15.75" hidden="1" thickBot="1" x14ac:dyDescent="0.3">
      <c r="A3268" s="262"/>
      <c r="B3268" s="260"/>
      <c r="C3268" s="35" t="s">
        <v>836</v>
      </c>
      <c r="D3268" s="35" t="s">
        <v>69</v>
      </c>
      <c r="E3268" s="36">
        <v>1.0149999999999999</v>
      </c>
      <c r="F3268" s="30">
        <v>0</v>
      </c>
      <c r="G3268" s="33">
        <f t="shared" si="314"/>
        <v>0</v>
      </c>
      <c r="H3268" s="38">
        <f>SUM(G3268:G3271)</f>
        <v>3.1980420000000001</v>
      </c>
      <c r="I3268" s="39"/>
      <c r="J3268" s="152">
        <v>0</v>
      </c>
      <c r="L3268" s="215">
        <v>1.0149999999999999</v>
      </c>
      <c r="M3268" s="30">
        <v>0</v>
      </c>
      <c r="N3268" s="33">
        <f t="shared" si="315"/>
        <v>0</v>
      </c>
      <c r="O3268" s="38">
        <f>SUM(N3268:N3271)</f>
        <v>2.7375239520000001</v>
      </c>
      <c r="P3268" s="36" t="str">
        <f t="shared" si="310"/>
        <v/>
      </c>
      <c r="Q3268" s="216" t="e">
        <f t="shared" si="311"/>
        <v>#DIV/0!</v>
      </c>
      <c r="R3268" s="216" t="e">
        <f t="shared" si="312"/>
        <v>#DIV/0!</v>
      </c>
      <c r="S3268" s="217">
        <f t="shared" si="313"/>
        <v>0.14400000000000002</v>
      </c>
    </row>
    <row r="3269" spans="1:19" ht="26.25" hidden="1" thickBot="1" x14ac:dyDescent="0.3">
      <c r="A3269" s="262"/>
      <c r="B3269" s="260"/>
      <c r="C3269" s="35" t="s">
        <v>8169</v>
      </c>
      <c r="D3269" s="35" t="s">
        <v>213</v>
      </c>
      <c r="E3269" s="36">
        <v>8.9999999999999993E-3</v>
      </c>
      <c r="F3269" s="30">
        <v>3.9139999999999997</v>
      </c>
      <c r="G3269" s="33">
        <f t="shared" si="314"/>
        <v>3.5225999999999993E-2</v>
      </c>
      <c r="H3269" s="34"/>
      <c r="I3269" s="30"/>
      <c r="J3269" s="152">
        <v>0</v>
      </c>
      <c r="L3269" s="215">
        <v>8.9999999999999993E-3</v>
      </c>
      <c r="M3269" s="30">
        <v>3.350384</v>
      </c>
      <c r="N3269" s="33">
        <f t="shared" si="315"/>
        <v>3.0153455999999999E-2</v>
      </c>
      <c r="O3269" s="34"/>
      <c r="P3269" s="36" t="str">
        <f t="shared" si="310"/>
        <v/>
      </c>
      <c r="Q3269" s="216">
        <f t="shared" si="311"/>
        <v>0.14399999999999991</v>
      </c>
      <c r="R3269" s="216">
        <f t="shared" si="312"/>
        <v>0.14399999999999991</v>
      </c>
      <c r="S3269" s="217" t="str">
        <f t="shared" si="313"/>
        <v/>
      </c>
    </row>
    <row r="3270" spans="1:19" ht="15.75" hidden="1" thickBot="1" x14ac:dyDescent="0.3">
      <c r="A3270" s="262"/>
      <c r="B3270" s="260"/>
      <c r="C3270" s="35" t="s">
        <v>1017</v>
      </c>
      <c r="D3270" s="35" t="s">
        <v>583</v>
      </c>
      <c r="E3270" s="36">
        <v>6.4000000000000001E-2</v>
      </c>
      <c r="F3270" s="30">
        <v>21.584</v>
      </c>
      <c r="G3270" s="33">
        <f t="shared" si="314"/>
        <v>1.3813759999999999</v>
      </c>
      <c r="H3270" s="34"/>
      <c r="I3270" s="30"/>
      <c r="J3270" s="152">
        <v>0</v>
      </c>
      <c r="L3270" s="215">
        <v>6.4000000000000001E-2</v>
      </c>
      <c r="M3270" s="30">
        <v>18.475904</v>
      </c>
      <c r="N3270" s="33">
        <f t="shared" si="315"/>
        <v>1.1824578560000001</v>
      </c>
      <c r="O3270" s="34"/>
      <c r="P3270" s="36" t="str">
        <f t="shared" si="310"/>
        <v/>
      </c>
      <c r="Q3270" s="216">
        <f t="shared" si="311"/>
        <v>0.14400000000000002</v>
      </c>
      <c r="R3270" s="216">
        <f t="shared" si="312"/>
        <v>0.14399999999999991</v>
      </c>
      <c r="S3270" s="217" t="str">
        <f t="shared" si="313"/>
        <v/>
      </c>
    </row>
    <row r="3271" spans="1:19" ht="15.75" hidden="1" thickBot="1" x14ac:dyDescent="0.3">
      <c r="A3271" s="262"/>
      <c r="B3271" s="260"/>
      <c r="C3271" s="35" t="s">
        <v>1018</v>
      </c>
      <c r="D3271" s="35" t="s">
        <v>583</v>
      </c>
      <c r="E3271" s="36">
        <v>6.4000000000000001E-2</v>
      </c>
      <c r="F3271" s="30">
        <v>27.835000000000001</v>
      </c>
      <c r="G3271" s="33">
        <f t="shared" si="314"/>
        <v>1.7814400000000001</v>
      </c>
      <c r="H3271" s="34"/>
      <c r="I3271" s="30"/>
      <c r="J3271" s="152">
        <v>0</v>
      </c>
      <c r="L3271" s="215">
        <v>6.4000000000000001E-2</v>
      </c>
      <c r="M3271" s="30">
        <v>23.82676</v>
      </c>
      <c r="N3271" s="33">
        <f t="shared" si="315"/>
        <v>1.5249126400000002</v>
      </c>
      <c r="O3271" s="34"/>
      <c r="P3271" s="36" t="str">
        <f t="shared" si="310"/>
        <v/>
      </c>
      <c r="Q3271" s="216">
        <f t="shared" si="311"/>
        <v>0.14400000000000002</v>
      </c>
      <c r="R3271" s="216">
        <f t="shared" si="312"/>
        <v>0.14400000000000002</v>
      </c>
      <c r="S3271" s="217" t="str">
        <f t="shared" si="313"/>
        <v/>
      </c>
    </row>
    <row r="3272" spans="1:19" ht="15.75" hidden="1" thickBot="1" x14ac:dyDescent="0.3">
      <c r="A3272" s="263"/>
      <c r="B3272" s="261"/>
      <c r="C3272" s="35"/>
      <c r="D3272" s="35"/>
      <c r="E3272" s="36"/>
      <c r="F3272" s="30" t="s">
        <v>416</v>
      </c>
      <c r="G3272" s="33" t="str">
        <f t="shared" si="314"/>
        <v/>
      </c>
      <c r="H3272" s="34"/>
      <c r="I3272" s="30"/>
      <c r="J3272" s="152">
        <v>0</v>
      </c>
      <c r="L3272" s="215"/>
      <c r="M3272" s="30"/>
      <c r="N3272" s="33" t="str">
        <f t="shared" si="315"/>
        <v/>
      </c>
      <c r="O3272" s="34"/>
      <c r="P3272" s="36" t="str">
        <f t="shared" ref="P3272:P3335" si="316">IF(ISBLANK(L3272),"",IF($E3272&lt;&gt;L3272,"SIM",""))</f>
        <v/>
      </c>
      <c r="Q3272" s="216" t="str">
        <f t="shared" ref="Q3272:Q3335" si="317">IF(M3272="","",1-M3272/$F3272)</f>
        <v/>
      </c>
      <c r="R3272" s="216" t="str">
        <f t="shared" ref="R3272:R3335" si="318">IF(N3272="","",1-N3272/$G3272)</f>
        <v/>
      </c>
      <c r="S3272" s="217" t="str">
        <f t="shared" ref="S3272:S3335" si="319">IF(O3272="","",1-O3272/$H3272)</f>
        <v/>
      </c>
    </row>
    <row r="3273" spans="1:19" ht="15.75" thickBot="1" x14ac:dyDescent="0.3">
      <c r="A3273" s="256" t="s">
        <v>837</v>
      </c>
      <c r="B3273" s="259" t="str">
        <f>INDEX(Orçamentária!A:B,MATCH(Composições!A3273,Orçamentária!A:A,0),2)</f>
        <v>Condutor 35 mm²</v>
      </c>
      <c r="C3273" s="40"/>
      <c r="D3273" s="25" t="s">
        <v>69</v>
      </c>
      <c r="E3273" s="26"/>
      <c r="F3273" s="41" t="s">
        <v>416</v>
      </c>
      <c r="G3273" s="27" t="str">
        <f t="shared" si="314"/>
        <v/>
      </c>
      <c r="H3273" s="28"/>
      <c r="I3273" s="29"/>
      <c r="J3273" s="152">
        <v>122</v>
      </c>
      <c r="L3273" s="218"/>
      <c r="M3273" s="41"/>
      <c r="N3273" s="27" t="str">
        <f t="shared" si="315"/>
        <v/>
      </c>
      <c r="O3273" s="28"/>
      <c r="P3273" s="36" t="str">
        <f t="shared" si="316"/>
        <v/>
      </c>
      <c r="Q3273" s="216" t="str">
        <f t="shared" si="317"/>
        <v/>
      </c>
      <c r="R3273" s="216" t="str">
        <f t="shared" si="318"/>
        <v/>
      </c>
      <c r="S3273" s="217" t="str">
        <f t="shared" si="319"/>
        <v/>
      </c>
    </row>
    <row r="3274" spans="1:19" x14ac:dyDescent="0.25">
      <c r="A3274" s="262"/>
      <c r="B3274" s="260"/>
      <c r="C3274" s="31"/>
      <c r="D3274" s="31"/>
      <c r="E3274" s="32"/>
      <c r="F3274" s="42" t="s">
        <v>416</v>
      </c>
      <c r="G3274" s="33" t="str">
        <f t="shared" si="314"/>
        <v/>
      </c>
      <c r="H3274" s="34"/>
      <c r="I3274" s="30"/>
      <c r="J3274" s="152">
        <v>122</v>
      </c>
      <c r="L3274" s="219"/>
      <c r="M3274" s="42"/>
      <c r="N3274" s="33" t="str">
        <f t="shared" si="315"/>
        <v/>
      </c>
      <c r="O3274" s="34"/>
      <c r="P3274" s="36" t="str">
        <f t="shared" si="316"/>
        <v/>
      </c>
      <c r="Q3274" s="216" t="str">
        <f t="shared" si="317"/>
        <v/>
      </c>
      <c r="R3274" s="216" t="str">
        <f t="shared" si="318"/>
        <v/>
      </c>
      <c r="S3274" s="217" t="str">
        <f t="shared" si="319"/>
        <v/>
      </c>
    </row>
    <row r="3275" spans="1:19" x14ac:dyDescent="0.25">
      <c r="A3275" s="262"/>
      <c r="B3275" s="260"/>
      <c r="C3275" s="35" t="s">
        <v>838</v>
      </c>
      <c r="D3275" s="35" t="s">
        <v>69</v>
      </c>
      <c r="E3275" s="36">
        <v>1.0149999999999999</v>
      </c>
      <c r="F3275" s="30">
        <v>47.851499999999994</v>
      </c>
      <c r="G3275" s="33">
        <f t="shared" si="314"/>
        <v>48.56927249999999</v>
      </c>
      <c r="H3275" s="38">
        <f>SUM(G3275:G3278)</f>
        <v>52.212085499999986</v>
      </c>
      <c r="I3275" s="39"/>
      <c r="J3275" s="152">
        <v>122</v>
      </c>
      <c r="L3275" s="215">
        <v>1.0149999999999999</v>
      </c>
      <c r="M3275" s="30">
        <v>40.960883999999993</v>
      </c>
      <c r="N3275" s="33">
        <f t="shared" si="315"/>
        <v>41.575297259999992</v>
      </c>
      <c r="O3275" s="38">
        <f>SUM(N3275:N3278)</f>
        <v>44.693545187999995</v>
      </c>
      <c r="P3275" s="36" t="str">
        <f t="shared" si="316"/>
        <v/>
      </c>
      <c r="Q3275" s="216">
        <f t="shared" si="317"/>
        <v>0.14400000000000002</v>
      </c>
      <c r="R3275" s="216">
        <f t="shared" si="318"/>
        <v>0.14400000000000002</v>
      </c>
      <c r="S3275" s="217">
        <f t="shared" si="319"/>
        <v>0.14399999999999991</v>
      </c>
    </row>
    <row r="3276" spans="1:19" ht="25.5" x14ac:dyDescent="0.25">
      <c r="A3276" s="262"/>
      <c r="B3276" s="260"/>
      <c r="C3276" s="35" t="s">
        <v>8169</v>
      </c>
      <c r="D3276" s="35" t="s">
        <v>213</v>
      </c>
      <c r="E3276" s="36">
        <v>8.9999999999999993E-3</v>
      </c>
      <c r="F3276" s="30">
        <v>3.9139999999999997</v>
      </c>
      <c r="G3276" s="33">
        <f t="shared" si="314"/>
        <v>3.5225999999999993E-2</v>
      </c>
      <c r="H3276" s="34"/>
      <c r="I3276" s="30"/>
      <c r="J3276" s="152">
        <v>122</v>
      </c>
      <c r="L3276" s="215">
        <v>8.9999999999999993E-3</v>
      </c>
      <c r="M3276" s="30">
        <v>3.350384</v>
      </c>
      <c r="N3276" s="33">
        <f t="shared" si="315"/>
        <v>3.0153455999999999E-2</v>
      </c>
      <c r="O3276" s="34"/>
      <c r="P3276" s="36" t="str">
        <f t="shared" si="316"/>
        <v/>
      </c>
      <c r="Q3276" s="216">
        <f t="shared" si="317"/>
        <v>0.14399999999999991</v>
      </c>
      <c r="R3276" s="216">
        <f t="shared" si="318"/>
        <v>0.14399999999999991</v>
      </c>
      <c r="S3276" s="217" t="str">
        <f t="shared" si="319"/>
        <v/>
      </c>
    </row>
    <row r="3277" spans="1:19" x14ac:dyDescent="0.25">
      <c r="A3277" s="262"/>
      <c r="B3277" s="260"/>
      <c r="C3277" s="35" t="s">
        <v>1017</v>
      </c>
      <c r="D3277" s="35" t="s">
        <v>583</v>
      </c>
      <c r="E3277" s="36">
        <v>7.2999999999999995E-2</v>
      </c>
      <c r="F3277" s="30">
        <v>21.584</v>
      </c>
      <c r="G3277" s="33">
        <f t="shared" si="314"/>
        <v>1.5756319999999999</v>
      </c>
      <c r="H3277" s="34"/>
      <c r="I3277" s="30"/>
      <c r="J3277" s="152">
        <v>122</v>
      </c>
      <c r="L3277" s="215">
        <v>7.2999999999999995E-2</v>
      </c>
      <c r="M3277" s="30">
        <v>18.475904</v>
      </c>
      <c r="N3277" s="33">
        <f t="shared" si="315"/>
        <v>1.348740992</v>
      </c>
      <c r="O3277" s="34"/>
      <c r="P3277" s="36" t="str">
        <f t="shared" si="316"/>
        <v/>
      </c>
      <c r="Q3277" s="216">
        <f t="shared" si="317"/>
        <v>0.14400000000000002</v>
      </c>
      <c r="R3277" s="216">
        <f t="shared" si="318"/>
        <v>0.14400000000000002</v>
      </c>
      <c r="S3277" s="217" t="str">
        <f t="shared" si="319"/>
        <v/>
      </c>
    </row>
    <row r="3278" spans="1:19" x14ac:dyDescent="0.25">
      <c r="A3278" s="262"/>
      <c r="B3278" s="260"/>
      <c r="C3278" s="35" t="s">
        <v>1018</v>
      </c>
      <c r="D3278" s="35" t="s">
        <v>583</v>
      </c>
      <c r="E3278" s="36">
        <v>7.2999999999999995E-2</v>
      </c>
      <c r="F3278" s="30">
        <v>27.835000000000001</v>
      </c>
      <c r="G3278" s="33">
        <f t="shared" si="314"/>
        <v>2.031955</v>
      </c>
      <c r="H3278" s="34"/>
      <c r="I3278" s="30"/>
      <c r="J3278" s="152">
        <v>122</v>
      </c>
      <c r="L3278" s="215">
        <v>7.2999999999999995E-2</v>
      </c>
      <c r="M3278" s="30">
        <v>23.82676</v>
      </c>
      <c r="N3278" s="33">
        <f t="shared" si="315"/>
        <v>1.7393534799999999</v>
      </c>
      <c r="O3278" s="34"/>
      <c r="P3278" s="36" t="str">
        <f t="shared" si="316"/>
        <v/>
      </c>
      <c r="Q3278" s="216">
        <f t="shared" si="317"/>
        <v>0.14400000000000002</v>
      </c>
      <c r="R3278" s="216">
        <f t="shared" si="318"/>
        <v>0.14400000000000002</v>
      </c>
      <c r="S3278" s="217" t="str">
        <f t="shared" si="319"/>
        <v/>
      </c>
    </row>
    <row r="3279" spans="1:19" ht="15.75" thickBot="1" x14ac:dyDescent="0.3">
      <c r="A3279" s="263"/>
      <c r="B3279" s="261"/>
      <c r="C3279" s="35"/>
      <c r="D3279" s="35"/>
      <c r="E3279" s="36"/>
      <c r="F3279" s="30" t="s">
        <v>416</v>
      </c>
      <c r="G3279" s="33" t="str">
        <f t="shared" si="314"/>
        <v/>
      </c>
      <c r="H3279" s="34"/>
      <c r="I3279" s="30"/>
      <c r="J3279" s="152">
        <v>122</v>
      </c>
      <c r="L3279" s="215"/>
      <c r="M3279" s="30"/>
      <c r="N3279" s="33" t="str">
        <f t="shared" si="315"/>
        <v/>
      </c>
      <c r="O3279" s="34"/>
      <c r="P3279" s="36" t="str">
        <f t="shared" si="316"/>
        <v/>
      </c>
      <c r="Q3279" s="216" t="str">
        <f t="shared" si="317"/>
        <v/>
      </c>
      <c r="R3279" s="216" t="str">
        <f t="shared" si="318"/>
        <v/>
      </c>
      <c r="S3279" s="217" t="str">
        <f t="shared" si="319"/>
        <v/>
      </c>
    </row>
    <row r="3280" spans="1:19" ht="15.75" hidden="1" thickBot="1" x14ac:dyDescent="0.3">
      <c r="A3280" s="256" t="s">
        <v>839</v>
      </c>
      <c r="B3280" s="259" t="str">
        <f>INDEX(Orçamentária!A:B,MATCH(Composições!A3280,Orçamentária!A:A,0),2)</f>
        <v>Condutor 50 mm²</v>
      </c>
      <c r="C3280" s="40"/>
      <c r="D3280" s="25" t="s">
        <v>69</v>
      </c>
      <c r="E3280" s="26"/>
      <c r="F3280" s="41" t="s">
        <v>416</v>
      </c>
      <c r="G3280" s="27" t="str">
        <f t="shared" si="314"/>
        <v/>
      </c>
      <c r="H3280" s="28"/>
      <c r="I3280" s="29"/>
      <c r="J3280" s="152">
        <v>0</v>
      </c>
      <c r="L3280" s="218"/>
      <c r="M3280" s="41"/>
      <c r="N3280" s="27" t="str">
        <f t="shared" si="315"/>
        <v/>
      </c>
      <c r="O3280" s="28"/>
      <c r="P3280" s="36" t="str">
        <f t="shared" si="316"/>
        <v/>
      </c>
      <c r="Q3280" s="216" t="str">
        <f t="shared" si="317"/>
        <v/>
      </c>
      <c r="R3280" s="216" t="str">
        <f t="shared" si="318"/>
        <v/>
      </c>
      <c r="S3280" s="217" t="str">
        <f t="shared" si="319"/>
        <v/>
      </c>
    </row>
    <row r="3281" spans="1:19" ht="15.75" hidden="1" thickBot="1" x14ac:dyDescent="0.3">
      <c r="A3281" s="262"/>
      <c r="B3281" s="260"/>
      <c r="C3281" s="31"/>
      <c r="D3281" s="31"/>
      <c r="E3281" s="32"/>
      <c r="F3281" s="42" t="s">
        <v>416</v>
      </c>
      <c r="G3281" s="33" t="str">
        <f t="shared" si="314"/>
        <v/>
      </c>
      <c r="H3281" s="34"/>
      <c r="I3281" s="30"/>
      <c r="J3281" s="152">
        <v>0</v>
      </c>
      <c r="L3281" s="219"/>
      <c r="M3281" s="42"/>
      <c r="N3281" s="33" t="str">
        <f t="shared" si="315"/>
        <v/>
      </c>
      <c r="O3281" s="34"/>
      <c r="P3281" s="36" t="str">
        <f t="shared" si="316"/>
        <v/>
      </c>
      <c r="Q3281" s="216" t="str">
        <f t="shared" si="317"/>
        <v/>
      </c>
      <c r="R3281" s="216" t="str">
        <f t="shared" si="318"/>
        <v/>
      </c>
      <c r="S3281" s="217" t="str">
        <f t="shared" si="319"/>
        <v/>
      </c>
    </row>
    <row r="3282" spans="1:19" ht="15.75" hidden="1" thickBot="1" x14ac:dyDescent="0.3">
      <c r="A3282" s="262"/>
      <c r="B3282" s="260"/>
      <c r="C3282" s="35" t="s">
        <v>840</v>
      </c>
      <c r="D3282" s="35" t="s">
        <v>69</v>
      </c>
      <c r="E3282" s="36">
        <v>1.0149999999999999</v>
      </c>
      <c r="F3282" s="30">
        <v>0</v>
      </c>
      <c r="G3282" s="33">
        <f t="shared" si="314"/>
        <v>0</v>
      </c>
      <c r="H3282" s="38">
        <f>SUM(G3282:G3285)</f>
        <v>4.3346789999999995</v>
      </c>
      <c r="I3282" s="39"/>
      <c r="J3282" s="152">
        <v>0</v>
      </c>
      <c r="L3282" s="215">
        <v>1.0149999999999999</v>
      </c>
      <c r="M3282" s="30">
        <v>0</v>
      </c>
      <c r="N3282" s="33">
        <f t="shared" si="315"/>
        <v>0</v>
      </c>
      <c r="O3282" s="38">
        <f>SUM(N3282:N3285)</f>
        <v>3.7104852239999997</v>
      </c>
      <c r="P3282" s="36" t="str">
        <f t="shared" si="316"/>
        <v/>
      </c>
      <c r="Q3282" s="216" t="e">
        <f t="shared" si="317"/>
        <v>#DIV/0!</v>
      </c>
      <c r="R3282" s="216" t="e">
        <f t="shared" si="318"/>
        <v>#DIV/0!</v>
      </c>
      <c r="S3282" s="217">
        <f t="shared" si="319"/>
        <v>0.14400000000000002</v>
      </c>
    </row>
    <row r="3283" spans="1:19" ht="26.25" hidden="1" thickBot="1" x14ac:dyDescent="0.3">
      <c r="A3283" s="262"/>
      <c r="B3283" s="260"/>
      <c r="C3283" s="35" t="s">
        <v>8169</v>
      </c>
      <c r="D3283" s="35" t="s">
        <v>213</v>
      </c>
      <c r="E3283" s="36">
        <v>8.9999999999999993E-3</v>
      </c>
      <c r="F3283" s="30">
        <v>3.9139999999999997</v>
      </c>
      <c r="G3283" s="33">
        <f t="shared" si="314"/>
        <v>3.5225999999999993E-2</v>
      </c>
      <c r="H3283" s="34"/>
      <c r="I3283" s="30"/>
      <c r="J3283" s="152">
        <v>0</v>
      </c>
      <c r="L3283" s="215">
        <v>8.9999999999999993E-3</v>
      </c>
      <c r="M3283" s="30">
        <v>3.350384</v>
      </c>
      <c r="N3283" s="33">
        <f t="shared" si="315"/>
        <v>3.0153455999999999E-2</v>
      </c>
      <c r="O3283" s="34"/>
      <c r="P3283" s="36" t="str">
        <f t="shared" si="316"/>
        <v/>
      </c>
      <c r="Q3283" s="216">
        <f t="shared" si="317"/>
        <v>0.14399999999999991</v>
      </c>
      <c r="R3283" s="216">
        <f t="shared" si="318"/>
        <v>0.14399999999999991</v>
      </c>
      <c r="S3283" s="217" t="str">
        <f t="shared" si="319"/>
        <v/>
      </c>
    </row>
    <row r="3284" spans="1:19" ht="15.75" hidden="1" thickBot="1" x14ac:dyDescent="0.3">
      <c r="A3284" s="262"/>
      <c r="B3284" s="260"/>
      <c r="C3284" s="35" t="s">
        <v>1017</v>
      </c>
      <c r="D3284" s="35" t="s">
        <v>583</v>
      </c>
      <c r="E3284" s="36">
        <v>8.6999999999999994E-2</v>
      </c>
      <c r="F3284" s="30">
        <v>21.584</v>
      </c>
      <c r="G3284" s="33">
        <f t="shared" si="314"/>
        <v>1.8778079999999999</v>
      </c>
      <c r="H3284" s="34"/>
      <c r="I3284" s="30"/>
      <c r="J3284" s="152">
        <v>0</v>
      </c>
      <c r="L3284" s="215">
        <v>8.6999999999999994E-2</v>
      </c>
      <c r="M3284" s="30">
        <v>18.475904</v>
      </c>
      <c r="N3284" s="33">
        <f t="shared" si="315"/>
        <v>1.6074036479999998</v>
      </c>
      <c r="O3284" s="34"/>
      <c r="P3284" s="36" t="str">
        <f t="shared" si="316"/>
        <v/>
      </c>
      <c r="Q3284" s="216">
        <f t="shared" si="317"/>
        <v>0.14400000000000002</v>
      </c>
      <c r="R3284" s="216">
        <f t="shared" si="318"/>
        <v>0.14400000000000013</v>
      </c>
      <c r="S3284" s="217" t="str">
        <f t="shared" si="319"/>
        <v/>
      </c>
    </row>
    <row r="3285" spans="1:19" ht="15.75" hidden="1" thickBot="1" x14ac:dyDescent="0.3">
      <c r="A3285" s="262"/>
      <c r="B3285" s="260"/>
      <c r="C3285" s="35" t="s">
        <v>1018</v>
      </c>
      <c r="D3285" s="35" t="s">
        <v>583</v>
      </c>
      <c r="E3285" s="36">
        <v>8.6999999999999994E-2</v>
      </c>
      <c r="F3285" s="30">
        <v>27.835000000000001</v>
      </c>
      <c r="G3285" s="33">
        <f t="shared" si="314"/>
        <v>2.4216449999999998</v>
      </c>
      <c r="H3285" s="34"/>
      <c r="I3285" s="30"/>
      <c r="J3285" s="152">
        <v>0</v>
      </c>
      <c r="L3285" s="215">
        <v>8.6999999999999994E-2</v>
      </c>
      <c r="M3285" s="30">
        <v>23.82676</v>
      </c>
      <c r="N3285" s="33">
        <f t="shared" si="315"/>
        <v>2.0729281199999998</v>
      </c>
      <c r="O3285" s="34"/>
      <c r="P3285" s="36" t="str">
        <f t="shared" si="316"/>
        <v/>
      </c>
      <c r="Q3285" s="216">
        <f t="shared" si="317"/>
        <v>0.14400000000000002</v>
      </c>
      <c r="R3285" s="216">
        <f t="shared" si="318"/>
        <v>0.14400000000000002</v>
      </c>
      <c r="S3285" s="217" t="str">
        <f t="shared" si="319"/>
        <v/>
      </c>
    </row>
    <row r="3286" spans="1:19" ht="15.75" hidden="1" thickBot="1" x14ac:dyDescent="0.3">
      <c r="A3286" s="263"/>
      <c r="B3286" s="261"/>
      <c r="C3286" s="35"/>
      <c r="D3286" s="35"/>
      <c r="E3286" s="36"/>
      <c r="F3286" s="30" t="s">
        <v>416</v>
      </c>
      <c r="G3286" s="33" t="str">
        <f t="shared" si="314"/>
        <v/>
      </c>
      <c r="H3286" s="34"/>
      <c r="I3286" s="30"/>
      <c r="J3286" s="152">
        <v>0</v>
      </c>
      <c r="L3286" s="215"/>
      <c r="M3286" s="30"/>
      <c r="N3286" s="33" t="str">
        <f t="shared" si="315"/>
        <v/>
      </c>
      <c r="O3286" s="34"/>
      <c r="P3286" s="36" t="str">
        <f t="shared" si="316"/>
        <v/>
      </c>
      <c r="Q3286" s="216" t="str">
        <f t="shared" si="317"/>
        <v/>
      </c>
      <c r="R3286" s="216" t="str">
        <f t="shared" si="318"/>
        <v/>
      </c>
      <c r="S3286" s="217" t="str">
        <f t="shared" si="319"/>
        <v/>
      </c>
    </row>
    <row r="3287" spans="1:19" ht="15.75" thickBot="1" x14ac:dyDescent="0.3">
      <c r="A3287" s="256" t="s">
        <v>841</v>
      </c>
      <c r="B3287" s="259" t="str">
        <f>INDEX(Orçamentária!A:B,MATCH(Composições!A3287,Orçamentária!A:A,0),2)</f>
        <v>Condutor 70 mm²</v>
      </c>
      <c r="C3287" s="40"/>
      <c r="D3287" s="25" t="s">
        <v>69</v>
      </c>
      <c r="E3287" s="26"/>
      <c r="F3287" s="41" t="s">
        <v>416</v>
      </c>
      <c r="G3287" s="27" t="str">
        <f t="shared" si="314"/>
        <v/>
      </c>
      <c r="H3287" s="28"/>
      <c r="I3287" s="29"/>
      <c r="J3287" s="152">
        <v>504</v>
      </c>
      <c r="L3287" s="218"/>
      <c r="M3287" s="41"/>
      <c r="N3287" s="27" t="str">
        <f t="shared" si="315"/>
        <v/>
      </c>
      <c r="O3287" s="28"/>
      <c r="P3287" s="36" t="str">
        <f t="shared" si="316"/>
        <v/>
      </c>
      <c r="Q3287" s="216" t="str">
        <f t="shared" si="317"/>
        <v/>
      </c>
      <c r="R3287" s="216" t="str">
        <f t="shared" si="318"/>
        <v/>
      </c>
      <c r="S3287" s="217" t="str">
        <f t="shared" si="319"/>
        <v/>
      </c>
    </row>
    <row r="3288" spans="1:19" x14ac:dyDescent="0.25">
      <c r="A3288" s="262"/>
      <c r="B3288" s="260"/>
      <c r="C3288" s="31"/>
      <c r="D3288" s="31"/>
      <c r="E3288" s="32"/>
      <c r="F3288" s="42" t="s">
        <v>416</v>
      </c>
      <c r="G3288" s="33" t="str">
        <f t="shared" si="314"/>
        <v/>
      </c>
      <c r="H3288" s="34"/>
      <c r="I3288" s="30"/>
      <c r="J3288" s="152">
        <v>504</v>
      </c>
      <c r="L3288" s="219"/>
      <c r="M3288" s="42"/>
      <c r="N3288" s="33" t="str">
        <f t="shared" si="315"/>
        <v/>
      </c>
      <c r="O3288" s="34"/>
      <c r="P3288" s="36" t="str">
        <f t="shared" si="316"/>
        <v/>
      </c>
      <c r="Q3288" s="216" t="str">
        <f t="shared" si="317"/>
        <v/>
      </c>
      <c r="R3288" s="216" t="str">
        <f t="shared" si="318"/>
        <v/>
      </c>
      <c r="S3288" s="217" t="str">
        <f t="shared" si="319"/>
        <v/>
      </c>
    </row>
    <row r="3289" spans="1:19" x14ac:dyDescent="0.25">
      <c r="A3289" s="262"/>
      <c r="B3289" s="260"/>
      <c r="C3289" s="35" t="s">
        <v>842</v>
      </c>
      <c r="D3289" s="35" t="s">
        <v>69</v>
      </c>
      <c r="E3289" s="36">
        <v>1.0149999999999999</v>
      </c>
      <c r="F3289" s="30">
        <v>90.971999999999994</v>
      </c>
      <c r="G3289" s="33">
        <f t="shared" si="314"/>
        <v>92.336579999999984</v>
      </c>
      <c r="H3289" s="38">
        <f>SUM(G3289:G3292)</f>
        <v>97.560800999999969</v>
      </c>
      <c r="I3289" s="39"/>
      <c r="J3289" s="152">
        <v>504</v>
      </c>
      <c r="L3289" s="215">
        <v>1.0149999999999999</v>
      </c>
      <c r="M3289" s="30">
        <v>77.87203199999999</v>
      </c>
      <c r="N3289" s="33">
        <f t="shared" si="315"/>
        <v>79.040112479999976</v>
      </c>
      <c r="O3289" s="38">
        <f>SUM(N3289:N3292)</f>
        <v>83.51204565599997</v>
      </c>
      <c r="P3289" s="36" t="str">
        <f t="shared" si="316"/>
        <v/>
      </c>
      <c r="Q3289" s="216">
        <f t="shared" si="317"/>
        <v>0.14400000000000002</v>
      </c>
      <c r="R3289" s="216">
        <f t="shared" si="318"/>
        <v>0.14400000000000013</v>
      </c>
      <c r="S3289" s="217">
        <f t="shared" si="319"/>
        <v>0.14400000000000002</v>
      </c>
    </row>
    <row r="3290" spans="1:19" ht="25.5" x14ac:dyDescent="0.25">
      <c r="A3290" s="262"/>
      <c r="B3290" s="260"/>
      <c r="C3290" s="35" t="s">
        <v>8169</v>
      </c>
      <c r="D3290" s="35" t="s">
        <v>213</v>
      </c>
      <c r="E3290" s="36">
        <v>8.9999999999999993E-3</v>
      </c>
      <c r="F3290" s="30">
        <v>3.9139999999999997</v>
      </c>
      <c r="G3290" s="33">
        <f t="shared" si="314"/>
        <v>3.5225999999999993E-2</v>
      </c>
      <c r="H3290" s="34"/>
      <c r="I3290" s="30"/>
      <c r="J3290" s="152">
        <v>504</v>
      </c>
      <c r="L3290" s="215">
        <v>8.9999999999999993E-3</v>
      </c>
      <c r="M3290" s="30">
        <v>3.350384</v>
      </c>
      <c r="N3290" s="33">
        <f t="shared" si="315"/>
        <v>3.0153455999999999E-2</v>
      </c>
      <c r="O3290" s="34"/>
      <c r="P3290" s="36" t="str">
        <f t="shared" si="316"/>
        <v/>
      </c>
      <c r="Q3290" s="216">
        <f t="shared" si="317"/>
        <v>0.14399999999999991</v>
      </c>
      <c r="R3290" s="216">
        <f t="shared" si="318"/>
        <v>0.14399999999999991</v>
      </c>
      <c r="S3290" s="217" t="str">
        <f t="shared" si="319"/>
        <v/>
      </c>
    </row>
    <row r="3291" spans="1:19" x14ac:dyDescent="0.25">
      <c r="A3291" s="262"/>
      <c r="B3291" s="260"/>
      <c r="C3291" s="35" t="s">
        <v>1017</v>
      </c>
      <c r="D3291" s="35" t="s">
        <v>583</v>
      </c>
      <c r="E3291" s="36">
        <v>0.105</v>
      </c>
      <c r="F3291" s="30">
        <v>21.584</v>
      </c>
      <c r="G3291" s="33">
        <f t="shared" si="314"/>
        <v>2.2663199999999999</v>
      </c>
      <c r="H3291" s="34"/>
      <c r="I3291" s="30"/>
      <c r="J3291" s="152">
        <v>504</v>
      </c>
      <c r="L3291" s="215">
        <v>0.105</v>
      </c>
      <c r="M3291" s="30">
        <v>18.475904</v>
      </c>
      <c r="N3291" s="33">
        <f t="shared" si="315"/>
        <v>1.93996992</v>
      </c>
      <c r="O3291" s="34"/>
      <c r="P3291" s="36" t="str">
        <f t="shared" si="316"/>
        <v/>
      </c>
      <c r="Q3291" s="216">
        <f t="shared" si="317"/>
        <v>0.14400000000000002</v>
      </c>
      <c r="R3291" s="216">
        <f t="shared" si="318"/>
        <v>0.14399999999999991</v>
      </c>
      <c r="S3291" s="217" t="str">
        <f t="shared" si="319"/>
        <v/>
      </c>
    </row>
    <row r="3292" spans="1:19" x14ac:dyDescent="0.25">
      <c r="A3292" s="262"/>
      <c r="B3292" s="260"/>
      <c r="C3292" s="35" t="s">
        <v>1018</v>
      </c>
      <c r="D3292" s="35" t="s">
        <v>583</v>
      </c>
      <c r="E3292" s="36">
        <v>0.105</v>
      </c>
      <c r="F3292" s="30">
        <v>27.835000000000001</v>
      </c>
      <c r="G3292" s="33">
        <f t="shared" si="314"/>
        <v>2.9226749999999999</v>
      </c>
      <c r="H3292" s="34"/>
      <c r="I3292" s="30"/>
      <c r="J3292" s="152">
        <v>504</v>
      </c>
      <c r="L3292" s="215">
        <v>0.105</v>
      </c>
      <c r="M3292" s="30">
        <v>23.82676</v>
      </c>
      <c r="N3292" s="33">
        <f t="shared" si="315"/>
        <v>2.5018097999999998</v>
      </c>
      <c r="O3292" s="34"/>
      <c r="P3292" s="36" t="str">
        <f t="shared" si="316"/>
        <v/>
      </c>
      <c r="Q3292" s="216">
        <f t="shared" si="317"/>
        <v>0.14400000000000002</v>
      </c>
      <c r="R3292" s="216">
        <f t="shared" si="318"/>
        <v>0.14400000000000002</v>
      </c>
      <c r="S3292" s="217" t="str">
        <f t="shared" si="319"/>
        <v/>
      </c>
    </row>
    <row r="3293" spans="1:19" ht="15.75" thickBot="1" x14ac:dyDescent="0.3">
      <c r="A3293" s="263"/>
      <c r="B3293" s="261"/>
      <c r="C3293" s="35"/>
      <c r="D3293" s="35"/>
      <c r="E3293" s="36"/>
      <c r="F3293" s="30" t="s">
        <v>416</v>
      </c>
      <c r="G3293" s="33" t="str">
        <f t="shared" si="314"/>
        <v/>
      </c>
      <c r="H3293" s="34"/>
      <c r="I3293" s="30"/>
      <c r="J3293" s="152">
        <v>504</v>
      </c>
      <c r="L3293" s="215"/>
      <c r="M3293" s="30"/>
      <c r="N3293" s="33" t="str">
        <f t="shared" si="315"/>
        <v/>
      </c>
      <c r="O3293" s="34"/>
      <c r="P3293" s="36" t="str">
        <f t="shared" si="316"/>
        <v/>
      </c>
      <c r="Q3293" s="216" t="str">
        <f t="shared" si="317"/>
        <v/>
      </c>
      <c r="R3293" s="216" t="str">
        <f t="shared" si="318"/>
        <v/>
      </c>
      <c r="S3293" s="217" t="str">
        <f t="shared" si="319"/>
        <v/>
      </c>
    </row>
    <row r="3294" spans="1:19" ht="15.75" hidden="1" thickBot="1" x14ac:dyDescent="0.3">
      <c r="A3294" s="256" t="s">
        <v>843</v>
      </c>
      <c r="B3294" s="259" t="str">
        <f>INDEX(Orçamentária!A:B,MATCH(Composições!A3294,Orçamentária!A:A,0),2)</f>
        <v>Condutor 95 mm²</v>
      </c>
      <c r="C3294" s="40"/>
      <c r="D3294" s="25" t="s">
        <v>69</v>
      </c>
      <c r="E3294" s="26"/>
      <c r="F3294" s="41" t="s">
        <v>416</v>
      </c>
      <c r="G3294" s="27" t="str">
        <f t="shared" si="314"/>
        <v/>
      </c>
      <c r="H3294" s="28"/>
      <c r="I3294" s="29"/>
      <c r="J3294" s="152">
        <v>0</v>
      </c>
      <c r="L3294" s="218"/>
      <c r="M3294" s="41"/>
      <c r="N3294" s="27" t="str">
        <f t="shared" si="315"/>
        <v/>
      </c>
      <c r="O3294" s="28"/>
      <c r="P3294" s="36" t="str">
        <f t="shared" si="316"/>
        <v/>
      </c>
      <c r="Q3294" s="216" t="str">
        <f t="shared" si="317"/>
        <v/>
      </c>
      <c r="R3294" s="216" t="str">
        <f t="shared" si="318"/>
        <v/>
      </c>
      <c r="S3294" s="217" t="str">
        <f t="shared" si="319"/>
        <v/>
      </c>
    </row>
    <row r="3295" spans="1:19" ht="15.75" hidden="1" thickBot="1" x14ac:dyDescent="0.3">
      <c r="A3295" s="262"/>
      <c r="B3295" s="260"/>
      <c r="C3295" s="31"/>
      <c r="D3295" s="31"/>
      <c r="E3295" s="32"/>
      <c r="F3295" s="42" t="s">
        <v>416</v>
      </c>
      <c r="G3295" s="33" t="str">
        <f t="shared" si="314"/>
        <v/>
      </c>
      <c r="H3295" s="34"/>
      <c r="I3295" s="30"/>
      <c r="J3295" s="152">
        <v>0</v>
      </c>
      <c r="L3295" s="219"/>
      <c r="M3295" s="42"/>
      <c r="N3295" s="33" t="str">
        <f t="shared" si="315"/>
        <v/>
      </c>
      <c r="O3295" s="34"/>
      <c r="P3295" s="36" t="str">
        <f t="shared" si="316"/>
        <v/>
      </c>
      <c r="Q3295" s="216" t="str">
        <f t="shared" si="317"/>
        <v/>
      </c>
      <c r="R3295" s="216" t="str">
        <f t="shared" si="318"/>
        <v/>
      </c>
      <c r="S3295" s="217" t="str">
        <f t="shared" si="319"/>
        <v/>
      </c>
    </row>
    <row r="3296" spans="1:19" ht="15.75" hidden="1" thickBot="1" x14ac:dyDescent="0.3">
      <c r="A3296" s="262"/>
      <c r="B3296" s="260"/>
      <c r="C3296" s="35" t="s">
        <v>844</v>
      </c>
      <c r="D3296" s="35" t="s">
        <v>69</v>
      </c>
      <c r="E3296" s="36">
        <v>1.0149999999999999</v>
      </c>
      <c r="F3296" s="30">
        <v>0</v>
      </c>
      <c r="G3296" s="33">
        <f t="shared" si="314"/>
        <v>0</v>
      </c>
      <c r="H3296" s="38">
        <f>SUM(G3296:G3299)</f>
        <v>6.3608580000000003</v>
      </c>
      <c r="I3296" s="39"/>
      <c r="J3296" s="152">
        <v>0</v>
      </c>
      <c r="L3296" s="215">
        <v>1.0149999999999999</v>
      </c>
      <c r="M3296" s="30">
        <v>0</v>
      </c>
      <c r="N3296" s="33">
        <f t="shared" si="315"/>
        <v>0</v>
      </c>
      <c r="O3296" s="38">
        <f>SUM(N3296:N3299)</f>
        <v>5.4448944480000003</v>
      </c>
      <c r="P3296" s="36" t="str">
        <f t="shared" si="316"/>
        <v/>
      </c>
      <c r="Q3296" s="216" t="e">
        <f t="shared" si="317"/>
        <v>#DIV/0!</v>
      </c>
      <c r="R3296" s="216" t="e">
        <f t="shared" si="318"/>
        <v>#DIV/0!</v>
      </c>
      <c r="S3296" s="217">
        <f t="shared" si="319"/>
        <v>0.14400000000000002</v>
      </c>
    </row>
    <row r="3297" spans="1:19" ht="26.25" hidden="1" thickBot="1" x14ac:dyDescent="0.3">
      <c r="A3297" s="262"/>
      <c r="B3297" s="260"/>
      <c r="C3297" s="35" t="s">
        <v>8169</v>
      </c>
      <c r="D3297" s="35" t="s">
        <v>213</v>
      </c>
      <c r="E3297" s="36">
        <v>8.9999999999999993E-3</v>
      </c>
      <c r="F3297" s="30">
        <v>3.9139999999999997</v>
      </c>
      <c r="G3297" s="33">
        <f t="shared" si="314"/>
        <v>3.5225999999999993E-2</v>
      </c>
      <c r="H3297" s="34"/>
      <c r="I3297" s="30"/>
      <c r="J3297" s="152">
        <v>0</v>
      </c>
      <c r="L3297" s="215">
        <v>8.9999999999999993E-3</v>
      </c>
      <c r="M3297" s="30">
        <v>3.350384</v>
      </c>
      <c r="N3297" s="33">
        <f t="shared" si="315"/>
        <v>3.0153455999999999E-2</v>
      </c>
      <c r="O3297" s="34"/>
      <c r="P3297" s="36" t="str">
        <f t="shared" si="316"/>
        <v/>
      </c>
      <c r="Q3297" s="216">
        <f t="shared" si="317"/>
        <v>0.14399999999999991</v>
      </c>
      <c r="R3297" s="216">
        <f t="shared" si="318"/>
        <v>0.14399999999999991</v>
      </c>
      <c r="S3297" s="217" t="str">
        <f t="shared" si="319"/>
        <v/>
      </c>
    </row>
    <row r="3298" spans="1:19" ht="15.75" hidden="1" thickBot="1" x14ac:dyDescent="0.3">
      <c r="A3298" s="262"/>
      <c r="B3298" s="260"/>
      <c r="C3298" s="35" t="s">
        <v>1017</v>
      </c>
      <c r="D3298" s="35" t="s">
        <v>583</v>
      </c>
      <c r="E3298" s="36">
        <v>0.128</v>
      </c>
      <c r="F3298" s="30">
        <v>21.584</v>
      </c>
      <c r="G3298" s="33">
        <f t="shared" si="314"/>
        <v>2.7627519999999999</v>
      </c>
      <c r="H3298" s="34"/>
      <c r="I3298" s="30"/>
      <c r="J3298" s="152">
        <v>0</v>
      </c>
      <c r="L3298" s="215">
        <v>0.128</v>
      </c>
      <c r="M3298" s="30">
        <v>18.475904</v>
      </c>
      <c r="N3298" s="33">
        <f t="shared" si="315"/>
        <v>2.3649157120000002</v>
      </c>
      <c r="O3298" s="34"/>
      <c r="P3298" s="36" t="str">
        <f t="shared" si="316"/>
        <v/>
      </c>
      <c r="Q3298" s="216">
        <f t="shared" si="317"/>
        <v>0.14400000000000002</v>
      </c>
      <c r="R3298" s="216">
        <f t="shared" si="318"/>
        <v>0.14399999999999991</v>
      </c>
      <c r="S3298" s="217" t="str">
        <f t="shared" si="319"/>
        <v/>
      </c>
    </row>
    <row r="3299" spans="1:19" ht="15.75" hidden="1" thickBot="1" x14ac:dyDescent="0.3">
      <c r="A3299" s="262"/>
      <c r="B3299" s="260"/>
      <c r="C3299" s="35" t="s">
        <v>1018</v>
      </c>
      <c r="D3299" s="35" t="s">
        <v>583</v>
      </c>
      <c r="E3299" s="36">
        <v>0.128</v>
      </c>
      <c r="F3299" s="30">
        <v>27.835000000000001</v>
      </c>
      <c r="G3299" s="33">
        <f t="shared" si="314"/>
        <v>3.5628800000000003</v>
      </c>
      <c r="H3299" s="34"/>
      <c r="I3299" s="30"/>
      <c r="J3299" s="152">
        <v>0</v>
      </c>
      <c r="L3299" s="215">
        <v>0.128</v>
      </c>
      <c r="M3299" s="30">
        <v>23.82676</v>
      </c>
      <c r="N3299" s="33">
        <f t="shared" si="315"/>
        <v>3.0498252800000003</v>
      </c>
      <c r="O3299" s="34"/>
      <c r="P3299" s="36" t="str">
        <f t="shared" si="316"/>
        <v/>
      </c>
      <c r="Q3299" s="216">
        <f t="shared" si="317"/>
        <v>0.14400000000000002</v>
      </c>
      <c r="R3299" s="216">
        <f t="shared" si="318"/>
        <v>0.14400000000000002</v>
      </c>
      <c r="S3299" s="217" t="str">
        <f t="shared" si="319"/>
        <v/>
      </c>
    </row>
    <row r="3300" spans="1:19" ht="15.75" hidden="1" thickBot="1" x14ac:dyDescent="0.3">
      <c r="A3300" s="263"/>
      <c r="B3300" s="261"/>
      <c r="C3300" s="35"/>
      <c r="D3300" s="35"/>
      <c r="E3300" s="36"/>
      <c r="F3300" s="30" t="s">
        <v>416</v>
      </c>
      <c r="G3300" s="33" t="str">
        <f t="shared" si="314"/>
        <v/>
      </c>
      <c r="H3300" s="34"/>
      <c r="I3300" s="30"/>
      <c r="J3300" s="152">
        <v>0</v>
      </c>
      <c r="L3300" s="215"/>
      <c r="M3300" s="30"/>
      <c r="N3300" s="33" t="str">
        <f t="shared" si="315"/>
        <v/>
      </c>
      <c r="O3300" s="34"/>
      <c r="P3300" s="36" t="str">
        <f t="shared" si="316"/>
        <v/>
      </c>
      <c r="Q3300" s="216" t="str">
        <f t="shared" si="317"/>
        <v/>
      </c>
      <c r="R3300" s="216" t="str">
        <f t="shared" si="318"/>
        <v/>
      </c>
      <c r="S3300" s="217" t="str">
        <f t="shared" si="319"/>
        <v/>
      </c>
    </row>
    <row r="3301" spans="1:19" ht="15.75" hidden="1" thickBot="1" x14ac:dyDescent="0.3">
      <c r="A3301" s="256" t="s">
        <v>845</v>
      </c>
      <c r="B3301" s="259" t="str">
        <f>INDEX(Orçamentária!A:B,MATCH(Composições!A3301,Orçamentária!A:A,0),2)</f>
        <v>Condutor 120 mm²</v>
      </c>
      <c r="C3301" s="40"/>
      <c r="D3301" s="25" t="s">
        <v>69</v>
      </c>
      <c r="E3301" s="26"/>
      <c r="F3301" s="41" t="s">
        <v>416</v>
      </c>
      <c r="G3301" s="27" t="str">
        <f t="shared" si="314"/>
        <v/>
      </c>
      <c r="H3301" s="28"/>
      <c r="I3301" s="29"/>
      <c r="J3301" s="152">
        <v>0</v>
      </c>
      <c r="L3301" s="218"/>
      <c r="M3301" s="41"/>
      <c r="N3301" s="27" t="str">
        <f t="shared" si="315"/>
        <v/>
      </c>
      <c r="O3301" s="28"/>
      <c r="P3301" s="36" t="str">
        <f t="shared" si="316"/>
        <v/>
      </c>
      <c r="Q3301" s="216" t="str">
        <f t="shared" si="317"/>
        <v/>
      </c>
      <c r="R3301" s="216" t="str">
        <f t="shared" si="318"/>
        <v/>
      </c>
      <c r="S3301" s="217" t="str">
        <f t="shared" si="319"/>
        <v/>
      </c>
    </row>
    <row r="3302" spans="1:19" ht="15.75" hidden="1" thickBot="1" x14ac:dyDescent="0.3">
      <c r="A3302" s="262"/>
      <c r="B3302" s="260"/>
      <c r="C3302" s="31"/>
      <c r="D3302" s="31"/>
      <c r="E3302" s="32"/>
      <c r="F3302" s="42" t="s">
        <v>416</v>
      </c>
      <c r="G3302" s="33" t="str">
        <f t="shared" si="314"/>
        <v/>
      </c>
      <c r="H3302" s="34"/>
      <c r="I3302" s="30"/>
      <c r="J3302" s="152">
        <v>0</v>
      </c>
      <c r="L3302" s="219"/>
      <c r="M3302" s="42"/>
      <c r="N3302" s="33" t="str">
        <f t="shared" si="315"/>
        <v/>
      </c>
      <c r="O3302" s="34"/>
      <c r="P3302" s="36" t="str">
        <f t="shared" si="316"/>
        <v/>
      </c>
      <c r="Q3302" s="216" t="str">
        <f t="shared" si="317"/>
        <v/>
      </c>
      <c r="R3302" s="216" t="str">
        <f t="shared" si="318"/>
        <v/>
      </c>
      <c r="S3302" s="217" t="str">
        <f t="shared" si="319"/>
        <v/>
      </c>
    </row>
    <row r="3303" spans="1:19" ht="15.75" hidden="1" thickBot="1" x14ac:dyDescent="0.3">
      <c r="A3303" s="262"/>
      <c r="B3303" s="260"/>
      <c r="C3303" s="35" t="s">
        <v>846</v>
      </c>
      <c r="D3303" s="35" t="s">
        <v>69</v>
      </c>
      <c r="E3303" s="36">
        <v>1.0149999999999999</v>
      </c>
      <c r="F3303" s="30">
        <v>0</v>
      </c>
      <c r="G3303" s="33">
        <f t="shared" si="314"/>
        <v>0</v>
      </c>
      <c r="H3303" s="38">
        <f>SUM(G3303:G3306)</f>
        <v>7.5469140000000001</v>
      </c>
      <c r="I3303" s="39"/>
      <c r="J3303" s="152">
        <v>0</v>
      </c>
      <c r="L3303" s="215">
        <v>1.0149999999999999</v>
      </c>
      <c r="M3303" s="30">
        <v>0</v>
      </c>
      <c r="N3303" s="33">
        <f t="shared" si="315"/>
        <v>0</v>
      </c>
      <c r="O3303" s="38">
        <f>SUM(N3303:N3306)</f>
        <v>6.4601583839999996</v>
      </c>
      <c r="P3303" s="36" t="str">
        <f t="shared" si="316"/>
        <v/>
      </c>
      <c r="Q3303" s="216" t="e">
        <f t="shared" si="317"/>
        <v>#DIV/0!</v>
      </c>
      <c r="R3303" s="216" t="e">
        <f t="shared" si="318"/>
        <v>#DIV/0!</v>
      </c>
      <c r="S3303" s="217">
        <f t="shared" si="319"/>
        <v>0.14400000000000002</v>
      </c>
    </row>
    <row r="3304" spans="1:19" ht="26.25" hidden="1" thickBot="1" x14ac:dyDescent="0.3">
      <c r="A3304" s="262"/>
      <c r="B3304" s="260"/>
      <c r="C3304" s="35" t="s">
        <v>8169</v>
      </c>
      <c r="D3304" s="35" t="s">
        <v>213</v>
      </c>
      <c r="E3304" s="36">
        <v>8.9999999999999993E-3</v>
      </c>
      <c r="F3304" s="30">
        <v>3.9139999999999997</v>
      </c>
      <c r="G3304" s="33">
        <f t="shared" si="314"/>
        <v>3.5225999999999993E-2</v>
      </c>
      <c r="H3304" s="34"/>
      <c r="I3304" s="30"/>
      <c r="J3304" s="152">
        <v>0</v>
      </c>
      <c r="L3304" s="215">
        <v>8.9999999999999993E-3</v>
      </c>
      <c r="M3304" s="30">
        <v>3.350384</v>
      </c>
      <c r="N3304" s="33">
        <f t="shared" si="315"/>
        <v>3.0153455999999999E-2</v>
      </c>
      <c r="O3304" s="34"/>
      <c r="P3304" s="36" t="str">
        <f t="shared" si="316"/>
        <v/>
      </c>
      <c r="Q3304" s="216">
        <f t="shared" si="317"/>
        <v>0.14399999999999991</v>
      </c>
      <c r="R3304" s="216">
        <f t="shared" si="318"/>
        <v>0.14399999999999991</v>
      </c>
      <c r="S3304" s="217" t="str">
        <f t="shared" si="319"/>
        <v/>
      </c>
    </row>
    <row r="3305" spans="1:19" ht="15.75" hidden="1" thickBot="1" x14ac:dyDescent="0.3">
      <c r="A3305" s="262"/>
      <c r="B3305" s="260"/>
      <c r="C3305" s="35" t="s">
        <v>1017</v>
      </c>
      <c r="D3305" s="35" t="s">
        <v>583</v>
      </c>
      <c r="E3305" s="36">
        <v>0.152</v>
      </c>
      <c r="F3305" s="30">
        <v>21.584</v>
      </c>
      <c r="G3305" s="33">
        <f t="shared" si="314"/>
        <v>3.2807679999999997</v>
      </c>
      <c r="H3305" s="34"/>
      <c r="I3305" s="30"/>
      <c r="J3305" s="152">
        <v>0</v>
      </c>
      <c r="L3305" s="215">
        <v>0.152</v>
      </c>
      <c r="M3305" s="30">
        <v>18.475904</v>
      </c>
      <c r="N3305" s="33">
        <f t="shared" si="315"/>
        <v>2.8083374079999999</v>
      </c>
      <c r="O3305" s="34"/>
      <c r="P3305" s="36" t="str">
        <f t="shared" si="316"/>
        <v/>
      </c>
      <c r="Q3305" s="216">
        <f t="shared" si="317"/>
        <v>0.14400000000000002</v>
      </c>
      <c r="R3305" s="216">
        <f t="shared" si="318"/>
        <v>0.14399999999999991</v>
      </c>
      <c r="S3305" s="217" t="str">
        <f t="shared" si="319"/>
        <v/>
      </c>
    </row>
    <row r="3306" spans="1:19" ht="15.75" hidden="1" thickBot="1" x14ac:dyDescent="0.3">
      <c r="A3306" s="262"/>
      <c r="B3306" s="260"/>
      <c r="C3306" s="35" t="s">
        <v>1018</v>
      </c>
      <c r="D3306" s="35" t="s">
        <v>583</v>
      </c>
      <c r="E3306" s="36">
        <v>0.152</v>
      </c>
      <c r="F3306" s="30">
        <v>27.835000000000001</v>
      </c>
      <c r="G3306" s="33">
        <f t="shared" si="314"/>
        <v>4.2309200000000002</v>
      </c>
      <c r="H3306" s="34"/>
      <c r="I3306" s="30"/>
      <c r="J3306" s="152">
        <v>0</v>
      </c>
      <c r="L3306" s="215">
        <v>0.152</v>
      </c>
      <c r="M3306" s="30">
        <v>23.82676</v>
      </c>
      <c r="N3306" s="33">
        <f t="shared" si="315"/>
        <v>3.6216675199999999</v>
      </c>
      <c r="O3306" s="34"/>
      <c r="P3306" s="36" t="str">
        <f t="shared" si="316"/>
        <v/>
      </c>
      <c r="Q3306" s="216">
        <f t="shared" si="317"/>
        <v>0.14400000000000002</v>
      </c>
      <c r="R3306" s="216">
        <f t="shared" si="318"/>
        <v>0.14400000000000002</v>
      </c>
      <c r="S3306" s="217" t="str">
        <f t="shared" si="319"/>
        <v/>
      </c>
    </row>
    <row r="3307" spans="1:19" ht="15.75" hidden="1" thickBot="1" x14ac:dyDescent="0.3">
      <c r="A3307" s="263"/>
      <c r="B3307" s="261"/>
      <c r="C3307" s="35"/>
      <c r="D3307" s="35"/>
      <c r="E3307" s="36"/>
      <c r="F3307" s="30" t="s">
        <v>416</v>
      </c>
      <c r="G3307" s="33" t="str">
        <f t="shared" si="314"/>
        <v/>
      </c>
      <c r="H3307" s="34"/>
      <c r="I3307" s="30"/>
      <c r="J3307" s="152">
        <v>0</v>
      </c>
      <c r="L3307" s="215"/>
      <c r="M3307" s="30"/>
      <c r="N3307" s="33" t="str">
        <f t="shared" si="315"/>
        <v/>
      </c>
      <c r="O3307" s="34"/>
      <c r="P3307" s="36" t="str">
        <f t="shared" si="316"/>
        <v/>
      </c>
      <c r="Q3307" s="216" t="str">
        <f t="shared" si="317"/>
        <v/>
      </c>
      <c r="R3307" s="216" t="str">
        <f t="shared" si="318"/>
        <v/>
      </c>
      <c r="S3307" s="217" t="str">
        <f t="shared" si="319"/>
        <v/>
      </c>
    </row>
    <row r="3308" spans="1:19" ht="15.75" hidden="1" thickBot="1" x14ac:dyDescent="0.3">
      <c r="A3308" s="256" t="s">
        <v>847</v>
      </c>
      <c r="B3308" s="259" t="str">
        <f>INDEX(Orçamentária!A:B,MATCH(Composições!A3308,Orçamentária!A:A,0),2)</f>
        <v>Condutor 150 mm²</v>
      </c>
      <c r="C3308" s="40"/>
      <c r="D3308" s="25" t="s">
        <v>69</v>
      </c>
      <c r="E3308" s="26"/>
      <c r="F3308" s="41" t="s">
        <v>416</v>
      </c>
      <c r="G3308" s="27" t="str">
        <f t="shared" ref="G3308:G3371" si="320">IF(ISNUMBER(F3308),E3308*F3308,"")</f>
        <v/>
      </c>
      <c r="H3308" s="28"/>
      <c r="I3308" s="29"/>
      <c r="J3308" s="152">
        <v>0</v>
      </c>
      <c r="L3308" s="218"/>
      <c r="M3308" s="41"/>
      <c r="N3308" s="27" t="str">
        <f t="shared" ref="N3308:N3371" si="321">IF(ISNUMBER(M3308),L3308*M3308,"")</f>
        <v/>
      </c>
      <c r="O3308" s="28"/>
      <c r="P3308" s="36" t="str">
        <f t="shared" si="316"/>
        <v/>
      </c>
      <c r="Q3308" s="216" t="str">
        <f t="shared" si="317"/>
        <v/>
      </c>
      <c r="R3308" s="216" t="str">
        <f t="shared" si="318"/>
        <v/>
      </c>
      <c r="S3308" s="217" t="str">
        <f t="shared" si="319"/>
        <v/>
      </c>
    </row>
    <row r="3309" spans="1:19" ht="15.75" hidden="1" thickBot="1" x14ac:dyDescent="0.3">
      <c r="A3309" s="262"/>
      <c r="B3309" s="260"/>
      <c r="C3309" s="31"/>
      <c r="D3309" s="31"/>
      <c r="E3309" s="32"/>
      <c r="F3309" s="42" t="s">
        <v>416</v>
      </c>
      <c r="G3309" s="33" t="str">
        <f t="shared" si="320"/>
        <v/>
      </c>
      <c r="H3309" s="34"/>
      <c r="I3309" s="30"/>
      <c r="J3309" s="152">
        <v>0</v>
      </c>
      <c r="L3309" s="219"/>
      <c r="M3309" s="42"/>
      <c r="N3309" s="33" t="str">
        <f t="shared" si="321"/>
        <v/>
      </c>
      <c r="O3309" s="34"/>
      <c r="P3309" s="36" t="str">
        <f t="shared" si="316"/>
        <v/>
      </c>
      <c r="Q3309" s="216" t="str">
        <f t="shared" si="317"/>
        <v/>
      </c>
      <c r="R3309" s="216" t="str">
        <f t="shared" si="318"/>
        <v/>
      </c>
      <c r="S3309" s="217" t="str">
        <f t="shared" si="319"/>
        <v/>
      </c>
    </row>
    <row r="3310" spans="1:19" ht="15.75" hidden="1" thickBot="1" x14ac:dyDescent="0.3">
      <c r="A3310" s="262"/>
      <c r="B3310" s="260"/>
      <c r="C3310" s="35" t="s">
        <v>848</v>
      </c>
      <c r="D3310" s="35" t="s">
        <v>69</v>
      </c>
      <c r="E3310" s="36">
        <v>1.0149999999999999</v>
      </c>
      <c r="F3310" s="30">
        <v>0</v>
      </c>
      <c r="G3310" s="33">
        <f t="shared" si="320"/>
        <v>0</v>
      </c>
      <c r="H3310" s="38">
        <f>SUM(G3310:G3313)</f>
        <v>8.8812270000000009</v>
      </c>
      <c r="I3310" s="39"/>
      <c r="J3310" s="152">
        <v>0</v>
      </c>
      <c r="L3310" s="215">
        <v>1.0149999999999999</v>
      </c>
      <c r="M3310" s="30">
        <v>0</v>
      </c>
      <c r="N3310" s="33">
        <f t="shared" si="321"/>
        <v>0</v>
      </c>
      <c r="O3310" s="38">
        <f>SUM(N3310:N3313)</f>
        <v>7.6023303119999994</v>
      </c>
      <c r="P3310" s="36" t="str">
        <f t="shared" si="316"/>
        <v/>
      </c>
      <c r="Q3310" s="216" t="e">
        <f t="shared" si="317"/>
        <v>#DIV/0!</v>
      </c>
      <c r="R3310" s="216" t="e">
        <f t="shared" si="318"/>
        <v>#DIV/0!</v>
      </c>
      <c r="S3310" s="217">
        <f t="shared" si="319"/>
        <v>0.14400000000000013</v>
      </c>
    </row>
    <row r="3311" spans="1:19" ht="26.25" hidden="1" thickBot="1" x14ac:dyDescent="0.3">
      <c r="A3311" s="262"/>
      <c r="B3311" s="260"/>
      <c r="C3311" s="35" t="s">
        <v>8169</v>
      </c>
      <c r="D3311" s="35" t="s">
        <v>213</v>
      </c>
      <c r="E3311" s="36">
        <v>8.9999999999999993E-3</v>
      </c>
      <c r="F3311" s="30">
        <v>3.9139999999999997</v>
      </c>
      <c r="G3311" s="33">
        <f t="shared" si="320"/>
        <v>3.5225999999999993E-2</v>
      </c>
      <c r="H3311" s="34"/>
      <c r="I3311" s="30"/>
      <c r="J3311" s="152">
        <v>0</v>
      </c>
      <c r="L3311" s="215">
        <v>8.9999999999999993E-3</v>
      </c>
      <c r="M3311" s="30">
        <v>3.350384</v>
      </c>
      <c r="N3311" s="33">
        <f t="shared" si="321"/>
        <v>3.0153455999999999E-2</v>
      </c>
      <c r="O3311" s="34"/>
      <c r="P3311" s="36" t="str">
        <f t="shared" si="316"/>
        <v/>
      </c>
      <c r="Q3311" s="216">
        <f t="shared" si="317"/>
        <v>0.14399999999999991</v>
      </c>
      <c r="R3311" s="216">
        <f t="shared" si="318"/>
        <v>0.14399999999999991</v>
      </c>
      <c r="S3311" s="217" t="str">
        <f t="shared" si="319"/>
        <v/>
      </c>
    </row>
    <row r="3312" spans="1:19" ht="15.75" hidden="1" thickBot="1" x14ac:dyDescent="0.3">
      <c r="A3312" s="262"/>
      <c r="B3312" s="260"/>
      <c r="C3312" s="35" t="s">
        <v>1017</v>
      </c>
      <c r="D3312" s="35" t="s">
        <v>583</v>
      </c>
      <c r="E3312" s="36">
        <v>0.17899999999999999</v>
      </c>
      <c r="F3312" s="30">
        <v>21.584</v>
      </c>
      <c r="G3312" s="33">
        <f t="shared" si="320"/>
        <v>3.8635359999999999</v>
      </c>
      <c r="H3312" s="34"/>
      <c r="I3312" s="30"/>
      <c r="J3312" s="152">
        <v>0</v>
      </c>
      <c r="L3312" s="215">
        <v>0.17899999999999999</v>
      </c>
      <c r="M3312" s="30">
        <v>18.475904</v>
      </c>
      <c r="N3312" s="33">
        <f t="shared" si="321"/>
        <v>3.3071868159999998</v>
      </c>
      <c r="O3312" s="34"/>
      <c r="P3312" s="36" t="str">
        <f t="shared" si="316"/>
        <v/>
      </c>
      <c r="Q3312" s="216">
        <f t="shared" si="317"/>
        <v>0.14400000000000002</v>
      </c>
      <c r="R3312" s="216">
        <f t="shared" si="318"/>
        <v>0.14400000000000002</v>
      </c>
      <c r="S3312" s="217" t="str">
        <f t="shared" si="319"/>
        <v/>
      </c>
    </row>
    <row r="3313" spans="1:19" ht="15.75" hidden="1" thickBot="1" x14ac:dyDescent="0.3">
      <c r="A3313" s="262"/>
      <c r="B3313" s="260"/>
      <c r="C3313" s="35" t="s">
        <v>1018</v>
      </c>
      <c r="D3313" s="35" t="s">
        <v>583</v>
      </c>
      <c r="E3313" s="36">
        <v>0.17899999999999999</v>
      </c>
      <c r="F3313" s="30">
        <v>27.835000000000001</v>
      </c>
      <c r="G3313" s="33">
        <f t="shared" si="320"/>
        <v>4.9824650000000004</v>
      </c>
      <c r="H3313" s="34"/>
      <c r="I3313" s="30"/>
      <c r="J3313" s="152">
        <v>0</v>
      </c>
      <c r="L3313" s="215">
        <v>0.17899999999999999</v>
      </c>
      <c r="M3313" s="30">
        <v>23.82676</v>
      </c>
      <c r="N3313" s="33">
        <f t="shared" si="321"/>
        <v>4.2649900399999998</v>
      </c>
      <c r="O3313" s="34"/>
      <c r="P3313" s="36" t="str">
        <f t="shared" si="316"/>
        <v/>
      </c>
      <c r="Q3313" s="216">
        <f t="shared" si="317"/>
        <v>0.14400000000000002</v>
      </c>
      <c r="R3313" s="216">
        <f t="shared" si="318"/>
        <v>0.14400000000000013</v>
      </c>
      <c r="S3313" s="217" t="str">
        <f t="shared" si="319"/>
        <v/>
      </c>
    </row>
    <row r="3314" spans="1:19" ht="15.75" hidden="1" thickBot="1" x14ac:dyDescent="0.3">
      <c r="A3314" s="263"/>
      <c r="B3314" s="261"/>
      <c r="C3314" s="35"/>
      <c r="D3314" s="35"/>
      <c r="E3314" s="36"/>
      <c r="F3314" s="30" t="s">
        <v>416</v>
      </c>
      <c r="G3314" s="33" t="str">
        <f t="shared" si="320"/>
        <v/>
      </c>
      <c r="H3314" s="34"/>
      <c r="I3314" s="30"/>
      <c r="J3314" s="152">
        <v>0</v>
      </c>
      <c r="L3314" s="215"/>
      <c r="M3314" s="30"/>
      <c r="N3314" s="33" t="str">
        <f t="shared" si="321"/>
        <v/>
      </c>
      <c r="O3314" s="34"/>
      <c r="P3314" s="36" t="str">
        <f t="shared" si="316"/>
        <v/>
      </c>
      <c r="Q3314" s="216" t="str">
        <f t="shared" si="317"/>
        <v/>
      </c>
      <c r="R3314" s="216" t="str">
        <f t="shared" si="318"/>
        <v/>
      </c>
      <c r="S3314" s="217" t="str">
        <f t="shared" si="319"/>
        <v/>
      </c>
    </row>
    <row r="3315" spans="1:19" ht="15.75" hidden="1" thickBot="1" x14ac:dyDescent="0.3">
      <c r="A3315" s="256" t="s">
        <v>849</v>
      </c>
      <c r="B3315" s="259" t="str">
        <f>INDEX(Orçamentária!A:B,MATCH(Composições!A3315,Orçamentária!A:A,0),2)</f>
        <v>Condutor 185 mm²</v>
      </c>
      <c r="C3315" s="40"/>
      <c r="D3315" s="25" t="s">
        <v>69</v>
      </c>
      <c r="E3315" s="26"/>
      <c r="F3315" s="41" t="s">
        <v>416</v>
      </c>
      <c r="G3315" s="27" t="str">
        <f t="shared" si="320"/>
        <v/>
      </c>
      <c r="H3315" s="28"/>
      <c r="I3315" s="29"/>
      <c r="J3315" s="152">
        <v>0</v>
      </c>
      <c r="L3315" s="218"/>
      <c r="M3315" s="41"/>
      <c r="N3315" s="27" t="str">
        <f t="shared" si="321"/>
        <v/>
      </c>
      <c r="O3315" s="28"/>
      <c r="P3315" s="36" t="str">
        <f t="shared" si="316"/>
        <v/>
      </c>
      <c r="Q3315" s="216" t="str">
        <f t="shared" si="317"/>
        <v/>
      </c>
      <c r="R3315" s="216" t="str">
        <f t="shared" si="318"/>
        <v/>
      </c>
      <c r="S3315" s="217" t="str">
        <f t="shared" si="319"/>
        <v/>
      </c>
    </row>
    <row r="3316" spans="1:19" ht="15.75" hidden="1" thickBot="1" x14ac:dyDescent="0.3">
      <c r="A3316" s="262"/>
      <c r="B3316" s="260"/>
      <c r="C3316" s="31"/>
      <c r="D3316" s="31"/>
      <c r="E3316" s="32"/>
      <c r="F3316" s="42" t="s">
        <v>416</v>
      </c>
      <c r="G3316" s="33" t="str">
        <f t="shared" si="320"/>
        <v/>
      </c>
      <c r="H3316" s="34"/>
      <c r="I3316" s="30"/>
      <c r="J3316" s="152">
        <v>0</v>
      </c>
      <c r="L3316" s="219"/>
      <c r="M3316" s="42"/>
      <c r="N3316" s="33" t="str">
        <f t="shared" si="321"/>
        <v/>
      </c>
      <c r="O3316" s="34"/>
      <c r="P3316" s="36" t="str">
        <f t="shared" si="316"/>
        <v/>
      </c>
      <c r="Q3316" s="216" t="str">
        <f t="shared" si="317"/>
        <v/>
      </c>
      <c r="R3316" s="216" t="str">
        <f t="shared" si="318"/>
        <v/>
      </c>
      <c r="S3316" s="217" t="str">
        <f t="shared" si="319"/>
        <v/>
      </c>
    </row>
    <row r="3317" spans="1:19" ht="15.75" hidden="1" thickBot="1" x14ac:dyDescent="0.3">
      <c r="A3317" s="262"/>
      <c r="B3317" s="260"/>
      <c r="C3317" s="35" t="s">
        <v>850</v>
      </c>
      <c r="D3317" s="35" t="s">
        <v>69</v>
      </c>
      <c r="E3317" s="36">
        <v>1.0149999999999999</v>
      </c>
      <c r="F3317" s="30">
        <v>0</v>
      </c>
      <c r="G3317" s="33">
        <f t="shared" si="320"/>
        <v>0</v>
      </c>
      <c r="H3317" s="38">
        <f>SUM(G3317:G3320)</f>
        <v>10.512053999999999</v>
      </c>
      <c r="I3317" s="39"/>
      <c r="J3317" s="152">
        <v>0</v>
      </c>
      <c r="L3317" s="215">
        <v>1.0149999999999999</v>
      </c>
      <c r="M3317" s="30">
        <v>0</v>
      </c>
      <c r="N3317" s="33">
        <f t="shared" si="321"/>
        <v>0</v>
      </c>
      <c r="O3317" s="38">
        <f>SUM(N3317:N3320)</f>
        <v>8.9983182240000001</v>
      </c>
      <c r="P3317" s="36" t="str">
        <f t="shared" si="316"/>
        <v/>
      </c>
      <c r="Q3317" s="216" t="e">
        <f t="shared" si="317"/>
        <v>#DIV/0!</v>
      </c>
      <c r="R3317" s="216" t="e">
        <f t="shared" si="318"/>
        <v>#DIV/0!</v>
      </c>
      <c r="S3317" s="217">
        <f t="shared" si="319"/>
        <v>0.14399999999999991</v>
      </c>
    </row>
    <row r="3318" spans="1:19" ht="26.25" hidden="1" thickBot="1" x14ac:dyDescent="0.3">
      <c r="A3318" s="262"/>
      <c r="B3318" s="260"/>
      <c r="C3318" s="35" t="s">
        <v>8169</v>
      </c>
      <c r="D3318" s="35" t="s">
        <v>213</v>
      </c>
      <c r="E3318" s="36">
        <v>8.9999999999999993E-3</v>
      </c>
      <c r="F3318" s="30">
        <v>3.9139999999999997</v>
      </c>
      <c r="G3318" s="33">
        <f t="shared" si="320"/>
        <v>3.5225999999999993E-2</v>
      </c>
      <c r="H3318" s="34"/>
      <c r="I3318" s="30"/>
      <c r="J3318" s="152">
        <v>0</v>
      </c>
      <c r="L3318" s="215">
        <v>8.9999999999999993E-3</v>
      </c>
      <c r="M3318" s="30">
        <v>3.350384</v>
      </c>
      <c r="N3318" s="33">
        <f t="shared" si="321"/>
        <v>3.0153455999999999E-2</v>
      </c>
      <c r="O3318" s="34"/>
      <c r="P3318" s="36" t="str">
        <f t="shared" si="316"/>
        <v/>
      </c>
      <c r="Q3318" s="216">
        <f t="shared" si="317"/>
        <v>0.14399999999999991</v>
      </c>
      <c r="R3318" s="216">
        <f t="shared" si="318"/>
        <v>0.14399999999999991</v>
      </c>
      <c r="S3318" s="217" t="str">
        <f t="shared" si="319"/>
        <v/>
      </c>
    </row>
    <row r="3319" spans="1:19" ht="15.75" hidden="1" thickBot="1" x14ac:dyDescent="0.3">
      <c r="A3319" s="262"/>
      <c r="B3319" s="260"/>
      <c r="C3319" s="35" t="s">
        <v>1017</v>
      </c>
      <c r="D3319" s="35" t="s">
        <v>583</v>
      </c>
      <c r="E3319" s="36">
        <v>0.21199999999999999</v>
      </c>
      <c r="F3319" s="30">
        <v>21.584</v>
      </c>
      <c r="G3319" s="33">
        <f t="shared" si="320"/>
        <v>4.5758079999999994</v>
      </c>
      <c r="H3319" s="34"/>
      <c r="I3319" s="30"/>
      <c r="J3319" s="152">
        <v>0</v>
      </c>
      <c r="L3319" s="215">
        <v>0.21199999999999999</v>
      </c>
      <c r="M3319" s="30">
        <v>18.475904</v>
      </c>
      <c r="N3319" s="33">
        <f t="shared" si="321"/>
        <v>3.916891648</v>
      </c>
      <c r="O3319" s="34"/>
      <c r="P3319" s="36" t="str">
        <f t="shared" si="316"/>
        <v/>
      </c>
      <c r="Q3319" s="216">
        <f t="shared" si="317"/>
        <v>0.14400000000000002</v>
      </c>
      <c r="R3319" s="216">
        <f t="shared" si="318"/>
        <v>0.14399999999999991</v>
      </c>
      <c r="S3319" s="217" t="str">
        <f t="shared" si="319"/>
        <v/>
      </c>
    </row>
    <row r="3320" spans="1:19" ht="15.75" hidden="1" thickBot="1" x14ac:dyDescent="0.3">
      <c r="A3320" s="262"/>
      <c r="B3320" s="260"/>
      <c r="C3320" s="35" t="s">
        <v>1018</v>
      </c>
      <c r="D3320" s="35" t="s">
        <v>583</v>
      </c>
      <c r="E3320" s="36">
        <v>0.21199999999999999</v>
      </c>
      <c r="F3320" s="30">
        <v>27.835000000000001</v>
      </c>
      <c r="G3320" s="33">
        <f t="shared" si="320"/>
        <v>5.9010199999999999</v>
      </c>
      <c r="H3320" s="34"/>
      <c r="I3320" s="30"/>
      <c r="J3320" s="152">
        <v>0</v>
      </c>
      <c r="L3320" s="215">
        <v>0.21199999999999999</v>
      </c>
      <c r="M3320" s="30">
        <v>23.82676</v>
      </c>
      <c r="N3320" s="33">
        <f t="shared" si="321"/>
        <v>5.0512731200000003</v>
      </c>
      <c r="O3320" s="34"/>
      <c r="P3320" s="36" t="str">
        <f t="shared" si="316"/>
        <v/>
      </c>
      <c r="Q3320" s="216">
        <f t="shared" si="317"/>
        <v>0.14400000000000002</v>
      </c>
      <c r="R3320" s="216">
        <f t="shared" si="318"/>
        <v>0.14399999999999991</v>
      </c>
      <c r="S3320" s="217" t="str">
        <f t="shared" si="319"/>
        <v/>
      </c>
    </row>
    <row r="3321" spans="1:19" ht="15.75" hidden="1" thickBot="1" x14ac:dyDescent="0.3">
      <c r="A3321" s="263"/>
      <c r="B3321" s="261"/>
      <c r="C3321" s="35"/>
      <c r="D3321" s="35"/>
      <c r="E3321" s="36"/>
      <c r="F3321" s="30" t="s">
        <v>416</v>
      </c>
      <c r="G3321" s="33" t="str">
        <f t="shared" si="320"/>
        <v/>
      </c>
      <c r="H3321" s="34"/>
      <c r="I3321" s="30"/>
      <c r="J3321" s="152">
        <v>0</v>
      </c>
      <c r="L3321" s="215"/>
      <c r="M3321" s="30"/>
      <c r="N3321" s="33" t="str">
        <f t="shared" si="321"/>
        <v/>
      </c>
      <c r="O3321" s="34"/>
      <c r="P3321" s="36" t="str">
        <f t="shared" si="316"/>
        <v/>
      </c>
      <c r="Q3321" s="216" t="str">
        <f t="shared" si="317"/>
        <v/>
      </c>
      <c r="R3321" s="216" t="str">
        <f t="shared" si="318"/>
        <v/>
      </c>
      <c r="S3321" s="217" t="str">
        <f t="shared" si="319"/>
        <v/>
      </c>
    </row>
    <row r="3322" spans="1:19" ht="15.75" hidden="1" thickBot="1" x14ac:dyDescent="0.3">
      <c r="A3322" s="256" t="s">
        <v>851</v>
      </c>
      <c r="B3322" s="259" t="str">
        <f>INDEX(Orçamentária!A:B,MATCH(Composições!A3322,Orçamentária!A:A,0),2)</f>
        <v>Condutor 240 mm²</v>
      </c>
      <c r="C3322" s="40"/>
      <c r="D3322" s="25" t="s">
        <v>69</v>
      </c>
      <c r="E3322" s="26"/>
      <c r="F3322" s="41" t="s">
        <v>416</v>
      </c>
      <c r="G3322" s="27" t="str">
        <f t="shared" si="320"/>
        <v/>
      </c>
      <c r="H3322" s="28"/>
      <c r="I3322" s="29"/>
      <c r="J3322" s="152">
        <v>0</v>
      </c>
      <c r="L3322" s="218"/>
      <c r="M3322" s="41"/>
      <c r="N3322" s="27" t="str">
        <f t="shared" si="321"/>
        <v/>
      </c>
      <c r="O3322" s="28"/>
      <c r="P3322" s="36" t="str">
        <f t="shared" si="316"/>
        <v/>
      </c>
      <c r="Q3322" s="216" t="str">
        <f t="shared" si="317"/>
        <v/>
      </c>
      <c r="R3322" s="216" t="str">
        <f t="shared" si="318"/>
        <v/>
      </c>
      <c r="S3322" s="217" t="str">
        <f t="shared" si="319"/>
        <v/>
      </c>
    </row>
    <row r="3323" spans="1:19" ht="15.75" hidden="1" thickBot="1" x14ac:dyDescent="0.3">
      <c r="A3323" s="262"/>
      <c r="B3323" s="260"/>
      <c r="C3323" s="31"/>
      <c r="D3323" s="31"/>
      <c r="E3323" s="32"/>
      <c r="F3323" s="42" t="s">
        <v>416</v>
      </c>
      <c r="G3323" s="33" t="str">
        <f t="shared" si="320"/>
        <v/>
      </c>
      <c r="H3323" s="34"/>
      <c r="I3323" s="30"/>
      <c r="J3323" s="152">
        <v>0</v>
      </c>
      <c r="L3323" s="219"/>
      <c r="M3323" s="42"/>
      <c r="N3323" s="33" t="str">
        <f t="shared" si="321"/>
        <v/>
      </c>
      <c r="O3323" s="34"/>
      <c r="P3323" s="36" t="str">
        <f t="shared" si="316"/>
        <v/>
      </c>
      <c r="Q3323" s="216" t="str">
        <f t="shared" si="317"/>
        <v/>
      </c>
      <c r="R3323" s="216" t="str">
        <f t="shared" si="318"/>
        <v/>
      </c>
      <c r="S3323" s="217" t="str">
        <f t="shared" si="319"/>
        <v/>
      </c>
    </row>
    <row r="3324" spans="1:19" ht="15.75" hidden="1" thickBot="1" x14ac:dyDescent="0.3">
      <c r="A3324" s="262"/>
      <c r="B3324" s="260"/>
      <c r="C3324" s="35" t="s">
        <v>852</v>
      </c>
      <c r="D3324" s="35" t="s">
        <v>69</v>
      </c>
      <c r="E3324" s="36">
        <v>1.0149999999999999</v>
      </c>
      <c r="F3324" s="30">
        <v>0</v>
      </c>
      <c r="G3324" s="33">
        <f t="shared" si="320"/>
        <v>0</v>
      </c>
      <c r="H3324" s="38">
        <f>SUM(G3324:G3327)</f>
        <v>13.032423000000001</v>
      </c>
      <c r="I3324" s="39"/>
      <c r="J3324" s="152">
        <v>0</v>
      </c>
      <c r="L3324" s="215">
        <v>1.0149999999999999</v>
      </c>
      <c r="M3324" s="30">
        <v>0</v>
      </c>
      <c r="N3324" s="33">
        <f t="shared" si="321"/>
        <v>0</v>
      </c>
      <c r="O3324" s="38">
        <f>SUM(N3324:N3327)</f>
        <v>11.155754088000002</v>
      </c>
      <c r="P3324" s="36" t="str">
        <f t="shared" si="316"/>
        <v/>
      </c>
      <c r="Q3324" s="216" t="e">
        <f t="shared" si="317"/>
        <v>#DIV/0!</v>
      </c>
      <c r="R3324" s="216" t="e">
        <f t="shared" si="318"/>
        <v>#DIV/0!</v>
      </c>
      <c r="S3324" s="217">
        <f t="shared" si="319"/>
        <v>0.14399999999999991</v>
      </c>
    </row>
    <row r="3325" spans="1:19" ht="26.25" hidden="1" thickBot="1" x14ac:dyDescent="0.3">
      <c r="A3325" s="262"/>
      <c r="B3325" s="260"/>
      <c r="C3325" s="35" t="s">
        <v>8169</v>
      </c>
      <c r="D3325" s="35" t="s">
        <v>213</v>
      </c>
      <c r="E3325" s="36">
        <v>8.9999999999999993E-3</v>
      </c>
      <c r="F3325" s="30">
        <v>3.9139999999999997</v>
      </c>
      <c r="G3325" s="33">
        <f t="shared" si="320"/>
        <v>3.5225999999999993E-2</v>
      </c>
      <c r="H3325" s="34"/>
      <c r="I3325" s="30"/>
      <c r="J3325" s="152">
        <v>0</v>
      </c>
      <c r="L3325" s="215">
        <v>8.9999999999999993E-3</v>
      </c>
      <c r="M3325" s="30">
        <v>3.350384</v>
      </c>
      <c r="N3325" s="33">
        <f t="shared" si="321"/>
        <v>3.0153455999999999E-2</v>
      </c>
      <c r="O3325" s="34"/>
      <c r="P3325" s="36" t="str">
        <f t="shared" si="316"/>
        <v/>
      </c>
      <c r="Q3325" s="216">
        <f t="shared" si="317"/>
        <v>0.14399999999999991</v>
      </c>
      <c r="R3325" s="216">
        <f t="shared" si="318"/>
        <v>0.14399999999999991</v>
      </c>
      <c r="S3325" s="217" t="str">
        <f t="shared" si="319"/>
        <v/>
      </c>
    </row>
    <row r="3326" spans="1:19" ht="15.75" hidden="1" thickBot="1" x14ac:dyDescent="0.3">
      <c r="A3326" s="262"/>
      <c r="B3326" s="260"/>
      <c r="C3326" s="35" t="s">
        <v>1017</v>
      </c>
      <c r="D3326" s="35" t="s">
        <v>583</v>
      </c>
      <c r="E3326" s="36">
        <v>0.26300000000000001</v>
      </c>
      <c r="F3326" s="30">
        <v>21.584</v>
      </c>
      <c r="G3326" s="33">
        <f t="shared" si="320"/>
        <v>5.6765920000000003</v>
      </c>
      <c r="H3326" s="34"/>
      <c r="I3326" s="30"/>
      <c r="J3326" s="152">
        <v>0</v>
      </c>
      <c r="L3326" s="215">
        <v>0.26300000000000001</v>
      </c>
      <c r="M3326" s="30">
        <v>18.475904</v>
      </c>
      <c r="N3326" s="33">
        <f t="shared" si="321"/>
        <v>4.8591627520000005</v>
      </c>
      <c r="O3326" s="34"/>
      <c r="P3326" s="36" t="str">
        <f t="shared" si="316"/>
        <v/>
      </c>
      <c r="Q3326" s="216">
        <f t="shared" si="317"/>
        <v>0.14400000000000002</v>
      </c>
      <c r="R3326" s="216">
        <f t="shared" si="318"/>
        <v>0.14400000000000002</v>
      </c>
      <c r="S3326" s="217" t="str">
        <f t="shared" si="319"/>
        <v/>
      </c>
    </row>
    <row r="3327" spans="1:19" ht="15.75" hidden="1" thickBot="1" x14ac:dyDescent="0.3">
      <c r="A3327" s="262"/>
      <c r="B3327" s="260"/>
      <c r="C3327" s="35" t="s">
        <v>1018</v>
      </c>
      <c r="D3327" s="35" t="s">
        <v>583</v>
      </c>
      <c r="E3327" s="36">
        <v>0.26300000000000001</v>
      </c>
      <c r="F3327" s="30">
        <v>27.835000000000001</v>
      </c>
      <c r="G3327" s="33">
        <f t="shared" si="320"/>
        <v>7.3206050000000005</v>
      </c>
      <c r="H3327" s="34"/>
      <c r="I3327" s="30"/>
      <c r="J3327" s="152">
        <v>0</v>
      </c>
      <c r="L3327" s="215">
        <v>0.26300000000000001</v>
      </c>
      <c r="M3327" s="30">
        <v>23.82676</v>
      </c>
      <c r="N3327" s="33">
        <f t="shared" si="321"/>
        <v>6.2664378800000007</v>
      </c>
      <c r="O3327" s="34"/>
      <c r="P3327" s="36" t="str">
        <f t="shared" si="316"/>
        <v/>
      </c>
      <c r="Q3327" s="216">
        <f t="shared" si="317"/>
        <v>0.14400000000000002</v>
      </c>
      <c r="R3327" s="216">
        <f t="shared" si="318"/>
        <v>0.14400000000000002</v>
      </c>
      <c r="S3327" s="217" t="str">
        <f t="shared" si="319"/>
        <v/>
      </c>
    </row>
    <row r="3328" spans="1:19" ht="15.75" hidden="1" thickBot="1" x14ac:dyDescent="0.3">
      <c r="A3328" s="263"/>
      <c r="B3328" s="261"/>
      <c r="C3328" s="35"/>
      <c r="D3328" s="35"/>
      <c r="E3328" s="36"/>
      <c r="F3328" s="30" t="s">
        <v>416</v>
      </c>
      <c r="G3328" s="33" t="str">
        <f t="shared" si="320"/>
        <v/>
      </c>
      <c r="H3328" s="34"/>
      <c r="I3328" s="30"/>
      <c r="J3328" s="152">
        <v>0</v>
      </c>
      <c r="L3328" s="215"/>
      <c r="M3328" s="30"/>
      <c r="N3328" s="33" t="str">
        <f t="shared" si="321"/>
        <v/>
      </c>
      <c r="O3328" s="34"/>
      <c r="P3328" s="36" t="str">
        <f t="shared" si="316"/>
        <v/>
      </c>
      <c r="Q3328" s="216" t="str">
        <f t="shared" si="317"/>
        <v/>
      </c>
      <c r="R3328" s="216" t="str">
        <f t="shared" si="318"/>
        <v/>
      </c>
      <c r="S3328" s="217" t="str">
        <f t="shared" si="319"/>
        <v/>
      </c>
    </row>
    <row r="3329" spans="1:19" ht="15.75" hidden="1" thickBot="1" x14ac:dyDescent="0.3">
      <c r="A3329" s="256" t="s">
        <v>853</v>
      </c>
      <c r="B3329" s="259" t="str">
        <f>INDEX(Orçamentária!A:B,MATCH(Composições!A3329,Orçamentária!A:A,0),2)</f>
        <v>Montagem e desmontagem de andaime fachadeiro</v>
      </c>
      <c r="C3329" s="40"/>
      <c r="D3329" s="25" t="s">
        <v>70</v>
      </c>
      <c r="E3329" s="26"/>
      <c r="F3329" s="41" t="s">
        <v>416</v>
      </c>
      <c r="G3329" s="27" t="str">
        <f t="shared" si="320"/>
        <v/>
      </c>
      <c r="H3329" s="28"/>
      <c r="I3329" s="29"/>
      <c r="J3329" s="152">
        <v>0</v>
      </c>
      <c r="L3329" s="218"/>
      <c r="M3329" s="41"/>
      <c r="N3329" s="27" t="str">
        <f t="shared" si="321"/>
        <v/>
      </c>
      <c r="O3329" s="28"/>
      <c r="P3329" s="36" t="str">
        <f t="shared" si="316"/>
        <v/>
      </c>
      <c r="Q3329" s="216" t="str">
        <f t="shared" si="317"/>
        <v/>
      </c>
      <c r="R3329" s="216" t="str">
        <f t="shared" si="318"/>
        <v/>
      </c>
      <c r="S3329" s="217" t="str">
        <f t="shared" si="319"/>
        <v/>
      </c>
    </row>
    <row r="3330" spans="1:19" ht="15.75" hidden="1" thickBot="1" x14ac:dyDescent="0.3">
      <c r="A3330" s="262"/>
      <c r="B3330" s="260"/>
      <c r="C3330" s="31"/>
      <c r="D3330" s="31"/>
      <c r="E3330" s="32"/>
      <c r="F3330" s="42" t="s">
        <v>416</v>
      </c>
      <c r="G3330" s="33" t="str">
        <f t="shared" si="320"/>
        <v/>
      </c>
      <c r="H3330" s="34"/>
      <c r="I3330" s="30"/>
      <c r="J3330" s="152">
        <v>0</v>
      </c>
      <c r="L3330" s="219"/>
      <c r="M3330" s="42"/>
      <c r="N3330" s="33" t="str">
        <f t="shared" si="321"/>
        <v/>
      </c>
      <c r="O3330" s="34"/>
      <c r="P3330" s="36" t="str">
        <f t="shared" si="316"/>
        <v/>
      </c>
      <c r="Q3330" s="216" t="str">
        <f t="shared" si="317"/>
        <v/>
      </c>
      <c r="R3330" s="216" t="str">
        <f t="shared" si="318"/>
        <v/>
      </c>
      <c r="S3330" s="217" t="str">
        <f t="shared" si="319"/>
        <v/>
      </c>
    </row>
    <row r="3331" spans="1:19" ht="26.25" hidden="1" thickBot="1" x14ac:dyDescent="0.3">
      <c r="A3331" s="262"/>
      <c r="B3331" s="260"/>
      <c r="C3331" s="35" t="s">
        <v>854</v>
      </c>
      <c r="D3331" s="35" t="s">
        <v>583</v>
      </c>
      <c r="E3331" s="36">
        <v>0.29509999999999997</v>
      </c>
      <c r="F3331" s="30">
        <v>20.719499999999996</v>
      </c>
      <c r="G3331" s="33">
        <f t="shared" si="320"/>
        <v>6.114324449999998</v>
      </c>
      <c r="H3331" s="38">
        <f>SUM(G3331:G3333)</f>
        <v>9.3777926085699974</v>
      </c>
      <c r="I3331" s="39"/>
      <c r="J3331" s="152">
        <v>0</v>
      </c>
      <c r="L3331" s="215">
        <v>0.29509999999999997</v>
      </c>
      <c r="M3331" s="30">
        <v>17.735891999999996</v>
      </c>
      <c r="N3331" s="33">
        <f t="shared" si="321"/>
        <v>5.2338617291999983</v>
      </c>
      <c r="O3331" s="38">
        <f>SUM(N3331:N3333)</f>
        <v>8.0273904729359167</v>
      </c>
      <c r="P3331" s="36" t="str">
        <f t="shared" si="316"/>
        <v/>
      </c>
      <c r="Q3331" s="216">
        <f t="shared" si="317"/>
        <v>0.14400000000000002</v>
      </c>
      <c r="R3331" s="216">
        <f t="shared" si="318"/>
        <v>0.14400000000000002</v>
      </c>
      <c r="S3331" s="217">
        <f t="shared" si="319"/>
        <v>0.14400000000000013</v>
      </c>
    </row>
    <row r="3332" spans="1:19" ht="15.75" hidden="1" thickBot="1" x14ac:dyDescent="0.3">
      <c r="A3332" s="262"/>
      <c r="B3332" s="260"/>
      <c r="C3332" s="35" t="s">
        <v>584</v>
      </c>
      <c r="D3332" s="35" t="s">
        <v>583</v>
      </c>
      <c r="E3332" s="36">
        <v>5.8999999999999997E-2</v>
      </c>
      <c r="F3332" s="30">
        <v>20.225499999999997</v>
      </c>
      <c r="G3332" s="33">
        <f t="shared" si="320"/>
        <v>1.1933044999999998</v>
      </c>
      <c r="H3332" s="34"/>
      <c r="I3332" s="30"/>
      <c r="J3332" s="152">
        <v>0</v>
      </c>
      <c r="L3332" s="215">
        <v>5.8999999999999997E-2</v>
      </c>
      <c r="M3332" s="30">
        <v>17.313027999999996</v>
      </c>
      <c r="N3332" s="33">
        <f t="shared" si="321"/>
        <v>1.0214686519999996</v>
      </c>
      <c r="O3332" s="34"/>
      <c r="P3332" s="36" t="str">
        <f t="shared" si="316"/>
        <v/>
      </c>
      <c r="Q3332" s="216">
        <f t="shared" si="317"/>
        <v>0.14400000000000013</v>
      </c>
      <c r="R3332" s="216">
        <f t="shared" si="318"/>
        <v>0.14400000000000013</v>
      </c>
      <c r="S3332" s="217" t="str">
        <f t="shared" si="319"/>
        <v/>
      </c>
    </row>
    <row r="3333" spans="1:19" ht="51.75" hidden="1" thickBot="1" x14ac:dyDescent="0.3">
      <c r="A3333" s="262"/>
      <c r="B3333" s="260"/>
      <c r="C3333" s="35" t="s">
        <v>855</v>
      </c>
      <c r="D3333" s="46" t="s">
        <v>856</v>
      </c>
      <c r="E3333" s="36">
        <v>0.1673</v>
      </c>
      <c r="F3333" s="30">
        <v>12.373960899999998</v>
      </c>
      <c r="G3333" s="33">
        <f t="shared" si="320"/>
        <v>2.0701636585699998</v>
      </c>
      <c r="H3333" s="34"/>
      <c r="I3333" s="30"/>
      <c r="J3333" s="152">
        <v>0</v>
      </c>
      <c r="L3333" s="215">
        <v>0.1673</v>
      </c>
      <c r="M3333" s="30">
        <v>10.592110530399999</v>
      </c>
      <c r="N3333" s="33">
        <f t="shared" si="321"/>
        <v>1.7720600917359199</v>
      </c>
      <c r="O3333" s="34"/>
      <c r="P3333" s="36" t="str">
        <f t="shared" si="316"/>
        <v/>
      </c>
      <c r="Q3333" s="216">
        <f t="shared" si="317"/>
        <v>0.14399999999999991</v>
      </c>
      <c r="R3333" s="216">
        <f t="shared" si="318"/>
        <v>0.14400000000000002</v>
      </c>
      <c r="S3333" s="217" t="str">
        <f t="shared" si="319"/>
        <v/>
      </c>
    </row>
    <row r="3334" spans="1:19" ht="15.75" hidden="1" thickBot="1" x14ac:dyDescent="0.3">
      <c r="A3334" s="263"/>
      <c r="B3334" s="261"/>
      <c r="C3334" s="35"/>
      <c r="D3334" s="35"/>
      <c r="E3334" s="36"/>
      <c r="F3334" s="30" t="s">
        <v>416</v>
      </c>
      <c r="G3334" s="33" t="str">
        <f t="shared" si="320"/>
        <v/>
      </c>
      <c r="H3334" s="34"/>
      <c r="I3334" s="30"/>
      <c r="J3334" s="152">
        <v>0</v>
      </c>
      <c r="L3334" s="215"/>
      <c r="M3334" s="30"/>
      <c r="N3334" s="33" t="str">
        <f t="shared" si="321"/>
        <v/>
      </c>
      <c r="O3334" s="34"/>
      <c r="P3334" s="36" t="str">
        <f t="shared" si="316"/>
        <v/>
      </c>
      <c r="Q3334" s="216" t="str">
        <f t="shared" si="317"/>
        <v/>
      </c>
      <c r="R3334" s="216" t="str">
        <f t="shared" si="318"/>
        <v/>
      </c>
      <c r="S3334" s="217" t="str">
        <f t="shared" si="319"/>
        <v/>
      </c>
    </row>
    <row r="3335" spans="1:19" ht="15.75" hidden="1" thickBot="1" x14ac:dyDescent="0.3">
      <c r="A3335" s="256" t="s">
        <v>857</v>
      </c>
      <c r="B3335" s="259" t="str">
        <f>INDEX(Orçamentária!A:B,MATCH(Composições!A3335,Orçamentária!A:A,0),2)</f>
        <v>Montagem e desmontagem de andaime tubular</v>
      </c>
      <c r="C3335" s="40"/>
      <c r="D3335" s="25" t="s">
        <v>69</v>
      </c>
      <c r="E3335" s="26"/>
      <c r="F3335" s="41" t="s">
        <v>416</v>
      </c>
      <c r="G3335" s="27" t="str">
        <f t="shared" si="320"/>
        <v/>
      </c>
      <c r="H3335" s="28"/>
      <c r="I3335" s="29"/>
      <c r="J3335" s="152">
        <v>0</v>
      </c>
      <c r="L3335" s="218"/>
      <c r="M3335" s="41"/>
      <c r="N3335" s="27" t="str">
        <f t="shared" si="321"/>
        <v/>
      </c>
      <c r="O3335" s="28"/>
      <c r="P3335" s="36" t="str">
        <f t="shared" si="316"/>
        <v/>
      </c>
      <c r="Q3335" s="216" t="str">
        <f t="shared" si="317"/>
        <v/>
      </c>
      <c r="R3335" s="216" t="str">
        <f t="shared" si="318"/>
        <v/>
      </c>
      <c r="S3335" s="217" t="str">
        <f t="shared" si="319"/>
        <v/>
      </c>
    </row>
    <row r="3336" spans="1:19" ht="15.75" hidden="1" thickBot="1" x14ac:dyDescent="0.3">
      <c r="A3336" s="262"/>
      <c r="B3336" s="260"/>
      <c r="C3336" s="31"/>
      <c r="D3336" s="31"/>
      <c r="E3336" s="32"/>
      <c r="F3336" s="42" t="s">
        <v>416</v>
      </c>
      <c r="G3336" s="33" t="str">
        <f t="shared" si="320"/>
        <v/>
      </c>
      <c r="H3336" s="34"/>
      <c r="I3336" s="30"/>
      <c r="J3336" s="152">
        <v>0</v>
      </c>
      <c r="L3336" s="219"/>
      <c r="M3336" s="42"/>
      <c r="N3336" s="33" t="str">
        <f t="shared" si="321"/>
        <v/>
      </c>
      <c r="O3336" s="34"/>
      <c r="P3336" s="36" t="str">
        <f t="shared" ref="P3336:P3399" si="322">IF(ISBLANK(L3336),"",IF($E3336&lt;&gt;L3336,"SIM",""))</f>
        <v/>
      </c>
      <c r="Q3336" s="216" t="str">
        <f t="shared" ref="Q3336:Q3399" si="323">IF(M3336="","",1-M3336/$F3336)</f>
        <v/>
      </c>
      <c r="R3336" s="216" t="str">
        <f t="shared" ref="R3336:R3399" si="324">IF(N3336="","",1-N3336/$G3336)</f>
        <v/>
      </c>
      <c r="S3336" s="217" t="str">
        <f t="shared" ref="S3336:S3399" si="325">IF(O3336="","",1-O3336/$H3336)</f>
        <v/>
      </c>
    </row>
    <row r="3337" spans="1:19" ht="26.25" hidden="1" thickBot="1" x14ac:dyDescent="0.3">
      <c r="A3337" s="262"/>
      <c r="B3337" s="260"/>
      <c r="C3337" s="35" t="s">
        <v>854</v>
      </c>
      <c r="D3337" s="35" t="s">
        <v>583</v>
      </c>
      <c r="E3337" s="36">
        <v>0.5</v>
      </c>
      <c r="F3337" s="30">
        <v>20.719499999999996</v>
      </c>
      <c r="G3337" s="33">
        <f t="shared" si="320"/>
        <v>10.359749999999998</v>
      </c>
      <c r="H3337" s="38">
        <f>SUM(G3337:G3339)</f>
        <v>17.356632281799996</v>
      </c>
      <c r="I3337" s="39"/>
      <c r="J3337" s="152">
        <v>0</v>
      </c>
      <c r="L3337" s="215">
        <v>0.5</v>
      </c>
      <c r="M3337" s="30">
        <v>17.735891999999996</v>
      </c>
      <c r="N3337" s="33">
        <f t="shared" si="321"/>
        <v>8.8679459999999981</v>
      </c>
      <c r="O3337" s="38">
        <f>SUM(N3337:N3339)</f>
        <v>14.857277233220799</v>
      </c>
      <c r="P3337" s="36" t="str">
        <f t="shared" si="322"/>
        <v/>
      </c>
      <c r="Q3337" s="216">
        <f t="shared" si="323"/>
        <v>0.14400000000000002</v>
      </c>
      <c r="R3337" s="216">
        <f t="shared" si="324"/>
        <v>0.14400000000000002</v>
      </c>
      <c r="S3337" s="217">
        <f t="shared" si="325"/>
        <v>0.14399999999999991</v>
      </c>
    </row>
    <row r="3338" spans="1:19" ht="15.75" hidden="1" thickBot="1" x14ac:dyDescent="0.3">
      <c r="A3338" s="262"/>
      <c r="B3338" s="260"/>
      <c r="C3338" s="35" t="s">
        <v>584</v>
      </c>
      <c r="D3338" s="35" t="s">
        <v>583</v>
      </c>
      <c r="E3338" s="36">
        <v>0.1</v>
      </c>
      <c r="F3338" s="30">
        <v>20.225499999999997</v>
      </c>
      <c r="G3338" s="33">
        <f t="shared" si="320"/>
        <v>2.0225499999999998</v>
      </c>
      <c r="H3338" s="38"/>
      <c r="I3338" s="39"/>
      <c r="J3338" s="152">
        <v>0</v>
      </c>
      <c r="L3338" s="215">
        <v>0.1</v>
      </c>
      <c r="M3338" s="30">
        <v>17.313027999999996</v>
      </c>
      <c r="N3338" s="33">
        <f t="shared" si="321"/>
        <v>1.7313027999999997</v>
      </c>
      <c r="O3338" s="38"/>
      <c r="P3338" s="36" t="str">
        <f t="shared" si="322"/>
        <v/>
      </c>
      <c r="Q3338" s="216">
        <f t="shared" si="323"/>
        <v>0.14400000000000013</v>
      </c>
      <c r="R3338" s="216">
        <f t="shared" si="324"/>
        <v>0.14400000000000013</v>
      </c>
      <c r="S3338" s="217" t="str">
        <f t="shared" si="325"/>
        <v/>
      </c>
    </row>
    <row r="3339" spans="1:19" ht="51.75" hidden="1" thickBot="1" x14ac:dyDescent="0.3">
      <c r="A3339" s="262"/>
      <c r="B3339" s="260"/>
      <c r="C3339" s="35" t="s">
        <v>855</v>
      </c>
      <c r="D3339" s="46" t="s">
        <v>856</v>
      </c>
      <c r="E3339" s="36">
        <v>0.40200000000000002</v>
      </c>
      <c r="F3339" s="30">
        <v>12.373960899999998</v>
      </c>
      <c r="G3339" s="33">
        <f t="shared" si="320"/>
        <v>4.9743322817999998</v>
      </c>
      <c r="H3339" s="34"/>
      <c r="I3339" s="30"/>
      <c r="J3339" s="152">
        <v>0</v>
      </c>
      <c r="L3339" s="215">
        <v>0.40200000000000002</v>
      </c>
      <c r="M3339" s="30">
        <v>10.592110530399999</v>
      </c>
      <c r="N3339" s="33">
        <f t="shared" si="321"/>
        <v>4.2580284332208</v>
      </c>
      <c r="O3339" s="34"/>
      <c r="P3339" s="36" t="str">
        <f t="shared" si="322"/>
        <v/>
      </c>
      <c r="Q3339" s="216">
        <f t="shared" si="323"/>
        <v>0.14399999999999991</v>
      </c>
      <c r="R3339" s="216">
        <f t="shared" si="324"/>
        <v>0.14399999999999991</v>
      </c>
      <c r="S3339" s="217" t="str">
        <f t="shared" si="325"/>
        <v/>
      </c>
    </row>
    <row r="3340" spans="1:19" ht="15.75" hidden="1" thickBot="1" x14ac:dyDescent="0.3">
      <c r="A3340" s="263"/>
      <c r="B3340" s="261"/>
      <c r="C3340" s="35"/>
      <c r="D3340" s="35"/>
      <c r="E3340" s="36"/>
      <c r="F3340" s="30" t="s">
        <v>416</v>
      </c>
      <c r="G3340" s="33" t="str">
        <f t="shared" si="320"/>
        <v/>
      </c>
      <c r="H3340" s="34"/>
      <c r="I3340" s="30"/>
      <c r="J3340" s="152">
        <v>0</v>
      </c>
      <c r="L3340" s="215"/>
      <c r="M3340" s="30"/>
      <c r="N3340" s="33" t="str">
        <f t="shared" si="321"/>
        <v/>
      </c>
      <c r="O3340" s="34"/>
      <c r="P3340" s="36" t="str">
        <f t="shared" si="322"/>
        <v/>
      </c>
      <c r="Q3340" s="216" t="str">
        <f t="shared" si="323"/>
        <v/>
      </c>
      <c r="R3340" s="216" t="str">
        <f t="shared" si="324"/>
        <v/>
      </c>
      <c r="S3340" s="217" t="str">
        <f t="shared" si="325"/>
        <v/>
      </c>
    </row>
    <row r="3341" spans="1:19" ht="15.75" hidden="1" thickBot="1" x14ac:dyDescent="0.3">
      <c r="A3341" s="256" t="s">
        <v>858</v>
      </c>
      <c r="B3341" s="259" t="str">
        <f>INDEX(Orçamentária!A:B,MATCH(Composições!A3341,Orçamentária!A:A,0),2)</f>
        <v>Tela de proteção para andaime</v>
      </c>
      <c r="C3341" s="40"/>
      <c r="D3341" s="25" t="s">
        <v>1334</v>
      </c>
      <c r="E3341" s="26"/>
      <c r="F3341" s="41" t="s">
        <v>416</v>
      </c>
      <c r="G3341" s="27" t="str">
        <f t="shared" si="320"/>
        <v/>
      </c>
      <c r="H3341" s="28"/>
      <c r="I3341" s="29"/>
      <c r="J3341" s="152">
        <v>0</v>
      </c>
      <c r="L3341" s="218"/>
      <c r="M3341" s="41"/>
      <c r="N3341" s="27" t="str">
        <f t="shared" si="321"/>
        <v/>
      </c>
      <c r="O3341" s="28"/>
      <c r="P3341" s="36" t="str">
        <f t="shared" si="322"/>
        <v/>
      </c>
      <c r="Q3341" s="216" t="str">
        <f t="shared" si="323"/>
        <v/>
      </c>
      <c r="R3341" s="216" t="str">
        <f t="shared" si="324"/>
        <v/>
      </c>
      <c r="S3341" s="217" t="str">
        <f t="shared" si="325"/>
        <v/>
      </c>
    </row>
    <row r="3342" spans="1:19" ht="15.75" hidden="1" thickBot="1" x14ac:dyDescent="0.3">
      <c r="A3342" s="262"/>
      <c r="B3342" s="260"/>
      <c r="C3342" s="31"/>
      <c r="D3342" s="31"/>
      <c r="E3342" s="32"/>
      <c r="F3342" s="42" t="s">
        <v>416</v>
      </c>
      <c r="G3342" s="33" t="str">
        <f t="shared" si="320"/>
        <v/>
      </c>
      <c r="H3342" s="34"/>
      <c r="I3342" s="30"/>
      <c r="J3342" s="152">
        <v>0</v>
      </c>
      <c r="L3342" s="219"/>
      <c r="M3342" s="42"/>
      <c r="N3342" s="33" t="str">
        <f t="shared" si="321"/>
        <v/>
      </c>
      <c r="O3342" s="34"/>
      <c r="P3342" s="36" t="str">
        <f t="shared" si="322"/>
        <v/>
      </c>
      <c r="Q3342" s="216" t="str">
        <f t="shared" si="323"/>
        <v/>
      </c>
      <c r="R3342" s="216" t="str">
        <f t="shared" si="324"/>
        <v/>
      </c>
      <c r="S3342" s="217" t="str">
        <f t="shared" si="325"/>
        <v/>
      </c>
    </row>
    <row r="3343" spans="1:19" ht="26.25" hidden="1" thickBot="1" x14ac:dyDescent="0.3">
      <c r="A3343" s="262"/>
      <c r="B3343" s="260"/>
      <c r="C3343" s="35" t="s">
        <v>859</v>
      </c>
      <c r="D3343" s="35" t="s">
        <v>213</v>
      </c>
      <c r="E3343" s="36">
        <v>0.89449999999999996</v>
      </c>
      <c r="F3343" s="30">
        <v>0.18049999999999999</v>
      </c>
      <c r="G3343" s="33">
        <f t="shared" si="320"/>
        <v>0.16145725</v>
      </c>
      <c r="H3343" s="38">
        <f>SUM(G3343:G3346)</f>
        <v>4.6523342999999997</v>
      </c>
      <c r="I3343" s="39"/>
      <c r="J3343" s="152">
        <v>0</v>
      </c>
      <c r="L3343" s="215">
        <v>0.89449999999999996</v>
      </c>
      <c r="M3343" s="30">
        <v>0.15450800000000001</v>
      </c>
      <c r="N3343" s="33">
        <f t="shared" si="321"/>
        <v>0.138207406</v>
      </c>
      <c r="O3343" s="38">
        <f>SUM(N3343:N3346)</f>
        <v>3.9823981608000003</v>
      </c>
      <c r="P3343" s="36" t="str">
        <f t="shared" si="322"/>
        <v/>
      </c>
      <c r="Q3343" s="216">
        <f t="shared" si="323"/>
        <v>0.14399999999999991</v>
      </c>
      <c r="R3343" s="216">
        <f t="shared" si="324"/>
        <v>0.14399999999999991</v>
      </c>
      <c r="S3343" s="217">
        <f t="shared" si="325"/>
        <v>0.14399999999999991</v>
      </c>
    </row>
    <row r="3344" spans="1:19" ht="26.25" hidden="1" thickBot="1" x14ac:dyDescent="0.3">
      <c r="A3344" s="262"/>
      <c r="B3344" s="260"/>
      <c r="C3344" s="35" t="s">
        <v>860</v>
      </c>
      <c r="D3344" s="35" t="s">
        <v>861</v>
      </c>
      <c r="E3344" s="36">
        <f>ROUND(1.177*(1/3),4)</f>
        <v>0.39229999999999998</v>
      </c>
      <c r="F3344" s="30">
        <v>2.6315</v>
      </c>
      <c r="G3344" s="33">
        <f t="shared" si="320"/>
        <v>1.03233745</v>
      </c>
      <c r="H3344" s="34"/>
      <c r="I3344" s="30"/>
      <c r="J3344" s="152">
        <v>0</v>
      </c>
      <c r="L3344" s="215">
        <v>0.39229999999999998</v>
      </c>
      <c r="M3344" s="30">
        <v>2.252564</v>
      </c>
      <c r="N3344" s="33">
        <f t="shared" si="321"/>
        <v>0.8836808572</v>
      </c>
      <c r="O3344" s="34"/>
      <c r="P3344" s="36" t="str">
        <f t="shared" si="322"/>
        <v/>
      </c>
      <c r="Q3344" s="216">
        <f t="shared" si="323"/>
        <v>0.14400000000000002</v>
      </c>
      <c r="R3344" s="216">
        <f t="shared" si="324"/>
        <v>0.14400000000000002</v>
      </c>
      <c r="S3344" s="217" t="str">
        <f t="shared" si="325"/>
        <v/>
      </c>
    </row>
    <row r="3345" spans="1:19" ht="15.75" hidden="1" thickBot="1" x14ac:dyDescent="0.3">
      <c r="A3345" s="262"/>
      <c r="B3345" s="260"/>
      <c r="C3345" s="35" t="s">
        <v>660</v>
      </c>
      <c r="D3345" s="35" t="s">
        <v>583</v>
      </c>
      <c r="E3345" s="36">
        <v>6.9900000000000004E-2</v>
      </c>
      <c r="F3345" s="30">
        <v>21.337</v>
      </c>
      <c r="G3345" s="33">
        <f t="shared" si="320"/>
        <v>1.4914563000000001</v>
      </c>
      <c r="H3345" s="34"/>
      <c r="I3345" s="30"/>
      <c r="J3345" s="152">
        <v>0</v>
      </c>
      <c r="L3345" s="215">
        <v>6.9900000000000004E-2</v>
      </c>
      <c r="M3345" s="30">
        <v>18.264472000000001</v>
      </c>
      <c r="N3345" s="33">
        <f t="shared" si="321"/>
        <v>1.2766865928000002</v>
      </c>
      <c r="O3345" s="34"/>
      <c r="P3345" s="36" t="str">
        <f t="shared" si="322"/>
        <v/>
      </c>
      <c r="Q3345" s="216">
        <f t="shared" si="323"/>
        <v>0.14399999999999991</v>
      </c>
      <c r="R3345" s="216">
        <f t="shared" si="324"/>
        <v>0.14399999999999991</v>
      </c>
      <c r="S3345" s="217" t="str">
        <f t="shared" si="325"/>
        <v/>
      </c>
    </row>
    <row r="3346" spans="1:19" ht="15.75" hidden="1" thickBot="1" x14ac:dyDescent="0.3">
      <c r="A3346" s="262"/>
      <c r="B3346" s="260"/>
      <c r="C3346" s="35" t="s">
        <v>862</v>
      </c>
      <c r="D3346" s="35" t="s">
        <v>583</v>
      </c>
      <c r="E3346" s="36">
        <v>7.3400000000000007E-2</v>
      </c>
      <c r="F3346" s="30">
        <v>26.799499999999998</v>
      </c>
      <c r="G3346" s="33">
        <f t="shared" si="320"/>
        <v>1.9670833000000001</v>
      </c>
      <c r="H3346" s="34"/>
      <c r="I3346" s="30"/>
      <c r="J3346" s="152">
        <v>0</v>
      </c>
      <c r="L3346" s="215">
        <v>7.3400000000000007E-2</v>
      </c>
      <c r="M3346" s="30">
        <v>22.940372</v>
      </c>
      <c r="N3346" s="33">
        <f t="shared" si="321"/>
        <v>1.6838233048000002</v>
      </c>
      <c r="O3346" s="34"/>
      <c r="P3346" s="36" t="str">
        <f t="shared" si="322"/>
        <v/>
      </c>
      <c r="Q3346" s="216">
        <f t="shared" si="323"/>
        <v>0.14399999999999991</v>
      </c>
      <c r="R3346" s="216">
        <f t="shared" si="324"/>
        <v>0.14399999999999991</v>
      </c>
      <c r="S3346" s="217" t="str">
        <f t="shared" si="325"/>
        <v/>
      </c>
    </row>
    <row r="3347" spans="1:19" ht="15.75" hidden="1" thickBot="1" x14ac:dyDescent="0.3">
      <c r="A3347" s="262"/>
      <c r="B3347" s="260"/>
      <c r="C3347" s="35"/>
      <c r="D3347" s="46"/>
      <c r="E3347" s="36"/>
      <c r="F3347" s="30" t="s">
        <v>416</v>
      </c>
      <c r="G3347" s="33" t="str">
        <f t="shared" si="320"/>
        <v/>
      </c>
      <c r="H3347" s="34"/>
      <c r="I3347" s="30"/>
      <c r="J3347" s="152">
        <v>0</v>
      </c>
      <c r="L3347" s="215"/>
      <c r="M3347" s="30"/>
      <c r="N3347" s="33" t="str">
        <f t="shared" si="321"/>
        <v/>
      </c>
      <c r="O3347" s="34"/>
      <c r="P3347" s="36" t="str">
        <f t="shared" si="322"/>
        <v/>
      </c>
      <c r="Q3347" s="216" t="str">
        <f t="shared" si="323"/>
        <v/>
      </c>
      <c r="R3347" s="216" t="str">
        <f t="shared" si="324"/>
        <v/>
      </c>
      <c r="S3347" s="217" t="str">
        <f t="shared" si="325"/>
        <v/>
      </c>
    </row>
    <row r="3348" spans="1:19" ht="26.25" hidden="1" thickBot="1" x14ac:dyDescent="0.3">
      <c r="A3348" s="262"/>
      <c r="B3348" s="260"/>
      <c r="C3348" s="51" t="s">
        <v>863</v>
      </c>
      <c r="D3348" s="46"/>
      <c r="E3348" s="36"/>
      <c r="F3348" s="30" t="s">
        <v>416</v>
      </c>
      <c r="G3348" s="33" t="str">
        <f t="shared" si="320"/>
        <v/>
      </c>
      <c r="H3348" s="34"/>
      <c r="I3348" s="30"/>
      <c r="J3348" s="152">
        <v>0</v>
      </c>
      <c r="L3348" s="215"/>
      <c r="M3348" s="30"/>
      <c r="N3348" s="33" t="str">
        <f t="shared" si="321"/>
        <v/>
      </c>
      <c r="O3348" s="34"/>
      <c r="P3348" s="36" t="str">
        <f t="shared" si="322"/>
        <v/>
      </c>
      <c r="Q3348" s="216" t="str">
        <f t="shared" si="323"/>
        <v/>
      </c>
      <c r="R3348" s="216" t="str">
        <f t="shared" si="324"/>
        <v/>
      </c>
      <c r="S3348" s="217" t="str">
        <f t="shared" si="325"/>
        <v/>
      </c>
    </row>
    <row r="3349" spans="1:19" ht="15.75" hidden="1" thickBot="1" x14ac:dyDescent="0.3">
      <c r="A3349" s="263"/>
      <c r="B3349" s="261"/>
      <c r="C3349" s="54"/>
      <c r="D3349" s="54"/>
      <c r="E3349" s="65"/>
      <c r="F3349" s="66" t="s">
        <v>416</v>
      </c>
      <c r="G3349" s="67" t="str">
        <f t="shared" si="320"/>
        <v/>
      </c>
      <c r="H3349" s="68"/>
      <c r="I3349" s="30"/>
      <c r="J3349" s="152">
        <v>0</v>
      </c>
      <c r="L3349" s="222"/>
      <c r="M3349" s="66"/>
      <c r="N3349" s="67" t="str">
        <f t="shared" si="321"/>
        <v/>
      </c>
      <c r="O3349" s="68"/>
      <c r="P3349" s="36" t="str">
        <f t="shared" si="322"/>
        <v/>
      </c>
      <c r="Q3349" s="216" t="str">
        <f t="shared" si="323"/>
        <v/>
      </c>
      <c r="R3349" s="216" t="str">
        <f t="shared" si="324"/>
        <v/>
      </c>
      <c r="S3349" s="217" t="str">
        <f t="shared" si="325"/>
        <v/>
      </c>
    </row>
    <row r="3350" spans="1:19" ht="15.75" hidden="1" thickBot="1" x14ac:dyDescent="0.3">
      <c r="A3350" s="256" t="s">
        <v>864</v>
      </c>
      <c r="B3350" s="259" t="str">
        <f>INDEX(Orçamentária!A:B,MATCH(Composições!A3350,Orçamentária!A:A,0),2)</f>
        <v>Remoção de folha de porta de enrolar</v>
      </c>
      <c r="C3350" s="40"/>
      <c r="D3350" s="25" t="s">
        <v>16</v>
      </c>
      <c r="E3350" s="26"/>
      <c r="F3350" s="41" t="s">
        <v>416</v>
      </c>
      <c r="G3350" s="27" t="str">
        <f t="shared" si="320"/>
        <v/>
      </c>
      <c r="H3350" s="28"/>
      <c r="I3350" s="29"/>
      <c r="J3350" s="152">
        <v>0</v>
      </c>
      <c r="L3350" s="218"/>
      <c r="M3350" s="41"/>
      <c r="N3350" s="27" t="str">
        <f t="shared" si="321"/>
        <v/>
      </c>
      <c r="O3350" s="28"/>
      <c r="P3350" s="36" t="str">
        <f t="shared" si="322"/>
        <v/>
      </c>
      <c r="Q3350" s="216" t="str">
        <f t="shared" si="323"/>
        <v/>
      </c>
      <c r="R3350" s="216" t="str">
        <f t="shared" si="324"/>
        <v/>
      </c>
      <c r="S3350" s="217" t="str">
        <f t="shared" si="325"/>
        <v/>
      </c>
    </row>
    <row r="3351" spans="1:19" ht="15.75" hidden="1" thickBot="1" x14ac:dyDescent="0.3">
      <c r="A3351" s="262"/>
      <c r="B3351" s="260"/>
      <c r="C3351" s="31"/>
      <c r="D3351" s="31"/>
      <c r="E3351" s="32"/>
      <c r="F3351" s="42" t="s">
        <v>416</v>
      </c>
      <c r="G3351" s="33" t="str">
        <f t="shared" si="320"/>
        <v/>
      </c>
      <c r="H3351" s="34"/>
      <c r="I3351" s="30"/>
      <c r="J3351" s="152">
        <v>0</v>
      </c>
      <c r="L3351" s="219"/>
      <c r="M3351" s="42"/>
      <c r="N3351" s="33" t="str">
        <f t="shared" si="321"/>
        <v/>
      </c>
      <c r="O3351" s="34"/>
      <c r="P3351" s="36" t="str">
        <f t="shared" si="322"/>
        <v/>
      </c>
      <c r="Q3351" s="216" t="str">
        <f t="shared" si="323"/>
        <v/>
      </c>
      <c r="R3351" s="216" t="str">
        <f t="shared" si="324"/>
        <v/>
      </c>
      <c r="S3351" s="217" t="str">
        <f t="shared" si="325"/>
        <v/>
      </c>
    </row>
    <row r="3352" spans="1:19" ht="15.75" hidden="1" thickBot="1" x14ac:dyDescent="0.3">
      <c r="A3352" s="262"/>
      <c r="B3352" s="260"/>
      <c r="C3352" s="35" t="s">
        <v>1041</v>
      </c>
      <c r="D3352" s="35" t="s">
        <v>583</v>
      </c>
      <c r="E3352" s="36">
        <v>2.5</v>
      </c>
      <c r="F3352" s="30">
        <v>26.970499999999998</v>
      </c>
      <c r="G3352" s="33">
        <f t="shared" si="320"/>
        <v>67.426249999999996</v>
      </c>
      <c r="H3352" s="38">
        <f>SUM(G3352:G3353)</f>
        <v>174.82374999999999</v>
      </c>
      <c r="I3352" s="39"/>
      <c r="J3352" s="152">
        <v>0</v>
      </c>
      <c r="L3352" s="215">
        <v>2.5</v>
      </c>
      <c r="M3352" s="30">
        <v>23.086748</v>
      </c>
      <c r="N3352" s="33">
        <f t="shared" si="321"/>
        <v>57.71687</v>
      </c>
      <c r="O3352" s="38">
        <f>SUM(N3352:N3353)</f>
        <v>149.64912999999999</v>
      </c>
      <c r="P3352" s="36" t="str">
        <f t="shared" si="322"/>
        <v/>
      </c>
      <c r="Q3352" s="216">
        <f t="shared" si="323"/>
        <v>0.14399999999999991</v>
      </c>
      <c r="R3352" s="216">
        <f t="shared" si="324"/>
        <v>0.14399999999999991</v>
      </c>
      <c r="S3352" s="217">
        <f t="shared" si="325"/>
        <v>0.14400000000000002</v>
      </c>
    </row>
    <row r="3353" spans="1:19" ht="15.75" hidden="1" thickBot="1" x14ac:dyDescent="0.3">
      <c r="A3353" s="262"/>
      <c r="B3353" s="260"/>
      <c r="C3353" s="35" t="s">
        <v>662</v>
      </c>
      <c r="D3353" s="35" t="s">
        <v>583</v>
      </c>
      <c r="E3353" s="36">
        <v>5</v>
      </c>
      <c r="F3353" s="30">
        <v>21.479499999999998</v>
      </c>
      <c r="G3353" s="33">
        <f t="shared" si="320"/>
        <v>107.39749999999999</v>
      </c>
      <c r="H3353" s="34"/>
      <c r="I3353" s="30"/>
      <c r="J3353" s="152">
        <v>0</v>
      </c>
      <c r="L3353" s="215">
        <v>5</v>
      </c>
      <c r="M3353" s="30">
        <v>18.386451999999998</v>
      </c>
      <c r="N3353" s="33">
        <f t="shared" si="321"/>
        <v>91.932259999999985</v>
      </c>
      <c r="O3353" s="34"/>
      <c r="P3353" s="36" t="str">
        <f t="shared" si="322"/>
        <v/>
      </c>
      <c r="Q3353" s="216">
        <f t="shared" si="323"/>
        <v>0.14400000000000002</v>
      </c>
      <c r="R3353" s="216">
        <f t="shared" si="324"/>
        <v>0.14400000000000013</v>
      </c>
      <c r="S3353" s="217" t="str">
        <f t="shared" si="325"/>
        <v/>
      </c>
    </row>
    <row r="3354" spans="1:19" ht="15.75" hidden="1" thickBot="1" x14ac:dyDescent="0.3">
      <c r="A3354" s="263"/>
      <c r="B3354" s="261"/>
      <c r="C3354" s="35"/>
      <c r="D3354" s="35"/>
      <c r="E3354" s="36"/>
      <c r="F3354" s="30" t="s">
        <v>416</v>
      </c>
      <c r="G3354" s="33" t="str">
        <f t="shared" si="320"/>
        <v/>
      </c>
      <c r="H3354" s="34"/>
      <c r="I3354" s="30"/>
      <c r="J3354" s="152">
        <v>0</v>
      </c>
      <c r="L3354" s="215"/>
      <c r="M3354" s="30"/>
      <c r="N3354" s="33" t="str">
        <f t="shared" si="321"/>
        <v/>
      </c>
      <c r="O3354" s="34"/>
      <c r="P3354" s="36" t="str">
        <f t="shared" si="322"/>
        <v/>
      </c>
      <c r="Q3354" s="216" t="str">
        <f t="shared" si="323"/>
        <v/>
      </c>
      <c r="R3354" s="216" t="str">
        <f t="shared" si="324"/>
        <v/>
      </c>
      <c r="S3354" s="217" t="str">
        <f t="shared" si="325"/>
        <v/>
      </c>
    </row>
    <row r="3355" spans="1:19" ht="15.75" hidden="1" thickBot="1" x14ac:dyDescent="0.3">
      <c r="A3355" s="256" t="s">
        <v>865</v>
      </c>
      <c r="B3355" s="259" t="str">
        <f>INDEX(Orçamentária!A:B,MATCH(Composições!A3355,Orçamentária!A:A,0),2)</f>
        <v>Base registro de gaveta 1"</v>
      </c>
      <c r="C3355" s="40"/>
      <c r="D3355" s="25" t="s">
        <v>16</v>
      </c>
      <c r="E3355" s="26"/>
      <c r="F3355" s="41" t="s">
        <v>416</v>
      </c>
      <c r="G3355" s="27" t="str">
        <f t="shared" si="320"/>
        <v/>
      </c>
      <c r="H3355" s="28"/>
      <c r="I3355" s="29"/>
      <c r="J3355" s="152">
        <v>0</v>
      </c>
      <c r="L3355" s="218"/>
      <c r="M3355" s="41"/>
      <c r="N3355" s="27" t="str">
        <f t="shared" si="321"/>
        <v/>
      </c>
      <c r="O3355" s="28"/>
      <c r="P3355" s="36" t="str">
        <f t="shared" si="322"/>
        <v/>
      </c>
      <c r="Q3355" s="216" t="str">
        <f t="shared" si="323"/>
        <v/>
      </c>
      <c r="R3355" s="216" t="str">
        <f t="shared" si="324"/>
        <v/>
      </c>
      <c r="S3355" s="217" t="str">
        <f t="shared" si="325"/>
        <v/>
      </c>
    </row>
    <row r="3356" spans="1:19" ht="15.75" hidden="1" thickBot="1" x14ac:dyDescent="0.3">
      <c r="A3356" s="262"/>
      <c r="B3356" s="260"/>
      <c r="C3356" s="31"/>
      <c r="D3356" s="31"/>
      <c r="E3356" s="32"/>
      <c r="F3356" s="42" t="s">
        <v>416</v>
      </c>
      <c r="G3356" s="33" t="str">
        <f t="shared" si="320"/>
        <v/>
      </c>
      <c r="H3356" s="34"/>
      <c r="I3356" s="30"/>
      <c r="J3356" s="152">
        <v>0</v>
      </c>
      <c r="L3356" s="219"/>
      <c r="M3356" s="42"/>
      <c r="N3356" s="33" t="str">
        <f t="shared" si="321"/>
        <v/>
      </c>
      <c r="O3356" s="34"/>
      <c r="P3356" s="36" t="str">
        <f t="shared" si="322"/>
        <v/>
      </c>
      <c r="Q3356" s="216" t="str">
        <f t="shared" si="323"/>
        <v/>
      </c>
      <c r="R3356" s="216" t="str">
        <f t="shared" si="324"/>
        <v/>
      </c>
      <c r="S3356" s="217" t="str">
        <f t="shared" si="325"/>
        <v/>
      </c>
    </row>
    <row r="3357" spans="1:19" ht="26.25" hidden="1" thickBot="1" x14ac:dyDescent="0.3">
      <c r="A3357" s="262"/>
      <c r="B3357" s="260"/>
      <c r="C3357" s="35" t="s">
        <v>866</v>
      </c>
      <c r="D3357" s="46" t="s">
        <v>107</v>
      </c>
      <c r="E3357" s="36">
        <v>1</v>
      </c>
      <c r="F3357" s="30" t="s">
        <v>416</v>
      </c>
      <c r="G3357" s="33" t="str">
        <f t="shared" si="320"/>
        <v/>
      </c>
      <c r="H3357" s="38">
        <f>SUM(G3357:G3360)</f>
        <v>7.3193785499999997</v>
      </c>
      <c r="I3357" s="39"/>
      <c r="J3357" s="152">
        <v>0</v>
      </c>
      <c r="L3357" s="215">
        <v>1</v>
      </c>
      <c r="M3357" s="30"/>
      <c r="N3357" s="33" t="str">
        <f t="shared" si="321"/>
        <v/>
      </c>
      <c r="O3357" s="38">
        <f>SUM(N3357:N3360)</f>
        <v>6.2653880387999994</v>
      </c>
      <c r="P3357" s="36" t="str">
        <f t="shared" si="322"/>
        <v/>
      </c>
      <c r="Q3357" s="216" t="str">
        <f t="shared" si="323"/>
        <v/>
      </c>
      <c r="R3357" s="216" t="str">
        <f t="shared" si="324"/>
        <v/>
      </c>
      <c r="S3357" s="217">
        <f t="shared" si="325"/>
        <v>0.14400000000000002</v>
      </c>
    </row>
    <row r="3358" spans="1:19" ht="15.75" hidden="1" thickBot="1" x14ac:dyDescent="0.3">
      <c r="A3358" s="262"/>
      <c r="B3358" s="260"/>
      <c r="C3358" s="35" t="s">
        <v>244</v>
      </c>
      <c r="D3358" s="35" t="s">
        <v>213</v>
      </c>
      <c r="E3358" s="36">
        <v>1.32E-2</v>
      </c>
      <c r="F3358" s="30">
        <v>14.8865</v>
      </c>
      <c r="G3358" s="33">
        <f t="shared" si="320"/>
        <v>0.1965018</v>
      </c>
      <c r="H3358" s="34"/>
      <c r="I3358" s="30"/>
      <c r="J3358" s="152">
        <v>0</v>
      </c>
      <c r="L3358" s="215">
        <v>1.32E-2</v>
      </c>
      <c r="M3358" s="30">
        <v>12.742844</v>
      </c>
      <c r="N3358" s="33">
        <f t="shared" si="321"/>
        <v>0.1682055408</v>
      </c>
      <c r="O3358" s="34"/>
      <c r="P3358" s="36" t="str">
        <f t="shared" si="322"/>
        <v/>
      </c>
      <c r="Q3358" s="216">
        <f t="shared" si="323"/>
        <v>0.14400000000000002</v>
      </c>
      <c r="R3358" s="216">
        <f t="shared" si="324"/>
        <v>0.14400000000000002</v>
      </c>
      <c r="S3358" s="217" t="str">
        <f t="shared" si="325"/>
        <v/>
      </c>
    </row>
    <row r="3359" spans="1:19" ht="26.25" hidden="1" thickBot="1" x14ac:dyDescent="0.3">
      <c r="A3359" s="262"/>
      <c r="B3359" s="260"/>
      <c r="C3359" s="35" t="s">
        <v>825</v>
      </c>
      <c r="D3359" s="35" t="s">
        <v>583</v>
      </c>
      <c r="E3359" s="36">
        <v>0.14849999999999999</v>
      </c>
      <c r="F3359" s="30">
        <v>26.799499999999998</v>
      </c>
      <c r="G3359" s="33">
        <f t="shared" si="320"/>
        <v>3.9797257499999996</v>
      </c>
      <c r="H3359" s="34"/>
      <c r="I3359" s="30"/>
      <c r="J3359" s="152">
        <v>0</v>
      </c>
      <c r="L3359" s="215">
        <v>0.14849999999999999</v>
      </c>
      <c r="M3359" s="30">
        <v>22.940372</v>
      </c>
      <c r="N3359" s="33">
        <f t="shared" si="321"/>
        <v>3.4066452419999997</v>
      </c>
      <c r="O3359" s="34"/>
      <c r="P3359" s="36" t="str">
        <f t="shared" si="322"/>
        <v/>
      </c>
      <c r="Q3359" s="216">
        <f t="shared" si="323"/>
        <v>0.14399999999999991</v>
      </c>
      <c r="R3359" s="216">
        <f t="shared" si="324"/>
        <v>0.14400000000000002</v>
      </c>
      <c r="S3359" s="217" t="str">
        <f t="shared" si="325"/>
        <v/>
      </c>
    </row>
    <row r="3360" spans="1:19" ht="26.25" hidden="1" thickBot="1" x14ac:dyDescent="0.3">
      <c r="A3360" s="262"/>
      <c r="B3360" s="260"/>
      <c r="C3360" s="35" t="s">
        <v>824</v>
      </c>
      <c r="D3360" s="35" t="s">
        <v>583</v>
      </c>
      <c r="E3360" s="36">
        <v>0.14849999999999999</v>
      </c>
      <c r="F3360" s="30">
        <v>21.166</v>
      </c>
      <c r="G3360" s="33">
        <f t="shared" si="320"/>
        <v>3.143151</v>
      </c>
      <c r="H3360" s="34"/>
      <c r="I3360" s="30"/>
      <c r="J3360" s="152">
        <v>0</v>
      </c>
      <c r="L3360" s="215">
        <v>0.14849999999999999</v>
      </c>
      <c r="M3360" s="30">
        <v>18.118096000000001</v>
      </c>
      <c r="N3360" s="33">
        <f t="shared" si="321"/>
        <v>2.6905372560000003</v>
      </c>
      <c r="O3360" s="34"/>
      <c r="P3360" s="36" t="str">
        <f t="shared" si="322"/>
        <v/>
      </c>
      <c r="Q3360" s="216">
        <f t="shared" si="323"/>
        <v>0.14399999999999991</v>
      </c>
      <c r="R3360" s="216">
        <f t="shared" si="324"/>
        <v>0.14399999999999991</v>
      </c>
      <c r="S3360" s="217" t="str">
        <f t="shared" si="325"/>
        <v/>
      </c>
    </row>
    <row r="3361" spans="1:19" ht="15.75" hidden="1" thickBot="1" x14ac:dyDescent="0.3">
      <c r="A3361" s="263"/>
      <c r="B3361" s="261"/>
      <c r="C3361" s="35"/>
      <c r="D3361" s="35"/>
      <c r="E3361" s="36"/>
      <c r="F3361" s="30" t="s">
        <v>416</v>
      </c>
      <c r="G3361" s="33" t="str">
        <f t="shared" si="320"/>
        <v/>
      </c>
      <c r="H3361" s="34"/>
      <c r="I3361" s="30"/>
      <c r="J3361" s="152">
        <v>0</v>
      </c>
      <c r="L3361" s="215"/>
      <c r="M3361" s="30"/>
      <c r="N3361" s="33" t="str">
        <f t="shared" si="321"/>
        <v/>
      </c>
      <c r="O3361" s="34"/>
      <c r="P3361" s="36" t="str">
        <f t="shared" si="322"/>
        <v/>
      </c>
      <c r="Q3361" s="216" t="str">
        <f t="shared" si="323"/>
        <v/>
      </c>
      <c r="R3361" s="216" t="str">
        <f t="shared" si="324"/>
        <v/>
      </c>
      <c r="S3361" s="217" t="str">
        <f t="shared" si="325"/>
        <v/>
      </c>
    </row>
    <row r="3362" spans="1:19" ht="15.75" hidden="1" thickBot="1" x14ac:dyDescent="0.3">
      <c r="A3362" s="256" t="s">
        <v>867</v>
      </c>
      <c r="B3362" s="259" t="str">
        <f>INDEX(Orçamentária!A:B,MATCH(Composições!A3362,Orçamentária!A:A,0),2)</f>
        <v>Base registro de pressão 3/4"</v>
      </c>
      <c r="C3362" s="40"/>
      <c r="D3362" s="25" t="s">
        <v>16</v>
      </c>
      <c r="E3362" s="26"/>
      <c r="F3362" s="41" t="s">
        <v>416</v>
      </c>
      <c r="G3362" s="27" t="str">
        <f t="shared" si="320"/>
        <v/>
      </c>
      <c r="H3362" s="28"/>
      <c r="I3362" s="29"/>
      <c r="J3362" s="152">
        <v>0</v>
      </c>
      <c r="L3362" s="218"/>
      <c r="M3362" s="41"/>
      <c r="N3362" s="27" t="str">
        <f t="shared" si="321"/>
        <v/>
      </c>
      <c r="O3362" s="28"/>
      <c r="P3362" s="36" t="str">
        <f t="shared" si="322"/>
        <v/>
      </c>
      <c r="Q3362" s="216" t="str">
        <f t="shared" si="323"/>
        <v/>
      </c>
      <c r="R3362" s="216" t="str">
        <f t="shared" si="324"/>
        <v/>
      </c>
      <c r="S3362" s="217" t="str">
        <f t="shared" si="325"/>
        <v/>
      </c>
    </row>
    <row r="3363" spans="1:19" ht="15.75" hidden="1" thickBot="1" x14ac:dyDescent="0.3">
      <c r="A3363" s="262"/>
      <c r="B3363" s="260"/>
      <c r="C3363" s="31"/>
      <c r="D3363" s="31"/>
      <c r="E3363" s="32"/>
      <c r="F3363" s="42" t="s">
        <v>416</v>
      </c>
      <c r="G3363" s="33" t="str">
        <f t="shared" si="320"/>
        <v/>
      </c>
      <c r="H3363" s="34"/>
      <c r="I3363" s="30"/>
      <c r="J3363" s="152">
        <v>0</v>
      </c>
      <c r="L3363" s="219"/>
      <c r="M3363" s="42"/>
      <c r="N3363" s="33" t="str">
        <f t="shared" si="321"/>
        <v/>
      </c>
      <c r="O3363" s="34"/>
      <c r="P3363" s="36" t="str">
        <f t="shared" si="322"/>
        <v/>
      </c>
      <c r="Q3363" s="216" t="str">
        <f t="shared" si="323"/>
        <v/>
      </c>
      <c r="R3363" s="216" t="str">
        <f t="shared" si="324"/>
        <v/>
      </c>
      <c r="S3363" s="217" t="str">
        <f t="shared" si="325"/>
        <v/>
      </c>
    </row>
    <row r="3364" spans="1:19" ht="15.75" hidden="1" thickBot="1" x14ac:dyDescent="0.3">
      <c r="A3364" s="262"/>
      <c r="B3364" s="260"/>
      <c r="C3364" s="35" t="s">
        <v>244</v>
      </c>
      <c r="D3364" s="35" t="s">
        <v>213</v>
      </c>
      <c r="E3364" s="36">
        <v>1.06E-2</v>
      </c>
      <c r="F3364" s="30">
        <v>14.8865</v>
      </c>
      <c r="G3364" s="33">
        <f t="shared" si="320"/>
        <v>0.15779689999999999</v>
      </c>
      <c r="H3364" s="38">
        <f>SUM(G3364:G3367)</f>
        <v>5.4435950000000002</v>
      </c>
      <c r="I3364" s="39"/>
      <c r="J3364" s="152">
        <v>0</v>
      </c>
      <c r="L3364" s="215">
        <v>1.06E-2</v>
      </c>
      <c r="M3364" s="30">
        <v>12.742844</v>
      </c>
      <c r="N3364" s="33">
        <f t="shared" si="321"/>
        <v>0.13507414640000001</v>
      </c>
      <c r="O3364" s="38">
        <f>SUM(N3364:N3367)</f>
        <v>4.6597173200000004</v>
      </c>
      <c r="P3364" s="36" t="str">
        <f t="shared" si="322"/>
        <v/>
      </c>
      <c r="Q3364" s="216">
        <f t="shared" si="323"/>
        <v>0.14400000000000002</v>
      </c>
      <c r="R3364" s="216">
        <f t="shared" si="324"/>
        <v>0.14399999999999991</v>
      </c>
      <c r="S3364" s="217">
        <f t="shared" si="325"/>
        <v>0.14399999999999991</v>
      </c>
    </row>
    <row r="3365" spans="1:19" ht="26.25" hidden="1" thickBot="1" x14ac:dyDescent="0.3">
      <c r="A3365" s="262"/>
      <c r="B3365" s="260"/>
      <c r="C3365" s="35" t="s">
        <v>868</v>
      </c>
      <c r="D3365" s="46" t="s">
        <v>107</v>
      </c>
      <c r="E3365" s="36">
        <v>1</v>
      </c>
      <c r="F3365" s="30" t="s">
        <v>416</v>
      </c>
      <c r="G3365" s="33" t="str">
        <f t="shared" si="320"/>
        <v/>
      </c>
      <c r="H3365" s="34"/>
      <c r="I3365" s="30"/>
      <c r="J3365" s="152">
        <v>0</v>
      </c>
      <c r="L3365" s="215">
        <v>1</v>
      </c>
      <c r="M3365" s="30"/>
      <c r="N3365" s="33" t="str">
        <f t="shared" si="321"/>
        <v/>
      </c>
      <c r="O3365" s="34"/>
      <c r="P3365" s="36" t="str">
        <f t="shared" si="322"/>
        <v/>
      </c>
      <c r="Q3365" s="216" t="str">
        <f t="shared" si="323"/>
        <v/>
      </c>
      <c r="R3365" s="216" t="str">
        <f t="shared" si="324"/>
        <v/>
      </c>
      <c r="S3365" s="217" t="str">
        <f t="shared" si="325"/>
        <v/>
      </c>
    </row>
    <row r="3366" spans="1:19" ht="26.25" hidden="1" thickBot="1" x14ac:dyDescent="0.3">
      <c r="A3366" s="262"/>
      <c r="B3366" s="260"/>
      <c r="C3366" s="35" t="s">
        <v>824</v>
      </c>
      <c r="D3366" s="35" t="s">
        <v>583</v>
      </c>
      <c r="E3366" s="36">
        <v>0.11020000000000001</v>
      </c>
      <c r="F3366" s="30">
        <v>21.166</v>
      </c>
      <c r="G3366" s="33">
        <f t="shared" si="320"/>
        <v>2.3324932</v>
      </c>
      <c r="H3366" s="34"/>
      <c r="I3366" s="30"/>
      <c r="J3366" s="152">
        <v>0</v>
      </c>
      <c r="L3366" s="215">
        <v>0.11020000000000001</v>
      </c>
      <c r="M3366" s="30">
        <v>18.118096000000001</v>
      </c>
      <c r="N3366" s="33">
        <f t="shared" si="321"/>
        <v>1.9966141792000003</v>
      </c>
      <c r="O3366" s="34"/>
      <c r="P3366" s="36" t="str">
        <f t="shared" si="322"/>
        <v/>
      </c>
      <c r="Q3366" s="216">
        <f t="shared" si="323"/>
        <v>0.14399999999999991</v>
      </c>
      <c r="R3366" s="216">
        <f t="shared" si="324"/>
        <v>0.14399999999999991</v>
      </c>
      <c r="S3366" s="217" t="str">
        <f t="shared" si="325"/>
        <v/>
      </c>
    </row>
    <row r="3367" spans="1:19" ht="26.25" hidden="1" thickBot="1" x14ac:dyDescent="0.3">
      <c r="A3367" s="262"/>
      <c r="B3367" s="260"/>
      <c r="C3367" s="35" t="s">
        <v>825</v>
      </c>
      <c r="D3367" s="35" t="s">
        <v>583</v>
      </c>
      <c r="E3367" s="36">
        <v>0.11020000000000001</v>
      </c>
      <c r="F3367" s="30">
        <v>26.799499999999998</v>
      </c>
      <c r="G3367" s="33">
        <f t="shared" si="320"/>
        <v>2.9533049</v>
      </c>
      <c r="H3367" s="34"/>
      <c r="I3367" s="30"/>
      <c r="J3367" s="152">
        <v>0</v>
      </c>
      <c r="L3367" s="215">
        <v>0.11020000000000001</v>
      </c>
      <c r="M3367" s="30">
        <v>22.940372</v>
      </c>
      <c r="N3367" s="33">
        <f t="shared" si="321"/>
        <v>2.5280289944000001</v>
      </c>
      <c r="O3367" s="34"/>
      <c r="P3367" s="36" t="str">
        <f t="shared" si="322"/>
        <v/>
      </c>
      <c r="Q3367" s="216">
        <f t="shared" si="323"/>
        <v>0.14399999999999991</v>
      </c>
      <c r="R3367" s="216">
        <f t="shared" si="324"/>
        <v>0.14400000000000002</v>
      </c>
      <c r="S3367" s="217" t="str">
        <f t="shared" si="325"/>
        <v/>
      </c>
    </row>
    <row r="3368" spans="1:19" ht="15.75" hidden="1" thickBot="1" x14ac:dyDescent="0.3">
      <c r="A3368" s="263"/>
      <c r="B3368" s="261"/>
      <c r="C3368" s="35"/>
      <c r="D3368" s="35"/>
      <c r="E3368" s="36"/>
      <c r="F3368" s="30" t="s">
        <v>416</v>
      </c>
      <c r="G3368" s="33" t="str">
        <f t="shared" si="320"/>
        <v/>
      </c>
      <c r="H3368" s="34"/>
      <c r="I3368" s="30"/>
      <c r="J3368" s="152">
        <v>0</v>
      </c>
      <c r="L3368" s="215"/>
      <c r="M3368" s="30"/>
      <c r="N3368" s="33" t="str">
        <f t="shared" si="321"/>
        <v/>
      </c>
      <c r="O3368" s="34"/>
      <c r="P3368" s="36" t="str">
        <f t="shared" si="322"/>
        <v/>
      </c>
      <c r="Q3368" s="216" t="str">
        <f t="shared" si="323"/>
        <v/>
      </c>
      <c r="R3368" s="216" t="str">
        <f t="shared" si="324"/>
        <v/>
      </c>
      <c r="S3368" s="217" t="str">
        <f t="shared" si="325"/>
        <v/>
      </c>
    </row>
    <row r="3369" spans="1:19" ht="15.75" hidden="1" thickBot="1" x14ac:dyDescent="0.3">
      <c r="A3369" s="256" t="s">
        <v>869</v>
      </c>
      <c r="B3369" s="259" t="str">
        <f>INDEX(Orçamentária!A:B,MATCH(Composições!A3369,Orçamentária!A:A,0),2)</f>
        <v>Tampa em ferro fundido T-33</v>
      </c>
      <c r="C3369" s="40"/>
      <c r="D3369" s="25" t="s">
        <v>16</v>
      </c>
      <c r="E3369" s="26"/>
      <c r="F3369" s="41" t="s">
        <v>416</v>
      </c>
      <c r="G3369" s="27" t="str">
        <f t="shared" si="320"/>
        <v/>
      </c>
      <c r="H3369" s="28"/>
      <c r="I3369" s="29"/>
      <c r="J3369" s="152">
        <v>0</v>
      </c>
      <c r="L3369" s="218"/>
      <c r="M3369" s="41"/>
      <c r="N3369" s="27" t="str">
        <f t="shared" si="321"/>
        <v/>
      </c>
      <c r="O3369" s="28"/>
      <c r="P3369" s="36" t="str">
        <f t="shared" si="322"/>
        <v/>
      </c>
      <c r="Q3369" s="216" t="str">
        <f t="shared" si="323"/>
        <v/>
      </c>
      <c r="R3369" s="216" t="str">
        <f t="shared" si="324"/>
        <v/>
      </c>
      <c r="S3369" s="217" t="str">
        <f t="shared" si="325"/>
        <v/>
      </c>
    </row>
    <row r="3370" spans="1:19" ht="15.75" hidden="1" thickBot="1" x14ac:dyDescent="0.3">
      <c r="A3370" s="262"/>
      <c r="B3370" s="260"/>
      <c r="C3370" s="31"/>
      <c r="D3370" s="31"/>
      <c r="E3370" s="32"/>
      <c r="F3370" s="42" t="s">
        <v>416</v>
      </c>
      <c r="G3370" s="33" t="str">
        <f t="shared" si="320"/>
        <v/>
      </c>
      <c r="H3370" s="34"/>
      <c r="I3370" s="30"/>
      <c r="J3370" s="152">
        <v>0</v>
      </c>
      <c r="L3370" s="219"/>
      <c r="M3370" s="42"/>
      <c r="N3370" s="33" t="str">
        <f t="shared" si="321"/>
        <v/>
      </c>
      <c r="O3370" s="34"/>
      <c r="P3370" s="36" t="str">
        <f t="shared" si="322"/>
        <v/>
      </c>
      <c r="Q3370" s="216" t="str">
        <f t="shared" si="323"/>
        <v/>
      </c>
      <c r="R3370" s="216" t="str">
        <f t="shared" si="324"/>
        <v/>
      </c>
      <c r="S3370" s="217" t="str">
        <f t="shared" si="325"/>
        <v/>
      </c>
    </row>
    <row r="3371" spans="1:19" ht="26.25" hidden="1" thickBot="1" x14ac:dyDescent="0.3">
      <c r="A3371" s="262"/>
      <c r="B3371" s="260"/>
      <c r="C3371" s="35" t="s">
        <v>870</v>
      </c>
      <c r="D3371" s="35" t="s">
        <v>213</v>
      </c>
      <c r="E3371" s="36">
        <v>1</v>
      </c>
      <c r="F3371" s="30">
        <v>237.12950000000001</v>
      </c>
      <c r="G3371" s="33">
        <f t="shared" si="320"/>
        <v>237.12950000000001</v>
      </c>
      <c r="H3371" s="38">
        <f>SUM(G3371:G3374)</f>
        <v>283.45571341458941</v>
      </c>
      <c r="I3371" s="39"/>
      <c r="J3371" s="152">
        <v>0</v>
      </c>
      <c r="L3371" s="215">
        <v>1</v>
      </c>
      <c r="M3371" s="30">
        <v>202.98285200000001</v>
      </c>
      <c r="N3371" s="33">
        <f t="shared" si="321"/>
        <v>202.98285200000001</v>
      </c>
      <c r="O3371" s="38">
        <f>SUM(N3371:N3374)</f>
        <v>242.63809068288853</v>
      </c>
      <c r="P3371" s="36" t="str">
        <f t="shared" si="322"/>
        <v/>
      </c>
      <c r="Q3371" s="216">
        <f t="shared" si="323"/>
        <v>0.14400000000000002</v>
      </c>
      <c r="R3371" s="216">
        <f t="shared" si="324"/>
        <v>0.14400000000000002</v>
      </c>
      <c r="S3371" s="217">
        <f t="shared" si="325"/>
        <v>0.14400000000000002</v>
      </c>
    </row>
    <row r="3372" spans="1:19" ht="26.25" hidden="1" thickBot="1" x14ac:dyDescent="0.3">
      <c r="A3372" s="262"/>
      <c r="B3372" s="260"/>
      <c r="C3372" s="35" t="s">
        <v>2898</v>
      </c>
      <c r="D3372" s="46" t="s">
        <v>87</v>
      </c>
      <c r="E3372" s="36">
        <v>4.4000000000000003E-3</v>
      </c>
      <c r="F3372" s="30">
        <v>657.09798058849992</v>
      </c>
      <c r="G3372" s="33">
        <f t="shared" ref="G3372:G3435" si="326">IF(ISNUMBER(F3372),E3372*F3372,"")</f>
        <v>2.8912311145893996</v>
      </c>
      <c r="H3372" s="34"/>
      <c r="I3372" s="30"/>
      <c r="J3372" s="152">
        <v>0</v>
      </c>
      <c r="L3372" s="215">
        <v>4.4000000000000003E-3</v>
      </c>
      <c r="M3372" s="30">
        <v>562.47587138375593</v>
      </c>
      <c r="N3372" s="33">
        <f t="shared" ref="N3372:N3435" si="327">IF(ISNUMBER(M3372),L3372*M3372,"")</f>
        <v>2.474893834088526</v>
      </c>
      <c r="O3372" s="34"/>
      <c r="P3372" s="36" t="str">
        <f t="shared" si="322"/>
        <v/>
      </c>
      <c r="Q3372" s="216">
        <f t="shared" si="323"/>
        <v>0.14400000000000002</v>
      </c>
      <c r="R3372" s="216">
        <f t="shared" si="324"/>
        <v>0.14400000000000002</v>
      </c>
      <c r="S3372" s="217" t="str">
        <f t="shared" si="325"/>
        <v/>
      </c>
    </row>
    <row r="3373" spans="1:19" ht="15.75" hidden="1" thickBot="1" x14ac:dyDescent="0.3">
      <c r="A3373" s="262"/>
      <c r="B3373" s="260"/>
      <c r="C3373" s="35" t="s">
        <v>591</v>
      </c>
      <c r="D3373" s="35" t="s">
        <v>583</v>
      </c>
      <c r="E3373" s="36">
        <v>1.0088999999999999</v>
      </c>
      <c r="F3373" s="30">
        <v>27.160499999999999</v>
      </c>
      <c r="G3373" s="33">
        <f t="shared" si="326"/>
        <v>27.402228449999996</v>
      </c>
      <c r="H3373" s="34"/>
      <c r="I3373" s="30"/>
      <c r="J3373" s="152">
        <v>0</v>
      </c>
      <c r="L3373" s="215">
        <v>1.0088999999999999</v>
      </c>
      <c r="M3373" s="30">
        <v>23.249388</v>
      </c>
      <c r="N3373" s="33">
        <f t="shared" si="327"/>
        <v>23.456307553199998</v>
      </c>
      <c r="O3373" s="34"/>
      <c r="P3373" s="36" t="str">
        <f t="shared" si="322"/>
        <v/>
      </c>
      <c r="Q3373" s="216">
        <f t="shared" si="323"/>
        <v>0.14400000000000002</v>
      </c>
      <c r="R3373" s="216">
        <f t="shared" si="324"/>
        <v>0.14399999999999991</v>
      </c>
      <c r="S3373" s="217" t="str">
        <f t="shared" si="325"/>
        <v/>
      </c>
    </row>
    <row r="3374" spans="1:19" ht="15.75" hidden="1" thickBot="1" x14ac:dyDescent="0.3">
      <c r="A3374" s="262"/>
      <c r="B3374" s="260"/>
      <c r="C3374" s="35" t="s">
        <v>584</v>
      </c>
      <c r="D3374" s="35" t="s">
        <v>583</v>
      </c>
      <c r="E3374" s="36">
        <v>0.79269999999999996</v>
      </c>
      <c r="F3374" s="30">
        <v>20.225499999999997</v>
      </c>
      <c r="G3374" s="33">
        <f t="shared" si="326"/>
        <v>16.032753849999995</v>
      </c>
      <c r="H3374" s="34"/>
      <c r="I3374" s="30"/>
      <c r="J3374" s="152">
        <v>0</v>
      </c>
      <c r="L3374" s="215">
        <v>0.79269999999999996</v>
      </c>
      <c r="M3374" s="30">
        <v>17.313027999999996</v>
      </c>
      <c r="N3374" s="33">
        <f t="shared" si="327"/>
        <v>13.724037295599995</v>
      </c>
      <c r="O3374" s="34"/>
      <c r="P3374" s="36" t="str">
        <f t="shared" si="322"/>
        <v/>
      </c>
      <c r="Q3374" s="216">
        <f t="shared" si="323"/>
        <v>0.14400000000000013</v>
      </c>
      <c r="R3374" s="216">
        <f t="shared" si="324"/>
        <v>0.14400000000000002</v>
      </c>
      <c r="S3374" s="217" t="str">
        <f t="shared" si="325"/>
        <v/>
      </c>
    </row>
    <row r="3375" spans="1:19" ht="15.75" hidden="1" thickBot="1" x14ac:dyDescent="0.3">
      <c r="A3375" s="263"/>
      <c r="B3375" s="261"/>
      <c r="C3375" s="54"/>
      <c r="D3375" s="54"/>
      <c r="E3375" s="65"/>
      <c r="F3375" s="66" t="s">
        <v>416</v>
      </c>
      <c r="G3375" s="67" t="str">
        <f t="shared" si="326"/>
        <v/>
      </c>
      <c r="H3375" s="68"/>
      <c r="I3375" s="30"/>
      <c r="J3375" s="152">
        <v>0</v>
      </c>
      <c r="L3375" s="222"/>
      <c r="M3375" s="66"/>
      <c r="N3375" s="67" t="str">
        <f t="shared" si="327"/>
        <v/>
      </c>
      <c r="O3375" s="68"/>
      <c r="P3375" s="36" t="str">
        <f t="shared" si="322"/>
        <v/>
      </c>
      <c r="Q3375" s="216" t="str">
        <f t="shared" si="323"/>
        <v/>
      </c>
      <c r="R3375" s="216" t="str">
        <f t="shared" si="324"/>
        <v/>
      </c>
      <c r="S3375" s="217" t="str">
        <f t="shared" si="325"/>
        <v/>
      </c>
    </row>
    <row r="3376" spans="1:19" ht="15.75" hidden="1" thickBot="1" x14ac:dyDescent="0.3">
      <c r="A3376" s="257" t="s">
        <v>872</v>
      </c>
      <c r="B3376" s="260" t="str">
        <f>INDEX(Orçamentária!A:B,MATCH(Composições!A3376,Orçamentária!A:A,0),2)</f>
        <v>Arquiteto(a) com experiência em intervenção no patrimônio cultural</v>
      </c>
      <c r="C3376" s="156"/>
      <c r="D3376" s="25" t="s">
        <v>1286</v>
      </c>
      <c r="E3376" s="69"/>
      <c r="F3376" s="70" t="s">
        <v>416</v>
      </c>
      <c r="G3376" s="70" t="str">
        <f t="shared" si="326"/>
        <v/>
      </c>
      <c r="H3376" s="71"/>
      <c r="I3376" s="29"/>
      <c r="J3376" s="152">
        <v>0</v>
      </c>
      <c r="L3376" s="223"/>
      <c r="M3376" s="70"/>
      <c r="N3376" s="70" t="str">
        <f t="shared" si="327"/>
        <v/>
      </c>
      <c r="O3376" s="71"/>
      <c r="P3376" s="36" t="str">
        <f t="shared" si="322"/>
        <v/>
      </c>
      <c r="Q3376" s="216" t="str">
        <f t="shared" si="323"/>
        <v/>
      </c>
      <c r="R3376" s="216" t="str">
        <f t="shared" si="324"/>
        <v/>
      </c>
      <c r="S3376" s="217" t="str">
        <f t="shared" si="325"/>
        <v/>
      </c>
    </row>
    <row r="3377" spans="1:19" ht="15.75" hidden="1" thickBot="1" x14ac:dyDescent="0.3">
      <c r="A3377" s="262"/>
      <c r="B3377" s="260"/>
      <c r="C3377" s="31"/>
      <c r="D3377" s="31"/>
      <c r="E3377" s="32"/>
      <c r="F3377" s="30" t="s">
        <v>416</v>
      </c>
      <c r="G3377" s="33" t="str">
        <f t="shared" si="326"/>
        <v/>
      </c>
      <c r="H3377" s="34"/>
      <c r="I3377" s="30"/>
      <c r="J3377" s="152">
        <v>0</v>
      </c>
      <c r="L3377" s="219"/>
      <c r="M3377" s="30"/>
      <c r="N3377" s="33" t="str">
        <f t="shared" si="327"/>
        <v/>
      </c>
      <c r="O3377" s="34"/>
      <c r="P3377" s="36" t="str">
        <f t="shared" si="322"/>
        <v/>
      </c>
      <c r="Q3377" s="216" t="str">
        <f t="shared" si="323"/>
        <v/>
      </c>
      <c r="R3377" s="216" t="str">
        <f t="shared" si="324"/>
        <v/>
      </c>
      <c r="S3377" s="217" t="str">
        <f t="shared" si="325"/>
        <v/>
      </c>
    </row>
    <row r="3378" spans="1:19" ht="15.75" hidden="1" thickBot="1" x14ac:dyDescent="0.3">
      <c r="A3378" s="262"/>
      <c r="B3378" s="260"/>
      <c r="C3378" s="35" t="s">
        <v>2910</v>
      </c>
      <c r="D3378" s="35" t="s">
        <v>583</v>
      </c>
      <c r="E3378" s="36">
        <v>1</v>
      </c>
      <c r="F3378" s="30">
        <v>108.16699999999999</v>
      </c>
      <c r="G3378" s="33">
        <f t="shared" si="326"/>
        <v>108.16699999999999</v>
      </c>
      <c r="H3378" s="38">
        <f>SUM(G3378:G3378)</f>
        <v>108.16699999999999</v>
      </c>
      <c r="I3378" s="39"/>
      <c r="J3378" s="152">
        <v>0</v>
      </c>
      <c r="L3378" s="215">
        <v>1</v>
      </c>
      <c r="M3378" s="30">
        <v>92.590951999999987</v>
      </c>
      <c r="N3378" s="33">
        <f t="shared" si="327"/>
        <v>92.590951999999987</v>
      </c>
      <c r="O3378" s="38">
        <f>SUM(N3378:N3378)</f>
        <v>92.590951999999987</v>
      </c>
      <c r="P3378" s="36" t="str">
        <f t="shared" si="322"/>
        <v/>
      </c>
      <c r="Q3378" s="216">
        <f t="shared" si="323"/>
        <v>0.14400000000000002</v>
      </c>
      <c r="R3378" s="216">
        <f t="shared" si="324"/>
        <v>0.14400000000000002</v>
      </c>
      <c r="S3378" s="217">
        <f t="shared" si="325"/>
        <v>0.14400000000000002</v>
      </c>
    </row>
    <row r="3379" spans="1:19" ht="15.75" hidden="1" thickBot="1" x14ac:dyDescent="0.3">
      <c r="A3379" s="263"/>
      <c r="B3379" s="261"/>
      <c r="C3379" s="35"/>
      <c r="D3379" s="35"/>
      <c r="E3379" s="36"/>
      <c r="F3379" s="30" t="s">
        <v>416</v>
      </c>
      <c r="G3379" s="33" t="str">
        <f t="shared" si="326"/>
        <v/>
      </c>
      <c r="H3379" s="34"/>
      <c r="I3379" s="30"/>
      <c r="J3379" s="152">
        <v>0</v>
      </c>
      <c r="L3379" s="215"/>
      <c r="M3379" s="30"/>
      <c r="N3379" s="33" t="str">
        <f t="shared" si="327"/>
        <v/>
      </c>
      <c r="O3379" s="34"/>
      <c r="P3379" s="36" t="str">
        <f t="shared" si="322"/>
        <v/>
      </c>
      <c r="Q3379" s="216" t="str">
        <f t="shared" si="323"/>
        <v/>
      </c>
      <c r="R3379" s="216" t="str">
        <f t="shared" si="324"/>
        <v/>
      </c>
      <c r="S3379" s="217" t="str">
        <f t="shared" si="325"/>
        <v/>
      </c>
    </row>
    <row r="3380" spans="1:19" ht="15.75" hidden="1" thickBot="1" x14ac:dyDescent="0.3">
      <c r="A3380" s="256" t="s">
        <v>873</v>
      </c>
      <c r="B3380" s="259" t="str">
        <f>INDEX(Orçamentária!A:B,MATCH(Composições!A3380,Orçamentária!A:A,0),2)</f>
        <v>Locação de andaime suspenso tipo leve</v>
      </c>
      <c r="C3380" s="40"/>
      <c r="D3380" s="25" t="s">
        <v>8575</v>
      </c>
      <c r="E3380" s="26"/>
      <c r="F3380" s="41" t="s">
        <v>416</v>
      </c>
      <c r="G3380" s="27" t="str">
        <f t="shared" si="326"/>
        <v/>
      </c>
      <c r="H3380" s="28"/>
      <c r="I3380" s="29"/>
      <c r="J3380" s="152">
        <v>0</v>
      </c>
      <c r="L3380" s="218"/>
      <c r="M3380" s="41"/>
      <c r="N3380" s="27" t="str">
        <f t="shared" si="327"/>
        <v/>
      </c>
      <c r="O3380" s="28"/>
      <c r="P3380" s="36" t="str">
        <f t="shared" si="322"/>
        <v/>
      </c>
      <c r="Q3380" s="216" t="str">
        <f t="shared" si="323"/>
        <v/>
      </c>
      <c r="R3380" s="216" t="str">
        <f t="shared" si="324"/>
        <v/>
      </c>
      <c r="S3380" s="217" t="str">
        <f t="shared" si="325"/>
        <v/>
      </c>
    </row>
    <row r="3381" spans="1:19" ht="15.75" hidden="1" thickBot="1" x14ac:dyDescent="0.3">
      <c r="A3381" s="257"/>
      <c r="B3381" s="260"/>
      <c r="C3381" s="31"/>
      <c r="D3381" s="31"/>
      <c r="E3381" s="32"/>
      <c r="F3381" s="42" t="s">
        <v>416</v>
      </c>
      <c r="G3381" s="33" t="str">
        <f t="shared" si="326"/>
        <v/>
      </c>
      <c r="H3381" s="34"/>
      <c r="I3381" s="30"/>
      <c r="J3381" s="152">
        <v>0</v>
      </c>
      <c r="L3381" s="219"/>
      <c r="M3381" s="42"/>
      <c r="N3381" s="33" t="str">
        <f t="shared" si="327"/>
        <v/>
      </c>
      <c r="O3381" s="34"/>
      <c r="P3381" s="36" t="str">
        <f t="shared" si="322"/>
        <v/>
      </c>
      <c r="Q3381" s="216" t="str">
        <f t="shared" si="323"/>
        <v/>
      </c>
      <c r="R3381" s="216" t="str">
        <f t="shared" si="324"/>
        <v/>
      </c>
      <c r="S3381" s="217" t="str">
        <f t="shared" si="325"/>
        <v/>
      </c>
    </row>
    <row r="3382" spans="1:19" ht="39" hidden="1" thickBot="1" x14ac:dyDescent="0.3">
      <c r="A3382" s="257"/>
      <c r="B3382" s="260"/>
      <c r="C3382" s="35" t="s">
        <v>874</v>
      </c>
      <c r="D3382" s="35" t="s">
        <v>93</v>
      </c>
      <c r="E3382" s="36">
        <v>1</v>
      </c>
      <c r="F3382" s="30">
        <v>581.4855</v>
      </c>
      <c r="G3382" s="33">
        <f t="shared" si="326"/>
        <v>581.4855</v>
      </c>
      <c r="H3382" s="38">
        <f>SUM(G3382:G3382)</f>
        <v>581.4855</v>
      </c>
      <c r="I3382" s="39"/>
      <c r="J3382" s="152">
        <v>0</v>
      </c>
      <c r="L3382" s="215">
        <v>1</v>
      </c>
      <c r="M3382" s="30">
        <v>497.75158800000003</v>
      </c>
      <c r="N3382" s="33">
        <f t="shared" si="327"/>
        <v>497.75158800000003</v>
      </c>
      <c r="O3382" s="38">
        <f>SUM(N3382:N3382)</f>
        <v>497.75158800000003</v>
      </c>
      <c r="P3382" s="36" t="str">
        <f t="shared" si="322"/>
        <v/>
      </c>
      <c r="Q3382" s="216">
        <f t="shared" si="323"/>
        <v>0.14399999999999991</v>
      </c>
      <c r="R3382" s="216">
        <f t="shared" si="324"/>
        <v>0.14399999999999991</v>
      </c>
      <c r="S3382" s="217">
        <f t="shared" si="325"/>
        <v>0.14399999999999991</v>
      </c>
    </row>
    <row r="3383" spans="1:19" ht="15.75" hidden="1" thickBot="1" x14ac:dyDescent="0.3">
      <c r="A3383" s="258"/>
      <c r="B3383" s="261"/>
      <c r="C3383" s="35"/>
      <c r="D3383" s="35"/>
      <c r="E3383" s="36"/>
      <c r="F3383" s="30" t="s">
        <v>416</v>
      </c>
      <c r="G3383" s="33" t="str">
        <f t="shared" si="326"/>
        <v/>
      </c>
      <c r="H3383" s="34"/>
      <c r="I3383" s="30"/>
      <c r="J3383" s="152">
        <v>0</v>
      </c>
      <c r="L3383" s="215"/>
      <c r="M3383" s="30"/>
      <c r="N3383" s="33" t="str">
        <f t="shared" si="327"/>
        <v/>
      </c>
      <c r="O3383" s="34"/>
      <c r="P3383" s="36" t="str">
        <f t="shared" si="322"/>
        <v/>
      </c>
      <c r="Q3383" s="216" t="str">
        <f t="shared" si="323"/>
        <v/>
      </c>
      <c r="R3383" s="216" t="str">
        <f t="shared" si="324"/>
        <v/>
      </c>
      <c r="S3383" s="217" t="str">
        <f t="shared" si="325"/>
        <v/>
      </c>
    </row>
    <row r="3384" spans="1:19" ht="15.75" hidden="1" thickBot="1" x14ac:dyDescent="0.3">
      <c r="A3384" s="256" t="s">
        <v>875</v>
      </c>
      <c r="B3384" s="259" t="str">
        <f>INDEX(Orçamentária!A:B,MATCH(Composições!A3384,Orçamentária!A:A,0),2)</f>
        <v>Limpeza de superfície por hidrojateamento de média pressão</v>
      </c>
      <c r="C3384" s="40"/>
      <c r="D3384" s="25" t="s">
        <v>70</v>
      </c>
      <c r="E3384" s="26"/>
      <c r="F3384" s="41" t="s">
        <v>416</v>
      </c>
      <c r="G3384" s="27" t="str">
        <f t="shared" si="326"/>
        <v/>
      </c>
      <c r="H3384" s="28"/>
      <c r="I3384" s="29"/>
      <c r="J3384" s="152">
        <v>0</v>
      </c>
      <c r="L3384" s="218"/>
      <c r="M3384" s="41"/>
      <c r="N3384" s="27" t="str">
        <f t="shared" si="327"/>
        <v/>
      </c>
      <c r="O3384" s="28"/>
      <c r="P3384" s="36" t="str">
        <f t="shared" si="322"/>
        <v/>
      </c>
      <c r="Q3384" s="216" t="str">
        <f t="shared" si="323"/>
        <v/>
      </c>
      <c r="R3384" s="216" t="str">
        <f t="shared" si="324"/>
        <v/>
      </c>
      <c r="S3384" s="217" t="str">
        <f t="shared" si="325"/>
        <v/>
      </c>
    </row>
    <row r="3385" spans="1:19" ht="15.75" hidden="1" thickBot="1" x14ac:dyDescent="0.3">
      <c r="A3385" s="262"/>
      <c r="B3385" s="260"/>
      <c r="C3385" s="31"/>
      <c r="D3385" s="31"/>
      <c r="E3385" s="32"/>
      <c r="F3385" s="42" t="s">
        <v>416</v>
      </c>
      <c r="G3385" s="33" t="str">
        <f t="shared" si="326"/>
        <v/>
      </c>
      <c r="H3385" s="34"/>
      <c r="I3385" s="30"/>
      <c r="J3385" s="152">
        <v>0</v>
      </c>
      <c r="L3385" s="219"/>
      <c r="M3385" s="42"/>
      <c r="N3385" s="33" t="str">
        <f t="shared" si="327"/>
        <v/>
      </c>
      <c r="O3385" s="34"/>
      <c r="P3385" s="36" t="str">
        <f t="shared" si="322"/>
        <v/>
      </c>
      <c r="Q3385" s="216" t="str">
        <f t="shared" si="323"/>
        <v/>
      </c>
      <c r="R3385" s="216" t="str">
        <f t="shared" si="324"/>
        <v/>
      </c>
      <c r="S3385" s="217" t="str">
        <f t="shared" si="325"/>
        <v/>
      </c>
    </row>
    <row r="3386" spans="1:19" ht="15.75" hidden="1" thickBot="1" x14ac:dyDescent="0.3">
      <c r="A3386" s="262"/>
      <c r="B3386" s="260"/>
      <c r="C3386" s="35" t="s">
        <v>584</v>
      </c>
      <c r="D3386" s="35" t="s">
        <v>583</v>
      </c>
      <c r="E3386" s="36">
        <v>8.8999999999999996E-2</v>
      </c>
      <c r="F3386" s="30">
        <v>20.225499999999997</v>
      </c>
      <c r="G3386" s="33">
        <f t="shared" si="326"/>
        <v>1.8000694999999995</v>
      </c>
      <c r="H3386" s="38">
        <f>SUM(G3386:G3387)</f>
        <v>1.8466669999999996</v>
      </c>
      <c r="I3386" s="39"/>
      <c r="J3386" s="152">
        <v>0</v>
      </c>
      <c r="L3386" s="215">
        <v>8.8999999999999996E-2</v>
      </c>
      <c r="M3386" s="30">
        <v>17.313027999999996</v>
      </c>
      <c r="N3386" s="33">
        <f t="shared" si="327"/>
        <v>1.5408594919999996</v>
      </c>
      <c r="O3386" s="38">
        <f>SUM(N3386:N3387)</f>
        <v>1.5807469519999997</v>
      </c>
      <c r="P3386" s="36" t="str">
        <f t="shared" si="322"/>
        <v/>
      </c>
      <c r="Q3386" s="216">
        <f t="shared" si="323"/>
        <v>0.14400000000000013</v>
      </c>
      <c r="R3386" s="216">
        <f t="shared" si="324"/>
        <v>0.14400000000000002</v>
      </c>
      <c r="S3386" s="217">
        <f t="shared" si="325"/>
        <v>0.14400000000000002</v>
      </c>
    </row>
    <row r="3387" spans="1:19" ht="39" hidden="1" thickBot="1" x14ac:dyDescent="0.3">
      <c r="A3387" s="262"/>
      <c r="B3387" s="260"/>
      <c r="C3387" s="35" t="s">
        <v>876</v>
      </c>
      <c r="D3387" s="35" t="s">
        <v>813</v>
      </c>
      <c r="E3387" s="36">
        <v>1.4999999999999999E-2</v>
      </c>
      <c r="F3387" s="30">
        <v>3.1065</v>
      </c>
      <c r="G3387" s="33">
        <f t="shared" si="326"/>
        <v>4.65975E-2</v>
      </c>
      <c r="H3387" s="34"/>
      <c r="I3387" s="30"/>
      <c r="J3387" s="152">
        <v>0</v>
      </c>
      <c r="L3387" s="215">
        <v>1.4999999999999999E-2</v>
      </c>
      <c r="M3387" s="30">
        <v>2.6591640000000001</v>
      </c>
      <c r="N3387" s="33">
        <f t="shared" si="327"/>
        <v>3.988746E-2</v>
      </c>
      <c r="O3387" s="34"/>
      <c r="P3387" s="36" t="str">
        <f t="shared" si="322"/>
        <v/>
      </c>
      <c r="Q3387" s="216">
        <f t="shared" si="323"/>
        <v>0.14400000000000002</v>
      </c>
      <c r="R3387" s="216">
        <f t="shared" si="324"/>
        <v>0.14400000000000002</v>
      </c>
      <c r="S3387" s="217" t="str">
        <f t="shared" si="325"/>
        <v/>
      </c>
    </row>
    <row r="3388" spans="1:19" ht="15.75" hidden="1" thickBot="1" x14ac:dyDescent="0.3">
      <c r="A3388" s="263"/>
      <c r="B3388" s="261"/>
      <c r="C3388" s="35"/>
      <c r="D3388" s="35"/>
      <c r="E3388" s="36"/>
      <c r="F3388" s="30" t="s">
        <v>416</v>
      </c>
      <c r="G3388" s="33" t="str">
        <f t="shared" si="326"/>
        <v/>
      </c>
      <c r="H3388" s="34"/>
      <c r="I3388" s="30"/>
      <c r="J3388" s="152">
        <v>0</v>
      </c>
      <c r="L3388" s="215"/>
      <c r="M3388" s="30"/>
      <c r="N3388" s="33" t="str">
        <f t="shared" si="327"/>
        <v/>
      </c>
      <c r="O3388" s="34"/>
      <c r="P3388" s="36" t="str">
        <f t="shared" si="322"/>
        <v/>
      </c>
      <c r="Q3388" s="216" t="str">
        <f t="shared" si="323"/>
        <v/>
      </c>
      <c r="R3388" s="216" t="str">
        <f t="shared" si="324"/>
        <v/>
      </c>
      <c r="S3388" s="217" t="str">
        <f t="shared" si="325"/>
        <v/>
      </c>
    </row>
    <row r="3389" spans="1:19" ht="15.75" hidden="1" thickBot="1" x14ac:dyDescent="0.3">
      <c r="A3389" s="256" t="s">
        <v>877</v>
      </c>
      <c r="B3389" s="259" t="str">
        <f>INDEX(Orçamentária!A:B,MATCH(Composições!A3389,Orçamentária!A:A,0),2)</f>
        <v>Inspeção da integridade e adesão de placas de rocha ornamental por percussão</v>
      </c>
      <c r="C3389" s="40"/>
      <c r="D3389" s="25" t="s">
        <v>70</v>
      </c>
      <c r="E3389" s="26"/>
      <c r="F3389" s="48" t="s">
        <v>416</v>
      </c>
      <c r="G3389" s="27" t="str">
        <f t="shared" si="326"/>
        <v/>
      </c>
      <c r="H3389" s="28"/>
      <c r="I3389" s="29"/>
      <c r="J3389" s="152">
        <v>0</v>
      </c>
      <c r="L3389" s="218"/>
      <c r="M3389" s="48"/>
      <c r="N3389" s="27" t="str">
        <f t="shared" si="327"/>
        <v/>
      </c>
      <c r="O3389" s="28"/>
      <c r="P3389" s="36" t="str">
        <f t="shared" si="322"/>
        <v/>
      </c>
      <c r="Q3389" s="216" t="str">
        <f t="shared" si="323"/>
        <v/>
      </c>
      <c r="R3389" s="216" t="str">
        <f t="shared" si="324"/>
        <v/>
      </c>
      <c r="S3389" s="217" t="str">
        <f t="shared" si="325"/>
        <v/>
      </c>
    </row>
    <row r="3390" spans="1:19" ht="15.75" hidden="1" thickBot="1" x14ac:dyDescent="0.3">
      <c r="A3390" s="262"/>
      <c r="B3390" s="260"/>
      <c r="C3390" s="31"/>
      <c r="D3390" s="31"/>
      <c r="E3390" s="32"/>
      <c r="F3390" s="53" t="s">
        <v>416</v>
      </c>
      <c r="G3390" s="53" t="str">
        <f t="shared" si="326"/>
        <v/>
      </c>
      <c r="H3390" s="72"/>
      <c r="I3390" s="73"/>
      <c r="J3390" s="152">
        <v>0</v>
      </c>
      <c r="L3390" s="219"/>
      <c r="M3390" s="53"/>
      <c r="N3390" s="53" t="str">
        <f t="shared" si="327"/>
        <v/>
      </c>
      <c r="O3390" s="72"/>
      <c r="P3390" s="36" t="str">
        <f t="shared" si="322"/>
        <v/>
      </c>
      <c r="Q3390" s="216" t="str">
        <f t="shared" si="323"/>
        <v/>
      </c>
      <c r="R3390" s="216" t="str">
        <f t="shared" si="324"/>
        <v/>
      </c>
      <c r="S3390" s="217" t="str">
        <f t="shared" si="325"/>
        <v/>
      </c>
    </row>
    <row r="3391" spans="1:19" ht="15.75" hidden="1" thickBot="1" x14ac:dyDescent="0.3">
      <c r="A3391" s="262"/>
      <c r="B3391" s="260"/>
      <c r="C3391" s="35" t="s">
        <v>2906</v>
      </c>
      <c r="D3391" s="35" t="s">
        <v>583</v>
      </c>
      <c r="E3391" s="36">
        <v>0.25</v>
      </c>
      <c r="F3391" s="53">
        <v>27.036999999999999</v>
      </c>
      <c r="G3391" s="53">
        <f t="shared" si="326"/>
        <v>6.7592499999999998</v>
      </c>
      <c r="H3391" s="38">
        <f>SUM(G3391:G3392)</f>
        <v>6.7592499999999998</v>
      </c>
      <c r="I3391" s="39"/>
      <c r="J3391" s="152">
        <v>0</v>
      </c>
      <c r="L3391" s="215">
        <v>0.25</v>
      </c>
      <c r="M3391" s="53">
        <v>23.143671999999999</v>
      </c>
      <c r="N3391" s="53">
        <f t="shared" si="327"/>
        <v>5.7859179999999997</v>
      </c>
      <c r="O3391" s="38">
        <f>SUM(N3391:N3392)</f>
        <v>5.7859179999999997</v>
      </c>
      <c r="P3391" s="36" t="str">
        <f t="shared" si="322"/>
        <v/>
      </c>
      <c r="Q3391" s="216">
        <f t="shared" si="323"/>
        <v>0.14400000000000002</v>
      </c>
      <c r="R3391" s="216">
        <f t="shared" si="324"/>
        <v>0.14400000000000002</v>
      </c>
      <c r="S3391" s="217">
        <f t="shared" si="325"/>
        <v>0.14400000000000002</v>
      </c>
    </row>
    <row r="3392" spans="1:19" ht="15.75" hidden="1" thickBot="1" x14ac:dyDescent="0.3">
      <c r="A3392" s="263"/>
      <c r="B3392" s="261"/>
      <c r="C3392" s="35"/>
      <c r="D3392" s="35"/>
      <c r="E3392" s="36"/>
      <c r="F3392" s="53" t="s">
        <v>416</v>
      </c>
      <c r="G3392" s="53" t="str">
        <f t="shared" si="326"/>
        <v/>
      </c>
      <c r="H3392" s="72"/>
      <c r="I3392" s="73"/>
      <c r="J3392" s="152">
        <v>0</v>
      </c>
      <c r="L3392" s="215"/>
      <c r="M3392" s="53"/>
      <c r="N3392" s="53" t="str">
        <f t="shared" si="327"/>
        <v/>
      </c>
      <c r="O3392" s="72"/>
      <c r="P3392" s="36" t="str">
        <f t="shared" si="322"/>
        <v/>
      </c>
      <c r="Q3392" s="216" t="str">
        <f t="shared" si="323"/>
        <v/>
      </c>
      <c r="R3392" s="216" t="str">
        <f t="shared" si="324"/>
        <v/>
      </c>
      <c r="S3392" s="217" t="str">
        <f t="shared" si="325"/>
        <v/>
      </c>
    </row>
    <row r="3393" spans="1:19" ht="15.75" hidden="1" thickBot="1" x14ac:dyDescent="0.3">
      <c r="A3393" s="256" t="s">
        <v>878</v>
      </c>
      <c r="B3393" s="259" t="str">
        <f>INDEX(Orçamentária!A:B,MATCH(Composições!A3393,Orçamentária!A:A,0),2)</f>
        <v>Demolição de proteção mecânica de impermeabilização</v>
      </c>
      <c r="C3393" s="40"/>
      <c r="D3393" s="25" t="s">
        <v>70</v>
      </c>
      <c r="E3393" s="26"/>
      <c r="F3393" s="48" t="s">
        <v>416</v>
      </c>
      <c r="G3393" s="27" t="str">
        <f t="shared" si="326"/>
        <v/>
      </c>
      <c r="H3393" s="28"/>
      <c r="I3393" s="29"/>
      <c r="J3393" s="152">
        <v>0</v>
      </c>
      <c r="L3393" s="218"/>
      <c r="M3393" s="48"/>
      <c r="N3393" s="27" t="str">
        <f t="shared" si="327"/>
        <v/>
      </c>
      <c r="O3393" s="28"/>
      <c r="P3393" s="36" t="str">
        <f t="shared" si="322"/>
        <v/>
      </c>
      <c r="Q3393" s="216" t="str">
        <f t="shared" si="323"/>
        <v/>
      </c>
      <c r="R3393" s="216" t="str">
        <f t="shared" si="324"/>
        <v/>
      </c>
      <c r="S3393" s="217" t="str">
        <f t="shared" si="325"/>
        <v/>
      </c>
    </row>
    <row r="3394" spans="1:19" ht="15.75" hidden="1" thickBot="1" x14ac:dyDescent="0.3">
      <c r="A3394" s="262"/>
      <c r="B3394" s="260"/>
      <c r="C3394" s="31"/>
      <c r="D3394" s="31"/>
      <c r="E3394" s="32"/>
      <c r="F3394" s="53" t="s">
        <v>416</v>
      </c>
      <c r="G3394" s="53" t="str">
        <f t="shared" si="326"/>
        <v/>
      </c>
      <c r="H3394" s="72"/>
      <c r="I3394" s="73"/>
      <c r="J3394" s="152">
        <v>0</v>
      </c>
      <c r="L3394" s="219"/>
      <c r="M3394" s="53"/>
      <c r="N3394" s="53" t="str">
        <f t="shared" si="327"/>
        <v/>
      </c>
      <c r="O3394" s="72"/>
      <c r="P3394" s="36" t="str">
        <f t="shared" si="322"/>
        <v/>
      </c>
      <c r="Q3394" s="216" t="str">
        <f t="shared" si="323"/>
        <v/>
      </c>
      <c r="R3394" s="216" t="str">
        <f t="shared" si="324"/>
        <v/>
      </c>
      <c r="S3394" s="217" t="str">
        <f t="shared" si="325"/>
        <v/>
      </c>
    </row>
    <row r="3395" spans="1:19" ht="15.75" hidden="1" thickBot="1" x14ac:dyDescent="0.3">
      <c r="A3395" s="262"/>
      <c r="B3395" s="260"/>
      <c r="C3395" s="35" t="s">
        <v>584</v>
      </c>
      <c r="D3395" s="35" t="s">
        <v>583</v>
      </c>
      <c r="E3395" s="36">
        <v>1.25</v>
      </c>
      <c r="F3395" s="53">
        <v>20.225499999999997</v>
      </c>
      <c r="G3395" s="53">
        <f t="shared" si="326"/>
        <v>25.281874999999996</v>
      </c>
      <c r="H3395" s="38">
        <f>SUM(G3395:G3395)</f>
        <v>25.281874999999996</v>
      </c>
      <c r="I3395" s="39"/>
      <c r="J3395" s="152">
        <v>0</v>
      </c>
      <c r="L3395" s="215">
        <v>1.25</v>
      </c>
      <c r="M3395" s="53">
        <v>17.313027999999996</v>
      </c>
      <c r="N3395" s="53">
        <f t="shared" si="327"/>
        <v>21.641284999999996</v>
      </c>
      <c r="O3395" s="38">
        <f>SUM(N3395:N3395)</f>
        <v>21.641284999999996</v>
      </c>
      <c r="P3395" s="36" t="str">
        <f t="shared" si="322"/>
        <v/>
      </c>
      <c r="Q3395" s="216">
        <f t="shared" si="323"/>
        <v>0.14400000000000013</v>
      </c>
      <c r="R3395" s="216">
        <f t="shared" si="324"/>
        <v>0.14400000000000002</v>
      </c>
      <c r="S3395" s="217">
        <f t="shared" si="325"/>
        <v>0.14400000000000002</v>
      </c>
    </row>
    <row r="3396" spans="1:19" ht="15.75" hidden="1" thickBot="1" x14ac:dyDescent="0.3">
      <c r="A3396" s="263"/>
      <c r="B3396" s="261"/>
      <c r="C3396" s="35"/>
      <c r="D3396" s="35"/>
      <c r="E3396" s="36"/>
      <c r="F3396" s="53" t="s">
        <v>416</v>
      </c>
      <c r="G3396" s="53" t="str">
        <f t="shared" si="326"/>
        <v/>
      </c>
      <c r="H3396" s="72"/>
      <c r="I3396" s="73"/>
      <c r="J3396" s="152">
        <v>0</v>
      </c>
      <c r="L3396" s="215"/>
      <c r="M3396" s="53"/>
      <c r="N3396" s="53" t="str">
        <f t="shared" si="327"/>
        <v/>
      </c>
      <c r="O3396" s="72"/>
      <c r="P3396" s="36" t="str">
        <f t="shared" si="322"/>
        <v/>
      </c>
      <c r="Q3396" s="216" t="str">
        <f t="shared" si="323"/>
        <v/>
      </c>
      <c r="R3396" s="216" t="str">
        <f t="shared" si="324"/>
        <v/>
      </c>
      <c r="S3396" s="217" t="str">
        <f t="shared" si="325"/>
        <v/>
      </c>
    </row>
    <row r="3397" spans="1:19" ht="15.75" hidden="1" thickBot="1" x14ac:dyDescent="0.3">
      <c r="A3397" s="256" t="s">
        <v>879</v>
      </c>
      <c r="B3397" s="259" t="str">
        <f>INDEX(Orçamentária!A:B,MATCH(Composições!A3397,Orçamentária!A:A,0),2)</f>
        <v>Impermeabilização com emulsão asfáltica</v>
      </c>
      <c r="C3397" s="40"/>
      <c r="D3397" s="25" t="s">
        <v>70</v>
      </c>
      <c r="E3397" s="26"/>
      <c r="F3397" s="48" t="s">
        <v>416</v>
      </c>
      <c r="G3397" s="27" t="str">
        <f t="shared" si="326"/>
        <v/>
      </c>
      <c r="H3397" s="28"/>
      <c r="I3397" s="29"/>
      <c r="J3397" s="152">
        <v>0</v>
      </c>
      <c r="L3397" s="218"/>
      <c r="M3397" s="48"/>
      <c r="N3397" s="27" t="str">
        <f t="shared" si="327"/>
        <v/>
      </c>
      <c r="O3397" s="28"/>
      <c r="P3397" s="36" t="str">
        <f t="shared" si="322"/>
        <v/>
      </c>
      <c r="Q3397" s="216" t="str">
        <f t="shared" si="323"/>
        <v/>
      </c>
      <c r="R3397" s="216" t="str">
        <f t="shared" si="324"/>
        <v/>
      </c>
      <c r="S3397" s="217" t="str">
        <f t="shared" si="325"/>
        <v/>
      </c>
    </row>
    <row r="3398" spans="1:19" ht="15.75" hidden="1" thickBot="1" x14ac:dyDescent="0.3">
      <c r="A3398" s="262"/>
      <c r="B3398" s="260"/>
      <c r="C3398" s="31"/>
      <c r="D3398" s="31"/>
      <c r="E3398" s="32"/>
      <c r="F3398" s="53" t="s">
        <v>416</v>
      </c>
      <c r="G3398" s="53" t="str">
        <f t="shared" si="326"/>
        <v/>
      </c>
      <c r="H3398" s="72"/>
      <c r="I3398" s="73"/>
      <c r="J3398" s="152">
        <v>0</v>
      </c>
      <c r="L3398" s="219"/>
      <c r="M3398" s="53"/>
      <c r="N3398" s="53" t="str">
        <f t="shared" si="327"/>
        <v/>
      </c>
      <c r="O3398" s="72"/>
      <c r="P3398" s="36" t="str">
        <f t="shared" si="322"/>
        <v/>
      </c>
      <c r="Q3398" s="216" t="str">
        <f t="shared" si="323"/>
        <v/>
      </c>
      <c r="R3398" s="216" t="str">
        <f t="shared" si="324"/>
        <v/>
      </c>
      <c r="S3398" s="217" t="str">
        <f t="shared" si="325"/>
        <v/>
      </c>
    </row>
    <row r="3399" spans="1:19" ht="39" hidden="1" thickBot="1" x14ac:dyDescent="0.3">
      <c r="A3399" s="262"/>
      <c r="B3399" s="260"/>
      <c r="C3399" s="35" t="s">
        <v>880</v>
      </c>
      <c r="D3399" s="35" t="s">
        <v>773</v>
      </c>
      <c r="E3399" s="36">
        <v>1.5</v>
      </c>
      <c r="F3399" s="53">
        <v>19.209</v>
      </c>
      <c r="G3399" s="53">
        <f t="shared" si="326"/>
        <v>28.813499999999998</v>
      </c>
      <c r="H3399" s="38">
        <f>SUM(G3399:G3402)</f>
        <v>50.121657999999996</v>
      </c>
      <c r="I3399" s="39"/>
      <c r="J3399" s="152">
        <v>0</v>
      </c>
      <c r="L3399" s="215">
        <v>1.5</v>
      </c>
      <c r="M3399" s="53">
        <v>16.442903999999999</v>
      </c>
      <c r="N3399" s="53">
        <f t="shared" si="327"/>
        <v>24.664355999999998</v>
      </c>
      <c r="O3399" s="38">
        <f>SUM(N3399:N3402)</f>
        <v>42.904139247999993</v>
      </c>
      <c r="P3399" s="36" t="str">
        <f t="shared" si="322"/>
        <v/>
      </c>
      <c r="Q3399" s="216">
        <f t="shared" si="323"/>
        <v>0.14400000000000002</v>
      </c>
      <c r="R3399" s="216">
        <f t="shared" si="324"/>
        <v>0.14400000000000002</v>
      </c>
      <c r="S3399" s="217">
        <f t="shared" si="325"/>
        <v>0.14400000000000013</v>
      </c>
    </row>
    <row r="3400" spans="1:19" ht="15.75" hidden="1" thickBot="1" x14ac:dyDescent="0.3">
      <c r="A3400" s="262"/>
      <c r="B3400" s="260"/>
      <c r="C3400" s="35" t="s">
        <v>2952</v>
      </c>
      <c r="D3400" s="35" t="s">
        <v>861</v>
      </c>
      <c r="E3400" s="36">
        <v>1.351</v>
      </c>
      <c r="F3400" s="53">
        <v>5.9469999999999992</v>
      </c>
      <c r="G3400" s="53">
        <f t="shared" si="326"/>
        <v>8.0343969999999985</v>
      </c>
      <c r="H3400" s="72"/>
      <c r="I3400" s="39"/>
      <c r="J3400" s="152">
        <v>0</v>
      </c>
      <c r="L3400" s="215">
        <v>1.351</v>
      </c>
      <c r="M3400" s="53">
        <v>5.0906319999999994</v>
      </c>
      <c r="N3400" s="53">
        <f t="shared" si="327"/>
        <v>6.8774438319999991</v>
      </c>
      <c r="O3400" s="72"/>
      <c r="P3400" s="36" t="str">
        <f t="shared" ref="P3400:P3463" si="328">IF(ISBLANK(L3400),"",IF($E3400&lt;&gt;L3400,"SIM",""))</f>
        <v/>
      </c>
      <c r="Q3400" s="216">
        <f t="shared" ref="Q3400:Q3463" si="329">IF(M3400="","",1-M3400/$F3400)</f>
        <v>0.14400000000000002</v>
      </c>
      <c r="R3400" s="216">
        <f t="shared" ref="R3400:R3463" si="330">IF(N3400="","",1-N3400/$G3400)</f>
        <v>0.14399999999999991</v>
      </c>
      <c r="S3400" s="217" t="str">
        <f t="shared" ref="S3400:S3463" si="331">IF(O3400="","",1-O3400/$H3400)</f>
        <v/>
      </c>
    </row>
    <row r="3401" spans="1:19" ht="15.75" hidden="1" thickBot="1" x14ac:dyDescent="0.3">
      <c r="A3401" s="262"/>
      <c r="B3401" s="260"/>
      <c r="C3401" s="35" t="s">
        <v>1233</v>
      </c>
      <c r="D3401" s="35" t="s">
        <v>583</v>
      </c>
      <c r="E3401" s="36">
        <v>8.5000000000000006E-2</v>
      </c>
      <c r="F3401" s="53">
        <v>21.318000000000001</v>
      </c>
      <c r="G3401" s="53">
        <f t="shared" si="326"/>
        <v>1.8120300000000003</v>
      </c>
      <c r="H3401" s="72"/>
      <c r="I3401" s="73"/>
      <c r="J3401" s="152">
        <v>0</v>
      </c>
      <c r="L3401" s="215">
        <v>8.5000000000000006E-2</v>
      </c>
      <c r="M3401" s="53">
        <v>18.248208000000002</v>
      </c>
      <c r="N3401" s="53">
        <f t="shared" si="327"/>
        <v>1.5510976800000003</v>
      </c>
      <c r="O3401" s="72"/>
      <c r="P3401" s="36" t="str">
        <f t="shared" si="328"/>
        <v/>
      </c>
      <c r="Q3401" s="216">
        <f t="shared" si="329"/>
        <v>0.14400000000000002</v>
      </c>
      <c r="R3401" s="216">
        <f t="shared" si="330"/>
        <v>0.14400000000000002</v>
      </c>
      <c r="S3401" s="217" t="str">
        <f t="shared" si="331"/>
        <v/>
      </c>
    </row>
    <row r="3402" spans="1:19" ht="15.75" hidden="1" thickBot="1" x14ac:dyDescent="0.3">
      <c r="A3402" s="262"/>
      <c r="B3402" s="260"/>
      <c r="C3402" s="35" t="s">
        <v>881</v>
      </c>
      <c r="D3402" s="35" t="s">
        <v>583</v>
      </c>
      <c r="E3402" s="36">
        <v>0.42199999999999999</v>
      </c>
      <c r="F3402" s="53">
        <v>27.160499999999999</v>
      </c>
      <c r="G3402" s="53">
        <f t="shared" si="326"/>
        <v>11.461730999999999</v>
      </c>
      <c r="H3402" s="72"/>
      <c r="I3402" s="73"/>
      <c r="J3402" s="152">
        <v>0</v>
      </c>
      <c r="L3402" s="215">
        <v>0.42199999999999999</v>
      </c>
      <c r="M3402" s="53">
        <v>23.249388</v>
      </c>
      <c r="N3402" s="53">
        <f t="shared" si="327"/>
        <v>9.8112417359999995</v>
      </c>
      <c r="O3402" s="72"/>
      <c r="P3402" s="36" t="str">
        <f t="shared" si="328"/>
        <v/>
      </c>
      <c r="Q3402" s="216">
        <f t="shared" si="329"/>
        <v>0.14400000000000002</v>
      </c>
      <c r="R3402" s="216">
        <f t="shared" si="330"/>
        <v>0.14399999999999991</v>
      </c>
      <c r="S3402" s="217" t="str">
        <f t="shared" si="331"/>
        <v/>
      </c>
    </row>
    <row r="3403" spans="1:19" ht="15.75" hidden="1" thickBot="1" x14ac:dyDescent="0.3">
      <c r="A3403" s="263"/>
      <c r="B3403" s="261"/>
      <c r="C3403" s="35"/>
      <c r="D3403" s="35"/>
      <c r="E3403" s="36"/>
      <c r="F3403" s="53" t="s">
        <v>416</v>
      </c>
      <c r="G3403" s="53" t="str">
        <f t="shared" si="326"/>
        <v/>
      </c>
      <c r="H3403" s="72"/>
      <c r="I3403" s="73"/>
      <c r="J3403" s="152">
        <v>0</v>
      </c>
      <c r="L3403" s="215"/>
      <c r="M3403" s="53"/>
      <c r="N3403" s="53" t="str">
        <f t="shared" si="327"/>
        <v/>
      </c>
      <c r="O3403" s="72"/>
      <c r="P3403" s="36" t="str">
        <f t="shared" si="328"/>
        <v/>
      </c>
      <c r="Q3403" s="216" t="str">
        <f t="shared" si="329"/>
        <v/>
      </c>
      <c r="R3403" s="216" t="str">
        <f t="shared" si="330"/>
        <v/>
      </c>
      <c r="S3403" s="217" t="str">
        <f t="shared" si="331"/>
        <v/>
      </c>
    </row>
    <row r="3404" spans="1:19" ht="15.75" hidden="1" thickBot="1" x14ac:dyDescent="0.3">
      <c r="A3404" s="256" t="s">
        <v>882</v>
      </c>
      <c r="B3404" s="259" t="str">
        <f>INDEX(Orçamentária!A:B,MATCH(Composições!A3404,Orçamentária!A:A,0),2)</f>
        <v>Camada de proteção mecânica simples de impermeabilização</v>
      </c>
      <c r="C3404" s="40"/>
      <c r="D3404" s="25" t="s">
        <v>70</v>
      </c>
      <c r="E3404" s="26"/>
      <c r="F3404" s="48" t="s">
        <v>416</v>
      </c>
      <c r="G3404" s="27" t="str">
        <f t="shared" si="326"/>
        <v/>
      </c>
      <c r="H3404" s="28"/>
      <c r="I3404" s="29"/>
      <c r="J3404" s="152">
        <v>0</v>
      </c>
      <c r="L3404" s="218"/>
      <c r="M3404" s="48"/>
      <c r="N3404" s="27" t="str">
        <f t="shared" si="327"/>
        <v/>
      </c>
      <c r="O3404" s="28"/>
      <c r="P3404" s="36" t="str">
        <f t="shared" si="328"/>
        <v/>
      </c>
      <c r="Q3404" s="216" t="str">
        <f t="shared" si="329"/>
        <v/>
      </c>
      <c r="R3404" s="216" t="str">
        <f t="shared" si="330"/>
        <v/>
      </c>
      <c r="S3404" s="217" t="str">
        <f t="shared" si="331"/>
        <v/>
      </c>
    </row>
    <row r="3405" spans="1:19" ht="15.75" hidden="1" thickBot="1" x14ac:dyDescent="0.3">
      <c r="A3405" s="262"/>
      <c r="B3405" s="260"/>
      <c r="C3405" s="31"/>
      <c r="D3405" s="31"/>
      <c r="E3405" s="32"/>
      <c r="F3405" s="53" t="s">
        <v>416</v>
      </c>
      <c r="G3405" s="53" t="str">
        <f t="shared" si="326"/>
        <v/>
      </c>
      <c r="H3405" s="72"/>
      <c r="I3405" s="73"/>
      <c r="J3405" s="152">
        <v>0</v>
      </c>
      <c r="L3405" s="219"/>
      <c r="M3405" s="53"/>
      <c r="N3405" s="53" t="str">
        <f t="shared" si="327"/>
        <v/>
      </c>
      <c r="O3405" s="72"/>
      <c r="P3405" s="36" t="str">
        <f t="shared" si="328"/>
        <v/>
      </c>
      <c r="Q3405" s="216" t="str">
        <f t="shared" si="329"/>
        <v/>
      </c>
      <c r="R3405" s="216" t="str">
        <f t="shared" si="330"/>
        <v/>
      </c>
      <c r="S3405" s="217" t="str">
        <f t="shared" si="331"/>
        <v/>
      </c>
    </row>
    <row r="3406" spans="1:19" ht="15.75" hidden="1" thickBot="1" x14ac:dyDescent="0.3">
      <c r="A3406" s="262"/>
      <c r="B3406" s="260"/>
      <c r="C3406" s="35" t="s">
        <v>883</v>
      </c>
      <c r="D3406" s="35" t="s">
        <v>861</v>
      </c>
      <c r="E3406" s="36">
        <v>1.04</v>
      </c>
      <c r="F3406" s="53">
        <v>1.7575000000000001</v>
      </c>
      <c r="G3406" s="53">
        <f t="shared" si="326"/>
        <v>1.8278000000000001</v>
      </c>
      <c r="H3406" s="38">
        <f>SUM(G3406:G3409)</f>
        <v>54.561234949062502</v>
      </c>
      <c r="I3406" s="39"/>
      <c r="J3406" s="152">
        <v>0</v>
      </c>
      <c r="L3406" s="215">
        <v>1.04</v>
      </c>
      <c r="M3406" s="53">
        <v>1.5044200000000001</v>
      </c>
      <c r="N3406" s="53">
        <f t="shared" si="327"/>
        <v>1.5645968000000001</v>
      </c>
      <c r="O3406" s="38">
        <f>SUM(N3406:N3409)</f>
        <v>46.704417116397501</v>
      </c>
      <c r="P3406" s="36" t="str">
        <f t="shared" si="328"/>
        <v/>
      </c>
      <c r="Q3406" s="216">
        <f t="shared" si="329"/>
        <v>0.14400000000000002</v>
      </c>
      <c r="R3406" s="216">
        <f t="shared" si="330"/>
        <v>0.14400000000000002</v>
      </c>
      <c r="S3406" s="217">
        <f t="shared" si="331"/>
        <v>0.14400000000000002</v>
      </c>
    </row>
    <row r="3407" spans="1:19" ht="26.25" hidden="1" thickBot="1" x14ac:dyDescent="0.3">
      <c r="A3407" s="262"/>
      <c r="B3407" s="260"/>
      <c r="C3407" s="35" t="s">
        <v>884</v>
      </c>
      <c r="D3407" s="35" t="s">
        <v>87</v>
      </c>
      <c r="E3407" s="36">
        <v>3.5000000000000003E-2</v>
      </c>
      <c r="F3407" s="53">
        <v>918.41925568750003</v>
      </c>
      <c r="G3407" s="53">
        <f t="shared" si="326"/>
        <v>32.144673949062501</v>
      </c>
      <c r="H3407" s="72"/>
      <c r="I3407" s="73"/>
      <c r="J3407" s="152">
        <v>0</v>
      </c>
      <c r="L3407" s="215">
        <v>3.5000000000000003E-2</v>
      </c>
      <c r="M3407" s="53">
        <v>786.16688286850001</v>
      </c>
      <c r="N3407" s="53">
        <f t="shared" si="327"/>
        <v>27.515840900397503</v>
      </c>
      <c r="O3407" s="72"/>
      <c r="P3407" s="36" t="str">
        <f t="shared" si="328"/>
        <v/>
      </c>
      <c r="Q3407" s="216">
        <f t="shared" si="329"/>
        <v>0.14400000000000002</v>
      </c>
      <c r="R3407" s="216">
        <f t="shared" si="330"/>
        <v>0.14399999999999991</v>
      </c>
      <c r="S3407" s="217" t="str">
        <f t="shared" si="331"/>
        <v/>
      </c>
    </row>
    <row r="3408" spans="1:19" ht="15.75" hidden="1" thickBot="1" x14ac:dyDescent="0.3">
      <c r="A3408" s="262"/>
      <c r="B3408" s="260"/>
      <c r="C3408" s="35" t="s">
        <v>591</v>
      </c>
      <c r="D3408" s="35" t="s">
        <v>583</v>
      </c>
      <c r="E3408" s="36">
        <v>0.65900000000000003</v>
      </c>
      <c r="F3408" s="53">
        <v>27.160499999999999</v>
      </c>
      <c r="G3408" s="53">
        <f t="shared" si="326"/>
        <v>17.8987695</v>
      </c>
      <c r="H3408" s="72"/>
      <c r="I3408" s="73"/>
      <c r="J3408" s="152">
        <v>0</v>
      </c>
      <c r="L3408" s="215">
        <v>0.65900000000000003</v>
      </c>
      <c r="M3408" s="53">
        <v>23.249388</v>
      </c>
      <c r="N3408" s="53">
        <f t="shared" si="327"/>
        <v>15.321346692000001</v>
      </c>
      <c r="O3408" s="72"/>
      <c r="P3408" s="36" t="str">
        <f t="shared" si="328"/>
        <v/>
      </c>
      <c r="Q3408" s="216">
        <f t="shared" si="329"/>
        <v>0.14400000000000002</v>
      </c>
      <c r="R3408" s="216">
        <f t="shared" si="330"/>
        <v>0.14400000000000002</v>
      </c>
      <c r="S3408" s="217" t="str">
        <f t="shared" si="331"/>
        <v/>
      </c>
    </row>
    <row r="3409" spans="1:19" ht="15.75" hidden="1" thickBot="1" x14ac:dyDescent="0.3">
      <c r="A3409" s="262"/>
      <c r="B3409" s="260"/>
      <c r="C3409" s="35" t="s">
        <v>584</v>
      </c>
      <c r="D3409" s="35" t="s">
        <v>583</v>
      </c>
      <c r="E3409" s="36">
        <v>0.13300000000000001</v>
      </c>
      <c r="F3409" s="53">
        <v>20.225499999999997</v>
      </c>
      <c r="G3409" s="53">
        <f t="shared" si="326"/>
        <v>2.6899914999999996</v>
      </c>
      <c r="H3409" s="72"/>
      <c r="I3409" s="73"/>
      <c r="J3409" s="152">
        <v>0</v>
      </c>
      <c r="L3409" s="215">
        <v>0.13300000000000001</v>
      </c>
      <c r="M3409" s="53">
        <v>17.313027999999996</v>
      </c>
      <c r="N3409" s="53">
        <f t="shared" si="327"/>
        <v>2.3026327239999995</v>
      </c>
      <c r="O3409" s="72"/>
      <c r="P3409" s="36" t="str">
        <f t="shared" si="328"/>
        <v/>
      </c>
      <c r="Q3409" s="216">
        <f t="shared" si="329"/>
        <v>0.14400000000000013</v>
      </c>
      <c r="R3409" s="216">
        <f t="shared" si="330"/>
        <v>0.14400000000000002</v>
      </c>
      <c r="S3409" s="217" t="str">
        <f t="shared" si="331"/>
        <v/>
      </c>
    </row>
    <row r="3410" spans="1:19" ht="15.75" hidden="1" thickBot="1" x14ac:dyDescent="0.3">
      <c r="A3410" s="263"/>
      <c r="B3410" s="261"/>
      <c r="C3410" s="35"/>
      <c r="D3410" s="35"/>
      <c r="E3410" s="36"/>
      <c r="F3410" s="53" t="s">
        <v>416</v>
      </c>
      <c r="G3410" s="53" t="str">
        <f t="shared" si="326"/>
        <v/>
      </c>
      <c r="H3410" s="72"/>
      <c r="I3410" s="73"/>
      <c r="J3410" s="152">
        <v>0</v>
      </c>
      <c r="L3410" s="215"/>
      <c r="M3410" s="53"/>
      <c r="N3410" s="53" t="str">
        <f t="shared" si="327"/>
        <v/>
      </c>
      <c r="O3410" s="72"/>
      <c r="P3410" s="36" t="str">
        <f t="shared" si="328"/>
        <v/>
      </c>
      <c r="Q3410" s="216" t="str">
        <f t="shared" si="329"/>
        <v/>
      </c>
      <c r="R3410" s="216" t="str">
        <f t="shared" si="330"/>
        <v/>
      </c>
      <c r="S3410" s="217" t="str">
        <f t="shared" si="331"/>
        <v/>
      </c>
    </row>
    <row r="3411" spans="1:19" ht="15.75" hidden="1" thickBot="1" x14ac:dyDescent="0.3">
      <c r="A3411" s="256" t="s">
        <v>885</v>
      </c>
      <c r="B3411" s="259" t="str">
        <f>INDEX(Orçamentária!A:B,MATCH(Composições!A3411,Orçamentária!A:A,0),2)</f>
        <v>Camada de proteção mecânica estruturada de impermeabilização</v>
      </c>
      <c r="C3411" s="40"/>
      <c r="D3411" s="25" t="s">
        <v>70</v>
      </c>
      <c r="E3411" s="26"/>
      <c r="F3411" s="48" t="s">
        <v>416</v>
      </c>
      <c r="G3411" s="27" t="str">
        <f t="shared" si="326"/>
        <v/>
      </c>
      <c r="H3411" s="28"/>
      <c r="I3411" s="29"/>
      <c r="J3411" s="152">
        <v>0</v>
      </c>
      <c r="L3411" s="218"/>
      <c r="M3411" s="48"/>
      <c r="N3411" s="27" t="str">
        <f t="shared" si="327"/>
        <v/>
      </c>
      <c r="O3411" s="28"/>
      <c r="P3411" s="36" t="str">
        <f t="shared" si="328"/>
        <v/>
      </c>
      <c r="Q3411" s="216" t="str">
        <f t="shared" si="329"/>
        <v/>
      </c>
      <c r="R3411" s="216" t="str">
        <f t="shared" si="330"/>
        <v/>
      </c>
      <c r="S3411" s="217" t="str">
        <f t="shared" si="331"/>
        <v/>
      </c>
    </row>
    <row r="3412" spans="1:19" ht="15.75" hidden="1" thickBot="1" x14ac:dyDescent="0.3">
      <c r="A3412" s="262"/>
      <c r="B3412" s="260"/>
      <c r="C3412" s="31"/>
      <c r="D3412" s="31"/>
      <c r="E3412" s="32"/>
      <c r="F3412" s="53" t="s">
        <v>416</v>
      </c>
      <c r="G3412" s="53" t="str">
        <f t="shared" si="326"/>
        <v/>
      </c>
      <c r="H3412" s="72"/>
      <c r="I3412" s="73"/>
      <c r="J3412" s="152">
        <v>0</v>
      </c>
      <c r="L3412" s="219"/>
      <c r="M3412" s="53"/>
      <c r="N3412" s="53" t="str">
        <f t="shared" si="327"/>
        <v/>
      </c>
      <c r="O3412" s="72"/>
      <c r="P3412" s="36" t="str">
        <f t="shared" si="328"/>
        <v/>
      </c>
      <c r="Q3412" s="216" t="str">
        <f t="shared" si="329"/>
        <v/>
      </c>
      <c r="R3412" s="216" t="str">
        <f t="shared" si="330"/>
        <v/>
      </c>
      <c r="S3412" s="217" t="str">
        <f t="shared" si="331"/>
        <v/>
      </c>
    </row>
    <row r="3413" spans="1:19" ht="26.25" hidden="1" thickBot="1" x14ac:dyDescent="0.3">
      <c r="A3413" s="262"/>
      <c r="B3413" s="260"/>
      <c r="C3413" s="35" t="s">
        <v>886</v>
      </c>
      <c r="D3413" s="35" t="s">
        <v>861</v>
      </c>
      <c r="E3413" s="36">
        <v>1.05</v>
      </c>
      <c r="F3413" s="53">
        <v>13.927</v>
      </c>
      <c r="G3413" s="53">
        <f t="shared" si="326"/>
        <v>14.62335</v>
      </c>
      <c r="H3413" s="38">
        <f>SUM(G3413:G3416)</f>
        <v>68.835583449062497</v>
      </c>
      <c r="I3413" s="39"/>
      <c r="J3413" s="152">
        <v>0</v>
      </c>
      <c r="L3413" s="215">
        <v>1.05</v>
      </c>
      <c r="M3413" s="53">
        <v>11.921512</v>
      </c>
      <c r="N3413" s="53">
        <f t="shared" si="327"/>
        <v>12.517587600000001</v>
      </c>
      <c r="O3413" s="38">
        <f>SUM(N3413:N3416)</f>
        <v>58.923259432397501</v>
      </c>
      <c r="P3413" s="36" t="str">
        <f t="shared" si="328"/>
        <v/>
      </c>
      <c r="Q3413" s="216">
        <f t="shared" si="329"/>
        <v>0.14400000000000002</v>
      </c>
      <c r="R3413" s="216">
        <f t="shared" si="330"/>
        <v>0.14400000000000002</v>
      </c>
      <c r="S3413" s="217">
        <f t="shared" si="331"/>
        <v>0.14399999999999991</v>
      </c>
    </row>
    <row r="3414" spans="1:19" ht="26.25" hidden="1" thickBot="1" x14ac:dyDescent="0.3">
      <c r="A3414" s="262"/>
      <c r="B3414" s="260"/>
      <c r="C3414" s="35" t="s">
        <v>884</v>
      </c>
      <c r="D3414" s="35" t="s">
        <v>87</v>
      </c>
      <c r="E3414" s="36">
        <v>3.5000000000000003E-2</v>
      </c>
      <c r="F3414" s="53">
        <v>918.41925568750003</v>
      </c>
      <c r="G3414" s="53">
        <f t="shared" si="326"/>
        <v>32.144673949062501</v>
      </c>
      <c r="H3414" s="72"/>
      <c r="I3414" s="73"/>
      <c r="J3414" s="152">
        <v>0</v>
      </c>
      <c r="L3414" s="215">
        <v>3.5000000000000003E-2</v>
      </c>
      <c r="M3414" s="53">
        <v>786.16688286850001</v>
      </c>
      <c r="N3414" s="53">
        <f t="shared" si="327"/>
        <v>27.515840900397503</v>
      </c>
      <c r="O3414" s="72"/>
      <c r="P3414" s="36" t="str">
        <f t="shared" si="328"/>
        <v/>
      </c>
      <c r="Q3414" s="216">
        <f t="shared" si="329"/>
        <v>0.14400000000000002</v>
      </c>
      <c r="R3414" s="216">
        <f t="shared" si="330"/>
        <v>0.14399999999999991</v>
      </c>
      <c r="S3414" s="217" t="str">
        <f t="shared" si="331"/>
        <v/>
      </c>
    </row>
    <row r="3415" spans="1:19" ht="15.75" hidden="1" thickBot="1" x14ac:dyDescent="0.3">
      <c r="A3415" s="262"/>
      <c r="B3415" s="260"/>
      <c r="C3415" s="35" t="s">
        <v>591</v>
      </c>
      <c r="D3415" s="35" t="s">
        <v>583</v>
      </c>
      <c r="E3415" s="36">
        <v>0.70599999999999996</v>
      </c>
      <c r="F3415" s="53">
        <v>27.160499999999999</v>
      </c>
      <c r="G3415" s="53">
        <f t="shared" si="326"/>
        <v>19.175312999999999</v>
      </c>
      <c r="H3415" s="72"/>
      <c r="I3415" s="73"/>
      <c r="J3415" s="152">
        <v>0</v>
      </c>
      <c r="L3415" s="215">
        <v>0.70599999999999996</v>
      </c>
      <c r="M3415" s="53">
        <v>23.249388</v>
      </c>
      <c r="N3415" s="53">
        <f t="shared" si="327"/>
        <v>16.414067927999998</v>
      </c>
      <c r="O3415" s="72"/>
      <c r="P3415" s="36" t="str">
        <f t="shared" si="328"/>
        <v/>
      </c>
      <c r="Q3415" s="216">
        <f t="shared" si="329"/>
        <v>0.14400000000000002</v>
      </c>
      <c r="R3415" s="216">
        <f t="shared" si="330"/>
        <v>0.14400000000000002</v>
      </c>
      <c r="S3415" s="217" t="str">
        <f t="shared" si="331"/>
        <v/>
      </c>
    </row>
    <row r="3416" spans="1:19" ht="15.75" hidden="1" thickBot="1" x14ac:dyDescent="0.3">
      <c r="A3416" s="262"/>
      <c r="B3416" s="260"/>
      <c r="C3416" s="35" t="s">
        <v>584</v>
      </c>
      <c r="D3416" s="35" t="s">
        <v>583</v>
      </c>
      <c r="E3416" s="36">
        <v>0.14299999999999999</v>
      </c>
      <c r="F3416" s="53">
        <v>20.225499999999997</v>
      </c>
      <c r="G3416" s="53">
        <f t="shared" si="326"/>
        <v>2.8922464999999993</v>
      </c>
      <c r="H3416" s="72"/>
      <c r="I3416" s="73"/>
      <c r="J3416" s="152">
        <v>0</v>
      </c>
      <c r="L3416" s="215">
        <v>0.14299999999999999</v>
      </c>
      <c r="M3416" s="53">
        <v>17.313027999999996</v>
      </c>
      <c r="N3416" s="53">
        <f t="shared" si="327"/>
        <v>2.4757630039999992</v>
      </c>
      <c r="O3416" s="72"/>
      <c r="P3416" s="36" t="str">
        <f t="shared" si="328"/>
        <v/>
      </c>
      <c r="Q3416" s="216">
        <f t="shared" si="329"/>
        <v>0.14400000000000013</v>
      </c>
      <c r="R3416" s="216">
        <f t="shared" si="330"/>
        <v>0.14400000000000013</v>
      </c>
      <c r="S3416" s="217" t="str">
        <f t="shared" si="331"/>
        <v/>
      </c>
    </row>
    <row r="3417" spans="1:19" ht="15.75" hidden="1" thickBot="1" x14ac:dyDescent="0.3">
      <c r="A3417" s="263"/>
      <c r="B3417" s="261"/>
      <c r="C3417" s="35"/>
      <c r="D3417" s="35"/>
      <c r="E3417" s="36"/>
      <c r="F3417" s="53" t="s">
        <v>416</v>
      </c>
      <c r="G3417" s="53" t="str">
        <f t="shared" si="326"/>
        <v/>
      </c>
      <c r="H3417" s="72"/>
      <c r="I3417" s="73"/>
      <c r="J3417" s="152">
        <v>0</v>
      </c>
      <c r="L3417" s="215"/>
      <c r="M3417" s="53"/>
      <c r="N3417" s="53" t="str">
        <f t="shared" si="327"/>
        <v/>
      </c>
      <c r="O3417" s="72"/>
      <c r="P3417" s="36" t="str">
        <f t="shared" si="328"/>
        <v/>
      </c>
      <c r="Q3417" s="216" t="str">
        <f t="shared" si="329"/>
        <v/>
      </c>
      <c r="R3417" s="216" t="str">
        <f t="shared" si="330"/>
        <v/>
      </c>
      <c r="S3417" s="217" t="str">
        <f t="shared" si="331"/>
        <v/>
      </c>
    </row>
    <row r="3418" spans="1:19" ht="15.75" hidden="1" thickBot="1" x14ac:dyDescent="0.3">
      <c r="A3418" s="256" t="s">
        <v>887</v>
      </c>
      <c r="B3418" s="259" t="str">
        <f>INDEX(Orçamentária!A:B,MATCH(Composições!A3418,Orçamentária!A:A,0),2)</f>
        <v>Remoção de placas  de mármore encaixadas por fixadores metálicos (modelo Ed. Principal)</v>
      </c>
      <c r="C3418" s="40"/>
      <c r="D3418" s="25" t="s">
        <v>70</v>
      </c>
      <c r="E3418" s="26"/>
      <c r="F3418" s="48" t="s">
        <v>416</v>
      </c>
      <c r="G3418" s="27" t="str">
        <f t="shared" si="326"/>
        <v/>
      </c>
      <c r="H3418" s="28"/>
      <c r="I3418" s="29"/>
      <c r="J3418" s="152">
        <v>0</v>
      </c>
      <c r="L3418" s="218"/>
      <c r="M3418" s="48"/>
      <c r="N3418" s="27" t="str">
        <f t="shared" si="327"/>
        <v/>
      </c>
      <c r="O3418" s="28"/>
      <c r="P3418" s="36" t="str">
        <f t="shared" si="328"/>
        <v/>
      </c>
      <c r="Q3418" s="216" t="str">
        <f t="shared" si="329"/>
        <v/>
      </c>
      <c r="R3418" s="216" t="str">
        <f t="shared" si="330"/>
        <v/>
      </c>
      <c r="S3418" s="217" t="str">
        <f t="shared" si="331"/>
        <v/>
      </c>
    </row>
    <row r="3419" spans="1:19" ht="15.75" hidden="1" thickBot="1" x14ac:dyDescent="0.3">
      <c r="A3419" s="262"/>
      <c r="B3419" s="260"/>
      <c r="C3419" s="31"/>
      <c r="D3419" s="31"/>
      <c r="E3419" s="32"/>
      <c r="F3419" s="53" t="s">
        <v>416</v>
      </c>
      <c r="G3419" s="53" t="str">
        <f t="shared" si="326"/>
        <v/>
      </c>
      <c r="H3419" s="72"/>
      <c r="I3419" s="73"/>
      <c r="J3419" s="152">
        <v>0</v>
      </c>
      <c r="L3419" s="219"/>
      <c r="M3419" s="53"/>
      <c r="N3419" s="53" t="str">
        <f t="shared" si="327"/>
        <v/>
      </c>
      <c r="O3419" s="72"/>
      <c r="P3419" s="36" t="str">
        <f t="shared" si="328"/>
        <v/>
      </c>
      <c r="Q3419" s="216" t="str">
        <f t="shared" si="329"/>
        <v/>
      </c>
      <c r="R3419" s="216" t="str">
        <f t="shared" si="330"/>
        <v/>
      </c>
      <c r="S3419" s="217" t="str">
        <f t="shared" si="331"/>
        <v/>
      </c>
    </row>
    <row r="3420" spans="1:19" ht="15.75" hidden="1" thickBot="1" x14ac:dyDescent="0.3">
      <c r="A3420" s="262"/>
      <c r="B3420" s="260"/>
      <c r="C3420" s="35" t="s">
        <v>2906</v>
      </c>
      <c r="D3420" s="35" t="s">
        <v>583</v>
      </c>
      <c r="E3420" s="36">
        <v>0.4</v>
      </c>
      <c r="F3420" s="53">
        <v>27.036999999999999</v>
      </c>
      <c r="G3420" s="53">
        <f t="shared" si="326"/>
        <v>10.8148</v>
      </c>
      <c r="H3420" s="38">
        <f>SUM(G3420:G3421)</f>
        <v>18.905000000000001</v>
      </c>
      <c r="I3420" s="39"/>
      <c r="J3420" s="152">
        <v>0</v>
      </c>
      <c r="L3420" s="215">
        <v>0.4</v>
      </c>
      <c r="M3420" s="53">
        <v>23.143671999999999</v>
      </c>
      <c r="N3420" s="53">
        <f t="shared" si="327"/>
        <v>9.2574687999999998</v>
      </c>
      <c r="O3420" s="38">
        <f>SUM(N3420:N3421)</f>
        <v>16.182679999999998</v>
      </c>
      <c r="P3420" s="36" t="str">
        <f t="shared" si="328"/>
        <v/>
      </c>
      <c r="Q3420" s="216">
        <f t="shared" si="329"/>
        <v>0.14400000000000002</v>
      </c>
      <c r="R3420" s="216">
        <f t="shared" si="330"/>
        <v>0.14400000000000002</v>
      </c>
      <c r="S3420" s="217">
        <f t="shared" si="331"/>
        <v>0.14400000000000013</v>
      </c>
    </row>
    <row r="3421" spans="1:19" ht="15.75" hidden="1" thickBot="1" x14ac:dyDescent="0.3">
      <c r="A3421" s="262"/>
      <c r="B3421" s="260"/>
      <c r="C3421" s="35" t="s">
        <v>584</v>
      </c>
      <c r="D3421" s="35" t="s">
        <v>583</v>
      </c>
      <c r="E3421" s="36">
        <v>0.4</v>
      </c>
      <c r="F3421" s="53">
        <v>20.225499999999997</v>
      </c>
      <c r="G3421" s="53">
        <f t="shared" si="326"/>
        <v>8.0901999999999994</v>
      </c>
      <c r="H3421" s="72"/>
      <c r="I3421" s="73"/>
      <c r="J3421" s="152">
        <v>0</v>
      </c>
      <c r="L3421" s="215">
        <v>0.4</v>
      </c>
      <c r="M3421" s="53">
        <v>17.313027999999996</v>
      </c>
      <c r="N3421" s="53">
        <f t="shared" si="327"/>
        <v>6.9252111999999988</v>
      </c>
      <c r="O3421" s="72"/>
      <c r="P3421" s="36" t="str">
        <f t="shared" si="328"/>
        <v/>
      </c>
      <c r="Q3421" s="216">
        <f t="shared" si="329"/>
        <v>0.14400000000000013</v>
      </c>
      <c r="R3421" s="216">
        <f t="shared" si="330"/>
        <v>0.14400000000000013</v>
      </c>
      <c r="S3421" s="217" t="str">
        <f t="shared" si="331"/>
        <v/>
      </c>
    </row>
    <row r="3422" spans="1:19" ht="15.75" hidden="1" thickBot="1" x14ac:dyDescent="0.3">
      <c r="A3422" s="263"/>
      <c r="B3422" s="261"/>
      <c r="C3422" s="35"/>
      <c r="D3422" s="35"/>
      <c r="E3422" s="36"/>
      <c r="F3422" s="53" t="s">
        <v>416</v>
      </c>
      <c r="G3422" s="53" t="str">
        <f t="shared" si="326"/>
        <v/>
      </c>
      <c r="H3422" s="72"/>
      <c r="I3422" s="73"/>
      <c r="J3422" s="152">
        <v>0</v>
      </c>
      <c r="L3422" s="215"/>
      <c r="M3422" s="53"/>
      <c r="N3422" s="53" t="str">
        <f t="shared" si="327"/>
        <v/>
      </c>
      <c r="O3422" s="72"/>
      <c r="P3422" s="36" t="str">
        <f t="shared" si="328"/>
        <v/>
      </c>
      <c r="Q3422" s="216" t="str">
        <f t="shared" si="329"/>
        <v/>
      </c>
      <c r="R3422" s="216" t="str">
        <f t="shared" si="330"/>
        <v/>
      </c>
      <c r="S3422" s="217" t="str">
        <f t="shared" si="331"/>
        <v/>
      </c>
    </row>
    <row r="3423" spans="1:19" ht="15.75" hidden="1" thickBot="1" x14ac:dyDescent="0.3">
      <c r="A3423" s="256" t="s">
        <v>888</v>
      </c>
      <c r="B3423" s="259" t="str">
        <f>INDEX(Orçamentária!A:B,MATCH(Composições!A3423,Orçamentária!A:A,0),2)</f>
        <v>Remoção de placas de rocha ornamental argamassada, para reaproveitamento</v>
      </c>
      <c r="C3423" s="40"/>
      <c r="D3423" s="25" t="s">
        <v>70</v>
      </c>
      <c r="E3423" s="26"/>
      <c r="F3423" s="48" t="s">
        <v>416</v>
      </c>
      <c r="G3423" s="27" t="str">
        <f t="shared" si="326"/>
        <v/>
      </c>
      <c r="H3423" s="28"/>
      <c r="I3423" s="29"/>
      <c r="J3423" s="152">
        <v>0</v>
      </c>
      <c r="L3423" s="218"/>
      <c r="M3423" s="48"/>
      <c r="N3423" s="27" t="str">
        <f t="shared" si="327"/>
        <v/>
      </c>
      <c r="O3423" s="28"/>
      <c r="P3423" s="36" t="str">
        <f t="shared" si="328"/>
        <v/>
      </c>
      <c r="Q3423" s="216" t="str">
        <f t="shared" si="329"/>
        <v/>
      </c>
      <c r="R3423" s="216" t="str">
        <f t="shared" si="330"/>
        <v/>
      </c>
      <c r="S3423" s="217" t="str">
        <f t="shared" si="331"/>
        <v/>
      </c>
    </row>
    <row r="3424" spans="1:19" ht="15.75" hidden="1" thickBot="1" x14ac:dyDescent="0.3">
      <c r="A3424" s="262"/>
      <c r="B3424" s="260"/>
      <c r="C3424" s="31"/>
      <c r="D3424" s="31"/>
      <c r="E3424" s="32"/>
      <c r="F3424" s="53" t="s">
        <v>416</v>
      </c>
      <c r="G3424" s="53" t="str">
        <f t="shared" si="326"/>
        <v/>
      </c>
      <c r="H3424" s="72"/>
      <c r="I3424" s="73"/>
      <c r="J3424" s="152">
        <v>0</v>
      </c>
      <c r="L3424" s="219"/>
      <c r="M3424" s="53"/>
      <c r="N3424" s="53" t="str">
        <f t="shared" si="327"/>
        <v/>
      </c>
      <c r="O3424" s="72"/>
      <c r="P3424" s="36" t="str">
        <f t="shared" si="328"/>
        <v/>
      </c>
      <c r="Q3424" s="216" t="str">
        <f t="shared" si="329"/>
        <v/>
      </c>
      <c r="R3424" s="216" t="str">
        <f t="shared" si="330"/>
        <v/>
      </c>
      <c r="S3424" s="217" t="str">
        <f t="shared" si="331"/>
        <v/>
      </c>
    </row>
    <row r="3425" spans="1:19" ht="15.75" hidden="1" thickBot="1" x14ac:dyDescent="0.3">
      <c r="A3425" s="262"/>
      <c r="B3425" s="260"/>
      <c r="C3425" s="35" t="s">
        <v>2906</v>
      </c>
      <c r="D3425" s="35" t="s">
        <v>583</v>
      </c>
      <c r="E3425" s="36">
        <v>1.2</v>
      </c>
      <c r="F3425" s="53">
        <v>27.036999999999999</v>
      </c>
      <c r="G3425" s="53">
        <f t="shared" si="326"/>
        <v>32.444399999999995</v>
      </c>
      <c r="H3425" s="38">
        <f>SUM(G3425:G3426)</f>
        <v>56.714999999999989</v>
      </c>
      <c r="I3425" s="39"/>
      <c r="J3425" s="152">
        <v>0</v>
      </c>
      <c r="L3425" s="215">
        <v>1.2</v>
      </c>
      <c r="M3425" s="53">
        <v>23.143671999999999</v>
      </c>
      <c r="N3425" s="53">
        <f t="shared" si="327"/>
        <v>27.772406399999998</v>
      </c>
      <c r="O3425" s="38">
        <f>SUM(N3425:N3426)</f>
        <v>48.548039999999993</v>
      </c>
      <c r="P3425" s="36" t="str">
        <f t="shared" si="328"/>
        <v/>
      </c>
      <c r="Q3425" s="216">
        <f t="shared" si="329"/>
        <v>0.14400000000000002</v>
      </c>
      <c r="R3425" s="216">
        <f t="shared" si="330"/>
        <v>0.14399999999999991</v>
      </c>
      <c r="S3425" s="217">
        <f t="shared" si="331"/>
        <v>0.14399999999999991</v>
      </c>
    </row>
    <row r="3426" spans="1:19" ht="15.75" hidden="1" thickBot="1" x14ac:dyDescent="0.3">
      <c r="A3426" s="262"/>
      <c r="B3426" s="260"/>
      <c r="C3426" s="35" t="s">
        <v>584</v>
      </c>
      <c r="D3426" s="35" t="s">
        <v>583</v>
      </c>
      <c r="E3426" s="36">
        <v>1.2</v>
      </c>
      <c r="F3426" s="53">
        <v>20.225499999999997</v>
      </c>
      <c r="G3426" s="53">
        <f t="shared" si="326"/>
        <v>24.270599999999995</v>
      </c>
      <c r="H3426" s="72"/>
      <c r="I3426" s="73"/>
      <c r="J3426" s="152">
        <v>0</v>
      </c>
      <c r="L3426" s="215">
        <v>1.2</v>
      </c>
      <c r="M3426" s="53">
        <v>17.313027999999996</v>
      </c>
      <c r="N3426" s="53">
        <f t="shared" si="327"/>
        <v>20.775633599999995</v>
      </c>
      <c r="O3426" s="72"/>
      <c r="P3426" s="36" t="str">
        <f t="shared" si="328"/>
        <v/>
      </c>
      <c r="Q3426" s="216">
        <f t="shared" si="329"/>
        <v>0.14400000000000013</v>
      </c>
      <c r="R3426" s="216">
        <f t="shared" si="330"/>
        <v>0.14400000000000002</v>
      </c>
      <c r="S3426" s="217" t="str">
        <f t="shared" si="331"/>
        <v/>
      </c>
    </row>
    <row r="3427" spans="1:19" ht="15.75" hidden="1" thickBot="1" x14ac:dyDescent="0.3">
      <c r="A3427" s="263"/>
      <c r="B3427" s="261"/>
      <c r="C3427" s="35"/>
      <c r="D3427" s="35"/>
      <c r="E3427" s="36"/>
      <c r="F3427" s="53" t="s">
        <v>416</v>
      </c>
      <c r="G3427" s="53" t="str">
        <f t="shared" si="326"/>
        <v/>
      </c>
      <c r="H3427" s="72"/>
      <c r="I3427" s="73"/>
      <c r="J3427" s="152">
        <v>0</v>
      </c>
      <c r="L3427" s="215"/>
      <c r="M3427" s="53"/>
      <c r="N3427" s="53" t="str">
        <f t="shared" si="327"/>
        <v/>
      </c>
      <c r="O3427" s="72"/>
      <c r="P3427" s="36" t="str">
        <f t="shared" si="328"/>
        <v/>
      </c>
      <c r="Q3427" s="216" t="str">
        <f t="shared" si="329"/>
        <v/>
      </c>
      <c r="R3427" s="216" t="str">
        <f t="shared" si="330"/>
        <v/>
      </c>
      <c r="S3427" s="217" t="str">
        <f t="shared" si="331"/>
        <v/>
      </c>
    </row>
    <row r="3428" spans="1:19" ht="15.75" hidden="1" thickBot="1" x14ac:dyDescent="0.3">
      <c r="A3428" s="256" t="s">
        <v>889</v>
      </c>
      <c r="B3428" s="259" t="str">
        <f>INDEX(Orçamentária!A:B,MATCH(Composições!A3428,Orçamentária!A:A,0),2)</f>
        <v>Identificação e acondicionamento de placas de rocha ornamental</v>
      </c>
      <c r="C3428" s="40"/>
      <c r="D3428" s="25" t="s">
        <v>70</v>
      </c>
      <c r="E3428" s="26"/>
      <c r="F3428" s="48" t="s">
        <v>416</v>
      </c>
      <c r="G3428" s="27" t="str">
        <f t="shared" si="326"/>
        <v/>
      </c>
      <c r="H3428" s="28"/>
      <c r="I3428" s="29"/>
      <c r="J3428" s="152">
        <v>0</v>
      </c>
      <c r="L3428" s="218"/>
      <c r="M3428" s="48"/>
      <c r="N3428" s="27" t="str">
        <f t="shared" si="327"/>
        <v/>
      </c>
      <c r="O3428" s="28"/>
      <c r="P3428" s="36" t="str">
        <f t="shared" si="328"/>
        <v/>
      </c>
      <c r="Q3428" s="216" t="str">
        <f t="shared" si="329"/>
        <v/>
      </c>
      <c r="R3428" s="216" t="str">
        <f t="shared" si="330"/>
        <v/>
      </c>
      <c r="S3428" s="217" t="str">
        <f t="shared" si="331"/>
        <v/>
      </c>
    </row>
    <row r="3429" spans="1:19" ht="15.75" hidden="1" thickBot="1" x14ac:dyDescent="0.3">
      <c r="A3429" s="262"/>
      <c r="B3429" s="260"/>
      <c r="C3429" s="31"/>
      <c r="D3429" s="31"/>
      <c r="E3429" s="32"/>
      <c r="F3429" s="53" t="s">
        <v>416</v>
      </c>
      <c r="G3429" s="53" t="str">
        <f t="shared" si="326"/>
        <v/>
      </c>
      <c r="H3429" s="72"/>
      <c r="I3429" s="73"/>
      <c r="J3429" s="152">
        <v>0</v>
      </c>
      <c r="L3429" s="219"/>
      <c r="M3429" s="53"/>
      <c r="N3429" s="53" t="str">
        <f t="shared" si="327"/>
        <v/>
      </c>
      <c r="O3429" s="72"/>
      <c r="P3429" s="36" t="str">
        <f t="shared" si="328"/>
        <v/>
      </c>
      <c r="Q3429" s="216" t="str">
        <f t="shared" si="329"/>
        <v/>
      </c>
      <c r="R3429" s="216" t="str">
        <f t="shared" si="330"/>
        <v/>
      </c>
      <c r="S3429" s="217" t="str">
        <f t="shared" si="331"/>
        <v/>
      </c>
    </row>
    <row r="3430" spans="1:19" ht="15.75" hidden="1" thickBot="1" x14ac:dyDescent="0.3">
      <c r="A3430" s="262"/>
      <c r="B3430" s="260"/>
      <c r="C3430" s="35" t="s">
        <v>8303</v>
      </c>
      <c r="D3430" s="35" t="s">
        <v>861</v>
      </c>
      <c r="E3430" s="36">
        <v>1.05</v>
      </c>
      <c r="F3430" s="53">
        <v>4.6645000000000003</v>
      </c>
      <c r="G3430" s="53">
        <f t="shared" si="326"/>
        <v>4.8977250000000003</v>
      </c>
      <c r="H3430" s="38">
        <f>SUM(G3430:G3431)</f>
        <v>8.9428249999999991</v>
      </c>
      <c r="I3430" s="39"/>
      <c r="J3430" s="152">
        <v>0</v>
      </c>
      <c r="L3430" s="215">
        <v>1.05</v>
      </c>
      <c r="M3430" s="53">
        <v>3.9928120000000002</v>
      </c>
      <c r="N3430" s="53">
        <f t="shared" si="327"/>
        <v>4.1924526000000002</v>
      </c>
      <c r="O3430" s="38">
        <f>SUM(N3430:N3431)</f>
        <v>7.6550581999999991</v>
      </c>
      <c r="P3430" s="36" t="str">
        <f t="shared" si="328"/>
        <v/>
      </c>
      <c r="Q3430" s="216">
        <f t="shared" si="329"/>
        <v>0.14400000000000002</v>
      </c>
      <c r="R3430" s="216">
        <f t="shared" si="330"/>
        <v>0.14400000000000002</v>
      </c>
      <c r="S3430" s="217">
        <f t="shared" si="331"/>
        <v>0.14400000000000002</v>
      </c>
    </row>
    <row r="3431" spans="1:19" ht="15.75" hidden="1" thickBot="1" x14ac:dyDescent="0.3">
      <c r="A3431" s="262"/>
      <c r="B3431" s="260"/>
      <c r="C3431" s="35" t="s">
        <v>584</v>
      </c>
      <c r="D3431" s="35" t="s">
        <v>583</v>
      </c>
      <c r="E3431" s="36">
        <v>0.2</v>
      </c>
      <c r="F3431" s="53">
        <v>20.225499999999997</v>
      </c>
      <c r="G3431" s="53">
        <f t="shared" si="326"/>
        <v>4.0450999999999997</v>
      </c>
      <c r="H3431" s="72"/>
      <c r="I3431" s="73"/>
      <c r="J3431" s="152">
        <v>0</v>
      </c>
      <c r="L3431" s="215">
        <v>0.2</v>
      </c>
      <c r="M3431" s="53">
        <v>17.313027999999996</v>
      </c>
      <c r="N3431" s="53">
        <f t="shared" si="327"/>
        <v>3.4626055999999994</v>
      </c>
      <c r="O3431" s="72"/>
      <c r="P3431" s="36" t="str">
        <f t="shared" si="328"/>
        <v/>
      </c>
      <c r="Q3431" s="216">
        <f t="shared" si="329"/>
        <v>0.14400000000000013</v>
      </c>
      <c r="R3431" s="216">
        <f t="shared" si="330"/>
        <v>0.14400000000000013</v>
      </c>
      <c r="S3431" s="217" t="str">
        <f t="shared" si="331"/>
        <v/>
      </c>
    </row>
    <row r="3432" spans="1:19" ht="15.75" hidden="1" thickBot="1" x14ac:dyDescent="0.3">
      <c r="A3432" s="263"/>
      <c r="B3432" s="261"/>
      <c r="C3432" s="35"/>
      <c r="D3432" s="35"/>
      <c r="E3432" s="36"/>
      <c r="F3432" s="53" t="s">
        <v>416</v>
      </c>
      <c r="G3432" s="53" t="str">
        <f t="shared" si="326"/>
        <v/>
      </c>
      <c r="H3432" s="72"/>
      <c r="I3432" s="73"/>
      <c r="J3432" s="152">
        <v>0</v>
      </c>
      <c r="L3432" s="215"/>
      <c r="M3432" s="53"/>
      <c r="N3432" s="53" t="str">
        <f t="shared" si="327"/>
        <v/>
      </c>
      <c r="O3432" s="72"/>
      <c r="P3432" s="36" t="str">
        <f t="shared" si="328"/>
        <v/>
      </c>
      <c r="Q3432" s="216" t="str">
        <f t="shared" si="329"/>
        <v/>
      </c>
      <c r="R3432" s="216" t="str">
        <f t="shared" si="330"/>
        <v/>
      </c>
      <c r="S3432" s="217" t="str">
        <f t="shared" si="331"/>
        <v/>
      </c>
    </row>
    <row r="3433" spans="1:19" ht="15.75" hidden="1" thickBot="1" x14ac:dyDescent="0.3">
      <c r="A3433" s="256" t="s">
        <v>890</v>
      </c>
      <c r="B3433" s="259" t="str">
        <f>INDEX(Orçamentária!A:B,MATCH(Composições!A3433,Orçamentária!A:A,0),2)</f>
        <v>Limpeza de placas de rocha ornamental argamassada, para reaproveitamento</v>
      </c>
      <c r="C3433" s="40"/>
      <c r="D3433" s="25" t="s">
        <v>70</v>
      </c>
      <c r="E3433" s="26"/>
      <c r="F3433" s="48" t="s">
        <v>416</v>
      </c>
      <c r="G3433" s="27" t="str">
        <f t="shared" si="326"/>
        <v/>
      </c>
      <c r="H3433" s="28"/>
      <c r="I3433" s="29"/>
      <c r="J3433" s="152">
        <v>0</v>
      </c>
      <c r="L3433" s="218"/>
      <c r="M3433" s="48"/>
      <c r="N3433" s="27" t="str">
        <f t="shared" si="327"/>
        <v/>
      </c>
      <c r="O3433" s="28"/>
      <c r="P3433" s="36" t="str">
        <f t="shared" si="328"/>
        <v/>
      </c>
      <c r="Q3433" s="216" t="str">
        <f t="shared" si="329"/>
        <v/>
      </c>
      <c r="R3433" s="216" t="str">
        <f t="shared" si="330"/>
        <v/>
      </c>
      <c r="S3433" s="217" t="str">
        <f t="shared" si="331"/>
        <v/>
      </c>
    </row>
    <row r="3434" spans="1:19" ht="15.75" hidden="1" thickBot="1" x14ac:dyDescent="0.3">
      <c r="A3434" s="262"/>
      <c r="B3434" s="260"/>
      <c r="C3434" s="31"/>
      <c r="D3434" s="31"/>
      <c r="E3434" s="32"/>
      <c r="F3434" s="53" t="s">
        <v>416</v>
      </c>
      <c r="G3434" s="53" t="str">
        <f t="shared" si="326"/>
        <v/>
      </c>
      <c r="H3434" s="72"/>
      <c r="I3434" s="73"/>
      <c r="J3434" s="152">
        <v>0</v>
      </c>
      <c r="L3434" s="219"/>
      <c r="M3434" s="53"/>
      <c r="N3434" s="53" t="str">
        <f t="shared" si="327"/>
        <v/>
      </c>
      <c r="O3434" s="72"/>
      <c r="P3434" s="36" t="str">
        <f t="shared" si="328"/>
        <v/>
      </c>
      <c r="Q3434" s="216" t="str">
        <f t="shared" si="329"/>
        <v/>
      </c>
      <c r="R3434" s="216" t="str">
        <f t="shared" si="330"/>
        <v/>
      </c>
      <c r="S3434" s="217" t="str">
        <f t="shared" si="331"/>
        <v/>
      </c>
    </row>
    <row r="3435" spans="1:19" ht="15.75" hidden="1" thickBot="1" x14ac:dyDescent="0.3">
      <c r="A3435" s="262"/>
      <c r="B3435" s="260"/>
      <c r="C3435" s="35" t="s">
        <v>584</v>
      </c>
      <c r="D3435" s="35" t="s">
        <v>583</v>
      </c>
      <c r="E3435" s="36">
        <v>0.3</v>
      </c>
      <c r="F3435" s="53">
        <v>20.225499999999997</v>
      </c>
      <c r="G3435" s="53">
        <f t="shared" si="326"/>
        <v>6.0676499999999987</v>
      </c>
      <c r="H3435" s="38">
        <f>SUM(G3435)</f>
        <v>6.0676499999999987</v>
      </c>
      <c r="I3435" s="39"/>
      <c r="J3435" s="152">
        <v>0</v>
      </c>
      <c r="L3435" s="215">
        <v>0.3</v>
      </c>
      <c r="M3435" s="53">
        <v>17.313027999999996</v>
      </c>
      <c r="N3435" s="53">
        <f t="shared" si="327"/>
        <v>5.1939083999999989</v>
      </c>
      <c r="O3435" s="38">
        <f>SUM(N3435)</f>
        <v>5.1939083999999989</v>
      </c>
      <c r="P3435" s="36" t="str">
        <f t="shared" si="328"/>
        <v/>
      </c>
      <c r="Q3435" s="216">
        <f t="shared" si="329"/>
        <v>0.14400000000000013</v>
      </c>
      <c r="R3435" s="216">
        <f t="shared" si="330"/>
        <v>0.14400000000000002</v>
      </c>
      <c r="S3435" s="217">
        <f t="shared" si="331"/>
        <v>0.14400000000000002</v>
      </c>
    </row>
    <row r="3436" spans="1:19" ht="15.75" hidden="1" thickBot="1" x14ac:dyDescent="0.3">
      <c r="A3436" s="263"/>
      <c r="B3436" s="261"/>
      <c r="C3436" s="35"/>
      <c r="D3436" s="35"/>
      <c r="E3436" s="36"/>
      <c r="F3436" s="53" t="s">
        <v>416</v>
      </c>
      <c r="G3436" s="53" t="str">
        <f t="shared" ref="G3436:G3499" si="332">IF(ISNUMBER(F3436),E3436*F3436,"")</f>
        <v/>
      </c>
      <c r="H3436" s="72"/>
      <c r="I3436" s="73"/>
      <c r="J3436" s="152">
        <v>0</v>
      </c>
      <c r="L3436" s="215"/>
      <c r="M3436" s="53"/>
      <c r="N3436" s="53" t="str">
        <f t="shared" ref="N3436:N3499" si="333">IF(ISNUMBER(M3436),L3436*M3436,"")</f>
        <v/>
      </c>
      <c r="O3436" s="72"/>
      <c r="P3436" s="36" t="str">
        <f t="shared" si="328"/>
        <v/>
      </c>
      <c r="Q3436" s="216" t="str">
        <f t="shared" si="329"/>
        <v/>
      </c>
      <c r="R3436" s="216" t="str">
        <f t="shared" si="330"/>
        <v/>
      </c>
      <c r="S3436" s="217" t="str">
        <f t="shared" si="331"/>
        <v/>
      </c>
    </row>
    <row r="3437" spans="1:19" ht="15.75" hidden="1" thickBot="1" x14ac:dyDescent="0.3">
      <c r="A3437" s="256" t="s">
        <v>891</v>
      </c>
      <c r="B3437" s="259" t="str">
        <f>INDEX(Orçamentária!A:B,MATCH(Composições!A3437,Orçamentária!A:A,0),2)</f>
        <v>Remoção e acondicionamento de fixadores metálicos para placas de mármore em fachada (modelo Ed. Principal)</v>
      </c>
      <c r="C3437" s="40"/>
      <c r="D3437" s="25" t="s">
        <v>16</v>
      </c>
      <c r="E3437" s="26"/>
      <c r="F3437" s="48" t="s">
        <v>416</v>
      </c>
      <c r="G3437" s="27" t="str">
        <f t="shared" si="332"/>
        <v/>
      </c>
      <c r="H3437" s="28"/>
      <c r="I3437" s="29"/>
      <c r="J3437" s="152">
        <v>0</v>
      </c>
      <c r="L3437" s="218"/>
      <c r="M3437" s="48"/>
      <c r="N3437" s="27" t="str">
        <f t="shared" si="333"/>
        <v/>
      </c>
      <c r="O3437" s="28"/>
      <c r="P3437" s="36" t="str">
        <f t="shared" si="328"/>
        <v/>
      </c>
      <c r="Q3437" s="216" t="str">
        <f t="shared" si="329"/>
        <v/>
      </c>
      <c r="R3437" s="216" t="str">
        <f t="shared" si="330"/>
        <v/>
      </c>
      <c r="S3437" s="217" t="str">
        <f t="shared" si="331"/>
        <v/>
      </c>
    </row>
    <row r="3438" spans="1:19" ht="15.75" hidden="1" thickBot="1" x14ac:dyDescent="0.3">
      <c r="A3438" s="262"/>
      <c r="B3438" s="260"/>
      <c r="C3438" s="31"/>
      <c r="D3438" s="31"/>
      <c r="E3438" s="32"/>
      <c r="F3438" s="53" t="s">
        <v>416</v>
      </c>
      <c r="G3438" s="53" t="str">
        <f t="shared" si="332"/>
        <v/>
      </c>
      <c r="H3438" s="72"/>
      <c r="I3438" s="73"/>
      <c r="J3438" s="152">
        <v>0</v>
      </c>
      <c r="L3438" s="219"/>
      <c r="M3438" s="53"/>
      <c r="N3438" s="53" t="str">
        <f t="shared" si="333"/>
        <v/>
      </c>
      <c r="O3438" s="72"/>
      <c r="P3438" s="36" t="str">
        <f t="shared" si="328"/>
        <v/>
      </c>
      <c r="Q3438" s="216" t="str">
        <f t="shared" si="329"/>
        <v/>
      </c>
      <c r="R3438" s="216" t="str">
        <f t="shared" si="330"/>
        <v/>
      </c>
      <c r="S3438" s="217" t="str">
        <f t="shared" si="331"/>
        <v/>
      </c>
    </row>
    <row r="3439" spans="1:19" ht="15.75" hidden="1" thickBot="1" x14ac:dyDescent="0.3">
      <c r="A3439" s="262"/>
      <c r="B3439" s="260"/>
      <c r="C3439" s="35" t="s">
        <v>584</v>
      </c>
      <c r="D3439" s="35" t="s">
        <v>583</v>
      </c>
      <c r="E3439" s="36">
        <v>0.1</v>
      </c>
      <c r="F3439" s="53">
        <v>20.225499999999997</v>
      </c>
      <c r="G3439" s="53">
        <f t="shared" si="332"/>
        <v>2.0225499999999998</v>
      </c>
      <c r="H3439" s="38">
        <f>SUM(G3439)</f>
        <v>2.0225499999999998</v>
      </c>
      <c r="I3439" s="39"/>
      <c r="J3439" s="152">
        <v>0</v>
      </c>
      <c r="L3439" s="215">
        <v>0.1</v>
      </c>
      <c r="M3439" s="53">
        <v>17.313027999999996</v>
      </c>
      <c r="N3439" s="53">
        <f t="shared" si="333"/>
        <v>1.7313027999999997</v>
      </c>
      <c r="O3439" s="38">
        <f>SUM(N3439)</f>
        <v>1.7313027999999997</v>
      </c>
      <c r="P3439" s="36" t="str">
        <f t="shared" si="328"/>
        <v/>
      </c>
      <c r="Q3439" s="216">
        <f t="shared" si="329"/>
        <v>0.14400000000000013</v>
      </c>
      <c r="R3439" s="216">
        <f t="shared" si="330"/>
        <v>0.14400000000000013</v>
      </c>
      <c r="S3439" s="217">
        <f t="shared" si="331"/>
        <v>0.14400000000000013</v>
      </c>
    </row>
    <row r="3440" spans="1:19" ht="15.75" hidden="1" thickBot="1" x14ac:dyDescent="0.3">
      <c r="A3440" s="263"/>
      <c r="B3440" s="261"/>
      <c r="C3440" s="35"/>
      <c r="D3440" s="35"/>
      <c r="E3440" s="36"/>
      <c r="F3440" s="53" t="s">
        <v>416</v>
      </c>
      <c r="G3440" s="53" t="str">
        <f t="shared" si="332"/>
        <v/>
      </c>
      <c r="H3440" s="72"/>
      <c r="I3440" s="73"/>
      <c r="J3440" s="152">
        <v>0</v>
      </c>
      <c r="L3440" s="215"/>
      <c r="M3440" s="53"/>
      <c r="N3440" s="53" t="str">
        <f t="shared" si="333"/>
        <v/>
      </c>
      <c r="O3440" s="72"/>
      <c r="P3440" s="36" t="str">
        <f t="shared" si="328"/>
        <v/>
      </c>
      <c r="Q3440" s="216" t="str">
        <f t="shared" si="329"/>
        <v/>
      </c>
      <c r="R3440" s="216" t="str">
        <f t="shared" si="330"/>
        <v/>
      </c>
      <c r="S3440" s="217" t="str">
        <f t="shared" si="331"/>
        <v/>
      </c>
    </row>
    <row r="3441" spans="1:19" ht="15.75" hidden="1" thickBot="1" x14ac:dyDescent="0.3">
      <c r="A3441" s="256" t="s">
        <v>892</v>
      </c>
      <c r="B3441" s="259" t="str">
        <f>INDEX(Orçamentária!A:B,MATCH(Composições!A3441,Orçamentária!A:A,0),2)</f>
        <v>Instalação de fixadores metálicos para placas de mármore em fachada reaproveitados (modelo Ed. Principal)</v>
      </c>
      <c r="C3441" s="40"/>
      <c r="D3441" s="25" t="s">
        <v>16</v>
      </c>
      <c r="E3441" s="26"/>
      <c r="F3441" s="48" t="s">
        <v>416</v>
      </c>
      <c r="G3441" s="27" t="str">
        <f t="shared" si="332"/>
        <v/>
      </c>
      <c r="H3441" s="28"/>
      <c r="I3441" s="29"/>
      <c r="J3441" s="152">
        <v>0</v>
      </c>
      <c r="L3441" s="218"/>
      <c r="M3441" s="48"/>
      <c r="N3441" s="27" t="str">
        <f t="shared" si="333"/>
        <v/>
      </c>
      <c r="O3441" s="28"/>
      <c r="P3441" s="36" t="str">
        <f t="shared" si="328"/>
        <v/>
      </c>
      <c r="Q3441" s="216" t="str">
        <f t="shared" si="329"/>
        <v/>
      </c>
      <c r="R3441" s="216" t="str">
        <f t="shared" si="330"/>
        <v/>
      </c>
      <c r="S3441" s="217" t="str">
        <f t="shared" si="331"/>
        <v/>
      </c>
    </row>
    <row r="3442" spans="1:19" ht="15.75" hidden="1" thickBot="1" x14ac:dyDescent="0.3">
      <c r="A3442" s="262"/>
      <c r="B3442" s="260"/>
      <c r="C3442" s="31"/>
      <c r="D3442" s="31"/>
      <c r="E3442" s="32"/>
      <c r="F3442" s="53" t="s">
        <v>416</v>
      </c>
      <c r="G3442" s="53" t="str">
        <f t="shared" si="332"/>
        <v/>
      </c>
      <c r="H3442" s="72"/>
      <c r="I3442" s="73"/>
      <c r="J3442" s="152">
        <v>0</v>
      </c>
      <c r="L3442" s="219"/>
      <c r="M3442" s="53"/>
      <c r="N3442" s="53" t="str">
        <f t="shared" si="333"/>
        <v/>
      </c>
      <c r="O3442" s="72"/>
      <c r="P3442" s="36" t="str">
        <f t="shared" si="328"/>
        <v/>
      </c>
      <c r="Q3442" s="216" t="str">
        <f t="shared" si="329"/>
        <v/>
      </c>
      <c r="R3442" s="216" t="str">
        <f t="shared" si="330"/>
        <v/>
      </c>
      <c r="S3442" s="217" t="str">
        <f t="shared" si="331"/>
        <v/>
      </c>
    </row>
    <row r="3443" spans="1:19" ht="15.75" hidden="1" thickBot="1" x14ac:dyDescent="0.3">
      <c r="A3443" s="262"/>
      <c r="B3443" s="260"/>
      <c r="C3443" s="35" t="s">
        <v>591</v>
      </c>
      <c r="D3443" s="35" t="s">
        <v>583</v>
      </c>
      <c r="E3443" s="36">
        <f>0.1+0.1</f>
        <v>0.2</v>
      </c>
      <c r="F3443" s="53">
        <v>27.160499999999999</v>
      </c>
      <c r="G3443" s="53">
        <f t="shared" si="332"/>
        <v>5.4321000000000002</v>
      </c>
      <c r="H3443" s="38">
        <f>SUM(G3443:G3447)</f>
        <v>9.7687871391722965</v>
      </c>
      <c r="I3443" s="39"/>
      <c r="J3443" s="152">
        <v>0</v>
      </c>
      <c r="L3443" s="215">
        <v>0.2</v>
      </c>
      <c r="M3443" s="53">
        <v>23.249388</v>
      </c>
      <c r="N3443" s="53">
        <f t="shared" si="333"/>
        <v>4.6498775999999999</v>
      </c>
      <c r="O3443" s="38">
        <f>SUM(N3443:N3447)</f>
        <v>8.3620817911314855</v>
      </c>
      <c r="P3443" s="36" t="str">
        <f t="shared" si="328"/>
        <v/>
      </c>
      <c r="Q3443" s="216">
        <f t="shared" si="329"/>
        <v>0.14400000000000002</v>
      </c>
      <c r="R3443" s="216">
        <f t="shared" si="330"/>
        <v>0.14400000000000002</v>
      </c>
      <c r="S3443" s="217">
        <f t="shared" si="331"/>
        <v>0.14400000000000002</v>
      </c>
    </row>
    <row r="3444" spans="1:19" ht="15.75" hidden="1" thickBot="1" x14ac:dyDescent="0.3">
      <c r="A3444" s="262"/>
      <c r="B3444" s="260"/>
      <c r="C3444" s="35" t="s">
        <v>584</v>
      </c>
      <c r="D3444" s="35" t="s">
        <v>583</v>
      </c>
      <c r="E3444" s="36">
        <f>0.1+0.1</f>
        <v>0.2</v>
      </c>
      <c r="F3444" s="53">
        <v>20.225499999999997</v>
      </c>
      <c r="G3444" s="53">
        <f t="shared" si="332"/>
        <v>4.0450999999999997</v>
      </c>
      <c r="H3444" s="72"/>
      <c r="I3444" s="73"/>
      <c r="J3444" s="152">
        <v>0</v>
      </c>
      <c r="L3444" s="215">
        <v>0.2</v>
      </c>
      <c r="M3444" s="53">
        <v>17.313027999999996</v>
      </c>
      <c r="N3444" s="53">
        <f t="shared" si="333"/>
        <v>3.4626055999999994</v>
      </c>
      <c r="O3444" s="72"/>
      <c r="P3444" s="36" t="str">
        <f t="shared" si="328"/>
        <v/>
      </c>
      <c r="Q3444" s="216">
        <f t="shared" si="329"/>
        <v>0.14400000000000013</v>
      </c>
      <c r="R3444" s="216">
        <f t="shared" si="330"/>
        <v>0.14400000000000013</v>
      </c>
      <c r="S3444" s="217" t="str">
        <f t="shared" si="331"/>
        <v/>
      </c>
    </row>
    <row r="3445" spans="1:19" ht="15.75" hidden="1" thickBot="1" x14ac:dyDescent="0.3">
      <c r="A3445" s="262"/>
      <c r="B3445" s="260"/>
      <c r="C3445" s="35" t="s">
        <v>893</v>
      </c>
      <c r="D3445" s="35" t="s">
        <v>107</v>
      </c>
      <c r="E3445" s="36">
        <f>0.016*2</f>
        <v>3.2000000000000001E-2</v>
      </c>
      <c r="F3445" s="53">
        <v>0</v>
      </c>
      <c r="G3445" s="53">
        <f t="shared" si="332"/>
        <v>0</v>
      </c>
      <c r="H3445" s="72"/>
      <c r="I3445" s="73"/>
      <c r="J3445" s="152">
        <v>0</v>
      </c>
      <c r="L3445" s="215">
        <v>3.2000000000000001E-2</v>
      </c>
      <c r="M3445" s="53">
        <v>0</v>
      </c>
      <c r="N3445" s="53">
        <f t="shared" si="333"/>
        <v>0</v>
      </c>
      <c r="O3445" s="72"/>
      <c r="P3445" s="36" t="str">
        <f t="shared" si="328"/>
        <v/>
      </c>
      <c r="Q3445" s="216" t="e">
        <f t="shared" si="329"/>
        <v>#DIV/0!</v>
      </c>
      <c r="R3445" s="216" t="e">
        <f t="shared" si="330"/>
        <v>#DIV/0!</v>
      </c>
      <c r="S3445" s="217" t="str">
        <f t="shared" si="331"/>
        <v/>
      </c>
    </row>
    <row r="3446" spans="1:19" ht="15.75" hidden="1" thickBot="1" x14ac:dyDescent="0.3">
      <c r="A3446" s="262"/>
      <c r="B3446" s="260"/>
      <c r="C3446" s="35" t="s">
        <v>894</v>
      </c>
      <c r="D3446" s="35" t="s">
        <v>895</v>
      </c>
      <c r="E3446" s="36">
        <f>0.1*2</f>
        <v>0.2</v>
      </c>
      <c r="F3446" s="53">
        <v>0</v>
      </c>
      <c r="G3446" s="53">
        <f t="shared" si="332"/>
        <v>0</v>
      </c>
      <c r="H3446" s="72"/>
      <c r="I3446" s="73"/>
      <c r="J3446" s="152">
        <v>0</v>
      </c>
      <c r="L3446" s="215">
        <v>0.2</v>
      </c>
      <c r="M3446" s="53">
        <v>0</v>
      </c>
      <c r="N3446" s="53">
        <f t="shared" si="333"/>
        <v>0</v>
      </c>
      <c r="O3446" s="72"/>
      <c r="P3446" s="36" t="str">
        <f t="shared" si="328"/>
        <v/>
      </c>
      <c r="Q3446" s="216" t="e">
        <f t="shared" si="329"/>
        <v>#DIV/0!</v>
      </c>
      <c r="R3446" s="216" t="e">
        <f t="shared" si="330"/>
        <v>#DIV/0!</v>
      </c>
      <c r="S3446" s="217" t="str">
        <f t="shared" si="331"/>
        <v/>
      </c>
    </row>
    <row r="3447" spans="1:19" ht="39" hidden="1" thickBot="1" x14ac:dyDescent="0.3">
      <c r="A3447" s="262"/>
      <c r="B3447" s="260"/>
      <c r="C3447" s="35" t="s">
        <v>896</v>
      </c>
      <c r="D3447" s="35" t="s">
        <v>80</v>
      </c>
      <c r="E3447" s="36">
        <f>ROUND(0.15*0.05*0.05,4)</f>
        <v>4.0000000000000002E-4</v>
      </c>
      <c r="F3447" s="53">
        <v>728.96784793074005</v>
      </c>
      <c r="G3447" s="53">
        <f t="shared" si="332"/>
        <v>0.29158713917229601</v>
      </c>
      <c r="H3447" s="72"/>
      <c r="I3447" s="73"/>
      <c r="J3447" s="152">
        <v>0</v>
      </c>
      <c r="L3447" s="215">
        <v>4.0000000000000002E-4</v>
      </c>
      <c r="M3447" s="53">
        <v>623.99647782871352</v>
      </c>
      <c r="N3447" s="53">
        <f t="shared" si="333"/>
        <v>0.24959859113148541</v>
      </c>
      <c r="O3447" s="72"/>
      <c r="P3447" s="36" t="str">
        <f t="shared" si="328"/>
        <v/>
      </c>
      <c r="Q3447" s="216">
        <f t="shared" si="329"/>
        <v>0.14399999999999991</v>
      </c>
      <c r="R3447" s="216">
        <f t="shared" si="330"/>
        <v>0.14399999999999991</v>
      </c>
      <c r="S3447" s="217" t="str">
        <f t="shared" si="331"/>
        <v/>
      </c>
    </row>
    <row r="3448" spans="1:19" ht="15.75" hidden="1" thickBot="1" x14ac:dyDescent="0.3">
      <c r="A3448" s="262"/>
      <c r="B3448" s="260"/>
      <c r="C3448" s="35"/>
      <c r="D3448" s="35"/>
      <c r="E3448" s="36"/>
      <c r="F3448" s="53" t="s">
        <v>416</v>
      </c>
      <c r="G3448" s="53" t="str">
        <f t="shared" si="332"/>
        <v/>
      </c>
      <c r="H3448" s="72"/>
      <c r="I3448" s="73"/>
      <c r="J3448" s="152">
        <v>0</v>
      </c>
      <c r="L3448" s="215"/>
      <c r="M3448" s="53"/>
      <c r="N3448" s="53" t="str">
        <f t="shared" si="333"/>
        <v/>
      </c>
      <c r="O3448" s="72"/>
      <c r="P3448" s="36" t="str">
        <f t="shared" si="328"/>
        <v/>
      </c>
      <c r="Q3448" s="216" t="str">
        <f t="shared" si="329"/>
        <v/>
      </c>
      <c r="R3448" s="216" t="str">
        <f t="shared" si="330"/>
        <v/>
      </c>
      <c r="S3448" s="217" t="str">
        <f t="shared" si="331"/>
        <v/>
      </c>
    </row>
    <row r="3449" spans="1:19" ht="15.75" hidden="1" thickBot="1" x14ac:dyDescent="0.3">
      <c r="A3449" s="262"/>
      <c r="B3449" s="260"/>
      <c r="C3449" s="149" t="s">
        <v>897</v>
      </c>
      <c r="D3449" s="35"/>
      <c r="E3449" s="36"/>
      <c r="F3449" s="53" t="s">
        <v>416</v>
      </c>
      <c r="G3449" s="53" t="str">
        <f t="shared" si="332"/>
        <v/>
      </c>
      <c r="H3449" s="72"/>
      <c r="I3449" s="73"/>
      <c r="J3449" s="152">
        <v>0</v>
      </c>
      <c r="L3449" s="215"/>
      <c r="M3449" s="53"/>
      <c r="N3449" s="53" t="str">
        <f t="shared" si="333"/>
        <v/>
      </c>
      <c r="O3449" s="72"/>
      <c r="P3449" s="36" t="str">
        <f t="shared" si="328"/>
        <v/>
      </c>
      <c r="Q3449" s="216" t="str">
        <f t="shared" si="329"/>
        <v/>
      </c>
      <c r="R3449" s="216" t="str">
        <f t="shared" si="330"/>
        <v/>
      </c>
      <c r="S3449" s="217" t="str">
        <f t="shared" si="331"/>
        <v/>
      </c>
    </row>
    <row r="3450" spans="1:19" ht="15.75" hidden="1" thickBot="1" x14ac:dyDescent="0.3">
      <c r="A3450" s="263"/>
      <c r="B3450" s="261"/>
      <c r="C3450" s="35"/>
      <c r="D3450" s="35"/>
      <c r="E3450" s="36"/>
      <c r="F3450" s="53" t="s">
        <v>416</v>
      </c>
      <c r="G3450" s="53" t="str">
        <f t="shared" si="332"/>
        <v/>
      </c>
      <c r="H3450" s="72"/>
      <c r="I3450" s="73"/>
      <c r="J3450" s="152">
        <v>0</v>
      </c>
      <c r="L3450" s="215"/>
      <c r="M3450" s="53"/>
      <c r="N3450" s="53" t="str">
        <f t="shared" si="333"/>
        <v/>
      </c>
      <c r="O3450" s="72"/>
      <c r="P3450" s="36" t="str">
        <f t="shared" si="328"/>
        <v/>
      </c>
      <c r="Q3450" s="216" t="str">
        <f t="shared" si="329"/>
        <v/>
      </c>
      <c r="R3450" s="216" t="str">
        <f t="shared" si="330"/>
        <v/>
      </c>
      <c r="S3450" s="217" t="str">
        <f t="shared" si="331"/>
        <v/>
      </c>
    </row>
    <row r="3451" spans="1:19" ht="15.75" hidden="1" thickBot="1" x14ac:dyDescent="0.3">
      <c r="A3451" s="256" t="s">
        <v>898</v>
      </c>
      <c r="B3451" s="259" t="str">
        <f>INDEX(Orçamentária!A:B,MATCH(Composições!A3451,Orçamentária!A:A,0),2)</f>
        <v>Fixadores metálicos para rochas ornamentais (tipo Ed. Principal, peça superior)</v>
      </c>
      <c r="C3451" s="40"/>
      <c r="D3451" s="25" t="s">
        <v>16</v>
      </c>
      <c r="E3451" s="26"/>
      <c r="F3451" s="48" t="s">
        <v>416</v>
      </c>
      <c r="G3451" s="27" t="str">
        <f t="shared" si="332"/>
        <v/>
      </c>
      <c r="H3451" s="28"/>
      <c r="I3451" s="29"/>
      <c r="J3451" s="152">
        <v>0</v>
      </c>
      <c r="L3451" s="218"/>
      <c r="M3451" s="48"/>
      <c r="N3451" s="27" t="str">
        <f t="shared" si="333"/>
        <v/>
      </c>
      <c r="O3451" s="28"/>
      <c r="P3451" s="36" t="str">
        <f t="shared" si="328"/>
        <v/>
      </c>
      <c r="Q3451" s="216" t="str">
        <f t="shared" si="329"/>
        <v/>
      </c>
      <c r="R3451" s="216" t="str">
        <f t="shared" si="330"/>
        <v/>
      </c>
      <c r="S3451" s="217" t="str">
        <f t="shared" si="331"/>
        <v/>
      </c>
    </row>
    <row r="3452" spans="1:19" ht="15.75" hidden="1" thickBot="1" x14ac:dyDescent="0.3">
      <c r="A3452" s="262"/>
      <c r="B3452" s="260"/>
      <c r="C3452" s="31"/>
      <c r="D3452" s="31"/>
      <c r="E3452" s="32"/>
      <c r="F3452" s="53" t="s">
        <v>416</v>
      </c>
      <c r="G3452" s="53" t="str">
        <f t="shared" si="332"/>
        <v/>
      </c>
      <c r="H3452" s="72"/>
      <c r="I3452" s="73"/>
      <c r="J3452" s="152">
        <v>0</v>
      </c>
      <c r="L3452" s="219"/>
      <c r="M3452" s="53"/>
      <c r="N3452" s="53" t="str">
        <f t="shared" si="333"/>
        <v/>
      </c>
      <c r="O3452" s="72"/>
      <c r="P3452" s="36" t="str">
        <f t="shared" si="328"/>
        <v/>
      </c>
      <c r="Q3452" s="216" t="str">
        <f t="shared" si="329"/>
        <v/>
      </c>
      <c r="R3452" s="216" t="str">
        <f t="shared" si="330"/>
        <v/>
      </c>
      <c r="S3452" s="217" t="str">
        <f t="shared" si="331"/>
        <v/>
      </c>
    </row>
    <row r="3453" spans="1:19" ht="15.75" hidden="1" thickBot="1" x14ac:dyDescent="0.3">
      <c r="A3453" s="262"/>
      <c r="B3453" s="260"/>
      <c r="C3453" s="35" t="s">
        <v>591</v>
      </c>
      <c r="D3453" s="35" t="s">
        <v>583</v>
      </c>
      <c r="E3453" s="36">
        <f>0.1+0.1</f>
        <v>0.2</v>
      </c>
      <c r="F3453" s="53">
        <v>27.160499999999999</v>
      </c>
      <c r="G3453" s="53">
        <f t="shared" si="332"/>
        <v>5.4321000000000002</v>
      </c>
      <c r="H3453" s="38">
        <f>SUM(G3453:G3458)</f>
        <v>9.7687871391722965</v>
      </c>
      <c r="I3453" s="39"/>
      <c r="J3453" s="152">
        <v>0</v>
      </c>
      <c r="L3453" s="215">
        <v>0.2</v>
      </c>
      <c r="M3453" s="53">
        <v>23.249388</v>
      </c>
      <c r="N3453" s="53">
        <f t="shared" si="333"/>
        <v>4.6498775999999999</v>
      </c>
      <c r="O3453" s="38">
        <f>SUM(N3453:N3458)</f>
        <v>8.3620817911314855</v>
      </c>
      <c r="P3453" s="36" t="str">
        <f t="shared" si="328"/>
        <v/>
      </c>
      <c r="Q3453" s="216">
        <f t="shared" si="329"/>
        <v>0.14400000000000002</v>
      </c>
      <c r="R3453" s="216">
        <f t="shared" si="330"/>
        <v>0.14400000000000002</v>
      </c>
      <c r="S3453" s="217">
        <f t="shared" si="331"/>
        <v>0.14400000000000002</v>
      </c>
    </row>
    <row r="3454" spans="1:19" ht="15.75" hidden="1" thickBot="1" x14ac:dyDescent="0.3">
      <c r="A3454" s="262"/>
      <c r="B3454" s="260"/>
      <c r="C3454" s="35" t="s">
        <v>584</v>
      </c>
      <c r="D3454" s="35" t="s">
        <v>583</v>
      </c>
      <c r="E3454" s="36">
        <f>0.1+0.1</f>
        <v>0.2</v>
      </c>
      <c r="F3454" s="53">
        <v>20.225499999999997</v>
      </c>
      <c r="G3454" s="53">
        <f t="shared" si="332"/>
        <v>4.0450999999999997</v>
      </c>
      <c r="H3454" s="72"/>
      <c r="I3454" s="73"/>
      <c r="J3454" s="152">
        <v>0</v>
      </c>
      <c r="L3454" s="215">
        <v>0.2</v>
      </c>
      <c r="M3454" s="53">
        <v>17.313027999999996</v>
      </c>
      <c r="N3454" s="53">
        <f t="shared" si="333"/>
        <v>3.4626055999999994</v>
      </c>
      <c r="O3454" s="72"/>
      <c r="P3454" s="36" t="str">
        <f t="shared" si="328"/>
        <v/>
      </c>
      <c r="Q3454" s="216">
        <f t="shared" si="329"/>
        <v>0.14400000000000013</v>
      </c>
      <c r="R3454" s="216">
        <f t="shared" si="330"/>
        <v>0.14400000000000013</v>
      </c>
      <c r="S3454" s="217" t="str">
        <f t="shared" si="331"/>
        <v/>
      </c>
    </row>
    <row r="3455" spans="1:19" ht="15.75" hidden="1" thickBot="1" x14ac:dyDescent="0.3">
      <c r="A3455" s="262"/>
      <c r="B3455" s="260"/>
      <c r="C3455" s="35" t="s">
        <v>893</v>
      </c>
      <c r="D3455" s="35" t="s">
        <v>107</v>
      </c>
      <c r="E3455" s="36">
        <f>0.016*2</f>
        <v>3.2000000000000001E-2</v>
      </c>
      <c r="F3455" s="53">
        <v>0</v>
      </c>
      <c r="G3455" s="53">
        <f t="shared" si="332"/>
        <v>0</v>
      </c>
      <c r="H3455" s="72"/>
      <c r="I3455" s="73"/>
      <c r="J3455" s="152">
        <v>0</v>
      </c>
      <c r="L3455" s="215">
        <v>3.2000000000000001E-2</v>
      </c>
      <c r="M3455" s="53">
        <v>0</v>
      </c>
      <c r="N3455" s="53">
        <f t="shared" si="333"/>
        <v>0</v>
      </c>
      <c r="O3455" s="72"/>
      <c r="P3455" s="36" t="str">
        <f t="shared" si="328"/>
        <v/>
      </c>
      <c r="Q3455" s="216" t="e">
        <f t="shared" si="329"/>
        <v>#DIV/0!</v>
      </c>
      <c r="R3455" s="216" t="e">
        <f t="shared" si="330"/>
        <v>#DIV/0!</v>
      </c>
      <c r="S3455" s="217" t="str">
        <f t="shared" si="331"/>
        <v/>
      </c>
    </row>
    <row r="3456" spans="1:19" ht="15.75" hidden="1" thickBot="1" x14ac:dyDescent="0.3">
      <c r="A3456" s="262"/>
      <c r="B3456" s="260"/>
      <c r="C3456" s="35" t="s">
        <v>894</v>
      </c>
      <c r="D3456" s="35" t="s">
        <v>895</v>
      </c>
      <c r="E3456" s="36">
        <f>0.1*2</f>
        <v>0.2</v>
      </c>
      <c r="F3456" s="53">
        <v>0</v>
      </c>
      <c r="G3456" s="53">
        <f t="shared" si="332"/>
        <v>0</v>
      </c>
      <c r="H3456" s="72"/>
      <c r="I3456" s="73"/>
      <c r="J3456" s="152">
        <v>0</v>
      </c>
      <c r="L3456" s="215">
        <v>0.2</v>
      </c>
      <c r="M3456" s="53">
        <v>0</v>
      </c>
      <c r="N3456" s="53">
        <f t="shared" si="333"/>
        <v>0</v>
      </c>
      <c r="O3456" s="72"/>
      <c r="P3456" s="36" t="str">
        <f t="shared" si="328"/>
        <v/>
      </c>
      <c r="Q3456" s="216" t="e">
        <f t="shared" si="329"/>
        <v>#DIV/0!</v>
      </c>
      <c r="R3456" s="216" t="e">
        <f t="shared" si="330"/>
        <v>#DIV/0!</v>
      </c>
      <c r="S3456" s="217" t="str">
        <f t="shared" si="331"/>
        <v/>
      </c>
    </row>
    <row r="3457" spans="1:19" ht="15.75" hidden="1" thickBot="1" x14ac:dyDescent="0.3">
      <c r="A3457" s="262"/>
      <c r="B3457" s="260"/>
      <c r="C3457" s="35" t="s">
        <v>899</v>
      </c>
      <c r="D3457" s="35" t="s">
        <v>107</v>
      </c>
      <c r="E3457" s="36">
        <v>1</v>
      </c>
      <c r="F3457" s="53" t="s">
        <v>416</v>
      </c>
      <c r="G3457" s="53" t="str">
        <f t="shared" si="332"/>
        <v/>
      </c>
      <c r="H3457" s="72"/>
      <c r="I3457" s="73"/>
      <c r="J3457" s="152">
        <v>0</v>
      </c>
      <c r="L3457" s="215">
        <v>1</v>
      </c>
      <c r="M3457" s="53"/>
      <c r="N3457" s="53" t="str">
        <f t="shared" si="333"/>
        <v/>
      </c>
      <c r="O3457" s="72"/>
      <c r="P3457" s="36" t="str">
        <f t="shared" si="328"/>
        <v/>
      </c>
      <c r="Q3457" s="216" t="str">
        <f t="shared" si="329"/>
        <v/>
      </c>
      <c r="R3457" s="216" t="str">
        <f t="shared" si="330"/>
        <v/>
      </c>
      <c r="S3457" s="217" t="str">
        <f t="shared" si="331"/>
        <v/>
      </c>
    </row>
    <row r="3458" spans="1:19" ht="39" hidden="1" thickBot="1" x14ac:dyDescent="0.3">
      <c r="A3458" s="262"/>
      <c r="B3458" s="260"/>
      <c r="C3458" s="35" t="s">
        <v>896</v>
      </c>
      <c r="D3458" s="35" t="s">
        <v>80</v>
      </c>
      <c r="E3458" s="36">
        <f>ROUND(0.15*0.05*0.05,4)</f>
        <v>4.0000000000000002E-4</v>
      </c>
      <c r="F3458" s="53">
        <v>728.96784793074005</v>
      </c>
      <c r="G3458" s="53">
        <f t="shared" si="332"/>
        <v>0.29158713917229601</v>
      </c>
      <c r="H3458" s="72"/>
      <c r="I3458" s="73"/>
      <c r="J3458" s="152">
        <v>0</v>
      </c>
      <c r="L3458" s="215">
        <v>4.0000000000000002E-4</v>
      </c>
      <c r="M3458" s="53">
        <v>623.99647782871352</v>
      </c>
      <c r="N3458" s="53">
        <f t="shared" si="333"/>
        <v>0.24959859113148541</v>
      </c>
      <c r="O3458" s="72"/>
      <c r="P3458" s="36" t="str">
        <f t="shared" si="328"/>
        <v/>
      </c>
      <c r="Q3458" s="216">
        <f t="shared" si="329"/>
        <v>0.14399999999999991</v>
      </c>
      <c r="R3458" s="216">
        <f t="shared" si="330"/>
        <v>0.14399999999999991</v>
      </c>
      <c r="S3458" s="217" t="str">
        <f t="shared" si="331"/>
        <v/>
      </c>
    </row>
    <row r="3459" spans="1:19" ht="15.75" hidden="1" thickBot="1" x14ac:dyDescent="0.3">
      <c r="A3459" s="262"/>
      <c r="B3459" s="260"/>
      <c r="C3459" s="35"/>
      <c r="D3459" s="35"/>
      <c r="E3459" s="36"/>
      <c r="F3459" s="53" t="s">
        <v>416</v>
      </c>
      <c r="G3459" s="53" t="str">
        <f t="shared" si="332"/>
        <v/>
      </c>
      <c r="H3459" s="72"/>
      <c r="I3459" s="73"/>
      <c r="J3459" s="152">
        <v>0</v>
      </c>
      <c r="L3459" s="215"/>
      <c r="M3459" s="53"/>
      <c r="N3459" s="53" t="str">
        <f t="shared" si="333"/>
        <v/>
      </c>
      <c r="O3459" s="72"/>
      <c r="P3459" s="36" t="str">
        <f t="shared" si="328"/>
        <v/>
      </c>
      <c r="Q3459" s="216" t="str">
        <f t="shared" si="329"/>
        <v/>
      </c>
      <c r="R3459" s="216" t="str">
        <f t="shared" si="330"/>
        <v/>
      </c>
      <c r="S3459" s="217" t="str">
        <f t="shared" si="331"/>
        <v/>
      </c>
    </row>
    <row r="3460" spans="1:19" ht="15.75" hidden="1" thickBot="1" x14ac:dyDescent="0.3">
      <c r="A3460" s="262"/>
      <c r="B3460" s="260"/>
      <c r="C3460" s="149" t="s">
        <v>897</v>
      </c>
      <c r="D3460" s="35"/>
      <c r="E3460" s="36"/>
      <c r="F3460" s="53" t="s">
        <v>416</v>
      </c>
      <c r="G3460" s="53" t="str">
        <f t="shared" si="332"/>
        <v/>
      </c>
      <c r="H3460" s="72"/>
      <c r="I3460" s="73"/>
      <c r="J3460" s="152">
        <v>0</v>
      </c>
      <c r="L3460" s="215"/>
      <c r="M3460" s="53"/>
      <c r="N3460" s="53" t="str">
        <f t="shared" si="333"/>
        <v/>
      </c>
      <c r="O3460" s="72"/>
      <c r="P3460" s="36" t="str">
        <f t="shared" si="328"/>
        <v/>
      </c>
      <c r="Q3460" s="216" t="str">
        <f t="shared" si="329"/>
        <v/>
      </c>
      <c r="R3460" s="216" t="str">
        <f t="shared" si="330"/>
        <v/>
      </c>
      <c r="S3460" s="217" t="str">
        <f t="shared" si="331"/>
        <v/>
      </c>
    </row>
    <row r="3461" spans="1:19" ht="15.75" hidden="1" thickBot="1" x14ac:dyDescent="0.3">
      <c r="A3461" s="263"/>
      <c r="B3461" s="261"/>
      <c r="C3461" s="35"/>
      <c r="D3461" s="35"/>
      <c r="E3461" s="36"/>
      <c r="F3461" s="53" t="s">
        <v>416</v>
      </c>
      <c r="G3461" s="53" t="str">
        <f t="shared" si="332"/>
        <v/>
      </c>
      <c r="H3461" s="72"/>
      <c r="I3461" s="73"/>
      <c r="J3461" s="152">
        <v>0</v>
      </c>
      <c r="L3461" s="215"/>
      <c r="M3461" s="53"/>
      <c r="N3461" s="53" t="str">
        <f t="shared" si="333"/>
        <v/>
      </c>
      <c r="O3461" s="72"/>
      <c r="P3461" s="36" t="str">
        <f t="shared" si="328"/>
        <v/>
      </c>
      <c r="Q3461" s="216" t="str">
        <f t="shared" si="329"/>
        <v/>
      </c>
      <c r="R3461" s="216" t="str">
        <f t="shared" si="330"/>
        <v/>
      </c>
      <c r="S3461" s="217" t="str">
        <f t="shared" si="331"/>
        <v/>
      </c>
    </row>
    <row r="3462" spans="1:19" ht="15.75" hidden="1" thickBot="1" x14ac:dyDescent="0.3">
      <c r="A3462" s="256" t="s">
        <v>2509</v>
      </c>
      <c r="B3462" s="259" t="str">
        <f>INDEX(Orçamentária!A:B,MATCH(Composições!A3462,Orçamentária!A:A,0),2)</f>
        <v>Fixadores metálicos para rochas ornamentais, sob medida</v>
      </c>
      <c r="C3462" s="40"/>
      <c r="D3462" s="25" t="s">
        <v>16</v>
      </c>
      <c r="E3462" s="26"/>
      <c r="F3462" s="48" t="s">
        <v>416</v>
      </c>
      <c r="G3462" s="27" t="str">
        <f t="shared" si="332"/>
        <v/>
      </c>
      <c r="H3462" s="28"/>
      <c r="I3462" s="29"/>
      <c r="J3462" s="152">
        <v>0</v>
      </c>
      <c r="L3462" s="218"/>
      <c r="M3462" s="48"/>
      <c r="N3462" s="27" t="str">
        <f t="shared" si="333"/>
        <v/>
      </c>
      <c r="O3462" s="28"/>
      <c r="P3462" s="36" t="str">
        <f t="shared" si="328"/>
        <v/>
      </c>
      <c r="Q3462" s="216" t="str">
        <f t="shared" si="329"/>
        <v/>
      </c>
      <c r="R3462" s="216" t="str">
        <f t="shared" si="330"/>
        <v/>
      </c>
      <c r="S3462" s="217" t="str">
        <f t="shared" si="331"/>
        <v/>
      </c>
    </row>
    <row r="3463" spans="1:19" ht="15.75" hidden="1" thickBot="1" x14ac:dyDescent="0.3">
      <c r="A3463" s="262"/>
      <c r="B3463" s="260"/>
      <c r="C3463" s="31"/>
      <c r="D3463" s="31"/>
      <c r="E3463" s="32"/>
      <c r="F3463" s="53" t="s">
        <v>416</v>
      </c>
      <c r="G3463" s="53" t="str">
        <f t="shared" si="332"/>
        <v/>
      </c>
      <c r="H3463" s="72"/>
      <c r="I3463" s="73"/>
      <c r="J3463" s="152">
        <v>0</v>
      </c>
      <c r="L3463" s="219"/>
      <c r="M3463" s="53"/>
      <c r="N3463" s="53" t="str">
        <f t="shared" si="333"/>
        <v/>
      </c>
      <c r="O3463" s="72"/>
      <c r="P3463" s="36" t="str">
        <f t="shared" si="328"/>
        <v/>
      </c>
      <c r="Q3463" s="216" t="str">
        <f t="shared" si="329"/>
        <v/>
      </c>
      <c r="R3463" s="216" t="str">
        <f t="shared" si="330"/>
        <v/>
      </c>
      <c r="S3463" s="217" t="str">
        <f t="shared" si="331"/>
        <v/>
      </c>
    </row>
    <row r="3464" spans="1:19" ht="15.75" hidden="1" thickBot="1" x14ac:dyDescent="0.3">
      <c r="A3464" s="262"/>
      <c r="B3464" s="260"/>
      <c r="C3464" s="35" t="s">
        <v>591</v>
      </c>
      <c r="D3464" s="35" t="s">
        <v>583</v>
      </c>
      <c r="E3464" s="36">
        <f>0.1+0.1</f>
        <v>0.2</v>
      </c>
      <c r="F3464" s="53">
        <v>27.160499999999999</v>
      </c>
      <c r="G3464" s="53">
        <f t="shared" si="332"/>
        <v>5.4321000000000002</v>
      </c>
      <c r="H3464" s="38">
        <f>SUM(G3464:G3469)</f>
        <v>9.7687871391722965</v>
      </c>
      <c r="I3464" s="39"/>
      <c r="J3464" s="152">
        <v>0</v>
      </c>
      <c r="L3464" s="215">
        <v>0.2</v>
      </c>
      <c r="M3464" s="53">
        <v>23.249388</v>
      </c>
      <c r="N3464" s="53">
        <f t="shared" si="333"/>
        <v>4.6498775999999999</v>
      </c>
      <c r="O3464" s="38">
        <f>SUM(N3464:N3469)</f>
        <v>8.3620817911314855</v>
      </c>
      <c r="P3464" s="36" t="str">
        <f t="shared" ref="P3464:P3527" si="334">IF(ISBLANK(L3464),"",IF($E3464&lt;&gt;L3464,"SIM",""))</f>
        <v/>
      </c>
      <c r="Q3464" s="216">
        <f t="shared" ref="Q3464:Q3527" si="335">IF(M3464="","",1-M3464/$F3464)</f>
        <v>0.14400000000000002</v>
      </c>
      <c r="R3464" s="216">
        <f t="shared" ref="R3464:R3527" si="336">IF(N3464="","",1-N3464/$G3464)</f>
        <v>0.14400000000000002</v>
      </c>
      <c r="S3464" s="217">
        <f t="shared" ref="S3464:S3527" si="337">IF(O3464="","",1-O3464/$H3464)</f>
        <v>0.14400000000000002</v>
      </c>
    </row>
    <row r="3465" spans="1:19" ht="15.75" hidden="1" thickBot="1" x14ac:dyDescent="0.3">
      <c r="A3465" s="262"/>
      <c r="B3465" s="260"/>
      <c r="C3465" s="35" t="s">
        <v>584</v>
      </c>
      <c r="D3465" s="35" t="s">
        <v>583</v>
      </c>
      <c r="E3465" s="36">
        <f>0.1+0.1</f>
        <v>0.2</v>
      </c>
      <c r="F3465" s="53">
        <v>20.225499999999997</v>
      </c>
      <c r="G3465" s="53">
        <f t="shared" si="332"/>
        <v>4.0450999999999997</v>
      </c>
      <c r="H3465" s="72"/>
      <c r="I3465" s="73"/>
      <c r="J3465" s="152">
        <v>0</v>
      </c>
      <c r="L3465" s="215">
        <v>0.2</v>
      </c>
      <c r="M3465" s="53">
        <v>17.313027999999996</v>
      </c>
      <c r="N3465" s="53">
        <f t="shared" si="333"/>
        <v>3.4626055999999994</v>
      </c>
      <c r="O3465" s="72"/>
      <c r="P3465" s="36" t="str">
        <f t="shared" si="334"/>
        <v/>
      </c>
      <c r="Q3465" s="216">
        <f t="shared" si="335"/>
        <v>0.14400000000000013</v>
      </c>
      <c r="R3465" s="216">
        <f t="shared" si="336"/>
        <v>0.14400000000000013</v>
      </c>
      <c r="S3465" s="217" t="str">
        <f t="shared" si="337"/>
        <v/>
      </c>
    </row>
    <row r="3466" spans="1:19" ht="15.75" hidden="1" thickBot="1" x14ac:dyDescent="0.3">
      <c r="A3466" s="262"/>
      <c r="B3466" s="260"/>
      <c r="C3466" s="35" t="s">
        <v>893</v>
      </c>
      <c r="D3466" s="35" t="s">
        <v>107</v>
      </c>
      <c r="E3466" s="36">
        <f>0.016*2</f>
        <v>3.2000000000000001E-2</v>
      </c>
      <c r="F3466" s="53">
        <v>0</v>
      </c>
      <c r="G3466" s="53">
        <f t="shared" si="332"/>
        <v>0</v>
      </c>
      <c r="H3466" s="72"/>
      <c r="I3466" s="73"/>
      <c r="J3466" s="152">
        <v>0</v>
      </c>
      <c r="L3466" s="215">
        <v>3.2000000000000001E-2</v>
      </c>
      <c r="M3466" s="53">
        <v>0</v>
      </c>
      <c r="N3466" s="53">
        <f t="shared" si="333"/>
        <v>0</v>
      </c>
      <c r="O3466" s="72"/>
      <c r="P3466" s="36" t="str">
        <f t="shared" si="334"/>
        <v/>
      </c>
      <c r="Q3466" s="216" t="e">
        <f t="shared" si="335"/>
        <v>#DIV/0!</v>
      </c>
      <c r="R3466" s="216" t="e">
        <f t="shared" si="336"/>
        <v>#DIV/0!</v>
      </c>
      <c r="S3466" s="217" t="str">
        <f t="shared" si="337"/>
        <v/>
      </c>
    </row>
    <row r="3467" spans="1:19" ht="15.75" hidden="1" thickBot="1" x14ac:dyDescent="0.3">
      <c r="A3467" s="262"/>
      <c r="B3467" s="260"/>
      <c r="C3467" s="35" t="s">
        <v>894</v>
      </c>
      <c r="D3467" s="35" t="s">
        <v>895</v>
      </c>
      <c r="E3467" s="36">
        <f>0.1*2</f>
        <v>0.2</v>
      </c>
      <c r="F3467" s="53">
        <v>0</v>
      </c>
      <c r="G3467" s="53">
        <f t="shared" si="332"/>
        <v>0</v>
      </c>
      <c r="H3467" s="72"/>
      <c r="I3467" s="73"/>
      <c r="J3467" s="152">
        <v>0</v>
      </c>
      <c r="L3467" s="215">
        <v>0.2</v>
      </c>
      <c r="M3467" s="53">
        <v>0</v>
      </c>
      <c r="N3467" s="53">
        <f t="shared" si="333"/>
        <v>0</v>
      </c>
      <c r="O3467" s="72"/>
      <c r="P3467" s="36" t="str">
        <f t="shared" si="334"/>
        <v/>
      </c>
      <c r="Q3467" s="216" t="e">
        <f t="shared" si="335"/>
        <v>#DIV/0!</v>
      </c>
      <c r="R3467" s="216" t="e">
        <f t="shared" si="336"/>
        <v>#DIV/0!</v>
      </c>
      <c r="S3467" s="217" t="str">
        <f t="shared" si="337"/>
        <v/>
      </c>
    </row>
    <row r="3468" spans="1:19" ht="15.75" hidden="1" thickBot="1" x14ac:dyDescent="0.3">
      <c r="A3468" s="262"/>
      <c r="B3468" s="260"/>
      <c r="C3468" s="35" t="s">
        <v>966</v>
      </c>
      <c r="D3468" s="35" t="s">
        <v>107</v>
      </c>
      <c r="E3468" s="36">
        <v>1</v>
      </c>
      <c r="F3468" s="53" t="s">
        <v>416</v>
      </c>
      <c r="G3468" s="53" t="str">
        <f t="shared" si="332"/>
        <v/>
      </c>
      <c r="H3468" s="72"/>
      <c r="I3468" s="73"/>
      <c r="J3468" s="152">
        <v>0</v>
      </c>
      <c r="L3468" s="215">
        <v>1</v>
      </c>
      <c r="M3468" s="53"/>
      <c r="N3468" s="53" t="str">
        <f t="shared" si="333"/>
        <v/>
      </c>
      <c r="O3468" s="72"/>
      <c r="P3468" s="36" t="str">
        <f t="shared" si="334"/>
        <v/>
      </c>
      <c r="Q3468" s="216" t="str">
        <f t="shared" si="335"/>
        <v/>
      </c>
      <c r="R3468" s="216" t="str">
        <f t="shared" si="336"/>
        <v/>
      </c>
      <c r="S3468" s="217" t="str">
        <f t="shared" si="337"/>
        <v/>
      </c>
    </row>
    <row r="3469" spans="1:19" ht="39" hidden="1" thickBot="1" x14ac:dyDescent="0.3">
      <c r="A3469" s="262"/>
      <c r="B3469" s="260"/>
      <c r="C3469" s="35" t="s">
        <v>896</v>
      </c>
      <c r="D3469" s="35" t="s">
        <v>80</v>
      </c>
      <c r="E3469" s="36">
        <f>ROUND(0.15*0.05*0.05,4)</f>
        <v>4.0000000000000002E-4</v>
      </c>
      <c r="F3469" s="53">
        <v>728.96784793074005</v>
      </c>
      <c r="G3469" s="53">
        <f t="shared" si="332"/>
        <v>0.29158713917229601</v>
      </c>
      <c r="H3469" s="72"/>
      <c r="I3469" s="73"/>
      <c r="J3469" s="152">
        <v>0</v>
      </c>
      <c r="L3469" s="215">
        <v>4.0000000000000002E-4</v>
      </c>
      <c r="M3469" s="53">
        <v>623.99647782871352</v>
      </c>
      <c r="N3469" s="53">
        <f t="shared" si="333"/>
        <v>0.24959859113148541</v>
      </c>
      <c r="O3469" s="72"/>
      <c r="P3469" s="36" t="str">
        <f t="shared" si="334"/>
        <v/>
      </c>
      <c r="Q3469" s="216">
        <f t="shared" si="335"/>
        <v>0.14399999999999991</v>
      </c>
      <c r="R3469" s="216">
        <f t="shared" si="336"/>
        <v>0.14399999999999991</v>
      </c>
      <c r="S3469" s="217" t="str">
        <f t="shared" si="337"/>
        <v/>
      </c>
    </row>
    <row r="3470" spans="1:19" ht="15.75" hidden="1" thickBot="1" x14ac:dyDescent="0.3">
      <c r="A3470" s="262"/>
      <c r="B3470" s="260"/>
      <c r="C3470" s="35"/>
      <c r="D3470" s="35"/>
      <c r="E3470" s="36"/>
      <c r="F3470" s="53" t="s">
        <v>416</v>
      </c>
      <c r="G3470" s="53" t="str">
        <f t="shared" si="332"/>
        <v/>
      </c>
      <c r="H3470" s="72"/>
      <c r="I3470" s="73"/>
      <c r="J3470" s="152">
        <v>0</v>
      </c>
      <c r="L3470" s="215"/>
      <c r="M3470" s="53"/>
      <c r="N3470" s="53" t="str">
        <f t="shared" si="333"/>
        <v/>
      </c>
      <c r="O3470" s="72"/>
      <c r="P3470" s="36" t="str">
        <f t="shared" si="334"/>
        <v/>
      </c>
      <c r="Q3470" s="216" t="str">
        <f t="shared" si="335"/>
        <v/>
      </c>
      <c r="R3470" s="216" t="str">
        <f t="shared" si="336"/>
        <v/>
      </c>
      <c r="S3470" s="217" t="str">
        <f t="shared" si="337"/>
        <v/>
      </c>
    </row>
    <row r="3471" spans="1:19" ht="15.75" hidden="1" thickBot="1" x14ac:dyDescent="0.3">
      <c r="A3471" s="262"/>
      <c r="B3471" s="260"/>
      <c r="C3471" s="149" t="s">
        <v>897</v>
      </c>
      <c r="D3471" s="35"/>
      <c r="E3471" s="36"/>
      <c r="F3471" s="53" t="s">
        <v>416</v>
      </c>
      <c r="G3471" s="53" t="str">
        <f t="shared" si="332"/>
        <v/>
      </c>
      <c r="H3471" s="72"/>
      <c r="I3471" s="73"/>
      <c r="J3471" s="152">
        <v>0</v>
      </c>
      <c r="L3471" s="215"/>
      <c r="M3471" s="53"/>
      <c r="N3471" s="53" t="str">
        <f t="shared" si="333"/>
        <v/>
      </c>
      <c r="O3471" s="72"/>
      <c r="P3471" s="36" t="str">
        <f t="shared" si="334"/>
        <v/>
      </c>
      <c r="Q3471" s="216" t="str">
        <f t="shared" si="335"/>
        <v/>
      </c>
      <c r="R3471" s="216" t="str">
        <f t="shared" si="336"/>
        <v/>
      </c>
      <c r="S3471" s="217" t="str">
        <f t="shared" si="337"/>
        <v/>
      </c>
    </row>
    <row r="3472" spans="1:19" ht="15.75" hidden="1" thickBot="1" x14ac:dyDescent="0.3">
      <c r="A3472" s="263"/>
      <c r="B3472" s="261"/>
      <c r="C3472" s="35"/>
      <c r="D3472" s="35"/>
      <c r="E3472" s="36"/>
      <c r="F3472" s="53" t="s">
        <v>416</v>
      </c>
      <c r="G3472" s="53" t="str">
        <f t="shared" si="332"/>
        <v/>
      </c>
      <c r="H3472" s="72"/>
      <c r="I3472" s="73"/>
      <c r="J3472" s="152">
        <v>0</v>
      </c>
      <c r="L3472" s="215"/>
      <c r="M3472" s="53"/>
      <c r="N3472" s="53" t="str">
        <f t="shared" si="333"/>
        <v/>
      </c>
      <c r="O3472" s="72"/>
      <c r="P3472" s="36" t="str">
        <f t="shared" si="334"/>
        <v/>
      </c>
      <c r="Q3472" s="216" t="str">
        <f t="shared" si="335"/>
        <v/>
      </c>
      <c r="R3472" s="216" t="str">
        <f t="shared" si="336"/>
        <v/>
      </c>
      <c r="S3472" s="217" t="str">
        <f t="shared" si="337"/>
        <v/>
      </c>
    </row>
    <row r="3473" spans="1:19" ht="15.75" hidden="1" thickBot="1" x14ac:dyDescent="0.3">
      <c r="A3473" s="256" t="s">
        <v>900</v>
      </c>
      <c r="B3473" s="259" t="str">
        <f>INDEX(Orçamentária!A:B,MATCH(Composições!A3473,Orçamentária!A:A,0),2)</f>
        <v>Mármore Branco Especial 20 mm argamassado (Ed. Principal e Anexo 1)</v>
      </c>
      <c r="C3473" s="40"/>
      <c r="D3473" s="25" t="s">
        <v>70</v>
      </c>
      <c r="E3473" s="26"/>
      <c r="F3473" s="48" t="s">
        <v>416</v>
      </c>
      <c r="G3473" s="27" t="str">
        <f t="shared" si="332"/>
        <v/>
      </c>
      <c r="H3473" s="28"/>
      <c r="I3473" s="29"/>
      <c r="J3473" s="152">
        <v>0</v>
      </c>
      <c r="L3473" s="218"/>
      <c r="M3473" s="48"/>
      <c r="N3473" s="27" t="str">
        <f t="shared" si="333"/>
        <v/>
      </c>
      <c r="O3473" s="28"/>
      <c r="P3473" s="36" t="str">
        <f t="shared" si="334"/>
        <v/>
      </c>
      <c r="Q3473" s="216" t="str">
        <f t="shared" si="335"/>
        <v/>
      </c>
      <c r="R3473" s="216" t="str">
        <f t="shared" si="336"/>
        <v/>
      </c>
      <c r="S3473" s="217" t="str">
        <f t="shared" si="337"/>
        <v/>
      </c>
    </row>
    <row r="3474" spans="1:19" ht="15.75" hidden="1" thickBot="1" x14ac:dyDescent="0.3">
      <c r="A3474" s="262"/>
      <c r="B3474" s="260"/>
      <c r="C3474" s="31"/>
      <c r="D3474" s="31"/>
      <c r="E3474" s="32"/>
      <c r="F3474" s="53" t="s">
        <v>416</v>
      </c>
      <c r="G3474" s="53" t="str">
        <f t="shared" si="332"/>
        <v/>
      </c>
      <c r="H3474" s="72"/>
      <c r="I3474" s="73"/>
      <c r="J3474" s="152">
        <v>0</v>
      </c>
      <c r="L3474" s="219"/>
      <c r="M3474" s="53"/>
      <c r="N3474" s="53" t="str">
        <f t="shared" si="333"/>
        <v/>
      </c>
      <c r="O3474" s="72"/>
      <c r="P3474" s="36" t="str">
        <f t="shared" si="334"/>
        <v/>
      </c>
      <c r="Q3474" s="216" t="str">
        <f t="shared" si="335"/>
        <v/>
      </c>
      <c r="R3474" s="216" t="str">
        <f t="shared" si="336"/>
        <v/>
      </c>
      <c r="S3474" s="217" t="str">
        <f t="shared" si="337"/>
        <v/>
      </c>
    </row>
    <row r="3475" spans="1:19" ht="15.75" hidden="1" thickBot="1" x14ac:dyDescent="0.3">
      <c r="A3475" s="262"/>
      <c r="B3475" s="260"/>
      <c r="C3475" s="35" t="s">
        <v>901</v>
      </c>
      <c r="D3475" s="35" t="s">
        <v>70</v>
      </c>
      <c r="E3475" s="36">
        <v>1.05</v>
      </c>
      <c r="F3475" s="53" t="s">
        <v>416</v>
      </c>
      <c r="G3475" s="53" t="str">
        <f t="shared" si="332"/>
        <v/>
      </c>
      <c r="H3475" s="38">
        <f>SUM(G3475:G3479)</f>
        <v>57.79515</v>
      </c>
      <c r="I3475" s="39"/>
      <c r="J3475" s="152">
        <v>0</v>
      </c>
      <c r="L3475" s="215">
        <v>1.05</v>
      </c>
      <c r="M3475" s="53"/>
      <c r="N3475" s="53" t="str">
        <f t="shared" si="333"/>
        <v/>
      </c>
      <c r="O3475" s="38">
        <f>SUM(N3475:N3479)</f>
        <v>49.472648400000004</v>
      </c>
      <c r="P3475" s="36" t="str">
        <f t="shared" si="334"/>
        <v/>
      </c>
      <c r="Q3475" s="216" t="str">
        <f t="shared" si="335"/>
        <v/>
      </c>
      <c r="R3475" s="216" t="str">
        <f t="shared" si="336"/>
        <v/>
      </c>
      <c r="S3475" s="217">
        <f t="shared" si="337"/>
        <v>0.14399999999999991</v>
      </c>
    </row>
    <row r="3476" spans="1:19" ht="15.75" hidden="1" thickBot="1" x14ac:dyDescent="0.3">
      <c r="A3476" s="262"/>
      <c r="B3476" s="260"/>
      <c r="C3476" s="35" t="s">
        <v>2906</v>
      </c>
      <c r="D3476" s="35" t="s">
        <v>583</v>
      </c>
      <c r="E3476" s="36">
        <v>1.35</v>
      </c>
      <c r="F3476" s="53">
        <v>27.036999999999999</v>
      </c>
      <c r="G3476" s="53">
        <f t="shared" si="332"/>
        <v>36.499949999999998</v>
      </c>
      <c r="H3476" s="72"/>
      <c r="I3476" s="73"/>
      <c r="J3476" s="152">
        <v>0</v>
      </c>
      <c r="L3476" s="215">
        <v>1.35</v>
      </c>
      <c r="M3476" s="53">
        <v>23.143671999999999</v>
      </c>
      <c r="N3476" s="53">
        <f t="shared" si="333"/>
        <v>31.243957200000001</v>
      </c>
      <c r="O3476" s="72"/>
      <c r="P3476" s="36" t="str">
        <f t="shared" si="334"/>
        <v/>
      </c>
      <c r="Q3476" s="216">
        <f t="shared" si="335"/>
        <v>0.14400000000000002</v>
      </c>
      <c r="R3476" s="216">
        <f t="shared" si="336"/>
        <v>0.14399999999999991</v>
      </c>
      <c r="S3476" s="217" t="str">
        <f t="shared" si="337"/>
        <v/>
      </c>
    </row>
    <row r="3477" spans="1:19" ht="15.75" hidden="1" thickBot="1" x14ac:dyDescent="0.3">
      <c r="A3477" s="262"/>
      <c r="B3477" s="260"/>
      <c r="C3477" s="35" t="s">
        <v>584</v>
      </c>
      <c r="D3477" s="35" t="s">
        <v>583</v>
      </c>
      <c r="E3477" s="36">
        <v>0.6</v>
      </c>
      <c r="F3477" s="53">
        <v>20.225499999999997</v>
      </c>
      <c r="G3477" s="53">
        <f t="shared" si="332"/>
        <v>12.135299999999997</v>
      </c>
      <c r="H3477" s="72"/>
      <c r="I3477" s="73"/>
      <c r="J3477" s="152">
        <v>0</v>
      </c>
      <c r="L3477" s="215">
        <v>0.6</v>
      </c>
      <c r="M3477" s="53">
        <v>17.313027999999996</v>
      </c>
      <c r="N3477" s="53">
        <f t="shared" si="333"/>
        <v>10.387816799999998</v>
      </c>
      <c r="O3477" s="72"/>
      <c r="P3477" s="36" t="str">
        <f t="shared" si="334"/>
        <v/>
      </c>
      <c r="Q3477" s="216">
        <f t="shared" si="335"/>
        <v>0.14400000000000013</v>
      </c>
      <c r="R3477" s="216">
        <f t="shared" si="336"/>
        <v>0.14400000000000002</v>
      </c>
      <c r="S3477" s="217" t="str">
        <f t="shared" si="337"/>
        <v/>
      </c>
    </row>
    <row r="3478" spans="1:19" ht="15.75" hidden="1" thickBot="1" x14ac:dyDescent="0.3">
      <c r="A3478" s="262"/>
      <c r="B3478" s="260"/>
      <c r="C3478" s="35" t="s">
        <v>7987</v>
      </c>
      <c r="D3478" s="35" t="s">
        <v>773</v>
      </c>
      <c r="E3478" s="36">
        <v>4.5</v>
      </c>
      <c r="F3478" s="53">
        <v>1.8049999999999999</v>
      </c>
      <c r="G3478" s="53">
        <f t="shared" si="332"/>
        <v>8.1225000000000005</v>
      </c>
      <c r="H3478" s="72"/>
      <c r="I3478" s="73"/>
      <c r="J3478" s="152">
        <v>0</v>
      </c>
      <c r="L3478" s="215">
        <v>4.5</v>
      </c>
      <c r="M3478" s="53">
        <v>1.54508</v>
      </c>
      <c r="N3478" s="53">
        <f t="shared" si="333"/>
        <v>6.9528600000000003</v>
      </c>
      <c r="O3478" s="72"/>
      <c r="P3478" s="36" t="str">
        <f t="shared" si="334"/>
        <v/>
      </c>
      <c r="Q3478" s="216">
        <f t="shared" si="335"/>
        <v>0.14400000000000002</v>
      </c>
      <c r="R3478" s="216">
        <f t="shared" si="336"/>
        <v>0.14400000000000002</v>
      </c>
      <c r="S3478" s="217" t="str">
        <f t="shared" si="337"/>
        <v/>
      </c>
    </row>
    <row r="3479" spans="1:19" ht="15.75" hidden="1" thickBot="1" x14ac:dyDescent="0.3">
      <c r="A3479" s="262"/>
      <c r="B3479" s="260"/>
      <c r="C3479" s="35" t="s">
        <v>8367</v>
      </c>
      <c r="D3479" s="35" t="s">
        <v>773</v>
      </c>
      <c r="E3479" s="36">
        <v>0.3</v>
      </c>
      <c r="F3479" s="53">
        <v>3.4579999999999997</v>
      </c>
      <c r="G3479" s="53">
        <f t="shared" si="332"/>
        <v>1.0373999999999999</v>
      </c>
      <c r="H3479" s="72"/>
      <c r="I3479" s="73"/>
      <c r="J3479" s="152">
        <v>0</v>
      </c>
      <c r="L3479" s="215">
        <v>0.3</v>
      </c>
      <c r="M3479" s="53">
        <v>2.9600479999999996</v>
      </c>
      <c r="N3479" s="53">
        <f t="shared" si="333"/>
        <v>0.88801439999999987</v>
      </c>
      <c r="O3479" s="72"/>
      <c r="P3479" s="36" t="str">
        <f t="shared" si="334"/>
        <v/>
      </c>
      <c r="Q3479" s="216">
        <f t="shared" si="335"/>
        <v>0.14400000000000002</v>
      </c>
      <c r="R3479" s="216">
        <f t="shared" si="336"/>
        <v>0.14400000000000002</v>
      </c>
      <c r="S3479" s="217" t="str">
        <f t="shared" si="337"/>
        <v/>
      </c>
    </row>
    <row r="3480" spans="1:19" ht="15.75" hidden="1" thickBot="1" x14ac:dyDescent="0.3">
      <c r="A3480" s="263"/>
      <c r="B3480" s="261"/>
      <c r="C3480" s="35"/>
      <c r="D3480" s="35"/>
      <c r="E3480" s="36"/>
      <c r="F3480" s="53" t="s">
        <v>416</v>
      </c>
      <c r="G3480" s="53" t="str">
        <f t="shared" si="332"/>
        <v/>
      </c>
      <c r="H3480" s="72"/>
      <c r="I3480" s="73"/>
      <c r="J3480" s="152">
        <v>0</v>
      </c>
      <c r="L3480" s="215"/>
      <c r="M3480" s="53"/>
      <c r="N3480" s="53" t="str">
        <f t="shared" si="333"/>
        <v/>
      </c>
      <c r="O3480" s="72"/>
      <c r="P3480" s="36" t="str">
        <f t="shared" si="334"/>
        <v/>
      </c>
      <c r="Q3480" s="216" t="str">
        <f t="shared" si="335"/>
        <v/>
      </c>
      <c r="R3480" s="216" t="str">
        <f t="shared" si="336"/>
        <v/>
      </c>
      <c r="S3480" s="217" t="str">
        <f t="shared" si="337"/>
        <v/>
      </c>
    </row>
    <row r="3481" spans="1:19" ht="15.75" hidden="1" thickBot="1" x14ac:dyDescent="0.3">
      <c r="A3481" s="256" t="s">
        <v>902</v>
      </c>
      <c r="B3481" s="259" t="str">
        <f>INDEX(Orçamentária!A:B,MATCH(Composições!A3481,Orçamentária!A:A,0),2)</f>
        <v>Mármore Branco Especial 20 mm com inserts e argamassa (Ed. Principal e Anexo 1)</v>
      </c>
      <c r="C3481" s="40"/>
      <c r="D3481" s="25" t="s">
        <v>70</v>
      </c>
      <c r="E3481" s="26"/>
      <c r="F3481" s="48" t="s">
        <v>416</v>
      </c>
      <c r="G3481" s="27" t="str">
        <f t="shared" si="332"/>
        <v/>
      </c>
      <c r="H3481" s="28"/>
      <c r="I3481" s="29"/>
      <c r="J3481" s="152">
        <v>0</v>
      </c>
      <c r="L3481" s="218"/>
      <c r="M3481" s="48"/>
      <c r="N3481" s="27" t="str">
        <f t="shared" si="333"/>
        <v/>
      </c>
      <c r="O3481" s="28"/>
      <c r="P3481" s="36" t="str">
        <f t="shared" si="334"/>
        <v/>
      </c>
      <c r="Q3481" s="216" t="str">
        <f t="shared" si="335"/>
        <v/>
      </c>
      <c r="R3481" s="216" t="str">
        <f t="shared" si="336"/>
        <v/>
      </c>
      <c r="S3481" s="217" t="str">
        <f t="shared" si="337"/>
        <v/>
      </c>
    </row>
    <row r="3482" spans="1:19" ht="15.75" hidden="1" thickBot="1" x14ac:dyDescent="0.3">
      <c r="A3482" s="262"/>
      <c r="B3482" s="260"/>
      <c r="C3482" s="31"/>
      <c r="D3482" s="31"/>
      <c r="E3482" s="32"/>
      <c r="F3482" s="53" t="s">
        <v>416</v>
      </c>
      <c r="G3482" s="53" t="str">
        <f t="shared" si="332"/>
        <v/>
      </c>
      <c r="H3482" s="72"/>
      <c r="I3482" s="73"/>
      <c r="J3482" s="152">
        <v>0</v>
      </c>
      <c r="L3482" s="219"/>
      <c r="M3482" s="53"/>
      <c r="N3482" s="53" t="str">
        <f t="shared" si="333"/>
        <v/>
      </c>
      <c r="O3482" s="72"/>
      <c r="P3482" s="36" t="str">
        <f t="shared" si="334"/>
        <v/>
      </c>
      <c r="Q3482" s="216" t="str">
        <f t="shared" si="335"/>
        <v/>
      </c>
      <c r="R3482" s="216" t="str">
        <f t="shared" si="336"/>
        <v/>
      </c>
      <c r="S3482" s="217" t="str">
        <f t="shared" si="337"/>
        <v/>
      </c>
    </row>
    <row r="3483" spans="1:19" ht="15.75" hidden="1" thickBot="1" x14ac:dyDescent="0.3">
      <c r="A3483" s="262"/>
      <c r="B3483" s="260"/>
      <c r="C3483" s="35" t="s">
        <v>901</v>
      </c>
      <c r="D3483" s="35" t="s">
        <v>70</v>
      </c>
      <c r="E3483" s="36">
        <v>1.05</v>
      </c>
      <c r="F3483" s="53" t="s">
        <v>416</v>
      </c>
      <c r="G3483" s="53" t="str">
        <f t="shared" si="332"/>
        <v/>
      </c>
      <c r="H3483" s="38">
        <f>SUM(G3483:G3493)</f>
        <v>79.769821784793081</v>
      </c>
      <c r="I3483" s="39"/>
      <c r="J3483" s="152">
        <v>0</v>
      </c>
      <c r="L3483" s="215">
        <v>1.05</v>
      </c>
      <c r="M3483" s="53"/>
      <c r="N3483" s="53" t="str">
        <f t="shared" si="333"/>
        <v/>
      </c>
      <c r="O3483" s="38">
        <f>SUM(N3483:N3493)</f>
        <v>68.282967447782866</v>
      </c>
      <c r="P3483" s="36" t="str">
        <f t="shared" si="334"/>
        <v/>
      </c>
      <c r="Q3483" s="216" t="str">
        <f t="shared" si="335"/>
        <v/>
      </c>
      <c r="R3483" s="216" t="str">
        <f t="shared" si="336"/>
        <v/>
      </c>
      <c r="S3483" s="217">
        <f t="shared" si="337"/>
        <v>0.14400000000000013</v>
      </c>
    </row>
    <row r="3484" spans="1:19" ht="15.75" hidden="1" thickBot="1" x14ac:dyDescent="0.3">
      <c r="A3484" s="262"/>
      <c r="B3484" s="260"/>
      <c r="C3484" s="35" t="s">
        <v>2906</v>
      </c>
      <c r="D3484" s="35" t="s">
        <v>583</v>
      </c>
      <c r="E3484" s="36">
        <f>1.35</f>
        <v>1.35</v>
      </c>
      <c r="F3484" s="53">
        <v>27.036999999999999</v>
      </c>
      <c r="G3484" s="53">
        <f t="shared" si="332"/>
        <v>36.499949999999998</v>
      </c>
      <c r="H3484" s="72"/>
      <c r="I3484" s="73"/>
      <c r="J3484" s="152">
        <v>0</v>
      </c>
      <c r="L3484" s="215">
        <v>1.35</v>
      </c>
      <c r="M3484" s="53">
        <v>23.143671999999999</v>
      </c>
      <c r="N3484" s="53">
        <f t="shared" si="333"/>
        <v>31.243957200000001</v>
      </c>
      <c r="O3484" s="72"/>
      <c r="P3484" s="36" t="str">
        <f t="shared" si="334"/>
        <v/>
      </c>
      <c r="Q3484" s="216">
        <f t="shared" si="335"/>
        <v>0.14400000000000002</v>
      </c>
      <c r="R3484" s="216">
        <f t="shared" si="336"/>
        <v>0.14399999999999991</v>
      </c>
      <c r="S3484" s="217" t="str">
        <f t="shared" si="337"/>
        <v/>
      </c>
    </row>
    <row r="3485" spans="1:19" ht="15.75" hidden="1" thickBot="1" x14ac:dyDescent="0.3">
      <c r="A3485" s="262"/>
      <c r="B3485" s="260"/>
      <c r="C3485" s="35" t="s">
        <v>591</v>
      </c>
      <c r="D3485" s="35" t="s">
        <v>583</v>
      </c>
      <c r="E3485" s="36">
        <v>0.1</v>
      </c>
      <c r="F3485" s="53">
        <v>27.160499999999999</v>
      </c>
      <c r="G3485" s="53">
        <f t="shared" si="332"/>
        <v>2.7160500000000001</v>
      </c>
      <c r="H3485" s="72"/>
      <c r="I3485" s="73"/>
      <c r="J3485" s="152">
        <v>0</v>
      </c>
      <c r="L3485" s="215">
        <v>0.1</v>
      </c>
      <c r="M3485" s="53">
        <v>23.249388</v>
      </c>
      <c r="N3485" s="53">
        <f t="shared" si="333"/>
        <v>2.3249388</v>
      </c>
      <c r="O3485" s="72"/>
      <c r="P3485" s="36" t="str">
        <f t="shared" si="334"/>
        <v/>
      </c>
      <c r="Q3485" s="216">
        <f t="shared" si="335"/>
        <v>0.14400000000000002</v>
      </c>
      <c r="R3485" s="216">
        <f t="shared" si="336"/>
        <v>0.14400000000000002</v>
      </c>
      <c r="S3485" s="217" t="str">
        <f t="shared" si="337"/>
        <v/>
      </c>
    </row>
    <row r="3486" spans="1:19" ht="15.75" hidden="1" thickBot="1" x14ac:dyDescent="0.3">
      <c r="A3486" s="262"/>
      <c r="B3486" s="260"/>
      <c r="C3486" s="35" t="s">
        <v>584</v>
      </c>
      <c r="D3486" s="35" t="s">
        <v>583</v>
      </c>
      <c r="E3486" s="36">
        <f>0.6+0.1+0.1</f>
        <v>0.79999999999999993</v>
      </c>
      <c r="F3486" s="53">
        <v>20.225499999999997</v>
      </c>
      <c r="G3486" s="53">
        <f t="shared" si="332"/>
        <v>16.180399999999995</v>
      </c>
      <c r="H3486" s="72"/>
      <c r="I3486" s="73"/>
      <c r="J3486" s="152">
        <v>0</v>
      </c>
      <c r="L3486" s="215">
        <v>0.79999999999999993</v>
      </c>
      <c r="M3486" s="53">
        <v>17.313027999999996</v>
      </c>
      <c r="N3486" s="53">
        <f t="shared" si="333"/>
        <v>13.850422399999996</v>
      </c>
      <c r="O3486" s="72"/>
      <c r="P3486" s="36" t="str">
        <f t="shared" si="334"/>
        <v/>
      </c>
      <c r="Q3486" s="216">
        <f t="shared" si="335"/>
        <v>0.14400000000000013</v>
      </c>
      <c r="R3486" s="216">
        <f t="shared" si="336"/>
        <v>0.14400000000000002</v>
      </c>
      <c r="S3486" s="217" t="str">
        <f t="shared" si="337"/>
        <v/>
      </c>
    </row>
    <row r="3487" spans="1:19" ht="15.75" hidden="1" thickBot="1" x14ac:dyDescent="0.3">
      <c r="A3487" s="262"/>
      <c r="B3487" s="260"/>
      <c r="C3487" s="35" t="s">
        <v>7987</v>
      </c>
      <c r="D3487" s="35" t="s">
        <v>773</v>
      </c>
      <c r="E3487" s="36">
        <v>4.5</v>
      </c>
      <c r="F3487" s="53">
        <v>1.8049999999999999</v>
      </c>
      <c r="G3487" s="53">
        <f t="shared" si="332"/>
        <v>8.1225000000000005</v>
      </c>
      <c r="H3487" s="72"/>
      <c r="I3487" s="73"/>
      <c r="J3487" s="152">
        <v>0</v>
      </c>
      <c r="L3487" s="215">
        <v>4.5</v>
      </c>
      <c r="M3487" s="53">
        <v>1.54508</v>
      </c>
      <c r="N3487" s="53">
        <f t="shared" si="333"/>
        <v>6.9528600000000003</v>
      </c>
      <c r="O3487" s="72"/>
      <c r="P3487" s="36" t="str">
        <f t="shared" si="334"/>
        <v/>
      </c>
      <c r="Q3487" s="216">
        <f t="shared" si="335"/>
        <v>0.14400000000000002</v>
      </c>
      <c r="R3487" s="216">
        <f t="shared" si="336"/>
        <v>0.14400000000000002</v>
      </c>
      <c r="S3487" s="217" t="str">
        <f t="shared" si="337"/>
        <v/>
      </c>
    </row>
    <row r="3488" spans="1:19" ht="15.75" hidden="1" thickBot="1" x14ac:dyDescent="0.3">
      <c r="A3488" s="262"/>
      <c r="B3488" s="260"/>
      <c r="C3488" s="35" t="s">
        <v>8367</v>
      </c>
      <c r="D3488" s="35" t="s">
        <v>773</v>
      </c>
      <c r="E3488" s="36">
        <v>0.3</v>
      </c>
      <c r="F3488" s="53">
        <v>3.4579999999999997</v>
      </c>
      <c r="G3488" s="53">
        <f t="shared" si="332"/>
        <v>1.0373999999999999</v>
      </c>
      <c r="H3488" s="72"/>
      <c r="I3488" s="73"/>
      <c r="J3488" s="152">
        <v>0</v>
      </c>
      <c r="L3488" s="215">
        <v>0.3</v>
      </c>
      <c r="M3488" s="53">
        <v>2.9600479999999996</v>
      </c>
      <c r="N3488" s="53">
        <f t="shared" si="333"/>
        <v>0.88801439999999987</v>
      </c>
      <c r="O3488" s="72"/>
      <c r="P3488" s="36" t="str">
        <f t="shared" si="334"/>
        <v/>
      </c>
      <c r="Q3488" s="216">
        <f t="shared" si="335"/>
        <v>0.14400000000000002</v>
      </c>
      <c r="R3488" s="216">
        <f t="shared" si="336"/>
        <v>0.14400000000000002</v>
      </c>
      <c r="S3488" s="217" t="str">
        <f t="shared" si="337"/>
        <v/>
      </c>
    </row>
    <row r="3489" spans="1:19" ht="26.25" hidden="1" thickBot="1" x14ac:dyDescent="0.3">
      <c r="A3489" s="262"/>
      <c r="B3489" s="260"/>
      <c r="C3489" s="35" t="s">
        <v>903</v>
      </c>
      <c r="D3489" s="35" t="s">
        <v>213</v>
      </c>
      <c r="E3489" s="36">
        <f>2/(0.4*0.8)</f>
        <v>6.2499999999999991</v>
      </c>
      <c r="F3489" s="53">
        <v>2.4224999999999999</v>
      </c>
      <c r="G3489" s="53">
        <f t="shared" si="332"/>
        <v>15.140624999999996</v>
      </c>
      <c r="H3489" s="72"/>
      <c r="I3489" s="73"/>
      <c r="J3489" s="152">
        <v>0</v>
      </c>
      <c r="L3489" s="215">
        <v>6.2499999999999991</v>
      </c>
      <c r="M3489" s="53">
        <v>2.0736599999999998</v>
      </c>
      <c r="N3489" s="53">
        <f t="shared" si="333"/>
        <v>12.960374999999997</v>
      </c>
      <c r="O3489" s="72"/>
      <c r="P3489" s="36" t="str">
        <f t="shared" si="334"/>
        <v/>
      </c>
      <c r="Q3489" s="216">
        <f t="shared" si="335"/>
        <v>0.14400000000000002</v>
      </c>
      <c r="R3489" s="216">
        <f t="shared" si="336"/>
        <v>0.14400000000000002</v>
      </c>
      <c r="S3489" s="217" t="str">
        <f t="shared" si="337"/>
        <v/>
      </c>
    </row>
    <row r="3490" spans="1:19" ht="15.75" hidden="1" thickBot="1" x14ac:dyDescent="0.3">
      <c r="A3490" s="262"/>
      <c r="B3490" s="260"/>
      <c r="C3490" s="35" t="s">
        <v>893</v>
      </c>
      <c r="D3490" s="35" t="s">
        <v>107</v>
      </c>
      <c r="E3490" s="36">
        <f>(2/(0.4*0.8))*(0.016)*1.5</f>
        <v>0.15</v>
      </c>
      <c r="F3490" s="53">
        <v>0</v>
      </c>
      <c r="G3490" s="53">
        <f t="shared" si="332"/>
        <v>0</v>
      </c>
      <c r="H3490" s="72"/>
      <c r="I3490" s="73"/>
      <c r="J3490" s="152">
        <v>0</v>
      </c>
      <c r="L3490" s="215">
        <v>0.15</v>
      </c>
      <c r="M3490" s="53">
        <v>0</v>
      </c>
      <c r="N3490" s="53">
        <f t="shared" si="333"/>
        <v>0</v>
      </c>
      <c r="O3490" s="72"/>
      <c r="P3490" s="36" t="str">
        <f t="shared" si="334"/>
        <v/>
      </c>
      <c r="Q3490" s="216" t="e">
        <f t="shared" si="335"/>
        <v>#DIV/0!</v>
      </c>
      <c r="R3490" s="216" t="e">
        <f t="shared" si="336"/>
        <v>#DIV/0!</v>
      </c>
      <c r="S3490" s="217" t="str">
        <f t="shared" si="337"/>
        <v/>
      </c>
    </row>
    <row r="3491" spans="1:19" ht="15.75" hidden="1" thickBot="1" x14ac:dyDescent="0.3">
      <c r="A3491" s="262"/>
      <c r="B3491" s="260"/>
      <c r="C3491" s="35" t="s">
        <v>894</v>
      </c>
      <c r="D3491" s="35" t="s">
        <v>895</v>
      </c>
      <c r="E3491" s="36">
        <f>(2/(0.4*0.8))*0.1*1.5</f>
        <v>0.9375</v>
      </c>
      <c r="F3491" s="53">
        <v>0</v>
      </c>
      <c r="G3491" s="53">
        <f t="shared" si="332"/>
        <v>0</v>
      </c>
      <c r="H3491" s="72"/>
      <c r="I3491" s="73"/>
      <c r="J3491" s="152">
        <v>0</v>
      </c>
      <c r="L3491" s="215">
        <v>0.9375</v>
      </c>
      <c r="M3491" s="53">
        <v>0</v>
      </c>
      <c r="N3491" s="53">
        <f t="shared" si="333"/>
        <v>0</v>
      </c>
      <c r="O3491" s="72"/>
      <c r="P3491" s="36" t="str">
        <f t="shared" si="334"/>
        <v/>
      </c>
      <c r="Q3491" s="216" t="e">
        <f t="shared" si="335"/>
        <v>#DIV/0!</v>
      </c>
      <c r="R3491" s="216" t="e">
        <f t="shared" si="336"/>
        <v>#DIV/0!</v>
      </c>
      <c r="S3491" s="217" t="str">
        <f t="shared" si="337"/>
        <v/>
      </c>
    </row>
    <row r="3492" spans="1:19" ht="15.75" hidden="1" thickBot="1" x14ac:dyDescent="0.3">
      <c r="A3492" s="262"/>
      <c r="B3492" s="260"/>
      <c r="C3492" s="35" t="s">
        <v>904</v>
      </c>
      <c r="D3492" s="35" t="s">
        <v>107</v>
      </c>
      <c r="E3492" s="36">
        <f>2/(0.4*0.8)</f>
        <v>6.2499999999999991</v>
      </c>
      <c r="F3492" s="53" t="s">
        <v>416</v>
      </c>
      <c r="G3492" s="53" t="str">
        <f t="shared" si="332"/>
        <v/>
      </c>
      <c r="H3492" s="72"/>
      <c r="I3492" s="73"/>
      <c r="J3492" s="152">
        <v>0</v>
      </c>
      <c r="L3492" s="215">
        <v>6.2499999999999991</v>
      </c>
      <c r="M3492" s="53"/>
      <c r="N3492" s="53" t="str">
        <f t="shared" si="333"/>
        <v/>
      </c>
      <c r="O3492" s="72"/>
      <c r="P3492" s="36" t="str">
        <f t="shared" si="334"/>
        <v/>
      </c>
      <c r="Q3492" s="216" t="str">
        <f t="shared" si="335"/>
        <v/>
      </c>
      <c r="R3492" s="216" t="str">
        <f t="shared" si="336"/>
        <v/>
      </c>
      <c r="S3492" s="217" t="str">
        <f t="shared" si="337"/>
        <v/>
      </c>
    </row>
    <row r="3493" spans="1:19" ht="39" hidden="1" thickBot="1" x14ac:dyDescent="0.3">
      <c r="A3493" s="262"/>
      <c r="B3493" s="260"/>
      <c r="C3493" s="35" t="s">
        <v>896</v>
      </c>
      <c r="D3493" s="35" t="s">
        <v>80</v>
      </c>
      <c r="E3493" s="36">
        <v>1E-4</v>
      </c>
      <c r="F3493" s="53">
        <v>728.96784793074005</v>
      </c>
      <c r="G3493" s="53">
        <f t="shared" si="332"/>
        <v>7.2896784793074001E-2</v>
      </c>
      <c r="H3493" s="72"/>
      <c r="I3493" s="73"/>
      <c r="J3493" s="152">
        <v>0</v>
      </c>
      <c r="L3493" s="215">
        <v>1E-4</v>
      </c>
      <c r="M3493" s="53">
        <v>623.99647782871352</v>
      </c>
      <c r="N3493" s="53">
        <f t="shared" si="333"/>
        <v>6.2399647782871354E-2</v>
      </c>
      <c r="O3493" s="72"/>
      <c r="P3493" s="36" t="str">
        <f t="shared" si="334"/>
        <v/>
      </c>
      <c r="Q3493" s="216">
        <f t="shared" si="335"/>
        <v>0.14399999999999991</v>
      </c>
      <c r="R3493" s="216">
        <f t="shared" si="336"/>
        <v>0.14399999999999991</v>
      </c>
      <c r="S3493" s="217" t="str">
        <f t="shared" si="337"/>
        <v/>
      </c>
    </row>
    <row r="3494" spans="1:19" ht="15.75" hidden="1" thickBot="1" x14ac:dyDescent="0.3">
      <c r="A3494" s="262"/>
      <c r="B3494" s="260"/>
      <c r="C3494" s="35"/>
      <c r="D3494" s="35"/>
      <c r="E3494" s="36"/>
      <c r="F3494" s="53" t="s">
        <v>416</v>
      </c>
      <c r="G3494" s="53" t="str">
        <f t="shared" si="332"/>
        <v/>
      </c>
      <c r="H3494" s="72"/>
      <c r="I3494" s="73"/>
      <c r="J3494" s="152">
        <v>0</v>
      </c>
      <c r="L3494" s="215"/>
      <c r="M3494" s="53"/>
      <c r="N3494" s="53" t="str">
        <f t="shared" si="333"/>
        <v/>
      </c>
      <c r="O3494" s="72"/>
      <c r="P3494" s="36" t="str">
        <f t="shared" si="334"/>
        <v/>
      </c>
      <c r="Q3494" s="216" t="str">
        <f t="shared" si="335"/>
        <v/>
      </c>
      <c r="R3494" s="216" t="str">
        <f t="shared" si="336"/>
        <v/>
      </c>
      <c r="S3494" s="217" t="str">
        <f t="shared" si="337"/>
        <v/>
      </c>
    </row>
    <row r="3495" spans="1:19" ht="15.75" hidden="1" thickBot="1" x14ac:dyDescent="0.3">
      <c r="A3495" s="262"/>
      <c r="B3495" s="260"/>
      <c r="C3495" s="149" t="s">
        <v>905</v>
      </c>
      <c r="D3495" s="35"/>
      <c r="E3495" s="36"/>
      <c r="F3495" s="53" t="s">
        <v>416</v>
      </c>
      <c r="G3495" s="53" t="str">
        <f t="shared" si="332"/>
        <v/>
      </c>
      <c r="H3495" s="72"/>
      <c r="I3495" s="73"/>
      <c r="J3495" s="152">
        <v>0</v>
      </c>
      <c r="L3495" s="215"/>
      <c r="M3495" s="53"/>
      <c r="N3495" s="53" t="str">
        <f t="shared" si="333"/>
        <v/>
      </c>
      <c r="O3495" s="72"/>
      <c r="P3495" s="36" t="str">
        <f t="shared" si="334"/>
        <v/>
      </c>
      <c r="Q3495" s="216" t="str">
        <f t="shared" si="335"/>
        <v/>
      </c>
      <c r="R3495" s="216" t="str">
        <f t="shared" si="336"/>
        <v/>
      </c>
      <c r="S3495" s="217" t="str">
        <f t="shared" si="337"/>
        <v/>
      </c>
    </row>
    <row r="3496" spans="1:19" ht="26.25" hidden="1" thickBot="1" x14ac:dyDescent="0.3">
      <c r="A3496" s="262"/>
      <c r="B3496" s="260"/>
      <c r="C3496" s="149" t="s">
        <v>906</v>
      </c>
      <c r="D3496" s="35"/>
      <c r="E3496" s="36"/>
      <c r="F3496" s="53" t="s">
        <v>416</v>
      </c>
      <c r="G3496" s="53" t="str">
        <f t="shared" si="332"/>
        <v/>
      </c>
      <c r="H3496" s="72"/>
      <c r="I3496" s="73"/>
      <c r="J3496" s="152">
        <v>0</v>
      </c>
      <c r="L3496" s="215"/>
      <c r="M3496" s="53"/>
      <c r="N3496" s="53" t="str">
        <f t="shared" si="333"/>
        <v/>
      </c>
      <c r="O3496" s="72"/>
      <c r="P3496" s="36" t="str">
        <f t="shared" si="334"/>
        <v/>
      </c>
      <c r="Q3496" s="216" t="str">
        <f t="shared" si="335"/>
        <v/>
      </c>
      <c r="R3496" s="216" t="str">
        <f t="shared" si="336"/>
        <v/>
      </c>
      <c r="S3496" s="217" t="str">
        <f t="shared" si="337"/>
        <v/>
      </c>
    </row>
    <row r="3497" spans="1:19" ht="15.75" hidden="1" thickBot="1" x14ac:dyDescent="0.3">
      <c r="A3497" s="263"/>
      <c r="B3497" s="261"/>
      <c r="C3497" s="35"/>
      <c r="D3497" s="35"/>
      <c r="E3497" s="36"/>
      <c r="F3497" s="53" t="s">
        <v>416</v>
      </c>
      <c r="G3497" s="53" t="str">
        <f t="shared" si="332"/>
        <v/>
      </c>
      <c r="H3497" s="72"/>
      <c r="I3497" s="73"/>
      <c r="J3497" s="152">
        <v>0</v>
      </c>
      <c r="L3497" s="215"/>
      <c r="M3497" s="53"/>
      <c r="N3497" s="53" t="str">
        <f t="shared" si="333"/>
        <v/>
      </c>
      <c r="O3497" s="72"/>
      <c r="P3497" s="36" t="str">
        <f t="shared" si="334"/>
        <v/>
      </c>
      <c r="Q3497" s="216" t="str">
        <f t="shared" si="335"/>
        <v/>
      </c>
      <c r="R3497" s="216" t="str">
        <f t="shared" si="336"/>
        <v/>
      </c>
      <c r="S3497" s="217" t="str">
        <f t="shared" si="337"/>
        <v/>
      </c>
    </row>
    <row r="3498" spans="1:19" ht="15.75" hidden="1" thickBot="1" x14ac:dyDescent="0.3">
      <c r="A3498" s="256" t="s">
        <v>907</v>
      </c>
      <c r="B3498" s="259" t="str">
        <f>INDEX(Orçamentária!A:B,MATCH(Composições!A3498,Orçamentária!A:A,0),2)</f>
        <v>Mármore Branco Especial 30 mm argamassado (Ed. Principal e Anexo 1)</v>
      </c>
      <c r="C3498" s="40"/>
      <c r="D3498" s="25" t="s">
        <v>70</v>
      </c>
      <c r="E3498" s="26"/>
      <c r="F3498" s="48" t="s">
        <v>416</v>
      </c>
      <c r="G3498" s="27" t="str">
        <f t="shared" si="332"/>
        <v/>
      </c>
      <c r="H3498" s="28"/>
      <c r="I3498" s="29"/>
      <c r="J3498" s="152">
        <v>0</v>
      </c>
      <c r="L3498" s="218"/>
      <c r="M3498" s="48"/>
      <c r="N3498" s="27" t="str">
        <f t="shared" si="333"/>
        <v/>
      </c>
      <c r="O3498" s="28"/>
      <c r="P3498" s="36" t="str">
        <f t="shared" si="334"/>
        <v/>
      </c>
      <c r="Q3498" s="216" t="str">
        <f t="shared" si="335"/>
        <v/>
      </c>
      <c r="R3498" s="216" t="str">
        <f t="shared" si="336"/>
        <v/>
      </c>
      <c r="S3498" s="217" t="str">
        <f t="shared" si="337"/>
        <v/>
      </c>
    </row>
    <row r="3499" spans="1:19" ht="15.75" hidden="1" thickBot="1" x14ac:dyDescent="0.3">
      <c r="A3499" s="262"/>
      <c r="B3499" s="260"/>
      <c r="C3499" s="31"/>
      <c r="D3499" s="31"/>
      <c r="E3499" s="32"/>
      <c r="F3499" s="53" t="s">
        <v>416</v>
      </c>
      <c r="G3499" s="53" t="str">
        <f t="shared" si="332"/>
        <v/>
      </c>
      <c r="H3499" s="72"/>
      <c r="I3499" s="73"/>
      <c r="J3499" s="152">
        <v>0</v>
      </c>
      <c r="L3499" s="219"/>
      <c r="M3499" s="53"/>
      <c r="N3499" s="53" t="str">
        <f t="shared" si="333"/>
        <v/>
      </c>
      <c r="O3499" s="72"/>
      <c r="P3499" s="36" t="str">
        <f t="shared" si="334"/>
        <v/>
      </c>
      <c r="Q3499" s="216" t="str">
        <f t="shared" si="335"/>
        <v/>
      </c>
      <c r="R3499" s="216" t="str">
        <f t="shared" si="336"/>
        <v/>
      </c>
      <c r="S3499" s="217" t="str">
        <f t="shared" si="337"/>
        <v/>
      </c>
    </row>
    <row r="3500" spans="1:19" ht="15.75" hidden="1" thickBot="1" x14ac:dyDescent="0.3">
      <c r="A3500" s="262"/>
      <c r="B3500" s="260"/>
      <c r="C3500" s="35" t="s">
        <v>908</v>
      </c>
      <c r="D3500" s="35" t="s">
        <v>70</v>
      </c>
      <c r="E3500" s="36">
        <v>1.05</v>
      </c>
      <c r="F3500" s="53" t="s">
        <v>416</v>
      </c>
      <c r="G3500" s="53" t="str">
        <f t="shared" ref="G3500:G3563" si="338">IF(ISNUMBER(F3500),E3500*F3500,"")</f>
        <v/>
      </c>
      <c r="H3500" s="38">
        <f>SUM(G3500:G3504)</f>
        <v>57.79515</v>
      </c>
      <c r="I3500" s="39"/>
      <c r="J3500" s="152">
        <v>0</v>
      </c>
      <c r="L3500" s="215">
        <v>1.05</v>
      </c>
      <c r="M3500" s="53"/>
      <c r="N3500" s="53" t="str">
        <f t="shared" ref="N3500:N3563" si="339">IF(ISNUMBER(M3500),L3500*M3500,"")</f>
        <v/>
      </c>
      <c r="O3500" s="38">
        <f>SUM(N3500:N3504)</f>
        <v>49.472648400000004</v>
      </c>
      <c r="P3500" s="36" t="str">
        <f t="shared" si="334"/>
        <v/>
      </c>
      <c r="Q3500" s="216" t="str">
        <f t="shared" si="335"/>
        <v/>
      </c>
      <c r="R3500" s="216" t="str">
        <f t="shared" si="336"/>
        <v/>
      </c>
      <c r="S3500" s="217">
        <f t="shared" si="337"/>
        <v>0.14399999999999991</v>
      </c>
    </row>
    <row r="3501" spans="1:19" ht="15.75" hidden="1" thickBot="1" x14ac:dyDescent="0.3">
      <c r="A3501" s="262"/>
      <c r="B3501" s="260"/>
      <c r="C3501" s="35" t="s">
        <v>2906</v>
      </c>
      <c r="D3501" s="35" t="s">
        <v>583</v>
      </c>
      <c r="E3501" s="36">
        <v>1.35</v>
      </c>
      <c r="F3501" s="53">
        <v>27.036999999999999</v>
      </c>
      <c r="G3501" s="53">
        <f t="shared" si="338"/>
        <v>36.499949999999998</v>
      </c>
      <c r="H3501" s="72"/>
      <c r="I3501" s="73"/>
      <c r="J3501" s="152">
        <v>0</v>
      </c>
      <c r="L3501" s="215">
        <v>1.35</v>
      </c>
      <c r="M3501" s="53">
        <v>23.143671999999999</v>
      </c>
      <c r="N3501" s="53">
        <f t="shared" si="339"/>
        <v>31.243957200000001</v>
      </c>
      <c r="O3501" s="72"/>
      <c r="P3501" s="36" t="str">
        <f t="shared" si="334"/>
        <v/>
      </c>
      <c r="Q3501" s="216">
        <f t="shared" si="335"/>
        <v>0.14400000000000002</v>
      </c>
      <c r="R3501" s="216">
        <f t="shared" si="336"/>
        <v>0.14399999999999991</v>
      </c>
      <c r="S3501" s="217" t="str">
        <f t="shared" si="337"/>
        <v/>
      </c>
    </row>
    <row r="3502" spans="1:19" ht="15.75" hidden="1" thickBot="1" x14ac:dyDescent="0.3">
      <c r="A3502" s="262"/>
      <c r="B3502" s="260"/>
      <c r="C3502" s="35" t="s">
        <v>584</v>
      </c>
      <c r="D3502" s="35" t="s">
        <v>583</v>
      </c>
      <c r="E3502" s="36">
        <v>0.6</v>
      </c>
      <c r="F3502" s="53">
        <v>20.225499999999997</v>
      </c>
      <c r="G3502" s="53">
        <f t="shared" si="338"/>
        <v>12.135299999999997</v>
      </c>
      <c r="H3502" s="72"/>
      <c r="I3502" s="73"/>
      <c r="J3502" s="152">
        <v>0</v>
      </c>
      <c r="L3502" s="215">
        <v>0.6</v>
      </c>
      <c r="M3502" s="53">
        <v>17.313027999999996</v>
      </c>
      <c r="N3502" s="53">
        <f t="shared" si="339"/>
        <v>10.387816799999998</v>
      </c>
      <c r="O3502" s="72"/>
      <c r="P3502" s="36" t="str">
        <f t="shared" si="334"/>
        <v/>
      </c>
      <c r="Q3502" s="216">
        <f t="shared" si="335"/>
        <v>0.14400000000000013</v>
      </c>
      <c r="R3502" s="216">
        <f t="shared" si="336"/>
        <v>0.14400000000000002</v>
      </c>
      <c r="S3502" s="217" t="str">
        <f t="shared" si="337"/>
        <v/>
      </c>
    </row>
    <row r="3503" spans="1:19" ht="15.75" hidden="1" thickBot="1" x14ac:dyDescent="0.3">
      <c r="A3503" s="262"/>
      <c r="B3503" s="260"/>
      <c r="C3503" s="35" t="s">
        <v>7987</v>
      </c>
      <c r="D3503" s="35" t="s">
        <v>773</v>
      </c>
      <c r="E3503" s="36">
        <v>4.5</v>
      </c>
      <c r="F3503" s="53">
        <v>1.8049999999999999</v>
      </c>
      <c r="G3503" s="53">
        <f t="shared" si="338"/>
        <v>8.1225000000000005</v>
      </c>
      <c r="H3503" s="72"/>
      <c r="I3503" s="73"/>
      <c r="J3503" s="152">
        <v>0</v>
      </c>
      <c r="L3503" s="215">
        <v>4.5</v>
      </c>
      <c r="M3503" s="53">
        <v>1.54508</v>
      </c>
      <c r="N3503" s="53">
        <f t="shared" si="339"/>
        <v>6.9528600000000003</v>
      </c>
      <c r="O3503" s="72"/>
      <c r="P3503" s="36" t="str">
        <f t="shared" si="334"/>
        <v/>
      </c>
      <c r="Q3503" s="216">
        <f t="shared" si="335"/>
        <v>0.14400000000000002</v>
      </c>
      <c r="R3503" s="216">
        <f t="shared" si="336"/>
        <v>0.14400000000000002</v>
      </c>
      <c r="S3503" s="217" t="str">
        <f t="shared" si="337"/>
        <v/>
      </c>
    </row>
    <row r="3504" spans="1:19" ht="15.75" hidden="1" thickBot="1" x14ac:dyDescent="0.3">
      <c r="A3504" s="262"/>
      <c r="B3504" s="260"/>
      <c r="C3504" s="35" t="s">
        <v>8367</v>
      </c>
      <c r="D3504" s="35" t="s">
        <v>773</v>
      </c>
      <c r="E3504" s="36">
        <v>0.3</v>
      </c>
      <c r="F3504" s="53">
        <v>3.4579999999999997</v>
      </c>
      <c r="G3504" s="53">
        <f t="shared" si="338"/>
        <v>1.0373999999999999</v>
      </c>
      <c r="H3504" s="72"/>
      <c r="I3504" s="73"/>
      <c r="J3504" s="152">
        <v>0</v>
      </c>
      <c r="L3504" s="215">
        <v>0.3</v>
      </c>
      <c r="M3504" s="53">
        <v>2.9600479999999996</v>
      </c>
      <c r="N3504" s="53">
        <f t="shared" si="339"/>
        <v>0.88801439999999987</v>
      </c>
      <c r="O3504" s="72"/>
      <c r="P3504" s="36" t="str">
        <f t="shared" si="334"/>
        <v/>
      </c>
      <c r="Q3504" s="216">
        <f t="shared" si="335"/>
        <v>0.14400000000000002</v>
      </c>
      <c r="R3504" s="216">
        <f t="shared" si="336"/>
        <v>0.14400000000000002</v>
      </c>
      <c r="S3504" s="217" t="str">
        <f t="shared" si="337"/>
        <v/>
      </c>
    </row>
    <row r="3505" spans="1:19" ht="15.75" hidden="1" thickBot="1" x14ac:dyDescent="0.3">
      <c r="A3505" s="263"/>
      <c r="B3505" s="261"/>
      <c r="C3505" s="35"/>
      <c r="D3505" s="35"/>
      <c r="E3505" s="36"/>
      <c r="F3505" s="53" t="s">
        <v>416</v>
      </c>
      <c r="G3505" s="53" t="str">
        <f t="shared" si="338"/>
        <v/>
      </c>
      <c r="H3505" s="72"/>
      <c r="I3505" s="73"/>
      <c r="J3505" s="152">
        <v>0</v>
      </c>
      <c r="L3505" s="215"/>
      <c r="M3505" s="53"/>
      <c r="N3505" s="53" t="str">
        <f t="shared" si="339"/>
        <v/>
      </c>
      <c r="O3505" s="72"/>
      <c r="P3505" s="36" t="str">
        <f t="shared" si="334"/>
        <v/>
      </c>
      <c r="Q3505" s="216" t="str">
        <f t="shared" si="335"/>
        <v/>
      </c>
      <c r="R3505" s="216" t="str">
        <f t="shared" si="336"/>
        <v/>
      </c>
      <c r="S3505" s="217" t="str">
        <f t="shared" si="337"/>
        <v/>
      </c>
    </row>
    <row r="3506" spans="1:19" ht="15.75" hidden="1" thickBot="1" x14ac:dyDescent="0.3">
      <c r="A3506" s="256" t="s">
        <v>909</v>
      </c>
      <c r="B3506" s="259" t="str">
        <f>INDEX(Orçamentária!A:B,MATCH(Composições!A3506,Orçamentária!A:A,0),2)</f>
        <v>Mármore Branco Especial 30 mm com inserts e argamassa (Ed. Principal e Anexo 1)</v>
      </c>
      <c r="C3506" s="40"/>
      <c r="D3506" s="25" t="s">
        <v>70</v>
      </c>
      <c r="E3506" s="26"/>
      <c r="F3506" s="48" t="s">
        <v>416</v>
      </c>
      <c r="G3506" s="27" t="str">
        <f t="shared" si="338"/>
        <v/>
      </c>
      <c r="H3506" s="28"/>
      <c r="I3506" s="29"/>
      <c r="J3506" s="152">
        <v>0</v>
      </c>
      <c r="L3506" s="218"/>
      <c r="M3506" s="48"/>
      <c r="N3506" s="27" t="str">
        <f t="shared" si="339"/>
        <v/>
      </c>
      <c r="O3506" s="28"/>
      <c r="P3506" s="36" t="str">
        <f t="shared" si="334"/>
        <v/>
      </c>
      <c r="Q3506" s="216" t="str">
        <f t="shared" si="335"/>
        <v/>
      </c>
      <c r="R3506" s="216" t="str">
        <f t="shared" si="336"/>
        <v/>
      </c>
      <c r="S3506" s="217" t="str">
        <f t="shared" si="337"/>
        <v/>
      </c>
    </row>
    <row r="3507" spans="1:19" ht="15.75" hidden="1" thickBot="1" x14ac:dyDescent="0.3">
      <c r="A3507" s="262"/>
      <c r="B3507" s="260"/>
      <c r="C3507" s="31"/>
      <c r="D3507" s="31"/>
      <c r="E3507" s="32"/>
      <c r="F3507" s="53" t="s">
        <v>416</v>
      </c>
      <c r="G3507" s="53" t="str">
        <f t="shared" si="338"/>
        <v/>
      </c>
      <c r="H3507" s="72"/>
      <c r="I3507" s="73"/>
      <c r="J3507" s="152">
        <v>0</v>
      </c>
      <c r="L3507" s="219"/>
      <c r="M3507" s="53"/>
      <c r="N3507" s="53" t="str">
        <f t="shared" si="339"/>
        <v/>
      </c>
      <c r="O3507" s="72"/>
      <c r="P3507" s="36" t="str">
        <f t="shared" si="334"/>
        <v/>
      </c>
      <c r="Q3507" s="216" t="str">
        <f t="shared" si="335"/>
        <v/>
      </c>
      <c r="R3507" s="216" t="str">
        <f t="shared" si="336"/>
        <v/>
      </c>
      <c r="S3507" s="217" t="str">
        <f t="shared" si="337"/>
        <v/>
      </c>
    </row>
    <row r="3508" spans="1:19" ht="15.75" hidden="1" thickBot="1" x14ac:dyDescent="0.3">
      <c r="A3508" s="262"/>
      <c r="B3508" s="260"/>
      <c r="C3508" s="35" t="s">
        <v>908</v>
      </c>
      <c r="D3508" s="35" t="s">
        <v>70</v>
      </c>
      <c r="E3508" s="36">
        <v>1.05</v>
      </c>
      <c r="F3508" s="53" t="s">
        <v>416</v>
      </c>
      <c r="G3508" s="53" t="str">
        <f t="shared" si="338"/>
        <v/>
      </c>
      <c r="H3508" s="38">
        <f>SUM(G3508:G3518)</f>
        <v>79.769821784793081</v>
      </c>
      <c r="I3508" s="39"/>
      <c r="J3508" s="152">
        <v>0</v>
      </c>
      <c r="L3508" s="215">
        <v>1.05</v>
      </c>
      <c r="M3508" s="53"/>
      <c r="N3508" s="53" t="str">
        <f t="shared" si="339"/>
        <v/>
      </c>
      <c r="O3508" s="38">
        <f>SUM(N3508:N3518)</f>
        <v>68.282967447782866</v>
      </c>
      <c r="P3508" s="36" t="str">
        <f t="shared" si="334"/>
        <v/>
      </c>
      <c r="Q3508" s="216" t="str">
        <f t="shared" si="335"/>
        <v/>
      </c>
      <c r="R3508" s="216" t="str">
        <f t="shared" si="336"/>
        <v/>
      </c>
      <c r="S3508" s="217">
        <f t="shared" si="337"/>
        <v>0.14400000000000013</v>
      </c>
    </row>
    <row r="3509" spans="1:19" ht="15.75" hidden="1" thickBot="1" x14ac:dyDescent="0.3">
      <c r="A3509" s="262"/>
      <c r="B3509" s="260"/>
      <c r="C3509" s="35" t="s">
        <v>2906</v>
      </c>
      <c r="D3509" s="35" t="s">
        <v>583</v>
      </c>
      <c r="E3509" s="36">
        <f>1.35</f>
        <v>1.35</v>
      </c>
      <c r="F3509" s="53">
        <v>27.036999999999999</v>
      </c>
      <c r="G3509" s="53">
        <f t="shared" si="338"/>
        <v>36.499949999999998</v>
      </c>
      <c r="H3509" s="72"/>
      <c r="I3509" s="73"/>
      <c r="J3509" s="152">
        <v>0</v>
      </c>
      <c r="L3509" s="215">
        <v>1.35</v>
      </c>
      <c r="M3509" s="53">
        <v>23.143671999999999</v>
      </c>
      <c r="N3509" s="53">
        <f t="shared" si="339"/>
        <v>31.243957200000001</v>
      </c>
      <c r="O3509" s="72"/>
      <c r="P3509" s="36" t="str">
        <f t="shared" si="334"/>
        <v/>
      </c>
      <c r="Q3509" s="216">
        <f t="shared" si="335"/>
        <v>0.14400000000000002</v>
      </c>
      <c r="R3509" s="216">
        <f t="shared" si="336"/>
        <v>0.14399999999999991</v>
      </c>
      <c r="S3509" s="217" t="str">
        <f t="shared" si="337"/>
        <v/>
      </c>
    </row>
    <row r="3510" spans="1:19" ht="15.75" hidden="1" thickBot="1" x14ac:dyDescent="0.3">
      <c r="A3510" s="262"/>
      <c r="B3510" s="260"/>
      <c r="C3510" s="35" t="s">
        <v>591</v>
      </c>
      <c r="D3510" s="35" t="s">
        <v>583</v>
      </c>
      <c r="E3510" s="36">
        <v>0.1</v>
      </c>
      <c r="F3510" s="53">
        <v>27.160499999999999</v>
      </c>
      <c r="G3510" s="53">
        <f t="shared" si="338"/>
        <v>2.7160500000000001</v>
      </c>
      <c r="H3510" s="72"/>
      <c r="I3510" s="73"/>
      <c r="J3510" s="152">
        <v>0</v>
      </c>
      <c r="L3510" s="215">
        <v>0.1</v>
      </c>
      <c r="M3510" s="53">
        <v>23.249388</v>
      </c>
      <c r="N3510" s="53">
        <f t="shared" si="339"/>
        <v>2.3249388</v>
      </c>
      <c r="O3510" s="72"/>
      <c r="P3510" s="36" t="str">
        <f t="shared" si="334"/>
        <v/>
      </c>
      <c r="Q3510" s="216">
        <f t="shared" si="335"/>
        <v>0.14400000000000002</v>
      </c>
      <c r="R3510" s="216">
        <f t="shared" si="336"/>
        <v>0.14400000000000002</v>
      </c>
      <c r="S3510" s="217" t="str">
        <f t="shared" si="337"/>
        <v/>
      </c>
    </row>
    <row r="3511" spans="1:19" ht="15.75" hidden="1" thickBot="1" x14ac:dyDescent="0.3">
      <c r="A3511" s="262"/>
      <c r="B3511" s="260"/>
      <c r="C3511" s="35" t="s">
        <v>584</v>
      </c>
      <c r="D3511" s="35" t="s">
        <v>583</v>
      </c>
      <c r="E3511" s="36">
        <f>0.6+0.1+0.1</f>
        <v>0.79999999999999993</v>
      </c>
      <c r="F3511" s="53">
        <v>20.225499999999997</v>
      </c>
      <c r="G3511" s="53">
        <f t="shared" si="338"/>
        <v>16.180399999999995</v>
      </c>
      <c r="H3511" s="72"/>
      <c r="I3511" s="73"/>
      <c r="J3511" s="152">
        <v>0</v>
      </c>
      <c r="L3511" s="215">
        <v>0.79999999999999993</v>
      </c>
      <c r="M3511" s="53">
        <v>17.313027999999996</v>
      </c>
      <c r="N3511" s="53">
        <f t="shared" si="339"/>
        <v>13.850422399999996</v>
      </c>
      <c r="O3511" s="72"/>
      <c r="P3511" s="36" t="str">
        <f t="shared" si="334"/>
        <v/>
      </c>
      <c r="Q3511" s="216">
        <f t="shared" si="335"/>
        <v>0.14400000000000013</v>
      </c>
      <c r="R3511" s="216">
        <f t="shared" si="336"/>
        <v>0.14400000000000002</v>
      </c>
      <c r="S3511" s="217" t="str">
        <f t="shared" si="337"/>
        <v/>
      </c>
    </row>
    <row r="3512" spans="1:19" ht="15.75" hidden="1" thickBot="1" x14ac:dyDescent="0.3">
      <c r="A3512" s="262"/>
      <c r="B3512" s="260"/>
      <c r="C3512" s="35" t="s">
        <v>7987</v>
      </c>
      <c r="D3512" s="35" t="s">
        <v>773</v>
      </c>
      <c r="E3512" s="36">
        <v>4.5</v>
      </c>
      <c r="F3512" s="53">
        <v>1.8049999999999999</v>
      </c>
      <c r="G3512" s="53">
        <f t="shared" si="338"/>
        <v>8.1225000000000005</v>
      </c>
      <c r="H3512" s="72"/>
      <c r="I3512" s="73"/>
      <c r="J3512" s="152">
        <v>0</v>
      </c>
      <c r="L3512" s="215">
        <v>4.5</v>
      </c>
      <c r="M3512" s="53">
        <v>1.54508</v>
      </c>
      <c r="N3512" s="53">
        <f t="shared" si="339"/>
        <v>6.9528600000000003</v>
      </c>
      <c r="O3512" s="72"/>
      <c r="P3512" s="36" t="str">
        <f t="shared" si="334"/>
        <v/>
      </c>
      <c r="Q3512" s="216">
        <f t="shared" si="335"/>
        <v>0.14400000000000002</v>
      </c>
      <c r="R3512" s="216">
        <f t="shared" si="336"/>
        <v>0.14400000000000002</v>
      </c>
      <c r="S3512" s="217" t="str">
        <f t="shared" si="337"/>
        <v/>
      </c>
    </row>
    <row r="3513" spans="1:19" ht="15.75" hidden="1" thickBot="1" x14ac:dyDescent="0.3">
      <c r="A3513" s="262"/>
      <c r="B3513" s="260"/>
      <c r="C3513" s="35" t="s">
        <v>8367</v>
      </c>
      <c r="D3513" s="35" t="s">
        <v>773</v>
      </c>
      <c r="E3513" s="36">
        <v>0.3</v>
      </c>
      <c r="F3513" s="53">
        <v>3.4579999999999997</v>
      </c>
      <c r="G3513" s="53">
        <f t="shared" si="338"/>
        <v>1.0373999999999999</v>
      </c>
      <c r="H3513" s="72"/>
      <c r="I3513" s="73"/>
      <c r="J3513" s="152">
        <v>0</v>
      </c>
      <c r="L3513" s="215">
        <v>0.3</v>
      </c>
      <c r="M3513" s="53">
        <v>2.9600479999999996</v>
      </c>
      <c r="N3513" s="53">
        <f t="shared" si="339"/>
        <v>0.88801439999999987</v>
      </c>
      <c r="O3513" s="72"/>
      <c r="P3513" s="36" t="str">
        <f t="shared" si="334"/>
        <v/>
      </c>
      <c r="Q3513" s="216">
        <f t="shared" si="335"/>
        <v>0.14400000000000002</v>
      </c>
      <c r="R3513" s="216">
        <f t="shared" si="336"/>
        <v>0.14400000000000002</v>
      </c>
      <c r="S3513" s="217" t="str">
        <f t="shared" si="337"/>
        <v/>
      </c>
    </row>
    <row r="3514" spans="1:19" ht="26.25" hidden="1" thickBot="1" x14ac:dyDescent="0.3">
      <c r="A3514" s="262"/>
      <c r="B3514" s="260"/>
      <c r="C3514" s="35" t="s">
        <v>903</v>
      </c>
      <c r="D3514" s="35" t="s">
        <v>213</v>
      </c>
      <c r="E3514" s="36">
        <f>2/(0.4*0.8)</f>
        <v>6.2499999999999991</v>
      </c>
      <c r="F3514" s="53">
        <v>2.4224999999999999</v>
      </c>
      <c r="G3514" s="53">
        <f t="shared" si="338"/>
        <v>15.140624999999996</v>
      </c>
      <c r="H3514" s="72"/>
      <c r="I3514" s="73"/>
      <c r="J3514" s="152">
        <v>0</v>
      </c>
      <c r="L3514" s="215">
        <v>6.2499999999999991</v>
      </c>
      <c r="M3514" s="53">
        <v>2.0736599999999998</v>
      </c>
      <c r="N3514" s="53">
        <f t="shared" si="339"/>
        <v>12.960374999999997</v>
      </c>
      <c r="O3514" s="72"/>
      <c r="P3514" s="36" t="str">
        <f t="shared" si="334"/>
        <v/>
      </c>
      <c r="Q3514" s="216">
        <f t="shared" si="335"/>
        <v>0.14400000000000002</v>
      </c>
      <c r="R3514" s="216">
        <f t="shared" si="336"/>
        <v>0.14400000000000002</v>
      </c>
      <c r="S3514" s="217" t="str">
        <f t="shared" si="337"/>
        <v/>
      </c>
    </row>
    <row r="3515" spans="1:19" ht="15.75" hidden="1" thickBot="1" x14ac:dyDescent="0.3">
      <c r="A3515" s="262"/>
      <c r="B3515" s="260"/>
      <c r="C3515" s="35" t="s">
        <v>893</v>
      </c>
      <c r="D3515" s="35" t="s">
        <v>107</v>
      </c>
      <c r="E3515" s="36">
        <f>(2/(0.4*0.8))*(0.016)*1.5</f>
        <v>0.15</v>
      </c>
      <c r="F3515" s="53">
        <v>0</v>
      </c>
      <c r="G3515" s="53">
        <f t="shared" si="338"/>
        <v>0</v>
      </c>
      <c r="H3515" s="72"/>
      <c r="I3515" s="73"/>
      <c r="J3515" s="152">
        <v>0</v>
      </c>
      <c r="L3515" s="215">
        <v>0.15</v>
      </c>
      <c r="M3515" s="53">
        <v>0</v>
      </c>
      <c r="N3515" s="53">
        <f t="shared" si="339"/>
        <v>0</v>
      </c>
      <c r="O3515" s="72"/>
      <c r="P3515" s="36" t="str">
        <f t="shared" si="334"/>
        <v/>
      </c>
      <c r="Q3515" s="216" t="e">
        <f t="shared" si="335"/>
        <v>#DIV/0!</v>
      </c>
      <c r="R3515" s="216" t="e">
        <f t="shared" si="336"/>
        <v>#DIV/0!</v>
      </c>
      <c r="S3515" s="217" t="str">
        <f t="shared" si="337"/>
        <v/>
      </c>
    </row>
    <row r="3516" spans="1:19" ht="15.75" hidden="1" thickBot="1" x14ac:dyDescent="0.3">
      <c r="A3516" s="262"/>
      <c r="B3516" s="260"/>
      <c r="C3516" s="35" t="s">
        <v>894</v>
      </c>
      <c r="D3516" s="35" t="s">
        <v>895</v>
      </c>
      <c r="E3516" s="36">
        <f>(2/(0.4*0.8))*0.1*1.5</f>
        <v>0.9375</v>
      </c>
      <c r="F3516" s="53">
        <v>0</v>
      </c>
      <c r="G3516" s="53">
        <f t="shared" si="338"/>
        <v>0</v>
      </c>
      <c r="H3516" s="72"/>
      <c r="I3516" s="73"/>
      <c r="J3516" s="152">
        <v>0</v>
      </c>
      <c r="L3516" s="215">
        <v>0.9375</v>
      </c>
      <c r="M3516" s="53">
        <v>0</v>
      </c>
      <c r="N3516" s="53">
        <f t="shared" si="339"/>
        <v>0</v>
      </c>
      <c r="O3516" s="72"/>
      <c r="P3516" s="36" t="str">
        <f t="shared" si="334"/>
        <v/>
      </c>
      <c r="Q3516" s="216" t="e">
        <f t="shared" si="335"/>
        <v>#DIV/0!</v>
      </c>
      <c r="R3516" s="216" t="e">
        <f t="shared" si="336"/>
        <v>#DIV/0!</v>
      </c>
      <c r="S3516" s="217" t="str">
        <f t="shared" si="337"/>
        <v/>
      </c>
    </row>
    <row r="3517" spans="1:19" ht="15.75" hidden="1" thickBot="1" x14ac:dyDescent="0.3">
      <c r="A3517" s="262"/>
      <c r="B3517" s="260"/>
      <c r="C3517" s="35" t="s">
        <v>904</v>
      </c>
      <c r="D3517" s="35" t="s">
        <v>107</v>
      </c>
      <c r="E3517" s="36">
        <f>2/(0.4*0.8)</f>
        <v>6.2499999999999991</v>
      </c>
      <c r="F3517" s="53" t="s">
        <v>416</v>
      </c>
      <c r="G3517" s="53" t="str">
        <f t="shared" si="338"/>
        <v/>
      </c>
      <c r="H3517" s="72"/>
      <c r="I3517" s="73"/>
      <c r="J3517" s="152">
        <v>0</v>
      </c>
      <c r="L3517" s="215">
        <v>6.2499999999999991</v>
      </c>
      <c r="M3517" s="53"/>
      <c r="N3517" s="53" t="str">
        <f t="shared" si="339"/>
        <v/>
      </c>
      <c r="O3517" s="72"/>
      <c r="P3517" s="36" t="str">
        <f t="shared" si="334"/>
        <v/>
      </c>
      <c r="Q3517" s="216" t="str">
        <f t="shared" si="335"/>
        <v/>
      </c>
      <c r="R3517" s="216" t="str">
        <f t="shared" si="336"/>
        <v/>
      </c>
      <c r="S3517" s="217" t="str">
        <f t="shared" si="337"/>
        <v/>
      </c>
    </row>
    <row r="3518" spans="1:19" ht="39" hidden="1" thickBot="1" x14ac:dyDescent="0.3">
      <c r="A3518" s="262"/>
      <c r="B3518" s="260"/>
      <c r="C3518" s="35" t="s">
        <v>896</v>
      </c>
      <c r="D3518" s="35" t="s">
        <v>80</v>
      </c>
      <c r="E3518" s="36">
        <v>1E-4</v>
      </c>
      <c r="F3518" s="53">
        <v>728.96784793074005</v>
      </c>
      <c r="G3518" s="53">
        <f t="shared" si="338"/>
        <v>7.2896784793074001E-2</v>
      </c>
      <c r="H3518" s="72"/>
      <c r="I3518" s="73"/>
      <c r="J3518" s="152">
        <v>0</v>
      </c>
      <c r="L3518" s="215">
        <v>1E-4</v>
      </c>
      <c r="M3518" s="53">
        <v>623.99647782871352</v>
      </c>
      <c r="N3518" s="53">
        <f t="shared" si="339"/>
        <v>6.2399647782871354E-2</v>
      </c>
      <c r="O3518" s="72"/>
      <c r="P3518" s="36" t="str">
        <f t="shared" si="334"/>
        <v/>
      </c>
      <c r="Q3518" s="216">
        <f t="shared" si="335"/>
        <v>0.14399999999999991</v>
      </c>
      <c r="R3518" s="216">
        <f t="shared" si="336"/>
        <v>0.14399999999999991</v>
      </c>
      <c r="S3518" s="217" t="str">
        <f t="shared" si="337"/>
        <v/>
      </c>
    </row>
    <row r="3519" spans="1:19" ht="15.75" hidden="1" thickBot="1" x14ac:dyDescent="0.3">
      <c r="A3519" s="262"/>
      <c r="B3519" s="260"/>
      <c r="C3519" s="35"/>
      <c r="D3519" s="35"/>
      <c r="E3519" s="36"/>
      <c r="F3519" s="53" t="s">
        <v>416</v>
      </c>
      <c r="G3519" s="53" t="str">
        <f t="shared" si="338"/>
        <v/>
      </c>
      <c r="H3519" s="72"/>
      <c r="I3519" s="73"/>
      <c r="J3519" s="152">
        <v>0</v>
      </c>
      <c r="L3519" s="215"/>
      <c r="M3519" s="53"/>
      <c r="N3519" s="53" t="str">
        <f t="shared" si="339"/>
        <v/>
      </c>
      <c r="O3519" s="72"/>
      <c r="P3519" s="36" t="str">
        <f t="shared" si="334"/>
        <v/>
      </c>
      <c r="Q3519" s="216" t="str">
        <f t="shared" si="335"/>
        <v/>
      </c>
      <c r="R3519" s="216" t="str">
        <f t="shared" si="336"/>
        <v/>
      </c>
      <c r="S3519" s="217" t="str">
        <f t="shared" si="337"/>
        <v/>
      </c>
    </row>
    <row r="3520" spans="1:19" ht="15.75" hidden="1" thickBot="1" x14ac:dyDescent="0.3">
      <c r="A3520" s="262"/>
      <c r="B3520" s="260"/>
      <c r="C3520" s="149" t="s">
        <v>905</v>
      </c>
      <c r="D3520" s="35"/>
      <c r="E3520" s="36"/>
      <c r="F3520" s="53" t="s">
        <v>416</v>
      </c>
      <c r="G3520" s="53" t="str">
        <f t="shared" si="338"/>
        <v/>
      </c>
      <c r="H3520" s="72"/>
      <c r="I3520" s="73"/>
      <c r="J3520" s="152">
        <v>0</v>
      </c>
      <c r="L3520" s="215"/>
      <c r="M3520" s="53"/>
      <c r="N3520" s="53" t="str">
        <f t="shared" si="339"/>
        <v/>
      </c>
      <c r="O3520" s="72"/>
      <c r="P3520" s="36" t="str">
        <f t="shared" si="334"/>
        <v/>
      </c>
      <c r="Q3520" s="216" t="str">
        <f t="shared" si="335"/>
        <v/>
      </c>
      <c r="R3520" s="216" t="str">
        <f t="shared" si="336"/>
        <v/>
      </c>
      <c r="S3520" s="217" t="str">
        <f t="shared" si="337"/>
        <v/>
      </c>
    </row>
    <row r="3521" spans="1:19" ht="26.25" hidden="1" thickBot="1" x14ac:dyDescent="0.3">
      <c r="A3521" s="262"/>
      <c r="B3521" s="260"/>
      <c r="C3521" s="149" t="s">
        <v>906</v>
      </c>
      <c r="D3521" s="35"/>
      <c r="E3521" s="36"/>
      <c r="F3521" s="53" t="s">
        <v>416</v>
      </c>
      <c r="G3521" s="53" t="str">
        <f t="shared" si="338"/>
        <v/>
      </c>
      <c r="H3521" s="72"/>
      <c r="I3521" s="73"/>
      <c r="J3521" s="152">
        <v>0</v>
      </c>
      <c r="L3521" s="215"/>
      <c r="M3521" s="53"/>
      <c r="N3521" s="53" t="str">
        <f t="shared" si="339"/>
        <v/>
      </c>
      <c r="O3521" s="72"/>
      <c r="P3521" s="36" t="str">
        <f t="shared" si="334"/>
        <v/>
      </c>
      <c r="Q3521" s="216" t="str">
        <f t="shared" si="335"/>
        <v/>
      </c>
      <c r="R3521" s="216" t="str">
        <f t="shared" si="336"/>
        <v/>
      </c>
      <c r="S3521" s="217" t="str">
        <f t="shared" si="337"/>
        <v/>
      </c>
    </row>
    <row r="3522" spans="1:19" ht="15.75" hidden="1" thickBot="1" x14ac:dyDescent="0.3">
      <c r="A3522" s="263"/>
      <c r="B3522" s="261"/>
      <c r="C3522" s="35"/>
      <c r="D3522" s="35"/>
      <c r="E3522" s="36"/>
      <c r="F3522" s="53" t="s">
        <v>416</v>
      </c>
      <c r="G3522" s="53" t="str">
        <f t="shared" si="338"/>
        <v/>
      </c>
      <c r="H3522" s="72"/>
      <c r="I3522" s="73"/>
      <c r="J3522" s="152">
        <v>0</v>
      </c>
      <c r="L3522" s="215"/>
      <c r="M3522" s="53"/>
      <c r="N3522" s="53" t="str">
        <f t="shared" si="339"/>
        <v/>
      </c>
      <c r="O3522" s="72"/>
      <c r="P3522" s="36" t="str">
        <f t="shared" si="334"/>
        <v/>
      </c>
      <c r="Q3522" s="216" t="str">
        <f t="shared" si="335"/>
        <v/>
      </c>
      <c r="R3522" s="216" t="str">
        <f t="shared" si="336"/>
        <v/>
      </c>
      <c r="S3522" s="217" t="str">
        <f t="shared" si="337"/>
        <v/>
      </c>
    </row>
    <row r="3523" spans="1:19" ht="15.75" hidden="1" thickBot="1" x14ac:dyDescent="0.3">
      <c r="A3523" s="256" t="s">
        <v>910</v>
      </c>
      <c r="B3523" s="259" t="str">
        <f>INDEX(Orçamentária!A:B,MATCH(Composições!A3523,Orçamentária!A:A,0),2)</f>
        <v>Mármore branco especial, e = 30 mm, instalação em fixadores metálicos existentes (modelo Edifício Principal)</v>
      </c>
      <c r="C3523" s="40"/>
      <c r="D3523" s="25" t="s">
        <v>70</v>
      </c>
      <c r="E3523" s="26"/>
      <c r="F3523" s="48" t="s">
        <v>416</v>
      </c>
      <c r="G3523" s="27" t="str">
        <f t="shared" si="338"/>
        <v/>
      </c>
      <c r="H3523" s="28"/>
      <c r="I3523" s="29"/>
      <c r="J3523" s="152">
        <v>0</v>
      </c>
      <c r="L3523" s="218"/>
      <c r="M3523" s="48"/>
      <c r="N3523" s="27" t="str">
        <f t="shared" si="339"/>
        <v/>
      </c>
      <c r="O3523" s="28"/>
      <c r="P3523" s="36" t="str">
        <f t="shared" si="334"/>
        <v/>
      </c>
      <c r="Q3523" s="216" t="str">
        <f t="shared" si="335"/>
        <v/>
      </c>
      <c r="R3523" s="216" t="str">
        <f t="shared" si="336"/>
        <v/>
      </c>
      <c r="S3523" s="217" t="str">
        <f t="shared" si="337"/>
        <v/>
      </c>
    </row>
    <row r="3524" spans="1:19" ht="15.75" hidden="1" thickBot="1" x14ac:dyDescent="0.3">
      <c r="A3524" s="262"/>
      <c r="B3524" s="260"/>
      <c r="C3524" s="31"/>
      <c r="D3524" s="31"/>
      <c r="E3524" s="32"/>
      <c r="F3524" s="53" t="s">
        <v>416</v>
      </c>
      <c r="G3524" s="53" t="str">
        <f t="shared" si="338"/>
        <v/>
      </c>
      <c r="H3524" s="72"/>
      <c r="I3524" s="73"/>
      <c r="J3524" s="152">
        <v>0</v>
      </c>
      <c r="L3524" s="219"/>
      <c r="M3524" s="53"/>
      <c r="N3524" s="53" t="str">
        <f t="shared" si="339"/>
        <v/>
      </c>
      <c r="O3524" s="72"/>
      <c r="P3524" s="36" t="str">
        <f t="shared" si="334"/>
        <v/>
      </c>
      <c r="Q3524" s="216" t="str">
        <f t="shared" si="335"/>
        <v/>
      </c>
      <c r="R3524" s="216" t="str">
        <f t="shared" si="336"/>
        <v/>
      </c>
      <c r="S3524" s="217" t="str">
        <f t="shared" si="337"/>
        <v/>
      </c>
    </row>
    <row r="3525" spans="1:19" ht="15.75" hidden="1" thickBot="1" x14ac:dyDescent="0.3">
      <c r="A3525" s="262"/>
      <c r="B3525" s="260"/>
      <c r="C3525" s="35" t="s">
        <v>908</v>
      </c>
      <c r="D3525" s="35" t="s">
        <v>70</v>
      </c>
      <c r="E3525" s="36">
        <v>1.05</v>
      </c>
      <c r="F3525" s="53" t="s">
        <v>416</v>
      </c>
      <c r="G3525" s="53" t="str">
        <f t="shared" si="338"/>
        <v/>
      </c>
      <c r="H3525" s="38">
        <f>SUM(G3525:G3529)</f>
        <v>8.7818000000000005</v>
      </c>
      <c r="I3525" s="39"/>
      <c r="J3525" s="152">
        <v>0</v>
      </c>
      <c r="L3525" s="215">
        <v>1.05</v>
      </c>
      <c r="M3525" s="53"/>
      <c r="N3525" s="53" t="str">
        <f t="shared" si="339"/>
        <v/>
      </c>
      <c r="O3525" s="38">
        <f>SUM(N3525:N3529)</f>
        <v>7.5172207999999996</v>
      </c>
      <c r="P3525" s="36" t="str">
        <f t="shared" si="334"/>
        <v/>
      </c>
      <c r="Q3525" s="216" t="str">
        <f t="shared" si="335"/>
        <v/>
      </c>
      <c r="R3525" s="216" t="str">
        <f t="shared" si="336"/>
        <v/>
      </c>
      <c r="S3525" s="217">
        <f t="shared" si="337"/>
        <v>0.14400000000000013</v>
      </c>
    </row>
    <row r="3526" spans="1:19" ht="15.75" hidden="1" thickBot="1" x14ac:dyDescent="0.3">
      <c r="A3526" s="262"/>
      <c r="B3526" s="260"/>
      <c r="C3526" s="35" t="s">
        <v>2906</v>
      </c>
      <c r="D3526" s="35" t="s">
        <v>583</v>
      </c>
      <c r="E3526" s="36">
        <v>0.25</v>
      </c>
      <c r="F3526" s="53">
        <v>27.036999999999999</v>
      </c>
      <c r="G3526" s="53">
        <f t="shared" si="338"/>
        <v>6.7592499999999998</v>
      </c>
      <c r="H3526" s="72"/>
      <c r="I3526" s="73"/>
      <c r="J3526" s="152">
        <v>0</v>
      </c>
      <c r="L3526" s="215">
        <v>0.25</v>
      </c>
      <c r="M3526" s="53">
        <v>23.143671999999999</v>
      </c>
      <c r="N3526" s="53">
        <f t="shared" si="339"/>
        <v>5.7859179999999997</v>
      </c>
      <c r="O3526" s="72"/>
      <c r="P3526" s="36" t="str">
        <f t="shared" si="334"/>
        <v/>
      </c>
      <c r="Q3526" s="216">
        <f t="shared" si="335"/>
        <v>0.14400000000000002</v>
      </c>
      <c r="R3526" s="216">
        <f t="shared" si="336"/>
        <v>0.14400000000000002</v>
      </c>
      <c r="S3526" s="217" t="str">
        <f t="shared" si="337"/>
        <v/>
      </c>
    </row>
    <row r="3527" spans="1:19" ht="15.75" hidden="1" thickBot="1" x14ac:dyDescent="0.3">
      <c r="A3527" s="262"/>
      <c r="B3527" s="260"/>
      <c r="C3527" s="35" t="s">
        <v>584</v>
      </c>
      <c r="D3527" s="35" t="s">
        <v>583</v>
      </c>
      <c r="E3527" s="36">
        <v>0.1</v>
      </c>
      <c r="F3527" s="53">
        <v>20.225499999999997</v>
      </c>
      <c r="G3527" s="53">
        <f t="shared" si="338"/>
        <v>2.0225499999999998</v>
      </c>
      <c r="H3527" s="72"/>
      <c r="I3527" s="73"/>
      <c r="J3527" s="152">
        <v>0</v>
      </c>
      <c r="L3527" s="215">
        <v>0.1</v>
      </c>
      <c r="M3527" s="53">
        <v>17.313027999999996</v>
      </c>
      <c r="N3527" s="53">
        <f t="shared" si="339"/>
        <v>1.7313027999999997</v>
      </c>
      <c r="O3527" s="72"/>
      <c r="P3527" s="36" t="str">
        <f t="shared" si="334"/>
        <v/>
      </c>
      <c r="Q3527" s="216">
        <f t="shared" si="335"/>
        <v>0.14400000000000013</v>
      </c>
      <c r="R3527" s="216">
        <f t="shared" si="336"/>
        <v>0.14400000000000013</v>
      </c>
      <c r="S3527" s="217" t="str">
        <f t="shared" si="337"/>
        <v/>
      </c>
    </row>
    <row r="3528" spans="1:19" ht="15.75" hidden="1" thickBot="1" x14ac:dyDescent="0.3">
      <c r="A3528" s="262"/>
      <c r="B3528" s="260"/>
      <c r="C3528" s="35" t="s">
        <v>893</v>
      </c>
      <c r="D3528" s="35" t="s">
        <v>107</v>
      </c>
      <c r="E3528" s="36">
        <f>(2/(0.4*0.8))*0.016/2</f>
        <v>4.9999999999999996E-2</v>
      </c>
      <c r="F3528" s="53">
        <v>0</v>
      </c>
      <c r="G3528" s="53">
        <f t="shared" si="338"/>
        <v>0</v>
      </c>
      <c r="H3528" s="72"/>
      <c r="I3528" s="73"/>
      <c r="J3528" s="152">
        <v>0</v>
      </c>
      <c r="L3528" s="215">
        <v>4.9999999999999996E-2</v>
      </c>
      <c r="M3528" s="53">
        <v>0</v>
      </c>
      <c r="N3528" s="53">
        <f t="shared" si="339"/>
        <v>0</v>
      </c>
      <c r="O3528" s="72"/>
      <c r="P3528" s="36" t="str">
        <f t="shared" ref="P3528:P3591" si="340">IF(ISBLANK(L3528),"",IF($E3528&lt;&gt;L3528,"SIM",""))</f>
        <v/>
      </c>
      <c r="Q3528" s="216" t="e">
        <f t="shared" ref="Q3528:Q3591" si="341">IF(M3528="","",1-M3528/$F3528)</f>
        <v>#DIV/0!</v>
      </c>
      <c r="R3528" s="216" t="e">
        <f t="shared" ref="R3528:R3591" si="342">IF(N3528="","",1-N3528/$G3528)</f>
        <v>#DIV/0!</v>
      </c>
      <c r="S3528" s="217" t="str">
        <f t="shared" ref="S3528:S3591" si="343">IF(O3528="","",1-O3528/$H3528)</f>
        <v/>
      </c>
    </row>
    <row r="3529" spans="1:19" ht="15.75" hidden="1" thickBot="1" x14ac:dyDescent="0.3">
      <c r="A3529" s="262"/>
      <c r="B3529" s="260"/>
      <c r="C3529" s="35" t="s">
        <v>894</v>
      </c>
      <c r="D3529" s="35" t="s">
        <v>895</v>
      </c>
      <c r="E3529" s="36">
        <f>(2/(0.4*0.8))*0.1/2</f>
        <v>0.3125</v>
      </c>
      <c r="F3529" s="53">
        <v>0</v>
      </c>
      <c r="G3529" s="53">
        <f t="shared" si="338"/>
        <v>0</v>
      </c>
      <c r="H3529" s="72"/>
      <c r="I3529" s="73"/>
      <c r="J3529" s="152">
        <v>0</v>
      </c>
      <c r="L3529" s="215">
        <v>0.3125</v>
      </c>
      <c r="M3529" s="53">
        <v>0</v>
      </c>
      <c r="N3529" s="53">
        <f t="shared" si="339"/>
        <v>0</v>
      </c>
      <c r="O3529" s="72"/>
      <c r="P3529" s="36" t="str">
        <f t="shared" si="340"/>
        <v/>
      </c>
      <c r="Q3529" s="216" t="e">
        <f t="shared" si="341"/>
        <v>#DIV/0!</v>
      </c>
      <c r="R3529" s="216" t="e">
        <f t="shared" si="342"/>
        <v>#DIV/0!</v>
      </c>
      <c r="S3529" s="217" t="str">
        <f t="shared" si="343"/>
        <v/>
      </c>
    </row>
    <row r="3530" spans="1:19" ht="15.75" hidden="1" thickBot="1" x14ac:dyDescent="0.3">
      <c r="A3530" s="262"/>
      <c r="B3530" s="260"/>
      <c r="C3530" s="35"/>
      <c r="D3530" s="35"/>
      <c r="E3530" s="36"/>
      <c r="F3530" s="53" t="s">
        <v>416</v>
      </c>
      <c r="G3530" s="53" t="str">
        <f t="shared" si="338"/>
        <v/>
      </c>
      <c r="H3530" s="72"/>
      <c r="I3530" s="73"/>
      <c r="J3530" s="152">
        <v>0</v>
      </c>
      <c r="L3530" s="215"/>
      <c r="M3530" s="53"/>
      <c r="N3530" s="53" t="str">
        <f t="shared" si="339"/>
        <v/>
      </c>
      <c r="O3530" s="72"/>
      <c r="P3530" s="36" t="str">
        <f t="shared" si="340"/>
        <v/>
      </c>
      <c r="Q3530" s="216" t="str">
        <f t="shared" si="341"/>
        <v/>
      </c>
      <c r="R3530" s="216" t="str">
        <f t="shared" si="342"/>
        <v/>
      </c>
      <c r="S3530" s="217" t="str">
        <f t="shared" si="343"/>
        <v/>
      </c>
    </row>
    <row r="3531" spans="1:19" ht="15.75" hidden="1" thickBot="1" x14ac:dyDescent="0.3">
      <c r="A3531" s="262"/>
      <c r="B3531" s="260"/>
      <c r="C3531" s="149" t="s">
        <v>911</v>
      </c>
      <c r="D3531" s="35"/>
      <c r="E3531" s="36"/>
      <c r="F3531" s="53" t="s">
        <v>416</v>
      </c>
      <c r="G3531" s="53" t="str">
        <f t="shared" si="338"/>
        <v/>
      </c>
      <c r="H3531" s="72"/>
      <c r="I3531" s="73"/>
      <c r="J3531" s="152">
        <v>0</v>
      </c>
      <c r="L3531" s="215"/>
      <c r="M3531" s="53"/>
      <c r="N3531" s="53" t="str">
        <f t="shared" si="339"/>
        <v/>
      </c>
      <c r="O3531" s="72"/>
      <c r="P3531" s="36" t="str">
        <f t="shared" si="340"/>
        <v/>
      </c>
      <c r="Q3531" s="216" t="str">
        <f t="shared" si="341"/>
        <v/>
      </c>
      <c r="R3531" s="216" t="str">
        <f t="shared" si="342"/>
        <v/>
      </c>
      <c r="S3531" s="217" t="str">
        <f t="shared" si="343"/>
        <v/>
      </c>
    </row>
    <row r="3532" spans="1:19" ht="15.75" hidden="1" thickBot="1" x14ac:dyDescent="0.3">
      <c r="A3532" s="263"/>
      <c r="B3532" s="261"/>
      <c r="C3532" s="35"/>
      <c r="D3532" s="35"/>
      <c r="E3532" s="36"/>
      <c r="F3532" s="53" t="s">
        <v>416</v>
      </c>
      <c r="G3532" s="53" t="str">
        <f t="shared" si="338"/>
        <v/>
      </c>
      <c r="H3532" s="72"/>
      <c r="I3532" s="73"/>
      <c r="J3532" s="152">
        <v>0</v>
      </c>
      <c r="L3532" s="215"/>
      <c r="M3532" s="53"/>
      <c r="N3532" s="53" t="str">
        <f t="shared" si="339"/>
        <v/>
      </c>
      <c r="O3532" s="72"/>
      <c r="P3532" s="36" t="str">
        <f t="shared" si="340"/>
        <v/>
      </c>
      <c r="Q3532" s="216" t="str">
        <f t="shared" si="341"/>
        <v/>
      </c>
      <c r="R3532" s="216" t="str">
        <f t="shared" si="342"/>
        <v/>
      </c>
      <c r="S3532" s="217" t="str">
        <f t="shared" si="343"/>
        <v/>
      </c>
    </row>
    <row r="3533" spans="1:19" ht="15.75" hidden="1" thickBot="1" x14ac:dyDescent="0.3">
      <c r="A3533" s="256" t="s">
        <v>2511</v>
      </c>
      <c r="B3533" s="259" t="str">
        <f>INDEX(Orçamentária!A:B,MATCH(Composições!A3533,Orçamentária!A:A,0),2)</f>
        <v>Instalação de placas de mármore 30 mm reaproveitadas em fixadores metálicos existentes (modelo Edifício Principal)</v>
      </c>
      <c r="C3533" s="40"/>
      <c r="D3533" s="25" t="s">
        <v>70</v>
      </c>
      <c r="E3533" s="26"/>
      <c r="F3533" s="48" t="s">
        <v>416</v>
      </c>
      <c r="G3533" s="27" t="str">
        <f t="shared" si="338"/>
        <v/>
      </c>
      <c r="H3533" s="28"/>
      <c r="I3533" s="29"/>
      <c r="J3533" s="152">
        <v>0</v>
      </c>
      <c r="L3533" s="218"/>
      <c r="M3533" s="48"/>
      <c r="N3533" s="27" t="str">
        <f t="shared" si="339"/>
        <v/>
      </c>
      <c r="O3533" s="28"/>
      <c r="P3533" s="36" t="str">
        <f t="shared" si="340"/>
        <v/>
      </c>
      <c r="Q3533" s="216" t="str">
        <f t="shared" si="341"/>
        <v/>
      </c>
      <c r="R3533" s="216" t="str">
        <f t="shared" si="342"/>
        <v/>
      </c>
      <c r="S3533" s="217" t="str">
        <f t="shared" si="343"/>
        <v/>
      </c>
    </row>
    <row r="3534" spans="1:19" ht="15.75" hidden="1" thickBot="1" x14ac:dyDescent="0.3">
      <c r="A3534" s="262"/>
      <c r="B3534" s="260"/>
      <c r="C3534" s="31"/>
      <c r="D3534" s="31"/>
      <c r="E3534" s="32"/>
      <c r="F3534" s="53" t="s">
        <v>416</v>
      </c>
      <c r="G3534" s="53" t="str">
        <f t="shared" si="338"/>
        <v/>
      </c>
      <c r="H3534" s="72"/>
      <c r="I3534" s="73"/>
      <c r="J3534" s="152">
        <v>0</v>
      </c>
      <c r="L3534" s="219"/>
      <c r="M3534" s="53"/>
      <c r="N3534" s="53" t="str">
        <f t="shared" si="339"/>
        <v/>
      </c>
      <c r="O3534" s="72"/>
      <c r="P3534" s="36" t="str">
        <f t="shared" si="340"/>
        <v/>
      </c>
      <c r="Q3534" s="216" t="str">
        <f t="shared" si="341"/>
        <v/>
      </c>
      <c r="R3534" s="216" t="str">
        <f t="shared" si="342"/>
        <v/>
      </c>
      <c r="S3534" s="217" t="str">
        <f t="shared" si="343"/>
        <v/>
      </c>
    </row>
    <row r="3535" spans="1:19" ht="15.75" hidden="1" thickBot="1" x14ac:dyDescent="0.3">
      <c r="A3535" s="262"/>
      <c r="B3535" s="260"/>
      <c r="C3535" s="35" t="s">
        <v>2906</v>
      </c>
      <c r="D3535" s="35" t="s">
        <v>583</v>
      </c>
      <c r="E3535" s="36">
        <v>0.25</v>
      </c>
      <c r="F3535" s="53">
        <v>27.036999999999999</v>
      </c>
      <c r="G3535" s="53">
        <f t="shared" si="338"/>
        <v>6.7592499999999998</v>
      </c>
      <c r="H3535" s="38">
        <f>SUM(G3535:G3538)</f>
        <v>8.7818000000000005</v>
      </c>
      <c r="I3535" s="39"/>
      <c r="J3535" s="152">
        <v>0</v>
      </c>
      <c r="L3535" s="215">
        <v>0.25</v>
      </c>
      <c r="M3535" s="53">
        <v>23.143671999999999</v>
      </c>
      <c r="N3535" s="53">
        <f t="shared" si="339"/>
        <v>5.7859179999999997</v>
      </c>
      <c r="O3535" s="38">
        <f>SUM(N3535:N3538)</f>
        <v>7.5172207999999996</v>
      </c>
      <c r="P3535" s="36" t="str">
        <f t="shared" si="340"/>
        <v/>
      </c>
      <c r="Q3535" s="216">
        <f t="shared" si="341"/>
        <v>0.14400000000000002</v>
      </c>
      <c r="R3535" s="216">
        <f t="shared" si="342"/>
        <v>0.14400000000000002</v>
      </c>
      <c r="S3535" s="217">
        <f t="shared" si="343"/>
        <v>0.14400000000000013</v>
      </c>
    </row>
    <row r="3536" spans="1:19" ht="15.75" hidden="1" thickBot="1" x14ac:dyDescent="0.3">
      <c r="A3536" s="262"/>
      <c r="B3536" s="260"/>
      <c r="C3536" s="35" t="s">
        <v>584</v>
      </c>
      <c r="D3536" s="35" t="s">
        <v>583</v>
      </c>
      <c r="E3536" s="36">
        <v>0.1</v>
      </c>
      <c r="F3536" s="53">
        <v>20.225499999999997</v>
      </c>
      <c r="G3536" s="53">
        <f t="shared" si="338"/>
        <v>2.0225499999999998</v>
      </c>
      <c r="H3536" s="72"/>
      <c r="I3536" s="73"/>
      <c r="J3536" s="152">
        <v>0</v>
      </c>
      <c r="L3536" s="215">
        <v>0.1</v>
      </c>
      <c r="M3536" s="53">
        <v>17.313027999999996</v>
      </c>
      <c r="N3536" s="53">
        <f t="shared" si="339"/>
        <v>1.7313027999999997</v>
      </c>
      <c r="O3536" s="72"/>
      <c r="P3536" s="36" t="str">
        <f t="shared" si="340"/>
        <v/>
      </c>
      <c r="Q3536" s="216">
        <f t="shared" si="341"/>
        <v>0.14400000000000013</v>
      </c>
      <c r="R3536" s="216">
        <f t="shared" si="342"/>
        <v>0.14400000000000013</v>
      </c>
      <c r="S3536" s="217" t="str">
        <f t="shared" si="343"/>
        <v/>
      </c>
    </row>
    <row r="3537" spans="1:19" ht="15.75" hidden="1" thickBot="1" x14ac:dyDescent="0.3">
      <c r="A3537" s="262"/>
      <c r="B3537" s="260"/>
      <c r="C3537" s="35" t="s">
        <v>893</v>
      </c>
      <c r="D3537" s="35" t="s">
        <v>107</v>
      </c>
      <c r="E3537" s="36">
        <f>(2/(0.4*0.8))*0.016/2</f>
        <v>4.9999999999999996E-2</v>
      </c>
      <c r="F3537" s="53">
        <v>0</v>
      </c>
      <c r="G3537" s="53">
        <f t="shared" si="338"/>
        <v>0</v>
      </c>
      <c r="H3537" s="72"/>
      <c r="I3537" s="73"/>
      <c r="J3537" s="152">
        <v>0</v>
      </c>
      <c r="L3537" s="215">
        <v>4.9999999999999996E-2</v>
      </c>
      <c r="M3537" s="53">
        <v>0</v>
      </c>
      <c r="N3537" s="53">
        <f t="shared" si="339"/>
        <v>0</v>
      </c>
      <c r="O3537" s="72"/>
      <c r="P3537" s="36" t="str">
        <f t="shared" si="340"/>
        <v/>
      </c>
      <c r="Q3537" s="216" t="e">
        <f t="shared" si="341"/>
        <v>#DIV/0!</v>
      </c>
      <c r="R3537" s="216" t="e">
        <f t="shared" si="342"/>
        <v>#DIV/0!</v>
      </c>
      <c r="S3537" s="217" t="str">
        <f t="shared" si="343"/>
        <v/>
      </c>
    </row>
    <row r="3538" spans="1:19" ht="15.75" hidden="1" thickBot="1" x14ac:dyDescent="0.3">
      <c r="A3538" s="262"/>
      <c r="B3538" s="260"/>
      <c r="C3538" s="35" t="s">
        <v>894</v>
      </c>
      <c r="D3538" s="35" t="s">
        <v>895</v>
      </c>
      <c r="E3538" s="36">
        <f>(2/(0.4*0.8))*0.1/2</f>
        <v>0.3125</v>
      </c>
      <c r="F3538" s="53">
        <v>0</v>
      </c>
      <c r="G3538" s="53">
        <f t="shared" si="338"/>
        <v>0</v>
      </c>
      <c r="H3538" s="72"/>
      <c r="I3538" s="73"/>
      <c r="J3538" s="152">
        <v>0</v>
      </c>
      <c r="L3538" s="215">
        <v>0.3125</v>
      </c>
      <c r="M3538" s="53">
        <v>0</v>
      </c>
      <c r="N3538" s="53">
        <f t="shared" si="339"/>
        <v>0</v>
      </c>
      <c r="O3538" s="72"/>
      <c r="P3538" s="36" t="str">
        <f t="shared" si="340"/>
        <v/>
      </c>
      <c r="Q3538" s="216" t="e">
        <f t="shared" si="341"/>
        <v>#DIV/0!</v>
      </c>
      <c r="R3538" s="216" t="e">
        <f t="shared" si="342"/>
        <v>#DIV/0!</v>
      </c>
      <c r="S3538" s="217" t="str">
        <f t="shared" si="343"/>
        <v/>
      </c>
    </row>
    <row r="3539" spans="1:19" ht="15.75" hidden="1" thickBot="1" x14ac:dyDescent="0.3">
      <c r="A3539" s="262"/>
      <c r="B3539" s="260"/>
      <c r="C3539" s="35"/>
      <c r="D3539" s="35"/>
      <c r="E3539" s="36"/>
      <c r="F3539" s="53" t="s">
        <v>416</v>
      </c>
      <c r="G3539" s="53" t="str">
        <f t="shared" si="338"/>
        <v/>
      </c>
      <c r="H3539" s="72"/>
      <c r="I3539" s="73"/>
      <c r="J3539" s="152">
        <v>0</v>
      </c>
      <c r="L3539" s="215"/>
      <c r="M3539" s="53"/>
      <c r="N3539" s="53" t="str">
        <f t="shared" si="339"/>
        <v/>
      </c>
      <c r="O3539" s="72"/>
      <c r="P3539" s="36" t="str">
        <f t="shared" si="340"/>
        <v/>
      </c>
      <c r="Q3539" s="216" t="str">
        <f t="shared" si="341"/>
        <v/>
      </c>
      <c r="R3539" s="216" t="str">
        <f t="shared" si="342"/>
        <v/>
      </c>
      <c r="S3539" s="217" t="str">
        <f t="shared" si="343"/>
        <v/>
      </c>
    </row>
    <row r="3540" spans="1:19" ht="15.75" hidden="1" thickBot="1" x14ac:dyDescent="0.3">
      <c r="A3540" s="262"/>
      <c r="B3540" s="260"/>
      <c r="C3540" s="149" t="s">
        <v>911</v>
      </c>
      <c r="D3540" s="35"/>
      <c r="E3540" s="36"/>
      <c r="F3540" s="53" t="s">
        <v>416</v>
      </c>
      <c r="G3540" s="53" t="str">
        <f t="shared" si="338"/>
        <v/>
      </c>
      <c r="H3540" s="72"/>
      <c r="I3540" s="73"/>
      <c r="J3540" s="152">
        <v>0</v>
      </c>
      <c r="L3540" s="215"/>
      <c r="M3540" s="53"/>
      <c r="N3540" s="53" t="str">
        <f t="shared" si="339"/>
        <v/>
      </c>
      <c r="O3540" s="72"/>
      <c r="P3540" s="36" t="str">
        <f t="shared" si="340"/>
        <v/>
      </c>
      <c r="Q3540" s="216" t="str">
        <f t="shared" si="341"/>
        <v/>
      </c>
      <c r="R3540" s="216" t="str">
        <f t="shared" si="342"/>
        <v/>
      </c>
      <c r="S3540" s="217" t="str">
        <f t="shared" si="343"/>
        <v/>
      </c>
    </row>
    <row r="3541" spans="1:19" ht="15.75" hidden="1" thickBot="1" x14ac:dyDescent="0.3">
      <c r="A3541" s="263"/>
      <c r="B3541" s="261"/>
      <c r="C3541" s="35"/>
      <c r="D3541" s="35"/>
      <c r="E3541" s="36"/>
      <c r="F3541" s="53" t="s">
        <v>416</v>
      </c>
      <c r="G3541" s="53" t="str">
        <f t="shared" si="338"/>
        <v/>
      </c>
      <c r="H3541" s="72"/>
      <c r="I3541" s="73"/>
      <c r="J3541" s="152">
        <v>0</v>
      </c>
      <c r="L3541" s="215"/>
      <c r="M3541" s="53"/>
      <c r="N3541" s="53" t="str">
        <f t="shared" si="339"/>
        <v/>
      </c>
      <c r="O3541" s="72"/>
      <c r="P3541" s="36" t="str">
        <f t="shared" si="340"/>
        <v/>
      </c>
      <c r="Q3541" s="216" t="str">
        <f t="shared" si="341"/>
        <v/>
      </c>
      <c r="R3541" s="216" t="str">
        <f t="shared" si="342"/>
        <v/>
      </c>
      <c r="S3541" s="217" t="str">
        <f t="shared" si="343"/>
        <v/>
      </c>
    </row>
    <row r="3542" spans="1:19" ht="15.75" hidden="1" thickBot="1" x14ac:dyDescent="0.3">
      <c r="A3542" s="256" t="s">
        <v>912</v>
      </c>
      <c r="B3542" s="259" t="str">
        <f>INDEX(Orçamentária!A:B,MATCH(Composições!A3542,Orçamentária!A:A,0),2)</f>
        <v>Instalação de placas de rocha ornamental reaproveitadas, por meio de argamassa</v>
      </c>
      <c r="C3542" s="40"/>
      <c r="D3542" s="25" t="s">
        <v>70</v>
      </c>
      <c r="E3542" s="26"/>
      <c r="F3542" s="48" t="s">
        <v>416</v>
      </c>
      <c r="G3542" s="27" t="str">
        <f t="shared" si="338"/>
        <v/>
      </c>
      <c r="H3542" s="28"/>
      <c r="I3542" s="29"/>
      <c r="J3542" s="152">
        <v>0</v>
      </c>
      <c r="L3542" s="218"/>
      <c r="M3542" s="48"/>
      <c r="N3542" s="27" t="str">
        <f t="shared" si="339"/>
        <v/>
      </c>
      <c r="O3542" s="28"/>
      <c r="P3542" s="36" t="str">
        <f t="shared" si="340"/>
        <v/>
      </c>
      <c r="Q3542" s="216" t="str">
        <f t="shared" si="341"/>
        <v/>
      </c>
      <c r="R3542" s="216" t="str">
        <f t="shared" si="342"/>
        <v/>
      </c>
      <c r="S3542" s="217" t="str">
        <f t="shared" si="343"/>
        <v/>
      </c>
    </row>
    <row r="3543" spans="1:19" ht="15.75" hidden="1" thickBot="1" x14ac:dyDescent="0.3">
      <c r="A3543" s="262"/>
      <c r="B3543" s="260"/>
      <c r="C3543" s="31"/>
      <c r="D3543" s="31"/>
      <c r="E3543" s="32"/>
      <c r="F3543" s="53" t="s">
        <v>416</v>
      </c>
      <c r="G3543" s="53" t="str">
        <f t="shared" si="338"/>
        <v/>
      </c>
      <c r="H3543" s="72"/>
      <c r="I3543" s="73"/>
      <c r="J3543" s="152">
        <v>0</v>
      </c>
      <c r="L3543" s="219"/>
      <c r="M3543" s="53"/>
      <c r="N3543" s="53" t="str">
        <f t="shared" si="339"/>
        <v/>
      </c>
      <c r="O3543" s="72"/>
      <c r="P3543" s="36" t="str">
        <f t="shared" si="340"/>
        <v/>
      </c>
      <c r="Q3543" s="216" t="str">
        <f t="shared" si="341"/>
        <v/>
      </c>
      <c r="R3543" s="216" t="str">
        <f t="shared" si="342"/>
        <v/>
      </c>
      <c r="S3543" s="217" t="str">
        <f t="shared" si="343"/>
        <v/>
      </c>
    </row>
    <row r="3544" spans="1:19" ht="15.75" hidden="1" thickBot="1" x14ac:dyDescent="0.3">
      <c r="A3544" s="262"/>
      <c r="B3544" s="260"/>
      <c r="C3544" s="35" t="s">
        <v>2906</v>
      </c>
      <c r="D3544" s="35" t="s">
        <v>583</v>
      </c>
      <c r="E3544" s="36">
        <v>1.35</v>
      </c>
      <c r="F3544" s="53">
        <v>27.036999999999999</v>
      </c>
      <c r="G3544" s="53">
        <f t="shared" si="338"/>
        <v>36.499949999999998</v>
      </c>
      <c r="H3544" s="38">
        <f>SUM(G3544:G3547)</f>
        <v>57.79515</v>
      </c>
      <c r="I3544" s="39"/>
      <c r="J3544" s="152">
        <v>0</v>
      </c>
      <c r="L3544" s="215">
        <v>1.35</v>
      </c>
      <c r="M3544" s="53">
        <v>23.143671999999999</v>
      </c>
      <c r="N3544" s="53">
        <f t="shared" si="339"/>
        <v>31.243957200000001</v>
      </c>
      <c r="O3544" s="38">
        <f>SUM(N3544:N3547)</f>
        <v>49.472648400000004</v>
      </c>
      <c r="P3544" s="36" t="str">
        <f t="shared" si="340"/>
        <v/>
      </c>
      <c r="Q3544" s="216">
        <f t="shared" si="341"/>
        <v>0.14400000000000002</v>
      </c>
      <c r="R3544" s="216">
        <f t="shared" si="342"/>
        <v>0.14399999999999991</v>
      </c>
      <c r="S3544" s="217">
        <f t="shared" si="343"/>
        <v>0.14399999999999991</v>
      </c>
    </row>
    <row r="3545" spans="1:19" ht="15.75" hidden="1" thickBot="1" x14ac:dyDescent="0.3">
      <c r="A3545" s="262"/>
      <c r="B3545" s="260"/>
      <c r="C3545" s="35" t="s">
        <v>584</v>
      </c>
      <c r="D3545" s="35" t="s">
        <v>583</v>
      </c>
      <c r="E3545" s="36">
        <v>0.6</v>
      </c>
      <c r="F3545" s="53">
        <v>20.225499999999997</v>
      </c>
      <c r="G3545" s="53">
        <f t="shared" si="338"/>
        <v>12.135299999999997</v>
      </c>
      <c r="H3545" s="72"/>
      <c r="I3545" s="73"/>
      <c r="J3545" s="152">
        <v>0</v>
      </c>
      <c r="L3545" s="215">
        <v>0.6</v>
      </c>
      <c r="M3545" s="53">
        <v>17.313027999999996</v>
      </c>
      <c r="N3545" s="53">
        <f t="shared" si="339"/>
        <v>10.387816799999998</v>
      </c>
      <c r="O3545" s="72"/>
      <c r="P3545" s="36" t="str">
        <f t="shared" si="340"/>
        <v/>
      </c>
      <c r="Q3545" s="216">
        <f t="shared" si="341"/>
        <v>0.14400000000000013</v>
      </c>
      <c r="R3545" s="216">
        <f t="shared" si="342"/>
        <v>0.14400000000000002</v>
      </c>
      <c r="S3545" s="217" t="str">
        <f t="shared" si="343"/>
        <v/>
      </c>
    </row>
    <row r="3546" spans="1:19" ht="15.75" hidden="1" thickBot="1" x14ac:dyDescent="0.3">
      <c r="A3546" s="262"/>
      <c r="B3546" s="260"/>
      <c r="C3546" s="35" t="s">
        <v>7987</v>
      </c>
      <c r="D3546" s="35" t="s">
        <v>773</v>
      </c>
      <c r="E3546" s="36">
        <v>4.5</v>
      </c>
      <c r="F3546" s="53">
        <v>1.8049999999999999</v>
      </c>
      <c r="G3546" s="53">
        <f t="shared" si="338"/>
        <v>8.1225000000000005</v>
      </c>
      <c r="H3546" s="72"/>
      <c r="I3546" s="73"/>
      <c r="J3546" s="152">
        <v>0</v>
      </c>
      <c r="L3546" s="215">
        <v>4.5</v>
      </c>
      <c r="M3546" s="53">
        <v>1.54508</v>
      </c>
      <c r="N3546" s="53">
        <f t="shared" si="339"/>
        <v>6.9528600000000003</v>
      </c>
      <c r="O3546" s="72"/>
      <c r="P3546" s="36" t="str">
        <f t="shared" si="340"/>
        <v/>
      </c>
      <c r="Q3546" s="216">
        <f t="shared" si="341"/>
        <v>0.14400000000000002</v>
      </c>
      <c r="R3546" s="216">
        <f t="shared" si="342"/>
        <v>0.14400000000000002</v>
      </c>
      <c r="S3546" s="217" t="str">
        <f t="shared" si="343"/>
        <v/>
      </c>
    </row>
    <row r="3547" spans="1:19" ht="15.75" hidden="1" thickBot="1" x14ac:dyDescent="0.3">
      <c r="A3547" s="262"/>
      <c r="B3547" s="260"/>
      <c r="C3547" s="35" t="s">
        <v>8367</v>
      </c>
      <c r="D3547" s="35" t="s">
        <v>773</v>
      </c>
      <c r="E3547" s="36">
        <v>0.3</v>
      </c>
      <c r="F3547" s="53">
        <v>3.4579999999999997</v>
      </c>
      <c r="G3547" s="53">
        <f t="shared" si="338"/>
        <v>1.0373999999999999</v>
      </c>
      <c r="H3547" s="72"/>
      <c r="I3547" s="73"/>
      <c r="J3547" s="152">
        <v>0</v>
      </c>
      <c r="L3547" s="215">
        <v>0.3</v>
      </c>
      <c r="M3547" s="53">
        <v>2.9600479999999996</v>
      </c>
      <c r="N3547" s="53">
        <f t="shared" si="339"/>
        <v>0.88801439999999987</v>
      </c>
      <c r="O3547" s="72"/>
      <c r="P3547" s="36" t="str">
        <f t="shared" si="340"/>
        <v/>
      </c>
      <c r="Q3547" s="216">
        <f t="shared" si="341"/>
        <v>0.14400000000000002</v>
      </c>
      <c r="R3547" s="216">
        <f t="shared" si="342"/>
        <v>0.14400000000000002</v>
      </c>
      <c r="S3547" s="217" t="str">
        <f t="shared" si="343"/>
        <v/>
      </c>
    </row>
    <row r="3548" spans="1:19" ht="15.75" hidden="1" thickBot="1" x14ac:dyDescent="0.3">
      <c r="A3548" s="263"/>
      <c r="B3548" s="261"/>
      <c r="C3548" s="35"/>
      <c r="D3548" s="35"/>
      <c r="E3548" s="36"/>
      <c r="F3548" s="53" t="s">
        <v>416</v>
      </c>
      <c r="G3548" s="53" t="str">
        <f t="shared" si="338"/>
        <v/>
      </c>
      <c r="H3548" s="72"/>
      <c r="I3548" s="73"/>
      <c r="J3548" s="152">
        <v>0</v>
      </c>
      <c r="L3548" s="215"/>
      <c r="M3548" s="53"/>
      <c r="N3548" s="53" t="str">
        <f t="shared" si="339"/>
        <v/>
      </c>
      <c r="O3548" s="72"/>
      <c r="P3548" s="36" t="str">
        <f t="shared" si="340"/>
        <v/>
      </c>
      <c r="Q3548" s="216" t="str">
        <f t="shared" si="341"/>
        <v/>
      </c>
      <c r="R3548" s="216" t="str">
        <f t="shared" si="342"/>
        <v/>
      </c>
      <c r="S3548" s="217" t="str">
        <f t="shared" si="343"/>
        <v/>
      </c>
    </row>
    <row r="3549" spans="1:19" ht="15.75" hidden="1" thickBot="1" x14ac:dyDescent="0.3">
      <c r="A3549" s="256" t="s">
        <v>913</v>
      </c>
      <c r="B3549" s="259" t="str">
        <f>INDEX(Orçamentária!A:B,MATCH(Composições!A3549,Orçamentária!A:A,0),2)</f>
        <v>Instalação de placas de rocha ornamental reaproveitadas, por meio de argamassa e fixadores metálicos</v>
      </c>
      <c r="C3549" s="40"/>
      <c r="D3549" s="25" t="s">
        <v>70</v>
      </c>
      <c r="E3549" s="26"/>
      <c r="F3549" s="48" t="s">
        <v>416</v>
      </c>
      <c r="G3549" s="27" t="str">
        <f t="shared" si="338"/>
        <v/>
      </c>
      <c r="H3549" s="28"/>
      <c r="I3549" s="29"/>
      <c r="J3549" s="152">
        <v>0</v>
      </c>
      <c r="L3549" s="218"/>
      <c r="M3549" s="48"/>
      <c r="N3549" s="27" t="str">
        <f t="shared" si="339"/>
        <v/>
      </c>
      <c r="O3549" s="28"/>
      <c r="P3549" s="36" t="str">
        <f t="shared" si="340"/>
        <v/>
      </c>
      <c r="Q3549" s="216" t="str">
        <f t="shared" si="341"/>
        <v/>
      </c>
      <c r="R3549" s="216" t="str">
        <f t="shared" si="342"/>
        <v/>
      </c>
      <c r="S3549" s="217" t="str">
        <f t="shared" si="343"/>
        <v/>
      </c>
    </row>
    <row r="3550" spans="1:19" ht="15.75" hidden="1" thickBot="1" x14ac:dyDescent="0.3">
      <c r="A3550" s="262"/>
      <c r="B3550" s="260"/>
      <c r="C3550" s="31"/>
      <c r="D3550" s="31"/>
      <c r="E3550" s="32"/>
      <c r="F3550" s="53" t="s">
        <v>416</v>
      </c>
      <c r="G3550" s="53" t="str">
        <f t="shared" si="338"/>
        <v/>
      </c>
      <c r="H3550" s="72"/>
      <c r="I3550" s="73"/>
      <c r="J3550" s="152">
        <v>0</v>
      </c>
      <c r="L3550" s="219"/>
      <c r="M3550" s="53"/>
      <c r="N3550" s="53" t="str">
        <f t="shared" si="339"/>
        <v/>
      </c>
      <c r="O3550" s="72"/>
      <c r="P3550" s="36" t="str">
        <f t="shared" si="340"/>
        <v/>
      </c>
      <c r="Q3550" s="216" t="str">
        <f t="shared" si="341"/>
        <v/>
      </c>
      <c r="R3550" s="216" t="str">
        <f t="shared" si="342"/>
        <v/>
      </c>
      <c r="S3550" s="217" t="str">
        <f t="shared" si="343"/>
        <v/>
      </c>
    </row>
    <row r="3551" spans="1:19" ht="15.75" hidden="1" thickBot="1" x14ac:dyDescent="0.3">
      <c r="A3551" s="262"/>
      <c r="B3551" s="260"/>
      <c r="C3551" s="35" t="s">
        <v>2906</v>
      </c>
      <c r="D3551" s="35" t="s">
        <v>583</v>
      </c>
      <c r="E3551" s="36">
        <f>1.35</f>
        <v>1.35</v>
      </c>
      <c r="F3551" s="53">
        <v>27.036999999999999</v>
      </c>
      <c r="G3551" s="53">
        <f t="shared" si="338"/>
        <v>36.499949999999998</v>
      </c>
      <c r="H3551" s="38">
        <f>SUM(G3551:G3560)</f>
        <v>79.769821784793081</v>
      </c>
      <c r="I3551" s="39"/>
      <c r="J3551" s="152">
        <v>0</v>
      </c>
      <c r="L3551" s="215">
        <v>1.35</v>
      </c>
      <c r="M3551" s="53">
        <v>23.143671999999999</v>
      </c>
      <c r="N3551" s="53">
        <f t="shared" si="339"/>
        <v>31.243957200000001</v>
      </c>
      <c r="O3551" s="38">
        <f>SUM(N3551:N3560)</f>
        <v>68.282967447782866</v>
      </c>
      <c r="P3551" s="36" t="str">
        <f t="shared" si="340"/>
        <v/>
      </c>
      <c r="Q3551" s="216">
        <f t="shared" si="341"/>
        <v>0.14400000000000002</v>
      </c>
      <c r="R3551" s="216">
        <f t="shared" si="342"/>
        <v>0.14399999999999991</v>
      </c>
      <c r="S3551" s="217">
        <f t="shared" si="343"/>
        <v>0.14400000000000013</v>
      </c>
    </row>
    <row r="3552" spans="1:19" ht="15.75" hidden="1" thickBot="1" x14ac:dyDescent="0.3">
      <c r="A3552" s="262"/>
      <c r="B3552" s="260"/>
      <c r="C3552" s="35" t="s">
        <v>591</v>
      </c>
      <c r="D3552" s="35" t="s">
        <v>583</v>
      </c>
      <c r="E3552" s="36">
        <v>0.1</v>
      </c>
      <c r="F3552" s="53">
        <v>27.160499999999999</v>
      </c>
      <c r="G3552" s="53">
        <f t="shared" si="338"/>
        <v>2.7160500000000001</v>
      </c>
      <c r="H3552" s="72"/>
      <c r="I3552" s="73"/>
      <c r="J3552" s="152">
        <v>0</v>
      </c>
      <c r="L3552" s="215">
        <v>0.1</v>
      </c>
      <c r="M3552" s="53">
        <v>23.249388</v>
      </c>
      <c r="N3552" s="53">
        <f t="shared" si="339"/>
        <v>2.3249388</v>
      </c>
      <c r="O3552" s="72"/>
      <c r="P3552" s="36" t="str">
        <f t="shared" si="340"/>
        <v/>
      </c>
      <c r="Q3552" s="216">
        <f t="shared" si="341"/>
        <v>0.14400000000000002</v>
      </c>
      <c r="R3552" s="216">
        <f t="shared" si="342"/>
        <v>0.14400000000000002</v>
      </c>
      <c r="S3552" s="217" t="str">
        <f t="shared" si="343"/>
        <v/>
      </c>
    </row>
    <row r="3553" spans="1:19" ht="15.75" hidden="1" thickBot="1" x14ac:dyDescent="0.3">
      <c r="A3553" s="262"/>
      <c r="B3553" s="260"/>
      <c r="C3553" s="35" t="s">
        <v>584</v>
      </c>
      <c r="D3553" s="35" t="s">
        <v>583</v>
      </c>
      <c r="E3553" s="36">
        <f>0.6+0.1+0.1</f>
        <v>0.79999999999999993</v>
      </c>
      <c r="F3553" s="53">
        <v>20.225499999999997</v>
      </c>
      <c r="G3553" s="53">
        <f t="shared" si="338"/>
        <v>16.180399999999995</v>
      </c>
      <c r="H3553" s="72"/>
      <c r="I3553" s="73"/>
      <c r="J3553" s="152">
        <v>0</v>
      </c>
      <c r="L3553" s="215">
        <v>0.79999999999999993</v>
      </c>
      <c r="M3553" s="53">
        <v>17.313027999999996</v>
      </c>
      <c r="N3553" s="53">
        <f t="shared" si="339"/>
        <v>13.850422399999996</v>
      </c>
      <c r="O3553" s="72"/>
      <c r="P3553" s="36" t="str">
        <f t="shared" si="340"/>
        <v/>
      </c>
      <c r="Q3553" s="216">
        <f t="shared" si="341"/>
        <v>0.14400000000000013</v>
      </c>
      <c r="R3553" s="216">
        <f t="shared" si="342"/>
        <v>0.14400000000000002</v>
      </c>
      <c r="S3553" s="217" t="str">
        <f t="shared" si="343"/>
        <v/>
      </c>
    </row>
    <row r="3554" spans="1:19" ht="15.75" hidden="1" thickBot="1" x14ac:dyDescent="0.3">
      <c r="A3554" s="262"/>
      <c r="B3554" s="260"/>
      <c r="C3554" s="35" t="s">
        <v>7987</v>
      </c>
      <c r="D3554" s="35" t="s">
        <v>773</v>
      </c>
      <c r="E3554" s="36">
        <v>4.5</v>
      </c>
      <c r="F3554" s="53">
        <v>1.8049999999999999</v>
      </c>
      <c r="G3554" s="53">
        <f t="shared" si="338"/>
        <v>8.1225000000000005</v>
      </c>
      <c r="H3554" s="72"/>
      <c r="I3554" s="73"/>
      <c r="J3554" s="152">
        <v>0</v>
      </c>
      <c r="L3554" s="215">
        <v>4.5</v>
      </c>
      <c r="M3554" s="53">
        <v>1.54508</v>
      </c>
      <c r="N3554" s="53">
        <f t="shared" si="339"/>
        <v>6.9528600000000003</v>
      </c>
      <c r="O3554" s="72"/>
      <c r="P3554" s="36" t="str">
        <f t="shared" si="340"/>
        <v/>
      </c>
      <c r="Q3554" s="216">
        <f t="shared" si="341"/>
        <v>0.14400000000000002</v>
      </c>
      <c r="R3554" s="216">
        <f t="shared" si="342"/>
        <v>0.14400000000000002</v>
      </c>
      <c r="S3554" s="217" t="str">
        <f t="shared" si="343"/>
        <v/>
      </c>
    </row>
    <row r="3555" spans="1:19" ht="15.75" hidden="1" thickBot="1" x14ac:dyDescent="0.3">
      <c r="A3555" s="262"/>
      <c r="B3555" s="260"/>
      <c r="C3555" s="35" t="s">
        <v>8367</v>
      </c>
      <c r="D3555" s="35" t="s">
        <v>773</v>
      </c>
      <c r="E3555" s="36">
        <v>0.3</v>
      </c>
      <c r="F3555" s="53">
        <v>3.4579999999999997</v>
      </c>
      <c r="G3555" s="53">
        <f t="shared" si="338"/>
        <v>1.0373999999999999</v>
      </c>
      <c r="H3555" s="72"/>
      <c r="I3555" s="73"/>
      <c r="J3555" s="152">
        <v>0</v>
      </c>
      <c r="L3555" s="215">
        <v>0.3</v>
      </c>
      <c r="M3555" s="53">
        <v>2.9600479999999996</v>
      </c>
      <c r="N3555" s="53">
        <f t="shared" si="339"/>
        <v>0.88801439999999987</v>
      </c>
      <c r="O3555" s="72"/>
      <c r="P3555" s="36" t="str">
        <f t="shared" si="340"/>
        <v/>
      </c>
      <c r="Q3555" s="216">
        <f t="shared" si="341"/>
        <v>0.14400000000000002</v>
      </c>
      <c r="R3555" s="216">
        <f t="shared" si="342"/>
        <v>0.14400000000000002</v>
      </c>
      <c r="S3555" s="217" t="str">
        <f t="shared" si="343"/>
        <v/>
      </c>
    </row>
    <row r="3556" spans="1:19" ht="26.25" hidden="1" thickBot="1" x14ac:dyDescent="0.3">
      <c r="A3556" s="262"/>
      <c r="B3556" s="260"/>
      <c r="C3556" s="35" t="s">
        <v>903</v>
      </c>
      <c r="D3556" s="35" t="s">
        <v>213</v>
      </c>
      <c r="E3556" s="36">
        <f>2/(0.4*0.8)</f>
        <v>6.2499999999999991</v>
      </c>
      <c r="F3556" s="53">
        <v>2.4224999999999999</v>
      </c>
      <c r="G3556" s="53">
        <f t="shared" si="338"/>
        <v>15.140624999999996</v>
      </c>
      <c r="H3556" s="72"/>
      <c r="I3556" s="73"/>
      <c r="J3556" s="152">
        <v>0</v>
      </c>
      <c r="L3556" s="215">
        <v>6.2499999999999991</v>
      </c>
      <c r="M3556" s="53">
        <v>2.0736599999999998</v>
      </c>
      <c r="N3556" s="53">
        <f t="shared" si="339"/>
        <v>12.960374999999997</v>
      </c>
      <c r="O3556" s="72"/>
      <c r="P3556" s="36" t="str">
        <f t="shared" si="340"/>
        <v/>
      </c>
      <c r="Q3556" s="216">
        <f t="shared" si="341"/>
        <v>0.14400000000000002</v>
      </c>
      <c r="R3556" s="216">
        <f t="shared" si="342"/>
        <v>0.14400000000000002</v>
      </c>
      <c r="S3556" s="217" t="str">
        <f t="shared" si="343"/>
        <v/>
      </c>
    </row>
    <row r="3557" spans="1:19" ht="15.75" hidden="1" thickBot="1" x14ac:dyDescent="0.3">
      <c r="A3557" s="262"/>
      <c r="B3557" s="260"/>
      <c r="C3557" s="35" t="s">
        <v>893</v>
      </c>
      <c r="D3557" s="35" t="s">
        <v>107</v>
      </c>
      <c r="E3557" s="36">
        <f>(2/(0.4*0.8))*(0.016)*1.5</f>
        <v>0.15</v>
      </c>
      <c r="F3557" s="53">
        <v>0</v>
      </c>
      <c r="G3557" s="53">
        <f t="shared" si="338"/>
        <v>0</v>
      </c>
      <c r="H3557" s="72"/>
      <c r="I3557" s="73"/>
      <c r="J3557" s="152">
        <v>0</v>
      </c>
      <c r="L3557" s="215">
        <v>0.15</v>
      </c>
      <c r="M3557" s="53">
        <v>0</v>
      </c>
      <c r="N3557" s="53">
        <f t="shared" si="339"/>
        <v>0</v>
      </c>
      <c r="O3557" s="72"/>
      <c r="P3557" s="36" t="str">
        <f t="shared" si="340"/>
        <v/>
      </c>
      <c r="Q3557" s="216" t="e">
        <f t="shared" si="341"/>
        <v>#DIV/0!</v>
      </c>
      <c r="R3557" s="216" t="e">
        <f t="shared" si="342"/>
        <v>#DIV/0!</v>
      </c>
      <c r="S3557" s="217" t="str">
        <f t="shared" si="343"/>
        <v/>
      </c>
    </row>
    <row r="3558" spans="1:19" ht="15.75" hidden="1" thickBot="1" x14ac:dyDescent="0.3">
      <c r="A3558" s="262"/>
      <c r="B3558" s="260"/>
      <c r="C3558" s="35" t="s">
        <v>894</v>
      </c>
      <c r="D3558" s="35" t="s">
        <v>895</v>
      </c>
      <c r="E3558" s="36">
        <f>(2/(0.4*0.8))*0.1*1.5</f>
        <v>0.9375</v>
      </c>
      <c r="F3558" s="53">
        <v>0</v>
      </c>
      <c r="G3558" s="53">
        <f t="shared" si="338"/>
        <v>0</v>
      </c>
      <c r="H3558" s="72"/>
      <c r="I3558" s="73"/>
      <c r="J3558" s="152">
        <v>0</v>
      </c>
      <c r="L3558" s="215">
        <v>0.9375</v>
      </c>
      <c r="M3558" s="53">
        <v>0</v>
      </c>
      <c r="N3558" s="53">
        <f t="shared" si="339"/>
        <v>0</v>
      </c>
      <c r="O3558" s="72"/>
      <c r="P3558" s="36" t="str">
        <f t="shared" si="340"/>
        <v/>
      </c>
      <c r="Q3558" s="216" t="e">
        <f t="shared" si="341"/>
        <v>#DIV/0!</v>
      </c>
      <c r="R3558" s="216" t="e">
        <f t="shared" si="342"/>
        <v>#DIV/0!</v>
      </c>
      <c r="S3558" s="217" t="str">
        <f t="shared" si="343"/>
        <v/>
      </c>
    </row>
    <row r="3559" spans="1:19" ht="15.75" hidden="1" thickBot="1" x14ac:dyDescent="0.3">
      <c r="A3559" s="262"/>
      <c r="B3559" s="260"/>
      <c r="C3559" s="35" t="s">
        <v>904</v>
      </c>
      <c r="D3559" s="35" t="s">
        <v>107</v>
      </c>
      <c r="E3559" s="36">
        <f>2/(0.4*0.8)</f>
        <v>6.2499999999999991</v>
      </c>
      <c r="F3559" s="53" t="s">
        <v>416</v>
      </c>
      <c r="G3559" s="53" t="str">
        <f t="shared" si="338"/>
        <v/>
      </c>
      <c r="H3559" s="72"/>
      <c r="I3559" s="73"/>
      <c r="J3559" s="152">
        <v>0</v>
      </c>
      <c r="L3559" s="215">
        <v>6.2499999999999991</v>
      </c>
      <c r="M3559" s="53"/>
      <c r="N3559" s="53" t="str">
        <f t="shared" si="339"/>
        <v/>
      </c>
      <c r="O3559" s="72"/>
      <c r="P3559" s="36" t="str">
        <f t="shared" si="340"/>
        <v/>
      </c>
      <c r="Q3559" s="216" t="str">
        <f t="shared" si="341"/>
        <v/>
      </c>
      <c r="R3559" s="216" t="str">
        <f t="shared" si="342"/>
        <v/>
      </c>
      <c r="S3559" s="217" t="str">
        <f t="shared" si="343"/>
        <v/>
      </c>
    </row>
    <row r="3560" spans="1:19" ht="39" hidden="1" thickBot="1" x14ac:dyDescent="0.3">
      <c r="A3560" s="262"/>
      <c r="B3560" s="260"/>
      <c r="C3560" s="35" t="s">
        <v>896</v>
      </c>
      <c r="D3560" s="35" t="s">
        <v>80</v>
      </c>
      <c r="E3560" s="36">
        <v>1E-4</v>
      </c>
      <c r="F3560" s="53">
        <v>728.96784793074005</v>
      </c>
      <c r="G3560" s="53">
        <f t="shared" si="338"/>
        <v>7.2896784793074001E-2</v>
      </c>
      <c r="H3560" s="72"/>
      <c r="I3560" s="73"/>
      <c r="J3560" s="152">
        <v>0</v>
      </c>
      <c r="L3560" s="215">
        <v>1E-4</v>
      </c>
      <c r="M3560" s="53">
        <v>623.99647782871352</v>
      </c>
      <c r="N3560" s="53">
        <f t="shared" si="339"/>
        <v>6.2399647782871354E-2</v>
      </c>
      <c r="O3560" s="72"/>
      <c r="P3560" s="36" t="str">
        <f t="shared" si="340"/>
        <v/>
      </c>
      <c r="Q3560" s="216">
        <f t="shared" si="341"/>
        <v>0.14399999999999991</v>
      </c>
      <c r="R3560" s="216">
        <f t="shared" si="342"/>
        <v>0.14399999999999991</v>
      </c>
      <c r="S3560" s="217" t="str">
        <f t="shared" si="343"/>
        <v/>
      </c>
    </row>
    <row r="3561" spans="1:19" ht="15.75" hidden="1" thickBot="1" x14ac:dyDescent="0.3">
      <c r="A3561" s="262"/>
      <c r="B3561" s="260"/>
      <c r="C3561" s="35"/>
      <c r="D3561" s="35"/>
      <c r="E3561" s="36"/>
      <c r="F3561" s="53" t="s">
        <v>416</v>
      </c>
      <c r="G3561" s="53" t="str">
        <f t="shared" si="338"/>
        <v/>
      </c>
      <c r="H3561" s="72"/>
      <c r="I3561" s="73"/>
      <c r="J3561" s="152">
        <v>0</v>
      </c>
      <c r="L3561" s="215"/>
      <c r="M3561" s="53"/>
      <c r="N3561" s="53" t="str">
        <f t="shared" si="339"/>
        <v/>
      </c>
      <c r="O3561" s="72"/>
      <c r="P3561" s="36" t="str">
        <f t="shared" si="340"/>
        <v/>
      </c>
      <c r="Q3561" s="216" t="str">
        <f t="shared" si="341"/>
        <v/>
      </c>
      <c r="R3561" s="216" t="str">
        <f t="shared" si="342"/>
        <v/>
      </c>
      <c r="S3561" s="217" t="str">
        <f t="shared" si="343"/>
        <v/>
      </c>
    </row>
    <row r="3562" spans="1:19" ht="15.75" hidden="1" thickBot="1" x14ac:dyDescent="0.3">
      <c r="A3562" s="262"/>
      <c r="B3562" s="260"/>
      <c r="C3562" s="149" t="s">
        <v>905</v>
      </c>
      <c r="D3562" s="35"/>
      <c r="E3562" s="36"/>
      <c r="F3562" s="53" t="s">
        <v>416</v>
      </c>
      <c r="G3562" s="53" t="str">
        <f t="shared" si="338"/>
        <v/>
      </c>
      <c r="H3562" s="72"/>
      <c r="I3562" s="73"/>
      <c r="J3562" s="152">
        <v>0</v>
      </c>
      <c r="L3562" s="215"/>
      <c r="M3562" s="53"/>
      <c r="N3562" s="53" t="str">
        <f t="shared" si="339"/>
        <v/>
      </c>
      <c r="O3562" s="72"/>
      <c r="P3562" s="36" t="str">
        <f t="shared" si="340"/>
        <v/>
      </c>
      <c r="Q3562" s="216" t="str">
        <f t="shared" si="341"/>
        <v/>
      </c>
      <c r="R3562" s="216" t="str">
        <f t="shared" si="342"/>
        <v/>
      </c>
      <c r="S3562" s="217" t="str">
        <f t="shared" si="343"/>
        <v/>
      </c>
    </row>
    <row r="3563" spans="1:19" ht="26.25" hidden="1" thickBot="1" x14ac:dyDescent="0.3">
      <c r="A3563" s="262"/>
      <c r="B3563" s="260"/>
      <c r="C3563" s="149" t="s">
        <v>906</v>
      </c>
      <c r="D3563" s="35"/>
      <c r="E3563" s="36"/>
      <c r="F3563" s="53" t="s">
        <v>416</v>
      </c>
      <c r="G3563" s="53" t="str">
        <f t="shared" si="338"/>
        <v/>
      </c>
      <c r="H3563" s="72"/>
      <c r="I3563" s="73"/>
      <c r="J3563" s="152">
        <v>0</v>
      </c>
      <c r="L3563" s="215"/>
      <c r="M3563" s="53"/>
      <c r="N3563" s="53" t="str">
        <f t="shared" si="339"/>
        <v/>
      </c>
      <c r="O3563" s="72"/>
      <c r="P3563" s="36" t="str">
        <f t="shared" si="340"/>
        <v/>
      </c>
      <c r="Q3563" s="216" t="str">
        <f t="shared" si="341"/>
        <v/>
      </c>
      <c r="R3563" s="216" t="str">
        <f t="shared" si="342"/>
        <v/>
      </c>
      <c r="S3563" s="217" t="str">
        <f t="shared" si="343"/>
        <v/>
      </c>
    </row>
    <row r="3564" spans="1:19" ht="15.75" hidden="1" thickBot="1" x14ac:dyDescent="0.3">
      <c r="A3564" s="263"/>
      <c r="B3564" s="261"/>
      <c r="C3564" s="35"/>
      <c r="D3564" s="35"/>
      <c r="E3564" s="36"/>
      <c r="F3564" s="53" t="s">
        <v>416</v>
      </c>
      <c r="G3564" s="53" t="str">
        <f t="shared" ref="G3564:G3627" si="344">IF(ISNUMBER(F3564),E3564*F3564,"")</f>
        <v/>
      </c>
      <c r="H3564" s="72"/>
      <c r="I3564" s="73"/>
      <c r="J3564" s="152">
        <v>0</v>
      </c>
      <c r="L3564" s="215"/>
      <c r="M3564" s="53"/>
      <c r="N3564" s="53" t="str">
        <f t="shared" ref="N3564:N3627" si="345">IF(ISNUMBER(M3564),L3564*M3564,"")</f>
        <v/>
      </c>
      <c r="O3564" s="72"/>
      <c r="P3564" s="36" t="str">
        <f t="shared" si="340"/>
        <v/>
      </c>
      <c r="Q3564" s="216" t="str">
        <f t="shared" si="341"/>
        <v/>
      </c>
      <c r="R3564" s="216" t="str">
        <f t="shared" si="342"/>
        <v/>
      </c>
      <c r="S3564" s="217" t="str">
        <f t="shared" si="343"/>
        <v/>
      </c>
    </row>
    <row r="3565" spans="1:19" ht="15.75" hidden="1" thickBot="1" x14ac:dyDescent="0.3">
      <c r="A3565" s="256" t="s">
        <v>914</v>
      </c>
      <c r="B3565" s="259" t="str">
        <f>INDEX(Orçamentária!A:B,MATCH(Composições!A3565,Orçamentária!A:A,0),2)</f>
        <v>Aplicação de hidrofugante à base de silano e silicone</v>
      </c>
      <c r="C3565" s="40"/>
      <c r="D3565" s="25" t="s">
        <v>70</v>
      </c>
      <c r="E3565" s="26"/>
      <c r="F3565" s="48" t="s">
        <v>416</v>
      </c>
      <c r="G3565" s="27" t="str">
        <f t="shared" si="344"/>
        <v/>
      </c>
      <c r="H3565" s="28"/>
      <c r="I3565" s="29"/>
      <c r="J3565" s="152">
        <v>0</v>
      </c>
      <c r="L3565" s="218"/>
      <c r="M3565" s="48"/>
      <c r="N3565" s="27" t="str">
        <f t="shared" si="345"/>
        <v/>
      </c>
      <c r="O3565" s="28"/>
      <c r="P3565" s="36" t="str">
        <f t="shared" si="340"/>
        <v/>
      </c>
      <c r="Q3565" s="216" t="str">
        <f t="shared" si="341"/>
        <v/>
      </c>
      <c r="R3565" s="216" t="str">
        <f t="shared" si="342"/>
        <v/>
      </c>
      <c r="S3565" s="217" t="str">
        <f t="shared" si="343"/>
        <v/>
      </c>
    </row>
    <row r="3566" spans="1:19" ht="15.75" hidden="1" thickBot="1" x14ac:dyDescent="0.3">
      <c r="A3566" s="257"/>
      <c r="B3566" s="260"/>
      <c r="C3566" s="31"/>
      <c r="D3566" s="31"/>
      <c r="E3566" s="32"/>
      <c r="F3566" s="53" t="s">
        <v>416</v>
      </c>
      <c r="G3566" s="53" t="str">
        <f t="shared" si="344"/>
        <v/>
      </c>
      <c r="H3566" s="72"/>
      <c r="I3566" s="73"/>
      <c r="J3566" s="152">
        <v>0</v>
      </c>
      <c r="L3566" s="219"/>
      <c r="M3566" s="53"/>
      <c r="N3566" s="53" t="str">
        <f t="shared" si="345"/>
        <v/>
      </c>
      <c r="O3566" s="72"/>
      <c r="P3566" s="36" t="str">
        <f t="shared" si="340"/>
        <v/>
      </c>
      <c r="Q3566" s="216" t="str">
        <f t="shared" si="341"/>
        <v/>
      </c>
      <c r="R3566" s="216" t="str">
        <f t="shared" si="342"/>
        <v/>
      </c>
      <c r="S3566" s="217" t="str">
        <f t="shared" si="343"/>
        <v/>
      </c>
    </row>
    <row r="3567" spans="1:19" ht="15.75" hidden="1" thickBot="1" x14ac:dyDescent="0.3">
      <c r="A3567" s="257"/>
      <c r="B3567" s="260"/>
      <c r="C3567" s="35" t="s">
        <v>956</v>
      </c>
      <c r="D3567" s="35" t="s">
        <v>583</v>
      </c>
      <c r="E3567" s="36">
        <v>0.4</v>
      </c>
      <c r="F3567" s="53">
        <v>28.6615</v>
      </c>
      <c r="G3567" s="53">
        <f t="shared" si="344"/>
        <v>11.464600000000001</v>
      </c>
      <c r="H3567" s="38">
        <f>SUM(G3567:G3569)</f>
        <v>13.769300000000001</v>
      </c>
      <c r="I3567" s="39"/>
      <c r="J3567" s="152">
        <v>0</v>
      </c>
      <c r="L3567" s="215">
        <v>0.4</v>
      </c>
      <c r="M3567" s="53">
        <v>24.534244000000001</v>
      </c>
      <c r="N3567" s="53">
        <f t="shared" si="345"/>
        <v>9.8136976000000011</v>
      </c>
      <c r="O3567" s="38">
        <f>SUM(N3567:N3569)</f>
        <v>11.786520800000002</v>
      </c>
      <c r="P3567" s="36" t="str">
        <f t="shared" si="340"/>
        <v/>
      </c>
      <c r="Q3567" s="216">
        <f t="shared" si="341"/>
        <v>0.14400000000000002</v>
      </c>
      <c r="R3567" s="216">
        <f t="shared" si="342"/>
        <v>0.14399999999999991</v>
      </c>
      <c r="S3567" s="217">
        <f t="shared" si="343"/>
        <v>0.14399999999999991</v>
      </c>
    </row>
    <row r="3568" spans="1:19" ht="15.75" hidden="1" thickBot="1" x14ac:dyDescent="0.3">
      <c r="A3568" s="257"/>
      <c r="B3568" s="260"/>
      <c r="C3568" s="35" t="s">
        <v>2919</v>
      </c>
      <c r="D3568" s="35" t="s">
        <v>583</v>
      </c>
      <c r="E3568" s="36">
        <v>0.1</v>
      </c>
      <c r="F3568" s="53">
        <v>23.047000000000001</v>
      </c>
      <c r="G3568" s="53">
        <f t="shared" si="344"/>
        <v>2.3047</v>
      </c>
      <c r="H3568" s="72"/>
      <c r="I3568" s="73"/>
      <c r="J3568" s="152">
        <v>0</v>
      </c>
      <c r="L3568" s="215">
        <v>0.1</v>
      </c>
      <c r="M3568" s="53">
        <v>19.728232000000002</v>
      </c>
      <c r="N3568" s="53">
        <f t="shared" si="345"/>
        <v>1.9728232000000003</v>
      </c>
      <c r="O3568" s="72"/>
      <c r="P3568" s="36" t="str">
        <f t="shared" si="340"/>
        <v/>
      </c>
      <c r="Q3568" s="216">
        <f t="shared" si="341"/>
        <v>0.14399999999999991</v>
      </c>
      <c r="R3568" s="216">
        <f t="shared" si="342"/>
        <v>0.14399999999999979</v>
      </c>
      <c r="S3568" s="217" t="str">
        <f t="shared" si="343"/>
        <v/>
      </c>
    </row>
    <row r="3569" spans="1:19" ht="15.75" hidden="1" thickBot="1" x14ac:dyDescent="0.3">
      <c r="A3569" s="257"/>
      <c r="B3569" s="260"/>
      <c r="C3569" s="35" t="s">
        <v>915</v>
      </c>
      <c r="D3569" s="49" t="s">
        <v>75</v>
      </c>
      <c r="E3569" s="36">
        <v>0.33</v>
      </c>
      <c r="F3569" s="53">
        <v>0</v>
      </c>
      <c r="G3569" s="53">
        <f t="shared" si="344"/>
        <v>0</v>
      </c>
      <c r="H3569" s="72"/>
      <c r="I3569" s="73"/>
      <c r="J3569" s="152">
        <v>0</v>
      </c>
      <c r="L3569" s="215">
        <v>0.33</v>
      </c>
      <c r="M3569" s="53">
        <v>0</v>
      </c>
      <c r="N3569" s="53">
        <f t="shared" si="345"/>
        <v>0</v>
      </c>
      <c r="O3569" s="72"/>
      <c r="P3569" s="36" t="str">
        <f t="shared" si="340"/>
        <v/>
      </c>
      <c r="Q3569" s="216" t="e">
        <f t="shared" si="341"/>
        <v>#DIV/0!</v>
      </c>
      <c r="R3569" s="216" t="e">
        <f t="shared" si="342"/>
        <v>#DIV/0!</v>
      </c>
      <c r="S3569" s="217" t="str">
        <f t="shared" si="343"/>
        <v/>
      </c>
    </row>
    <row r="3570" spans="1:19" ht="15.75" hidden="1" thickBot="1" x14ac:dyDescent="0.3">
      <c r="A3570" s="258"/>
      <c r="B3570" s="261"/>
      <c r="C3570" s="35"/>
      <c r="D3570" s="35"/>
      <c r="E3570" s="36"/>
      <c r="F3570" s="53" t="s">
        <v>416</v>
      </c>
      <c r="G3570" s="53" t="str">
        <f t="shared" si="344"/>
        <v/>
      </c>
      <c r="H3570" s="72"/>
      <c r="I3570" s="73"/>
      <c r="J3570" s="152">
        <v>0</v>
      </c>
      <c r="L3570" s="215"/>
      <c r="M3570" s="53"/>
      <c r="N3570" s="53" t="str">
        <f t="shared" si="345"/>
        <v/>
      </c>
      <c r="O3570" s="72"/>
      <c r="P3570" s="36" t="str">
        <f t="shared" si="340"/>
        <v/>
      </c>
      <c r="Q3570" s="216" t="str">
        <f t="shared" si="341"/>
        <v/>
      </c>
      <c r="R3570" s="216" t="str">
        <f t="shared" si="342"/>
        <v/>
      </c>
      <c r="S3570" s="217" t="str">
        <f t="shared" si="343"/>
        <v/>
      </c>
    </row>
    <row r="3571" spans="1:19" ht="15.75" hidden="1" thickBot="1" x14ac:dyDescent="0.3">
      <c r="A3571" s="256" t="s">
        <v>916</v>
      </c>
      <c r="B3571" s="259" t="str">
        <f>INDEX(Orçamentária!A:B,MATCH(Composições!A3571,Orçamentária!A:A,0),2)</f>
        <v>Cantoneira em alumínio abas iguais 1" x 1/8" – Pingadeira “L”</v>
      </c>
      <c r="C3571" s="40"/>
      <c r="D3571" s="25" t="s">
        <v>69</v>
      </c>
      <c r="E3571" s="26"/>
      <c r="F3571" s="48" t="s">
        <v>416</v>
      </c>
      <c r="G3571" s="27" t="str">
        <f t="shared" si="344"/>
        <v/>
      </c>
      <c r="H3571" s="28"/>
      <c r="I3571" s="29"/>
      <c r="J3571" s="152">
        <v>0</v>
      </c>
      <c r="L3571" s="218"/>
      <c r="M3571" s="48"/>
      <c r="N3571" s="27" t="str">
        <f t="shared" si="345"/>
        <v/>
      </c>
      <c r="O3571" s="28"/>
      <c r="P3571" s="36" t="str">
        <f t="shared" si="340"/>
        <v/>
      </c>
      <c r="Q3571" s="216" t="str">
        <f t="shared" si="341"/>
        <v/>
      </c>
      <c r="R3571" s="216" t="str">
        <f t="shared" si="342"/>
        <v/>
      </c>
      <c r="S3571" s="217" t="str">
        <f t="shared" si="343"/>
        <v/>
      </c>
    </row>
    <row r="3572" spans="1:19" ht="15.75" hidden="1" thickBot="1" x14ac:dyDescent="0.3">
      <c r="A3572" s="257"/>
      <c r="B3572" s="260"/>
      <c r="C3572" s="31"/>
      <c r="D3572" s="31"/>
      <c r="E3572" s="32"/>
      <c r="F3572" s="53" t="s">
        <v>416</v>
      </c>
      <c r="G3572" s="53" t="str">
        <f t="shared" si="344"/>
        <v/>
      </c>
      <c r="H3572" s="72"/>
      <c r="I3572" s="73"/>
      <c r="J3572" s="152">
        <v>0</v>
      </c>
      <c r="L3572" s="219"/>
      <c r="M3572" s="53"/>
      <c r="N3572" s="53" t="str">
        <f t="shared" si="345"/>
        <v/>
      </c>
      <c r="O3572" s="72"/>
      <c r="P3572" s="36" t="str">
        <f t="shared" si="340"/>
        <v/>
      </c>
      <c r="Q3572" s="216" t="str">
        <f t="shared" si="341"/>
        <v/>
      </c>
      <c r="R3572" s="216" t="str">
        <f t="shared" si="342"/>
        <v/>
      </c>
      <c r="S3572" s="217" t="str">
        <f t="shared" si="343"/>
        <v/>
      </c>
    </row>
    <row r="3573" spans="1:19" ht="15.75" hidden="1" thickBot="1" x14ac:dyDescent="0.3">
      <c r="A3573" s="257"/>
      <c r="B3573" s="260"/>
      <c r="C3573" s="35" t="s">
        <v>2906</v>
      </c>
      <c r="D3573" s="35" t="s">
        <v>583</v>
      </c>
      <c r="E3573" s="36">
        <v>0.6</v>
      </c>
      <c r="F3573" s="53">
        <v>27.036999999999999</v>
      </c>
      <c r="G3573" s="53">
        <f t="shared" si="344"/>
        <v>16.222199999999997</v>
      </c>
      <c r="H3573" s="38">
        <f>SUM(G3573:G3575)</f>
        <v>24.312399999999997</v>
      </c>
      <c r="I3573" s="39"/>
      <c r="J3573" s="152">
        <v>0</v>
      </c>
      <c r="L3573" s="215">
        <v>0.6</v>
      </c>
      <c r="M3573" s="53">
        <v>23.143671999999999</v>
      </c>
      <c r="N3573" s="53">
        <f t="shared" si="345"/>
        <v>13.886203199999999</v>
      </c>
      <c r="O3573" s="38">
        <f>SUM(N3573:N3575)</f>
        <v>20.811414399999997</v>
      </c>
      <c r="P3573" s="36" t="str">
        <f t="shared" si="340"/>
        <v/>
      </c>
      <c r="Q3573" s="216">
        <f t="shared" si="341"/>
        <v>0.14400000000000002</v>
      </c>
      <c r="R3573" s="216">
        <f t="shared" si="342"/>
        <v>0.14399999999999991</v>
      </c>
      <c r="S3573" s="217">
        <f t="shared" si="343"/>
        <v>0.14400000000000002</v>
      </c>
    </row>
    <row r="3574" spans="1:19" ht="15.75" hidden="1" thickBot="1" x14ac:dyDescent="0.3">
      <c r="A3574" s="257"/>
      <c r="B3574" s="260"/>
      <c r="C3574" s="35" t="s">
        <v>584</v>
      </c>
      <c r="D3574" s="35" t="s">
        <v>583</v>
      </c>
      <c r="E3574" s="36">
        <v>0.4</v>
      </c>
      <c r="F3574" s="53">
        <v>20.225499999999997</v>
      </c>
      <c r="G3574" s="53">
        <f t="shared" si="344"/>
        <v>8.0901999999999994</v>
      </c>
      <c r="H3574" s="72"/>
      <c r="I3574" s="73"/>
      <c r="J3574" s="152">
        <v>0</v>
      </c>
      <c r="L3574" s="215">
        <v>0.4</v>
      </c>
      <c r="M3574" s="53">
        <v>17.313027999999996</v>
      </c>
      <c r="N3574" s="53">
        <f t="shared" si="345"/>
        <v>6.9252111999999988</v>
      </c>
      <c r="O3574" s="72"/>
      <c r="P3574" s="36" t="str">
        <f t="shared" si="340"/>
        <v/>
      </c>
      <c r="Q3574" s="216">
        <f t="shared" si="341"/>
        <v>0.14400000000000013</v>
      </c>
      <c r="R3574" s="216">
        <f t="shared" si="342"/>
        <v>0.14400000000000013</v>
      </c>
      <c r="S3574" s="217" t="str">
        <f t="shared" si="343"/>
        <v/>
      </c>
    </row>
    <row r="3575" spans="1:19" ht="26.25" hidden="1" thickBot="1" x14ac:dyDescent="0.3">
      <c r="A3575" s="257"/>
      <c r="B3575" s="260"/>
      <c r="C3575" s="35" t="s">
        <v>917</v>
      </c>
      <c r="D3575" s="46" t="s">
        <v>69</v>
      </c>
      <c r="E3575" s="36">
        <v>1</v>
      </c>
      <c r="F3575" s="53" t="s">
        <v>416</v>
      </c>
      <c r="G3575" s="53" t="str">
        <f t="shared" si="344"/>
        <v/>
      </c>
      <c r="H3575" s="72"/>
      <c r="I3575" s="73"/>
      <c r="J3575" s="152">
        <v>0</v>
      </c>
      <c r="L3575" s="215">
        <v>1</v>
      </c>
      <c r="M3575" s="53"/>
      <c r="N3575" s="53" t="str">
        <f t="shared" si="345"/>
        <v/>
      </c>
      <c r="O3575" s="72"/>
      <c r="P3575" s="36" t="str">
        <f t="shared" si="340"/>
        <v/>
      </c>
      <c r="Q3575" s="216" t="str">
        <f t="shared" si="341"/>
        <v/>
      </c>
      <c r="R3575" s="216" t="str">
        <f t="shared" si="342"/>
        <v/>
      </c>
      <c r="S3575" s="217" t="str">
        <f t="shared" si="343"/>
        <v/>
      </c>
    </row>
    <row r="3576" spans="1:19" ht="15.75" hidden="1" thickBot="1" x14ac:dyDescent="0.3">
      <c r="A3576" s="258"/>
      <c r="B3576" s="261"/>
      <c r="C3576" s="35"/>
      <c r="D3576" s="35"/>
      <c r="E3576" s="36"/>
      <c r="F3576" s="53" t="s">
        <v>416</v>
      </c>
      <c r="G3576" s="53" t="str">
        <f t="shared" si="344"/>
        <v/>
      </c>
      <c r="H3576" s="72"/>
      <c r="I3576" s="73"/>
      <c r="J3576" s="152">
        <v>0</v>
      </c>
      <c r="L3576" s="215"/>
      <c r="M3576" s="53"/>
      <c r="N3576" s="53" t="str">
        <f t="shared" si="345"/>
        <v/>
      </c>
      <c r="O3576" s="72"/>
      <c r="P3576" s="36" t="str">
        <f t="shared" si="340"/>
        <v/>
      </c>
      <c r="Q3576" s="216" t="str">
        <f t="shared" si="341"/>
        <v/>
      </c>
      <c r="R3576" s="216" t="str">
        <f t="shared" si="342"/>
        <v/>
      </c>
      <c r="S3576" s="217" t="str">
        <f t="shared" si="343"/>
        <v/>
      </c>
    </row>
    <row r="3577" spans="1:19" ht="15.75" hidden="1" thickBot="1" x14ac:dyDescent="0.3">
      <c r="A3577" s="256" t="s">
        <v>918</v>
      </c>
      <c r="B3577" s="259" t="str">
        <f>INDEX(Orçamentária!A:B,MATCH(Composições!A3577,Orçamentária!A:A,0),2)</f>
        <v>Granito Amarelo Maracujá para rodapé</v>
      </c>
      <c r="C3577" s="40"/>
      <c r="D3577" s="25" t="s">
        <v>70</v>
      </c>
      <c r="E3577" s="26"/>
      <c r="F3577" s="48" t="s">
        <v>416</v>
      </c>
      <c r="G3577" s="27" t="str">
        <f t="shared" si="344"/>
        <v/>
      </c>
      <c r="H3577" s="28"/>
      <c r="I3577" s="29"/>
      <c r="J3577" s="152">
        <v>0</v>
      </c>
      <c r="L3577" s="218"/>
      <c r="M3577" s="48"/>
      <c r="N3577" s="27" t="str">
        <f t="shared" si="345"/>
        <v/>
      </c>
      <c r="O3577" s="28"/>
      <c r="P3577" s="36" t="str">
        <f t="shared" si="340"/>
        <v/>
      </c>
      <c r="Q3577" s="216" t="str">
        <f t="shared" si="341"/>
        <v/>
      </c>
      <c r="R3577" s="216" t="str">
        <f t="shared" si="342"/>
        <v/>
      </c>
      <c r="S3577" s="217" t="str">
        <f t="shared" si="343"/>
        <v/>
      </c>
    </row>
    <row r="3578" spans="1:19" ht="15.75" hidden="1" thickBot="1" x14ac:dyDescent="0.3">
      <c r="A3578" s="257"/>
      <c r="B3578" s="260"/>
      <c r="C3578" s="31"/>
      <c r="D3578" s="31"/>
      <c r="E3578" s="32"/>
      <c r="F3578" s="53" t="s">
        <v>416</v>
      </c>
      <c r="G3578" s="53" t="str">
        <f t="shared" si="344"/>
        <v/>
      </c>
      <c r="H3578" s="72"/>
      <c r="I3578" s="73"/>
      <c r="J3578" s="152">
        <v>0</v>
      </c>
      <c r="L3578" s="219"/>
      <c r="M3578" s="53"/>
      <c r="N3578" s="53" t="str">
        <f t="shared" si="345"/>
        <v/>
      </c>
      <c r="O3578" s="72"/>
      <c r="P3578" s="36" t="str">
        <f t="shared" si="340"/>
        <v/>
      </c>
      <c r="Q3578" s="216" t="str">
        <f t="shared" si="341"/>
        <v/>
      </c>
      <c r="R3578" s="216" t="str">
        <f t="shared" si="342"/>
        <v/>
      </c>
      <c r="S3578" s="217" t="str">
        <f t="shared" si="343"/>
        <v/>
      </c>
    </row>
    <row r="3579" spans="1:19" ht="15.75" hidden="1" thickBot="1" x14ac:dyDescent="0.3">
      <c r="A3579" s="257"/>
      <c r="B3579" s="260"/>
      <c r="C3579" s="35" t="s">
        <v>919</v>
      </c>
      <c r="D3579" s="35" t="s">
        <v>70</v>
      </c>
      <c r="E3579" s="36">
        <v>1.05</v>
      </c>
      <c r="F3579" s="53" t="s">
        <v>416</v>
      </c>
      <c r="G3579" s="53" t="str">
        <f t="shared" si="344"/>
        <v/>
      </c>
      <c r="H3579" s="38">
        <f>SUM(G3579:G3583)</f>
        <v>130.87674999999999</v>
      </c>
      <c r="I3579" s="39"/>
      <c r="J3579" s="152">
        <v>0</v>
      </c>
      <c r="L3579" s="215">
        <v>1.05</v>
      </c>
      <c r="M3579" s="53"/>
      <c r="N3579" s="53" t="str">
        <f t="shared" si="345"/>
        <v/>
      </c>
      <c r="O3579" s="38">
        <f>SUM(N3579:N3583)</f>
        <v>112.03049799999998</v>
      </c>
      <c r="P3579" s="36" t="str">
        <f t="shared" si="340"/>
        <v/>
      </c>
      <c r="Q3579" s="216" t="str">
        <f t="shared" si="341"/>
        <v/>
      </c>
      <c r="R3579" s="216" t="str">
        <f t="shared" si="342"/>
        <v/>
      </c>
      <c r="S3579" s="217">
        <f t="shared" si="343"/>
        <v>0.14400000000000002</v>
      </c>
    </row>
    <row r="3580" spans="1:19" ht="15.75" hidden="1" thickBot="1" x14ac:dyDescent="0.3">
      <c r="A3580" s="257"/>
      <c r="B3580" s="260"/>
      <c r="C3580" s="35" t="s">
        <v>7987</v>
      </c>
      <c r="D3580" s="35" t="s">
        <v>773</v>
      </c>
      <c r="E3580" s="36">
        <f>0.8614/0.1</f>
        <v>8.6140000000000008</v>
      </c>
      <c r="F3580" s="53">
        <v>1.8049999999999999</v>
      </c>
      <c r="G3580" s="53">
        <f t="shared" si="344"/>
        <v>15.54827</v>
      </c>
      <c r="H3580" s="72"/>
      <c r="I3580" s="73"/>
      <c r="J3580" s="152">
        <v>0</v>
      </c>
      <c r="L3580" s="215">
        <v>8.6140000000000008</v>
      </c>
      <c r="M3580" s="53">
        <v>1.54508</v>
      </c>
      <c r="N3580" s="53">
        <f t="shared" si="345"/>
        <v>13.309319120000001</v>
      </c>
      <c r="O3580" s="72"/>
      <c r="P3580" s="36" t="str">
        <f t="shared" si="340"/>
        <v/>
      </c>
      <c r="Q3580" s="216">
        <f t="shared" si="341"/>
        <v>0.14400000000000002</v>
      </c>
      <c r="R3580" s="216">
        <f t="shared" si="342"/>
        <v>0.14399999999999991</v>
      </c>
      <c r="S3580" s="217" t="str">
        <f t="shared" si="343"/>
        <v/>
      </c>
    </row>
    <row r="3581" spans="1:19" ht="15.75" hidden="1" thickBot="1" x14ac:dyDescent="0.3">
      <c r="A3581" s="257"/>
      <c r="B3581" s="260"/>
      <c r="C3581" s="35" t="s">
        <v>2906</v>
      </c>
      <c r="D3581" s="35" t="s">
        <v>583</v>
      </c>
      <c r="E3581" s="36">
        <f>0.299/0.1</f>
        <v>2.9899999999999998</v>
      </c>
      <c r="F3581" s="53">
        <v>27.036999999999999</v>
      </c>
      <c r="G3581" s="53">
        <f t="shared" si="344"/>
        <v>80.84062999999999</v>
      </c>
      <c r="H3581" s="72"/>
      <c r="I3581" s="73"/>
      <c r="J3581" s="152">
        <v>0</v>
      </c>
      <c r="L3581" s="215">
        <v>2.9899999999999998</v>
      </c>
      <c r="M3581" s="53">
        <v>23.143671999999999</v>
      </c>
      <c r="N3581" s="53">
        <f t="shared" si="345"/>
        <v>69.199579279999995</v>
      </c>
      <c r="O3581" s="72"/>
      <c r="P3581" s="36" t="str">
        <f t="shared" si="340"/>
        <v/>
      </c>
      <c r="Q3581" s="216">
        <f t="shared" si="341"/>
        <v>0.14400000000000002</v>
      </c>
      <c r="R3581" s="216">
        <f t="shared" si="342"/>
        <v>0.14400000000000002</v>
      </c>
      <c r="S3581" s="217" t="str">
        <f t="shared" si="343"/>
        <v/>
      </c>
    </row>
    <row r="3582" spans="1:19" ht="15.75" hidden="1" thickBot="1" x14ac:dyDescent="0.3">
      <c r="A3582" s="257"/>
      <c r="B3582" s="260"/>
      <c r="C3582" s="35" t="s">
        <v>584</v>
      </c>
      <c r="D3582" s="35" t="s">
        <v>583</v>
      </c>
      <c r="E3582" s="36">
        <f>0.15/0.1</f>
        <v>1.4999999999999998</v>
      </c>
      <c r="F3582" s="53">
        <v>20.225499999999997</v>
      </c>
      <c r="G3582" s="53">
        <f t="shared" si="344"/>
        <v>30.338249999999992</v>
      </c>
      <c r="H3582" s="72"/>
      <c r="I3582" s="73"/>
      <c r="J3582" s="152">
        <v>0</v>
      </c>
      <c r="L3582" s="215">
        <v>1.4999999999999998</v>
      </c>
      <c r="M3582" s="53">
        <v>17.313027999999996</v>
      </c>
      <c r="N3582" s="53">
        <f t="shared" si="345"/>
        <v>25.96954199999999</v>
      </c>
      <c r="O3582" s="72"/>
      <c r="P3582" s="36" t="str">
        <f t="shared" si="340"/>
        <v/>
      </c>
      <c r="Q3582" s="216">
        <f t="shared" si="341"/>
        <v>0.14400000000000013</v>
      </c>
      <c r="R3582" s="216">
        <f t="shared" si="342"/>
        <v>0.14400000000000013</v>
      </c>
      <c r="S3582" s="217" t="str">
        <f t="shared" si="343"/>
        <v/>
      </c>
    </row>
    <row r="3583" spans="1:19" ht="15.75" hidden="1" thickBot="1" x14ac:dyDescent="0.3">
      <c r="A3583" s="257"/>
      <c r="B3583" s="260"/>
      <c r="C3583" s="35" t="s">
        <v>8367</v>
      </c>
      <c r="D3583" s="35" t="s">
        <v>773</v>
      </c>
      <c r="E3583" s="36">
        <f>0.12/0.1</f>
        <v>1.2</v>
      </c>
      <c r="F3583" s="53">
        <v>3.4579999999999997</v>
      </c>
      <c r="G3583" s="53">
        <f t="shared" si="344"/>
        <v>4.1495999999999995</v>
      </c>
      <c r="H3583" s="72"/>
      <c r="I3583" s="73"/>
      <c r="J3583" s="152">
        <v>0</v>
      </c>
      <c r="L3583" s="215">
        <v>1.2</v>
      </c>
      <c r="M3583" s="53">
        <v>2.9600479999999996</v>
      </c>
      <c r="N3583" s="53">
        <f t="shared" si="345"/>
        <v>3.5520575999999995</v>
      </c>
      <c r="O3583" s="72"/>
      <c r="P3583" s="36" t="str">
        <f t="shared" si="340"/>
        <v/>
      </c>
      <c r="Q3583" s="216">
        <f t="shared" si="341"/>
        <v>0.14400000000000002</v>
      </c>
      <c r="R3583" s="216">
        <f t="shared" si="342"/>
        <v>0.14400000000000002</v>
      </c>
      <c r="S3583" s="217" t="str">
        <f t="shared" si="343"/>
        <v/>
      </c>
    </row>
    <row r="3584" spans="1:19" ht="15.75" hidden="1" thickBot="1" x14ac:dyDescent="0.3">
      <c r="A3584" s="257"/>
      <c r="B3584" s="260"/>
      <c r="C3584" s="35"/>
      <c r="D3584" s="35"/>
      <c r="E3584" s="36"/>
      <c r="F3584" s="53" t="s">
        <v>416</v>
      </c>
      <c r="G3584" s="53" t="str">
        <f t="shared" si="344"/>
        <v/>
      </c>
      <c r="H3584" s="72"/>
      <c r="I3584" s="73"/>
      <c r="J3584" s="152">
        <v>0</v>
      </c>
      <c r="L3584" s="215"/>
      <c r="M3584" s="53"/>
      <c r="N3584" s="53" t="str">
        <f t="shared" si="345"/>
        <v/>
      </c>
      <c r="O3584" s="72"/>
      <c r="P3584" s="36" t="str">
        <f t="shared" si="340"/>
        <v/>
      </c>
      <c r="Q3584" s="216" t="str">
        <f t="shared" si="341"/>
        <v/>
      </c>
      <c r="R3584" s="216" t="str">
        <f t="shared" si="342"/>
        <v/>
      </c>
      <c r="S3584" s="217" t="str">
        <f t="shared" si="343"/>
        <v/>
      </c>
    </row>
    <row r="3585" spans="1:19" ht="15.75" hidden="1" thickBot="1" x14ac:dyDescent="0.3">
      <c r="A3585" s="256" t="s">
        <v>920</v>
      </c>
      <c r="B3585" s="259" t="str">
        <f>INDEX(Orçamentária!A:B,MATCH(Composições!A3585,Orçamentária!A:A,0),2)</f>
        <v>Acabamento das extremidades aparentes dos parafusos de fixação (lixamento e revestimento)</v>
      </c>
      <c r="C3585" s="40"/>
      <c r="D3585" s="25" t="s">
        <v>16</v>
      </c>
      <c r="E3585" s="26"/>
      <c r="F3585" s="48" t="s">
        <v>416</v>
      </c>
      <c r="G3585" s="27" t="str">
        <f t="shared" si="344"/>
        <v/>
      </c>
      <c r="H3585" s="28"/>
      <c r="I3585" s="29"/>
      <c r="J3585" s="152">
        <v>0</v>
      </c>
      <c r="L3585" s="218"/>
      <c r="M3585" s="48"/>
      <c r="N3585" s="27" t="str">
        <f t="shared" si="345"/>
        <v/>
      </c>
      <c r="O3585" s="28"/>
      <c r="P3585" s="36" t="str">
        <f t="shared" si="340"/>
        <v/>
      </c>
      <c r="Q3585" s="216" t="str">
        <f t="shared" si="341"/>
        <v/>
      </c>
      <c r="R3585" s="216" t="str">
        <f t="shared" si="342"/>
        <v/>
      </c>
      <c r="S3585" s="217" t="str">
        <f t="shared" si="343"/>
        <v/>
      </c>
    </row>
    <row r="3586" spans="1:19" ht="15.75" hidden="1" thickBot="1" x14ac:dyDescent="0.3">
      <c r="A3586" s="257"/>
      <c r="B3586" s="260"/>
      <c r="C3586" s="31"/>
      <c r="D3586" s="31"/>
      <c r="E3586" s="32"/>
      <c r="F3586" s="53" t="s">
        <v>416</v>
      </c>
      <c r="G3586" s="53" t="str">
        <f t="shared" si="344"/>
        <v/>
      </c>
      <c r="H3586" s="72"/>
      <c r="I3586" s="73"/>
      <c r="J3586" s="152">
        <v>0</v>
      </c>
      <c r="L3586" s="219"/>
      <c r="M3586" s="53"/>
      <c r="N3586" s="53" t="str">
        <f t="shared" si="345"/>
        <v/>
      </c>
      <c r="O3586" s="72"/>
      <c r="P3586" s="36" t="str">
        <f t="shared" si="340"/>
        <v/>
      </c>
      <c r="Q3586" s="216" t="str">
        <f t="shared" si="341"/>
        <v/>
      </c>
      <c r="R3586" s="216" t="str">
        <f t="shared" si="342"/>
        <v/>
      </c>
      <c r="S3586" s="217" t="str">
        <f t="shared" si="343"/>
        <v/>
      </c>
    </row>
    <row r="3587" spans="1:19" ht="15.75" hidden="1" thickBot="1" x14ac:dyDescent="0.3">
      <c r="A3587" s="257"/>
      <c r="B3587" s="260"/>
      <c r="C3587" s="35" t="s">
        <v>584</v>
      </c>
      <c r="D3587" s="35" t="s">
        <v>583</v>
      </c>
      <c r="E3587" s="36">
        <v>0.05</v>
      </c>
      <c r="F3587" s="53">
        <v>20.225499999999997</v>
      </c>
      <c r="G3587" s="53">
        <f t="shared" si="344"/>
        <v>1.0112749999999999</v>
      </c>
      <c r="H3587" s="38">
        <f>SUM(G3587:G3590)</f>
        <v>1.184175</v>
      </c>
      <c r="I3587" s="39"/>
      <c r="J3587" s="152">
        <v>0</v>
      </c>
      <c r="L3587" s="215">
        <v>0.05</v>
      </c>
      <c r="M3587" s="53">
        <v>17.313027999999996</v>
      </c>
      <c r="N3587" s="53">
        <f t="shared" si="345"/>
        <v>0.86565139999999985</v>
      </c>
      <c r="O3587" s="38">
        <f>SUM(N3587:N3590)</f>
        <v>1.0136537999999997</v>
      </c>
      <c r="P3587" s="36" t="str">
        <f t="shared" si="340"/>
        <v/>
      </c>
      <c r="Q3587" s="216">
        <f t="shared" si="341"/>
        <v>0.14400000000000013</v>
      </c>
      <c r="R3587" s="216">
        <f t="shared" si="342"/>
        <v>0.14400000000000013</v>
      </c>
      <c r="S3587" s="217">
        <f t="shared" si="343"/>
        <v>0.14400000000000024</v>
      </c>
    </row>
    <row r="3588" spans="1:19" ht="15.75" hidden="1" thickBot="1" x14ac:dyDescent="0.3">
      <c r="A3588" s="257"/>
      <c r="B3588" s="260"/>
      <c r="C3588" s="35" t="s">
        <v>921</v>
      </c>
      <c r="D3588" s="35" t="s">
        <v>922</v>
      </c>
      <c r="E3588" s="36">
        <f>0.25/10</f>
        <v>2.5000000000000001E-2</v>
      </c>
      <c r="F3588" s="53">
        <v>0</v>
      </c>
      <c r="G3588" s="53">
        <f t="shared" si="344"/>
        <v>0</v>
      </c>
      <c r="H3588" s="72"/>
      <c r="I3588" s="73"/>
      <c r="J3588" s="152">
        <v>0</v>
      </c>
      <c r="L3588" s="215">
        <v>2.5000000000000001E-2</v>
      </c>
      <c r="M3588" s="53">
        <v>0</v>
      </c>
      <c r="N3588" s="53">
        <f t="shared" si="345"/>
        <v>0</v>
      </c>
      <c r="O3588" s="72"/>
      <c r="P3588" s="36" t="str">
        <f t="shared" si="340"/>
        <v/>
      </c>
      <c r="Q3588" s="216" t="e">
        <f t="shared" si="341"/>
        <v>#DIV/0!</v>
      </c>
      <c r="R3588" s="216" t="e">
        <f t="shared" si="342"/>
        <v>#DIV/0!</v>
      </c>
      <c r="S3588" s="217" t="str">
        <f t="shared" si="343"/>
        <v/>
      </c>
    </row>
    <row r="3589" spans="1:19" ht="15.75" hidden="1" thickBot="1" x14ac:dyDescent="0.3">
      <c r="A3589" s="257"/>
      <c r="B3589" s="260"/>
      <c r="C3589" s="35" t="s">
        <v>923</v>
      </c>
      <c r="D3589" s="35" t="s">
        <v>16</v>
      </c>
      <c r="E3589" s="36">
        <v>0.25</v>
      </c>
      <c r="F3589" s="53" t="s">
        <v>416</v>
      </c>
      <c r="G3589" s="53" t="str">
        <f t="shared" si="344"/>
        <v/>
      </c>
      <c r="H3589" s="72"/>
      <c r="I3589" s="73"/>
      <c r="J3589" s="152">
        <v>0</v>
      </c>
      <c r="L3589" s="215">
        <v>0.25</v>
      </c>
      <c r="M3589" s="53"/>
      <c r="N3589" s="53" t="str">
        <f t="shared" si="345"/>
        <v/>
      </c>
      <c r="O3589" s="72"/>
      <c r="P3589" s="36" t="str">
        <f t="shared" si="340"/>
        <v/>
      </c>
      <c r="Q3589" s="216" t="str">
        <f t="shared" si="341"/>
        <v/>
      </c>
      <c r="R3589" s="216" t="str">
        <f t="shared" si="342"/>
        <v/>
      </c>
      <c r="S3589" s="217" t="str">
        <f t="shared" si="343"/>
        <v/>
      </c>
    </row>
    <row r="3590" spans="1:19" ht="15.75" hidden="1" thickBot="1" x14ac:dyDescent="0.3">
      <c r="A3590" s="257"/>
      <c r="B3590" s="260"/>
      <c r="C3590" s="35" t="s">
        <v>8367</v>
      </c>
      <c r="D3590" s="35" t="s">
        <v>773</v>
      </c>
      <c r="E3590" s="36">
        <v>0.05</v>
      </c>
      <c r="F3590" s="53">
        <v>3.4579999999999997</v>
      </c>
      <c r="G3590" s="53">
        <f t="shared" si="344"/>
        <v>0.1729</v>
      </c>
      <c r="H3590" s="72"/>
      <c r="I3590" s="73"/>
      <c r="J3590" s="152">
        <v>0</v>
      </c>
      <c r="L3590" s="215">
        <v>0.05</v>
      </c>
      <c r="M3590" s="53">
        <v>2.9600479999999996</v>
      </c>
      <c r="N3590" s="53">
        <f t="shared" si="345"/>
        <v>0.14800239999999998</v>
      </c>
      <c r="O3590" s="72"/>
      <c r="P3590" s="36" t="str">
        <f t="shared" si="340"/>
        <v/>
      </c>
      <c r="Q3590" s="216">
        <f t="shared" si="341"/>
        <v>0.14400000000000002</v>
      </c>
      <c r="R3590" s="216">
        <f t="shared" si="342"/>
        <v>0.14400000000000013</v>
      </c>
      <c r="S3590" s="217" t="str">
        <f t="shared" si="343"/>
        <v/>
      </c>
    </row>
    <row r="3591" spans="1:19" ht="15.75" hidden="1" thickBot="1" x14ac:dyDescent="0.3">
      <c r="A3591" s="258"/>
      <c r="B3591" s="261"/>
      <c r="C3591" s="35"/>
      <c r="D3591" s="35"/>
      <c r="E3591" s="36"/>
      <c r="F3591" s="53" t="s">
        <v>416</v>
      </c>
      <c r="G3591" s="53" t="str">
        <f t="shared" si="344"/>
        <v/>
      </c>
      <c r="H3591" s="72"/>
      <c r="I3591" s="73"/>
      <c r="J3591" s="152">
        <v>0</v>
      </c>
      <c r="L3591" s="215"/>
      <c r="M3591" s="53"/>
      <c r="N3591" s="53" t="str">
        <f t="shared" si="345"/>
        <v/>
      </c>
      <c r="O3591" s="72"/>
      <c r="P3591" s="36" t="str">
        <f t="shared" si="340"/>
        <v/>
      </c>
      <c r="Q3591" s="216" t="str">
        <f t="shared" si="341"/>
        <v/>
      </c>
      <c r="R3591" s="216" t="str">
        <f t="shared" si="342"/>
        <v/>
      </c>
      <c r="S3591" s="217" t="str">
        <f t="shared" si="343"/>
        <v/>
      </c>
    </row>
    <row r="3592" spans="1:19" ht="15.75" hidden="1" thickBot="1" x14ac:dyDescent="0.3">
      <c r="A3592" s="256" t="s">
        <v>924</v>
      </c>
      <c r="B3592" s="259" t="str">
        <f>INDEX(Orçamentária!A:B,MATCH(Composições!A3592,Orçamentária!A:A,0),2)</f>
        <v>Rejuntamento de placas de rocha ornamental em fachada</v>
      </c>
      <c r="C3592" s="40"/>
      <c r="D3592" s="25" t="s">
        <v>70</v>
      </c>
      <c r="E3592" s="26"/>
      <c r="F3592" s="48" t="s">
        <v>416</v>
      </c>
      <c r="G3592" s="27" t="str">
        <f t="shared" si="344"/>
        <v/>
      </c>
      <c r="H3592" s="28"/>
      <c r="I3592" s="29"/>
      <c r="J3592" s="152">
        <v>0</v>
      </c>
      <c r="L3592" s="218"/>
      <c r="M3592" s="48"/>
      <c r="N3592" s="27" t="str">
        <f t="shared" si="345"/>
        <v/>
      </c>
      <c r="O3592" s="28"/>
      <c r="P3592" s="36" t="str">
        <f t="shared" ref="P3592:P3655" si="346">IF(ISBLANK(L3592),"",IF($E3592&lt;&gt;L3592,"SIM",""))</f>
        <v/>
      </c>
      <c r="Q3592" s="216" t="str">
        <f t="shared" ref="Q3592:Q3655" si="347">IF(M3592="","",1-M3592/$F3592)</f>
        <v/>
      </c>
      <c r="R3592" s="216" t="str">
        <f t="shared" ref="R3592:R3655" si="348">IF(N3592="","",1-N3592/$G3592)</f>
        <v/>
      </c>
      <c r="S3592" s="217" t="str">
        <f t="shared" ref="S3592:S3655" si="349">IF(O3592="","",1-O3592/$H3592)</f>
        <v/>
      </c>
    </row>
    <row r="3593" spans="1:19" ht="15.75" hidden="1" thickBot="1" x14ac:dyDescent="0.3">
      <c r="A3593" s="257"/>
      <c r="B3593" s="260"/>
      <c r="C3593" s="31"/>
      <c r="D3593" s="31"/>
      <c r="E3593" s="32"/>
      <c r="F3593" s="53" t="s">
        <v>416</v>
      </c>
      <c r="G3593" s="53" t="str">
        <f t="shared" si="344"/>
        <v/>
      </c>
      <c r="H3593" s="72"/>
      <c r="I3593" s="73"/>
      <c r="J3593" s="152">
        <v>0</v>
      </c>
      <c r="L3593" s="219"/>
      <c r="M3593" s="53"/>
      <c r="N3593" s="53" t="str">
        <f t="shared" si="345"/>
        <v/>
      </c>
      <c r="O3593" s="72"/>
      <c r="P3593" s="36" t="str">
        <f t="shared" si="346"/>
        <v/>
      </c>
      <c r="Q3593" s="216" t="str">
        <f t="shared" si="347"/>
        <v/>
      </c>
      <c r="R3593" s="216" t="str">
        <f t="shared" si="348"/>
        <v/>
      </c>
      <c r="S3593" s="217" t="str">
        <f t="shared" si="349"/>
        <v/>
      </c>
    </row>
    <row r="3594" spans="1:19" ht="15.75" hidden="1" thickBot="1" x14ac:dyDescent="0.3">
      <c r="A3594" s="257"/>
      <c r="B3594" s="260"/>
      <c r="C3594" s="35" t="s">
        <v>584</v>
      </c>
      <c r="D3594" s="35" t="s">
        <v>583</v>
      </c>
      <c r="E3594" s="36">
        <v>0.25</v>
      </c>
      <c r="F3594" s="53">
        <v>20.225499999999997</v>
      </c>
      <c r="G3594" s="53">
        <f t="shared" si="344"/>
        <v>5.0563749999999992</v>
      </c>
      <c r="H3594" s="38">
        <f>SUM(G3594:G3595)</f>
        <v>6.8856569999999993</v>
      </c>
      <c r="I3594" s="39"/>
      <c r="J3594" s="152">
        <v>0</v>
      </c>
      <c r="L3594" s="215">
        <v>0.25</v>
      </c>
      <c r="M3594" s="53">
        <v>17.313027999999996</v>
      </c>
      <c r="N3594" s="53">
        <f t="shared" si="345"/>
        <v>4.3282569999999989</v>
      </c>
      <c r="O3594" s="38">
        <f>SUM(N3594:N3595)</f>
        <v>5.894122391999999</v>
      </c>
      <c r="P3594" s="36" t="str">
        <f t="shared" si="346"/>
        <v/>
      </c>
      <c r="Q3594" s="216">
        <f t="shared" si="347"/>
        <v>0.14400000000000013</v>
      </c>
      <c r="R3594" s="216">
        <f t="shared" si="348"/>
        <v>0.14400000000000013</v>
      </c>
      <c r="S3594" s="217">
        <f t="shared" si="349"/>
        <v>0.14400000000000002</v>
      </c>
    </row>
    <row r="3595" spans="1:19" ht="15.75" hidden="1" thickBot="1" x14ac:dyDescent="0.3">
      <c r="A3595" s="257"/>
      <c r="B3595" s="260"/>
      <c r="C3595" s="35" t="s">
        <v>8367</v>
      </c>
      <c r="D3595" s="35" t="s">
        <v>773</v>
      </c>
      <c r="E3595" s="36">
        <v>0.52900000000000003</v>
      </c>
      <c r="F3595" s="53">
        <v>3.4579999999999997</v>
      </c>
      <c r="G3595" s="53">
        <f t="shared" si="344"/>
        <v>1.8292819999999999</v>
      </c>
      <c r="H3595" s="72"/>
      <c r="I3595" s="73"/>
      <c r="J3595" s="152">
        <v>0</v>
      </c>
      <c r="L3595" s="215">
        <v>0.52900000000000003</v>
      </c>
      <c r="M3595" s="53">
        <v>2.9600479999999996</v>
      </c>
      <c r="N3595" s="53">
        <f t="shared" si="345"/>
        <v>1.5658653919999999</v>
      </c>
      <c r="O3595" s="72"/>
      <c r="P3595" s="36" t="str">
        <f t="shared" si="346"/>
        <v/>
      </c>
      <c r="Q3595" s="216">
        <f t="shared" si="347"/>
        <v>0.14400000000000002</v>
      </c>
      <c r="R3595" s="216">
        <f t="shared" si="348"/>
        <v>0.14400000000000002</v>
      </c>
      <c r="S3595" s="217" t="str">
        <f t="shared" si="349"/>
        <v/>
      </c>
    </row>
    <row r="3596" spans="1:19" ht="15.75" hidden="1" thickBot="1" x14ac:dyDescent="0.3">
      <c r="A3596" s="258"/>
      <c r="B3596" s="261"/>
      <c r="C3596" s="35"/>
      <c r="D3596" s="35"/>
      <c r="E3596" s="36"/>
      <c r="F3596" s="53" t="s">
        <v>416</v>
      </c>
      <c r="G3596" s="53" t="str">
        <f t="shared" si="344"/>
        <v/>
      </c>
      <c r="H3596" s="72"/>
      <c r="I3596" s="73"/>
      <c r="J3596" s="152">
        <v>0</v>
      </c>
      <c r="L3596" s="215"/>
      <c r="M3596" s="53"/>
      <c r="N3596" s="53" t="str">
        <f t="shared" si="345"/>
        <v/>
      </c>
      <c r="O3596" s="72"/>
      <c r="P3596" s="36" t="str">
        <f t="shared" si="346"/>
        <v/>
      </c>
      <c r="Q3596" s="216" t="str">
        <f t="shared" si="347"/>
        <v/>
      </c>
      <c r="R3596" s="216" t="str">
        <f t="shared" si="348"/>
        <v/>
      </c>
      <c r="S3596" s="217" t="str">
        <f t="shared" si="349"/>
        <v/>
      </c>
    </row>
    <row r="3597" spans="1:19" ht="15.75" hidden="1" thickBot="1" x14ac:dyDescent="0.3">
      <c r="A3597" s="256" t="s">
        <v>925</v>
      </c>
      <c r="B3597" s="259" t="str">
        <f>INDEX(Orçamentária!A:B,MATCH(Composições!A3597,Orçamentária!A:A,0),2)</f>
        <v>Junta de movimentação em fachada</v>
      </c>
      <c r="C3597" s="40"/>
      <c r="D3597" s="25" t="s">
        <v>69</v>
      </c>
      <c r="E3597" s="26"/>
      <c r="F3597" s="48" t="s">
        <v>416</v>
      </c>
      <c r="G3597" s="27" t="str">
        <f t="shared" si="344"/>
        <v/>
      </c>
      <c r="H3597" s="28"/>
      <c r="I3597" s="29"/>
      <c r="J3597" s="152">
        <v>0</v>
      </c>
      <c r="L3597" s="218"/>
      <c r="M3597" s="48"/>
      <c r="N3597" s="27" t="str">
        <f t="shared" si="345"/>
        <v/>
      </c>
      <c r="O3597" s="28"/>
      <c r="P3597" s="36" t="str">
        <f t="shared" si="346"/>
        <v/>
      </c>
      <c r="Q3597" s="216" t="str">
        <f t="shared" si="347"/>
        <v/>
      </c>
      <c r="R3597" s="216" t="str">
        <f t="shared" si="348"/>
        <v/>
      </c>
      <c r="S3597" s="217" t="str">
        <f t="shared" si="349"/>
        <v/>
      </c>
    </row>
    <row r="3598" spans="1:19" ht="15.75" hidden="1" thickBot="1" x14ac:dyDescent="0.3">
      <c r="A3598" s="257"/>
      <c r="B3598" s="260"/>
      <c r="C3598" s="31"/>
      <c r="D3598" s="31"/>
      <c r="E3598" s="32"/>
      <c r="F3598" s="53" t="s">
        <v>416</v>
      </c>
      <c r="G3598" s="53" t="str">
        <f t="shared" si="344"/>
        <v/>
      </c>
      <c r="H3598" s="72"/>
      <c r="I3598" s="73"/>
      <c r="J3598" s="152">
        <v>0</v>
      </c>
      <c r="L3598" s="219"/>
      <c r="M3598" s="53"/>
      <c r="N3598" s="53" t="str">
        <f t="shared" si="345"/>
        <v/>
      </c>
      <c r="O3598" s="72"/>
      <c r="P3598" s="36" t="str">
        <f t="shared" si="346"/>
        <v/>
      </c>
      <c r="Q3598" s="216" t="str">
        <f t="shared" si="347"/>
        <v/>
      </c>
      <c r="R3598" s="216" t="str">
        <f t="shared" si="348"/>
        <v/>
      </c>
      <c r="S3598" s="217" t="str">
        <f t="shared" si="349"/>
        <v/>
      </c>
    </row>
    <row r="3599" spans="1:19" ht="15.75" hidden="1" thickBot="1" x14ac:dyDescent="0.3">
      <c r="A3599" s="257"/>
      <c r="B3599" s="260"/>
      <c r="C3599" s="35" t="s">
        <v>591</v>
      </c>
      <c r="D3599" s="35" t="s">
        <v>583</v>
      </c>
      <c r="E3599" s="36">
        <v>0.33</v>
      </c>
      <c r="F3599" s="53">
        <v>27.160499999999999</v>
      </c>
      <c r="G3599" s="53">
        <f t="shared" si="344"/>
        <v>8.9629650000000005</v>
      </c>
      <c r="H3599" s="38">
        <f>SUM(G3599:G3603)</f>
        <v>31.215534149999996</v>
      </c>
      <c r="I3599" s="39"/>
      <c r="J3599" s="152">
        <v>0</v>
      </c>
      <c r="L3599" s="215">
        <v>0.33</v>
      </c>
      <c r="M3599" s="53">
        <v>23.249388</v>
      </c>
      <c r="N3599" s="53">
        <f t="shared" si="345"/>
        <v>7.6722980400000003</v>
      </c>
      <c r="O3599" s="38">
        <f>SUM(N3599:N3603)</f>
        <v>26.7204972324</v>
      </c>
      <c r="P3599" s="36" t="str">
        <f t="shared" si="346"/>
        <v/>
      </c>
      <c r="Q3599" s="216">
        <f t="shared" si="347"/>
        <v>0.14400000000000002</v>
      </c>
      <c r="R3599" s="216">
        <f t="shared" si="348"/>
        <v>0.14400000000000002</v>
      </c>
      <c r="S3599" s="217">
        <f t="shared" si="349"/>
        <v>0.14399999999999991</v>
      </c>
    </row>
    <row r="3600" spans="1:19" ht="15.75" hidden="1" thickBot="1" x14ac:dyDescent="0.3">
      <c r="A3600" s="257"/>
      <c r="B3600" s="260"/>
      <c r="C3600" s="35" t="s">
        <v>584</v>
      </c>
      <c r="D3600" s="35" t="s">
        <v>583</v>
      </c>
      <c r="E3600" s="36">
        <v>0.1</v>
      </c>
      <c r="F3600" s="53">
        <v>20.225499999999997</v>
      </c>
      <c r="G3600" s="53">
        <f t="shared" si="344"/>
        <v>2.0225499999999998</v>
      </c>
      <c r="H3600" s="72"/>
      <c r="I3600" s="73"/>
      <c r="J3600" s="152">
        <v>0</v>
      </c>
      <c r="L3600" s="215">
        <v>0.1</v>
      </c>
      <c r="M3600" s="53">
        <v>17.313027999999996</v>
      </c>
      <c r="N3600" s="53">
        <f t="shared" si="345"/>
        <v>1.7313027999999997</v>
      </c>
      <c r="O3600" s="72"/>
      <c r="P3600" s="36" t="str">
        <f t="shared" si="346"/>
        <v/>
      </c>
      <c r="Q3600" s="216">
        <f t="shared" si="347"/>
        <v>0.14400000000000013</v>
      </c>
      <c r="R3600" s="216">
        <f t="shared" si="348"/>
        <v>0.14400000000000013</v>
      </c>
      <c r="S3600" s="217" t="str">
        <f t="shared" si="349"/>
        <v/>
      </c>
    </row>
    <row r="3601" spans="1:19" ht="15.75" hidden="1" thickBot="1" x14ac:dyDescent="0.3">
      <c r="A3601" s="257"/>
      <c r="B3601" s="260"/>
      <c r="C3601" s="35" t="s">
        <v>926</v>
      </c>
      <c r="D3601" s="49" t="s">
        <v>75</v>
      </c>
      <c r="E3601" s="36">
        <v>0.15</v>
      </c>
      <c r="F3601" s="53">
        <v>0.95</v>
      </c>
      <c r="G3601" s="53">
        <f t="shared" si="344"/>
        <v>0.14249999999999999</v>
      </c>
      <c r="H3601" s="72"/>
      <c r="I3601" s="73"/>
      <c r="J3601" s="152">
        <v>0</v>
      </c>
      <c r="L3601" s="215">
        <v>0.15</v>
      </c>
      <c r="M3601" s="53">
        <v>0.81319999999999992</v>
      </c>
      <c r="N3601" s="53">
        <f t="shared" si="345"/>
        <v>0.12197999999999998</v>
      </c>
      <c r="O3601" s="72"/>
      <c r="P3601" s="36" t="str">
        <f t="shared" si="346"/>
        <v/>
      </c>
      <c r="Q3601" s="216">
        <f t="shared" si="347"/>
        <v>0.14400000000000002</v>
      </c>
      <c r="R3601" s="216">
        <f t="shared" si="348"/>
        <v>0.14400000000000013</v>
      </c>
      <c r="S3601" s="217" t="str">
        <f t="shared" si="349"/>
        <v/>
      </c>
    </row>
    <row r="3602" spans="1:19" ht="15.75" hidden="1" thickBot="1" x14ac:dyDescent="0.3">
      <c r="A3602" s="257"/>
      <c r="B3602" s="260"/>
      <c r="C3602" s="35" t="s">
        <v>927</v>
      </c>
      <c r="D3602" s="46" t="s">
        <v>69</v>
      </c>
      <c r="E3602" s="36">
        <v>1</v>
      </c>
      <c r="F3602" s="53">
        <v>0.95</v>
      </c>
      <c r="G3602" s="53">
        <f t="shared" si="344"/>
        <v>0.95</v>
      </c>
      <c r="H3602" s="72"/>
      <c r="I3602" s="73"/>
      <c r="J3602" s="152">
        <v>0</v>
      </c>
      <c r="L3602" s="215">
        <v>1</v>
      </c>
      <c r="M3602" s="53">
        <v>0.81319999999999992</v>
      </c>
      <c r="N3602" s="53">
        <f t="shared" si="345"/>
        <v>0.81319999999999992</v>
      </c>
      <c r="O3602" s="72"/>
      <c r="P3602" s="36" t="str">
        <f t="shared" si="346"/>
        <v/>
      </c>
      <c r="Q3602" s="216">
        <f t="shared" si="347"/>
        <v>0.14400000000000002</v>
      </c>
      <c r="R3602" s="216">
        <f t="shared" si="348"/>
        <v>0.14400000000000002</v>
      </c>
      <c r="S3602" s="217" t="str">
        <f t="shared" si="349"/>
        <v/>
      </c>
    </row>
    <row r="3603" spans="1:19" ht="26.25" hidden="1" thickBot="1" x14ac:dyDescent="0.3">
      <c r="A3603" s="257"/>
      <c r="B3603" s="260"/>
      <c r="C3603" s="35" t="s">
        <v>928</v>
      </c>
      <c r="D3603" s="35" t="s">
        <v>8526</v>
      </c>
      <c r="E3603" s="36">
        <f>ROUND(0.15/0.31,4)</f>
        <v>0.4839</v>
      </c>
      <c r="F3603" s="53">
        <v>39.548499999999997</v>
      </c>
      <c r="G3603" s="53">
        <f t="shared" si="344"/>
        <v>19.137519149999999</v>
      </c>
      <c r="H3603" s="72"/>
      <c r="I3603" s="73"/>
      <c r="J3603" s="152">
        <v>0</v>
      </c>
      <c r="L3603" s="215">
        <v>0.4839</v>
      </c>
      <c r="M3603" s="53">
        <v>33.853515999999999</v>
      </c>
      <c r="N3603" s="53">
        <f t="shared" si="345"/>
        <v>16.381716392399998</v>
      </c>
      <c r="O3603" s="72"/>
      <c r="P3603" s="36" t="str">
        <f t="shared" si="346"/>
        <v/>
      </c>
      <c r="Q3603" s="216">
        <f t="shared" si="347"/>
        <v>0.14399999999999991</v>
      </c>
      <c r="R3603" s="216">
        <f t="shared" si="348"/>
        <v>0.14400000000000013</v>
      </c>
      <c r="S3603" s="217" t="str">
        <f t="shared" si="349"/>
        <v/>
      </c>
    </row>
    <row r="3604" spans="1:19" ht="15.75" hidden="1" thickBot="1" x14ac:dyDescent="0.3">
      <c r="A3604" s="258"/>
      <c r="B3604" s="261"/>
      <c r="C3604" s="35"/>
      <c r="D3604" s="35"/>
      <c r="E3604" s="36"/>
      <c r="F3604" s="53" t="s">
        <v>416</v>
      </c>
      <c r="G3604" s="53" t="str">
        <f t="shared" si="344"/>
        <v/>
      </c>
      <c r="H3604" s="72"/>
      <c r="I3604" s="73"/>
      <c r="J3604" s="152">
        <v>0</v>
      </c>
      <c r="L3604" s="215"/>
      <c r="M3604" s="53"/>
      <c r="N3604" s="53" t="str">
        <f t="shared" si="345"/>
        <v/>
      </c>
      <c r="O3604" s="72"/>
      <c r="P3604" s="36" t="str">
        <f t="shared" si="346"/>
        <v/>
      </c>
      <c r="Q3604" s="216" t="str">
        <f t="shared" si="347"/>
        <v/>
      </c>
      <c r="R3604" s="216" t="str">
        <f t="shared" si="348"/>
        <v/>
      </c>
      <c r="S3604" s="217" t="str">
        <f t="shared" si="349"/>
        <v/>
      </c>
    </row>
    <row r="3605" spans="1:19" ht="15.75" hidden="1" thickBot="1" x14ac:dyDescent="0.3">
      <c r="A3605" s="256" t="s">
        <v>929</v>
      </c>
      <c r="B3605" s="259" t="str">
        <f>INDEX(Orçamentária!A:B,MATCH(Composições!A3605,Orçamentária!A:A,0),2)</f>
        <v>Adesivo Selante Poliuretano – fornecimento e aplicação</v>
      </c>
      <c r="C3605" s="40"/>
      <c r="D3605" s="25" t="s">
        <v>69</v>
      </c>
      <c r="E3605" s="26"/>
      <c r="F3605" s="48" t="s">
        <v>416</v>
      </c>
      <c r="G3605" s="27" t="str">
        <f t="shared" si="344"/>
        <v/>
      </c>
      <c r="H3605" s="28"/>
      <c r="I3605" s="29"/>
      <c r="J3605" s="152">
        <v>0</v>
      </c>
      <c r="L3605" s="218"/>
      <c r="M3605" s="48"/>
      <c r="N3605" s="27" t="str">
        <f t="shared" si="345"/>
        <v/>
      </c>
      <c r="O3605" s="28"/>
      <c r="P3605" s="36" t="str">
        <f t="shared" si="346"/>
        <v/>
      </c>
      <c r="Q3605" s="216" t="str">
        <f t="shared" si="347"/>
        <v/>
      </c>
      <c r="R3605" s="216" t="str">
        <f t="shared" si="348"/>
        <v/>
      </c>
      <c r="S3605" s="217" t="str">
        <f t="shared" si="349"/>
        <v/>
      </c>
    </row>
    <row r="3606" spans="1:19" ht="15.75" hidden="1" thickBot="1" x14ac:dyDescent="0.3">
      <c r="A3606" s="257"/>
      <c r="B3606" s="260"/>
      <c r="C3606" s="31"/>
      <c r="D3606" s="31"/>
      <c r="E3606" s="32"/>
      <c r="F3606" s="53" t="s">
        <v>416</v>
      </c>
      <c r="G3606" s="53" t="str">
        <f t="shared" si="344"/>
        <v/>
      </c>
      <c r="H3606" s="72"/>
      <c r="I3606" s="73"/>
      <c r="J3606" s="152">
        <v>0</v>
      </c>
      <c r="L3606" s="219"/>
      <c r="M3606" s="53"/>
      <c r="N3606" s="53" t="str">
        <f t="shared" si="345"/>
        <v/>
      </c>
      <c r="O3606" s="72"/>
      <c r="P3606" s="36" t="str">
        <f t="shared" si="346"/>
        <v/>
      </c>
      <c r="Q3606" s="216" t="str">
        <f t="shared" si="347"/>
        <v/>
      </c>
      <c r="R3606" s="216" t="str">
        <f t="shared" si="348"/>
        <v/>
      </c>
      <c r="S3606" s="217" t="str">
        <f t="shared" si="349"/>
        <v/>
      </c>
    </row>
    <row r="3607" spans="1:19" ht="15.75" hidden="1" thickBot="1" x14ac:dyDescent="0.3">
      <c r="A3607" s="257"/>
      <c r="B3607" s="260"/>
      <c r="C3607" s="35" t="s">
        <v>591</v>
      </c>
      <c r="D3607" s="35" t="s">
        <v>583</v>
      </c>
      <c r="E3607" s="36">
        <v>0.16500000000000001</v>
      </c>
      <c r="F3607" s="53">
        <v>27.160499999999999</v>
      </c>
      <c r="G3607" s="53">
        <f t="shared" si="344"/>
        <v>4.4814825000000003</v>
      </c>
      <c r="H3607" s="38">
        <f>SUM(G3607:G3609)</f>
        <v>19.681592699999999</v>
      </c>
      <c r="I3607" s="39"/>
      <c r="J3607" s="152">
        <v>0</v>
      </c>
      <c r="L3607" s="215">
        <v>0.16500000000000001</v>
      </c>
      <c r="M3607" s="53">
        <v>23.249388</v>
      </c>
      <c r="N3607" s="53">
        <f t="shared" si="345"/>
        <v>3.8361490200000001</v>
      </c>
      <c r="O3607" s="38">
        <f>SUM(N3607:N3609)</f>
        <v>16.847443351199999</v>
      </c>
      <c r="P3607" s="36" t="str">
        <f t="shared" si="346"/>
        <v/>
      </c>
      <c r="Q3607" s="216">
        <f t="shared" si="347"/>
        <v>0.14400000000000002</v>
      </c>
      <c r="R3607" s="216">
        <f t="shared" si="348"/>
        <v>0.14400000000000002</v>
      </c>
      <c r="S3607" s="217">
        <f t="shared" si="349"/>
        <v>0.14400000000000002</v>
      </c>
    </row>
    <row r="3608" spans="1:19" ht="15.75" hidden="1" thickBot="1" x14ac:dyDescent="0.3">
      <c r="A3608" s="257"/>
      <c r="B3608" s="260"/>
      <c r="C3608" s="35" t="s">
        <v>584</v>
      </c>
      <c r="D3608" s="35" t="s">
        <v>583</v>
      </c>
      <c r="E3608" s="36">
        <v>0.1</v>
      </c>
      <c r="F3608" s="53">
        <v>20.225499999999997</v>
      </c>
      <c r="G3608" s="53">
        <f t="shared" si="344"/>
        <v>2.0225499999999998</v>
      </c>
      <c r="H3608" s="72"/>
      <c r="I3608" s="73"/>
      <c r="J3608" s="152">
        <v>0</v>
      </c>
      <c r="L3608" s="215">
        <v>0.1</v>
      </c>
      <c r="M3608" s="53">
        <v>17.313027999999996</v>
      </c>
      <c r="N3608" s="53">
        <f t="shared" si="345"/>
        <v>1.7313027999999997</v>
      </c>
      <c r="O3608" s="72"/>
      <c r="P3608" s="36" t="str">
        <f t="shared" si="346"/>
        <v/>
      </c>
      <c r="Q3608" s="216">
        <f t="shared" si="347"/>
        <v>0.14400000000000013</v>
      </c>
      <c r="R3608" s="216">
        <f t="shared" si="348"/>
        <v>0.14400000000000013</v>
      </c>
      <c r="S3608" s="217" t="str">
        <f t="shared" si="349"/>
        <v/>
      </c>
    </row>
    <row r="3609" spans="1:19" ht="26.25" hidden="1" thickBot="1" x14ac:dyDescent="0.3">
      <c r="A3609" s="257"/>
      <c r="B3609" s="260"/>
      <c r="C3609" s="35" t="s">
        <v>928</v>
      </c>
      <c r="D3609" s="35" t="s">
        <v>8526</v>
      </c>
      <c r="E3609" s="36">
        <f>ROUND(0.1033/0.31,4)</f>
        <v>0.3332</v>
      </c>
      <c r="F3609" s="53">
        <v>39.548499999999997</v>
      </c>
      <c r="G3609" s="53">
        <f t="shared" si="344"/>
        <v>13.177560199999999</v>
      </c>
      <c r="H3609" s="72"/>
      <c r="I3609" s="73"/>
      <c r="J3609" s="152">
        <v>0</v>
      </c>
      <c r="L3609" s="215">
        <v>0.3332</v>
      </c>
      <c r="M3609" s="53">
        <v>33.853515999999999</v>
      </c>
      <c r="N3609" s="53">
        <f t="shared" si="345"/>
        <v>11.2799915312</v>
      </c>
      <c r="O3609" s="72"/>
      <c r="P3609" s="36" t="str">
        <f t="shared" si="346"/>
        <v/>
      </c>
      <c r="Q3609" s="216">
        <f t="shared" si="347"/>
        <v>0.14399999999999991</v>
      </c>
      <c r="R3609" s="216">
        <f t="shared" si="348"/>
        <v>0.14399999999999991</v>
      </c>
      <c r="S3609" s="217" t="str">
        <f t="shared" si="349"/>
        <v/>
      </c>
    </row>
    <row r="3610" spans="1:19" ht="15.75" hidden="1" thickBot="1" x14ac:dyDescent="0.3">
      <c r="A3610" s="258"/>
      <c r="B3610" s="261"/>
      <c r="C3610" s="35"/>
      <c r="D3610" s="35"/>
      <c r="E3610" s="36"/>
      <c r="F3610" s="53" t="s">
        <v>416</v>
      </c>
      <c r="G3610" s="53" t="str">
        <f t="shared" si="344"/>
        <v/>
      </c>
      <c r="H3610" s="72"/>
      <c r="I3610" s="73"/>
      <c r="J3610" s="152">
        <v>0</v>
      </c>
      <c r="L3610" s="215"/>
      <c r="M3610" s="53"/>
      <c r="N3610" s="53" t="str">
        <f t="shared" si="345"/>
        <v/>
      </c>
      <c r="O3610" s="72"/>
      <c r="P3610" s="36" t="str">
        <f t="shared" si="346"/>
        <v/>
      </c>
      <c r="Q3610" s="216" t="str">
        <f t="shared" si="347"/>
        <v/>
      </c>
      <c r="R3610" s="216" t="str">
        <f t="shared" si="348"/>
        <v/>
      </c>
      <c r="S3610" s="217" t="str">
        <f t="shared" si="349"/>
        <v/>
      </c>
    </row>
    <row r="3611" spans="1:19" ht="15.75" hidden="1" thickBot="1" x14ac:dyDescent="0.3">
      <c r="A3611" s="256" t="s">
        <v>930</v>
      </c>
      <c r="B3611" s="259" t="str">
        <f>INDEX(Orçamentária!A:B,MATCH(Composições!A3611,Orçamentária!A:A,0),2)</f>
        <v>Chuveiro elétrico</v>
      </c>
      <c r="C3611" s="40"/>
      <c r="D3611" s="25" t="s">
        <v>16</v>
      </c>
      <c r="E3611" s="26"/>
      <c r="F3611" s="48" t="s">
        <v>416</v>
      </c>
      <c r="G3611" s="27" t="str">
        <f t="shared" si="344"/>
        <v/>
      </c>
      <c r="H3611" s="28"/>
      <c r="I3611" s="29"/>
      <c r="J3611" s="152">
        <v>0</v>
      </c>
      <c r="L3611" s="218"/>
      <c r="M3611" s="48"/>
      <c r="N3611" s="27" t="str">
        <f t="shared" si="345"/>
        <v/>
      </c>
      <c r="O3611" s="28"/>
      <c r="P3611" s="36" t="str">
        <f t="shared" si="346"/>
        <v/>
      </c>
      <c r="Q3611" s="216" t="str">
        <f t="shared" si="347"/>
        <v/>
      </c>
      <c r="R3611" s="216" t="str">
        <f t="shared" si="348"/>
        <v/>
      </c>
      <c r="S3611" s="217" t="str">
        <f t="shared" si="349"/>
        <v/>
      </c>
    </row>
    <row r="3612" spans="1:19" ht="15.75" hidden="1" thickBot="1" x14ac:dyDescent="0.3">
      <c r="A3612" s="257"/>
      <c r="B3612" s="260"/>
      <c r="C3612" s="31"/>
      <c r="D3612" s="31"/>
      <c r="E3612" s="32"/>
      <c r="F3612" s="53" t="s">
        <v>416</v>
      </c>
      <c r="G3612" s="53" t="str">
        <f t="shared" si="344"/>
        <v/>
      </c>
      <c r="H3612" s="72"/>
      <c r="I3612" s="73"/>
      <c r="J3612" s="152">
        <v>0</v>
      </c>
      <c r="L3612" s="219"/>
      <c r="M3612" s="53"/>
      <c r="N3612" s="53" t="str">
        <f t="shared" si="345"/>
        <v/>
      </c>
      <c r="O3612" s="72"/>
      <c r="P3612" s="36" t="str">
        <f t="shared" si="346"/>
        <v/>
      </c>
      <c r="Q3612" s="216" t="str">
        <f t="shared" si="347"/>
        <v/>
      </c>
      <c r="R3612" s="216" t="str">
        <f t="shared" si="348"/>
        <v/>
      </c>
      <c r="S3612" s="217" t="str">
        <f t="shared" si="349"/>
        <v/>
      </c>
    </row>
    <row r="3613" spans="1:19" ht="26.25" hidden="1" thickBot="1" x14ac:dyDescent="0.3">
      <c r="A3613" s="257"/>
      <c r="B3613" s="260"/>
      <c r="C3613" s="35" t="s">
        <v>931</v>
      </c>
      <c r="D3613" s="35" t="s">
        <v>213</v>
      </c>
      <c r="E3613" s="36">
        <v>1</v>
      </c>
      <c r="F3613" s="53">
        <v>73.320999999999998</v>
      </c>
      <c r="G3613" s="53">
        <f t="shared" si="344"/>
        <v>73.320999999999998</v>
      </c>
      <c r="H3613" s="38">
        <f>SUM(G3613:G3616)</f>
        <v>88.222852000000003</v>
      </c>
      <c r="I3613" s="39"/>
      <c r="J3613" s="152">
        <v>0</v>
      </c>
      <c r="L3613" s="215">
        <v>1</v>
      </c>
      <c r="M3613" s="53">
        <v>62.762776000000002</v>
      </c>
      <c r="N3613" s="53">
        <f t="shared" si="345"/>
        <v>62.762776000000002</v>
      </c>
      <c r="O3613" s="38">
        <f>SUM(N3613:N3616)</f>
        <v>75.518761312000009</v>
      </c>
      <c r="P3613" s="36" t="str">
        <f t="shared" si="346"/>
        <v/>
      </c>
      <c r="Q3613" s="216">
        <f t="shared" si="347"/>
        <v>0.14399999999999991</v>
      </c>
      <c r="R3613" s="216">
        <f t="shared" si="348"/>
        <v>0.14399999999999991</v>
      </c>
      <c r="S3613" s="217">
        <f t="shared" si="349"/>
        <v>0.14399999999999991</v>
      </c>
    </row>
    <row r="3614" spans="1:19" ht="15.75" hidden="1" thickBot="1" x14ac:dyDescent="0.3">
      <c r="A3614" s="257"/>
      <c r="B3614" s="260"/>
      <c r="C3614" s="35" t="s">
        <v>8171</v>
      </c>
      <c r="D3614" s="35" t="s">
        <v>213</v>
      </c>
      <c r="E3614" s="36">
        <v>2.1000000000000001E-2</v>
      </c>
      <c r="F3614" s="53">
        <v>4.0374999999999996</v>
      </c>
      <c r="G3614" s="53">
        <f t="shared" si="344"/>
        <v>8.4787500000000002E-2</v>
      </c>
      <c r="H3614" s="72"/>
      <c r="I3614" s="73"/>
      <c r="J3614" s="152">
        <v>0</v>
      </c>
      <c r="L3614" s="215">
        <v>2.1000000000000001E-2</v>
      </c>
      <c r="M3614" s="53">
        <v>3.4560999999999997</v>
      </c>
      <c r="N3614" s="53">
        <f t="shared" si="345"/>
        <v>7.2578099999999993E-2</v>
      </c>
      <c r="O3614" s="72"/>
      <c r="P3614" s="36" t="str">
        <f t="shared" si="346"/>
        <v/>
      </c>
      <c r="Q3614" s="216">
        <f t="shared" si="347"/>
        <v>0.14400000000000002</v>
      </c>
      <c r="R3614" s="216">
        <f t="shared" si="348"/>
        <v>0.14400000000000013</v>
      </c>
      <c r="S3614" s="217" t="str">
        <f t="shared" si="349"/>
        <v/>
      </c>
    </row>
    <row r="3615" spans="1:19" ht="26.25" hidden="1" thickBot="1" x14ac:dyDescent="0.3">
      <c r="A3615" s="257"/>
      <c r="B3615" s="260"/>
      <c r="C3615" s="35" t="s">
        <v>825</v>
      </c>
      <c r="D3615" s="35" t="s">
        <v>583</v>
      </c>
      <c r="E3615" s="36">
        <v>0.44669999999999999</v>
      </c>
      <c r="F3615" s="53">
        <v>26.799499999999998</v>
      </c>
      <c r="G3615" s="53">
        <f t="shared" si="344"/>
        <v>11.97133665</v>
      </c>
      <c r="H3615" s="72"/>
      <c r="I3615" s="73"/>
      <c r="J3615" s="152">
        <v>0</v>
      </c>
      <c r="L3615" s="215">
        <v>0.44669999999999999</v>
      </c>
      <c r="M3615" s="53">
        <v>22.940372</v>
      </c>
      <c r="N3615" s="53">
        <f t="shared" si="345"/>
        <v>10.247464172399999</v>
      </c>
      <c r="O3615" s="72"/>
      <c r="P3615" s="36" t="str">
        <f t="shared" si="346"/>
        <v/>
      </c>
      <c r="Q3615" s="216">
        <f t="shared" si="347"/>
        <v>0.14399999999999991</v>
      </c>
      <c r="R3615" s="216">
        <f t="shared" si="348"/>
        <v>0.14400000000000002</v>
      </c>
      <c r="S3615" s="217" t="str">
        <f t="shared" si="349"/>
        <v/>
      </c>
    </row>
    <row r="3616" spans="1:19" ht="15.75" hidden="1" thickBot="1" x14ac:dyDescent="0.3">
      <c r="A3616" s="257"/>
      <c r="B3616" s="260"/>
      <c r="C3616" s="35" t="s">
        <v>584</v>
      </c>
      <c r="D3616" s="35" t="s">
        <v>583</v>
      </c>
      <c r="E3616" s="36">
        <v>0.14069999999999999</v>
      </c>
      <c r="F3616" s="53">
        <v>20.225499999999997</v>
      </c>
      <c r="G3616" s="53">
        <f t="shared" si="344"/>
        <v>2.8457278499999994</v>
      </c>
      <c r="H3616" s="72"/>
      <c r="I3616" s="73"/>
      <c r="J3616" s="152">
        <v>0</v>
      </c>
      <c r="L3616" s="215">
        <v>0.14069999999999999</v>
      </c>
      <c r="M3616" s="53">
        <v>17.313027999999996</v>
      </c>
      <c r="N3616" s="53">
        <f t="shared" si="345"/>
        <v>2.4359430395999992</v>
      </c>
      <c r="O3616" s="72"/>
      <c r="P3616" s="36" t="str">
        <f t="shared" si="346"/>
        <v/>
      </c>
      <c r="Q3616" s="216">
        <f t="shared" si="347"/>
        <v>0.14400000000000013</v>
      </c>
      <c r="R3616" s="216">
        <f t="shared" si="348"/>
        <v>0.14400000000000013</v>
      </c>
      <c r="S3616" s="217" t="str">
        <f t="shared" si="349"/>
        <v/>
      </c>
    </row>
    <row r="3617" spans="1:19" ht="15.75" hidden="1" thickBot="1" x14ac:dyDescent="0.3">
      <c r="A3617" s="258"/>
      <c r="B3617" s="261"/>
      <c r="C3617" s="35"/>
      <c r="D3617" s="35"/>
      <c r="E3617" s="36"/>
      <c r="F3617" s="53" t="s">
        <v>416</v>
      </c>
      <c r="G3617" s="53" t="str">
        <f t="shared" si="344"/>
        <v/>
      </c>
      <c r="H3617" s="72"/>
      <c r="I3617" s="73"/>
      <c r="J3617" s="152">
        <v>0</v>
      </c>
      <c r="L3617" s="215"/>
      <c r="M3617" s="53"/>
      <c r="N3617" s="53" t="str">
        <f t="shared" si="345"/>
        <v/>
      </c>
      <c r="O3617" s="72"/>
      <c r="P3617" s="36" t="str">
        <f t="shared" si="346"/>
        <v/>
      </c>
      <c r="Q3617" s="216" t="str">
        <f t="shared" si="347"/>
        <v/>
      </c>
      <c r="R3617" s="216" t="str">
        <f t="shared" si="348"/>
        <v/>
      </c>
      <c r="S3617" s="217" t="str">
        <f t="shared" si="349"/>
        <v/>
      </c>
    </row>
    <row r="3618" spans="1:19" ht="15.75" hidden="1" thickBot="1" x14ac:dyDescent="0.3">
      <c r="A3618" s="256" t="s">
        <v>932</v>
      </c>
      <c r="B3618" s="259" t="str">
        <f>INDEX(Orçamentária!A:B,MATCH(Composições!A3618,Orçamentária!A:A,0),2)</f>
        <v>Lastro em concreto magro</v>
      </c>
      <c r="C3618" s="40"/>
      <c r="D3618" s="25" t="s">
        <v>80</v>
      </c>
      <c r="E3618" s="26"/>
      <c r="F3618" s="48" t="s">
        <v>416</v>
      </c>
      <c r="G3618" s="27" t="str">
        <f t="shared" si="344"/>
        <v/>
      </c>
      <c r="H3618" s="28"/>
      <c r="I3618" s="29"/>
      <c r="J3618" s="152">
        <v>0</v>
      </c>
      <c r="L3618" s="218"/>
      <c r="M3618" s="48"/>
      <c r="N3618" s="27" t="str">
        <f t="shared" si="345"/>
        <v/>
      </c>
      <c r="O3618" s="28"/>
      <c r="P3618" s="36" t="str">
        <f t="shared" si="346"/>
        <v/>
      </c>
      <c r="Q3618" s="216" t="str">
        <f t="shared" si="347"/>
        <v/>
      </c>
      <c r="R3618" s="216" t="str">
        <f t="shared" si="348"/>
        <v/>
      </c>
      <c r="S3618" s="217" t="str">
        <f t="shared" si="349"/>
        <v/>
      </c>
    </row>
    <row r="3619" spans="1:19" ht="15.75" hidden="1" thickBot="1" x14ac:dyDescent="0.3">
      <c r="A3619" s="257"/>
      <c r="B3619" s="260"/>
      <c r="C3619" s="31"/>
      <c r="D3619" s="31"/>
      <c r="E3619" s="32"/>
      <c r="F3619" s="53" t="s">
        <v>416</v>
      </c>
      <c r="G3619" s="53" t="str">
        <f t="shared" si="344"/>
        <v/>
      </c>
      <c r="H3619" s="72"/>
      <c r="I3619" s="73"/>
      <c r="J3619" s="152">
        <v>0</v>
      </c>
      <c r="L3619" s="219"/>
      <c r="M3619" s="53"/>
      <c r="N3619" s="53" t="str">
        <f t="shared" si="345"/>
        <v/>
      </c>
      <c r="O3619" s="72"/>
      <c r="P3619" s="36" t="str">
        <f t="shared" si="346"/>
        <v/>
      </c>
      <c r="Q3619" s="216" t="str">
        <f t="shared" si="347"/>
        <v/>
      </c>
      <c r="R3619" s="216" t="str">
        <f t="shared" si="348"/>
        <v/>
      </c>
      <c r="S3619" s="217" t="str">
        <f t="shared" si="349"/>
        <v/>
      </c>
    </row>
    <row r="3620" spans="1:19" ht="15.75" hidden="1" thickBot="1" x14ac:dyDescent="0.3">
      <c r="A3620" s="257"/>
      <c r="B3620" s="260"/>
      <c r="C3620" s="35" t="s">
        <v>591</v>
      </c>
      <c r="D3620" s="35" t="s">
        <v>583</v>
      </c>
      <c r="E3620" s="36">
        <v>5.4370000000000003</v>
      </c>
      <c r="F3620" s="53">
        <v>27.160499999999999</v>
      </c>
      <c r="G3620" s="53">
        <f t="shared" si="344"/>
        <v>147.6716385</v>
      </c>
      <c r="H3620" s="38">
        <f>SUM(G3620:G3622)</f>
        <v>817.09119779767377</v>
      </c>
      <c r="I3620" s="39"/>
      <c r="J3620" s="152">
        <v>0</v>
      </c>
      <c r="L3620" s="215">
        <v>5.4370000000000003</v>
      </c>
      <c r="M3620" s="53">
        <v>23.249388</v>
      </c>
      <c r="N3620" s="53">
        <f t="shared" si="345"/>
        <v>126.406922556</v>
      </c>
      <c r="O3620" s="38">
        <f>SUM(N3620:N3622)</f>
        <v>699.43006531480887</v>
      </c>
      <c r="P3620" s="36" t="str">
        <f t="shared" si="346"/>
        <v/>
      </c>
      <c r="Q3620" s="216">
        <f t="shared" si="347"/>
        <v>0.14400000000000002</v>
      </c>
      <c r="R3620" s="216">
        <f t="shared" si="348"/>
        <v>0.14400000000000002</v>
      </c>
      <c r="S3620" s="217">
        <f t="shared" si="349"/>
        <v>0.14399999999999979</v>
      </c>
    </row>
    <row r="3621" spans="1:19" ht="15.75" hidden="1" thickBot="1" x14ac:dyDescent="0.3">
      <c r="A3621" s="257"/>
      <c r="B3621" s="260"/>
      <c r="C3621" s="35" t="s">
        <v>584</v>
      </c>
      <c r="D3621" s="35" t="s">
        <v>583</v>
      </c>
      <c r="E3621" s="36">
        <v>1.4830000000000001</v>
      </c>
      <c r="F3621" s="53">
        <v>20.225499999999997</v>
      </c>
      <c r="G3621" s="53">
        <f t="shared" si="344"/>
        <v>29.994416499999996</v>
      </c>
      <c r="H3621" s="72"/>
      <c r="I3621" s="73"/>
      <c r="J3621" s="152">
        <v>0</v>
      </c>
      <c r="L3621" s="215">
        <v>1.4830000000000001</v>
      </c>
      <c r="M3621" s="53">
        <v>17.313027999999996</v>
      </c>
      <c r="N3621" s="53">
        <f t="shared" si="345"/>
        <v>25.675220523999997</v>
      </c>
      <c r="O3621" s="72"/>
      <c r="P3621" s="36" t="str">
        <f t="shared" si="346"/>
        <v/>
      </c>
      <c r="Q3621" s="216">
        <f t="shared" si="347"/>
        <v>0.14400000000000013</v>
      </c>
      <c r="R3621" s="216">
        <f t="shared" si="348"/>
        <v>0.14400000000000002</v>
      </c>
      <c r="S3621" s="217" t="str">
        <f t="shared" si="349"/>
        <v/>
      </c>
    </row>
    <row r="3622" spans="1:19" ht="39" hidden="1" thickBot="1" x14ac:dyDescent="0.3">
      <c r="A3622" s="257"/>
      <c r="B3622" s="260"/>
      <c r="C3622" s="35" t="s">
        <v>933</v>
      </c>
      <c r="D3622" s="46" t="s">
        <v>87</v>
      </c>
      <c r="E3622" s="36">
        <v>1.1299999999999999</v>
      </c>
      <c r="F3622" s="53">
        <v>565.86295822802992</v>
      </c>
      <c r="G3622" s="53">
        <f t="shared" si="344"/>
        <v>639.42514279767374</v>
      </c>
      <c r="H3622" s="72"/>
      <c r="I3622" s="73"/>
      <c r="J3622" s="152">
        <v>0</v>
      </c>
      <c r="L3622" s="215">
        <v>1.1299999999999999</v>
      </c>
      <c r="M3622" s="53">
        <v>484.37869224319365</v>
      </c>
      <c r="N3622" s="53">
        <f t="shared" si="345"/>
        <v>547.34792223480883</v>
      </c>
      <c r="O3622" s="72"/>
      <c r="P3622" s="36" t="str">
        <f t="shared" si="346"/>
        <v/>
      </c>
      <c r="Q3622" s="216">
        <f t="shared" si="347"/>
        <v>0.14399999999999991</v>
      </c>
      <c r="R3622" s="216">
        <f t="shared" si="348"/>
        <v>0.14399999999999979</v>
      </c>
      <c r="S3622" s="217" t="str">
        <f t="shared" si="349"/>
        <v/>
      </c>
    </row>
    <row r="3623" spans="1:19" ht="15.75" hidden="1" thickBot="1" x14ac:dyDescent="0.3">
      <c r="A3623" s="258"/>
      <c r="B3623" s="261"/>
      <c r="C3623" s="35"/>
      <c r="D3623" s="35"/>
      <c r="E3623" s="36"/>
      <c r="F3623" s="53" t="s">
        <v>416</v>
      </c>
      <c r="G3623" s="53" t="str">
        <f t="shared" si="344"/>
        <v/>
      </c>
      <c r="H3623" s="72"/>
      <c r="I3623" s="73"/>
      <c r="J3623" s="152">
        <v>0</v>
      </c>
      <c r="L3623" s="215"/>
      <c r="M3623" s="53"/>
      <c r="N3623" s="53" t="str">
        <f t="shared" si="345"/>
        <v/>
      </c>
      <c r="O3623" s="72"/>
      <c r="P3623" s="36" t="str">
        <f t="shared" si="346"/>
        <v/>
      </c>
      <c r="Q3623" s="216" t="str">
        <f t="shared" si="347"/>
        <v/>
      </c>
      <c r="R3623" s="216" t="str">
        <f t="shared" si="348"/>
        <v/>
      </c>
      <c r="S3623" s="217" t="str">
        <f t="shared" si="349"/>
        <v/>
      </c>
    </row>
    <row r="3624" spans="1:19" ht="15.75" hidden="1" thickBot="1" x14ac:dyDescent="0.3">
      <c r="A3624" s="256" t="s">
        <v>934</v>
      </c>
      <c r="B3624" s="259" t="str">
        <f>INDEX(Orçamentária!A:B,MATCH(Composições!A3624,Orçamentária!A:A,0),2)</f>
        <v>Pavimentação em concreto armado simples</v>
      </c>
      <c r="C3624" s="40"/>
      <c r="D3624" s="25" t="s">
        <v>70</v>
      </c>
      <c r="E3624" s="26"/>
      <c r="F3624" s="48" t="s">
        <v>416</v>
      </c>
      <c r="G3624" s="27" t="str">
        <f t="shared" si="344"/>
        <v/>
      </c>
      <c r="H3624" s="28"/>
      <c r="I3624" s="29"/>
      <c r="J3624" s="152">
        <v>0</v>
      </c>
      <c r="L3624" s="218"/>
      <c r="M3624" s="48"/>
      <c r="N3624" s="27" t="str">
        <f t="shared" si="345"/>
        <v/>
      </c>
      <c r="O3624" s="28"/>
      <c r="P3624" s="36" t="str">
        <f t="shared" si="346"/>
        <v/>
      </c>
      <c r="Q3624" s="216" t="str">
        <f t="shared" si="347"/>
        <v/>
      </c>
      <c r="R3624" s="216" t="str">
        <f t="shared" si="348"/>
        <v/>
      </c>
      <c r="S3624" s="217" t="str">
        <f t="shared" si="349"/>
        <v/>
      </c>
    </row>
    <row r="3625" spans="1:19" ht="15.75" hidden="1" thickBot="1" x14ac:dyDescent="0.3">
      <c r="A3625" s="262"/>
      <c r="B3625" s="260"/>
      <c r="C3625" s="31"/>
      <c r="D3625" s="31"/>
      <c r="E3625" s="32"/>
      <c r="F3625" s="53" t="s">
        <v>416</v>
      </c>
      <c r="G3625" s="53" t="str">
        <f t="shared" si="344"/>
        <v/>
      </c>
      <c r="H3625" s="72"/>
      <c r="I3625" s="73"/>
      <c r="J3625" s="152">
        <v>0</v>
      </c>
      <c r="L3625" s="219"/>
      <c r="M3625" s="53"/>
      <c r="N3625" s="53" t="str">
        <f t="shared" si="345"/>
        <v/>
      </c>
      <c r="O3625" s="72"/>
      <c r="P3625" s="36" t="str">
        <f t="shared" si="346"/>
        <v/>
      </c>
      <c r="Q3625" s="216" t="str">
        <f t="shared" si="347"/>
        <v/>
      </c>
      <c r="R3625" s="216" t="str">
        <f t="shared" si="348"/>
        <v/>
      </c>
      <c r="S3625" s="217" t="str">
        <f t="shared" si="349"/>
        <v/>
      </c>
    </row>
    <row r="3626" spans="1:19" ht="39" hidden="1" thickBot="1" x14ac:dyDescent="0.3">
      <c r="A3626" s="262"/>
      <c r="B3626" s="260"/>
      <c r="C3626" s="35" t="s">
        <v>2930</v>
      </c>
      <c r="D3626" s="35" t="s">
        <v>87</v>
      </c>
      <c r="E3626" s="36">
        <v>8.14E-2</v>
      </c>
      <c r="F3626" s="53">
        <v>417.04999999999995</v>
      </c>
      <c r="G3626" s="53">
        <f t="shared" si="344"/>
        <v>33.947869999999995</v>
      </c>
      <c r="H3626" s="38">
        <f>SUM(G3626:G3632)</f>
        <v>112.92166354999999</v>
      </c>
      <c r="I3626" s="39"/>
      <c r="J3626" s="152">
        <v>0</v>
      </c>
      <c r="L3626" s="215">
        <v>8.14E-2</v>
      </c>
      <c r="M3626" s="53">
        <v>356.99479999999994</v>
      </c>
      <c r="N3626" s="53">
        <f t="shared" si="345"/>
        <v>29.059376719999996</v>
      </c>
      <c r="O3626" s="38">
        <f>SUM(N3626:N3632)</f>
        <v>96.660943998799979</v>
      </c>
      <c r="P3626" s="36" t="str">
        <f t="shared" si="346"/>
        <v/>
      </c>
      <c r="Q3626" s="216">
        <f t="shared" si="347"/>
        <v>0.14400000000000002</v>
      </c>
      <c r="R3626" s="216">
        <f t="shared" si="348"/>
        <v>0.14400000000000002</v>
      </c>
      <c r="S3626" s="217">
        <f t="shared" si="349"/>
        <v>0.14400000000000013</v>
      </c>
    </row>
    <row r="3627" spans="1:19" ht="26.25" hidden="1" thickBot="1" x14ac:dyDescent="0.3">
      <c r="A3627" s="262"/>
      <c r="B3627" s="260"/>
      <c r="C3627" s="35" t="s">
        <v>2931</v>
      </c>
      <c r="D3627" s="35" t="s">
        <v>773</v>
      </c>
      <c r="E3627" s="36">
        <v>4</v>
      </c>
      <c r="F3627" s="53">
        <v>10.145999999999999</v>
      </c>
      <c r="G3627" s="53">
        <f t="shared" si="344"/>
        <v>40.583999999999996</v>
      </c>
      <c r="H3627" s="72"/>
      <c r="I3627" s="73"/>
      <c r="J3627" s="152">
        <v>0</v>
      </c>
      <c r="L3627" s="215">
        <v>4</v>
      </c>
      <c r="M3627" s="53">
        <v>8.6849759999999989</v>
      </c>
      <c r="N3627" s="53">
        <f t="shared" si="345"/>
        <v>34.739903999999996</v>
      </c>
      <c r="O3627" s="72"/>
      <c r="P3627" s="36" t="str">
        <f t="shared" si="346"/>
        <v/>
      </c>
      <c r="Q3627" s="216">
        <f t="shared" si="347"/>
        <v>0.14400000000000002</v>
      </c>
      <c r="R3627" s="216">
        <f t="shared" si="348"/>
        <v>0.14400000000000002</v>
      </c>
      <c r="S3627" s="217" t="str">
        <f t="shared" si="349"/>
        <v/>
      </c>
    </row>
    <row r="3628" spans="1:19" ht="15.75" hidden="1" thickBot="1" x14ac:dyDescent="0.3">
      <c r="A3628" s="262"/>
      <c r="B3628" s="260"/>
      <c r="C3628" s="35" t="s">
        <v>591</v>
      </c>
      <c r="D3628" s="35" t="s">
        <v>583</v>
      </c>
      <c r="E3628" s="36">
        <v>0.1119</v>
      </c>
      <c r="F3628" s="53">
        <v>27.160499999999999</v>
      </c>
      <c r="G3628" s="53">
        <f t="shared" ref="G3628:G3691" si="350">IF(ISNUMBER(F3628),E3628*F3628,"")</f>
        <v>3.0392599499999999</v>
      </c>
      <c r="H3628" s="72"/>
      <c r="I3628" s="73"/>
      <c r="J3628" s="152">
        <v>0</v>
      </c>
      <c r="L3628" s="215">
        <v>0.1119</v>
      </c>
      <c r="M3628" s="53">
        <v>23.249388</v>
      </c>
      <c r="N3628" s="53">
        <f t="shared" ref="N3628:N3691" si="351">IF(ISNUMBER(M3628),L3628*M3628,"")</f>
        <v>2.6016065172</v>
      </c>
      <c r="O3628" s="72"/>
      <c r="P3628" s="36" t="str">
        <f t="shared" si="346"/>
        <v/>
      </c>
      <c r="Q3628" s="216">
        <f t="shared" si="347"/>
        <v>0.14400000000000002</v>
      </c>
      <c r="R3628" s="216">
        <f t="shared" si="348"/>
        <v>0.14400000000000002</v>
      </c>
      <c r="S3628" s="217" t="str">
        <f t="shared" si="349"/>
        <v/>
      </c>
    </row>
    <row r="3629" spans="1:19" ht="15.75" hidden="1" thickBot="1" x14ac:dyDescent="0.3">
      <c r="A3629" s="262"/>
      <c r="B3629" s="260"/>
      <c r="C3629" s="35" t="s">
        <v>584</v>
      </c>
      <c r="D3629" s="35" t="s">
        <v>583</v>
      </c>
      <c r="E3629" s="36">
        <v>4.6600000000000003E-2</v>
      </c>
      <c r="F3629" s="53">
        <v>20.225499999999997</v>
      </c>
      <c r="G3629" s="53">
        <f t="shared" si="350"/>
        <v>0.94250829999999985</v>
      </c>
      <c r="H3629" s="72"/>
      <c r="I3629" s="73"/>
      <c r="J3629" s="152">
        <v>0</v>
      </c>
      <c r="L3629" s="215">
        <v>4.6600000000000003E-2</v>
      </c>
      <c r="M3629" s="53">
        <v>17.313027999999996</v>
      </c>
      <c r="N3629" s="53">
        <f t="shared" si="351"/>
        <v>0.80678710479999982</v>
      </c>
      <c r="O3629" s="72"/>
      <c r="P3629" s="36" t="str">
        <f t="shared" si="346"/>
        <v/>
      </c>
      <c r="Q3629" s="216">
        <f t="shared" si="347"/>
        <v>0.14400000000000013</v>
      </c>
      <c r="R3629" s="216">
        <f t="shared" si="348"/>
        <v>0.14400000000000002</v>
      </c>
      <c r="S3629" s="217" t="str">
        <f t="shared" si="349"/>
        <v/>
      </c>
    </row>
    <row r="3630" spans="1:19" ht="26.25" hidden="1" thickBot="1" x14ac:dyDescent="0.3">
      <c r="A3630" s="262"/>
      <c r="B3630" s="260"/>
      <c r="C3630" s="35" t="s">
        <v>6971</v>
      </c>
      <c r="D3630" s="35" t="s">
        <v>813</v>
      </c>
      <c r="E3630" s="36">
        <v>7.0000000000000001E-3</v>
      </c>
      <c r="F3630" s="53">
        <v>7.6475</v>
      </c>
      <c r="G3630" s="53">
        <f t="shared" si="350"/>
        <v>5.3532500000000004E-2</v>
      </c>
      <c r="H3630" s="72"/>
      <c r="I3630" s="73"/>
      <c r="J3630" s="152">
        <v>0</v>
      </c>
      <c r="L3630" s="215">
        <v>7.0000000000000001E-3</v>
      </c>
      <c r="M3630" s="53">
        <v>6.5462600000000002</v>
      </c>
      <c r="N3630" s="53">
        <f t="shared" si="351"/>
        <v>4.5823820000000001E-2</v>
      </c>
      <c r="O3630" s="72"/>
      <c r="P3630" s="36" t="str">
        <f t="shared" si="346"/>
        <v/>
      </c>
      <c r="Q3630" s="216">
        <f t="shared" si="347"/>
        <v>0.14400000000000002</v>
      </c>
      <c r="R3630" s="216">
        <f t="shared" si="348"/>
        <v>0.14400000000000002</v>
      </c>
      <c r="S3630" s="217" t="str">
        <f t="shared" si="349"/>
        <v/>
      </c>
    </row>
    <row r="3631" spans="1:19" ht="39" hidden="1" thickBot="1" x14ac:dyDescent="0.3">
      <c r="A3631" s="262"/>
      <c r="B3631" s="260"/>
      <c r="C3631" s="35" t="s">
        <v>935</v>
      </c>
      <c r="D3631" s="35" t="s">
        <v>861</v>
      </c>
      <c r="E3631" s="36">
        <v>1.1224000000000001</v>
      </c>
      <c r="F3631" s="53">
        <v>27.084499999999998</v>
      </c>
      <c r="G3631" s="53">
        <f t="shared" si="350"/>
        <v>30.399642799999999</v>
      </c>
      <c r="H3631" s="72"/>
      <c r="I3631" s="73"/>
      <c r="J3631" s="152">
        <v>0</v>
      </c>
      <c r="L3631" s="215">
        <v>1.1224000000000001</v>
      </c>
      <c r="M3631" s="53">
        <v>23.184331999999998</v>
      </c>
      <c r="N3631" s="53">
        <f t="shared" si="351"/>
        <v>26.022094236799997</v>
      </c>
      <c r="O3631" s="72"/>
      <c r="P3631" s="36" t="str">
        <f t="shared" si="346"/>
        <v/>
      </c>
      <c r="Q3631" s="216">
        <f t="shared" si="347"/>
        <v>0.14400000000000002</v>
      </c>
      <c r="R3631" s="216">
        <f t="shared" si="348"/>
        <v>0.14400000000000002</v>
      </c>
      <c r="S3631" s="217" t="str">
        <f t="shared" si="349"/>
        <v/>
      </c>
    </row>
    <row r="3632" spans="1:19" ht="26.25" hidden="1" thickBot="1" x14ac:dyDescent="0.3">
      <c r="A3632" s="262"/>
      <c r="B3632" s="260"/>
      <c r="C3632" s="35" t="s">
        <v>928</v>
      </c>
      <c r="D3632" s="35" t="s">
        <v>8526</v>
      </c>
      <c r="E3632" s="36">
        <v>0.1</v>
      </c>
      <c r="F3632" s="53">
        <v>39.548499999999997</v>
      </c>
      <c r="G3632" s="53">
        <f t="shared" si="350"/>
        <v>3.95485</v>
      </c>
      <c r="H3632" s="72"/>
      <c r="I3632" s="73"/>
      <c r="J3632" s="152">
        <v>0</v>
      </c>
      <c r="L3632" s="215">
        <v>0.1</v>
      </c>
      <c r="M3632" s="53">
        <v>33.853515999999999</v>
      </c>
      <c r="N3632" s="53">
        <f t="shared" si="351"/>
        <v>3.3853515999999999</v>
      </c>
      <c r="O3632" s="72"/>
      <c r="P3632" s="36" t="str">
        <f t="shared" si="346"/>
        <v/>
      </c>
      <c r="Q3632" s="216">
        <f t="shared" si="347"/>
        <v>0.14399999999999991</v>
      </c>
      <c r="R3632" s="216">
        <f t="shared" si="348"/>
        <v>0.14400000000000002</v>
      </c>
      <c r="S3632" s="217" t="str">
        <f t="shared" si="349"/>
        <v/>
      </c>
    </row>
    <row r="3633" spans="1:19" ht="15.75" hidden="1" thickBot="1" x14ac:dyDescent="0.3">
      <c r="A3633" s="263"/>
      <c r="B3633" s="261"/>
      <c r="C3633" s="35"/>
      <c r="D3633" s="35"/>
      <c r="E3633" s="36"/>
      <c r="F3633" s="53" t="s">
        <v>416</v>
      </c>
      <c r="G3633" s="53" t="str">
        <f t="shared" si="350"/>
        <v/>
      </c>
      <c r="H3633" s="72"/>
      <c r="I3633" s="73"/>
      <c r="J3633" s="152">
        <v>0</v>
      </c>
      <c r="L3633" s="215"/>
      <c r="M3633" s="53"/>
      <c r="N3633" s="53" t="str">
        <f t="shared" si="351"/>
        <v/>
      </c>
      <c r="O3633" s="72"/>
      <c r="P3633" s="36" t="str">
        <f t="shared" si="346"/>
        <v/>
      </c>
      <c r="Q3633" s="216" t="str">
        <f t="shared" si="347"/>
        <v/>
      </c>
      <c r="R3633" s="216" t="str">
        <f t="shared" si="348"/>
        <v/>
      </c>
      <c r="S3633" s="217" t="str">
        <f t="shared" si="349"/>
        <v/>
      </c>
    </row>
    <row r="3634" spans="1:19" ht="15.75" hidden="1" thickBot="1" x14ac:dyDescent="0.3">
      <c r="A3634" s="256" t="s">
        <v>937</v>
      </c>
      <c r="B3634" s="259" t="str">
        <f>INDEX(Orçamentária!A:B,MATCH(Composições!A3634,Orçamentária!A:A,0),2)</f>
        <v>Remoção de reservatório d’água</v>
      </c>
      <c r="C3634" s="40"/>
      <c r="D3634" s="25" t="s">
        <v>16</v>
      </c>
      <c r="E3634" s="26"/>
      <c r="F3634" s="48" t="s">
        <v>416</v>
      </c>
      <c r="G3634" s="27" t="str">
        <f t="shared" si="350"/>
        <v/>
      </c>
      <c r="H3634" s="28"/>
      <c r="I3634" s="29"/>
      <c r="J3634" s="152">
        <v>0</v>
      </c>
      <c r="L3634" s="218"/>
      <c r="M3634" s="48"/>
      <c r="N3634" s="27" t="str">
        <f t="shared" si="351"/>
        <v/>
      </c>
      <c r="O3634" s="28"/>
      <c r="P3634" s="36" t="str">
        <f t="shared" si="346"/>
        <v/>
      </c>
      <c r="Q3634" s="216" t="str">
        <f t="shared" si="347"/>
        <v/>
      </c>
      <c r="R3634" s="216" t="str">
        <f t="shared" si="348"/>
        <v/>
      </c>
      <c r="S3634" s="217" t="str">
        <f t="shared" si="349"/>
        <v/>
      </c>
    </row>
    <row r="3635" spans="1:19" ht="15.75" hidden="1" thickBot="1" x14ac:dyDescent="0.3">
      <c r="A3635" s="257"/>
      <c r="B3635" s="260"/>
      <c r="C3635" s="31"/>
      <c r="D3635" s="31"/>
      <c r="E3635" s="32"/>
      <c r="F3635" s="53" t="s">
        <v>416</v>
      </c>
      <c r="G3635" s="53" t="str">
        <f t="shared" si="350"/>
        <v/>
      </c>
      <c r="H3635" s="72"/>
      <c r="I3635" s="73"/>
      <c r="J3635" s="152">
        <v>0</v>
      </c>
      <c r="L3635" s="219"/>
      <c r="M3635" s="53"/>
      <c r="N3635" s="53" t="str">
        <f t="shared" si="351"/>
        <v/>
      </c>
      <c r="O3635" s="72"/>
      <c r="P3635" s="36" t="str">
        <f t="shared" si="346"/>
        <v/>
      </c>
      <c r="Q3635" s="216" t="str">
        <f t="shared" si="347"/>
        <v/>
      </c>
      <c r="R3635" s="216" t="str">
        <f t="shared" si="348"/>
        <v/>
      </c>
      <c r="S3635" s="217" t="str">
        <f t="shared" si="349"/>
        <v/>
      </c>
    </row>
    <row r="3636" spans="1:19" ht="26.25" hidden="1" thickBot="1" x14ac:dyDescent="0.3">
      <c r="A3636" s="257"/>
      <c r="B3636" s="260"/>
      <c r="C3636" s="35" t="s">
        <v>825</v>
      </c>
      <c r="D3636" s="35" t="s">
        <v>583</v>
      </c>
      <c r="E3636" s="36">
        <v>4</v>
      </c>
      <c r="F3636" s="53">
        <v>26.799499999999998</v>
      </c>
      <c r="G3636" s="53">
        <f t="shared" si="350"/>
        <v>107.19799999999999</v>
      </c>
      <c r="H3636" s="38">
        <f>SUM(G3636:G3637)</f>
        <v>188.09999999999997</v>
      </c>
      <c r="I3636" s="39"/>
      <c r="J3636" s="152">
        <v>0</v>
      </c>
      <c r="L3636" s="215">
        <v>4</v>
      </c>
      <c r="M3636" s="53">
        <v>22.940372</v>
      </c>
      <c r="N3636" s="53">
        <f t="shared" si="351"/>
        <v>91.761488</v>
      </c>
      <c r="O3636" s="38">
        <f>SUM(N3636:N3637)</f>
        <v>161.0136</v>
      </c>
      <c r="P3636" s="36" t="str">
        <f t="shared" si="346"/>
        <v/>
      </c>
      <c r="Q3636" s="216">
        <f t="shared" si="347"/>
        <v>0.14399999999999991</v>
      </c>
      <c r="R3636" s="216">
        <f t="shared" si="348"/>
        <v>0.14399999999999991</v>
      </c>
      <c r="S3636" s="217">
        <f t="shared" si="349"/>
        <v>0.14399999999999991</v>
      </c>
    </row>
    <row r="3637" spans="1:19" ht="15.75" hidden="1" thickBot="1" x14ac:dyDescent="0.3">
      <c r="A3637" s="257"/>
      <c r="B3637" s="260"/>
      <c r="C3637" s="35" t="s">
        <v>584</v>
      </c>
      <c r="D3637" s="35" t="s">
        <v>583</v>
      </c>
      <c r="E3637" s="36">
        <v>4</v>
      </c>
      <c r="F3637" s="53">
        <v>20.225499999999997</v>
      </c>
      <c r="G3637" s="53">
        <f t="shared" si="350"/>
        <v>80.901999999999987</v>
      </c>
      <c r="H3637" s="72"/>
      <c r="I3637" s="73"/>
      <c r="J3637" s="152">
        <v>0</v>
      </c>
      <c r="L3637" s="215">
        <v>4</v>
      </c>
      <c r="M3637" s="53">
        <v>17.313027999999996</v>
      </c>
      <c r="N3637" s="53">
        <f t="shared" si="351"/>
        <v>69.252111999999983</v>
      </c>
      <c r="O3637" s="72"/>
      <c r="P3637" s="36" t="str">
        <f t="shared" si="346"/>
        <v/>
      </c>
      <c r="Q3637" s="216">
        <f t="shared" si="347"/>
        <v>0.14400000000000013</v>
      </c>
      <c r="R3637" s="216">
        <f t="shared" si="348"/>
        <v>0.14400000000000013</v>
      </c>
      <c r="S3637" s="217" t="str">
        <f t="shared" si="349"/>
        <v/>
      </c>
    </row>
    <row r="3638" spans="1:19" ht="15.75" hidden="1" thickBot="1" x14ac:dyDescent="0.3">
      <c r="A3638" s="258"/>
      <c r="B3638" s="261"/>
      <c r="C3638" s="35"/>
      <c r="D3638" s="35"/>
      <c r="E3638" s="36"/>
      <c r="F3638" s="53" t="s">
        <v>416</v>
      </c>
      <c r="G3638" s="53" t="str">
        <f t="shared" si="350"/>
        <v/>
      </c>
      <c r="H3638" s="72"/>
      <c r="I3638" s="73"/>
      <c r="J3638" s="152">
        <v>0</v>
      </c>
      <c r="L3638" s="215"/>
      <c r="M3638" s="53"/>
      <c r="N3638" s="53" t="str">
        <f t="shared" si="351"/>
        <v/>
      </c>
      <c r="O3638" s="72"/>
      <c r="P3638" s="36" t="str">
        <f t="shared" si="346"/>
        <v/>
      </c>
      <c r="Q3638" s="216" t="str">
        <f t="shared" si="347"/>
        <v/>
      </c>
      <c r="R3638" s="216" t="str">
        <f t="shared" si="348"/>
        <v/>
      </c>
      <c r="S3638" s="217" t="str">
        <f t="shared" si="349"/>
        <v/>
      </c>
    </row>
    <row r="3639" spans="1:19" ht="15.75" hidden="1" thickBot="1" x14ac:dyDescent="0.3">
      <c r="A3639" s="256" t="s">
        <v>938</v>
      </c>
      <c r="B3639" s="259" t="str">
        <f>INDEX(Orçamentária!A:B,MATCH(Composições!A3639,Orçamentária!A:A,0),2)</f>
        <v>Transporte e destinação final de entulho para distâncias até 30 km</v>
      </c>
      <c r="C3639" s="40"/>
      <c r="D3639" s="25" t="s">
        <v>2528</v>
      </c>
      <c r="E3639" s="26"/>
      <c r="F3639" s="48" t="s">
        <v>416</v>
      </c>
      <c r="G3639" s="27" t="str">
        <f t="shared" si="350"/>
        <v/>
      </c>
      <c r="H3639" s="28"/>
      <c r="I3639" s="29"/>
      <c r="J3639" s="152">
        <v>0</v>
      </c>
      <c r="L3639" s="218"/>
      <c r="M3639" s="48"/>
      <c r="N3639" s="27" t="str">
        <f t="shared" si="351"/>
        <v/>
      </c>
      <c r="O3639" s="28"/>
      <c r="P3639" s="36" t="str">
        <f t="shared" si="346"/>
        <v/>
      </c>
      <c r="Q3639" s="216" t="str">
        <f t="shared" si="347"/>
        <v/>
      </c>
      <c r="R3639" s="216" t="str">
        <f t="shared" si="348"/>
        <v/>
      </c>
      <c r="S3639" s="217" t="str">
        <f t="shared" si="349"/>
        <v/>
      </c>
    </row>
    <row r="3640" spans="1:19" ht="15.75" hidden="1" thickBot="1" x14ac:dyDescent="0.3">
      <c r="A3640" s="257"/>
      <c r="B3640" s="260"/>
      <c r="C3640" s="31"/>
      <c r="D3640" s="31"/>
      <c r="E3640" s="32"/>
      <c r="F3640" s="53" t="s">
        <v>416</v>
      </c>
      <c r="G3640" s="53" t="str">
        <f t="shared" si="350"/>
        <v/>
      </c>
      <c r="H3640" s="72"/>
      <c r="I3640" s="73"/>
      <c r="J3640" s="152">
        <v>0</v>
      </c>
      <c r="L3640" s="219"/>
      <c r="M3640" s="53"/>
      <c r="N3640" s="53" t="str">
        <f t="shared" si="351"/>
        <v/>
      </c>
      <c r="O3640" s="72"/>
      <c r="P3640" s="36" t="str">
        <f t="shared" si="346"/>
        <v/>
      </c>
      <c r="Q3640" s="216" t="str">
        <f t="shared" si="347"/>
        <v/>
      </c>
      <c r="R3640" s="216" t="str">
        <f t="shared" si="348"/>
        <v/>
      </c>
      <c r="S3640" s="217" t="str">
        <f t="shared" si="349"/>
        <v/>
      </c>
    </row>
    <row r="3641" spans="1:19" ht="51.75" hidden="1" thickBot="1" x14ac:dyDescent="0.3">
      <c r="A3641" s="257"/>
      <c r="B3641" s="260"/>
      <c r="C3641" s="35" t="s">
        <v>939</v>
      </c>
      <c r="D3641" s="35" t="s">
        <v>813</v>
      </c>
      <c r="E3641" s="36">
        <v>1.3899999999999999E-2</v>
      </c>
      <c r="F3641" s="53">
        <v>169.09049999999999</v>
      </c>
      <c r="G3641" s="53">
        <f t="shared" si="350"/>
        <v>2.3503579499999998</v>
      </c>
      <c r="H3641" s="38">
        <f>SUM(G3641:G3642)</f>
        <v>2.6576449499999999</v>
      </c>
      <c r="I3641" s="39"/>
      <c r="J3641" s="152">
        <v>0</v>
      </c>
      <c r="L3641" s="215">
        <v>1.3899999999999999E-2</v>
      </c>
      <c r="M3641" s="53">
        <v>144.741468</v>
      </c>
      <c r="N3641" s="53">
        <f t="shared" si="351"/>
        <v>2.0119064052</v>
      </c>
      <c r="O3641" s="38">
        <f>SUM(N3641:N3642)</f>
        <v>2.2749440771999998</v>
      </c>
      <c r="P3641" s="36" t="str">
        <f t="shared" si="346"/>
        <v/>
      </c>
      <c r="Q3641" s="216">
        <f t="shared" si="347"/>
        <v>0.14400000000000002</v>
      </c>
      <c r="R3641" s="216">
        <f t="shared" si="348"/>
        <v>0.14399999999999991</v>
      </c>
      <c r="S3641" s="217">
        <f t="shared" si="349"/>
        <v>0.14400000000000002</v>
      </c>
    </row>
    <row r="3642" spans="1:19" ht="51.75" hidden="1" thickBot="1" x14ac:dyDescent="0.3">
      <c r="A3642" s="257"/>
      <c r="B3642" s="260"/>
      <c r="C3642" s="35" t="s">
        <v>940</v>
      </c>
      <c r="D3642" s="35" t="s">
        <v>815</v>
      </c>
      <c r="E3642" s="36">
        <v>6.0000000000000001E-3</v>
      </c>
      <c r="F3642" s="53">
        <v>51.214499999999994</v>
      </c>
      <c r="G3642" s="53">
        <f t="shared" si="350"/>
        <v>0.30728699999999998</v>
      </c>
      <c r="H3642" s="72"/>
      <c r="I3642" s="73"/>
      <c r="J3642" s="152">
        <v>0</v>
      </c>
      <c r="L3642" s="215">
        <v>6.0000000000000001E-3</v>
      </c>
      <c r="M3642" s="53">
        <v>43.839611999999995</v>
      </c>
      <c r="N3642" s="53">
        <f t="shared" si="351"/>
        <v>0.263037672</v>
      </c>
      <c r="O3642" s="72"/>
      <c r="P3642" s="36" t="str">
        <f t="shared" si="346"/>
        <v/>
      </c>
      <c r="Q3642" s="216">
        <f t="shared" si="347"/>
        <v>0.14400000000000002</v>
      </c>
      <c r="R3642" s="216">
        <f t="shared" si="348"/>
        <v>0.14399999999999991</v>
      </c>
      <c r="S3642" s="217" t="str">
        <f t="shared" si="349"/>
        <v/>
      </c>
    </row>
    <row r="3643" spans="1:19" ht="15.75" hidden="1" thickBot="1" x14ac:dyDescent="0.3">
      <c r="A3643" s="258"/>
      <c r="B3643" s="261"/>
      <c r="C3643" s="35"/>
      <c r="D3643" s="35"/>
      <c r="E3643" s="36"/>
      <c r="F3643" s="53" t="s">
        <v>416</v>
      </c>
      <c r="G3643" s="53" t="str">
        <f t="shared" si="350"/>
        <v/>
      </c>
      <c r="H3643" s="72"/>
      <c r="I3643" s="73"/>
      <c r="J3643" s="152">
        <v>0</v>
      </c>
      <c r="L3643" s="215"/>
      <c r="M3643" s="53"/>
      <c r="N3643" s="53" t="str">
        <f t="shared" si="351"/>
        <v/>
      </c>
      <c r="O3643" s="72"/>
      <c r="P3643" s="36" t="str">
        <f t="shared" si="346"/>
        <v/>
      </c>
      <c r="Q3643" s="216" t="str">
        <f t="shared" si="347"/>
        <v/>
      </c>
      <c r="R3643" s="216" t="str">
        <f t="shared" si="348"/>
        <v/>
      </c>
      <c r="S3643" s="217" t="str">
        <f t="shared" si="349"/>
        <v/>
      </c>
    </row>
    <row r="3644" spans="1:19" ht="15.75" hidden="1" thickBot="1" x14ac:dyDescent="0.3">
      <c r="A3644" s="256" t="s">
        <v>941</v>
      </c>
      <c r="B3644" s="259" t="str">
        <f>INDEX(Orçamentária!A:B,MATCH(Composições!A3644,Orçamentária!A:A,0),2)</f>
        <v>Demolição de estrutura metálica</v>
      </c>
      <c r="C3644" s="40"/>
      <c r="D3644" s="25" t="s">
        <v>28</v>
      </c>
      <c r="E3644" s="26"/>
      <c r="F3644" s="48" t="s">
        <v>416</v>
      </c>
      <c r="G3644" s="27" t="str">
        <f t="shared" si="350"/>
        <v/>
      </c>
      <c r="H3644" s="28"/>
      <c r="I3644" s="29"/>
      <c r="J3644" s="152">
        <v>0</v>
      </c>
      <c r="L3644" s="218"/>
      <c r="M3644" s="48"/>
      <c r="N3644" s="27" t="str">
        <f t="shared" si="351"/>
        <v/>
      </c>
      <c r="O3644" s="28"/>
      <c r="P3644" s="36" t="str">
        <f t="shared" si="346"/>
        <v/>
      </c>
      <c r="Q3644" s="216" t="str">
        <f t="shared" si="347"/>
        <v/>
      </c>
      <c r="R3644" s="216" t="str">
        <f t="shared" si="348"/>
        <v/>
      </c>
      <c r="S3644" s="217" t="str">
        <f t="shared" si="349"/>
        <v/>
      </c>
    </row>
    <row r="3645" spans="1:19" ht="15.75" hidden="1" thickBot="1" x14ac:dyDescent="0.3">
      <c r="A3645" s="257"/>
      <c r="B3645" s="260"/>
      <c r="C3645" s="31"/>
      <c r="D3645" s="31"/>
      <c r="E3645" s="32"/>
      <c r="F3645" s="53" t="s">
        <v>416</v>
      </c>
      <c r="G3645" s="53" t="str">
        <f t="shared" si="350"/>
        <v/>
      </c>
      <c r="H3645" s="72"/>
      <c r="I3645" s="73"/>
      <c r="J3645" s="152">
        <v>0</v>
      </c>
      <c r="L3645" s="219"/>
      <c r="M3645" s="53"/>
      <c r="N3645" s="53" t="str">
        <f t="shared" si="351"/>
        <v/>
      </c>
      <c r="O3645" s="72"/>
      <c r="P3645" s="36" t="str">
        <f t="shared" si="346"/>
        <v/>
      </c>
      <c r="Q3645" s="216" t="str">
        <f t="shared" si="347"/>
        <v/>
      </c>
      <c r="R3645" s="216" t="str">
        <f t="shared" si="348"/>
        <v/>
      </c>
      <c r="S3645" s="217" t="str">
        <f t="shared" si="349"/>
        <v/>
      </c>
    </row>
    <row r="3646" spans="1:19" ht="26.25" hidden="1" thickBot="1" x14ac:dyDescent="0.3">
      <c r="A3646" s="257"/>
      <c r="B3646" s="260"/>
      <c r="C3646" s="35" t="s">
        <v>98</v>
      </c>
      <c r="D3646" s="35" t="s">
        <v>87</v>
      </c>
      <c r="E3646" s="36">
        <v>2.1999999999999999E-2</v>
      </c>
      <c r="F3646" s="53">
        <v>14.0695</v>
      </c>
      <c r="G3646" s="53">
        <f t="shared" si="350"/>
        <v>0.309529</v>
      </c>
      <c r="H3646" s="38">
        <f>SUM(G3646:G3650)</f>
        <v>5.7235409999999991</v>
      </c>
      <c r="I3646" s="39"/>
      <c r="J3646" s="152">
        <v>0</v>
      </c>
      <c r="L3646" s="215">
        <v>2.1999999999999999E-2</v>
      </c>
      <c r="M3646" s="53">
        <v>12.043492000000001</v>
      </c>
      <c r="N3646" s="53">
        <f t="shared" si="351"/>
        <v>0.26495682399999998</v>
      </c>
      <c r="O3646" s="38">
        <f>SUM(N3646:N3650)</f>
        <v>4.8993510959999993</v>
      </c>
      <c r="P3646" s="36" t="str">
        <f t="shared" si="346"/>
        <v/>
      </c>
      <c r="Q3646" s="216">
        <f t="shared" si="347"/>
        <v>0.14399999999999991</v>
      </c>
      <c r="R3646" s="216">
        <f t="shared" si="348"/>
        <v>0.14400000000000002</v>
      </c>
      <c r="S3646" s="217">
        <f t="shared" si="349"/>
        <v>0.14400000000000002</v>
      </c>
    </row>
    <row r="3647" spans="1:19" ht="39" hidden="1" thickBot="1" x14ac:dyDescent="0.3">
      <c r="A3647" s="257"/>
      <c r="B3647" s="260"/>
      <c r="C3647" s="35" t="s">
        <v>7956</v>
      </c>
      <c r="D3647" s="35" t="s">
        <v>773</v>
      </c>
      <c r="E3647" s="36">
        <v>5.0000000000000001E-3</v>
      </c>
      <c r="F3647" s="53">
        <v>64.219999999999985</v>
      </c>
      <c r="G3647" s="53">
        <f t="shared" si="350"/>
        <v>0.32109999999999994</v>
      </c>
      <c r="H3647" s="72"/>
      <c r="I3647" s="73"/>
      <c r="J3647" s="152">
        <v>0</v>
      </c>
      <c r="L3647" s="215">
        <v>5.0000000000000001E-3</v>
      </c>
      <c r="M3647" s="53">
        <v>54.972319999999989</v>
      </c>
      <c r="N3647" s="53">
        <f t="shared" si="351"/>
        <v>0.27486159999999993</v>
      </c>
      <c r="O3647" s="72"/>
      <c r="P3647" s="36" t="str">
        <f t="shared" si="346"/>
        <v/>
      </c>
      <c r="Q3647" s="216">
        <f t="shared" si="347"/>
        <v>0.14400000000000002</v>
      </c>
      <c r="R3647" s="216">
        <f t="shared" si="348"/>
        <v>0.14400000000000002</v>
      </c>
      <c r="S3647" s="217" t="str">
        <f t="shared" si="349"/>
        <v/>
      </c>
    </row>
    <row r="3648" spans="1:19" ht="26.25" hidden="1" thickBot="1" x14ac:dyDescent="0.3">
      <c r="A3648" s="257"/>
      <c r="B3648" s="260"/>
      <c r="C3648" s="35" t="s">
        <v>942</v>
      </c>
      <c r="D3648" s="35" t="s">
        <v>813</v>
      </c>
      <c r="E3648" s="36">
        <f>E3649</f>
        <v>4.3999999999999997E-2</v>
      </c>
      <c r="F3648" s="53">
        <v>67.753999999999991</v>
      </c>
      <c r="G3648" s="53">
        <f t="shared" si="350"/>
        <v>2.9811759999999996</v>
      </c>
      <c r="H3648" s="72"/>
      <c r="I3648" s="73"/>
      <c r="J3648" s="152">
        <v>0</v>
      </c>
      <c r="L3648" s="215">
        <v>4.3999999999999997E-2</v>
      </c>
      <c r="M3648" s="53">
        <v>57.997423999999995</v>
      </c>
      <c r="N3648" s="53">
        <f t="shared" si="351"/>
        <v>2.5518866559999998</v>
      </c>
      <c r="O3648" s="72"/>
      <c r="P3648" s="36" t="str">
        <f t="shared" si="346"/>
        <v/>
      </c>
      <c r="Q3648" s="216">
        <f t="shared" si="347"/>
        <v>0.14399999999999991</v>
      </c>
      <c r="R3648" s="216">
        <f t="shared" si="348"/>
        <v>0.14400000000000002</v>
      </c>
      <c r="S3648" s="217" t="str">
        <f t="shared" si="349"/>
        <v/>
      </c>
    </row>
    <row r="3649" spans="1:19" ht="15.75" hidden="1" thickBot="1" x14ac:dyDescent="0.3">
      <c r="A3649" s="257"/>
      <c r="B3649" s="260"/>
      <c r="C3649" s="35" t="s">
        <v>2908</v>
      </c>
      <c r="D3649" s="35" t="s">
        <v>583</v>
      </c>
      <c r="E3649" s="36">
        <v>4.3999999999999997E-2</v>
      </c>
      <c r="F3649" s="53">
        <v>27.7685</v>
      </c>
      <c r="G3649" s="53">
        <f t="shared" si="350"/>
        <v>1.221814</v>
      </c>
      <c r="H3649" s="72"/>
      <c r="I3649" s="73"/>
      <c r="J3649" s="152">
        <v>0</v>
      </c>
      <c r="L3649" s="215">
        <v>4.3999999999999997E-2</v>
      </c>
      <c r="M3649" s="53">
        <v>23.769835999999998</v>
      </c>
      <c r="N3649" s="53">
        <f t="shared" si="351"/>
        <v>1.0458727839999999</v>
      </c>
      <c r="O3649" s="72"/>
      <c r="P3649" s="36" t="str">
        <f t="shared" si="346"/>
        <v/>
      </c>
      <c r="Q3649" s="216">
        <f t="shared" si="347"/>
        <v>0.14400000000000002</v>
      </c>
      <c r="R3649" s="216">
        <f t="shared" si="348"/>
        <v>0.14400000000000002</v>
      </c>
      <c r="S3649" s="217" t="str">
        <f t="shared" si="349"/>
        <v/>
      </c>
    </row>
    <row r="3650" spans="1:19" ht="15.75" hidden="1" thickBot="1" x14ac:dyDescent="0.3">
      <c r="A3650" s="257"/>
      <c r="B3650" s="260"/>
      <c r="C3650" s="35" t="s">
        <v>584</v>
      </c>
      <c r="D3650" s="35" t="s">
        <v>583</v>
      </c>
      <c r="E3650" s="36">
        <v>4.3999999999999997E-2</v>
      </c>
      <c r="F3650" s="53">
        <v>20.225499999999997</v>
      </c>
      <c r="G3650" s="53">
        <f t="shared" si="350"/>
        <v>0.88992199999999977</v>
      </c>
      <c r="H3650" s="72"/>
      <c r="I3650" s="73"/>
      <c r="J3650" s="152">
        <v>0</v>
      </c>
      <c r="L3650" s="215">
        <v>4.3999999999999997E-2</v>
      </c>
      <c r="M3650" s="53">
        <v>17.313027999999996</v>
      </c>
      <c r="N3650" s="53">
        <f t="shared" si="351"/>
        <v>0.7617732319999998</v>
      </c>
      <c r="O3650" s="72"/>
      <c r="P3650" s="36" t="str">
        <f t="shared" si="346"/>
        <v/>
      </c>
      <c r="Q3650" s="216">
        <f t="shared" si="347"/>
        <v>0.14400000000000013</v>
      </c>
      <c r="R3650" s="216">
        <f t="shared" si="348"/>
        <v>0.14400000000000002</v>
      </c>
      <c r="S3650" s="217" t="str">
        <f t="shared" si="349"/>
        <v/>
      </c>
    </row>
    <row r="3651" spans="1:19" ht="15.75" hidden="1" thickBot="1" x14ac:dyDescent="0.3">
      <c r="A3651" s="258"/>
      <c r="B3651" s="261"/>
      <c r="C3651" s="35"/>
      <c r="D3651" s="35"/>
      <c r="E3651" s="36"/>
      <c r="F3651" s="53" t="s">
        <v>416</v>
      </c>
      <c r="G3651" s="53" t="str">
        <f t="shared" si="350"/>
        <v/>
      </c>
      <c r="H3651" s="72"/>
      <c r="I3651" s="73"/>
      <c r="J3651" s="152">
        <v>0</v>
      </c>
      <c r="L3651" s="215"/>
      <c r="M3651" s="53"/>
      <c r="N3651" s="53" t="str">
        <f t="shared" si="351"/>
        <v/>
      </c>
      <c r="O3651" s="72"/>
      <c r="P3651" s="36" t="str">
        <f t="shared" si="346"/>
        <v/>
      </c>
      <c r="Q3651" s="216" t="str">
        <f t="shared" si="347"/>
        <v/>
      </c>
      <c r="R3651" s="216" t="str">
        <f t="shared" si="348"/>
        <v/>
      </c>
      <c r="S3651" s="217" t="str">
        <f t="shared" si="349"/>
        <v/>
      </c>
    </row>
    <row r="3652" spans="1:19" ht="15.75" hidden="1" thickBot="1" x14ac:dyDescent="0.3">
      <c r="A3652" s="256" t="s">
        <v>943</v>
      </c>
      <c r="B3652" s="259" t="str">
        <f>INDEX(Orçamentária!A:B,MATCH(Composições!A3652,Orçamentária!A:A,0),2)</f>
        <v>Escavação manual com profundidade maior do que 1,30 m</v>
      </c>
      <c r="C3652" s="40"/>
      <c r="D3652" s="25" t="s">
        <v>80</v>
      </c>
      <c r="E3652" s="26"/>
      <c r="F3652" s="48" t="s">
        <v>416</v>
      </c>
      <c r="G3652" s="27" t="str">
        <f t="shared" si="350"/>
        <v/>
      </c>
      <c r="H3652" s="28"/>
      <c r="I3652" s="29"/>
      <c r="J3652" s="152">
        <v>0</v>
      </c>
      <c r="L3652" s="218"/>
      <c r="M3652" s="48"/>
      <c r="N3652" s="27" t="str">
        <f t="shared" si="351"/>
        <v/>
      </c>
      <c r="O3652" s="28"/>
      <c r="P3652" s="36" t="str">
        <f t="shared" si="346"/>
        <v/>
      </c>
      <c r="Q3652" s="216" t="str">
        <f t="shared" si="347"/>
        <v/>
      </c>
      <c r="R3652" s="216" t="str">
        <f t="shared" si="348"/>
        <v/>
      </c>
      <c r="S3652" s="217" t="str">
        <f t="shared" si="349"/>
        <v/>
      </c>
    </row>
    <row r="3653" spans="1:19" ht="15.75" hidden="1" thickBot="1" x14ac:dyDescent="0.3">
      <c r="A3653" s="257"/>
      <c r="B3653" s="260"/>
      <c r="C3653" s="31"/>
      <c r="D3653" s="31"/>
      <c r="E3653" s="32"/>
      <c r="F3653" s="53" t="s">
        <v>416</v>
      </c>
      <c r="G3653" s="53" t="str">
        <f t="shared" si="350"/>
        <v/>
      </c>
      <c r="H3653" s="72"/>
      <c r="I3653" s="73"/>
      <c r="J3653" s="152">
        <v>0</v>
      </c>
      <c r="L3653" s="219"/>
      <c r="M3653" s="53"/>
      <c r="N3653" s="53" t="str">
        <f t="shared" si="351"/>
        <v/>
      </c>
      <c r="O3653" s="72"/>
      <c r="P3653" s="36" t="str">
        <f t="shared" si="346"/>
        <v/>
      </c>
      <c r="Q3653" s="216" t="str">
        <f t="shared" si="347"/>
        <v/>
      </c>
      <c r="R3653" s="216" t="str">
        <f t="shared" si="348"/>
        <v/>
      </c>
      <c r="S3653" s="217" t="str">
        <f t="shared" si="349"/>
        <v/>
      </c>
    </row>
    <row r="3654" spans="1:19" ht="15.75" hidden="1" thickBot="1" x14ac:dyDescent="0.3">
      <c r="A3654" s="257"/>
      <c r="B3654" s="260"/>
      <c r="C3654" s="35" t="s">
        <v>584</v>
      </c>
      <c r="D3654" s="35" t="s">
        <v>583</v>
      </c>
      <c r="E3654" s="36">
        <v>4.3</v>
      </c>
      <c r="F3654" s="53">
        <v>20.225499999999997</v>
      </c>
      <c r="G3654" s="53">
        <f t="shared" si="350"/>
        <v>86.969649999999987</v>
      </c>
      <c r="H3654" s="38">
        <f>SUM(G3654:G3654)</f>
        <v>86.969649999999987</v>
      </c>
      <c r="I3654" s="39"/>
      <c r="J3654" s="152">
        <v>0</v>
      </c>
      <c r="L3654" s="215">
        <v>4.3</v>
      </c>
      <c r="M3654" s="53">
        <v>17.313027999999996</v>
      </c>
      <c r="N3654" s="53">
        <f t="shared" si="351"/>
        <v>74.446020399999981</v>
      </c>
      <c r="O3654" s="38">
        <f>SUM(N3654:N3654)</f>
        <v>74.446020399999981</v>
      </c>
      <c r="P3654" s="36" t="str">
        <f t="shared" si="346"/>
        <v/>
      </c>
      <c r="Q3654" s="216">
        <f t="shared" si="347"/>
        <v>0.14400000000000013</v>
      </c>
      <c r="R3654" s="216">
        <f t="shared" si="348"/>
        <v>0.14400000000000013</v>
      </c>
      <c r="S3654" s="217">
        <f t="shared" si="349"/>
        <v>0.14400000000000013</v>
      </c>
    </row>
    <row r="3655" spans="1:19" ht="15.75" hidden="1" thickBot="1" x14ac:dyDescent="0.3">
      <c r="A3655" s="258"/>
      <c r="B3655" s="261"/>
      <c r="C3655" s="35"/>
      <c r="D3655" s="35"/>
      <c r="E3655" s="36"/>
      <c r="F3655" s="53" t="s">
        <v>416</v>
      </c>
      <c r="G3655" s="53" t="str">
        <f t="shared" si="350"/>
        <v/>
      </c>
      <c r="H3655" s="72"/>
      <c r="I3655" s="73"/>
      <c r="J3655" s="152">
        <v>0</v>
      </c>
      <c r="L3655" s="215"/>
      <c r="M3655" s="53"/>
      <c r="N3655" s="53" t="str">
        <f t="shared" si="351"/>
        <v/>
      </c>
      <c r="O3655" s="72"/>
      <c r="P3655" s="36" t="str">
        <f t="shared" si="346"/>
        <v/>
      </c>
      <c r="Q3655" s="216" t="str">
        <f t="shared" si="347"/>
        <v/>
      </c>
      <c r="R3655" s="216" t="str">
        <f t="shared" si="348"/>
        <v/>
      </c>
      <c r="S3655" s="217" t="str">
        <f t="shared" si="349"/>
        <v/>
      </c>
    </row>
    <row r="3656" spans="1:19" ht="15.75" hidden="1" thickBot="1" x14ac:dyDescent="0.3">
      <c r="A3656" s="256" t="s">
        <v>944</v>
      </c>
      <c r="B3656" s="259" t="str">
        <f>INDEX(Orçamentária!A:B,MATCH(Composições!A3656,Orçamentária!A:A,0),2)</f>
        <v>Escavação mecânica com profundidade maior do que 1,30 m</v>
      </c>
      <c r="C3656" s="40"/>
      <c r="D3656" s="25" t="s">
        <v>80</v>
      </c>
      <c r="E3656" s="26"/>
      <c r="F3656" s="48" t="s">
        <v>416</v>
      </c>
      <c r="G3656" s="27" t="str">
        <f t="shared" si="350"/>
        <v/>
      </c>
      <c r="H3656" s="28"/>
      <c r="I3656" s="29"/>
      <c r="J3656" s="152">
        <v>0</v>
      </c>
      <c r="L3656" s="218"/>
      <c r="M3656" s="48"/>
      <c r="N3656" s="27" t="str">
        <f t="shared" si="351"/>
        <v/>
      </c>
      <c r="O3656" s="28"/>
      <c r="P3656" s="36" t="str">
        <f t="shared" ref="P3656:P3719" si="352">IF(ISBLANK(L3656),"",IF($E3656&lt;&gt;L3656,"SIM",""))</f>
        <v/>
      </c>
      <c r="Q3656" s="216" t="str">
        <f t="shared" ref="Q3656:Q3719" si="353">IF(M3656="","",1-M3656/$F3656)</f>
        <v/>
      </c>
      <c r="R3656" s="216" t="str">
        <f t="shared" ref="R3656:R3719" si="354">IF(N3656="","",1-N3656/$G3656)</f>
        <v/>
      </c>
      <c r="S3656" s="217" t="str">
        <f t="shared" ref="S3656:S3719" si="355">IF(O3656="","",1-O3656/$H3656)</f>
        <v/>
      </c>
    </row>
    <row r="3657" spans="1:19" ht="15.75" hidden="1" thickBot="1" x14ac:dyDescent="0.3">
      <c r="A3657" s="257"/>
      <c r="B3657" s="260"/>
      <c r="C3657" s="31"/>
      <c r="D3657" s="31"/>
      <c r="E3657" s="32"/>
      <c r="F3657" s="53" t="s">
        <v>416</v>
      </c>
      <c r="G3657" s="53" t="str">
        <f t="shared" si="350"/>
        <v/>
      </c>
      <c r="H3657" s="72"/>
      <c r="I3657" s="73"/>
      <c r="J3657" s="152">
        <v>0</v>
      </c>
      <c r="L3657" s="219"/>
      <c r="M3657" s="53"/>
      <c r="N3657" s="53" t="str">
        <f t="shared" si="351"/>
        <v/>
      </c>
      <c r="O3657" s="72"/>
      <c r="P3657" s="36" t="str">
        <f t="shared" si="352"/>
        <v/>
      </c>
      <c r="Q3657" s="216" t="str">
        <f t="shared" si="353"/>
        <v/>
      </c>
      <c r="R3657" s="216" t="str">
        <f t="shared" si="354"/>
        <v/>
      </c>
      <c r="S3657" s="217" t="str">
        <f t="shared" si="355"/>
        <v/>
      </c>
    </row>
    <row r="3658" spans="1:19" ht="64.5" hidden="1" thickBot="1" x14ac:dyDescent="0.3">
      <c r="A3658" s="257"/>
      <c r="B3658" s="260"/>
      <c r="C3658" s="35" t="s">
        <v>2863</v>
      </c>
      <c r="D3658" s="35" t="s">
        <v>813</v>
      </c>
      <c r="E3658" s="36">
        <v>2.4799999999999999E-2</v>
      </c>
      <c r="F3658" s="53">
        <v>134.55799999999999</v>
      </c>
      <c r="G3658" s="53">
        <f t="shared" si="350"/>
        <v>3.3370383999999995</v>
      </c>
      <c r="H3658" s="38">
        <f>SUM(G3658:G3660)</f>
        <v>6.0681392499999998</v>
      </c>
      <c r="I3658" s="39"/>
      <c r="J3658" s="152">
        <v>0</v>
      </c>
      <c r="L3658" s="215">
        <v>2.4799999999999999E-2</v>
      </c>
      <c r="M3658" s="53">
        <v>115.181648</v>
      </c>
      <c r="N3658" s="53">
        <f t="shared" si="351"/>
        <v>2.8565048703999998</v>
      </c>
      <c r="O3658" s="38">
        <f>SUM(N3658:N3660)</f>
        <v>5.1943271979999999</v>
      </c>
      <c r="P3658" s="36" t="str">
        <f t="shared" si="352"/>
        <v/>
      </c>
      <c r="Q3658" s="216">
        <f t="shared" si="353"/>
        <v>0.14400000000000002</v>
      </c>
      <c r="R3658" s="216">
        <f t="shared" si="354"/>
        <v>0.14399999999999991</v>
      </c>
      <c r="S3658" s="217">
        <f t="shared" si="355"/>
        <v>0.14400000000000002</v>
      </c>
    </row>
    <row r="3659" spans="1:19" ht="64.5" hidden="1" thickBot="1" x14ac:dyDescent="0.3">
      <c r="A3659" s="257"/>
      <c r="B3659" s="260"/>
      <c r="C3659" s="35" t="s">
        <v>2870</v>
      </c>
      <c r="D3659" s="35" t="s">
        <v>815</v>
      </c>
      <c r="E3659" s="36">
        <v>2.9899999999999999E-2</v>
      </c>
      <c r="F3659" s="53">
        <v>54.34</v>
      </c>
      <c r="G3659" s="53">
        <f t="shared" si="350"/>
        <v>1.6247660000000002</v>
      </c>
      <c r="H3659" s="72"/>
      <c r="I3659" s="73"/>
      <c r="J3659" s="152">
        <v>0</v>
      </c>
      <c r="L3659" s="215">
        <v>2.9899999999999999E-2</v>
      </c>
      <c r="M3659" s="53">
        <v>46.515040000000006</v>
      </c>
      <c r="N3659" s="53">
        <f t="shared" si="351"/>
        <v>1.3907996960000002</v>
      </c>
      <c r="O3659" s="72"/>
      <c r="P3659" s="36" t="str">
        <f t="shared" si="352"/>
        <v/>
      </c>
      <c r="Q3659" s="216">
        <f t="shared" si="353"/>
        <v>0.14399999999999991</v>
      </c>
      <c r="R3659" s="216">
        <f t="shared" si="354"/>
        <v>0.14399999999999991</v>
      </c>
      <c r="S3659" s="217" t="str">
        <f t="shared" si="355"/>
        <v/>
      </c>
    </row>
    <row r="3660" spans="1:19" ht="15.75" hidden="1" thickBot="1" x14ac:dyDescent="0.3">
      <c r="A3660" s="257"/>
      <c r="B3660" s="260"/>
      <c r="C3660" s="35" t="s">
        <v>584</v>
      </c>
      <c r="D3660" s="35" t="s">
        <v>583</v>
      </c>
      <c r="E3660" s="36">
        <v>5.4699999999999999E-2</v>
      </c>
      <c r="F3660" s="53">
        <v>20.225499999999997</v>
      </c>
      <c r="G3660" s="53">
        <f t="shared" si="350"/>
        <v>1.1063348499999999</v>
      </c>
      <c r="H3660" s="72"/>
      <c r="I3660" s="73"/>
      <c r="J3660" s="152">
        <v>0</v>
      </c>
      <c r="L3660" s="215">
        <v>5.4699999999999999E-2</v>
      </c>
      <c r="M3660" s="53">
        <v>17.313027999999996</v>
      </c>
      <c r="N3660" s="53">
        <f t="shared" si="351"/>
        <v>0.94702263159999978</v>
      </c>
      <c r="O3660" s="72"/>
      <c r="P3660" s="36" t="str">
        <f t="shared" si="352"/>
        <v/>
      </c>
      <c r="Q3660" s="216">
        <f t="shared" si="353"/>
        <v>0.14400000000000013</v>
      </c>
      <c r="R3660" s="216">
        <f t="shared" si="354"/>
        <v>0.14400000000000013</v>
      </c>
      <c r="S3660" s="217" t="str">
        <f t="shared" si="355"/>
        <v/>
      </c>
    </row>
    <row r="3661" spans="1:19" ht="15.75" hidden="1" thickBot="1" x14ac:dyDescent="0.3">
      <c r="A3661" s="258"/>
      <c r="B3661" s="261"/>
      <c r="C3661" s="74"/>
      <c r="D3661" s="35"/>
      <c r="E3661" s="36"/>
      <c r="F3661" s="53" t="s">
        <v>416</v>
      </c>
      <c r="G3661" s="53" t="str">
        <f t="shared" si="350"/>
        <v/>
      </c>
      <c r="H3661" s="72"/>
      <c r="I3661" s="73"/>
      <c r="J3661" s="152">
        <v>0</v>
      </c>
      <c r="L3661" s="215"/>
      <c r="M3661" s="53"/>
      <c r="N3661" s="53" t="str">
        <f t="shared" si="351"/>
        <v/>
      </c>
      <c r="O3661" s="72"/>
      <c r="P3661" s="36" t="str">
        <f t="shared" si="352"/>
        <v/>
      </c>
      <c r="Q3661" s="216" t="str">
        <f t="shared" si="353"/>
        <v/>
      </c>
      <c r="R3661" s="216" t="str">
        <f t="shared" si="354"/>
        <v/>
      </c>
      <c r="S3661" s="217" t="str">
        <f t="shared" si="355"/>
        <v/>
      </c>
    </row>
    <row r="3662" spans="1:19" ht="15.75" hidden="1" thickBot="1" x14ac:dyDescent="0.3">
      <c r="A3662" s="256" t="s">
        <v>945</v>
      </c>
      <c r="B3662" s="259" t="str">
        <f>INDEX(Orçamentária!A:B,MATCH(Composições!A3662,Orçamentária!A:A,0),2)</f>
        <v>Grama Batatais em placas de 40 x 40 cm</v>
      </c>
      <c r="C3662" s="40"/>
      <c r="D3662" s="25" t="s">
        <v>70</v>
      </c>
      <c r="E3662" s="26"/>
      <c r="F3662" s="48" t="s">
        <v>416</v>
      </c>
      <c r="G3662" s="27" t="str">
        <f t="shared" si="350"/>
        <v/>
      </c>
      <c r="H3662" s="28"/>
      <c r="I3662" s="29"/>
      <c r="J3662" s="152">
        <v>0</v>
      </c>
      <c r="L3662" s="218"/>
      <c r="M3662" s="48"/>
      <c r="N3662" s="27" t="str">
        <f t="shared" si="351"/>
        <v/>
      </c>
      <c r="O3662" s="28"/>
      <c r="P3662" s="36" t="str">
        <f t="shared" si="352"/>
        <v/>
      </c>
      <c r="Q3662" s="216" t="str">
        <f t="shared" si="353"/>
        <v/>
      </c>
      <c r="R3662" s="216" t="str">
        <f t="shared" si="354"/>
        <v/>
      </c>
      <c r="S3662" s="217" t="str">
        <f t="shared" si="355"/>
        <v/>
      </c>
    </row>
    <row r="3663" spans="1:19" ht="15.75" hidden="1" thickBot="1" x14ac:dyDescent="0.3">
      <c r="A3663" s="262"/>
      <c r="B3663" s="260"/>
      <c r="C3663" s="31"/>
      <c r="D3663" s="31"/>
      <c r="E3663" s="32"/>
      <c r="F3663" s="53" t="s">
        <v>416</v>
      </c>
      <c r="G3663" s="53" t="str">
        <f t="shared" si="350"/>
        <v/>
      </c>
      <c r="H3663" s="72"/>
      <c r="I3663" s="73"/>
      <c r="J3663" s="152">
        <v>0</v>
      </c>
      <c r="L3663" s="219"/>
      <c r="M3663" s="53"/>
      <c r="N3663" s="53" t="str">
        <f t="shared" si="351"/>
        <v/>
      </c>
      <c r="O3663" s="72"/>
      <c r="P3663" s="36" t="str">
        <f t="shared" si="352"/>
        <v/>
      </c>
      <c r="Q3663" s="216" t="str">
        <f t="shared" si="353"/>
        <v/>
      </c>
      <c r="R3663" s="216" t="str">
        <f t="shared" si="354"/>
        <v/>
      </c>
      <c r="S3663" s="217" t="str">
        <f t="shared" si="355"/>
        <v/>
      </c>
    </row>
    <row r="3664" spans="1:19" ht="15.75" hidden="1" thickBot="1" x14ac:dyDescent="0.3">
      <c r="A3664" s="262"/>
      <c r="B3664" s="260"/>
      <c r="C3664" s="35" t="s">
        <v>946</v>
      </c>
      <c r="D3664" s="35" t="s">
        <v>861</v>
      </c>
      <c r="E3664" s="36">
        <v>1</v>
      </c>
      <c r="F3664" s="53">
        <v>10.307499999999999</v>
      </c>
      <c r="G3664" s="53">
        <f t="shared" si="350"/>
        <v>10.307499999999999</v>
      </c>
      <c r="H3664" s="38">
        <f>SUM(G3664:G3674)</f>
        <v>60.054888284745992</v>
      </c>
      <c r="I3664" s="39"/>
      <c r="J3664" s="152">
        <v>0</v>
      </c>
      <c r="L3664" s="215">
        <v>1</v>
      </c>
      <c r="M3664" s="53">
        <v>8.8232199999999992</v>
      </c>
      <c r="N3664" s="53">
        <f t="shared" si="351"/>
        <v>8.8232199999999992</v>
      </c>
      <c r="O3664" s="38">
        <f>SUM(N3664:N3674)</f>
        <v>51.406984371742567</v>
      </c>
      <c r="P3664" s="36" t="str">
        <f t="shared" si="352"/>
        <v/>
      </c>
      <c r="Q3664" s="216">
        <f t="shared" si="353"/>
        <v>0.14400000000000002</v>
      </c>
      <c r="R3664" s="216">
        <f t="shared" si="354"/>
        <v>0.14400000000000002</v>
      </c>
      <c r="S3664" s="217">
        <f t="shared" si="355"/>
        <v>0.14400000000000002</v>
      </c>
    </row>
    <row r="3665" spans="1:19" ht="15.75" hidden="1" thickBot="1" x14ac:dyDescent="0.3">
      <c r="A3665" s="262"/>
      <c r="B3665" s="260"/>
      <c r="C3665" s="35" t="s">
        <v>584</v>
      </c>
      <c r="D3665" s="35" t="s">
        <v>583</v>
      </c>
      <c r="E3665" s="36">
        <v>0.15640000000000001</v>
      </c>
      <c r="F3665" s="53">
        <v>20.225499999999997</v>
      </c>
      <c r="G3665" s="53">
        <f t="shared" si="350"/>
        <v>3.1632681999999996</v>
      </c>
      <c r="H3665" s="72"/>
      <c r="I3665" s="73"/>
      <c r="J3665" s="152">
        <v>0</v>
      </c>
      <c r="L3665" s="215">
        <v>0.15640000000000001</v>
      </c>
      <c r="M3665" s="53">
        <v>17.313027999999996</v>
      </c>
      <c r="N3665" s="53">
        <f t="shared" si="351"/>
        <v>2.7077575791999995</v>
      </c>
      <c r="O3665" s="72"/>
      <c r="P3665" s="36" t="str">
        <f t="shared" si="352"/>
        <v/>
      </c>
      <c r="Q3665" s="216">
        <f t="shared" si="353"/>
        <v>0.14400000000000013</v>
      </c>
      <c r="R3665" s="216">
        <f t="shared" si="354"/>
        <v>0.14400000000000002</v>
      </c>
      <c r="S3665" s="217" t="str">
        <f t="shared" si="355"/>
        <v/>
      </c>
    </row>
    <row r="3666" spans="1:19" ht="15.75" hidden="1" thickBot="1" x14ac:dyDescent="0.3">
      <c r="A3666" s="262"/>
      <c r="B3666" s="260"/>
      <c r="C3666" s="35" t="s">
        <v>947</v>
      </c>
      <c r="D3666" s="35" t="s">
        <v>583</v>
      </c>
      <c r="E3666" s="36">
        <v>3.9100000000000003E-2</v>
      </c>
      <c r="F3666" s="53">
        <v>21.384499999999999</v>
      </c>
      <c r="G3666" s="53">
        <f t="shared" si="350"/>
        <v>0.83613395000000001</v>
      </c>
      <c r="H3666" s="72"/>
      <c r="I3666" s="73"/>
      <c r="J3666" s="152">
        <v>0</v>
      </c>
      <c r="L3666" s="215">
        <v>3.9100000000000003E-2</v>
      </c>
      <c r="M3666" s="53">
        <v>18.305132</v>
      </c>
      <c r="N3666" s="53">
        <f t="shared" si="351"/>
        <v>0.71573066120000006</v>
      </c>
      <c r="O3666" s="72"/>
      <c r="P3666" s="36" t="str">
        <f t="shared" si="352"/>
        <v/>
      </c>
      <c r="Q3666" s="216">
        <f t="shared" si="353"/>
        <v>0.14399999999999991</v>
      </c>
      <c r="R3666" s="216">
        <f t="shared" si="354"/>
        <v>0.14399999999999991</v>
      </c>
      <c r="S3666" s="217" t="str">
        <f t="shared" si="355"/>
        <v/>
      </c>
    </row>
    <row r="3667" spans="1:19" ht="15.75" hidden="1" thickBot="1" x14ac:dyDescent="0.3">
      <c r="A3667" s="262"/>
      <c r="B3667" s="260"/>
      <c r="C3667" s="35" t="s">
        <v>584</v>
      </c>
      <c r="D3667" s="35" t="s">
        <v>583</v>
      </c>
      <c r="E3667" s="36">
        <f>1.6*0.25</f>
        <v>0.4</v>
      </c>
      <c r="F3667" s="53">
        <v>20.225499999999997</v>
      </c>
      <c r="G3667" s="53">
        <f t="shared" si="350"/>
        <v>8.0901999999999994</v>
      </c>
      <c r="H3667" s="72"/>
      <c r="I3667" s="73"/>
      <c r="J3667" s="152">
        <v>0</v>
      </c>
      <c r="L3667" s="215">
        <v>0.4</v>
      </c>
      <c r="M3667" s="53">
        <v>17.313027999999996</v>
      </c>
      <c r="N3667" s="53">
        <f t="shared" si="351"/>
        <v>6.9252111999999988</v>
      </c>
      <c r="O3667" s="72"/>
      <c r="P3667" s="36" t="str">
        <f t="shared" si="352"/>
        <v/>
      </c>
      <c r="Q3667" s="216">
        <f t="shared" si="353"/>
        <v>0.14400000000000013</v>
      </c>
      <c r="R3667" s="216">
        <f t="shared" si="354"/>
        <v>0.14400000000000013</v>
      </c>
      <c r="S3667" s="217" t="str">
        <f t="shared" si="355"/>
        <v/>
      </c>
    </row>
    <row r="3668" spans="1:19" ht="26.25" hidden="1" thickBot="1" x14ac:dyDescent="0.3">
      <c r="A3668" s="262"/>
      <c r="B3668" s="260"/>
      <c r="C3668" s="35" t="s">
        <v>948</v>
      </c>
      <c r="D3668" s="35" t="s">
        <v>773</v>
      </c>
      <c r="E3668" s="36">
        <f>1*0.25</f>
        <v>0.25</v>
      </c>
      <c r="F3668" s="53">
        <v>0.26600000000000001</v>
      </c>
      <c r="G3668" s="53">
        <f t="shared" si="350"/>
        <v>6.6500000000000004E-2</v>
      </c>
      <c r="H3668" s="72"/>
      <c r="I3668" s="73"/>
      <c r="J3668" s="152">
        <v>0</v>
      </c>
      <c r="L3668" s="215">
        <v>0.25</v>
      </c>
      <c r="M3668" s="53">
        <v>0.22769600000000001</v>
      </c>
      <c r="N3668" s="53">
        <f t="shared" si="351"/>
        <v>5.6924000000000002E-2</v>
      </c>
      <c r="O3668" s="72"/>
      <c r="P3668" s="36" t="str">
        <f t="shared" si="352"/>
        <v/>
      </c>
      <c r="Q3668" s="216">
        <f t="shared" si="353"/>
        <v>0.14400000000000002</v>
      </c>
      <c r="R3668" s="216">
        <f t="shared" si="354"/>
        <v>0.14400000000000002</v>
      </c>
      <c r="S3668" s="217" t="str">
        <f t="shared" si="355"/>
        <v/>
      </c>
    </row>
    <row r="3669" spans="1:19" ht="15.75" hidden="1" thickBot="1" x14ac:dyDescent="0.3">
      <c r="A3669" s="262"/>
      <c r="B3669" s="260"/>
      <c r="C3669" s="35" t="s">
        <v>949</v>
      </c>
      <c r="D3669" s="35" t="s">
        <v>87</v>
      </c>
      <c r="E3669" s="36">
        <f>0.9*0.25</f>
        <v>0.22500000000000001</v>
      </c>
      <c r="F3669" s="53">
        <v>162.84899999999999</v>
      </c>
      <c r="G3669" s="53">
        <f t="shared" si="350"/>
        <v>36.641024999999999</v>
      </c>
      <c r="H3669" s="72"/>
      <c r="I3669" s="73"/>
      <c r="J3669" s="152">
        <v>0</v>
      </c>
      <c r="L3669" s="215">
        <v>0.22500000000000001</v>
      </c>
      <c r="M3669" s="53">
        <v>139.39874399999999</v>
      </c>
      <c r="N3669" s="53">
        <f t="shared" si="351"/>
        <v>31.3647174</v>
      </c>
      <c r="O3669" s="72"/>
      <c r="P3669" s="36" t="str">
        <f t="shared" si="352"/>
        <v/>
      </c>
      <c r="Q3669" s="216">
        <f t="shared" si="353"/>
        <v>0.14400000000000002</v>
      </c>
      <c r="R3669" s="216">
        <f t="shared" si="354"/>
        <v>0.14400000000000002</v>
      </c>
      <c r="S3669" s="217" t="str">
        <f t="shared" si="355"/>
        <v/>
      </c>
    </row>
    <row r="3670" spans="1:19" ht="15.75" hidden="1" thickBot="1" x14ac:dyDescent="0.3">
      <c r="A3670" s="262"/>
      <c r="B3670" s="260"/>
      <c r="C3670" s="35" t="s">
        <v>950</v>
      </c>
      <c r="D3670" s="35" t="s">
        <v>773</v>
      </c>
      <c r="E3670" s="36">
        <f>1*0.25</f>
        <v>0.25</v>
      </c>
      <c r="F3670" s="53">
        <v>3.6289999999999996</v>
      </c>
      <c r="G3670" s="53">
        <f t="shared" si="350"/>
        <v>0.90724999999999989</v>
      </c>
      <c r="H3670" s="72"/>
      <c r="I3670" s="73"/>
      <c r="J3670" s="152">
        <v>0</v>
      </c>
      <c r="L3670" s="215">
        <v>0.25</v>
      </c>
      <c r="M3670" s="53">
        <v>3.1064239999999996</v>
      </c>
      <c r="N3670" s="53">
        <f t="shared" si="351"/>
        <v>0.77660599999999991</v>
      </c>
      <c r="O3670" s="72"/>
      <c r="P3670" s="36" t="str">
        <f t="shared" si="352"/>
        <v/>
      </c>
      <c r="Q3670" s="216">
        <f t="shared" si="353"/>
        <v>0.14400000000000002</v>
      </c>
      <c r="R3670" s="216">
        <f t="shared" si="354"/>
        <v>0.14400000000000002</v>
      </c>
      <c r="S3670" s="217" t="str">
        <f t="shared" si="355"/>
        <v/>
      </c>
    </row>
    <row r="3671" spans="1:19" ht="15.75" hidden="1" thickBot="1" x14ac:dyDescent="0.3">
      <c r="A3671" s="262"/>
      <c r="B3671" s="260"/>
      <c r="C3671" s="35" t="s">
        <v>951</v>
      </c>
      <c r="D3671" s="35" t="s">
        <v>773</v>
      </c>
      <c r="E3671" s="36">
        <f>0.1*0.25</f>
        <v>2.5000000000000001E-2</v>
      </c>
      <c r="F3671" s="53">
        <v>1.3015000000000001</v>
      </c>
      <c r="G3671" s="53">
        <f t="shared" si="350"/>
        <v>3.2537500000000004E-2</v>
      </c>
      <c r="H3671" s="72"/>
      <c r="I3671" s="73"/>
      <c r="J3671" s="152">
        <v>0</v>
      </c>
      <c r="L3671" s="215">
        <v>2.5000000000000001E-2</v>
      </c>
      <c r="M3671" s="53">
        <v>1.1140840000000001</v>
      </c>
      <c r="N3671" s="53">
        <f t="shared" si="351"/>
        <v>2.7852100000000005E-2</v>
      </c>
      <c r="O3671" s="72"/>
      <c r="P3671" s="36" t="str">
        <f t="shared" si="352"/>
        <v/>
      </c>
      <c r="Q3671" s="216">
        <f t="shared" si="353"/>
        <v>0.14400000000000002</v>
      </c>
      <c r="R3671" s="216">
        <f t="shared" si="354"/>
        <v>0.14399999999999991</v>
      </c>
      <c r="S3671" s="217" t="str">
        <f t="shared" si="355"/>
        <v/>
      </c>
    </row>
    <row r="3672" spans="1:19" ht="39" hidden="1" thickBot="1" x14ac:dyDescent="0.3">
      <c r="A3672" s="262"/>
      <c r="B3672" s="260"/>
      <c r="C3672" s="35" t="s">
        <v>86</v>
      </c>
      <c r="D3672" s="35" t="s">
        <v>952</v>
      </c>
      <c r="E3672" s="36">
        <f>ROUND(1*E3668/1000,4)</f>
        <v>2.9999999999999997E-4</v>
      </c>
      <c r="F3672" s="33">
        <v>5.2887883200000001</v>
      </c>
      <c r="G3672" s="33">
        <f t="shared" si="350"/>
        <v>1.586636496E-3</v>
      </c>
      <c r="H3672" s="34"/>
      <c r="I3672" s="30"/>
      <c r="J3672" s="152">
        <v>0</v>
      </c>
      <c r="L3672" s="215">
        <v>2.9999999999999997E-4</v>
      </c>
      <c r="M3672" s="33">
        <v>4.5272028019199997</v>
      </c>
      <c r="N3672" s="33">
        <f t="shared" si="351"/>
        <v>1.3581608405759998E-3</v>
      </c>
      <c r="O3672" s="34"/>
      <c r="P3672" s="36" t="str">
        <f t="shared" si="352"/>
        <v/>
      </c>
      <c r="Q3672" s="216">
        <f t="shared" si="353"/>
        <v>0.14400000000000013</v>
      </c>
      <c r="R3672" s="216">
        <f t="shared" si="354"/>
        <v>0.14400000000000013</v>
      </c>
      <c r="S3672" s="217" t="str">
        <f t="shared" si="355"/>
        <v/>
      </c>
    </row>
    <row r="3673" spans="1:19" ht="39" hidden="1" thickBot="1" x14ac:dyDescent="0.3">
      <c r="A3673" s="262"/>
      <c r="B3673" s="260"/>
      <c r="C3673" s="35" t="s">
        <v>629</v>
      </c>
      <c r="D3673" s="35" t="s">
        <v>630</v>
      </c>
      <c r="E3673" s="36">
        <f>20*E3668*1/1000</f>
        <v>5.0000000000000001E-3</v>
      </c>
      <c r="F3673" s="53">
        <v>1.7773996499999998</v>
      </c>
      <c r="G3673" s="53">
        <f t="shared" si="350"/>
        <v>8.8869982499999983E-3</v>
      </c>
      <c r="H3673" s="72"/>
      <c r="I3673" s="73"/>
      <c r="J3673" s="152">
        <v>0</v>
      </c>
      <c r="L3673" s="215">
        <v>5.0000000000000001E-3</v>
      </c>
      <c r="M3673" s="53">
        <v>1.5214541003999997</v>
      </c>
      <c r="N3673" s="53">
        <f t="shared" si="351"/>
        <v>7.607270501999999E-3</v>
      </c>
      <c r="O3673" s="72"/>
      <c r="P3673" s="36" t="str">
        <f t="shared" si="352"/>
        <v/>
      </c>
      <c r="Q3673" s="216">
        <f t="shared" si="353"/>
        <v>0.14400000000000002</v>
      </c>
      <c r="R3673" s="216">
        <f t="shared" si="354"/>
        <v>0.14399999999999991</v>
      </c>
      <c r="S3673" s="217" t="str">
        <f t="shared" si="355"/>
        <v/>
      </c>
    </row>
    <row r="3674" spans="1:19" ht="15.75" hidden="1" thickBot="1" x14ac:dyDescent="0.3">
      <c r="A3674" s="262"/>
      <c r="B3674" s="260"/>
      <c r="C3674" s="35"/>
      <c r="D3674" s="35"/>
      <c r="E3674" s="36"/>
      <c r="F3674" s="53" t="s">
        <v>416</v>
      </c>
      <c r="G3674" s="53" t="str">
        <f t="shared" si="350"/>
        <v/>
      </c>
      <c r="H3674" s="72"/>
      <c r="I3674" s="73"/>
      <c r="J3674" s="152">
        <v>0</v>
      </c>
      <c r="L3674" s="215"/>
      <c r="M3674" s="53"/>
      <c r="N3674" s="53" t="str">
        <f t="shared" si="351"/>
        <v/>
      </c>
      <c r="O3674" s="72"/>
      <c r="P3674" s="36" t="str">
        <f t="shared" si="352"/>
        <v/>
      </c>
      <c r="Q3674" s="216" t="str">
        <f t="shared" si="353"/>
        <v/>
      </c>
      <c r="R3674" s="216" t="str">
        <f t="shared" si="354"/>
        <v/>
      </c>
      <c r="S3674" s="217" t="str">
        <f t="shared" si="355"/>
        <v/>
      </c>
    </row>
    <row r="3675" spans="1:19" ht="26.25" hidden="1" thickBot="1" x14ac:dyDescent="0.3">
      <c r="A3675" s="262"/>
      <c r="B3675" s="260"/>
      <c r="C3675" s="47" t="s">
        <v>953</v>
      </c>
      <c r="D3675" s="35"/>
      <c r="E3675" s="36"/>
      <c r="F3675" s="53" t="s">
        <v>416</v>
      </c>
      <c r="G3675" s="53" t="str">
        <f t="shared" si="350"/>
        <v/>
      </c>
      <c r="H3675" s="72"/>
      <c r="I3675" s="73"/>
      <c r="J3675" s="152">
        <v>0</v>
      </c>
      <c r="L3675" s="215"/>
      <c r="M3675" s="53"/>
      <c r="N3675" s="53" t="str">
        <f t="shared" si="351"/>
        <v/>
      </c>
      <c r="O3675" s="72"/>
      <c r="P3675" s="36" t="str">
        <f t="shared" si="352"/>
        <v/>
      </c>
      <c r="Q3675" s="216" t="str">
        <f t="shared" si="353"/>
        <v/>
      </c>
      <c r="R3675" s="216" t="str">
        <f t="shared" si="354"/>
        <v/>
      </c>
      <c r="S3675" s="217" t="str">
        <f t="shared" si="355"/>
        <v/>
      </c>
    </row>
    <row r="3676" spans="1:19" ht="15.75" hidden="1" thickBot="1" x14ac:dyDescent="0.3">
      <c r="A3676" s="263"/>
      <c r="B3676" s="261"/>
      <c r="C3676" s="35"/>
      <c r="D3676" s="35"/>
      <c r="E3676" s="36"/>
      <c r="F3676" s="53" t="s">
        <v>416</v>
      </c>
      <c r="G3676" s="53" t="str">
        <f t="shared" si="350"/>
        <v/>
      </c>
      <c r="H3676" s="72"/>
      <c r="I3676" s="73"/>
      <c r="J3676" s="152">
        <v>0</v>
      </c>
      <c r="L3676" s="215"/>
      <c r="M3676" s="53"/>
      <c r="N3676" s="53" t="str">
        <f t="shared" si="351"/>
        <v/>
      </c>
      <c r="O3676" s="72"/>
      <c r="P3676" s="36" t="str">
        <f t="shared" si="352"/>
        <v/>
      </c>
      <c r="Q3676" s="216" t="str">
        <f t="shared" si="353"/>
        <v/>
      </c>
      <c r="R3676" s="216" t="str">
        <f t="shared" si="354"/>
        <v/>
      </c>
      <c r="S3676" s="217" t="str">
        <f t="shared" si="355"/>
        <v/>
      </c>
    </row>
    <row r="3677" spans="1:19" ht="15.75" hidden="1" thickBot="1" x14ac:dyDescent="0.3">
      <c r="A3677" s="256" t="s">
        <v>954</v>
      </c>
      <c r="B3677" s="259" t="str">
        <f>INDEX(Orçamentária!A:B,MATCH(Composições!A3677,Orçamentária!A:A,0),2)</f>
        <v>Pintura de meios-fios com tinta acrílica</v>
      </c>
      <c r="C3677" s="40"/>
      <c r="D3677" s="25" t="s">
        <v>69</v>
      </c>
      <c r="E3677" s="26"/>
      <c r="F3677" s="48" t="s">
        <v>416</v>
      </c>
      <c r="G3677" s="27" t="str">
        <f t="shared" si="350"/>
        <v/>
      </c>
      <c r="H3677" s="28"/>
      <c r="I3677" s="29"/>
      <c r="J3677" s="152">
        <v>0</v>
      </c>
      <c r="L3677" s="218"/>
      <c r="M3677" s="48"/>
      <c r="N3677" s="27" t="str">
        <f t="shared" si="351"/>
        <v/>
      </c>
      <c r="O3677" s="28"/>
      <c r="P3677" s="36" t="str">
        <f t="shared" si="352"/>
        <v/>
      </c>
      <c r="Q3677" s="216" t="str">
        <f t="shared" si="353"/>
        <v/>
      </c>
      <c r="R3677" s="216" t="str">
        <f t="shared" si="354"/>
        <v/>
      </c>
      <c r="S3677" s="217" t="str">
        <f t="shared" si="355"/>
        <v/>
      </c>
    </row>
    <row r="3678" spans="1:19" ht="15.75" hidden="1" thickBot="1" x14ac:dyDescent="0.3">
      <c r="A3678" s="257"/>
      <c r="B3678" s="260"/>
      <c r="C3678" s="31"/>
      <c r="D3678" s="31"/>
      <c r="E3678" s="32"/>
      <c r="F3678" s="53" t="s">
        <v>416</v>
      </c>
      <c r="G3678" s="53" t="str">
        <f t="shared" si="350"/>
        <v/>
      </c>
      <c r="H3678" s="72"/>
      <c r="I3678" s="73"/>
      <c r="J3678" s="152">
        <v>0</v>
      </c>
      <c r="L3678" s="219"/>
      <c r="M3678" s="53"/>
      <c r="N3678" s="53" t="str">
        <f t="shared" si="351"/>
        <v/>
      </c>
      <c r="O3678" s="72"/>
      <c r="P3678" s="36" t="str">
        <f t="shared" si="352"/>
        <v/>
      </c>
      <c r="Q3678" s="216" t="str">
        <f t="shared" si="353"/>
        <v/>
      </c>
      <c r="R3678" s="216" t="str">
        <f t="shared" si="354"/>
        <v/>
      </c>
      <c r="S3678" s="217" t="str">
        <f t="shared" si="355"/>
        <v/>
      </c>
    </row>
    <row r="3679" spans="1:19" ht="15.75" hidden="1" thickBot="1" x14ac:dyDescent="0.3">
      <c r="A3679" s="257"/>
      <c r="B3679" s="260"/>
      <c r="C3679" s="35" t="s">
        <v>955</v>
      </c>
      <c r="D3679" s="35" t="s">
        <v>75</v>
      </c>
      <c r="E3679" s="36">
        <f>ROUND(0.427/2*(0.25+0.13+0.25),4)</f>
        <v>0.13450000000000001</v>
      </c>
      <c r="F3679" s="53">
        <v>18.363499999999998</v>
      </c>
      <c r="G3679" s="53">
        <f t="shared" si="350"/>
        <v>2.4698907499999998</v>
      </c>
      <c r="H3679" s="38">
        <f>SUM(G3679:G3681)</f>
        <v>5.6853619249999996</v>
      </c>
      <c r="I3679" s="39"/>
      <c r="J3679" s="152">
        <v>0</v>
      </c>
      <c r="L3679" s="215">
        <v>0.13450000000000001</v>
      </c>
      <c r="M3679" s="53">
        <v>15.719155999999998</v>
      </c>
      <c r="N3679" s="53">
        <f t="shared" si="351"/>
        <v>2.1142264819999999</v>
      </c>
      <c r="O3679" s="38">
        <f>SUM(N3679:N3681)</f>
        <v>4.8666698077999992</v>
      </c>
      <c r="P3679" s="36" t="str">
        <f t="shared" si="352"/>
        <v/>
      </c>
      <c r="Q3679" s="216">
        <f t="shared" si="353"/>
        <v>0.14400000000000002</v>
      </c>
      <c r="R3679" s="216">
        <f t="shared" si="354"/>
        <v>0.14400000000000002</v>
      </c>
      <c r="S3679" s="217">
        <f t="shared" si="355"/>
        <v>0.14400000000000002</v>
      </c>
    </row>
    <row r="3680" spans="1:19" ht="15.75" hidden="1" thickBot="1" x14ac:dyDescent="0.3">
      <c r="A3680" s="257"/>
      <c r="B3680" s="260"/>
      <c r="C3680" s="35" t="s">
        <v>956</v>
      </c>
      <c r="D3680" s="35" t="s">
        <v>583</v>
      </c>
      <c r="E3680" s="36">
        <f>0.275*(0.25+0.13+0.25)/2</f>
        <v>8.6625000000000008E-2</v>
      </c>
      <c r="F3680" s="53">
        <v>28.6615</v>
      </c>
      <c r="G3680" s="53">
        <f t="shared" si="350"/>
        <v>2.4828024375000002</v>
      </c>
      <c r="H3680" s="72"/>
      <c r="I3680" s="73"/>
      <c r="J3680" s="152">
        <v>0</v>
      </c>
      <c r="L3680" s="215">
        <v>8.6625000000000008E-2</v>
      </c>
      <c r="M3680" s="53">
        <v>24.534244000000001</v>
      </c>
      <c r="N3680" s="53">
        <f t="shared" si="351"/>
        <v>2.1252788865000003</v>
      </c>
      <c r="O3680" s="72"/>
      <c r="P3680" s="36" t="str">
        <f t="shared" si="352"/>
        <v/>
      </c>
      <c r="Q3680" s="216">
        <f t="shared" si="353"/>
        <v>0.14400000000000002</v>
      </c>
      <c r="R3680" s="216">
        <f t="shared" si="354"/>
        <v>0.14399999999999991</v>
      </c>
      <c r="S3680" s="217" t="str">
        <f t="shared" si="355"/>
        <v/>
      </c>
    </row>
    <row r="3681" spans="1:19" ht="15.75" hidden="1" thickBot="1" x14ac:dyDescent="0.3">
      <c r="A3681" s="257"/>
      <c r="B3681" s="260"/>
      <c r="C3681" s="35" t="s">
        <v>584</v>
      </c>
      <c r="D3681" s="35" t="s">
        <v>583</v>
      </c>
      <c r="E3681" s="36">
        <f>0.115*(0.25+0.13+0.25)/2</f>
        <v>3.6225E-2</v>
      </c>
      <c r="F3681" s="53">
        <v>20.225499999999997</v>
      </c>
      <c r="G3681" s="53">
        <f t="shared" si="350"/>
        <v>0.73266873749999983</v>
      </c>
      <c r="H3681" s="72"/>
      <c r="I3681" s="73"/>
      <c r="J3681" s="152">
        <v>0</v>
      </c>
      <c r="L3681" s="215">
        <v>3.6225E-2</v>
      </c>
      <c r="M3681" s="53">
        <v>17.313027999999996</v>
      </c>
      <c r="N3681" s="53">
        <f t="shared" si="351"/>
        <v>0.62716443929999988</v>
      </c>
      <c r="O3681" s="72"/>
      <c r="P3681" s="36" t="str">
        <f t="shared" si="352"/>
        <v/>
      </c>
      <c r="Q3681" s="216">
        <f t="shared" si="353"/>
        <v>0.14400000000000013</v>
      </c>
      <c r="R3681" s="216">
        <f t="shared" si="354"/>
        <v>0.14400000000000002</v>
      </c>
      <c r="S3681" s="217" t="str">
        <f t="shared" si="355"/>
        <v/>
      </c>
    </row>
    <row r="3682" spans="1:19" ht="15.75" hidden="1" thickBot="1" x14ac:dyDescent="0.3">
      <c r="A3682" s="257"/>
      <c r="B3682" s="260"/>
      <c r="C3682" s="35"/>
      <c r="D3682" s="35"/>
      <c r="E3682" s="36"/>
      <c r="F3682" s="53" t="s">
        <v>416</v>
      </c>
      <c r="G3682" s="53" t="str">
        <f t="shared" si="350"/>
        <v/>
      </c>
      <c r="H3682" s="72"/>
      <c r="I3682" s="73"/>
      <c r="J3682" s="152">
        <v>0</v>
      </c>
      <c r="L3682" s="215"/>
      <c r="M3682" s="53"/>
      <c r="N3682" s="53" t="str">
        <f t="shared" si="351"/>
        <v/>
      </c>
      <c r="O3682" s="72"/>
      <c r="P3682" s="36" t="str">
        <f t="shared" si="352"/>
        <v/>
      </c>
      <c r="Q3682" s="216" t="str">
        <f t="shared" si="353"/>
        <v/>
      </c>
      <c r="R3682" s="216" t="str">
        <f t="shared" si="354"/>
        <v/>
      </c>
      <c r="S3682" s="217" t="str">
        <f t="shared" si="355"/>
        <v/>
      </c>
    </row>
    <row r="3683" spans="1:19" ht="26.25" hidden="1" thickBot="1" x14ac:dyDescent="0.3">
      <c r="A3683" s="257"/>
      <c r="B3683" s="260"/>
      <c r="C3683" s="47" t="s">
        <v>957</v>
      </c>
      <c r="D3683" s="35"/>
      <c r="E3683" s="36"/>
      <c r="F3683" s="53" t="s">
        <v>416</v>
      </c>
      <c r="G3683" s="53" t="str">
        <f t="shared" si="350"/>
        <v/>
      </c>
      <c r="H3683" s="72"/>
      <c r="I3683" s="73"/>
      <c r="J3683" s="152">
        <v>0</v>
      </c>
      <c r="L3683" s="215"/>
      <c r="M3683" s="53"/>
      <c r="N3683" s="53" t="str">
        <f t="shared" si="351"/>
        <v/>
      </c>
      <c r="O3683" s="72"/>
      <c r="P3683" s="36" t="str">
        <f t="shared" si="352"/>
        <v/>
      </c>
      <c r="Q3683" s="216" t="str">
        <f t="shared" si="353"/>
        <v/>
      </c>
      <c r="R3683" s="216" t="str">
        <f t="shared" si="354"/>
        <v/>
      </c>
      <c r="S3683" s="217" t="str">
        <f t="shared" si="355"/>
        <v/>
      </c>
    </row>
    <row r="3684" spans="1:19" ht="15.75" hidden="1" thickBot="1" x14ac:dyDescent="0.3">
      <c r="A3684" s="258"/>
      <c r="B3684" s="261"/>
      <c r="C3684" s="35"/>
      <c r="D3684" s="35"/>
      <c r="E3684" s="36"/>
      <c r="F3684" s="53" t="s">
        <v>416</v>
      </c>
      <c r="G3684" s="53" t="str">
        <f t="shared" si="350"/>
        <v/>
      </c>
      <c r="H3684" s="72"/>
      <c r="I3684" s="73"/>
      <c r="J3684" s="152">
        <v>0</v>
      </c>
      <c r="L3684" s="215"/>
      <c r="M3684" s="53"/>
      <c r="N3684" s="53" t="str">
        <f t="shared" si="351"/>
        <v/>
      </c>
      <c r="O3684" s="72"/>
      <c r="P3684" s="36" t="str">
        <f t="shared" si="352"/>
        <v/>
      </c>
      <c r="Q3684" s="216" t="str">
        <f t="shared" si="353"/>
        <v/>
      </c>
      <c r="R3684" s="216" t="str">
        <f t="shared" si="354"/>
        <v/>
      </c>
      <c r="S3684" s="217" t="str">
        <f t="shared" si="355"/>
        <v/>
      </c>
    </row>
    <row r="3685" spans="1:19" ht="15.75" hidden="1" thickBot="1" x14ac:dyDescent="0.3">
      <c r="A3685" s="256" t="s">
        <v>958</v>
      </c>
      <c r="B3685" s="259" t="str">
        <f>INDEX(Orçamentária!A:B,MATCH(Composições!A3685,Orçamentária!A:A,0),2)</f>
        <v>Meios-fios em concreto pré-moldado</v>
      </c>
      <c r="C3685" s="40"/>
      <c r="D3685" s="25" t="s">
        <v>69</v>
      </c>
      <c r="E3685" s="26"/>
      <c r="F3685" s="48" t="s">
        <v>416</v>
      </c>
      <c r="G3685" s="27" t="str">
        <f t="shared" si="350"/>
        <v/>
      </c>
      <c r="H3685" s="28"/>
      <c r="I3685" s="29"/>
      <c r="J3685" s="152">
        <v>0</v>
      </c>
      <c r="L3685" s="218"/>
      <c r="M3685" s="48"/>
      <c r="N3685" s="27" t="str">
        <f t="shared" si="351"/>
        <v/>
      </c>
      <c r="O3685" s="28"/>
      <c r="P3685" s="36" t="str">
        <f t="shared" si="352"/>
        <v/>
      </c>
      <c r="Q3685" s="216" t="str">
        <f t="shared" si="353"/>
        <v/>
      </c>
      <c r="R3685" s="216" t="str">
        <f t="shared" si="354"/>
        <v/>
      </c>
      <c r="S3685" s="217" t="str">
        <f t="shared" si="355"/>
        <v/>
      </c>
    </row>
    <row r="3686" spans="1:19" ht="15.75" hidden="1" thickBot="1" x14ac:dyDescent="0.3">
      <c r="A3686" s="262"/>
      <c r="B3686" s="260"/>
      <c r="C3686" s="31"/>
      <c r="D3686" s="31"/>
      <c r="E3686" s="32"/>
      <c r="F3686" s="53" t="s">
        <v>416</v>
      </c>
      <c r="G3686" s="53" t="str">
        <f t="shared" si="350"/>
        <v/>
      </c>
      <c r="H3686" s="72"/>
      <c r="I3686" s="73"/>
      <c r="J3686" s="152">
        <v>0</v>
      </c>
      <c r="L3686" s="219"/>
      <c r="M3686" s="53"/>
      <c r="N3686" s="53" t="str">
        <f t="shared" si="351"/>
        <v/>
      </c>
      <c r="O3686" s="72"/>
      <c r="P3686" s="36" t="str">
        <f t="shared" si="352"/>
        <v/>
      </c>
      <c r="Q3686" s="216" t="str">
        <f t="shared" si="353"/>
        <v/>
      </c>
      <c r="R3686" s="216" t="str">
        <f t="shared" si="354"/>
        <v/>
      </c>
      <c r="S3686" s="217" t="str">
        <f t="shared" si="355"/>
        <v/>
      </c>
    </row>
    <row r="3687" spans="1:19" ht="26.25" hidden="1" thickBot="1" x14ac:dyDescent="0.3">
      <c r="A3687" s="262"/>
      <c r="B3687" s="260"/>
      <c r="C3687" s="35" t="s">
        <v>7985</v>
      </c>
      <c r="D3687" s="35" t="s">
        <v>87</v>
      </c>
      <c r="E3687" s="36">
        <v>7.0000000000000001E-3</v>
      </c>
      <c r="F3687" s="53">
        <v>202.33099999999999</v>
      </c>
      <c r="G3687" s="53">
        <f t="shared" si="350"/>
        <v>1.416317</v>
      </c>
      <c r="H3687" s="38">
        <f>SUM(G3687:G3695)</f>
        <v>51.541540195776996</v>
      </c>
      <c r="I3687" s="39"/>
      <c r="J3687" s="152">
        <v>0</v>
      </c>
      <c r="L3687" s="215">
        <v>7.0000000000000001E-3</v>
      </c>
      <c r="M3687" s="53">
        <v>173.195336</v>
      </c>
      <c r="N3687" s="53">
        <f t="shared" si="351"/>
        <v>1.212367352</v>
      </c>
      <c r="O3687" s="38">
        <f>SUM(N3687:N3695)</f>
        <v>44.11955840758511</v>
      </c>
      <c r="P3687" s="36" t="str">
        <f t="shared" si="352"/>
        <v/>
      </c>
      <c r="Q3687" s="216">
        <f t="shared" si="353"/>
        <v>0.14400000000000002</v>
      </c>
      <c r="R3687" s="216">
        <f t="shared" si="354"/>
        <v>0.14400000000000002</v>
      </c>
      <c r="S3687" s="217">
        <f t="shared" si="355"/>
        <v>0.14400000000000002</v>
      </c>
    </row>
    <row r="3688" spans="1:19" ht="26.25" hidden="1" thickBot="1" x14ac:dyDescent="0.3">
      <c r="A3688" s="262"/>
      <c r="B3688" s="260"/>
      <c r="C3688" s="35" t="s">
        <v>3230</v>
      </c>
      <c r="D3688" s="35" t="s">
        <v>385</v>
      </c>
      <c r="E3688" s="36">
        <v>1.0049999999999999</v>
      </c>
      <c r="F3688" s="53">
        <v>29.3645</v>
      </c>
      <c r="G3688" s="53">
        <f t="shared" si="350"/>
        <v>29.511322499999995</v>
      </c>
      <c r="H3688" s="72"/>
      <c r="I3688" s="73"/>
      <c r="J3688" s="152">
        <v>0</v>
      </c>
      <c r="L3688" s="215">
        <v>1.0049999999999999</v>
      </c>
      <c r="M3688" s="53">
        <v>25.136012000000001</v>
      </c>
      <c r="N3688" s="53">
        <f t="shared" si="351"/>
        <v>25.261692059999998</v>
      </c>
      <c r="O3688" s="72"/>
      <c r="P3688" s="36" t="str">
        <f t="shared" si="352"/>
        <v/>
      </c>
      <c r="Q3688" s="216">
        <f t="shared" si="353"/>
        <v>0.14399999999999991</v>
      </c>
      <c r="R3688" s="216">
        <f t="shared" si="354"/>
        <v>0.14399999999999991</v>
      </c>
      <c r="S3688" s="217" t="str">
        <f t="shared" si="355"/>
        <v/>
      </c>
    </row>
    <row r="3689" spans="1:19" ht="15.75" hidden="1" thickBot="1" x14ac:dyDescent="0.3">
      <c r="A3689" s="262"/>
      <c r="B3689" s="260"/>
      <c r="C3689" s="35" t="s">
        <v>591</v>
      </c>
      <c r="D3689" s="35" t="s">
        <v>583</v>
      </c>
      <c r="E3689" s="36">
        <v>0.39400000000000002</v>
      </c>
      <c r="F3689" s="53">
        <v>27.160499999999999</v>
      </c>
      <c r="G3689" s="53">
        <f t="shared" si="350"/>
        <v>10.701237000000001</v>
      </c>
      <c r="H3689" s="72"/>
      <c r="I3689" s="73"/>
      <c r="J3689" s="152">
        <v>0</v>
      </c>
      <c r="L3689" s="215">
        <v>0.39400000000000002</v>
      </c>
      <c r="M3689" s="53">
        <v>23.249388</v>
      </c>
      <c r="N3689" s="53">
        <f t="shared" si="351"/>
        <v>9.160258872</v>
      </c>
      <c r="O3689" s="72"/>
      <c r="P3689" s="36" t="str">
        <f t="shared" si="352"/>
        <v/>
      </c>
      <c r="Q3689" s="216">
        <f t="shared" si="353"/>
        <v>0.14400000000000002</v>
      </c>
      <c r="R3689" s="216">
        <f t="shared" si="354"/>
        <v>0.14400000000000002</v>
      </c>
      <c r="S3689" s="217" t="str">
        <f t="shared" si="355"/>
        <v/>
      </c>
    </row>
    <row r="3690" spans="1:19" ht="15.75" hidden="1" thickBot="1" x14ac:dyDescent="0.3">
      <c r="A3690" s="262"/>
      <c r="B3690" s="260"/>
      <c r="C3690" s="35" t="s">
        <v>584</v>
      </c>
      <c r="D3690" s="35" t="s">
        <v>583</v>
      </c>
      <c r="E3690" s="36">
        <v>0.39400000000000002</v>
      </c>
      <c r="F3690" s="53">
        <v>20.225499999999997</v>
      </c>
      <c r="G3690" s="53">
        <f t="shared" si="350"/>
        <v>7.9688469999999993</v>
      </c>
      <c r="H3690" s="72"/>
      <c r="I3690" s="73"/>
      <c r="J3690" s="152">
        <v>0</v>
      </c>
      <c r="L3690" s="215">
        <v>0.39400000000000002</v>
      </c>
      <c r="M3690" s="53">
        <v>17.313027999999996</v>
      </c>
      <c r="N3690" s="53">
        <f t="shared" si="351"/>
        <v>6.8213330319999983</v>
      </c>
      <c r="O3690" s="72"/>
      <c r="P3690" s="36" t="str">
        <f t="shared" si="352"/>
        <v/>
      </c>
      <c r="Q3690" s="216">
        <f t="shared" si="353"/>
        <v>0.14400000000000013</v>
      </c>
      <c r="R3690" s="216">
        <f t="shared" si="354"/>
        <v>0.14400000000000013</v>
      </c>
      <c r="S3690" s="217" t="str">
        <f t="shared" si="355"/>
        <v/>
      </c>
    </row>
    <row r="3691" spans="1:19" ht="26.25" hidden="1" thickBot="1" x14ac:dyDescent="0.3">
      <c r="A3691" s="262"/>
      <c r="B3691" s="260"/>
      <c r="C3691" s="35" t="s">
        <v>79</v>
      </c>
      <c r="D3691" s="35" t="s">
        <v>80</v>
      </c>
      <c r="E3691" s="36">
        <v>2E-3</v>
      </c>
      <c r="F3691" s="53">
        <v>758.13304558849984</v>
      </c>
      <c r="G3691" s="53">
        <f t="shared" si="350"/>
        <v>1.5162660911769996</v>
      </c>
      <c r="H3691" s="72"/>
      <c r="I3691" s="73"/>
      <c r="J3691" s="152">
        <v>0</v>
      </c>
      <c r="L3691" s="215">
        <v>2E-3</v>
      </c>
      <c r="M3691" s="53">
        <v>648.96188702375593</v>
      </c>
      <c r="N3691" s="53">
        <f t="shared" si="351"/>
        <v>1.2979237740475118</v>
      </c>
      <c r="O3691" s="72"/>
      <c r="P3691" s="36" t="str">
        <f t="shared" si="352"/>
        <v/>
      </c>
      <c r="Q3691" s="216">
        <f t="shared" si="353"/>
        <v>0.14399999999999991</v>
      </c>
      <c r="R3691" s="216">
        <f t="shared" si="354"/>
        <v>0.14399999999999991</v>
      </c>
      <c r="S3691" s="217" t="str">
        <f t="shared" si="355"/>
        <v/>
      </c>
    </row>
    <row r="3692" spans="1:19" ht="51.75" hidden="1" thickBot="1" x14ac:dyDescent="0.3">
      <c r="A3692" s="262"/>
      <c r="B3692" s="260"/>
      <c r="C3692" s="35" t="s">
        <v>3071</v>
      </c>
      <c r="D3692" s="35" t="s">
        <v>80</v>
      </c>
      <c r="E3692" s="36">
        <f>1*E3687</f>
        <v>7.0000000000000001E-3</v>
      </c>
      <c r="F3692" s="33">
        <v>7.9257587999999988</v>
      </c>
      <c r="G3692" s="33">
        <f t="shared" ref="G3692:G3755" si="356">IF(ISNUMBER(F3692),E3692*F3692,"")</f>
        <v>5.5480311599999992E-2</v>
      </c>
      <c r="H3692" s="34"/>
      <c r="I3692" s="30"/>
      <c r="J3692" s="152">
        <v>0</v>
      </c>
      <c r="L3692" s="215">
        <v>7.0000000000000001E-3</v>
      </c>
      <c r="M3692" s="33">
        <v>6.7844495327999992</v>
      </c>
      <c r="N3692" s="33">
        <f t="shared" ref="N3692:N3755" si="357">IF(ISNUMBER(M3692),L3692*M3692,"")</f>
        <v>4.7491146729599996E-2</v>
      </c>
      <c r="O3692" s="34"/>
      <c r="P3692" s="36" t="str">
        <f t="shared" si="352"/>
        <v/>
      </c>
      <c r="Q3692" s="216">
        <f t="shared" si="353"/>
        <v>0.14400000000000002</v>
      </c>
      <c r="R3692" s="216">
        <f t="shared" si="354"/>
        <v>0.14399999999999991</v>
      </c>
      <c r="S3692" s="217" t="str">
        <f t="shared" si="355"/>
        <v/>
      </c>
    </row>
    <row r="3693" spans="1:19" ht="39" hidden="1" thickBot="1" x14ac:dyDescent="0.3">
      <c r="A3693" s="262"/>
      <c r="B3693" s="260"/>
      <c r="C3693" s="35" t="s">
        <v>88</v>
      </c>
      <c r="D3693" s="35" t="s">
        <v>89</v>
      </c>
      <c r="E3693" s="36">
        <f>0.007*20</f>
        <v>0.14000000000000001</v>
      </c>
      <c r="F3693" s="53">
        <v>2.6576449499999995</v>
      </c>
      <c r="G3693" s="53">
        <f t="shared" si="356"/>
        <v>0.37207029299999994</v>
      </c>
      <c r="H3693" s="72"/>
      <c r="I3693" s="73"/>
      <c r="J3693" s="152">
        <v>0</v>
      </c>
      <c r="L3693" s="215">
        <v>0.14000000000000001</v>
      </c>
      <c r="M3693" s="53">
        <v>2.2749440771999998</v>
      </c>
      <c r="N3693" s="53">
        <f t="shared" si="357"/>
        <v>0.31849217080800002</v>
      </c>
      <c r="O3693" s="72"/>
      <c r="P3693" s="36" t="str">
        <f t="shared" si="352"/>
        <v/>
      </c>
      <c r="Q3693" s="216">
        <f t="shared" si="353"/>
        <v>0.14399999999999991</v>
      </c>
      <c r="R3693" s="216">
        <f t="shared" si="354"/>
        <v>0.14399999999999979</v>
      </c>
      <c r="S3693" s="217" t="str">
        <f t="shared" si="355"/>
        <v/>
      </c>
    </row>
    <row r="3694" spans="1:19" ht="15.75" hidden="1" thickBot="1" x14ac:dyDescent="0.3">
      <c r="A3694" s="262"/>
      <c r="B3694" s="260"/>
      <c r="C3694" s="35"/>
      <c r="D3694" s="35"/>
      <c r="E3694" s="36"/>
      <c r="F3694" s="53" t="s">
        <v>416</v>
      </c>
      <c r="G3694" s="53" t="str">
        <f t="shared" si="356"/>
        <v/>
      </c>
      <c r="H3694" s="72"/>
      <c r="I3694" s="73"/>
      <c r="J3694" s="152">
        <v>0</v>
      </c>
      <c r="L3694" s="215"/>
      <c r="M3694" s="53"/>
      <c r="N3694" s="53" t="str">
        <f t="shared" si="357"/>
        <v/>
      </c>
      <c r="O3694" s="72"/>
      <c r="P3694" s="36" t="str">
        <f t="shared" si="352"/>
        <v/>
      </c>
      <c r="Q3694" s="216" t="str">
        <f t="shared" si="353"/>
        <v/>
      </c>
      <c r="R3694" s="216" t="str">
        <f t="shared" si="354"/>
        <v/>
      </c>
      <c r="S3694" s="217" t="str">
        <f t="shared" si="355"/>
        <v/>
      </c>
    </row>
    <row r="3695" spans="1:19" ht="15.75" hidden="1" thickBot="1" x14ac:dyDescent="0.3">
      <c r="A3695" s="262"/>
      <c r="B3695" s="260"/>
      <c r="C3695" s="47" t="s">
        <v>959</v>
      </c>
      <c r="D3695" s="35"/>
      <c r="E3695" s="36"/>
      <c r="F3695" s="53" t="s">
        <v>416</v>
      </c>
      <c r="G3695" s="53" t="str">
        <f t="shared" si="356"/>
        <v/>
      </c>
      <c r="H3695" s="72"/>
      <c r="I3695" s="73"/>
      <c r="J3695" s="152">
        <v>0</v>
      </c>
      <c r="L3695" s="215"/>
      <c r="M3695" s="53"/>
      <c r="N3695" s="53" t="str">
        <f t="shared" si="357"/>
        <v/>
      </c>
      <c r="O3695" s="72"/>
      <c r="P3695" s="36" t="str">
        <f t="shared" si="352"/>
        <v/>
      </c>
      <c r="Q3695" s="216" t="str">
        <f t="shared" si="353"/>
        <v/>
      </c>
      <c r="R3695" s="216" t="str">
        <f t="shared" si="354"/>
        <v/>
      </c>
      <c r="S3695" s="217" t="str">
        <f t="shared" si="355"/>
        <v/>
      </c>
    </row>
    <row r="3696" spans="1:19" ht="15.75" hidden="1" thickBot="1" x14ac:dyDescent="0.3">
      <c r="A3696" s="263"/>
      <c r="B3696" s="261"/>
      <c r="C3696" s="35"/>
      <c r="D3696" s="35"/>
      <c r="E3696" s="36"/>
      <c r="F3696" s="53" t="s">
        <v>416</v>
      </c>
      <c r="G3696" s="53" t="str">
        <f t="shared" si="356"/>
        <v/>
      </c>
      <c r="H3696" s="72"/>
      <c r="I3696" s="73"/>
      <c r="J3696" s="152">
        <v>0</v>
      </c>
      <c r="L3696" s="215"/>
      <c r="M3696" s="53"/>
      <c r="N3696" s="53" t="str">
        <f t="shared" si="357"/>
        <v/>
      </c>
      <c r="O3696" s="72"/>
      <c r="P3696" s="36" t="str">
        <f t="shared" si="352"/>
        <v/>
      </c>
      <c r="Q3696" s="216" t="str">
        <f t="shared" si="353"/>
        <v/>
      </c>
      <c r="R3696" s="216" t="str">
        <f t="shared" si="354"/>
        <v/>
      </c>
      <c r="S3696" s="217" t="str">
        <f t="shared" si="355"/>
        <v/>
      </c>
    </row>
    <row r="3697" spans="1:19" ht="15.75" hidden="1" thickBot="1" x14ac:dyDescent="0.3">
      <c r="A3697" s="256" t="s">
        <v>960</v>
      </c>
      <c r="B3697" s="259" t="str">
        <f>INDEX(Orçamentária!A:B,MATCH(Composições!A3697,Orçamentária!A:A,0),2)</f>
        <v>Tubo PEAD corrugado para drenagem – Diâmetro 100 mm</v>
      </c>
      <c r="C3697" s="40"/>
      <c r="D3697" s="25" t="s">
        <v>69</v>
      </c>
      <c r="E3697" s="26"/>
      <c r="F3697" s="48" t="s">
        <v>416</v>
      </c>
      <c r="G3697" s="27" t="str">
        <f t="shared" si="356"/>
        <v/>
      </c>
      <c r="H3697" s="28"/>
      <c r="I3697" s="29"/>
      <c r="J3697" s="152">
        <v>0</v>
      </c>
      <c r="L3697" s="218"/>
      <c r="M3697" s="48"/>
      <c r="N3697" s="27" t="str">
        <f t="shared" si="357"/>
        <v/>
      </c>
      <c r="O3697" s="28"/>
      <c r="P3697" s="36" t="str">
        <f t="shared" si="352"/>
        <v/>
      </c>
      <c r="Q3697" s="216" t="str">
        <f t="shared" si="353"/>
        <v/>
      </c>
      <c r="R3697" s="216" t="str">
        <f t="shared" si="354"/>
        <v/>
      </c>
      <c r="S3697" s="217" t="str">
        <f t="shared" si="355"/>
        <v/>
      </c>
    </row>
    <row r="3698" spans="1:19" ht="15.75" hidden="1" thickBot="1" x14ac:dyDescent="0.3">
      <c r="A3698" s="262"/>
      <c r="B3698" s="260"/>
      <c r="C3698" s="31"/>
      <c r="D3698" s="31"/>
      <c r="E3698" s="32"/>
      <c r="F3698" s="53" t="s">
        <v>416</v>
      </c>
      <c r="G3698" s="53" t="str">
        <f t="shared" si="356"/>
        <v/>
      </c>
      <c r="H3698" s="72"/>
      <c r="I3698" s="73"/>
      <c r="J3698" s="152">
        <v>0</v>
      </c>
      <c r="L3698" s="219"/>
      <c r="M3698" s="53"/>
      <c r="N3698" s="53" t="str">
        <f t="shared" si="357"/>
        <v/>
      </c>
      <c r="O3698" s="72"/>
      <c r="P3698" s="36" t="str">
        <f t="shared" si="352"/>
        <v/>
      </c>
      <c r="Q3698" s="216" t="str">
        <f t="shared" si="353"/>
        <v/>
      </c>
      <c r="R3698" s="216" t="str">
        <f t="shared" si="354"/>
        <v/>
      </c>
      <c r="S3698" s="217" t="str">
        <f t="shared" si="355"/>
        <v/>
      </c>
    </row>
    <row r="3699" spans="1:19" ht="26.25" hidden="1" thickBot="1" x14ac:dyDescent="0.3">
      <c r="A3699" s="262"/>
      <c r="B3699" s="260"/>
      <c r="C3699" s="35" t="s">
        <v>8312</v>
      </c>
      <c r="D3699" s="35" t="s">
        <v>87</v>
      </c>
      <c r="E3699" s="36">
        <v>0.23</v>
      </c>
      <c r="F3699" s="53">
        <v>177.38399999999999</v>
      </c>
      <c r="G3699" s="53">
        <f t="shared" si="356"/>
        <v>40.798319999999997</v>
      </c>
      <c r="H3699" s="38">
        <f>SUM(G3699:G3709)</f>
        <v>146.31735129399999</v>
      </c>
      <c r="I3699" s="39"/>
      <c r="J3699" s="152">
        <v>0</v>
      </c>
      <c r="L3699" s="215">
        <v>0.23</v>
      </c>
      <c r="M3699" s="53">
        <v>151.84070399999999</v>
      </c>
      <c r="N3699" s="53">
        <f t="shared" si="357"/>
        <v>34.923361919999998</v>
      </c>
      <c r="O3699" s="38">
        <f>SUM(N3699:N3709)</f>
        <v>125.24765270766399</v>
      </c>
      <c r="P3699" s="36" t="str">
        <f t="shared" si="352"/>
        <v/>
      </c>
      <c r="Q3699" s="216">
        <f t="shared" si="353"/>
        <v>0.14400000000000002</v>
      </c>
      <c r="R3699" s="216">
        <f t="shared" si="354"/>
        <v>0.14400000000000002</v>
      </c>
      <c r="S3699" s="217">
        <f t="shared" si="355"/>
        <v>0.14400000000000002</v>
      </c>
    </row>
    <row r="3700" spans="1:19" ht="39" hidden="1" thickBot="1" x14ac:dyDescent="0.3">
      <c r="A3700" s="262"/>
      <c r="B3700" s="260"/>
      <c r="C3700" s="35" t="s">
        <v>962</v>
      </c>
      <c r="D3700" s="35" t="s">
        <v>385</v>
      </c>
      <c r="E3700" s="36">
        <v>1.01</v>
      </c>
      <c r="F3700" s="53">
        <v>10.754</v>
      </c>
      <c r="G3700" s="53">
        <f t="shared" si="356"/>
        <v>10.86154</v>
      </c>
      <c r="H3700" s="72"/>
      <c r="I3700" s="73"/>
      <c r="J3700" s="152">
        <v>0</v>
      </c>
      <c r="L3700" s="215">
        <v>1.01</v>
      </c>
      <c r="M3700" s="53">
        <v>9.2054240000000007</v>
      </c>
      <c r="N3700" s="53">
        <f t="shared" si="357"/>
        <v>9.2974782400000002</v>
      </c>
      <c r="O3700" s="72"/>
      <c r="P3700" s="36" t="str">
        <f t="shared" si="352"/>
        <v/>
      </c>
      <c r="Q3700" s="216">
        <f t="shared" si="353"/>
        <v>0.14399999999999991</v>
      </c>
      <c r="R3700" s="216">
        <f t="shared" si="354"/>
        <v>0.14399999999999991</v>
      </c>
      <c r="S3700" s="217" t="str">
        <f t="shared" si="355"/>
        <v/>
      </c>
    </row>
    <row r="3701" spans="1:19" ht="26.25" hidden="1" thickBot="1" x14ac:dyDescent="0.3">
      <c r="A3701" s="262"/>
      <c r="B3701" s="260"/>
      <c r="C3701" s="35" t="s">
        <v>825</v>
      </c>
      <c r="D3701" s="35" t="s">
        <v>583</v>
      </c>
      <c r="E3701" s="36">
        <v>0.5</v>
      </c>
      <c r="F3701" s="53">
        <v>26.799499999999998</v>
      </c>
      <c r="G3701" s="53">
        <f t="shared" si="356"/>
        <v>13.399749999999999</v>
      </c>
      <c r="H3701" s="72"/>
      <c r="I3701" s="73"/>
      <c r="J3701" s="152">
        <v>0</v>
      </c>
      <c r="L3701" s="215">
        <v>0.5</v>
      </c>
      <c r="M3701" s="53">
        <v>22.940372</v>
      </c>
      <c r="N3701" s="53">
        <f t="shared" si="357"/>
        <v>11.470186</v>
      </c>
      <c r="O3701" s="72"/>
      <c r="P3701" s="36" t="str">
        <f t="shared" si="352"/>
        <v/>
      </c>
      <c r="Q3701" s="216">
        <f t="shared" si="353"/>
        <v>0.14399999999999991</v>
      </c>
      <c r="R3701" s="216">
        <f t="shared" si="354"/>
        <v>0.14399999999999991</v>
      </c>
      <c r="S3701" s="217" t="str">
        <f t="shared" si="355"/>
        <v/>
      </c>
    </row>
    <row r="3702" spans="1:19" ht="15.75" hidden="1" thickBot="1" x14ac:dyDescent="0.3">
      <c r="A3702" s="262"/>
      <c r="B3702" s="260"/>
      <c r="C3702" s="35" t="s">
        <v>584</v>
      </c>
      <c r="D3702" s="35" t="s">
        <v>583</v>
      </c>
      <c r="E3702" s="36">
        <v>0.7</v>
      </c>
      <c r="F3702" s="53">
        <v>20.225499999999997</v>
      </c>
      <c r="G3702" s="53">
        <f t="shared" si="356"/>
        <v>14.157849999999996</v>
      </c>
      <c r="H3702" s="72"/>
      <c r="I3702" s="73"/>
      <c r="J3702" s="152">
        <v>0</v>
      </c>
      <c r="L3702" s="215">
        <v>0.7</v>
      </c>
      <c r="M3702" s="53">
        <v>17.313027999999996</v>
      </c>
      <c r="N3702" s="53">
        <f t="shared" si="357"/>
        <v>12.119119599999996</v>
      </c>
      <c r="O3702" s="72"/>
      <c r="P3702" s="36" t="str">
        <f t="shared" si="352"/>
        <v/>
      </c>
      <c r="Q3702" s="216">
        <f t="shared" si="353"/>
        <v>0.14400000000000013</v>
      </c>
      <c r="R3702" s="216">
        <f t="shared" si="354"/>
        <v>0.14400000000000002</v>
      </c>
      <c r="S3702" s="217" t="str">
        <f t="shared" si="355"/>
        <v/>
      </c>
    </row>
    <row r="3703" spans="1:19" ht="26.25" hidden="1" thickBot="1" x14ac:dyDescent="0.3">
      <c r="A3703" s="262"/>
      <c r="B3703" s="260"/>
      <c r="C3703" s="35" t="s">
        <v>8174</v>
      </c>
      <c r="D3703" s="35" t="s">
        <v>861</v>
      </c>
      <c r="E3703" s="36">
        <v>2.2000000000000002</v>
      </c>
      <c r="F3703" s="53">
        <v>19.303999999999998</v>
      </c>
      <c r="G3703" s="53">
        <f t="shared" si="356"/>
        <v>42.468800000000002</v>
      </c>
      <c r="H3703" s="72"/>
      <c r="I3703" s="73"/>
      <c r="J3703" s="152">
        <v>0</v>
      </c>
      <c r="L3703" s="215">
        <v>2.2000000000000002</v>
      </c>
      <c r="M3703" s="53">
        <v>16.524224</v>
      </c>
      <c r="N3703" s="53">
        <f t="shared" si="357"/>
        <v>36.353292800000006</v>
      </c>
      <c r="O3703" s="72"/>
      <c r="P3703" s="36" t="str">
        <f t="shared" si="352"/>
        <v/>
      </c>
      <c r="Q3703" s="216">
        <f t="shared" si="353"/>
        <v>0.14399999999999991</v>
      </c>
      <c r="R3703" s="216">
        <f t="shared" si="354"/>
        <v>0.14399999999999991</v>
      </c>
      <c r="S3703" s="217" t="str">
        <f t="shared" si="355"/>
        <v/>
      </c>
    </row>
    <row r="3704" spans="1:19" ht="26.25" hidden="1" thickBot="1" x14ac:dyDescent="0.3">
      <c r="A3704" s="262"/>
      <c r="B3704" s="260"/>
      <c r="C3704" s="35" t="s">
        <v>824</v>
      </c>
      <c r="D3704" s="35" t="s">
        <v>583</v>
      </c>
      <c r="E3704" s="36">
        <v>0.5</v>
      </c>
      <c r="F3704" s="53">
        <v>21.166</v>
      </c>
      <c r="G3704" s="53">
        <f t="shared" si="356"/>
        <v>10.583</v>
      </c>
      <c r="H3704" s="72"/>
      <c r="I3704" s="73"/>
      <c r="J3704" s="152">
        <v>0</v>
      </c>
      <c r="L3704" s="215">
        <v>0.5</v>
      </c>
      <c r="M3704" s="53">
        <v>18.118096000000001</v>
      </c>
      <c r="N3704" s="53">
        <f t="shared" si="357"/>
        <v>9.0590480000000007</v>
      </c>
      <c r="O3704" s="72"/>
      <c r="P3704" s="36" t="str">
        <f t="shared" si="352"/>
        <v/>
      </c>
      <c r="Q3704" s="216">
        <f t="shared" si="353"/>
        <v>0.14399999999999991</v>
      </c>
      <c r="R3704" s="216">
        <f t="shared" si="354"/>
        <v>0.14399999999999991</v>
      </c>
      <c r="S3704" s="217" t="str">
        <f t="shared" si="355"/>
        <v/>
      </c>
    </row>
    <row r="3705" spans="1:19" ht="51.75" hidden="1" thickBot="1" x14ac:dyDescent="0.3">
      <c r="A3705" s="262"/>
      <c r="B3705" s="260"/>
      <c r="C3705" s="35" t="s">
        <v>3071</v>
      </c>
      <c r="D3705" s="35" t="s">
        <v>80</v>
      </c>
      <c r="E3705" s="36">
        <f>1*E3699</f>
        <v>0.23</v>
      </c>
      <c r="F3705" s="33">
        <v>7.9257587999999988</v>
      </c>
      <c r="G3705" s="33">
        <f t="shared" si="356"/>
        <v>1.8229245239999998</v>
      </c>
      <c r="H3705" s="34"/>
      <c r="I3705" s="30"/>
      <c r="J3705" s="152">
        <v>0</v>
      </c>
      <c r="L3705" s="215">
        <v>0.23</v>
      </c>
      <c r="M3705" s="33">
        <v>6.7844495327999992</v>
      </c>
      <c r="N3705" s="33">
        <f t="shared" si="357"/>
        <v>1.5604233925439999</v>
      </c>
      <c r="O3705" s="34"/>
      <c r="P3705" s="36" t="str">
        <f t="shared" si="352"/>
        <v/>
      </c>
      <c r="Q3705" s="216">
        <f t="shared" si="353"/>
        <v>0.14400000000000002</v>
      </c>
      <c r="R3705" s="216">
        <f t="shared" si="354"/>
        <v>0.14400000000000002</v>
      </c>
      <c r="S3705" s="217" t="str">
        <f t="shared" si="355"/>
        <v/>
      </c>
    </row>
    <row r="3706" spans="1:19" ht="39" hidden="1" thickBot="1" x14ac:dyDescent="0.3">
      <c r="A3706" s="262"/>
      <c r="B3706" s="260"/>
      <c r="C3706" s="35" t="s">
        <v>88</v>
      </c>
      <c r="D3706" s="35" t="s">
        <v>89</v>
      </c>
      <c r="E3706" s="36">
        <f>E3699*20</f>
        <v>4.6000000000000005</v>
      </c>
      <c r="F3706" s="53">
        <v>2.6576449499999995</v>
      </c>
      <c r="G3706" s="53">
        <f t="shared" si="356"/>
        <v>12.22516677</v>
      </c>
      <c r="H3706" s="72"/>
      <c r="I3706" s="73"/>
      <c r="J3706" s="152">
        <v>0</v>
      </c>
      <c r="L3706" s="215">
        <v>4.6000000000000005</v>
      </c>
      <c r="M3706" s="53">
        <v>2.2749440771999998</v>
      </c>
      <c r="N3706" s="53">
        <f t="shared" si="357"/>
        <v>10.46474275512</v>
      </c>
      <c r="O3706" s="72"/>
      <c r="P3706" s="36" t="str">
        <f t="shared" si="352"/>
        <v/>
      </c>
      <c r="Q3706" s="216">
        <f t="shared" si="353"/>
        <v>0.14399999999999991</v>
      </c>
      <c r="R3706" s="216">
        <f t="shared" si="354"/>
        <v>0.14400000000000002</v>
      </c>
      <c r="S3706" s="217" t="str">
        <f t="shared" si="355"/>
        <v/>
      </c>
    </row>
    <row r="3707" spans="1:19" ht="15.75" hidden="1" thickBot="1" x14ac:dyDescent="0.3">
      <c r="A3707" s="262"/>
      <c r="B3707" s="260"/>
      <c r="C3707" s="35"/>
      <c r="D3707" s="35"/>
      <c r="E3707" s="36"/>
      <c r="F3707" s="53" t="s">
        <v>416</v>
      </c>
      <c r="G3707" s="53" t="str">
        <f t="shared" si="356"/>
        <v/>
      </c>
      <c r="H3707" s="72"/>
      <c r="I3707" s="73"/>
      <c r="J3707" s="152">
        <v>0</v>
      </c>
      <c r="L3707" s="215"/>
      <c r="M3707" s="53"/>
      <c r="N3707" s="53" t="str">
        <f t="shared" si="357"/>
        <v/>
      </c>
      <c r="O3707" s="72"/>
      <c r="P3707" s="36" t="str">
        <f t="shared" si="352"/>
        <v/>
      </c>
      <c r="Q3707" s="216" t="str">
        <f t="shared" si="353"/>
        <v/>
      </c>
      <c r="R3707" s="216" t="str">
        <f t="shared" si="354"/>
        <v/>
      </c>
      <c r="S3707" s="217" t="str">
        <f t="shared" si="355"/>
        <v/>
      </c>
    </row>
    <row r="3708" spans="1:19" ht="15.75" hidden="1" thickBot="1" x14ac:dyDescent="0.3">
      <c r="A3708" s="262"/>
      <c r="B3708" s="260"/>
      <c r="C3708" s="47" t="s">
        <v>964</v>
      </c>
      <c r="D3708" s="35"/>
      <c r="E3708" s="36"/>
      <c r="F3708" s="53" t="s">
        <v>416</v>
      </c>
      <c r="G3708" s="53" t="str">
        <f t="shared" si="356"/>
        <v/>
      </c>
      <c r="H3708" s="72"/>
      <c r="I3708" s="73"/>
      <c r="J3708" s="152">
        <v>0</v>
      </c>
      <c r="L3708" s="215"/>
      <c r="M3708" s="53"/>
      <c r="N3708" s="53" t="str">
        <f t="shared" si="357"/>
        <v/>
      </c>
      <c r="O3708" s="72"/>
      <c r="P3708" s="36" t="str">
        <f t="shared" si="352"/>
        <v/>
      </c>
      <c r="Q3708" s="216" t="str">
        <f t="shared" si="353"/>
        <v/>
      </c>
      <c r="R3708" s="216" t="str">
        <f t="shared" si="354"/>
        <v/>
      </c>
      <c r="S3708" s="217" t="str">
        <f t="shared" si="355"/>
        <v/>
      </c>
    </row>
    <row r="3709" spans="1:19" ht="15.75" hidden="1" thickBot="1" x14ac:dyDescent="0.3">
      <c r="A3709" s="262"/>
      <c r="B3709" s="260"/>
      <c r="C3709" s="35"/>
      <c r="D3709" s="35"/>
      <c r="E3709" s="36"/>
      <c r="F3709" s="53" t="s">
        <v>416</v>
      </c>
      <c r="G3709" s="53" t="str">
        <f t="shared" si="356"/>
        <v/>
      </c>
      <c r="H3709" s="72"/>
      <c r="I3709" s="73"/>
      <c r="J3709" s="152">
        <v>0</v>
      </c>
      <c r="L3709" s="215"/>
      <c r="M3709" s="53"/>
      <c r="N3709" s="53" t="str">
        <f t="shared" si="357"/>
        <v/>
      </c>
      <c r="O3709" s="72"/>
      <c r="P3709" s="36" t="str">
        <f t="shared" si="352"/>
        <v/>
      </c>
      <c r="Q3709" s="216" t="str">
        <f t="shared" si="353"/>
        <v/>
      </c>
      <c r="R3709" s="216" t="str">
        <f t="shared" si="354"/>
        <v/>
      </c>
      <c r="S3709" s="217" t="str">
        <f t="shared" si="355"/>
        <v/>
      </c>
    </row>
    <row r="3710" spans="1:19" ht="15.75" hidden="1" thickBot="1" x14ac:dyDescent="0.3">
      <c r="A3710" s="256" t="s">
        <v>965</v>
      </c>
      <c r="B3710" s="259" t="str">
        <f>INDEX(Orçamentária!A:B,MATCH(Composições!A3710,Orçamentária!A:A,0),2)</f>
        <v>Fixadores metálicos para rochas ornamentais (Modelo Edifício Principal, peça inferior)</v>
      </c>
      <c r="C3710" s="40"/>
      <c r="D3710" s="25" t="s">
        <v>16</v>
      </c>
      <c r="E3710" s="26"/>
      <c r="F3710" s="48" t="s">
        <v>416</v>
      </c>
      <c r="G3710" s="27" t="str">
        <f t="shared" si="356"/>
        <v/>
      </c>
      <c r="H3710" s="28"/>
      <c r="I3710" s="29"/>
      <c r="J3710" s="152">
        <v>0</v>
      </c>
      <c r="L3710" s="218"/>
      <c r="M3710" s="48"/>
      <c r="N3710" s="27" t="str">
        <f t="shared" si="357"/>
        <v/>
      </c>
      <c r="O3710" s="28"/>
      <c r="P3710" s="36" t="str">
        <f t="shared" si="352"/>
        <v/>
      </c>
      <c r="Q3710" s="216" t="str">
        <f t="shared" si="353"/>
        <v/>
      </c>
      <c r="R3710" s="216" t="str">
        <f t="shared" si="354"/>
        <v/>
      </c>
      <c r="S3710" s="217" t="str">
        <f t="shared" si="355"/>
        <v/>
      </c>
    </row>
    <row r="3711" spans="1:19" ht="15.75" hidden="1" thickBot="1" x14ac:dyDescent="0.3">
      <c r="A3711" s="262"/>
      <c r="B3711" s="260"/>
      <c r="C3711" s="31"/>
      <c r="D3711" s="31"/>
      <c r="E3711" s="32"/>
      <c r="F3711" s="53" t="s">
        <v>416</v>
      </c>
      <c r="G3711" s="53" t="str">
        <f t="shared" si="356"/>
        <v/>
      </c>
      <c r="H3711" s="72"/>
      <c r="I3711" s="73"/>
      <c r="J3711" s="152">
        <v>0</v>
      </c>
      <c r="L3711" s="219"/>
      <c r="M3711" s="53"/>
      <c r="N3711" s="53" t="str">
        <f t="shared" si="357"/>
        <v/>
      </c>
      <c r="O3711" s="72"/>
      <c r="P3711" s="36" t="str">
        <f t="shared" si="352"/>
        <v/>
      </c>
      <c r="Q3711" s="216" t="str">
        <f t="shared" si="353"/>
        <v/>
      </c>
      <c r="R3711" s="216" t="str">
        <f t="shared" si="354"/>
        <v/>
      </c>
      <c r="S3711" s="217" t="str">
        <f t="shared" si="355"/>
        <v/>
      </c>
    </row>
    <row r="3712" spans="1:19" ht="15.75" hidden="1" thickBot="1" x14ac:dyDescent="0.3">
      <c r="A3712" s="262"/>
      <c r="B3712" s="260"/>
      <c r="C3712" s="35" t="s">
        <v>591</v>
      </c>
      <c r="D3712" s="35" t="s">
        <v>583</v>
      </c>
      <c r="E3712" s="36">
        <f>0.1+0.1</f>
        <v>0.2</v>
      </c>
      <c r="F3712" s="53">
        <v>27.160499999999999</v>
      </c>
      <c r="G3712" s="53">
        <f t="shared" si="356"/>
        <v>5.4321000000000002</v>
      </c>
      <c r="H3712" s="38">
        <f>SUM(G3712:G3717)</f>
        <v>9.7687871391722965</v>
      </c>
      <c r="I3712" s="39"/>
      <c r="J3712" s="152">
        <v>0</v>
      </c>
      <c r="L3712" s="215">
        <v>0.2</v>
      </c>
      <c r="M3712" s="53">
        <v>23.249388</v>
      </c>
      <c r="N3712" s="53">
        <f t="shared" si="357"/>
        <v>4.6498775999999999</v>
      </c>
      <c r="O3712" s="38">
        <f>SUM(N3712:N3717)</f>
        <v>8.3620817911314855</v>
      </c>
      <c r="P3712" s="36" t="str">
        <f t="shared" si="352"/>
        <v/>
      </c>
      <c r="Q3712" s="216">
        <f t="shared" si="353"/>
        <v>0.14400000000000002</v>
      </c>
      <c r="R3712" s="216">
        <f t="shared" si="354"/>
        <v>0.14400000000000002</v>
      </c>
      <c r="S3712" s="217">
        <f t="shared" si="355"/>
        <v>0.14400000000000002</v>
      </c>
    </row>
    <row r="3713" spans="1:19" ht="15.75" hidden="1" thickBot="1" x14ac:dyDescent="0.3">
      <c r="A3713" s="262"/>
      <c r="B3713" s="260"/>
      <c r="C3713" s="35" t="s">
        <v>584</v>
      </c>
      <c r="D3713" s="35" t="s">
        <v>583</v>
      </c>
      <c r="E3713" s="36">
        <f>0.1+0.1</f>
        <v>0.2</v>
      </c>
      <c r="F3713" s="53">
        <v>20.225499999999997</v>
      </c>
      <c r="G3713" s="53">
        <f t="shared" si="356"/>
        <v>4.0450999999999997</v>
      </c>
      <c r="H3713" s="72"/>
      <c r="I3713" s="73"/>
      <c r="J3713" s="152">
        <v>0</v>
      </c>
      <c r="L3713" s="215">
        <v>0.2</v>
      </c>
      <c r="M3713" s="53">
        <v>17.313027999999996</v>
      </c>
      <c r="N3713" s="53">
        <f t="shared" si="357"/>
        <v>3.4626055999999994</v>
      </c>
      <c r="O3713" s="72"/>
      <c r="P3713" s="36" t="str">
        <f t="shared" si="352"/>
        <v/>
      </c>
      <c r="Q3713" s="216">
        <f t="shared" si="353"/>
        <v>0.14400000000000013</v>
      </c>
      <c r="R3713" s="216">
        <f t="shared" si="354"/>
        <v>0.14400000000000013</v>
      </c>
      <c r="S3713" s="217" t="str">
        <f t="shared" si="355"/>
        <v/>
      </c>
    </row>
    <row r="3714" spans="1:19" ht="15.75" hidden="1" thickBot="1" x14ac:dyDescent="0.3">
      <c r="A3714" s="262"/>
      <c r="B3714" s="260"/>
      <c r="C3714" s="35" t="s">
        <v>893</v>
      </c>
      <c r="D3714" s="35" t="s">
        <v>107</v>
      </c>
      <c r="E3714" s="36">
        <f>0.016*2</f>
        <v>3.2000000000000001E-2</v>
      </c>
      <c r="F3714" s="53">
        <v>0</v>
      </c>
      <c r="G3714" s="53">
        <f t="shared" si="356"/>
        <v>0</v>
      </c>
      <c r="H3714" s="72"/>
      <c r="I3714" s="73"/>
      <c r="J3714" s="152">
        <v>0</v>
      </c>
      <c r="L3714" s="215">
        <v>3.2000000000000001E-2</v>
      </c>
      <c r="M3714" s="53">
        <v>0</v>
      </c>
      <c r="N3714" s="53">
        <f t="shared" si="357"/>
        <v>0</v>
      </c>
      <c r="O3714" s="72"/>
      <c r="P3714" s="36" t="str">
        <f t="shared" si="352"/>
        <v/>
      </c>
      <c r="Q3714" s="216" t="e">
        <f t="shared" si="353"/>
        <v>#DIV/0!</v>
      </c>
      <c r="R3714" s="216" t="e">
        <f t="shared" si="354"/>
        <v>#DIV/0!</v>
      </c>
      <c r="S3714" s="217" t="str">
        <f t="shared" si="355"/>
        <v/>
      </c>
    </row>
    <row r="3715" spans="1:19" ht="15.75" hidden="1" thickBot="1" x14ac:dyDescent="0.3">
      <c r="A3715" s="262"/>
      <c r="B3715" s="260"/>
      <c r="C3715" s="35" t="s">
        <v>894</v>
      </c>
      <c r="D3715" s="35" t="s">
        <v>895</v>
      </c>
      <c r="E3715" s="36">
        <f>0.1*2</f>
        <v>0.2</v>
      </c>
      <c r="F3715" s="53">
        <v>0</v>
      </c>
      <c r="G3715" s="53">
        <f t="shared" si="356"/>
        <v>0</v>
      </c>
      <c r="H3715" s="72"/>
      <c r="I3715" s="73"/>
      <c r="J3715" s="152">
        <v>0</v>
      </c>
      <c r="L3715" s="215">
        <v>0.2</v>
      </c>
      <c r="M3715" s="53">
        <v>0</v>
      </c>
      <c r="N3715" s="53">
        <f t="shared" si="357"/>
        <v>0</v>
      </c>
      <c r="O3715" s="72"/>
      <c r="P3715" s="36" t="str">
        <f t="shared" si="352"/>
        <v/>
      </c>
      <c r="Q3715" s="216" t="e">
        <f t="shared" si="353"/>
        <v>#DIV/0!</v>
      </c>
      <c r="R3715" s="216" t="e">
        <f t="shared" si="354"/>
        <v>#DIV/0!</v>
      </c>
      <c r="S3715" s="217" t="str">
        <f t="shared" si="355"/>
        <v/>
      </c>
    </row>
    <row r="3716" spans="1:19" ht="15.75" hidden="1" thickBot="1" x14ac:dyDescent="0.3">
      <c r="A3716" s="262"/>
      <c r="B3716" s="260"/>
      <c r="C3716" s="35" t="s">
        <v>966</v>
      </c>
      <c r="D3716" s="35" t="s">
        <v>107</v>
      </c>
      <c r="E3716" s="36">
        <v>1</v>
      </c>
      <c r="F3716" s="53" t="s">
        <v>416</v>
      </c>
      <c r="G3716" s="53" t="str">
        <f t="shared" si="356"/>
        <v/>
      </c>
      <c r="H3716" s="72"/>
      <c r="I3716" s="73"/>
      <c r="J3716" s="152">
        <v>0</v>
      </c>
      <c r="L3716" s="215">
        <v>1</v>
      </c>
      <c r="M3716" s="53"/>
      <c r="N3716" s="53" t="str">
        <f t="shared" si="357"/>
        <v/>
      </c>
      <c r="O3716" s="72"/>
      <c r="P3716" s="36" t="str">
        <f t="shared" si="352"/>
        <v/>
      </c>
      <c r="Q3716" s="216" t="str">
        <f t="shared" si="353"/>
        <v/>
      </c>
      <c r="R3716" s="216" t="str">
        <f t="shared" si="354"/>
        <v/>
      </c>
      <c r="S3716" s="217" t="str">
        <f t="shared" si="355"/>
        <v/>
      </c>
    </row>
    <row r="3717" spans="1:19" ht="39" hidden="1" thickBot="1" x14ac:dyDescent="0.3">
      <c r="A3717" s="262"/>
      <c r="B3717" s="260"/>
      <c r="C3717" s="35" t="s">
        <v>896</v>
      </c>
      <c r="D3717" s="35" t="s">
        <v>80</v>
      </c>
      <c r="E3717" s="36">
        <f>ROUND(0.15*0.05*0.05,4)</f>
        <v>4.0000000000000002E-4</v>
      </c>
      <c r="F3717" s="53">
        <v>728.96784793074005</v>
      </c>
      <c r="G3717" s="53">
        <f t="shared" si="356"/>
        <v>0.29158713917229601</v>
      </c>
      <c r="H3717" s="72"/>
      <c r="I3717" s="73"/>
      <c r="J3717" s="152">
        <v>0</v>
      </c>
      <c r="L3717" s="215">
        <v>4.0000000000000002E-4</v>
      </c>
      <c r="M3717" s="53">
        <v>623.99647782871352</v>
      </c>
      <c r="N3717" s="53">
        <f t="shared" si="357"/>
        <v>0.24959859113148541</v>
      </c>
      <c r="O3717" s="72"/>
      <c r="P3717" s="36" t="str">
        <f t="shared" si="352"/>
        <v/>
      </c>
      <c r="Q3717" s="216">
        <f t="shared" si="353"/>
        <v>0.14399999999999991</v>
      </c>
      <c r="R3717" s="216">
        <f t="shared" si="354"/>
        <v>0.14399999999999991</v>
      </c>
      <c r="S3717" s="217" t="str">
        <f t="shared" si="355"/>
        <v/>
      </c>
    </row>
    <row r="3718" spans="1:19" ht="15.75" hidden="1" thickBot="1" x14ac:dyDescent="0.3">
      <c r="A3718" s="262"/>
      <c r="B3718" s="260"/>
      <c r="C3718" s="35"/>
      <c r="D3718" s="35"/>
      <c r="E3718" s="36"/>
      <c r="F3718" s="53" t="s">
        <v>416</v>
      </c>
      <c r="G3718" s="53" t="str">
        <f t="shared" si="356"/>
        <v/>
      </c>
      <c r="H3718" s="72"/>
      <c r="I3718" s="73"/>
      <c r="J3718" s="152">
        <v>0</v>
      </c>
      <c r="L3718" s="215"/>
      <c r="M3718" s="53"/>
      <c r="N3718" s="53" t="str">
        <f t="shared" si="357"/>
        <v/>
      </c>
      <c r="O3718" s="72"/>
      <c r="P3718" s="36" t="str">
        <f t="shared" si="352"/>
        <v/>
      </c>
      <c r="Q3718" s="216" t="str">
        <f t="shared" si="353"/>
        <v/>
      </c>
      <c r="R3718" s="216" t="str">
        <f t="shared" si="354"/>
        <v/>
      </c>
      <c r="S3718" s="217" t="str">
        <f t="shared" si="355"/>
        <v/>
      </c>
    </row>
    <row r="3719" spans="1:19" ht="15.75" hidden="1" thickBot="1" x14ac:dyDescent="0.3">
      <c r="A3719" s="262"/>
      <c r="B3719" s="260"/>
      <c r="C3719" s="149" t="s">
        <v>897</v>
      </c>
      <c r="D3719" s="35"/>
      <c r="E3719" s="36"/>
      <c r="F3719" s="53" t="s">
        <v>416</v>
      </c>
      <c r="G3719" s="53" t="str">
        <f t="shared" si="356"/>
        <v/>
      </c>
      <c r="H3719" s="72"/>
      <c r="I3719" s="73"/>
      <c r="J3719" s="152">
        <v>0</v>
      </c>
      <c r="L3719" s="215"/>
      <c r="M3719" s="53"/>
      <c r="N3719" s="53" t="str">
        <f t="shared" si="357"/>
        <v/>
      </c>
      <c r="O3719" s="72"/>
      <c r="P3719" s="36" t="str">
        <f t="shared" si="352"/>
        <v/>
      </c>
      <c r="Q3719" s="216" t="str">
        <f t="shared" si="353"/>
        <v/>
      </c>
      <c r="R3719" s="216" t="str">
        <f t="shared" si="354"/>
        <v/>
      </c>
      <c r="S3719" s="217" t="str">
        <f t="shared" si="355"/>
        <v/>
      </c>
    </row>
    <row r="3720" spans="1:19" ht="15.75" hidden="1" thickBot="1" x14ac:dyDescent="0.3">
      <c r="A3720" s="263"/>
      <c r="B3720" s="261"/>
      <c r="C3720" s="54"/>
      <c r="D3720" s="54"/>
      <c r="E3720" s="65"/>
      <c r="F3720" s="75" t="s">
        <v>416</v>
      </c>
      <c r="G3720" s="75" t="str">
        <f t="shared" si="356"/>
        <v/>
      </c>
      <c r="H3720" s="76"/>
      <c r="I3720" s="73"/>
      <c r="J3720" s="152">
        <v>0</v>
      </c>
      <c r="L3720" s="222"/>
      <c r="M3720" s="75"/>
      <c r="N3720" s="75" t="str">
        <f t="shared" si="357"/>
        <v/>
      </c>
      <c r="O3720" s="76"/>
      <c r="P3720" s="36" t="str">
        <f t="shared" ref="P3720:P3783" si="358">IF(ISBLANK(L3720),"",IF($E3720&lt;&gt;L3720,"SIM",""))</f>
        <v/>
      </c>
      <c r="Q3720" s="216" t="str">
        <f t="shared" ref="Q3720:Q3783" si="359">IF(M3720="","",1-M3720/$F3720)</f>
        <v/>
      </c>
      <c r="R3720" s="216" t="str">
        <f t="shared" ref="R3720:R3783" si="360">IF(N3720="","",1-N3720/$G3720)</f>
        <v/>
      </c>
      <c r="S3720" s="217" t="str">
        <f t="shared" ref="S3720:S3783" si="361">IF(O3720="","",1-O3720/$H3720)</f>
        <v/>
      </c>
    </row>
    <row r="3721" spans="1:19" ht="15.75" hidden="1" thickBot="1" x14ac:dyDescent="0.3">
      <c r="A3721" s="256" t="s">
        <v>967</v>
      </c>
      <c r="B3721" s="259" t="str">
        <f>INDEX(Orçamentária!A:B,MATCH(Composições!A3721,Orçamentária!A:A,0),2)</f>
        <v>Locação de Container - Escritório</v>
      </c>
      <c r="C3721" s="40"/>
      <c r="D3721" s="25" t="s">
        <v>4170</v>
      </c>
      <c r="E3721" s="26"/>
      <c r="F3721" s="48" t="s">
        <v>416</v>
      </c>
      <c r="G3721" s="27" t="str">
        <f t="shared" si="356"/>
        <v/>
      </c>
      <c r="H3721" s="28"/>
      <c r="I3721" s="29"/>
      <c r="J3721" s="152">
        <v>0</v>
      </c>
      <c r="L3721" s="218"/>
      <c r="M3721" s="48"/>
      <c r="N3721" s="27" t="str">
        <f t="shared" si="357"/>
        <v/>
      </c>
      <c r="O3721" s="28"/>
      <c r="P3721" s="36" t="str">
        <f t="shared" si="358"/>
        <v/>
      </c>
      <c r="Q3721" s="216" t="str">
        <f t="shared" si="359"/>
        <v/>
      </c>
      <c r="R3721" s="216" t="str">
        <f t="shared" si="360"/>
        <v/>
      </c>
      <c r="S3721" s="217" t="str">
        <f t="shared" si="361"/>
        <v/>
      </c>
    </row>
    <row r="3722" spans="1:19" ht="15.75" hidden="1" thickBot="1" x14ac:dyDescent="0.3">
      <c r="A3722" s="257"/>
      <c r="B3722" s="260"/>
      <c r="C3722" s="31"/>
      <c r="D3722" s="31"/>
      <c r="E3722" s="32"/>
      <c r="F3722" s="53" t="s">
        <v>416</v>
      </c>
      <c r="G3722" s="53" t="str">
        <f t="shared" si="356"/>
        <v/>
      </c>
      <c r="H3722" s="72"/>
      <c r="I3722" s="73"/>
      <c r="J3722" s="152">
        <v>0</v>
      </c>
      <c r="L3722" s="219"/>
      <c r="M3722" s="53"/>
      <c r="N3722" s="53" t="str">
        <f t="shared" si="357"/>
        <v/>
      </c>
      <c r="O3722" s="72"/>
      <c r="P3722" s="36" t="str">
        <f t="shared" si="358"/>
        <v/>
      </c>
      <c r="Q3722" s="216" t="str">
        <f t="shared" si="359"/>
        <v/>
      </c>
      <c r="R3722" s="216" t="str">
        <f t="shared" si="360"/>
        <v/>
      </c>
      <c r="S3722" s="217" t="str">
        <f t="shared" si="361"/>
        <v/>
      </c>
    </row>
    <row r="3723" spans="1:19" ht="39" hidden="1" thickBot="1" x14ac:dyDescent="0.3">
      <c r="A3723" s="257"/>
      <c r="B3723" s="260"/>
      <c r="C3723" s="35" t="s">
        <v>8224</v>
      </c>
      <c r="D3723" s="35" t="s">
        <v>93</v>
      </c>
      <c r="E3723" s="36">
        <v>1</v>
      </c>
      <c r="F3723" s="53">
        <v>1163.75</v>
      </c>
      <c r="G3723" s="53">
        <f t="shared" si="356"/>
        <v>1163.75</v>
      </c>
      <c r="H3723" s="38">
        <f>SUM(G3723:G3723)</f>
        <v>1163.75</v>
      </c>
      <c r="I3723" s="39"/>
      <c r="J3723" s="152">
        <v>0</v>
      </c>
      <c r="L3723" s="215">
        <v>1</v>
      </c>
      <c r="M3723" s="53">
        <v>996.17000000000007</v>
      </c>
      <c r="N3723" s="53">
        <f t="shared" si="357"/>
        <v>996.17000000000007</v>
      </c>
      <c r="O3723" s="38">
        <f>SUM(N3723:N3723)</f>
        <v>996.17000000000007</v>
      </c>
      <c r="P3723" s="36" t="str">
        <f t="shared" si="358"/>
        <v/>
      </c>
      <c r="Q3723" s="216">
        <f t="shared" si="359"/>
        <v>0.14399999999999991</v>
      </c>
      <c r="R3723" s="216">
        <f t="shared" si="360"/>
        <v>0.14399999999999991</v>
      </c>
      <c r="S3723" s="217">
        <f t="shared" si="361"/>
        <v>0.14399999999999991</v>
      </c>
    </row>
    <row r="3724" spans="1:19" ht="15.75" hidden="1" thickBot="1" x14ac:dyDescent="0.3">
      <c r="A3724" s="258"/>
      <c r="B3724" s="261"/>
      <c r="C3724" s="35"/>
      <c r="D3724" s="35"/>
      <c r="E3724" s="36"/>
      <c r="F3724" s="53" t="s">
        <v>416</v>
      </c>
      <c r="G3724" s="53" t="str">
        <f t="shared" si="356"/>
        <v/>
      </c>
      <c r="H3724" s="72"/>
      <c r="I3724" s="73"/>
      <c r="J3724" s="152">
        <v>0</v>
      </c>
      <c r="L3724" s="215"/>
      <c r="M3724" s="53"/>
      <c r="N3724" s="53" t="str">
        <f t="shared" si="357"/>
        <v/>
      </c>
      <c r="O3724" s="72"/>
      <c r="P3724" s="36" t="str">
        <f t="shared" si="358"/>
        <v/>
      </c>
      <c r="Q3724" s="216" t="str">
        <f t="shared" si="359"/>
        <v/>
      </c>
      <c r="R3724" s="216" t="str">
        <f t="shared" si="360"/>
        <v/>
      </c>
      <c r="S3724" s="217" t="str">
        <f t="shared" si="361"/>
        <v/>
      </c>
    </row>
    <row r="3725" spans="1:19" ht="15.75" hidden="1" thickBot="1" x14ac:dyDescent="0.3">
      <c r="A3725" s="256" t="s">
        <v>968</v>
      </c>
      <c r="B3725" s="259" t="str">
        <f>INDEX(Orçamentária!A:B,MATCH(Composições!A3725,Orçamentária!A:A,0),2)</f>
        <v>Abertura/fechamento de rasgo em concreto</v>
      </c>
      <c r="C3725" s="40"/>
      <c r="D3725" s="25" t="s">
        <v>69</v>
      </c>
      <c r="E3725" s="26"/>
      <c r="F3725" s="41" t="s">
        <v>416</v>
      </c>
      <c r="G3725" s="27" t="str">
        <f t="shared" si="356"/>
        <v/>
      </c>
      <c r="H3725" s="28"/>
      <c r="I3725" s="29"/>
      <c r="J3725" s="152">
        <v>0</v>
      </c>
      <c r="L3725" s="218"/>
      <c r="M3725" s="41"/>
      <c r="N3725" s="27" t="str">
        <f t="shared" si="357"/>
        <v/>
      </c>
      <c r="O3725" s="28"/>
      <c r="P3725" s="36" t="str">
        <f t="shared" si="358"/>
        <v/>
      </c>
      <c r="Q3725" s="216" t="str">
        <f t="shared" si="359"/>
        <v/>
      </c>
      <c r="R3725" s="216" t="str">
        <f t="shared" si="360"/>
        <v/>
      </c>
      <c r="S3725" s="217" t="str">
        <f t="shared" si="361"/>
        <v/>
      </c>
    </row>
    <row r="3726" spans="1:19" ht="15.75" hidden="1" thickBot="1" x14ac:dyDescent="0.3">
      <c r="A3726" s="262"/>
      <c r="B3726" s="260"/>
      <c r="C3726" s="31"/>
      <c r="D3726" s="31"/>
      <c r="E3726" s="32"/>
      <c r="F3726" s="42" t="s">
        <v>416</v>
      </c>
      <c r="G3726" s="30" t="str">
        <f t="shared" si="356"/>
        <v/>
      </c>
      <c r="H3726" s="34"/>
      <c r="I3726" s="30"/>
      <c r="J3726" s="152">
        <v>0</v>
      </c>
      <c r="L3726" s="219"/>
      <c r="M3726" s="42"/>
      <c r="N3726" s="30" t="str">
        <f t="shared" si="357"/>
        <v/>
      </c>
      <c r="O3726" s="34"/>
      <c r="P3726" s="36" t="str">
        <f t="shared" si="358"/>
        <v/>
      </c>
      <c r="Q3726" s="216" t="str">
        <f t="shared" si="359"/>
        <v/>
      </c>
      <c r="R3726" s="216" t="str">
        <f t="shared" si="360"/>
        <v/>
      </c>
      <c r="S3726" s="217" t="str">
        <f t="shared" si="361"/>
        <v/>
      </c>
    </row>
    <row r="3727" spans="1:19" ht="26.25" hidden="1" thickBot="1" x14ac:dyDescent="0.3">
      <c r="A3727" s="262"/>
      <c r="B3727" s="260"/>
      <c r="C3727" s="35" t="s">
        <v>969</v>
      </c>
      <c r="D3727" s="35" t="s">
        <v>813</v>
      </c>
      <c r="E3727" s="36">
        <v>0.183</v>
      </c>
      <c r="F3727" s="30">
        <v>24.6525</v>
      </c>
      <c r="G3727" s="30">
        <f t="shared" si="356"/>
        <v>4.5114074999999998</v>
      </c>
      <c r="H3727" s="38">
        <f>SUM(G3727:G3733)</f>
        <v>45.447067364708005</v>
      </c>
      <c r="I3727" s="39"/>
      <c r="J3727" s="152">
        <v>0</v>
      </c>
      <c r="L3727" s="215">
        <v>0.183</v>
      </c>
      <c r="M3727" s="30">
        <v>21.102540000000001</v>
      </c>
      <c r="N3727" s="30">
        <f t="shared" si="357"/>
        <v>3.8617648200000003</v>
      </c>
      <c r="O3727" s="38">
        <f>SUM(N3727:N3733)</f>
        <v>38.902689664190042</v>
      </c>
      <c r="P3727" s="36" t="str">
        <f t="shared" si="358"/>
        <v/>
      </c>
      <c r="Q3727" s="216">
        <f t="shared" si="359"/>
        <v>0.14399999999999991</v>
      </c>
      <c r="R3727" s="216">
        <f t="shared" si="360"/>
        <v>0.14399999999999991</v>
      </c>
      <c r="S3727" s="217">
        <f t="shared" si="361"/>
        <v>0.14400000000000024</v>
      </c>
    </row>
    <row r="3728" spans="1:19" ht="26.25" hidden="1" thickBot="1" x14ac:dyDescent="0.3">
      <c r="A3728" s="262"/>
      <c r="B3728" s="260"/>
      <c r="C3728" s="35" t="s">
        <v>970</v>
      </c>
      <c r="D3728" s="35" t="s">
        <v>815</v>
      </c>
      <c r="E3728" s="36">
        <v>0.40100000000000002</v>
      </c>
      <c r="F3728" s="30">
        <v>23.008999999999997</v>
      </c>
      <c r="G3728" s="30">
        <f t="shared" si="356"/>
        <v>9.2266089999999998</v>
      </c>
      <c r="H3728" s="34"/>
      <c r="I3728" s="30"/>
      <c r="J3728" s="152">
        <v>0</v>
      </c>
      <c r="L3728" s="215">
        <v>0.40100000000000002</v>
      </c>
      <c r="M3728" s="30">
        <v>19.695703999999999</v>
      </c>
      <c r="N3728" s="30">
        <f t="shared" si="357"/>
        <v>7.8979773040000003</v>
      </c>
      <c r="O3728" s="34"/>
      <c r="P3728" s="36" t="str">
        <f t="shared" si="358"/>
        <v/>
      </c>
      <c r="Q3728" s="216">
        <f t="shared" si="359"/>
        <v>0.14399999999999991</v>
      </c>
      <c r="R3728" s="216">
        <f t="shared" si="360"/>
        <v>0.14399999999999991</v>
      </c>
      <c r="S3728" s="217" t="str">
        <f t="shared" si="361"/>
        <v/>
      </c>
    </row>
    <row r="3729" spans="1:19" ht="26.25" hidden="1" thickBot="1" x14ac:dyDescent="0.3">
      <c r="A3729" s="262"/>
      <c r="B3729" s="260"/>
      <c r="C3729" s="35" t="s">
        <v>824</v>
      </c>
      <c r="D3729" s="35" t="s">
        <v>583</v>
      </c>
      <c r="E3729" s="36">
        <v>9.0999999999999998E-2</v>
      </c>
      <c r="F3729" s="30">
        <v>21.166</v>
      </c>
      <c r="G3729" s="30">
        <f t="shared" si="356"/>
        <v>1.9261059999999999</v>
      </c>
      <c r="H3729" s="34"/>
      <c r="I3729" s="30"/>
      <c r="J3729" s="152">
        <v>0</v>
      </c>
      <c r="L3729" s="215">
        <v>9.0999999999999998E-2</v>
      </c>
      <c r="M3729" s="30">
        <v>18.118096000000001</v>
      </c>
      <c r="N3729" s="30">
        <f t="shared" si="357"/>
        <v>1.6487467360000001</v>
      </c>
      <c r="O3729" s="34"/>
      <c r="P3729" s="36" t="str">
        <f t="shared" si="358"/>
        <v/>
      </c>
      <c r="Q3729" s="216">
        <f t="shared" si="359"/>
        <v>0.14399999999999991</v>
      </c>
      <c r="R3729" s="216">
        <f t="shared" si="360"/>
        <v>0.14399999999999991</v>
      </c>
      <c r="S3729" s="217" t="str">
        <f t="shared" si="361"/>
        <v/>
      </c>
    </row>
    <row r="3730" spans="1:19" ht="26.25" hidden="1" thickBot="1" x14ac:dyDescent="0.3">
      <c r="A3730" s="262"/>
      <c r="B3730" s="260"/>
      <c r="C3730" s="35" t="s">
        <v>825</v>
      </c>
      <c r="D3730" s="35" t="s">
        <v>583</v>
      </c>
      <c r="E3730" s="36">
        <v>0.58299999999999996</v>
      </c>
      <c r="F3730" s="30">
        <v>26.799499999999998</v>
      </c>
      <c r="G3730" s="30">
        <f t="shared" si="356"/>
        <v>15.624108499999998</v>
      </c>
      <c r="H3730" s="34"/>
      <c r="I3730" s="30"/>
      <c r="J3730" s="152">
        <v>0</v>
      </c>
      <c r="L3730" s="215">
        <v>0.58299999999999996</v>
      </c>
      <c r="M3730" s="30">
        <v>22.940372</v>
      </c>
      <c r="N3730" s="30">
        <f t="shared" si="357"/>
        <v>13.374236875999999</v>
      </c>
      <c r="O3730" s="34"/>
      <c r="P3730" s="36" t="str">
        <f t="shared" si="358"/>
        <v/>
      </c>
      <c r="Q3730" s="216">
        <f t="shared" si="359"/>
        <v>0.14399999999999991</v>
      </c>
      <c r="R3730" s="216">
        <f t="shared" si="360"/>
        <v>0.14399999999999991</v>
      </c>
      <c r="S3730" s="217" t="str">
        <f t="shared" si="361"/>
        <v/>
      </c>
    </row>
    <row r="3731" spans="1:19" ht="26.25" hidden="1" thickBot="1" x14ac:dyDescent="0.3">
      <c r="A3731" s="262"/>
      <c r="B3731" s="260"/>
      <c r="C3731" s="35" t="s">
        <v>824</v>
      </c>
      <c r="D3731" s="35" t="s">
        <v>583</v>
      </c>
      <c r="E3731" s="36">
        <v>3.7999999999999999E-2</v>
      </c>
      <c r="F3731" s="30">
        <v>21.166</v>
      </c>
      <c r="G3731" s="30">
        <f t="shared" si="356"/>
        <v>0.80430800000000002</v>
      </c>
      <c r="H3731" s="34"/>
      <c r="I3731" s="30"/>
      <c r="J3731" s="152">
        <v>0</v>
      </c>
      <c r="L3731" s="215">
        <v>3.7999999999999999E-2</v>
      </c>
      <c r="M3731" s="30">
        <v>18.118096000000001</v>
      </c>
      <c r="N3731" s="30">
        <f t="shared" si="357"/>
        <v>0.68848764800000006</v>
      </c>
      <c r="O3731" s="34"/>
      <c r="P3731" s="36" t="str">
        <f t="shared" si="358"/>
        <v/>
      </c>
      <c r="Q3731" s="216">
        <f t="shared" si="359"/>
        <v>0.14399999999999991</v>
      </c>
      <c r="R3731" s="216">
        <f t="shared" si="360"/>
        <v>0.14399999999999991</v>
      </c>
      <c r="S3731" s="217" t="str">
        <f t="shared" si="361"/>
        <v/>
      </c>
    </row>
    <row r="3732" spans="1:19" ht="26.25" hidden="1" thickBot="1" x14ac:dyDescent="0.3">
      <c r="A3732" s="262"/>
      <c r="B3732" s="260"/>
      <c r="C3732" s="35" t="s">
        <v>825</v>
      </c>
      <c r="D3732" s="35" t="s">
        <v>583</v>
      </c>
      <c r="E3732" s="36">
        <v>0.27200000000000002</v>
      </c>
      <c r="F3732" s="30">
        <v>26.799499999999998</v>
      </c>
      <c r="G3732" s="30">
        <f t="shared" si="356"/>
        <v>7.2894639999999997</v>
      </c>
      <c r="H3732" s="34"/>
      <c r="I3732" s="30"/>
      <c r="J3732" s="152">
        <v>0</v>
      </c>
      <c r="L3732" s="215">
        <v>0.27200000000000002</v>
      </c>
      <c r="M3732" s="30">
        <v>22.940372</v>
      </c>
      <c r="N3732" s="30">
        <f t="shared" si="357"/>
        <v>6.2397811840000008</v>
      </c>
      <c r="O3732" s="34"/>
      <c r="P3732" s="36" t="str">
        <f t="shared" si="358"/>
        <v/>
      </c>
      <c r="Q3732" s="216">
        <f t="shared" si="359"/>
        <v>0.14399999999999991</v>
      </c>
      <c r="R3732" s="216">
        <f t="shared" si="360"/>
        <v>0.14399999999999991</v>
      </c>
      <c r="S3732" s="217" t="str">
        <f t="shared" si="361"/>
        <v/>
      </c>
    </row>
    <row r="3733" spans="1:19" ht="26.25" hidden="1" thickBot="1" x14ac:dyDescent="0.3">
      <c r="A3733" s="262"/>
      <c r="B3733" s="260"/>
      <c r="C3733" s="35" t="s">
        <v>79</v>
      </c>
      <c r="D3733" s="35" t="s">
        <v>80</v>
      </c>
      <c r="E3733" s="36">
        <v>8.0000000000000002E-3</v>
      </c>
      <c r="F3733" s="33">
        <v>758.13304558849984</v>
      </c>
      <c r="G3733" s="33">
        <f t="shared" si="356"/>
        <v>6.0650643647079985</v>
      </c>
      <c r="H3733" s="34"/>
      <c r="I3733" s="30"/>
      <c r="J3733" s="152">
        <v>0</v>
      </c>
      <c r="L3733" s="215">
        <v>8.0000000000000002E-3</v>
      </c>
      <c r="M3733" s="33">
        <v>648.96188702375593</v>
      </c>
      <c r="N3733" s="33">
        <f t="shared" si="357"/>
        <v>5.1916950961900472</v>
      </c>
      <c r="O3733" s="34"/>
      <c r="P3733" s="36" t="str">
        <f t="shared" si="358"/>
        <v/>
      </c>
      <c r="Q3733" s="216">
        <f t="shared" si="359"/>
        <v>0.14399999999999991</v>
      </c>
      <c r="R3733" s="216">
        <f t="shared" si="360"/>
        <v>0.14399999999999991</v>
      </c>
      <c r="S3733" s="217" t="str">
        <f t="shared" si="361"/>
        <v/>
      </c>
    </row>
    <row r="3734" spans="1:19" ht="15.75" hidden="1" thickBot="1" x14ac:dyDescent="0.3">
      <c r="A3734" s="263"/>
      <c r="B3734" s="261"/>
      <c r="C3734" s="35"/>
      <c r="D3734" s="35"/>
      <c r="E3734" s="36"/>
      <c r="F3734" s="30" t="s">
        <v>416</v>
      </c>
      <c r="G3734" s="30" t="str">
        <f t="shared" si="356"/>
        <v/>
      </c>
      <c r="H3734" s="34"/>
      <c r="I3734" s="30"/>
      <c r="J3734" s="152">
        <v>0</v>
      </c>
      <c r="L3734" s="215"/>
      <c r="M3734" s="30"/>
      <c r="N3734" s="30" t="str">
        <f t="shared" si="357"/>
        <v/>
      </c>
      <c r="O3734" s="34"/>
      <c r="P3734" s="36" t="str">
        <f t="shared" si="358"/>
        <v/>
      </c>
      <c r="Q3734" s="216" t="str">
        <f t="shared" si="359"/>
        <v/>
      </c>
      <c r="R3734" s="216" t="str">
        <f t="shared" si="360"/>
        <v/>
      </c>
      <c r="S3734" s="217" t="str">
        <f t="shared" si="361"/>
        <v/>
      </c>
    </row>
    <row r="3735" spans="1:19" ht="15.75" hidden="1" thickBot="1" x14ac:dyDescent="0.3">
      <c r="A3735" s="256" t="s">
        <v>971</v>
      </c>
      <c r="B3735" s="259" t="str">
        <f>INDEX(Orçamentária!A:B,MATCH(Composições!A3735,Orçamentária!A:A,0),2)</f>
        <v>Recomposição de rejuntamento sobre revestimentos</v>
      </c>
      <c r="C3735" s="40"/>
      <c r="D3735" s="25" t="s">
        <v>28</v>
      </c>
      <c r="E3735" s="26"/>
      <c r="F3735" s="48" t="s">
        <v>416</v>
      </c>
      <c r="G3735" s="27" t="str">
        <f t="shared" si="356"/>
        <v/>
      </c>
      <c r="H3735" s="28"/>
      <c r="I3735" s="29"/>
      <c r="J3735" s="152">
        <v>0</v>
      </c>
      <c r="L3735" s="218"/>
      <c r="M3735" s="48"/>
      <c r="N3735" s="27" t="str">
        <f t="shared" si="357"/>
        <v/>
      </c>
      <c r="O3735" s="28"/>
      <c r="P3735" s="36" t="str">
        <f t="shared" si="358"/>
        <v/>
      </c>
      <c r="Q3735" s="216" t="str">
        <f t="shared" si="359"/>
        <v/>
      </c>
      <c r="R3735" s="216" t="str">
        <f t="shared" si="360"/>
        <v/>
      </c>
      <c r="S3735" s="217" t="str">
        <f t="shared" si="361"/>
        <v/>
      </c>
    </row>
    <row r="3736" spans="1:19" ht="15.75" hidden="1" thickBot="1" x14ac:dyDescent="0.3">
      <c r="A3736" s="257"/>
      <c r="B3736" s="260"/>
      <c r="C3736" s="31"/>
      <c r="D3736" s="31"/>
      <c r="E3736" s="32"/>
      <c r="F3736" s="53" t="s">
        <v>416</v>
      </c>
      <c r="G3736" s="53" t="str">
        <f t="shared" si="356"/>
        <v/>
      </c>
      <c r="H3736" s="72"/>
      <c r="I3736" s="73"/>
      <c r="J3736" s="152">
        <v>0</v>
      </c>
      <c r="L3736" s="219"/>
      <c r="M3736" s="53"/>
      <c r="N3736" s="53" t="str">
        <f t="shared" si="357"/>
        <v/>
      </c>
      <c r="O3736" s="72"/>
      <c r="P3736" s="36" t="str">
        <f t="shared" si="358"/>
        <v/>
      </c>
      <c r="Q3736" s="216" t="str">
        <f t="shared" si="359"/>
        <v/>
      </c>
      <c r="R3736" s="216" t="str">
        <f t="shared" si="360"/>
        <v/>
      </c>
      <c r="S3736" s="217" t="str">
        <f t="shared" si="361"/>
        <v/>
      </c>
    </row>
    <row r="3737" spans="1:19" ht="15.75" hidden="1" thickBot="1" x14ac:dyDescent="0.3">
      <c r="A3737" s="257"/>
      <c r="B3737" s="260"/>
      <c r="C3737" s="35" t="s">
        <v>8367</v>
      </c>
      <c r="D3737" s="35" t="s">
        <v>773</v>
      </c>
      <c r="E3737" s="36">
        <v>1</v>
      </c>
      <c r="F3737" s="53">
        <v>3.4579999999999997</v>
      </c>
      <c r="G3737" s="53">
        <f t="shared" si="356"/>
        <v>3.4579999999999997</v>
      </c>
      <c r="H3737" s="38">
        <f>SUM(G3737:G3738)</f>
        <v>22.574729678638935</v>
      </c>
      <c r="I3737" s="39"/>
      <c r="J3737" s="152">
        <v>0</v>
      </c>
      <c r="L3737" s="215">
        <v>1</v>
      </c>
      <c r="M3737" s="53">
        <v>2.9600479999999996</v>
      </c>
      <c r="N3737" s="53">
        <f t="shared" si="357"/>
        <v>2.9600479999999996</v>
      </c>
      <c r="O3737" s="38">
        <f>SUM(N3737:N3738)</f>
        <v>19.323968604914928</v>
      </c>
      <c r="P3737" s="36" t="str">
        <f t="shared" si="358"/>
        <v/>
      </c>
      <c r="Q3737" s="216">
        <f t="shared" si="359"/>
        <v>0.14400000000000002</v>
      </c>
      <c r="R3737" s="216">
        <f t="shared" si="360"/>
        <v>0.14400000000000002</v>
      </c>
      <c r="S3737" s="217">
        <f t="shared" si="361"/>
        <v>0.14400000000000002</v>
      </c>
    </row>
    <row r="3738" spans="1:19" ht="15.75" hidden="1" thickBot="1" x14ac:dyDescent="0.3">
      <c r="A3738" s="257"/>
      <c r="B3738" s="260"/>
      <c r="C3738" s="35" t="s">
        <v>584</v>
      </c>
      <c r="D3738" s="35" t="s">
        <v>583</v>
      </c>
      <c r="E3738" s="36">
        <f>0.5/0.529</f>
        <v>0.94517958412098291</v>
      </c>
      <c r="F3738" s="53">
        <v>20.225499999999997</v>
      </c>
      <c r="G3738" s="53">
        <f t="shared" si="356"/>
        <v>19.116729678638936</v>
      </c>
      <c r="H3738" s="72"/>
      <c r="I3738" s="73"/>
      <c r="J3738" s="152">
        <v>0</v>
      </c>
      <c r="L3738" s="215">
        <v>0.94517958412098291</v>
      </c>
      <c r="M3738" s="53">
        <v>17.313027999999996</v>
      </c>
      <c r="N3738" s="53">
        <f t="shared" si="357"/>
        <v>16.363920604914927</v>
      </c>
      <c r="O3738" s="72"/>
      <c r="P3738" s="36" t="str">
        <f t="shared" si="358"/>
        <v/>
      </c>
      <c r="Q3738" s="216">
        <f t="shared" si="359"/>
        <v>0.14400000000000013</v>
      </c>
      <c r="R3738" s="216">
        <f t="shared" si="360"/>
        <v>0.14400000000000013</v>
      </c>
      <c r="S3738" s="217" t="str">
        <f t="shared" si="361"/>
        <v/>
      </c>
    </row>
    <row r="3739" spans="1:19" ht="15.75" hidden="1" thickBot="1" x14ac:dyDescent="0.3">
      <c r="A3739" s="258"/>
      <c r="B3739" s="261"/>
      <c r="C3739" s="35"/>
      <c r="D3739" s="35"/>
      <c r="E3739" s="36"/>
      <c r="F3739" s="53" t="s">
        <v>416</v>
      </c>
      <c r="G3739" s="53" t="str">
        <f t="shared" si="356"/>
        <v/>
      </c>
      <c r="H3739" s="72"/>
      <c r="I3739" s="73"/>
      <c r="J3739" s="152">
        <v>0</v>
      </c>
      <c r="L3739" s="215"/>
      <c r="M3739" s="53"/>
      <c r="N3739" s="53" t="str">
        <f t="shared" si="357"/>
        <v/>
      </c>
      <c r="O3739" s="72"/>
      <c r="P3739" s="36" t="str">
        <f t="shared" si="358"/>
        <v/>
      </c>
      <c r="Q3739" s="216" t="str">
        <f t="shared" si="359"/>
        <v/>
      </c>
      <c r="R3739" s="216" t="str">
        <f t="shared" si="360"/>
        <v/>
      </c>
      <c r="S3739" s="217" t="str">
        <f t="shared" si="361"/>
        <v/>
      </c>
    </row>
    <row r="3740" spans="1:19" ht="15.75" hidden="1" thickBot="1" x14ac:dyDescent="0.3">
      <c r="A3740" s="256" t="s">
        <v>972</v>
      </c>
      <c r="B3740" s="259" t="str">
        <f>INDEX(Orçamentária!A:B,MATCH(Composições!A3740,Orçamentária!A:A,0),2)</f>
        <v>Impermeabilização de revestimentos em pedra</v>
      </c>
      <c r="C3740" s="40"/>
      <c r="D3740" s="25" t="s">
        <v>70</v>
      </c>
      <c r="E3740" s="26"/>
      <c r="F3740" s="48" t="s">
        <v>416</v>
      </c>
      <c r="G3740" s="27" t="str">
        <f t="shared" si="356"/>
        <v/>
      </c>
      <c r="H3740" s="28"/>
      <c r="I3740" s="29"/>
      <c r="J3740" s="152">
        <v>0</v>
      </c>
      <c r="L3740" s="218"/>
      <c r="M3740" s="48"/>
      <c r="N3740" s="27" t="str">
        <f t="shared" si="357"/>
        <v/>
      </c>
      <c r="O3740" s="28"/>
      <c r="P3740" s="36" t="str">
        <f t="shared" si="358"/>
        <v/>
      </c>
      <c r="Q3740" s="216" t="str">
        <f t="shared" si="359"/>
        <v/>
      </c>
      <c r="R3740" s="216" t="str">
        <f t="shared" si="360"/>
        <v/>
      </c>
      <c r="S3740" s="217" t="str">
        <f t="shared" si="361"/>
        <v/>
      </c>
    </row>
    <row r="3741" spans="1:19" ht="15.75" hidden="1" thickBot="1" x14ac:dyDescent="0.3">
      <c r="A3741" s="257"/>
      <c r="B3741" s="260"/>
      <c r="C3741" s="31"/>
      <c r="D3741" s="31"/>
      <c r="E3741" s="32"/>
      <c r="F3741" s="53" t="s">
        <v>416</v>
      </c>
      <c r="G3741" s="53" t="str">
        <f t="shared" si="356"/>
        <v/>
      </c>
      <c r="H3741" s="72"/>
      <c r="I3741" s="73"/>
      <c r="J3741" s="152">
        <v>0</v>
      </c>
      <c r="L3741" s="219"/>
      <c r="M3741" s="53"/>
      <c r="N3741" s="53" t="str">
        <f t="shared" si="357"/>
        <v/>
      </c>
      <c r="O3741" s="72"/>
      <c r="P3741" s="36" t="str">
        <f t="shared" si="358"/>
        <v/>
      </c>
      <c r="Q3741" s="216" t="str">
        <f t="shared" si="359"/>
        <v/>
      </c>
      <c r="R3741" s="216" t="str">
        <f t="shared" si="360"/>
        <v/>
      </c>
      <c r="S3741" s="217" t="str">
        <f t="shared" si="361"/>
        <v/>
      </c>
    </row>
    <row r="3742" spans="1:19" ht="15.75" hidden="1" thickBot="1" x14ac:dyDescent="0.3">
      <c r="A3742" s="257"/>
      <c r="B3742" s="260"/>
      <c r="C3742" s="35" t="s">
        <v>973</v>
      </c>
      <c r="D3742" s="49" t="s">
        <v>75</v>
      </c>
      <c r="E3742" s="36">
        <f>ROUND(1/12,4)</f>
        <v>8.3299999999999999E-2</v>
      </c>
      <c r="F3742" s="53" t="s">
        <v>416</v>
      </c>
      <c r="G3742" s="53" t="str">
        <f t="shared" si="356"/>
        <v/>
      </c>
      <c r="H3742" s="38">
        <f>SUM(G3742:G3744)</f>
        <v>22.363949999999996</v>
      </c>
      <c r="I3742" s="39"/>
      <c r="J3742" s="152">
        <v>0</v>
      </c>
      <c r="L3742" s="215">
        <v>8.3299999999999999E-2</v>
      </c>
      <c r="M3742" s="53"/>
      <c r="N3742" s="53" t="str">
        <f t="shared" si="357"/>
        <v/>
      </c>
      <c r="O3742" s="38">
        <f>SUM(N3742:N3744)</f>
        <v>19.143541199999998</v>
      </c>
      <c r="P3742" s="36" t="str">
        <f t="shared" si="358"/>
        <v/>
      </c>
      <c r="Q3742" s="216" t="str">
        <f t="shared" si="359"/>
        <v/>
      </c>
      <c r="R3742" s="216" t="str">
        <f t="shared" si="360"/>
        <v/>
      </c>
      <c r="S3742" s="217">
        <f t="shared" si="361"/>
        <v>0.14399999999999991</v>
      </c>
    </row>
    <row r="3743" spans="1:19" ht="15.75" hidden="1" thickBot="1" x14ac:dyDescent="0.3">
      <c r="A3743" s="257"/>
      <c r="B3743" s="260"/>
      <c r="C3743" s="35" t="s">
        <v>881</v>
      </c>
      <c r="D3743" s="35" t="s">
        <v>583</v>
      </c>
      <c r="E3743" s="36">
        <f>1.2/2</f>
        <v>0.6</v>
      </c>
      <c r="F3743" s="53">
        <v>27.160499999999999</v>
      </c>
      <c r="G3743" s="53">
        <f t="shared" si="356"/>
        <v>16.296299999999999</v>
      </c>
      <c r="H3743" s="72"/>
      <c r="I3743" s="73"/>
      <c r="J3743" s="152">
        <v>0</v>
      </c>
      <c r="L3743" s="215">
        <v>0.6</v>
      </c>
      <c r="M3743" s="53">
        <v>23.249388</v>
      </c>
      <c r="N3743" s="53">
        <f t="shared" si="357"/>
        <v>13.9496328</v>
      </c>
      <c r="O3743" s="72"/>
      <c r="P3743" s="36" t="str">
        <f t="shared" si="358"/>
        <v/>
      </c>
      <c r="Q3743" s="216">
        <f t="shared" si="359"/>
        <v>0.14400000000000002</v>
      </c>
      <c r="R3743" s="216">
        <f t="shared" si="360"/>
        <v>0.14399999999999991</v>
      </c>
      <c r="S3743" s="217" t="str">
        <f t="shared" si="361"/>
        <v/>
      </c>
    </row>
    <row r="3744" spans="1:19" ht="15.75" hidden="1" thickBot="1" x14ac:dyDescent="0.3">
      <c r="A3744" s="257"/>
      <c r="B3744" s="260"/>
      <c r="C3744" s="35" t="s">
        <v>584</v>
      </c>
      <c r="D3744" s="35" t="s">
        <v>583</v>
      </c>
      <c r="E3744" s="36">
        <f>0.6/2</f>
        <v>0.3</v>
      </c>
      <c r="F3744" s="53">
        <v>20.225499999999997</v>
      </c>
      <c r="G3744" s="53">
        <f t="shared" si="356"/>
        <v>6.0676499999999987</v>
      </c>
      <c r="H3744" s="72"/>
      <c r="I3744" s="73"/>
      <c r="J3744" s="152">
        <v>0</v>
      </c>
      <c r="L3744" s="215">
        <v>0.3</v>
      </c>
      <c r="M3744" s="53">
        <v>17.313027999999996</v>
      </c>
      <c r="N3744" s="53">
        <f t="shared" si="357"/>
        <v>5.1939083999999989</v>
      </c>
      <c r="O3744" s="72"/>
      <c r="P3744" s="36" t="str">
        <f t="shared" si="358"/>
        <v/>
      </c>
      <c r="Q3744" s="216">
        <f t="shared" si="359"/>
        <v>0.14400000000000013</v>
      </c>
      <c r="R3744" s="216">
        <f t="shared" si="360"/>
        <v>0.14400000000000002</v>
      </c>
      <c r="S3744" s="217" t="str">
        <f t="shared" si="361"/>
        <v/>
      </c>
    </row>
    <row r="3745" spans="1:19" ht="15.75" hidden="1" thickBot="1" x14ac:dyDescent="0.3">
      <c r="A3745" s="257"/>
      <c r="B3745" s="260"/>
      <c r="C3745" s="35"/>
      <c r="D3745" s="35"/>
      <c r="E3745" s="36"/>
      <c r="F3745" s="53" t="s">
        <v>416</v>
      </c>
      <c r="G3745" s="53" t="str">
        <f t="shared" si="356"/>
        <v/>
      </c>
      <c r="H3745" s="72"/>
      <c r="I3745" s="73"/>
      <c r="J3745" s="152">
        <v>0</v>
      </c>
      <c r="L3745" s="215"/>
      <c r="M3745" s="53"/>
      <c r="N3745" s="53" t="str">
        <f t="shared" si="357"/>
        <v/>
      </c>
      <c r="O3745" s="72"/>
      <c r="P3745" s="36" t="str">
        <f t="shared" si="358"/>
        <v/>
      </c>
      <c r="Q3745" s="216" t="str">
        <f t="shared" si="359"/>
        <v/>
      </c>
      <c r="R3745" s="216" t="str">
        <f t="shared" si="360"/>
        <v/>
      </c>
      <c r="S3745" s="217" t="str">
        <f t="shared" si="361"/>
        <v/>
      </c>
    </row>
    <row r="3746" spans="1:19" ht="26.25" hidden="1" thickBot="1" x14ac:dyDescent="0.3">
      <c r="A3746" s="257"/>
      <c r="B3746" s="260"/>
      <c r="C3746" s="47" t="s">
        <v>974</v>
      </c>
      <c r="D3746" s="35"/>
      <c r="E3746" s="36"/>
      <c r="F3746" s="53" t="s">
        <v>416</v>
      </c>
      <c r="G3746" s="53" t="str">
        <f t="shared" si="356"/>
        <v/>
      </c>
      <c r="H3746" s="72"/>
      <c r="I3746" s="73"/>
      <c r="J3746" s="152">
        <v>0</v>
      </c>
      <c r="L3746" s="215"/>
      <c r="M3746" s="53"/>
      <c r="N3746" s="53" t="str">
        <f t="shared" si="357"/>
        <v/>
      </c>
      <c r="O3746" s="72"/>
      <c r="P3746" s="36" t="str">
        <f t="shared" si="358"/>
        <v/>
      </c>
      <c r="Q3746" s="216" t="str">
        <f t="shared" si="359"/>
        <v/>
      </c>
      <c r="R3746" s="216" t="str">
        <f t="shared" si="360"/>
        <v/>
      </c>
      <c r="S3746" s="217" t="str">
        <f t="shared" si="361"/>
        <v/>
      </c>
    </row>
    <row r="3747" spans="1:19" ht="15.75" hidden="1" thickBot="1" x14ac:dyDescent="0.3">
      <c r="A3747" s="257"/>
      <c r="B3747" s="260"/>
      <c r="C3747" s="47" t="s">
        <v>975</v>
      </c>
      <c r="D3747" s="35"/>
      <c r="E3747" s="36"/>
      <c r="F3747" s="53" t="s">
        <v>416</v>
      </c>
      <c r="G3747" s="53" t="str">
        <f t="shared" si="356"/>
        <v/>
      </c>
      <c r="H3747" s="72"/>
      <c r="I3747" s="73"/>
      <c r="J3747" s="152">
        <v>0</v>
      </c>
      <c r="L3747" s="215"/>
      <c r="M3747" s="53"/>
      <c r="N3747" s="53" t="str">
        <f t="shared" si="357"/>
        <v/>
      </c>
      <c r="O3747" s="72"/>
      <c r="P3747" s="36" t="str">
        <f t="shared" si="358"/>
        <v/>
      </c>
      <c r="Q3747" s="216" t="str">
        <f t="shared" si="359"/>
        <v/>
      </c>
      <c r="R3747" s="216" t="str">
        <f t="shared" si="360"/>
        <v/>
      </c>
      <c r="S3747" s="217" t="str">
        <f t="shared" si="361"/>
        <v/>
      </c>
    </row>
    <row r="3748" spans="1:19" ht="15.75" hidden="1" thickBot="1" x14ac:dyDescent="0.3">
      <c r="A3748" s="258"/>
      <c r="B3748" s="261"/>
      <c r="C3748" s="35"/>
      <c r="D3748" s="35"/>
      <c r="E3748" s="36"/>
      <c r="F3748" s="53" t="s">
        <v>416</v>
      </c>
      <c r="G3748" s="53" t="str">
        <f t="shared" si="356"/>
        <v/>
      </c>
      <c r="H3748" s="72"/>
      <c r="I3748" s="73"/>
      <c r="J3748" s="152">
        <v>0</v>
      </c>
      <c r="L3748" s="215"/>
      <c r="M3748" s="53"/>
      <c r="N3748" s="53" t="str">
        <f t="shared" si="357"/>
        <v/>
      </c>
      <c r="O3748" s="72"/>
      <c r="P3748" s="36" t="str">
        <f t="shared" si="358"/>
        <v/>
      </c>
      <c r="Q3748" s="216" t="str">
        <f t="shared" si="359"/>
        <v/>
      </c>
      <c r="R3748" s="216" t="str">
        <f t="shared" si="360"/>
        <v/>
      </c>
      <c r="S3748" s="217" t="str">
        <f t="shared" si="361"/>
        <v/>
      </c>
    </row>
    <row r="3749" spans="1:19" ht="15.75" hidden="1" thickBot="1" x14ac:dyDescent="0.3">
      <c r="A3749" s="256" t="s">
        <v>976</v>
      </c>
      <c r="B3749" s="259" t="str">
        <f>INDEX(Orçamentária!A:B,MATCH(Composições!A3749,Orçamentária!A:A,0),2)</f>
        <v>Piso vinílico semiflexível</v>
      </c>
      <c r="C3749" s="40"/>
      <c r="D3749" s="25" t="s">
        <v>70</v>
      </c>
      <c r="E3749" s="26"/>
      <c r="F3749" s="48" t="s">
        <v>416</v>
      </c>
      <c r="G3749" s="27" t="str">
        <f t="shared" si="356"/>
        <v/>
      </c>
      <c r="H3749" s="28"/>
      <c r="I3749" s="29"/>
      <c r="J3749" s="152">
        <v>0</v>
      </c>
      <c r="L3749" s="218"/>
      <c r="M3749" s="48"/>
      <c r="N3749" s="27" t="str">
        <f t="shared" si="357"/>
        <v/>
      </c>
      <c r="O3749" s="28"/>
      <c r="P3749" s="36" t="str">
        <f t="shared" si="358"/>
        <v/>
      </c>
      <c r="Q3749" s="216" t="str">
        <f t="shared" si="359"/>
        <v/>
      </c>
      <c r="R3749" s="216" t="str">
        <f t="shared" si="360"/>
        <v/>
      </c>
      <c r="S3749" s="217" t="str">
        <f t="shared" si="361"/>
        <v/>
      </c>
    </row>
    <row r="3750" spans="1:19" ht="15.75" hidden="1" thickBot="1" x14ac:dyDescent="0.3">
      <c r="A3750" s="262"/>
      <c r="B3750" s="260"/>
      <c r="C3750" s="31"/>
      <c r="D3750" s="31"/>
      <c r="E3750" s="32"/>
      <c r="F3750" s="53" t="s">
        <v>416</v>
      </c>
      <c r="G3750" s="53" t="str">
        <f t="shared" si="356"/>
        <v/>
      </c>
      <c r="H3750" s="72"/>
      <c r="I3750" s="73"/>
      <c r="J3750" s="152">
        <v>0</v>
      </c>
      <c r="L3750" s="219"/>
      <c r="M3750" s="53"/>
      <c r="N3750" s="53" t="str">
        <f t="shared" si="357"/>
        <v/>
      </c>
      <c r="O3750" s="72"/>
      <c r="P3750" s="36" t="str">
        <f t="shared" si="358"/>
        <v/>
      </c>
      <c r="Q3750" s="216" t="str">
        <f t="shared" si="359"/>
        <v/>
      </c>
      <c r="R3750" s="216" t="str">
        <f t="shared" si="360"/>
        <v/>
      </c>
      <c r="S3750" s="217" t="str">
        <f t="shared" si="361"/>
        <v/>
      </c>
    </row>
    <row r="3751" spans="1:19" ht="15.75" hidden="1" thickBot="1" x14ac:dyDescent="0.3">
      <c r="A3751" s="262"/>
      <c r="B3751" s="260"/>
      <c r="C3751" s="35" t="s">
        <v>7974</v>
      </c>
      <c r="D3751" s="35" t="s">
        <v>773</v>
      </c>
      <c r="E3751" s="36">
        <v>9.5000000000000001E-2</v>
      </c>
      <c r="F3751" s="53">
        <v>47.271999999999998</v>
      </c>
      <c r="G3751" s="53">
        <f t="shared" si="356"/>
        <v>4.4908399999999995</v>
      </c>
      <c r="H3751" s="38">
        <f>SUM(G3751:G3754)</f>
        <v>91.523703000000012</v>
      </c>
      <c r="I3751" s="39"/>
      <c r="J3751" s="152">
        <v>0</v>
      </c>
      <c r="L3751" s="215">
        <v>9.5000000000000001E-2</v>
      </c>
      <c r="M3751" s="53">
        <v>40.464832000000001</v>
      </c>
      <c r="N3751" s="53">
        <f t="shared" si="357"/>
        <v>3.8441590400000001</v>
      </c>
      <c r="O3751" s="38">
        <f>SUM(N3751:N3754)</f>
        <v>78.344289767999996</v>
      </c>
      <c r="P3751" s="36" t="str">
        <f t="shared" si="358"/>
        <v/>
      </c>
      <c r="Q3751" s="216">
        <f t="shared" si="359"/>
        <v>0.14399999999999991</v>
      </c>
      <c r="R3751" s="216">
        <f t="shared" si="360"/>
        <v>0.14399999999999991</v>
      </c>
      <c r="S3751" s="217">
        <f t="shared" si="361"/>
        <v>0.14400000000000013</v>
      </c>
    </row>
    <row r="3752" spans="1:19" ht="26.25" hidden="1" thickBot="1" x14ac:dyDescent="0.3">
      <c r="A3752" s="262"/>
      <c r="B3752" s="260"/>
      <c r="C3752" s="35" t="s">
        <v>977</v>
      </c>
      <c r="D3752" s="35" t="s">
        <v>861</v>
      </c>
      <c r="E3752" s="36">
        <v>1.1100000000000001</v>
      </c>
      <c r="F3752" s="53">
        <v>72.674999999999997</v>
      </c>
      <c r="G3752" s="53">
        <f t="shared" si="356"/>
        <v>80.669250000000005</v>
      </c>
      <c r="H3752" s="72"/>
      <c r="I3752" s="73"/>
      <c r="J3752" s="152">
        <v>0</v>
      </c>
      <c r="L3752" s="215">
        <v>1.1100000000000001</v>
      </c>
      <c r="M3752" s="53">
        <v>62.209800000000001</v>
      </c>
      <c r="N3752" s="53">
        <f t="shared" si="357"/>
        <v>69.052878000000007</v>
      </c>
      <c r="O3752" s="72"/>
      <c r="P3752" s="36" t="str">
        <f t="shared" si="358"/>
        <v/>
      </c>
      <c r="Q3752" s="216">
        <f t="shared" si="359"/>
        <v>0.14399999999999991</v>
      </c>
      <c r="R3752" s="216">
        <f t="shared" si="360"/>
        <v>0.14400000000000002</v>
      </c>
      <c r="S3752" s="217" t="str">
        <f t="shared" si="361"/>
        <v/>
      </c>
    </row>
    <row r="3753" spans="1:19" ht="15.75" hidden="1" thickBot="1" x14ac:dyDescent="0.3">
      <c r="A3753" s="262"/>
      <c r="B3753" s="260"/>
      <c r="C3753" s="35" t="s">
        <v>591</v>
      </c>
      <c r="D3753" s="35" t="s">
        <v>583</v>
      </c>
      <c r="E3753" s="36">
        <v>0.17100000000000001</v>
      </c>
      <c r="F3753" s="53">
        <v>27.160499999999999</v>
      </c>
      <c r="G3753" s="53">
        <f t="shared" si="356"/>
        <v>4.6444454999999998</v>
      </c>
      <c r="H3753" s="72"/>
      <c r="I3753" s="73"/>
      <c r="J3753" s="152">
        <v>0</v>
      </c>
      <c r="L3753" s="215">
        <v>0.17100000000000001</v>
      </c>
      <c r="M3753" s="53">
        <v>23.249388</v>
      </c>
      <c r="N3753" s="53">
        <f t="shared" si="357"/>
        <v>3.9756453480000005</v>
      </c>
      <c r="O3753" s="72"/>
      <c r="P3753" s="36" t="str">
        <f t="shared" si="358"/>
        <v/>
      </c>
      <c r="Q3753" s="216">
        <f t="shared" si="359"/>
        <v>0.14400000000000002</v>
      </c>
      <c r="R3753" s="216">
        <f t="shared" si="360"/>
        <v>0.14399999999999991</v>
      </c>
      <c r="S3753" s="217" t="str">
        <f t="shared" si="361"/>
        <v/>
      </c>
    </row>
    <row r="3754" spans="1:19" ht="15.75" hidden="1" thickBot="1" x14ac:dyDescent="0.3">
      <c r="A3754" s="262"/>
      <c r="B3754" s="260"/>
      <c r="C3754" s="35" t="s">
        <v>584</v>
      </c>
      <c r="D3754" s="35" t="s">
        <v>583</v>
      </c>
      <c r="E3754" s="36">
        <v>8.5000000000000006E-2</v>
      </c>
      <c r="F3754" s="53">
        <v>20.225499999999997</v>
      </c>
      <c r="G3754" s="53">
        <f t="shared" si="356"/>
        <v>1.7191674999999997</v>
      </c>
      <c r="H3754" s="72"/>
      <c r="I3754" s="73"/>
      <c r="J3754" s="152">
        <v>0</v>
      </c>
      <c r="L3754" s="215">
        <v>8.5000000000000006E-2</v>
      </c>
      <c r="M3754" s="53">
        <v>17.313027999999996</v>
      </c>
      <c r="N3754" s="53">
        <f t="shared" si="357"/>
        <v>1.4716073799999998</v>
      </c>
      <c r="O3754" s="72"/>
      <c r="P3754" s="36" t="str">
        <f t="shared" si="358"/>
        <v/>
      </c>
      <c r="Q3754" s="216">
        <f t="shared" si="359"/>
        <v>0.14400000000000013</v>
      </c>
      <c r="R3754" s="216">
        <f t="shared" si="360"/>
        <v>0.14400000000000002</v>
      </c>
      <c r="S3754" s="217" t="str">
        <f t="shared" si="361"/>
        <v/>
      </c>
    </row>
    <row r="3755" spans="1:19" ht="15.75" hidden="1" thickBot="1" x14ac:dyDescent="0.3">
      <c r="A3755" s="262"/>
      <c r="B3755" s="260"/>
      <c r="C3755" s="35"/>
      <c r="D3755" s="35"/>
      <c r="E3755" s="36"/>
      <c r="F3755" s="53" t="s">
        <v>416</v>
      </c>
      <c r="G3755" s="53" t="str">
        <f t="shared" si="356"/>
        <v/>
      </c>
      <c r="H3755" s="72"/>
      <c r="I3755" s="73"/>
      <c r="J3755" s="152">
        <v>0</v>
      </c>
      <c r="L3755" s="215"/>
      <c r="M3755" s="53"/>
      <c r="N3755" s="53" t="str">
        <f t="shared" si="357"/>
        <v/>
      </c>
      <c r="O3755" s="72"/>
      <c r="P3755" s="36" t="str">
        <f t="shared" si="358"/>
        <v/>
      </c>
      <c r="Q3755" s="216" t="str">
        <f t="shared" si="359"/>
        <v/>
      </c>
      <c r="R3755" s="216" t="str">
        <f t="shared" si="360"/>
        <v/>
      </c>
      <c r="S3755" s="217" t="str">
        <f t="shared" si="361"/>
        <v/>
      </c>
    </row>
    <row r="3756" spans="1:19" ht="15.75" hidden="1" thickBot="1" x14ac:dyDescent="0.3">
      <c r="A3756" s="256" t="s">
        <v>978</v>
      </c>
      <c r="B3756" s="259" t="str">
        <f>INDEX(Orçamentária!A:B,MATCH(Composições!A3756,Orçamentária!A:A,0),2)</f>
        <v>Locação de Container - Sanitário</v>
      </c>
      <c r="C3756" s="40"/>
      <c r="D3756" s="25" t="s">
        <v>4170</v>
      </c>
      <c r="E3756" s="26"/>
      <c r="F3756" s="48" t="s">
        <v>416</v>
      </c>
      <c r="G3756" s="27" t="str">
        <f t="shared" ref="G3756:G3819" si="362">IF(ISNUMBER(F3756),E3756*F3756,"")</f>
        <v/>
      </c>
      <c r="H3756" s="28"/>
      <c r="I3756" s="29"/>
      <c r="J3756" s="152">
        <v>0</v>
      </c>
      <c r="L3756" s="218"/>
      <c r="M3756" s="48"/>
      <c r="N3756" s="27" t="str">
        <f t="shared" ref="N3756:N3819" si="363">IF(ISNUMBER(M3756),L3756*M3756,"")</f>
        <v/>
      </c>
      <c r="O3756" s="28"/>
      <c r="P3756" s="36" t="str">
        <f t="shared" si="358"/>
        <v/>
      </c>
      <c r="Q3756" s="216" t="str">
        <f t="shared" si="359"/>
        <v/>
      </c>
      <c r="R3756" s="216" t="str">
        <f t="shared" si="360"/>
        <v/>
      </c>
      <c r="S3756" s="217" t="str">
        <f t="shared" si="361"/>
        <v/>
      </c>
    </row>
    <row r="3757" spans="1:19" ht="15.75" hidden="1" thickBot="1" x14ac:dyDescent="0.3">
      <c r="A3757" s="257"/>
      <c r="B3757" s="260"/>
      <c r="C3757" s="31"/>
      <c r="D3757" s="31"/>
      <c r="E3757" s="32"/>
      <c r="F3757" s="53" t="s">
        <v>416</v>
      </c>
      <c r="G3757" s="53" t="str">
        <f t="shared" si="362"/>
        <v/>
      </c>
      <c r="H3757" s="72"/>
      <c r="I3757" s="73"/>
      <c r="J3757" s="152">
        <v>0</v>
      </c>
      <c r="L3757" s="219"/>
      <c r="M3757" s="53"/>
      <c r="N3757" s="53" t="str">
        <f t="shared" si="363"/>
        <v/>
      </c>
      <c r="O3757" s="72"/>
      <c r="P3757" s="36" t="str">
        <f t="shared" si="358"/>
        <v/>
      </c>
      <c r="Q3757" s="216" t="str">
        <f t="shared" si="359"/>
        <v/>
      </c>
      <c r="R3757" s="216" t="str">
        <f t="shared" si="360"/>
        <v/>
      </c>
      <c r="S3757" s="217" t="str">
        <f t="shared" si="361"/>
        <v/>
      </c>
    </row>
    <row r="3758" spans="1:19" ht="39" hidden="1" thickBot="1" x14ac:dyDescent="0.3">
      <c r="A3758" s="257"/>
      <c r="B3758" s="260"/>
      <c r="C3758" s="35" t="s">
        <v>8226</v>
      </c>
      <c r="D3758" s="35" t="s">
        <v>93</v>
      </c>
      <c r="E3758" s="36">
        <v>1</v>
      </c>
      <c r="F3758" s="53">
        <v>1454.6875</v>
      </c>
      <c r="G3758" s="53">
        <f t="shared" si="362"/>
        <v>1454.6875</v>
      </c>
      <c r="H3758" s="38">
        <f>SUM(G3758:G3758)</f>
        <v>1454.6875</v>
      </c>
      <c r="I3758" s="39"/>
      <c r="J3758" s="152">
        <v>0</v>
      </c>
      <c r="L3758" s="215">
        <v>1</v>
      </c>
      <c r="M3758" s="53">
        <v>1245.2125000000001</v>
      </c>
      <c r="N3758" s="53">
        <f t="shared" si="363"/>
        <v>1245.2125000000001</v>
      </c>
      <c r="O3758" s="38">
        <f>SUM(N3758:N3758)</f>
        <v>1245.2125000000001</v>
      </c>
      <c r="P3758" s="36" t="str">
        <f t="shared" si="358"/>
        <v/>
      </c>
      <c r="Q3758" s="216">
        <f t="shared" si="359"/>
        <v>0.14399999999999991</v>
      </c>
      <c r="R3758" s="216">
        <f t="shared" si="360"/>
        <v>0.14399999999999991</v>
      </c>
      <c r="S3758" s="217">
        <f t="shared" si="361"/>
        <v>0.14399999999999991</v>
      </c>
    </row>
    <row r="3759" spans="1:19" ht="15.75" hidden="1" thickBot="1" x14ac:dyDescent="0.3">
      <c r="A3759" s="258"/>
      <c r="B3759" s="261"/>
      <c r="C3759" s="35"/>
      <c r="D3759" s="35"/>
      <c r="E3759" s="36"/>
      <c r="F3759" s="53" t="s">
        <v>416</v>
      </c>
      <c r="G3759" s="53" t="str">
        <f t="shared" si="362"/>
        <v/>
      </c>
      <c r="H3759" s="72"/>
      <c r="I3759" s="73"/>
      <c r="J3759" s="152">
        <v>0</v>
      </c>
      <c r="L3759" s="215"/>
      <c r="M3759" s="53"/>
      <c r="N3759" s="53" t="str">
        <f t="shared" si="363"/>
        <v/>
      </c>
      <c r="O3759" s="72"/>
      <c r="P3759" s="36" t="str">
        <f t="shared" si="358"/>
        <v/>
      </c>
      <c r="Q3759" s="216" t="str">
        <f t="shared" si="359"/>
        <v/>
      </c>
      <c r="R3759" s="216" t="str">
        <f t="shared" si="360"/>
        <v/>
      </c>
      <c r="S3759" s="217" t="str">
        <f t="shared" si="361"/>
        <v/>
      </c>
    </row>
    <row r="3760" spans="1:19" ht="15.75" hidden="1" thickBot="1" x14ac:dyDescent="0.3">
      <c r="A3760" s="256" t="s">
        <v>979</v>
      </c>
      <c r="B3760" s="259" t="str">
        <f>INDEX(Orçamentária!A:B,MATCH(Composições!A3760,Orçamentária!A:A,0),2)</f>
        <v>Locação de Container - Almoxarifado</v>
      </c>
      <c r="C3760" s="40"/>
      <c r="D3760" s="25" t="s">
        <v>4170</v>
      </c>
      <c r="E3760" s="26"/>
      <c r="F3760" s="48" t="s">
        <v>416</v>
      </c>
      <c r="G3760" s="27" t="str">
        <f t="shared" si="362"/>
        <v/>
      </c>
      <c r="H3760" s="28"/>
      <c r="I3760" s="29"/>
      <c r="J3760" s="152">
        <v>0</v>
      </c>
      <c r="L3760" s="218"/>
      <c r="M3760" s="48"/>
      <c r="N3760" s="27" t="str">
        <f t="shared" si="363"/>
        <v/>
      </c>
      <c r="O3760" s="28"/>
      <c r="P3760" s="36" t="str">
        <f t="shared" si="358"/>
        <v/>
      </c>
      <c r="Q3760" s="216" t="str">
        <f t="shared" si="359"/>
        <v/>
      </c>
      <c r="R3760" s="216" t="str">
        <f t="shared" si="360"/>
        <v/>
      </c>
      <c r="S3760" s="217" t="str">
        <f t="shared" si="361"/>
        <v/>
      </c>
    </row>
    <row r="3761" spans="1:19" ht="15.75" hidden="1" thickBot="1" x14ac:dyDescent="0.3">
      <c r="A3761" s="257"/>
      <c r="B3761" s="260"/>
      <c r="C3761" s="31"/>
      <c r="D3761" s="31"/>
      <c r="E3761" s="32"/>
      <c r="F3761" s="53" t="s">
        <v>416</v>
      </c>
      <c r="G3761" s="53" t="str">
        <f t="shared" si="362"/>
        <v/>
      </c>
      <c r="H3761" s="72"/>
      <c r="I3761" s="73"/>
      <c r="J3761" s="152">
        <v>0</v>
      </c>
      <c r="L3761" s="219"/>
      <c r="M3761" s="53"/>
      <c r="N3761" s="53" t="str">
        <f t="shared" si="363"/>
        <v/>
      </c>
      <c r="O3761" s="72"/>
      <c r="P3761" s="36" t="str">
        <f t="shared" si="358"/>
        <v/>
      </c>
      <c r="Q3761" s="216" t="str">
        <f t="shared" si="359"/>
        <v/>
      </c>
      <c r="R3761" s="216" t="str">
        <f t="shared" si="360"/>
        <v/>
      </c>
      <c r="S3761" s="217" t="str">
        <f t="shared" si="361"/>
        <v/>
      </c>
    </row>
    <row r="3762" spans="1:19" ht="39" hidden="1" thickBot="1" x14ac:dyDescent="0.3">
      <c r="A3762" s="257"/>
      <c r="B3762" s="260"/>
      <c r="C3762" s="35" t="s">
        <v>8225</v>
      </c>
      <c r="D3762" s="35" t="s">
        <v>93</v>
      </c>
      <c r="E3762" s="36">
        <v>1</v>
      </c>
      <c r="F3762" s="53">
        <v>909.17849999999999</v>
      </c>
      <c r="G3762" s="53">
        <f t="shared" si="362"/>
        <v>909.17849999999999</v>
      </c>
      <c r="H3762" s="38">
        <f>SUM(G3762:G3762)</f>
        <v>909.17849999999999</v>
      </c>
      <c r="I3762" s="39"/>
      <c r="J3762" s="152">
        <v>0</v>
      </c>
      <c r="L3762" s="215">
        <v>1</v>
      </c>
      <c r="M3762" s="53">
        <v>778.25679600000001</v>
      </c>
      <c r="N3762" s="53">
        <f t="shared" si="363"/>
        <v>778.25679600000001</v>
      </c>
      <c r="O3762" s="38">
        <f>SUM(N3762:N3762)</f>
        <v>778.25679600000001</v>
      </c>
      <c r="P3762" s="36" t="str">
        <f t="shared" si="358"/>
        <v/>
      </c>
      <c r="Q3762" s="216">
        <f t="shared" si="359"/>
        <v>0.14400000000000002</v>
      </c>
      <c r="R3762" s="216">
        <f t="shared" si="360"/>
        <v>0.14400000000000002</v>
      </c>
      <c r="S3762" s="217">
        <f t="shared" si="361"/>
        <v>0.14400000000000002</v>
      </c>
    </row>
    <row r="3763" spans="1:19" ht="15.75" hidden="1" thickBot="1" x14ac:dyDescent="0.3">
      <c r="A3763" s="258"/>
      <c r="B3763" s="261"/>
      <c r="C3763" s="35"/>
      <c r="D3763" s="35"/>
      <c r="E3763" s="36"/>
      <c r="F3763" s="53" t="s">
        <v>416</v>
      </c>
      <c r="G3763" s="53" t="str">
        <f t="shared" si="362"/>
        <v/>
      </c>
      <c r="H3763" s="72"/>
      <c r="I3763" s="73"/>
      <c r="J3763" s="152">
        <v>0</v>
      </c>
      <c r="L3763" s="215"/>
      <c r="M3763" s="53"/>
      <c r="N3763" s="53" t="str">
        <f t="shared" si="363"/>
        <v/>
      </c>
      <c r="O3763" s="72"/>
      <c r="P3763" s="36" t="str">
        <f t="shared" si="358"/>
        <v/>
      </c>
      <c r="Q3763" s="216" t="str">
        <f t="shared" si="359"/>
        <v/>
      </c>
      <c r="R3763" s="216" t="str">
        <f t="shared" si="360"/>
        <v/>
      </c>
      <c r="S3763" s="217" t="str">
        <f t="shared" si="361"/>
        <v/>
      </c>
    </row>
    <row r="3764" spans="1:19" ht="15.75" hidden="1" thickBot="1" x14ac:dyDescent="0.3">
      <c r="A3764" s="256" t="s">
        <v>980</v>
      </c>
      <c r="B3764" s="259" t="str">
        <f>INDEX(Orçamentária!A:B,MATCH(Composições!A3764,Orçamentária!A:A,0),2)</f>
        <v>Placa de Obra</v>
      </c>
      <c r="C3764" s="40"/>
      <c r="D3764" s="25" t="s">
        <v>70</v>
      </c>
      <c r="E3764" s="26"/>
      <c r="F3764" s="48" t="s">
        <v>416</v>
      </c>
      <c r="G3764" s="27" t="str">
        <f t="shared" si="362"/>
        <v/>
      </c>
      <c r="H3764" s="28"/>
      <c r="I3764" s="29"/>
      <c r="J3764" s="152">
        <v>0</v>
      </c>
      <c r="L3764" s="218"/>
      <c r="M3764" s="48"/>
      <c r="N3764" s="27" t="str">
        <f t="shared" si="363"/>
        <v/>
      </c>
      <c r="O3764" s="28"/>
      <c r="P3764" s="36" t="str">
        <f t="shared" si="358"/>
        <v/>
      </c>
      <c r="Q3764" s="216" t="str">
        <f t="shared" si="359"/>
        <v/>
      </c>
      <c r="R3764" s="216" t="str">
        <f t="shared" si="360"/>
        <v/>
      </c>
      <c r="S3764" s="217" t="str">
        <f t="shared" si="361"/>
        <v/>
      </c>
    </row>
    <row r="3765" spans="1:19" ht="15.75" hidden="1" thickBot="1" x14ac:dyDescent="0.3">
      <c r="A3765" s="262"/>
      <c r="B3765" s="260"/>
      <c r="C3765" s="31"/>
      <c r="D3765" s="31"/>
      <c r="E3765" s="32"/>
      <c r="F3765" s="53" t="s">
        <v>416</v>
      </c>
      <c r="G3765" s="53" t="str">
        <f t="shared" si="362"/>
        <v/>
      </c>
      <c r="H3765" s="72"/>
      <c r="I3765" s="73"/>
      <c r="J3765" s="152">
        <v>0</v>
      </c>
      <c r="L3765" s="219"/>
      <c r="M3765" s="53"/>
      <c r="N3765" s="53" t="str">
        <f t="shared" si="363"/>
        <v/>
      </c>
      <c r="O3765" s="72"/>
      <c r="P3765" s="36" t="str">
        <f t="shared" si="358"/>
        <v/>
      </c>
      <c r="Q3765" s="216" t="str">
        <f t="shared" si="359"/>
        <v/>
      </c>
      <c r="R3765" s="216" t="str">
        <f t="shared" si="360"/>
        <v/>
      </c>
      <c r="S3765" s="217" t="str">
        <f t="shared" si="361"/>
        <v/>
      </c>
    </row>
    <row r="3766" spans="1:19" ht="39" hidden="1" thickBot="1" x14ac:dyDescent="0.3">
      <c r="A3766" s="262"/>
      <c r="B3766" s="260"/>
      <c r="C3766" s="35" t="s">
        <v>8323</v>
      </c>
      <c r="D3766" s="35" t="s">
        <v>861</v>
      </c>
      <c r="E3766" s="36">
        <v>1</v>
      </c>
      <c r="F3766" s="53">
        <v>261.25</v>
      </c>
      <c r="G3766" s="53">
        <f t="shared" si="362"/>
        <v>261.25</v>
      </c>
      <c r="H3766" s="38">
        <f>SUM(G3766:G3767)</f>
        <v>261.25</v>
      </c>
      <c r="I3766" s="39"/>
      <c r="J3766" s="152">
        <v>0</v>
      </c>
      <c r="L3766" s="215">
        <v>1</v>
      </c>
      <c r="M3766" s="53">
        <v>223.63</v>
      </c>
      <c r="N3766" s="53">
        <f t="shared" si="363"/>
        <v>223.63</v>
      </c>
      <c r="O3766" s="38">
        <f>SUM(N3766:N3767)</f>
        <v>223.63</v>
      </c>
      <c r="P3766" s="36" t="str">
        <f t="shared" si="358"/>
        <v/>
      </c>
      <c r="Q3766" s="216">
        <f t="shared" si="359"/>
        <v>0.14400000000000002</v>
      </c>
      <c r="R3766" s="216">
        <f t="shared" si="360"/>
        <v>0.14400000000000002</v>
      </c>
      <c r="S3766" s="217">
        <f t="shared" si="361"/>
        <v>0.14400000000000002</v>
      </c>
    </row>
    <row r="3767" spans="1:19" ht="15.75" hidden="1" thickBot="1" x14ac:dyDescent="0.3">
      <c r="A3767" s="263"/>
      <c r="B3767" s="261"/>
      <c r="C3767" s="54"/>
      <c r="D3767" s="54"/>
      <c r="E3767" s="65"/>
      <c r="F3767" s="75" t="s">
        <v>416</v>
      </c>
      <c r="G3767" s="75" t="str">
        <f t="shared" si="362"/>
        <v/>
      </c>
      <c r="H3767" s="76"/>
      <c r="I3767" s="73"/>
      <c r="J3767" s="152">
        <v>0</v>
      </c>
      <c r="L3767" s="222"/>
      <c r="M3767" s="75"/>
      <c r="N3767" s="75" t="str">
        <f t="shared" si="363"/>
        <v/>
      </c>
      <c r="O3767" s="76"/>
      <c r="P3767" s="36" t="str">
        <f t="shared" si="358"/>
        <v/>
      </c>
      <c r="Q3767" s="216" t="str">
        <f t="shared" si="359"/>
        <v/>
      </c>
      <c r="R3767" s="216" t="str">
        <f t="shared" si="360"/>
        <v/>
      </c>
      <c r="S3767" s="217" t="str">
        <f t="shared" si="361"/>
        <v/>
      </c>
    </row>
    <row r="3768" spans="1:19" ht="15.75" hidden="1" thickBot="1" x14ac:dyDescent="0.3">
      <c r="A3768" s="256" t="s">
        <v>2596</v>
      </c>
      <c r="B3768" s="259" t="str">
        <f>INDEX(Orçamentária!A:B,MATCH(Composições!A3768,Orçamentária!A:A,0),2)</f>
        <v>Supervisor(a) de Obras e Manutenção – Apoio a Projetos de Obras – Arquitetura, civil e hidrossanitária</v>
      </c>
      <c r="C3768" s="40"/>
      <c r="D3768" s="25" t="s">
        <v>2177</v>
      </c>
      <c r="E3768" s="26"/>
      <c r="F3768" s="48" t="s">
        <v>416</v>
      </c>
      <c r="G3768" s="27" t="str">
        <f t="shared" si="362"/>
        <v/>
      </c>
      <c r="H3768" s="28"/>
      <c r="I3768" s="29"/>
      <c r="J3768" s="152">
        <v>0</v>
      </c>
      <c r="L3768" s="218"/>
      <c r="M3768" s="48"/>
      <c r="N3768" s="27" t="str">
        <f t="shared" si="363"/>
        <v/>
      </c>
      <c r="O3768" s="28"/>
      <c r="P3768" s="36" t="str">
        <f t="shared" si="358"/>
        <v/>
      </c>
      <c r="Q3768" s="216" t="str">
        <f t="shared" si="359"/>
        <v/>
      </c>
      <c r="R3768" s="216" t="str">
        <f t="shared" si="360"/>
        <v/>
      </c>
      <c r="S3768" s="217" t="str">
        <f t="shared" si="361"/>
        <v/>
      </c>
    </row>
    <row r="3769" spans="1:19" ht="15.75" hidden="1" thickBot="1" x14ac:dyDescent="0.3">
      <c r="A3769" s="262"/>
      <c r="B3769" s="260"/>
      <c r="C3769" s="31"/>
      <c r="D3769" s="31"/>
      <c r="E3769" s="32"/>
      <c r="F3769" s="53" t="s">
        <v>416</v>
      </c>
      <c r="G3769" s="53" t="str">
        <f t="shared" si="362"/>
        <v/>
      </c>
      <c r="H3769" s="72"/>
      <c r="I3769" s="73"/>
      <c r="J3769" s="152">
        <v>0</v>
      </c>
      <c r="L3769" s="219"/>
      <c r="M3769" s="53"/>
      <c r="N3769" s="53" t="str">
        <f t="shared" si="363"/>
        <v/>
      </c>
      <c r="O3769" s="72"/>
      <c r="P3769" s="36" t="str">
        <f t="shared" si="358"/>
        <v/>
      </c>
      <c r="Q3769" s="216" t="str">
        <f t="shared" si="359"/>
        <v/>
      </c>
      <c r="R3769" s="216" t="str">
        <f t="shared" si="360"/>
        <v/>
      </c>
      <c r="S3769" s="217" t="str">
        <f t="shared" si="361"/>
        <v/>
      </c>
    </row>
    <row r="3770" spans="1:19" ht="15.75" hidden="1" thickBot="1" x14ac:dyDescent="0.3">
      <c r="A3770" s="262"/>
      <c r="B3770" s="260"/>
      <c r="C3770" s="35" t="s">
        <v>1067</v>
      </c>
      <c r="D3770" s="35" t="s">
        <v>93</v>
      </c>
      <c r="E3770" s="36">
        <f>ROUND(1/(1+70.03%),4)</f>
        <v>0.58809999999999996</v>
      </c>
      <c r="F3770" s="53">
        <v>3089.0484999999999</v>
      </c>
      <c r="G3770" s="53">
        <f t="shared" si="362"/>
        <v>1816.6694228499998</v>
      </c>
      <c r="H3770" s="38">
        <f>SUM(G3770:G3773)</f>
        <v>1816.6694228499998</v>
      </c>
      <c r="I3770" s="39"/>
      <c r="J3770" s="152">
        <v>0</v>
      </c>
      <c r="L3770" s="215">
        <v>0.58809999999999996</v>
      </c>
      <c r="M3770" s="53">
        <v>2644.225516</v>
      </c>
      <c r="N3770" s="53">
        <f t="shared" si="363"/>
        <v>1555.0690259595999</v>
      </c>
      <c r="O3770" s="38">
        <f>SUM(N3770:N3773)</f>
        <v>1555.0690259595999</v>
      </c>
      <c r="P3770" s="36" t="str">
        <f t="shared" si="358"/>
        <v/>
      </c>
      <c r="Q3770" s="216">
        <f t="shared" si="359"/>
        <v>0.14400000000000002</v>
      </c>
      <c r="R3770" s="216">
        <f t="shared" si="360"/>
        <v>0.14400000000000002</v>
      </c>
      <c r="S3770" s="217">
        <f t="shared" si="361"/>
        <v>0.14400000000000002</v>
      </c>
    </row>
    <row r="3771" spans="1:19" ht="15.75" hidden="1" thickBot="1" x14ac:dyDescent="0.3">
      <c r="A3771" s="262"/>
      <c r="B3771" s="260"/>
      <c r="C3771" s="35"/>
      <c r="D3771" s="35"/>
      <c r="E3771" s="36"/>
      <c r="F3771" s="53" t="s">
        <v>416</v>
      </c>
      <c r="G3771" s="53" t="str">
        <f t="shared" si="362"/>
        <v/>
      </c>
      <c r="H3771" s="72"/>
      <c r="I3771" s="73"/>
      <c r="J3771" s="152">
        <v>0</v>
      </c>
      <c r="L3771" s="215"/>
      <c r="M3771" s="53"/>
      <c r="N3771" s="53" t="str">
        <f t="shared" si="363"/>
        <v/>
      </c>
      <c r="O3771" s="72"/>
      <c r="P3771" s="36" t="str">
        <f t="shared" si="358"/>
        <v/>
      </c>
      <c r="Q3771" s="216" t="str">
        <f t="shared" si="359"/>
        <v/>
      </c>
      <c r="R3771" s="216" t="str">
        <f t="shared" si="360"/>
        <v/>
      </c>
      <c r="S3771" s="217" t="str">
        <f t="shared" si="361"/>
        <v/>
      </c>
    </row>
    <row r="3772" spans="1:19" ht="26.25" hidden="1" thickBot="1" x14ac:dyDescent="0.3">
      <c r="A3772" s="262"/>
      <c r="B3772" s="260"/>
      <c r="C3772" s="47" t="s">
        <v>655</v>
      </c>
      <c r="D3772" s="35"/>
      <c r="E3772" s="36"/>
      <c r="F3772" s="53" t="s">
        <v>416</v>
      </c>
      <c r="G3772" s="53" t="str">
        <f t="shared" si="362"/>
        <v/>
      </c>
      <c r="H3772" s="72"/>
      <c r="I3772" s="73"/>
      <c r="J3772" s="152">
        <v>0</v>
      </c>
      <c r="L3772" s="215"/>
      <c r="M3772" s="53"/>
      <c r="N3772" s="53" t="str">
        <f t="shared" si="363"/>
        <v/>
      </c>
      <c r="O3772" s="72"/>
      <c r="P3772" s="36" t="str">
        <f t="shared" si="358"/>
        <v/>
      </c>
      <c r="Q3772" s="216" t="str">
        <f t="shared" si="359"/>
        <v/>
      </c>
      <c r="R3772" s="216" t="str">
        <f t="shared" si="360"/>
        <v/>
      </c>
      <c r="S3772" s="217" t="str">
        <f t="shared" si="361"/>
        <v/>
      </c>
    </row>
    <row r="3773" spans="1:19" ht="15.75" hidden="1" thickBot="1" x14ac:dyDescent="0.3">
      <c r="A3773" s="263"/>
      <c r="B3773" s="261"/>
      <c r="C3773" s="54"/>
      <c r="D3773" s="54"/>
      <c r="E3773" s="65"/>
      <c r="F3773" s="75" t="s">
        <v>416</v>
      </c>
      <c r="G3773" s="75" t="str">
        <f t="shared" si="362"/>
        <v/>
      </c>
      <c r="H3773" s="76"/>
      <c r="I3773" s="73"/>
      <c r="J3773" s="152">
        <v>0</v>
      </c>
      <c r="L3773" s="222"/>
      <c r="M3773" s="75"/>
      <c r="N3773" s="75" t="str">
        <f t="shared" si="363"/>
        <v/>
      </c>
      <c r="O3773" s="76"/>
      <c r="P3773" s="36" t="str">
        <f t="shared" si="358"/>
        <v/>
      </c>
      <c r="Q3773" s="216" t="str">
        <f t="shared" si="359"/>
        <v/>
      </c>
      <c r="R3773" s="216" t="str">
        <f t="shared" si="360"/>
        <v/>
      </c>
      <c r="S3773" s="217" t="str">
        <f t="shared" si="361"/>
        <v/>
      </c>
    </row>
    <row r="3774" spans="1:19" ht="15.75" hidden="1" thickBot="1" x14ac:dyDescent="0.3">
      <c r="A3774" s="256" t="s">
        <v>2598</v>
      </c>
      <c r="B3774" s="259" t="str">
        <f>INDEX(Orçamentária!A:B,MATCH(Composições!A3774,Orçamentária!A:A,0),2)</f>
        <v>Supervisor de Obras e Manutenção - Apoio a Projetos e Obras - Eletromecânico</v>
      </c>
      <c r="C3774" s="40"/>
      <c r="D3774" s="25" t="s">
        <v>2177</v>
      </c>
      <c r="E3774" s="26"/>
      <c r="F3774" s="48" t="s">
        <v>416</v>
      </c>
      <c r="G3774" s="27" t="str">
        <f t="shared" si="362"/>
        <v/>
      </c>
      <c r="H3774" s="28"/>
      <c r="I3774" s="29"/>
      <c r="J3774" s="152">
        <v>0</v>
      </c>
      <c r="L3774" s="218"/>
      <c r="M3774" s="48"/>
      <c r="N3774" s="27" t="str">
        <f t="shared" si="363"/>
        <v/>
      </c>
      <c r="O3774" s="28"/>
      <c r="P3774" s="36" t="str">
        <f t="shared" si="358"/>
        <v/>
      </c>
      <c r="Q3774" s="216" t="str">
        <f t="shared" si="359"/>
        <v/>
      </c>
      <c r="R3774" s="216" t="str">
        <f t="shared" si="360"/>
        <v/>
      </c>
      <c r="S3774" s="217" t="str">
        <f t="shared" si="361"/>
        <v/>
      </c>
    </row>
    <row r="3775" spans="1:19" ht="15.75" hidden="1" thickBot="1" x14ac:dyDescent="0.3">
      <c r="A3775" s="262"/>
      <c r="B3775" s="260"/>
      <c r="C3775" s="31"/>
      <c r="D3775" s="31"/>
      <c r="E3775" s="32"/>
      <c r="F3775" s="53" t="s">
        <v>416</v>
      </c>
      <c r="G3775" s="53" t="str">
        <f t="shared" si="362"/>
        <v/>
      </c>
      <c r="H3775" s="72"/>
      <c r="I3775" s="73"/>
      <c r="J3775" s="152">
        <v>0</v>
      </c>
      <c r="L3775" s="219"/>
      <c r="M3775" s="53"/>
      <c r="N3775" s="53" t="str">
        <f t="shared" si="363"/>
        <v/>
      </c>
      <c r="O3775" s="72"/>
      <c r="P3775" s="36" t="str">
        <f t="shared" si="358"/>
        <v/>
      </c>
      <c r="Q3775" s="216" t="str">
        <f t="shared" si="359"/>
        <v/>
      </c>
      <c r="R3775" s="216" t="str">
        <f t="shared" si="360"/>
        <v/>
      </c>
      <c r="S3775" s="217" t="str">
        <f t="shared" si="361"/>
        <v/>
      </c>
    </row>
    <row r="3776" spans="1:19" ht="15.75" hidden="1" thickBot="1" x14ac:dyDescent="0.3">
      <c r="A3776" s="262"/>
      <c r="B3776" s="260"/>
      <c r="C3776" s="35" t="s">
        <v>1067</v>
      </c>
      <c r="D3776" s="35" t="s">
        <v>93</v>
      </c>
      <c r="E3776" s="36">
        <f>ROUND(1/(1+70.03%),4)</f>
        <v>0.58809999999999996</v>
      </c>
      <c r="F3776" s="53">
        <v>3089.0484999999999</v>
      </c>
      <c r="G3776" s="53">
        <f t="shared" si="362"/>
        <v>1816.6694228499998</v>
      </c>
      <c r="H3776" s="38">
        <f>SUM(G3776:G3779)</f>
        <v>1816.6694228499998</v>
      </c>
      <c r="I3776" s="39"/>
      <c r="J3776" s="152">
        <v>0</v>
      </c>
      <c r="L3776" s="215">
        <v>0.58809999999999996</v>
      </c>
      <c r="M3776" s="53">
        <v>2644.225516</v>
      </c>
      <c r="N3776" s="53">
        <f t="shared" si="363"/>
        <v>1555.0690259595999</v>
      </c>
      <c r="O3776" s="38">
        <f>SUM(N3776:N3779)</f>
        <v>1555.0690259595999</v>
      </c>
      <c r="P3776" s="36" t="str">
        <f t="shared" si="358"/>
        <v/>
      </c>
      <c r="Q3776" s="216">
        <f t="shared" si="359"/>
        <v>0.14400000000000002</v>
      </c>
      <c r="R3776" s="216">
        <f t="shared" si="360"/>
        <v>0.14400000000000002</v>
      </c>
      <c r="S3776" s="217">
        <f t="shared" si="361"/>
        <v>0.14400000000000002</v>
      </c>
    </row>
    <row r="3777" spans="1:19" ht="15.75" hidden="1" thickBot="1" x14ac:dyDescent="0.3">
      <c r="A3777" s="262"/>
      <c r="B3777" s="260"/>
      <c r="C3777" s="35"/>
      <c r="D3777" s="35"/>
      <c r="E3777" s="36"/>
      <c r="F3777" s="53" t="s">
        <v>416</v>
      </c>
      <c r="G3777" s="53" t="str">
        <f t="shared" si="362"/>
        <v/>
      </c>
      <c r="H3777" s="72"/>
      <c r="I3777" s="73"/>
      <c r="J3777" s="152">
        <v>0</v>
      </c>
      <c r="L3777" s="215"/>
      <c r="M3777" s="53"/>
      <c r="N3777" s="53" t="str">
        <f t="shared" si="363"/>
        <v/>
      </c>
      <c r="O3777" s="72"/>
      <c r="P3777" s="36" t="str">
        <f t="shared" si="358"/>
        <v/>
      </c>
      <c r="Q3777" s="216" t="str">
        <f t="shared" si="359"/>
        <v/>
      </c>
      <c r="R3777" s="216" t="str">
        <f t="shared" si="360"/>
        <v/>
      </c>
      <c r="S3777" s="217" t="str">
        <f t="shared" si="361"/>
        <v/>
      </c>
    </row>
    <row r="3778" spans="1:19" ht="26.25" hidden="1" thickBot="1" x14ac:dyDescent="0.3">
      <c r="A3778" s="262"/>
      <c r="B3778" s="260"/>
      <c r="C3778" s="47" t="s">
        <v>655</v>
      </c>
      <c r="D3778" s="35"/>
      <c r="E3778" s="36"/>
      <c r="F3778" s="53" t="s">
        <v>416</v>
      </c>
      <c r="G3778" s="53" t="str">
        <f t="shared" si="362"/>
        <v/>
      </c>
      <c r="H3778" s="72"/>
      <c r="I3778" s="73"/>
      <c r="J3778" s="152">
        <v>0</v>
      </c>
      <c r="L3778" s="215"/>
      <c r="M3778" s="53"/>
      <c r="N3778" s="53" t="str">
        <f t="shared" si="363"/>
        <v/>
      </c>
      <c r="O3778" s="72"/>
      <c r="P3778" s="36" t="str">
        <f t="shared" si="358"/>
        <v/>
      </c>
      <c r="Q3778" s="216" t="str">
        <f t="shared" si="359"/>
        <v/>
      </c>
      <c r="R3778" s="216" t="str">
        <f t="shared" si="360"/>
        <v/>
      </c>
      <c r="S3778" s="217" t="str">
        <f t="shared" si="361"/>
        <v/>
      </c>
    </row>
    <row r="3779" spans="1:19" ht="15.75" hidden="1" thickBot="1" x14ac:dyDescent="0.3">
      <c r="A3779" s="263"/>
      <c r="B3779" s="261"/>
      <c r="C3779" s="54"/>
      <c r="D3779" s="54"/>
      <c r="E3779" s="65"/>
      <c r="F3779" s="75" t="s">
        <v>416</v>
      </c>
      <c r="G3779" s="75" t="str">
        <f t="shared" si="362"/>
        <v/>
      </c>
      <c r="H3779" s="76"/>
      <c r="I3779" s="73"/>
      <c r="J3779" s="152">
        <v>0</v>
      </c>
      <c r="L3779" s="222"/>
      <c r="M3779" s="75"/>
      <c r="N3779" s="75" t="str">
        <f t="shared" si="363"/>
        <v/>
      </c>
      <c r="O3779" s="76"/>
      <c r="P3779" s="36" t="str">
        <f t="shared" si="358"/>
        <v/>
      </c>
      <c r="Q3779" s="216" t="str">
        <f t="shared" si="359"/>
        <v/>
      </c>
      <c r="R3779" s="216" t="str">
        <f t="shared" si="360"/>
        <v/>
      </c>
      <c r="S3779" s="217" t="str">
        <f t="shared" si="361"/>
        <v/>
      </c>
    </row>
    <row r="3780" spans="1:19" ht="15.75" hidden="1" thickBot="1" x14ac:dyDescent="0.3">
      <c r="A3780" s="256" t="s">
        <v>2600</v>
      </c>
      <c r="B3780" s="259" t="str">
        <f>INDEX(Orçamentária!A:B,MATCH(Composições!A3780,Orçamentária!A:A,0),2)</f>
        <v>Supervisor de Obras e Manutenção – Apoio a projetos e obras - Orçamentos</v>
      </c>
      <c r="C3780" s="40"/>
      <c r="D3780" s="25" t="s">
        <v>2177</v>
      </c>
      <c r="E3780" s="26"/>
      <c r="F3780" s="48" t="s">
        <v>416</v>
      </c>
      <c r="G3780" s="27" t="str">
        <f t="shared" si="362"/>
        <v/>
      </c>
      <c r="H3780" s="28"/>
      <c r="I3780" s="29"/>
      <c r="J3780" s="152">
        <v>0</v>
      </c>
      <c r="L3780" s="218"/>
      <c r="M3780" s="48"/>
      <c r="N3780" s="27" t="str">
        <f t="shared" si="363"/>
        <v/>
      </c>
      <c r="O3780" s="28"/>
      <c r="P3780" s="36" t="str">
        <f t="shared" si="358"/>
        <v/>
      </c>
      <c r="Q3780" s="216" t="str">
        <f t="shared" si="359"/>
        <v/>
      </c>
      <c r="R3780" s="216" t="str">
        <f t="shared" si="360"/>
        <v/>
      </c>
      <c r="S3780" s="217" t="str">
        <f t="shared" si="361"/>
        <v/>
      </c>
    </row>
    <row r="3781" spans="1:19" ht="15.75" hidden="1" thickBot="1" x14ac:dyDescent="0.3">
      <c r="A3781" s="262"/>
      <c r="B3781" s="260"/>
      <c r="C3781" s="31"/>
      <c r="D3781" s="31"/>
      <c r="E3781" s="32"/>
      <c r="F3781" s="53" t="s">
        <v>416</v>
      </c>
      <c r="G3781" s="53" t="str">
        <f t="shared" si="362"/>
        <v/>
      </c>
      <c r="H3781" s="72"/>
      <c r="I3781" s="73"/>
      <c r="J3781" s="152">
        <v>0</v>
      </c>
      <c r="L3781" s="219"/>
      <c r="M3781" s="53"/>
      <c r="N3781" s="53" t="str">
        <f t="shared" si="363"/>
        <v/>
      </c>
      <c r="O3781" s="72"/>
      <c r="P3781" s="36" t="str">
        <f t="shared" si="358"/>
        <v/>
      </c>
      <c r="Q3781" s="216" t="str">
        <f t="shared" si="359"/>
        <v/>
      </c>
      <c r="R3781" s="216" t="str">
        <f t="shared" si="360"/>
        <v/>
      </c>
      <c r="S3781" s="217" t="str">
        <f t="shared" si="361"/>
        <v/>
      </c>
    </row>
    <row r="3782" spans="1:19" ht="15.75" hidden="1" thickBot="1" x14ac:dyDescent="0.3">
      <c r="A3782" s="262"/>
      <c r="B3782" s="260"/>
      <c r="C3782" s="35" t="s">
        <v>1067</v>
      </c>
      <c r="D3782" s="35" t="s">
        <v>93</v>
      </c>
      <c r="E3782" s="36">
        <f>ROUND(1/(1+70.03%),4)</f>
        <v>0.58809999999999996</v>
      </c>
      <c r="F3782" s="53">
        <v>3089.0484999999999</v>
      </c>
      <c r="G3782" s="53">
        <f t="shared" si="362"/>
        <v>1816.6694228499998</v>
      </c>
      <c r="H3782" s="38">
        <f>SUM(G3782:G3785)</f>
        <v>1816.6694228499998</v>
      </c>
      <c r="I3782" s="39"/>
      <c r="J3782" s="152">
        <v>0</v>
      </c>
      <c r="L3782" s="215">
        <v>0.58809999999999996</v>
      </c>
      <c r="M3782" s="53">
        <v>2644.225516</v>
      </c>
      <c r="N3782" s="53">
        <f t="shared" si="363"/>
        <v>1555.0690259595999</v>
      </c>
      <c r="O3782" s="38">
        <f>SUM(N3782:N3785)</f>
        <v>1555.0690259595999</v>
      </c>
      <c r="P3782" s="36" t="str">
        <f t="shared" si="358"/>
        <v/>
      </c>
      <c r="Q3782" s="216">
        <f t="shared" si="359"/>
        <v>0.14400000000000002</v>
      </c>
      <c r="R3782" s="216">
        <f t="shared" si="360"/>
        <v>0.14400000000000002</v>
      </c>
      <c r="S3782" s="217">
        <f t="shared" si="361"/>
        <v>0.14400000000000002</v>
      </c>
    </row>
    <row r="3783" spans="1:19" ht="15.75" hidden="1" thickBot="1" x14ac:dyDescent="0.3">
      <c r="A3783" s="262"/>
      <c r="B3783" s="260"/>
      <c r="C3783" s="35"/>
      <c r="D3783" s="35"/>
      <c r="E3783" s="36"/>
      <c r="F3783" s="53" t="s">
        <v>416</v>
      </c>
      <c r="G3783" s="53" t="str">
        <f t="shared" si="362"/>
        <v/>
      </c>
      <c r="H3783" s="72"/>
      <c r="I3783" s="73"/>
      <c r="J3783" s="152">
        <v>0</v>
      </c>
      <c r="L3783" s="215"/>
      <c r="M3783" s="53"/>
      <c r="N3783" s="53" t="str">
        <f t="shared" si="363"/>
        <v/>
      </c>
      <c r="O3783" s="72"/>
      <c r="P3783" s="36" t="str">
        <f t="shared" si="358"/>
        <v/>
      </c>
      <c r="Q3783" s="216" t="str">
        <f t="shared" si="359"/>
        <v/>
      </c>
      <c r="R3783" s="216" t="str">
        <f t="shared" si="360"/>
        <v/>
      </c>
      <c r="S3783" s="217" t="str">
        <f t="shared" si="361"/>
        <v/>
      </c>
    </row>
    <row r="3784" spans="1:19" ht="26.25" hidden="1" thickBot="1" x14ac:dyDescent="0.3">
      <c r="A3784" s="262"/>
      <c r="B3784" s="260"/>
      <c r="C3784" s="47" t="s">
        <v>655</v>
      </c>
      <c r="D3784" s="35"/>
      <c r="E3784" s="36"/>
      <c r="F3784" s="53" t="s">
        <v>416</v>
      </c>
      <c r="G3784" s="53" t="str">
        <f t="shared" si="362"/>
        <v/>
      </c>
      <c r="H3784" s="72"/>
      <c r="I3784" s="73"/>
      <c r="J3784" s="152">
        <v>0</v>
      </c>
      <c r="L3784" s="215"/>
      <c r="M3784" s="53"/>
      <c r="N3784" s="53" t="str">
        <f t="shared" si="363"/>
        <v/>
      </c>
      <c r="O3784" s="72"/>
      <c r="P3784" s="36" t="str">
        <f t="shared" ref="P3784:P3847" si="364">IF(ISBLANK(L3784),"",IF($E3784&lt;&gt;L3784,"SIM",""))</f>
        <v/>
      </c>
      <c r="Q3784" s="216" t="str">
        <f t="shared" ref="Q3784:Q3847" si="365">IF(M3784="","",1-M3784/$F3784)</f>
        <v/>
      </c>
      <c r="R3784" s="216" t="str">
        <f t="shared" ref="R3784:R3847" si="366">IF(N3784="","",1-N3784/$G3784)</f>
        <v/>
      </c>
      <c r="S3784" s="217" t="str">
        <f t="shared" ref="S3784:S3847" si="367">IF(O3784="","",1-O3784/$H3784)</f>
        <v/>
      </c>
    </row>
    <row r="3785" spans="1:19" ht="15.75" hidden="1" thickBot="1" x14ac:dyDescent="0.3">
      <c r="A3785" s="263"/>
      <c r="B3785" s="261"/>
      <c r="C3785" s="54"/>
      <c r="D3785" s="54"/>
      <c r="E3785" s="65"/>
      <c r="F3785" s="75" t="s">
        <v>416</v>
      </c>
      <c r="G3785" s="75" t="str">
        <f t="shared" si="362"/>
        <v/>
      </c>
      <c r="H3785" s="76"/>
      <c r="I3785" s="73"/>
      <c r="J3785" s="152">
        <v>0</v>
      </c>
      <c r="L3785" s="222"/>
      <c r="M3785" s="75"/>
      <c r="N3785" s="75" t="str">
        <f t="shared" si="363"/>
        <v/>
      </c>
      <c r="O3785" s="76"/>
      <c r="P3785" s="36" t="str">
        <f t="shared" si="364"/>
        <v/>
      </c>
      <c r="Q3785" s="216" t="str">
        <f t="shared" si="365"/>
        <v/>
      </c>
      <c r="R3785" s="216" t="str">
        <f t="shared" si="366"/>
        <v/>
      </c>
      <c r="S3785" s="217" t="str">
        <f t="shared" si="367"/>
        <v/>
      </c>
    </row>
    <row r="3786" spans="1:19" ht="15.75" hidden="1" thickBot="1" x14ac:dyDescent="0.3">
      <c r="A3786" s="256" t="s">
        <v>2602</v>
      </c>
      <c r="B3786" s="259" t="str">
        <f>INDEX(Orçamentária!A:B,MATCH(Composições!A3786,Orçamentária!A:A,0),2)</f>
        <v>Supervisor de Obras e Manutenção – Apoio de campo – Sistemas de climatização</v>
      </c>
      <c r="C3786" s="40"/>
      <c r="D3786" s="25" t="s">
        <v>2177</v>
      </c>
      <c r="E3786" s="26"/>
      <c r="F3786" s="48" t="s">
        <v>416</v>
      </c>
      <c r="G3786" s="27" t="str">
        <f t="shared" si="362"/>
        <v/>
      </c>
      <c r="H3786" s="28"/>
      <c r="I3786" s="29"/>
      <c r="J3786" s="152">
        <v>0</v>
      </c>
      <c r="L3786" s="218"/>
      <c r="M3786" s="48"/>
      <c r="N3786" s="27" t="str">
        <f t="shared" si="363"/>
        <v/>
      </c>
      <c r="O3786" s="28"/>
      <c r="P3786" s="36" t="str">
        <f t="shared" si="364"/>
        <v/>
      </c>
      <c r="Q3786" s="216" t="str">
        <f t="shared" si="365"/>
        <v/>
      </c>
      <c r="R3786" s="216" t="str">
        <f t="shared" si="366"/>
        <v/>
      </c>
      <c r="S3786" s="217" t="str">
        <f t="shared" si="367"/>
        <v/>
      </c>
    </row>
    <row r="3787" spans="1:19" ht="15.75" hidden="1" thickBot="1" x14ac:dyDescent="0.3">
      <c r="A3787" s="262"/>
      <c r="B3787" s="260"/>
      <c r="C3787" s="31"/>
      <c r="D3787" s="31"/>
      <c r="E3787" s="32"/>
      <c r="F3787" s="53" t="s">
        <v>416</v>
      </c>
      <c r="G3787" s="53" t="str">
        <f t="shared" si="362"/>
        <v/>
      </c>
      <c r="H3787" s="72"/>
      <c r="I3787" s="73"/>
      <c r="J3787" s="152">
        <v>0</v>
      </c>
      <c r="L3787" s="219"/>
      <c r="M3787" s="53"/>
      <c r="N3787" s="53" t="str">
        <f t="shared" si="363"/>
        <v/>
      </c>
      <c r="O3787" s="72"/>
      <c r="P3787" s="36" t="str">
        <f t="shared" si="364"/>
        <v/>
      </c>
      <c r="Q3787" s="216" t="str">
        <f t="shared" si="365"/>
        <v/>
      </c>
      <c r="R3787" s="216" t="str">
        <f t="shared" si="366"/>
        <v/>
      </c>
      <c r="S3787" s="217" t="str">
        <f t="shared" si="367"/>
        <v/>
      </c>
    </row>
    <row r="3788" spans="1:19" ht="15.75" hidden="1" thickBot="1" x14ac:dyDescent="0.3">
      <c r="A3788" s="262"/>
      <c r="B3788" s="260"/>
      <c r="C3788" s="35" t="s">
        <v>1067</v>
      </c>
      <c r="D3788" s="35" t="s">
        <v>93</v>
      </c>
      <c r="E3788" s="36">
        <f>ROUND(1/(1+70.03%),4)</f>
        <v>0.58809999999999996</v>
      </c>
      <c r="F3788" s="53">
        <v>3089.0484999999999</v>
      </c>
      <c r="G3788" s="53">
        <f t="shared" si="362"/>
        <v>1816.6694228499998</v>
      </c>
      <c r="H3788" s="38">
        <f>SUM(G3788:G3791)</f>
        <v>1816.6694228499998</v>
      </c>
      <c r="I3788" s="39"/>
      <c r="J3788" s="152">
        <v>0</v>
      </c>
      <c r="L3788" s="215">
        <v>0.58809999999999996</v>
      </c>
      <c r="M3788" s="53">
        <v>2644.225516</v>
      </c>
      <c r="N3788" s="53">
        <f t="shared" si="363"/>
        <v>1555.0690259595999</v>
      </c>
      <c r="O3788" s="38">
        <f>SUM(N3788:N3791)</f>
        <v>1555.0690259595999</v>
      </c>
      <c r="P3788" s="36" t="str">
        <f t="shared" si="364"/>
        <v/>
      </c>
      <c r="Q3788" s="216">
        <f t="shared" si="365"/>
        <v>0.14400000000000002</v>
      </c>
      <c r="R3788" s="216">
        <f t="shared" si="366"/>
        <v>0.14400000000000002</v>
      </c>
      <c r="S3788" s="217">
        <f t="shared" si="367"/>
        <v>0.14400000000000002</v>
      </c>
    </row>
    <row r="3789" spans="1:19" ht="15.75" hidden="1" thickBot="1" x14ac:dyDescent="0.3">
      <c r="A3789" s="262"/>
      <c r="B3789" s="260"/>
      <c r="C3789" s="35"/>
      <c r="D3789" s="35"/>
      <c r="E3789" s="36"/>
      <c r="F3789" s="53" t="s">
        <v>416</v>
      </c>
      <c r="G3789" s="53" t="str">
        <f t="shared" si="362"/>
        <v/>
      </c>
      <c r="H3789" s="72"/>
      <c r="I3789" s="73"/>
      <c r="J3789" s="152">
        <v>0</v>
      </c>
      <c r="L3789" s="215"/>
      <c r="M3789" s="53"/>
      <c r="N3789" s="53" t="str">
        <f t="shared" si="363"/>
        <v/>
      </c>
      <c r="O3789" s="72"/>
      <c r="P3789" s="36" t="str">
        <f t="shared" si="364"/>
        <v/>
      </c>
      <c r="Q3789" s="216" t="str">
        <f t="shared" si="365"/>
        <v/>
      </c>
      <c r="R3789" s="216" t="str">
        <f t="shared" si="366"/>
        <v/>
      </c>
      <c r="S3789" s="217" t="str">
        <f t="shared" si="367"/>
        <v/>
      </c>
    </row>
    <row r="3790" spans="1:19" ht="26.25" hidden="1" thickBot="1" x14ac:dyDescent="0.3">
      <c r="A3790" s="262"/>
      <c r="B3790" s="260"/>
      <c r="C3790" s="47" t="s">
        <v>655</v>
      </c>
      <c r="D3790" s="35"/>
      <c r="E3790" s="36"/>
      <c r="F3790" s="53" t="s">
        <v>416</v>
      </c>
      <c r="G3790" s="53" t="str">
        <f t="shared" si="362"/>
        <v/>
      </c>
      <c r="H3790" s="72"/>
      <c r="I3790" s="73"/>
      <c r="J3790" s="152">
        <v>0</v>
      </c>
      <c r="L3790" s="215"/>
      <c r="M3790" s="53"/>
      <c r="N3790" s="53" t="str">
        <f t="shared" si="363"/>
        <v/>
      </c>
      <c r="O3790" s="72"/>
      <c r="P3790" s="36" t="str">
        <f t="shared" si="364"/>
        <v/>
      </c>
      <c r="Q3790" s="216" t="str">
        <f t="shared" si="365"/>
        <v/>
      </c>
      <c r="R3790" s="216" t="str">
        <f t="shared" si="366"/>
        <v/>
      </c>
      <c r="S3790" s="217" t="str">
        <f t="shared" si="367"/>
        <v/>
      </c>
    </row>
    <row r="3791" spans="1:19" ht="15.75" hidden="1" thickBot="1" x14ac:dyDescent="0.3">
      <c r="A3791" s="263"/>
      <c r="B3791" s="261"/>
      <c r="C3791" s="54"/>
      <c r="D3791" s="54"/>
      <c r="E3791" s="65"/>
      <c r="F3791" s="75" t="s">
        <v>416</v>
      </c>
      <c r="G3791" s="75" t="str">
        <f t="shared" si="362"/>
        <v/>
      </c>
      <c r="H3791" s="76"/>
      <c r="I3791" s="73"/>
      <c r="J3791" s="152">
        <v>0</v>
      </c>
      <c r="L3791" s="222"/>
      <c r="M3791" s="75"/>
      <c r="N3791" s="75" t="str">
        <f t="shared" si="363"/>
        <v/>
      </c>
      <c r="O3791" s="76"/>
      <c r="P3791" s="36" t="str">
        <f t="shared" si="364"/>
        <v/>
      </c>
      <c r="Q3791" s="216" t="str">
        <f t="shared" si="365"/>
        <v/>
      </c>
      <c r="R3791" s="216" t="str">
        <f t="shared" si="366"/>
        <v/>
      </c>
      <c r="S3791" s="217" t="str">
        <f t="shared" si="367"/>
        <v/>
      </c>
    </row>
    <row r="3792" spans="1:19" ht="15.75" hidden="1" thickBot="1" x14ac:dyDescent="0.3">
      <c r="A3792" s="256" t="s">
        <v>2604</v>
      </c>
      <c r="B3792" s="259" t="str">
        <f>INDEX(Orçamentária!A:B,MATCH(Composições!A3792,Orçamentária!A:A,0),2)</f>
        <v>Supervisor de Obras e Manutenção – Apoio de campo - Elevadores</v>
      </c>
      <c r="C3792" s="40"/>
      <c r="D3792" s="25" t="s">
        <v>2177</v>
      </c>
      <c r="E3792" s="26"/>
      <c r="F3792" s="48" t="s">
        <v>416</v>
      </c>
      <c r="G3792" s="27" t="str">
        <f t="shared" si="362"/>
        <v/>
      </c>
      <c r="H3792" s="28"/>
      <c r="I3792" s="29"/>
      <c r="J3792" s="152">
        <v>0</v>
      </c>
      <c r="L3792" s="218"/>
      <c r="M3792" s="48"/>
      <c r="N3792" s="27" t="str">
        <f t="shared" si="363"/>
        <v/>
      </c>
      <c r="O3792" s="28"/>
      <c r="P3792" s="36" t="str">
        <f t="shared" si="364"/>
        <v/>
      </c>
      <c r="Q3792" s="216" t="str">
        <f t="shared" si="365"/>
        <v/>
      </c>
      <c r="R3792" s="216" t="str">
        <f t="shared" si="366"/>
        <v/>
      </c>
      <c r="S3792" s="217" t="str">
        <f t="shared" si="367"/>
        <v/>
      </c>
    </row>
    <row r="3793" spans="1:19" ht="15.75" hidden="1" thickBot="1" x14ac:dyDescent="0.3">
      <c r="A3793" s="262"/>
      <c r="B3793" s="260"/>
      <c r="C3793" s="31"/>
      <c r="D3793" s="31"/>
      <c r="E3793" s="32"/>
      <c r="F3793" s="53" t="s">
        <v>416</v>
      </c>
      <c r="G3793" s="53" t="str">
        <f t="shared" si="362"/>
        <v/>
      </c>
      <c r="H3793" s="72"/>
      <c r="I3793" s="73"/>
      <c r="J3793" s="152">
        <v>0</v>
      </c>
      <c r="L3793" s="219"/>
      <c r="M3793" s="53"/>
      <c r="N3793" s="53" t="str">
        <f t="shared" si="363"/>
        <v/>
      </c>
      <c r="O3793" s="72"/>
      <c r="P3793" s="36" t="str">
        <f t="shared" si="364"/>
        <v/>
      </c>
      <c r="Q3793" s="216" t="str">
        <f t="shared" si="365"/>
        <v/>
      </c>
      <c r="R3793" s="216" t="str">
        <f t="shared" si="366"/>
        <v/>
      </c>
      <c r="S3793" s="217" t="str">
        <f t="shared" si="367"/>
        <v/>
      </c>
    </row>
    <row r="3794" spans="1:19" ht="15.75" hidden="1" thickBot="1" x14ac:dyDescent="0.3">
      <c r="A3794" s="262"/>
      <c r="B3794" s="260"/>
      <c r="C3794" s="35" t="s">
        <v>1067</v>
      </c>
      <c r="D3794" s="35" t="s">
        <v>93</v>
      </c>
      <c r="E3794" s="36">
        <f>ROUND(1/(1+70.03%),4)</f>
        <v>0.58809999999999996</v>
      </c>
      <c r="F3794" s="53">
        <v>3089.0484999999999</v>
      </c>
      <c r="G3794" s="53">
        <f t="shared" si="362"/>
        <v>1816.6694228499998</v>
      </c>
      <c r="H3794" s="38">
        <f>SUM(G3794:G3797)</f>
        <v>1816.6694228499998</v>
      </c>
      <c r="I3794" s="39"/>
      <c r="J3794" s="152">
        <v>0</v>
      </c>
      <c r="L3794" s="215">
        <v>0.58809999999999996</v>
      </c>
      <c r="M3794" s="53">
        <v>2644.225516</v>
      </c>
      <c r="N3794" s="53">
        <f t="shared" si="363"/>
        <v>1555.0690259595999</v>
      </c>
      <c r="O3794" s="38">
        <f>SUM(N3794:N3797)</f>
        <v>1555.0690259595999</v>
      </c>
      <c r="P3794" s="36" t="str">
        <f t="shared" si="364"/>
        <v/>
      </c>
      <c r="Q3794" s="216">
        <f t="shared" si="365"/>
        <v>0.14400000000000002</v>
      </c>
      <c r="R3794" s="216">
        <f t="shared" si="366"/>
        <v>0.14400000000000002</v>
      </c>
      <c r="S3794" s="217">
        <f t="shared" si="367"/>
        <v>0.14400000000000002</v>
      </c>
    </row>
    <row r="3795" spans="1:19" ht="15.75" hidden="1" thickBot="1" x14ac:dyDescent="0.3">
      <c r="A3795" s="262"/>
      <c r="B3795" s="260"/>
      <c r="C3795" s="35"/>
      <c r="D3795" s="35"/>
      <c r="E3795" s="36"/>
      <c r="F3795" s="53" t="s">
        <v>416</v>
      </c>
      <c r="G3795" s="53" t="str">
        <f t="shared" si="362"/>
        <v/>
      </c>
      <c r="H3795" s="72"/>
      <c r="I3795" s="73"/>
      <c r="J3795" s="152">
        <v>0</v>
      </c>
      <c r="L3795" s="215"/>
      <c r="M3795" s="53"/>
      <c r="N3795" s="53" t="str">
        <f t="shared" si="363"/>
        <v/>
      </c>
      <c r="O3795" s="72"/>
      <c r="P3795" s="36" t="str">
        <f t="shared" si="364"/>
        <v/>
      </c>
      <c r="Q3795" s="216" t="str">
        <f t="shared" si="365"/>
        <v/>
      </c>
      <c r="R3795" s="216" t="str">
        <f t="shared" si="366"/>
        <v/>
      </c>
      <c r="S3795" s="217" t="str">
        <f t="shared" si="367"/>
        <v/>
      </c>
    </row>
    <row r="3796" spans="1:19" ht="26.25" hidden="1" thickBot="1" x14ac:dyDescent="0.3">
      <c r="A3796" s="262"/>
      <c r="B3796" s="260"/>
      <c r="C3796" s="47" t="s">
        <v>655</v>
      </c>
      <c r="D3796" s="35"/>
      <c r="E3796" s="36"/>
      <c r="F3796" s="53" t="s">
        <v>416</v>
      </c>
      <c r="G3796" s="53" t="str">
        <f t="shared" si="362"/>
        <v/>
      </c>
      <c r="H3796" s="72"/>
      <c r="I3796" s="73"/>
      <c r="J3796" s="152">
        <v>0</v>
      </c>
      <c r="L3796" s="215"/>
      <c r="M3796" s="53"/>
      <c r="N3796" s="53" t="str">
        <f t="shared" si="363"/>
        <v/>
      </c>
      <c r="O3796" s="72"/>
      <c r="P3796" s="36" t="str">
        <f t="shared" si="364"/>
        <v/>
      </c>
      <c r="Q3796" s="216" t="str">
        <f t="shared" si="365"/>
        <v/>
      </c>
      <c r="R3796" s="216" t="str">
        <f t="shared" si="366"/>
        <v/>
      </c>
      <c r="S3796" s="217" t="str">
        <f t="shared" si="367"/>
        <v/>
      </c>
    </row>
    <row r="3797" spans="1:19" ht="15.75" hidden="1" thickBot="1" x14ac:dyDescent="0.3">
      <c r="A3797" s="263"/>
      <c r="B3797" s="261"/>
      <c r="C3797" s="54"/>
      <c r="D3797" s="54"/>
      <c r="E3797" s="65"/>
      <c r="F3797" s="75" t="s">
        <v>416</v>
      </c>
      <c r="G3797" s="75" t="str">
        <f t="shared" si="362"/>
        <v/>
      </c>
      <c r="H3797" s="76"/>
      <c r="I3797" s="73"/>
      <c r="J3797" s="152">
        <v>0</v>
      </c>
      <c r="L3797" s="222"/>
      <c r="M3797" s="75"/>
      <c r="N3797" s="75" t="str">
        <f t="shared" si="363"/>
        <v/>
      </c>
      <c r="O3797" s="76"/>
      <c r="P3797" s="36" t="str">
        <f t="shared" si="364"/>
        <v/>
      </c>
      <c r="Q3797" s="216" t="str">
        <f t="shared" si="365"/>
        <v/>
      </c>
      <c r="R3797" s="216" t="str">
        <f t="shared" si="366"/>
        <v/>
      </c>
      <c r="S3797" s="217" t="str">
        <f t="shared" si="367"/>
        <v/>
      </c>
    </row>
    <row r="3798" spans="1:19" ht="15.75" hidden="1" thickBot="1" x14ac:dyDescent="0.3">
      <c r="A3798" s="256" t="s">
        <v>2606</v>
      </c>
      <c r="B3798" s="259" t="str">
        <f>INDEX(Orçamentária!A:B,MATCH(Composições!A3798,Orçamentária!A:A,0),2)</f>
        <v>Supervisor de Obras e Manutenção – Apoio de campo - Eletrotécnico</v>
      </c>
      <c r="C3798" s="40"/>
      <c r="D3798" s="25" t="s">
        <v>2177</v>
      </c>
      <c r="E3798" s="26"/>
      <c r="F3798" s="48" t="s">
        <v>416</v>
      </c>
      <c r="G3798" s="27" t="str">
        <f t="shared" si="362"/>
        <v/>
      </c>
      <c r="H3798" s="28"/>
      <c r="I3798" s="29"/>
      <c r="J3798" s="152">
        <v>0</v>
      </c>
      <c r="L3798" s="218"/>
      <c r="M3798" s="48"/>
      <c r="N3798" s="27" t="str">
        <f t="shared" si="363"/>
        <v/>
      </c>
      <c r="O3798" s="28"/>
      <c r="P3798" s="36" t="str">
        <f t="shared" si="364"/>
        <v/>
      </c>
      <c r="Q3798" s="216" t="str">
        <f t="shared" si="365"/>
        <v/>
      </c>
      <c r="R3798" s="216" t="str">
        <f t="shared" si="366"/>
        <v/>
      </c>
      <c r="S3798" s="217" t="str">
        <f t="shared" si="367"/>
        <v/>
      </c>
    </row>
    <row r="3799" spans="1:19" ht="15.75" hidden="1" thickBot="1" x14ac:dyDescent="0.3">
      <c r="A3799" s="262"/>
      <c r="B3799" s="260"/>
      <c r="C3799" s="31"/>
      <c r="D3799" s="31"/>
      <c r="E3799" s="32"/>
      <c r="F3799" s="53" t="s">
        <v>416</v>
      </c>
      <c r="G3799" s="53" t="str">
        <f t="shared" si="362"/>
        <v/>
      </c>
      <c r="H3799" s="72"/>
      <c r="I3799" s="73"/>
      <c r="J3799" s="152">
        <v>0</v>
      </c>
      <c r="L3799" s="219"/>
      <c r="M3799" s="53"/>
      <c r="N3799" s="53" t="str">
        <f t="shared" si="363"/>
        <v/>
      </c>
      <c r="O3799" s="72"/>
      <c r="P3799" s="36" t="str">
        <f t="shared" si="364"/>
        <v/>
      </c>
      <c r="Q3799" s="216" t="str">
        <f t="shared" si="365"/>
        <v/>
      </c>
      <c r="R3799" s="216" t="str">
        <f t="shared" si="366"/>
        <v/>
      </c>
      <c r="S3799" s="217" t="str">
        <f t="shared" si="367"/>
        <v/>
      </c>
    </row>
    <row r="3800" spans="1:19" ht="15.75" hidden="1" thickBot="1" x14ac:dyDescent="0.3">
      <c r="A3800" s="262"/>
      <c r="B3800" s="260"/>
      <c r="C3800" s="35" t="s">
        <v>1067</v>
      </c>
      <c r="D3800" s="35" t="s">
        <v>93</v>
      </c>
      <c r="E3800" s="36">
        <f>ROUND(1/(1+70.03%),4)</f>
        <v>0.58809999999999996</v>
      </c>
      <c r="F3800" s="53">
        <v>3089.0484999999999</v>
      </c>
      <c r="G3800" s="53">
        <f t="shared" si="362"/>
        <v>1816.6694228499998</v>
      </c>
      <c r="H3800" s="38">
        <f>SUM(G3800:G3803)</f>
        <v>1816.6694228499998</v>
      </c>
      <c r="I3800" s="39"/>
      <c r="J3800" s="152">
        <v>0</v>
      </c>
      <c r="L3800" s="215">
        <v>0.58809999999999996</v>
      </c>
      <c r="M3800" s="53">
        <v>2644.225516</v>
      </c>
      <c r="N3800" s="53">
        <f t="shared" si="363"/>
        <v>1555.0690259595999</v>
      </c>
      <c r="O3800" s="38">
        <f>SUM(N3800:N3803)</f>
        <v>1555.0690259595999</v>
      </c>
      <c r="P3800" s="36" t="str">
        <f t="shared" si="364"/>
        <v/>
      </c>
      <c r="Q3800" s="216">
        <f t="shared" si="365"/>
        <v>0.14400000000000002</v>
      </c>
      <c r="R3800" s="216">
        <f t="shared" si="366"/>
        <v>0.14400000000000002</v>
      </c>
      <c r="S3800" s="217">
        <f t="shared" si="367"/>
        <v>0.14400000000000002</v>
      </c>
    </row>
    <row r="3801" spans="1:19" ht="15.75" hidden="1" thickBot="1" x14ac:dyDescent="0.3">
      <c r="A3801" s="262"/>
      <c r="B3801" s="260"/>
      <c r="C3801" s="35"/>
      <c r="D3801" s="35"/>
      <c r="E3801" s="36"/>
      <c r="F3801" s="53" t="s">
        <v>416</v>
      </c>
      <c r="G3801" s="53" t="str">
        <f t="shared" si="362"/>
        <v/>
      </c>
      <c r="H3801" s="72"/>
      <c r="I3801" s="73"/>
      <c r="J3801" s="152">
        <v>0</v>
      </c>
      <c r="L3801" s="215"/>
      <c r="M3801" s="53"/>
      <c r="N3801" s="53" t="str">
        <f t="shared" si="363"/>
        <v/>
      </c>
      <c r="O3801" s="72"/>
      <c r="P3801" s="36" t="str">
        <f t="shared" si="364"/>
        <v/>
      </c>
      <c r="Q3801" s="216" t="str">
        <f t="shared" si="365"/>
        <v/>
      </c>
      <c r="R3801" s="216" t="str">
        <f t="shared" si="366"/>
        <v/>
      </c>
      <c r="S3801" s="217" t="str">
        <f t="shared" si="367"/>
        <v/>
      </c>
    </row>
    <row r="3802" spans="1:19" ht="26.25" hidden="1" thickBot="1" x14ac:dyDescent="0.3">
      <c r="A3802" s="262"/>
      <c r="B3802" s="260"/>
      <c r="C3802" s="47" t="s">
        <v>655</v>
      </c>
      <c r="D3802" s="35"/>
      <c r="E3802" s="36"/>
      <c r="F3802" s="53" t="s">
        <v>416</v>
      </c>
      <c r="G3802" s="53" t="str">
        <f t="shared" si="362"/>
        <v/>
      </c>
      <c r="H3802" s="72"/>
      <c r="I3802" s="73"/>
      <c r="J3802" s="152">
        <v>0</v>
      </c>
      <c r="L3802" s="215"/>
      <c r="M3802" s="53"/>
      <c r="N3802" s="53" t="str">
        <f t="shared" si="363"/>
        <v/>
      </c>
      <c r="O3802" s="72"/>
      <c r="P3802" s="36" t="str">
        <f t="shared" si="364"/>
        <v/>
      </c>
      <c r="Q3802" s="216" t="str">
        <f t="shared" si="365"/>
        <v/>
      </c>
      <c r="R3802" s="216" t="str">
        <f t="shared" si="366"/>
        <v/>
      </c>
      <c r="S3802" s="217" t="str">
        <f t="shared" si="367"/>
        <v/>
      </c>
    </row>
    <row r="3803" spans="1:19" ht="15.75" hidden="1" thickBot="1" x14ac:dyDescent="0.3">
      <c r="A3803" s="263"/>
      <c r="B3803" s="261"/>
      <c r="C3803" s="54"/>
      <c r="D3803" s="54"/>
      <c r="E3803" s="65"/>
      <c r="F3803" s="75" t="s">
        <v>416</v>
      </c>
      <c r="G3803" s="75" t="str">
        <f t="shared" si="362"/>
        <v/>
      </c>
      <c r="H3803" s="76"/>
      <c r="I3803" s="73"/>
      <c r="J3803" s="152">
        <v>0</v>
      </c>
      <c r="L3803" s="222"/>
      <c r="M3803" s="75"/>
      <c r="N3803" s="75" t="str">
        <f t="shared" si="363"/>
        <v/>
      </c>
      <c r="O3803" s="76"/>
      <c r="P3803" s="36" t="str">
        <f t="shared" si="364"/>
        <v/>
      </c>
      <c r="Q3803" s="216" t="str">
        <f t="shared" si="365"/>
        <v/>
      </c>
      <c r="R3803" s="216" t="str">
        <f t="shared" si="366"/>
        <v/>
      </c>
      <c r="S3803" s="217" t="str">
        <f t="shared" si="367"/>
        <v/>
      </c>
    </row>
    <row r="3804" spans="1:19" ht="15.75" hidden="1" thickBot="1" x14ac:dyDescent="0.3">
      <c r="A3804" s="256" t="s">
        <v>2608</v>
      </c>
      <c r="B3804" s="259" t="str">
        <f>INDEX(Orçamentária!A:B,MATCH(Composições!A3804,Orçamentária!A:A,0),2)</f>
        <v>Supervisor de Obras e Manutenção – Apoio de Campo - Obras Civis</v>
      </c>
      <c r="C3804" s="40"/>
      <c r="D3804" s="25" t="s">
        <v>2177</v>
      </c>
      <c r="E3804" s="26"/>
      <c r="F3804" s="48" t="s">
        <v>416</v>
      </c>
      <c r="G3804" s="27" t="str">
        <f t="shared" si="362"/>
        <v/>
      </c>
      <c r="H3804" s="28"/>
      <c r="I3804" s="29"/>
      <c r="J3804" s="152">
        <v>0</v>
      </c>
      <c r="L3804" s="218"/>
      <c r="M3804" s="48"/>
      <c r="N3804" s="27" t="str">
        <f t="shared" si="363"/>
        <v/>
      </c>
      <c r="O3804" s="28"/>
      <c r="P3804" s="36" t="str">
        <f t="shared" si="364"/>
        <v/>
      </c>
      <c r="Q3804" s="216" t="str">
        <f t="shared" si="365"/>
        <v/>
      </c>
      <c r="R3804" s="216" t="str">
        <f t="shared" si="366"/>
        <v/>
      </c>
      <c r="S3804" s="217" t="str">
        <f t="shared" si="367"/>
        <v/>
      </c>
    </row>
    <row r="3805" spans="1:19" ht="15.75" hidden="1" thickBot="1" x14ac:dyDescent="0.3">
      <c r="A3805" s="262"/>
      <c r="B3805" s="260"/>
      <c r="C3805" s="31"/>
      <c r="D3805" s="31"/>
      <c r="E3805" s="32"/>
      <c r="F3805" s="53" t="s">
        <v>416</v>
      </c>
      <c r="G3805" s="53" t="str">
        <f t="shared" si="362"/>
        <v/>
      </c>
      <c r="H3805" s="72"/>
      <c r="I3805" s="73"/>
      <c r="J3805" s="152">
        <v>0</v>
      </c>
      <c r="L3805" s="219"/>
      <c r="M3805" s="53"/>
      <c r="N3805" s="53" t="str">
        <f t="shared" si="363"/>
        <v/>
      </c>
      <c r="O3805" s="72"/>
      <c r="P3805" s="36" t="str">
        <f t="shared" si="364"/>
        <v/>
      </c>
      <c r="Q3805" s="216" t="str">
        <f t="shared" si="365"/>
        <v/>
      </c>
      <c r="R3805" s="216" t="str">
        <f t="shared" si="366"/>
        <v/>
      </c>
      <c r="S3805" s="217" t="str">
        <f t="shared" si="367"/>
        <v/>
      </c>
    </row>
    <row r="3806" spans="1:19" ht="15.75" hidden="1" thickBot="1" x14ac:dyDescent="0.3">
      <c r="A3806" s="262"/>
      <c r="B3806" s="260"/>
      <c r="C3806" s="35" t="s">
        <v>1067</v>
      </c>
      <c r="D3806" s="35" t="s">
        <v>93</v>
      </c>
      <c r="E3806" s="36">
        <f>ROUND(1/(1+70.03%),4)</f>
        <v>0.58809999999999996</v>
      </c>
      <c r="F3806" s="53">
        <v>3089.0484999999999</v>
      </c>
      <c r="G3806" s="53">
        <f t="shared" si="362"/>
        <v>1816.6694228499998</v>
      </c>
      <c r="H3806" s="38">
        <f>SUM(G3806:G3809)</f>
        <v>1816.6694228499998</v>
      </c>
      <c r="I3806" s="39"/>
      <c r="J3806" s="152">
        <v>0</v>
      </c>
      <c r="L3806" s="215">
        <v>0.58809999999999996</v>
      </c>
      <c r="M3806" s="53">
        <v>2644.225516</v>
      </c>
      <c r="N3806" s="53">
        <f t="shared" si="363"/>
        <v>1555.0690259595999</v>
      </c>
      <c r="O3806" s="38">
        <f>SUM(N3806:N3809)</f>
        <v>1555.0690259595999</v>
      </c>
      <c r="P3806" s="36" t="str">
        <f t="shared" si="364"/>
        <v/>
      </c>
      <c r="Q3806" s="216">
        <f t="shared" si="365"/>
        <v>0.14400000000000002</v>
      </c>
      <c r="R3806" s="216">
        <f t="shared" si="366"/>
        <v>0.14400000000000002</v>
      </c>
      <c r="S3806" s="217">
        <f t="shared" si="367"/>
        <v>0.14400000000000002</v>
      </c>
    </row>
    <row r="3807" spans="1:19" ht="15.75" hidden="1" thickBot="1" x14ac:dyDescent="0.3">
      <c r="A3807" s="262"/>
      <c r="B3807" s="260"/>
      <c r="C3807" s="35"/>
      <c r="D3807" s="35"/>
      <c r="E3807" s="36"/>
      <c r="F3807" s="53" t="s">
        <v>416</v>
      </c>
      <c r="G3807" s="53" t="str">
        <f t="shared" si="362"/>
        <v/>
      </c>
      <c r="H3807" s="72"/>
      <c r="I3807" s="73"/>
      <c r="J3807" s="152">
        <v>0</v>
      </c>
      <c r="L3807" s="215"/>
      <c r="M3807" s="53"/>
      <c r="N3807" s="53" t="str">
        <f t="shared" si="363"/>
        <v/>
      </c>
      <c r="O3807" s="72"/>
      <c r="P3807" s="36" t="str">
        <f t="shared" si="364"/>
        <v/>
      </c>
      <c r="Q3807" s="216" t="str">
        <f t="shared" si="365"/>
        <v/>
      </c>
      <c r="R3807" s="216" t="str">
        <f t="shared" si="366"/>
        <v/>
      </c>
      <c r="S3807" s="217" t="str">
        <f t="shared" si="367"/>
        <v/>
      </c>
    </row>
    <row r="3808" spans="1:19" ht="26.25" hidden="1" thickBot="1" x14ac:dyDescent="0.3">
      <c r="A3808" s="262"/>
      <c r="B3808" s="260"/>
      <c r="C3808" s="47" t="s">
        <v>655</v>
      </c>
      <c r="D3808" s="35"/>
      <c r="E3808" s="36"/>
      <c r="F3808" s="53" t="s">
        <v>416</v>
      </c>
      <c r="G3808" s="53" t="str">
        <f t="shared" si="362"/>
        <v/>
      </c>
      <c r="H3808" s="72"/>
      <c r="I3808" s="73"/>
      <c r="J3808" s="152">
        <v>0</v>
      </c>
      <c r="L3808" s="215"/>
      <c r="M3808" s="53"/>
      <c r="N3808" s="53" t="str">
        <f t="shared" si="363"/>
        <v/>
      </c>
      <c r="O3808" s="72"/>
      <c r="P3808" s="36" t="str">
        <f t="shared" si="364"/>
        <v/>
      </c>
      <c r="Q3808" s="216" t="str">
        <f t="shared" si="365"/>
        <v/>
      </c>
      <c r="R3808" s="216" t="str">
        <f t="shared" si="366"/>
        <v/>
      </c>
      <c r="S3808" s="217" t="str">
        <f t="shared" si="367"/>
        <v/>
      </c>
    </row>
    <row r="3809" spans="1:19" ht="15.75" hidden="1" thickBot="1" x14ac:dyDescent="0.3">
      <c r="A3809" s="263"/>
      <c r="B3809" s="261"/>
      <c r="C3809" s="54"/>
      <c r="D3809" s="54"/>
      <c r="E3809" s="65"/>
      <c r="F3809" s="75" t="s">
        <v>416</v>
      </c>
      <c r="G3809" s="75" t="str">
        <f t="shared" si="362"/>
        <v/>
      </c>
      <c r="H3809" s="76"/>
      <c r="I3809" s="73"/>
      <c r="J3809" s="152">
        <v>0</v>
      </c>
      <c r="L3809" s="222"/>
      <c r="M3809" s="75"/>
      <c r="N3809" s="75" t="str">
        <f t="shared" si="363"/>
        <v/>
      </c>
      <c r="O3809" s="76"/>
      <c r="P3809" s="36" t="str">
        <f t="shared" si="364"/>
        <v/>
      </c>
      <c r="Q3809" s="216" t="str">
        <f t="shared" si="365"/>
        <v/>
      </c>
      <c r="R3809" s="216" t="str">
        <f t="shared" si="366"/>
        <v/>
      </c>
      <c r="S3809" s="217" t="str">
        <f t="shared" si="367"/>
        <v/>
      </c>
    </row>
    <row r="3810" spans="1:19" ht="15.75" hidden="1" thickBot="1" x14ac:dyDescent="0.3">
      <c r="A3810" s="256" t="s">
        <v>2610</v>
      </c>
      <c r="B3810" s="259" t="str">
        <f>INDEX(Orçamentária!A:B,MATCH(Composições!A3810,Orçamentária!A:A,0),2)</f>
        <v>Supervisor de Obras e Manutenção – Apoio de Campo - Hidrossanitário</v>
      </c>
      <c r="C3810" s="40"/>
      <c r="D3810" s="25" t="s">
        <v>2177</v>
      </c>
      <c r="E3810" s="26"/>
      <c r="F3810" s="48" t="s">
        <v>416</v>
      </c>
      <c r="G3810" s="27" t="str">
        <f t="shared" si="362"/>
        <v/>
      </c>
      <c r="H3810" s="28"/>
      <c r="I3810" s="29"/>
      <c r="J3810" s="152">
        <v>0</v>
      </c>
      <c r="L3810" s="218"/>
      <c r="M3810" s="48"/>
      <c r="N3810" s="27" t="str">
        <f t="shared" si="363"/>
        <v/>
      </c>
      <c r="O3810" s="28"/>
      <c r="P3810" s="36" t="str">
        <f t="shared" si="364"/>
        <v/>
      </c>
      <c r="Q3810" s="216" t="str">
        <f t="shared" si="365"/>
        <v/>
      </c>
      <c r="R3810" s="216" t="str">
        <f t="shared" si="366"/>
        <v/>
      </c>
      <c r="S3810" s="217" t="str">
        <f t="shared" si="367"/>
        <v/>
      </c>
    </row>
    <row r="3811" spans="1:19" ht="15.75" hidden="1" thickBot="1" x14ac:dyDescent="0.3">
      <c r="A3811" s="262"/>
      <c r="B3811" s="260"/>
      <c r="C3811" s="31"/>
      <c r="D3811" s="31"/>
      <c r="E3811" s="32"/>
      <c r="F3811" s="53" t="s">
        <v>416</v>
      </c>
      <c r="G3811" s="53" t="str">
        <f t="shared" si="362"/>
        <v/>
      </c>
      <c r="H3811" s="72"/>
      <c r="I3811" s="73"/>
      <c r="J3811" s="152">
        <v>0</v>
      </c>
      <c r="L3811" s="219"/>
      <c r="M3811" s="53"/>
      <c r="N3811" s="53" t="str">
        <f t="shared" si="363"/>
        <v/>
      </c>
      <c r="O3811" s="72"/>
      <c r="P3811" s="36" t="str">
        <f t="shared" si="364"/>
        <v/>
      </c>
      <c r="Q3811" s="216" t="str">
        <f t="shared" si="365"/>
        <v/>
      </c>
      <c r="R3811" s="216" t="str">
        <f t="shared" si="366"/>
        <v/>
      </c>
      <c r="S3811" s="217" t="str">
        <f t="shared" si="367"/>
        <v/>
      </c>
    </row>
    <row r="3812" spans="1:19" ht="15.75" hidden="1" thickBot="1" x14ac:dyDescent="0.3">
      <c r="A3812" s="262"/>
      <c r="B3812" s="260"/>
      <c r="C3812" s="35" t="s">
        <v>1067</v>
      </c>
      <c r="D3812" s="35" t="s">
        <v>93</v>
      </c>
      <c r="E3812" s="36">
        <f>ROUND(1/(1+70.03%),4)</f>
        <v>0.58809999999999996</v>
      </c>
      <c r="F3812" s="53">
        <v>3089.0484999999999</v>
      </c>
      <c r="G3812" s="53">
        <f t="shared" si="362"/>
        <v>1816.6694228499998</v>
      </c>
      <c r="H3812" s="38">
        <f>SUM(G3812:G3815)</f>
        <v>1816.6694228499998</v>
      </c>
      <c r="I3812" s="39"/>
      <c r="J3812" s="152">
        <v>0</v>
      </c>
      <c r="L3812" s="215">
        <v>0.58809999999999996</v>
      </c>
      <c r="M3812" s="53">
        <v>2644.225516</v>
      </c>
      <c r="N3812" s="53">
        <f t="shared" si="363"/>
        <v>1555.0690259595999</v>
      </c>
      <c r="O3812" s="38">
        <f>SUM(N3812:N3815)</f>
        <v>1555.0690259595999</v>
      </c>
      <c r="P3812" s="36" t="str">
        <f t="shared" si="364"/>
        <v/>
      </c>
      <c r="Q3812" s="216">
        <f t="shared" si="365"/>
        <v>0.14400000000000002</v>
      </c>
      <c r="R3812" s="216">
        <f t="shared" si="366"/>
        <v>0.14400000000000002</v>
      </c>
      <c r="S3812" s="217">
        <f t="shared" si="367"/>
        <v>0.14400000000000002</v>
      </c>
    </row>
    <row r="3813" spans="1:19" ht="15.75" hidden="1" thickBot="1" x14ac:dyDescent="0.3">
      <c r="A3813" s="262"/>
      <c r="B3813" s="260"/>
      <c r="C3813" s="35"/>
      <c r="D3813" s="35"/>
      <c r="E3813" s="36"/>
      <c r="F3813" s="53" t="s">
        <v>416</v>
      </c>
      <c r="G3813" s="53" t="str">
        <f t="shared" si="362"/>
        <v/>
      </c>
      <c r="H3813" s="72"/>
      <c r="I3813" s="73"/>
      <c r="J3813" s="152">
        <v>0</v>
      </c>
      <c r="L3813" s="215"/>
      <c r="M3813" s="53"/>
      <c r="N3813" s="53" t="str">
        <f t="shared" si="363"/>
        <v/>
      </c>
      <c r="O3813" s="72"/>
      <c r="P3813" s="36" t="str">
        <f t="shared" si="364"/>
        <v/>
      </c>
      <c r="Q3813" s="216" t="str">
        <f t="shared" si="365"/>
        <v/>
      </c>
      <c r="R3813" s="216" t="str">
        <f t="shared" si="366"/>
        <v/>
      </c>
      <c r="S3813" s="217" t="str">
        <f t="shared" si="367"/>
        <v/>
      </c>
    </row>
    <row r="3814" spans="1:19" ht="26.25" hidden="1" thickBot="1" x14ac:dyDescent="0.3">
      <c r="A3814" s="262"/>
      <c r="B3814" s="260"/>
      <c r="C3814" s="47" t="s">
        <v>655</v>
      </c>
      <c r="D3814" s="35"/>
      <c r="E3814" s="36"/>
      <c r="F3814" s="53" t="s">
        <v>416</v>
      </c>
      <c r="G3814" s="53" t="str">
        <f t="shared" si="362"/>
        <v/>
      </c>
      <c r="H3814" s="72"/>
      <c r="I3814" s="73"/>
      <c r="J3814" s="152">
        <v>0</v>
      </c>
      <c r="L3814" s="215"/>
      <c r="M3814" s="53"/>
      <c r="N3814" s="53" t="str">
        <f t="shared" si="363"/>
        <v/>
      </c>
      <c r="O3814" s="72"/>
      <c r="P3814" s="36" t="str">
        <f t="shared" si="364"/>
        <v/>
      </c>
      <c r="Q3814" s="216" t="str">
        <f t="shared" si="365"/>
        <v/>
      </c>
      <c r="R3814" s="216" t="str">
        <f t="shared" si="366"/>
        <v/>
      </c>
      <c r="S3814" s="217" t="str">
        <f t="shared" si="367"/>
        <v/>
      </c>
    </row>
    <row r="3815" spans="1:19" ht="15.75" hidden="1" thickBot="1" x14ac:dyDescent="0.3">
      <c r="A3815" s="263"/>
      <c r="B3815" s="261"/>
      <c r="C3815" s="54"/>
      <c r="D3815" s="54"/>
      <c r="E3815" s="65"/>
      <c r="F3815" s="75" t="s">
        <v>416</v>
      </c>
      <c r="G3815" s="75" t="str">
        <f t="shared" si="362"/>
        <v/>
      </c>
      <c r="H3815" s="76"/>
      <c r="I3815" s="73"/>
      <c r="J3815" s="152">
        <v>0</v>
      </c>
      <c r="L3815" s="222"/>
      <c r="M3815" s="75"/>
      <c r="N3815" s="75" t="str">
        <f t="shared" si="363"/>
        <v/>
      </c>
      <c r="O3815" s="76"/>
      <c r="P3815" s="36" t="str">
        <f t="shared" si="364"/>
        <v/>
      </c>
      <c r="Q3815" s="216" t="str">
        <f t="shared" si="365"/>
        <v/>
      </c>
      <c r="R3815" s="216" t="str">
        <f t="shared" si="366"/>
        <v/>
      </c>
      <c r="S3815" s="217" t="str">
        <f t="shared" si="367"/>
        <v/>
      </c>
    </row>
    <row r="3816" spans="1:19" ht="15.75" hidden="1" thickBot="1" x14ac:dyDescent="0.3">
      <c r="A3816" s="256" t="s">
        <v>2612</v>
      </c>
      <c r="B3816" s="259" t="str">
        <f>INDEX(Orçamentária!A:B,MATCH(Composições!A3816,Orçamentária!A:A,0),2)</f>
        <v>Supervisor de Obras e Manutenção – Apoio de campo – Planejamento</v>
      </c>
      <c r="C3816" s="40"/>
      <c r="D3816" s="25" t="s">
        <v>2177</v>
      </c>
      <c r="E3816" s="26"/>
      <c r="F3816" s="48" t="s">
        <v>416</v>
      </c>
      <c r="G3816" s="27" t="str">
        <f t="shared" si="362"/>
        <v/>
      </c>
      <c r="H3816" s="28"/>
      <c r="I3816" s="29"/>
      <c r="J3816" s="152">
        <v>0</v>
      </c>
      <c r="L3816" s="218"/>
      <c r="M3816" s="48"/>
      <c r="N3816" s="27" t="str">
        <f t="shared" si="363"/>
        <v/>
      </c>
      <c r="O3816" s="28"/>
      <c r="P3816" s="36" t="str">
        <f t="shared" si="364"/>
        <v/>
      </c>
      <c r="Q3816" s="216" t="str">
        <f t="shared" si="365"/>
        <v/>
      </c>
      <c r="R3816" s="216" t="str">
        <f t="shared" si="366"/>
        <v/>
      </c>
      <c r="S3816" s="217" t="str">
        <f t="shared" si="367"/>
        <v/>
      </c>
    </row>
    <row r="3817" spans="1:19" ht="15.75" hidden="1" thickBot="1" x14ac:dyDescent="0.3">
      <c r="A3817" s="262"/>
      <c r="B3817" s="260"/>
      <c r="C3817" s="31"/>
      <c r="D3817" s="31"/>
      <c r="E3817" s="32"/>
      <c r="F3817" s="53" t="s">
        <v>416</v>
      </c>
      <c r="G3817" s="53" t="str">
        <f t="shared" si="362"/>
        <v/>
      </c>
      <c r="H3817" s="72"/>
      <c r="I3817" s="73"/>
      <c r="J3817" s="152">
        <v>0</v>
      </c>
      <c r="L3817" s="219"/>
      <c r="M3817" s="53"/>
      <c r="N3817" s="53" t="str">
        <f t="shared" si="363"/>
        <v/>
      </c>
      <c r="O3817" s="72"/>
      <c r="P3817" s="36" t="str">
        <f t="shared" si="364"/>
        <v/>
      </c>
      <c r="Q3817" s="216" t="str">
        <f t="shared" si="365"/>
        <v/>
      </c>
      <c r="R3817" s="216" t="str">
        <f t="shared" si="366"/>
        <v/>
      </c>
      <c r="S3817" s="217" t="str">
        <f t="shared" si="367"/>
        <v/>
      </c>
    </row>
    <row r="3818" spans="1:19" ht="15.75" hidden="1" thickBot="1" x14ac:dyDescent="0.3">
      <c r="A3818" s="262"/>
      <c r="B3818" s="260"/>
      <c r="C3818" s="35" t="s">
        <v>1067</v>
      </c>
      <c r="D3818" s="35" t="s">
        <v>93</v>
      </c>
      <c r="E3818" s="36">
        <f>ROUND(1/(1+70.03%),4)</f>
        <v>0.58809999999999996</v>
      </c>
      <c r="F3818" s="53">
        <v>3089.0484999999999</v>
      </c>
      <c r="G3818" s="53">
        <f t="shared" si="362"/>
        <v>1816.6694228499998</v>
      </c>
      <c r="H3818" s="38">
        <f>SUM(G3818:G3821)</f>
        <v>1816.6694228499998</v>
      </c>
      <c r="I3818" s="39"/>
      <c r="J3818" s="152">
        <v>0</v>
      </c>
      <c r="L3818" s="215">
        <v>0.58809999999999996</v>
      </c>
      <c r="M3818" s="53">
        <v>2644.225516</v>
      </c>
      <c r="N3818" s="53">
        <f t="shared" si="363"/>
        <v>1555.0690259595999</v>
      </c>
      <c r="O3818" s="38">
        <f>SUM(N3818:N3821)</f>
        <v>1555.0690259595999</v>
      </c>
      <c r="P3818" s="36" t="str">
        <f t="shared" si="364"/>
        <v/>
      </c>
      <c r="Q3818" s="216">
        <f t="shared" si="365"/>
        <v>0.14400000000000002</v>
      </c>
      <c r="R3818" s="216">
        <f t="shared" si="366"/>
        <v>0.14400000000000002</v>
      </c>
      <c r="S3818" s="217">
        <f t="shared" si="367"/>
        <v>0.14400000000000002</v>
      </c>
    </row>
    <row r="3819" spans="1:19" ht="15.75" hidden="1" thickBot="1" x14ac:dyDescent="0.3">
      <c r="A3819" s="262"/>
      <c r="B3819" s="260"/>
      <c r="C3819" s="35"/>
      <c r="D3819" s="35"/>
      <c r="E3819" s="36"/>
      <c r="F3819" s="53" t="s">
        <v>416</v>
      </c>
      <c r="G3819" s="53" t="str">
        <f t="shared" si="362"/>
        <v/>
      </c>
      <c r="H3819" s="72"/>
      <c r="I3819" s="73"/>
      <c r="J3819" s="152">
        <v>0</v>
      </c>
      <c r="L3819" s="215"/>
      <c r="M3819" s="53"/>
      <c r="N3819" s="53" t="str">
        <f t="shared" si="363"/>
        <v/>
      </c>
      <c r="O3819" s="72"/>
      <c r="P3819" s="36" t="str">
        <f t="shared" si="364"/>
        <v/>
      </c>
      <c r="Q3819" s="216" t="str">
        <f t="shared" si="365"/>
        <v/>
      </c>
      <c r="R3819" s="216" t="str">
        <f t="shared" si="366"/>
        <v/>
      </c>
      <c r="S3819" s="217" t="str">
        <f t="shared" si="367"/>
        <v/>
      </c>
    </row>
    <row r="3820" spans="1:19" ht="26.25" hidden="1" thickBot="1" x14ac:dyDescent="0.3">
      <c r="A3820" s="262"/>
      <c r="B3820" s="260"/>
      <c r="C3820" s="47" t="s">
        <v>655</v>
      </c>
      <c r="D3820" s="35"/>
      <c r="E3820" s="36"/>
      <c r="F3820" s="53" t="s">
        <v>416</v>
      </c>
      <c r="G3820" s="53" t="str">
        <f t="shared" ref="G3820:G3883" si="368">IF(ISNUMBER(F3820),E3820*F3820,"")</f>
        <v/>
      </c>
      <c r="H3820" s="72"/>
      <c r="I3820" s="73"/>
      <c r="J3820" s="152">
        <v>0</v>
      </c>
      <c r="L3820" s="215"/>
      <c r="M3820" s="53"/>
      <c r="N3820" s="53" t="str">
        <f t="shared" ref="N3820:N3883" si="369">IF(ISNUMBER(M3820),L3820*M3820,"")</f>
        <v/>
      </c>
      <c r="O3820" s="72"/>
      <c r="P3820" s="36" t="str">
        <f t="shared" si="364"/>
        <v/>
      </c>
      <c r="Q3820" s="216" t="str">
        <f t="shared" si="365"/>
        <v/>
      </c>
      <c r="R3820" s="216" t="str">
        <f t="shared" si="366"/>
        <v/>
      </c>
      <c r="S3820" s="217" t="str">
        <f t="shared" si="367"/>
        <v/>
      </c>
    </row>
    <row r="3821" spans="1:19" ht="15.75" hidden="1" thickBot="1" x14ac:dyDescent="0.3">
      <c r="A3821" s="263"/>
      <c r="B3821" s="261"/>
      <c r="C3821" s="54"/>
      <c r="D3821" s="54"/>
      <c r="E3821" s="65"/>
      <c r="F3821" s="75" t="s">
        <v>416</v>
      </c>
      <c r="G3821" s="75" t="str">
        <f t="shared" si="368"/>
        <v/>
      </c>
      <c r="H3821" s="76"/>
      <c r="I3821" s="73"/>
      <c r="J3821" s="152">
        <v>0</v>
      </c>
      <c r="L3821" s="222"/>
      <c r="M3821" s="75"/>
      <c r="N3821" s="75" t="str">
        <f t="shared" si="369"/>
        <v/>
      </c>
      <c r="O3821" s="76"/>
      <c r="P3821" s="36" t="str">
        <f t="shared" si="364"/>
        <v/>
      </c>
      <c r="Q3821" s="216" t="str">
        <f t="shared" si="365"/>
        <v/>
      </c>
      <c r="R3821" s="216" t="str">
        <f t="shared" si="366"/>
        <v/>
      </c>
      <c r="S3821" s="217" t="str">
        <f t="shared" si="367"/>
        <v/>
      </c>
    </row>
    <row r="3822" spans="1:19" ht="15.75" hidden="1" thickBot="1" x14ac:dyDescent="0.3">
      <c r="A3822" s="256" t="s">
        <v>981</v>
      </c>
      <c r="B3822" s="259" t="str">
        <f>INDEX(Orçamentária!A:B,MATCH(Composições!A3822,Orçamentária!A:A,0),2)</f>
        <v>Supervisor de Obras e Manutenção – Apoio de campo – Segurança do Trabalho</v>
      </c>
      <c r="C3822" s="40"/>
      <c r="D3822" s="25" t="s">
        <v>2177</v>
      </c>
      <c r="E3822" s="26"/>
      <c r="F3822" s="48" t="s">
        <v>416</v>
      </c>
      <c r="G3822" s="27" t="str">
        <f t="shared" si="368"/>
        <v/>
      </c>
      <c r="H3822" s="28"/>
      <c r="I3822" s="29"/>
      <c r="J3822" s="152">
        <v>0</v>
      </c>
      <c r="L3822" s="218"/>
      <c r="M3822" s="48"/>
      <c r="N3822" s="27" t="str">
        <f t="shared" si="369"/>
        <v/>
      </c>
      <c r="O3822" s="28"/>
      <c r="P3822" s="36" t="str">
        <f t="shared" si="364"/>
        <v/>
      </c>
      <c r="Q3822" s="216" t="str">
        <f t="shared" si="365"/>
        <v/>
      </c>
      <c r="R3822" s="216" t="str">
        <f t="shared" si="366"/>
        <v/>
      </c>
      <c r="S3822" s="217" t="str">
        <f t="shared" si="367"/>
        <v/>
      </c>
    </row>
    <row r="3823" spans="1:19" ht="15.75" hidden="1" thickBot="1" x14ac:dyDescent="0.3">
      <c r="A3823" s="262"/>
      <c r="B3823" s="260"/>
      <c r="C3823" s="31"/>
      <c r="D3823" s="31"/>
      <c r="E3823" s="32"/>
      <c r="F3823" s="53" t="s">
        <v>416</v>
      </c>
      <c r="G3823" s="53" t="str">
        <f t="shared" si="368"/>
        <v/>
      </c>
      <c r="H3823" s="72"/>
      <c r="I3823" s="73"/>
      <c r="J3823" s="152">
        <v>0</v>
      </c>
      <c r="L3823" s="219"/>
      <c r="M3823" s="53"/>
      <c r="N3823" s="53" t="str">
        <f t="shared" si="369"/>
        <v/>
      </c>
      <c r="O3823" s="72"/>
      <c r="P3823" s="36" t="str">
        <f t="shared" si="364"/>
        <v/>
      </c>
      <c r="Q3823" s="216" t="str">
        <f t="shared" si="365"/>
        <v/>
      </c>
      <c r="R3823" s="216" t="str">
        <f t="shared" si="366"/>
        <v/>
      </c>
      <c r="S3823" s="217" t="str">
        <f t="shared" si="367"/>
        <v/>
      </c>
    </row>
    <row r="3824" spans="1:19" ht="26.25" hidden="1" thickBot="1" x14ac:dyDescent="0.3">
      <c r="A3824" s="262"/>
      <c r="B3824" s="260"/>
      <c r="C3824" s="35" t="s">
        <v>982</v>
      </c>
      <c r="D3824" s="35" t="s">
        <v>93</v>
      </c>
      <c r="E3824" s="36">
        <f>ROUND(1/(1+72.54%),4)</f>
        <v>0.5796</v>
      </c>
      <c r="F3824" s="53">
        <v>7819.2979999999998</v>
      </c>
      <c r="G3824" s="53">
        <f t="shared" si="368"/>
        <v>4532.0651207999999</v>
      </c>
      <c r="H3824" s="38">
        <f>SUM(G3824:G3827)</f>
        <v>4532.0651207999999</v>
      </c>
      <c r="I3824" s="39"/>
      <c r="J3824" s="152">
        <v>0</v>
      </c>
      <c r="L3824" s="215">
        <v>0.5796</v>
      </c>
      <c r="M3824" s="53">
        <v>6693.3190880000002</v>
      </c>
      <c r="N3824" s="53">
        <f t="shared" si="369"/>
        <v>3879.4477434048003</v>
      </c>
      <c r="O3824" s="38">
        <f>SUM(N3824:N3827)</f>
        <v>3879.4477434048003</v>
      </c>
      <c r="P3824" s="36" t="str">
        <f t="shared" si="364"/>
        <v/>
      </c>
      <c r="Q3824" s="216">
        <f t="shared" si="365"/>
        <v>0.14399999999999991</v>
      </c>
      <c r="R3824" s="216">
        <f t="shared" si="366"/>
        <v>0.14399999999999991</v>
      </c>
      <c r="S3824" s="217">
        <f t="shared" si="367"/>
        <v>0.14399999999999991</v>
      </c>
    </row>
    <row r="3825" spans="1:19" ht="15.75" hidden="1" thickBot="1" x14ac:dyDescent="0.3">
      <c r="A3825" s="262"/>
      <c r="B3825" s="260"/>
      <c r="C3825" s="35"/>
      <c r="D3825" s="35"/>
      <c r="E3825" s="36"/>
      <c r="F3825" s="53" t="s">
        <v>416</v>
      </c>
      <c r="G3825" s="53" t="str">
        <f t="shared" si="368"/>
        <v/>
      </c>
      <c r="H3825" s="72"/>
      <c r="I3825" s="73"/>
      <c r="J3825" s="152">
        <v>0</v>
      </c>
      <c r="L3825" s="215"/>
      <c r="M3825" s="53"/>
      <c r="N3825" s="53" t="str">
        <f t="shared" si="369"/>
        <v/>
      </c>
      <c r="O3825" s="72"/>
      <c r="P3825" s="36" t="str">
        <f t="shared" si="364"/>
        <v/>
      </c>
      <c r="Q3825" s="216" t="str">
        <f t="shared" si="365"/>
        <v/>
      </c>
      <c r="R3825" s="216" t="str">
        <f t="shared" si="366"/>
        <v/>
      </c>
      <c r="S3825" s="217" t="str">
        <f t="shared" si="367"/>
        <v/>
      </c>
    </row>
    <row r="3826" spans="1:19" ht="26.25" hidden="1" thickBot="1" x14ac:dyDescent="0.3">
      <c r="A3826" s="262"/>
      <c r="B3826" s="260"/>
      <c r="C3826" s="47" t="s">
        <v>655</v>
      </c>
      <c r="D3826" s="35"/>
      <c r="E3826" s="36"/>
      <c r="F3826" s="53" t="s">
        <v>416</v>
      </c>
      <c r="G3826" s="53" t="str">
        <f t="shared" si="368"/>
        <v/>
      </c>
      <c r="H3826" s="72"/>
      <c r="I3826" s="73"/>
      <c r="J3826" s="152">
        <v>0</v>
      </c>
      <c r="L3826" s="215"/>
      <c r="M3826" s="53"/>
      <c r="N3826" s="53" t="str">
        <f t="shared" si="369"/>
        <v/>
      </c>
      <c r="O3826" s="72"/>
      <c r="P3826" s="36" t="str">
        <f t="shared" si="364"/>
        <v/>
      </c>
      <c r="Q3826" s="216" t="str">
        <f t="shared" si="365"/>
        <v/>
      </c>
      <c r="R3826" s="216" t="str">
        <f t="shared" si="366"/>
        <v/>
      </c>
      <c r="S3826" s="217" t="str">
        <f t="shared" si="367"/>
        <v/>
      </c>
    </row>
    <row r="3827" spans="1:19" ht="15.75" hidden="1" thickBot="1" x14ac:dyDescent="0.3">
      <c r="A3827" s="263"/>
      <c r="B3827" s="261"/>
      <c r="C3827" s="54"/>
      <c r="D3827" s="54"/>
      <c r="E3827" s="65"/>
      <c r="F3827" s="75" t="s">
        <v>416</v>
      </c>
      <c r="G3827" s="75" t="str">
        <f t="shared" si="368"/>
        <v/>
      </c>
      <c r="H3827" s="76"/>
      <c r="I3827" s="73"/>
      <c r="J3827" s="152">
        <v>0</v>
      </c>
      <c r="L3827" s="222"/>
      <c r="M3827" s="75"/>
      <c r="N3827" s="75" t="str">
        <f t="shared" si="369"/>
        <v/>
      </c>
      <c r="O3827" s="76"/>
      <c r="P3827" s="36" t="str">
        <f t="shared" si="364"/>
        <v/>
      </c>
      <c r="Q3827" s="216" t="str">
        <f t="shared" si="365"/>
        <v/>
      </c>
      <c r="R3827" s="216" t="str">
        <f t="shared" si="366"/>
        <v/>
      </c>
      <c r="S3827" s="217" t="str">
        <f t="shared" si="367"/>
        <v/>
      </c>
    </row>
    <row r="3828" spans="1:19" ht="15.75" hidden="1" thickBot="1" x14ac:dyDescent="0.3">
      <c r="A3828" s="256" t="s">
        <v>983</v>
      </c>
      <c r="B3828" s="259" t="str">
        <f>INDEX(Orçamentária!A:B,MATCH(Composições!A3828,Orçamentária!A:A,0),2)</f>
        <v xml:space="preserve">Reparo de placas de mármore com adesivo estrutural epóxi branco/transparente </v>
      </c>
      <c r="C3828" s="40"/>
      <c r="D3828" s="25" t="s">
        <v>5416</v>
      </c>
      <c r="E3828" s="26"/>
      <c r="F3828" s="48" t="s">
        <v>416</v>
      </c>
      <c r="G3828" s="27" t="str">
        <f t="shared" si="368"/>
        <v/>
      </c>
      <c r="H3828" s="28"/>
      <c r="I3828" s="29"/>
      <c r="J3828" s="152">
        <v>0</v>
      </c>
      <c r="L3828" s="218"/>
      <c r="M3828" s="48"/>
      <c r="N3828" s="27" t="str">
        <f t="shared" si="369"/>
        <v/>
      </c>
      <c r="O3828" s="28"/>
      <c r="P3828" s="36" t="str">
        <f t="shared" si="364"/>
        <v/>
      </c>
      <c r="Q3828" s="216" t="str">
        <f t="shared" si="365"/>
        <v/>
      </c>
      <c r="R3828" s="216" t="str">
        <f t="shared" si="366"/>
        <v/>
      </c>
      <c r="S3828" s="217" t="str">
        <f t="shared" si="367"/>
        <v/>
      </c>
    </row>
    <row r="3829" spans="1:19" ht="15.75" hidden="1" thickBot="1" x14ac:dyDescent="0.3">
      <c r="A3829" s="257"/>
      <c r="B3829" s="260"/>
      <c r="C3829" s="31"/>
      <c r="D3829" s="31"/>
      <c r="E3829" s="32"/>
      <c r="F3829" s="53" t="s">
        <v>416</v>
      </c>
      <c r="G3829" s="53" t="str">
        <f t="shared" si="368"/>
        <v/>
      </c>
      <c r="H3829" s="72"/>
      <c r="I3829" s="73"/>
      <c r="J3829" s="152">
        <v>0</v>
      </c>
      <c r="L3829" s="219"/>
      <c r="M3829" s="53"/>
      <c r="N3829" s="53" t="str">
        <f t="shared" si="369"/>
        <v/>
      </c>
      <c r="O3829" s="72"/>
      <c r="P3829" s="36" t="str">
        <f t="shared" si="364"/>
        <v/>
      </c>
      <c r="Q3829" s="216" t="str">
        <f t="shared" si="365"/>
        <v/>
      </c>
      <c r="R3829" s="216" t="str">
        <f t="shared" si="366"/>
        <v/>
      </c>
      <c r="S3829" s="217" t="str">
        <f t="shared" si="367"/>
        <v/>
      </c>
    </row>
    <row r="3830" spans="1:19" ht="15.75" hidden="1" thickBot="1" x14ac:dyDescent="0.3">
      <c r="A3830" s="257"/>
      <c r="B3830" s="260"/>
      <c r="C3830" s="35" t="s">
        <v>2906</v>
      </c>
      <c r="D3830" s="35" t="s">
        <v>583</v>
      </c>
      <c r="E3830" s="36">
        <f>0.5/50</f>
        <v>0.01</v>
      </c>
      <c r="F3830" s="53">
        <v>27.036999999999999</v>
      </c>
      <c r="G3830" s="53">
        <f t="shared" si="368"/>
        <v>0.27037</v>
      </c>
      <c r="H3830" s="38">
        <f>SUM(G3830:G3831)</f>
        <v>0.27037</v>
      </c>
      <c r="I3830" s="39"/>
      <c r="J3830" s="152">
        <v>0</v>
      </c>
      <c r="L3830" s="215">
        <v>0.01</v>
      </c>
      <c r="M3830" s="53">
        <v>23.143671999999999</v>
      </c>
      <c r="N3830" s="53">
        <f t="shared" si="369"/>
        <v>0.23143671999999998</v>
      </c>
      <c r="O3830" s="38">
        <f>SUM(N3830:N3831)</f>
        <v>0.23143671999999998</v>
      </c>
      <c r="P3830" s="36" t="str">
        <f t="shared" si="364"/>
        <v/>
      </c>
      <c r="Q3830" s="216">
        <f t="shared" si="365"/>
        <v>0.14400000000000002</v>
      </c>
      <c r="R3830" s="216">
        <f t="shared" si="366"/>
        <v>0.14400000000000002</v>
      </c>
      <c r="S3830" s="217">
        <f t="shared" si="367"/>
        <v>0.14400000000000002</v>
      </c>
    </row>
    <row r="3831" spans="1:19" ht="15.75" hidden="1" thickBot="1" x14ac:dyDescent="0.3">
      <c r="A3831" s="257"/>
      <c r="B3831" s="260"/>
      <c r="C3831" s="35" t="s">
        <v>984</v>
      </c>
      <c r="D3831" s="35" t="s">
        <v>107</v>
      </c>
      <c r="E3831" s="36">
        <f>1/50</f>
        <v>0.02</v>
      </c>
      <c r="F3831" s="53" t="s">
        <v>416</v>
      </c>
      <c r="G3831" s="53" t="str">
        <f t="shared" si="368"/>
        <v/>
      </c>
      <c r="H3831" s="72"/>
      <c r="I3831" s="73"/>
      <c r="J3831" s="152">
        <v>0</v>
      </c>
      <c r="L3831" s="215">
        <v>0.02</v>
      </c>
      <c r="M3831" s="53"/>
      <c r="N3831" s="53" t="str">
        <f t="shared" si="369"/>
        <v/>
      </c>
      <c r="O3831" s="72"/>
      <c r="P3831" s="36" t="str">
        <f t="shared" si="364"/>
        <v/>
      </c>
      <c r="Q3831" s="216" t="str">
        <f t="shared" si="365"/>
        <v/>
      </c>
      <c r="R3831" s="216" t="str">
        <f t="shared" si="366"/>
        <v/>
      </c>
      <c r="S3831" s="217" t="str">
        <f t="shared" si="367"/>
        <v/>
      </c>
    </row>
    <row r="3832" spans="1:19" ht="15.75" hidden="1" thickBot="1" x14ac:dyDescent="0.3">
      <c r="A3832" s="258"/>
      <c r="B3832" s="261"/>
      <c r="C3832" s="35"/>
      <c r="D3832" s="35"/>
      <c r="E3832" s="36"/>
      <c r="F3832" s="53" t="s">
        <v>416</v>
      </c>
      <c r="G3832" s="53" t="str">
        <f t="shared" si="368"/>
        <v/>
      </c>
      <c r="H3832" s="72"/>
      <c r="I3832" s="73"/>
      <c r="J3832" s="152">
        <v>0</v>
      </c>
      <c r="L3832" s="215"/>
      <c r="M3832" s="53"/>
      <c r="N3832" s="53" t="str">
        <f t="shared" si="369"/>
        <v/>
      </c>
      <c r="O3832" s="72"/>
      <c r="P3832" s="36" t="str">
        <f t="shared" si="364"/>
        <v/>
      </c>
      <c r="Q3832" s="216" t="str">
        <f t="shared" si="365"/>
        <v/>
      </c>
      <c r="R3832" s="216" t="str">
        <f t="shared" si="366"/>
        <v/>
      </c>
      <c r="S3832" s="217" t="str">
        <f t="shared" si="367"/>
        <v/>
      </c>
    </row>
    <row r="3833" spans="1:19" ht="15.75" hidden="1" thickBot="1" x14ac:dyDescent="0.3">
      <c r="A3833" s="256" t="s">
        <v>985</v>
      </c>
      <c r="B3833" s="259" t="str">
        <f>INDEX(Orçamentária!A:B,MATCH(Composições!A3833,Orçamentária!A:A,0),2)</f>
        <v>Perfil de chapa de aço galvanizado para esquadria (Anexo 1)</v>
      </c>
      <c r="C3833" s="40"/>
      <c r="D3833" s="25" t="s">
        <v>69</v>
      </c>
      <c r="E3833" s="26"/>
      <c r="F3833" s="48" t="s">
        <v>416</v>
      </c>
      <c r="G3833" s="27" t="str">
        <f t="shared" si="368"/>
        <v/>
      </c>
      <c r="H3833" s="28"/>
      <c r="I3833" s="29"/>
      <c r="J3833" s="152">
        <v>0</v>
      </c>
      <c r="L3833" s="218"/>
      <c r="M3833" s="48"/>
      <c r="N3833" s="27" t="str">
        <f t="shared" si="369"/>
        <v/>
      </c>
      <c r="O3833" s="28"/>
      <c r="P3833" s="36" t="str">
        <f t="shared" si="364"/>
        <v/>
      </c>
      <c r="Q3833" s="216" t="str">
        <f t="shared" si="365"/>
        <v/>
      </c>
      <c r="R3833" s="216" t="str">
        <f t="shared" si="366"/>
        <v/>
      </c>
      <c r="S3833" s="217" t="str">
        <f t="shared" si="367"/>
        <v/>
      </c>
    </row>
    <row r="3834" spans="1:19" ht="15.75" hidden="1" thickBot="1" x14ac:dyDescent="0.3">
      <c r="A3834" s="257"/>
      <c r="B3834" s="260"/>
      <c r="C3834" s="31"/>
      <c r="D3834" s="31"/>
      <c r="E3834" s="32"/>
      <c r="F3834" s="53" t="s">
        <v>416</v>
      </c>
      <c r="G3834" s="53" t="str">
        <f t="shared" si="368"/>
        <v/>
      </c>
      <c r="H3834" s="72"/>
      <c r="I3834" s="73"/>
      <c r="J3834" s="152">
        <v>0</v>
      </c>
      <c r="L3834" s="219"/>
      <c r="M3834" s="53"/>
      <c r="N3834" s="53" t="str">
        <f t="shared" si="369"/>
        <v/>
      </c>
      <c r="O3834" s="72"/>
      <c r="P3834" s="36" t="str">
        <f t="shared" si="364"/>
        <v/>
      </c>
      <c r="Q3834" s="216" t="str">
        <f t="shared" si="365"/>
        <v/>
      </c>
      <c r="R3834" s="216" t="str">
        <f t="shared" si="366"/>
        <v/>
      </c>
      <c r="S3834" s="217" t="str">
        <f t="shared" si="367"/>
        <v/>
      </c>
    </row>
    <row r="3835" spans="1:19" ht="15.75" hidden="1" thickBot="1" x14ac:dyDescent="0.3">
      <c r="A3835" s="257"/>
      <c r="B3835" s="260"/>
      <c r="C3835" s="35" t="s">
        <v>591</v>
      </c>
      <c r="D3835" s="35" t="s">
        <v>583</v>
      </c>
      <c r="E3835" s="36">
        <v>0.5</v>
      </c>
      <c r="F3835" s="53">
        <v>27.160499999999999</v>
      </c>
      <c r="G3835" s="53">
        <f t="shared" si="368"/>
        <v>13.580249999999999</v>
      </c>
      <c r="H3835" s="38">
        <f>SUM(G3835:G3840)</f>
        <v>38.546369655602696</v>
      </c>
      <c r="I3835" s="39"/>
      <c r="J3835" s="152">
        <v>0</v>
      </c>
      <c r="L3835" s="215">
        <v>0.5</v>
      </c>
      <c r="M3835" s="53">
        <v>23.249388</v>
      </c>
      <c r="N3835" s="53">
        <f t="shared" si="369"/>
        <v>11.624694</v>
      </c>
      <c r="O3835" s="38">
        <f>SUM(N3835:N3840)</f>
        <v>32.995692425195905</v>
      </c>
      <c r="P3835" s="36" t="str">
        <f t="shared" si="364"/>
        <v/>
      </c>
      <c r="Q3835" s="216">
        <f t="shared" si="365"/>
        <v>0.14400000000000002</v>
      </c>
      <c r="R3835" s="216">
        <f t="shared" si="366"/>
        <v>0.14400000000000002</v>
      </c>
      <c r="S3835" s="217">
        <f t="shared" si="367"/>
        <v>0.14400000000000002</v>
      </c>
    </row>
    <row r="3836" spans="1:19" ht="15.75" hidden="1" thickBot="1" x14ac:dyDescent="0.3">
      <c r="A3836" s="257"/>
      <c r="B3836" s="260"/>
      <c r="C3836" s="35" t="s">
        <v>584</v>
      </c>
      <c r="D3836" s="35" t="s">
        <v>583</v>
      </c>
      <c r="E3836" s="36">
        <v>0.51</v>
      </c>
      <c r="F3836" s="53">
        <v>20.225499999999997</v>
      </c>
      <c r="G3836" s="53">
        <f t="shared" si="368"/>
        <v>10.315004999999999</v>
      </c>
      <c r="H3836" s="72"/>
      <c r="I3836" s="73"/>
      <c r="J3836" s="152">
        <v>0</v>
      </c>
      <c r="L3836" s="215">
        <v>0.51</v>
      </c>
      <c r="M3836" s="53">
        <v>17.313027999999996</v>
      </c>
      <c r="N3836" s="53">
        <f t="shared" si="369"/>
        <v>8.8296442799999983</v>
      </c>
      <c r="O3836" s="72"/>
      <c r="P3836" s="36" t="str">
        <f t="shared" si="364"/>
        <v/>
      </c>
      <c r="Q3836" s="216">
        <f t="shared" si="365"/>
        <v>0.14400000000000013</v>
      </c>
      <c r="R3836" s="216">
        <f t="shared" si="366"/>
        <v>0.14400000000000013</v>
      </c>
      <c r="S3836" s="217" t="str">
        <f t="shared" si="367"/>
        <v/>
      </c>
    </row>
    <row r="3837" spans="1:19" ht="39" hidden="1" thickBot="1" x14ac:dyDescent="0.3">
      <c r="A3837" s="257"/>
      <c r="B3837" s="260"/>
      <c r="C3837" s="35" t="s">
        <v>120</v>
      </c>
      <c r="D3837" s="46" t="s">
        <v>80</v>
      </c>
      <c r="E3837" s="36">
        <v>3.0999999999999999E-3</v>
      </c>
      <c r="F3837" s="53">
        <v>738.08134051699983</v>
      </c>
      <c r="G3837" s="53">
        <f t="shared" si="368"/>
        <v>2.2880521556026996</v>
      </c>
      <c r="H3837" s="72"/>
      <c r="I3837" s="73"/>
      <c r="J3837" s="152">
        <v>0</v>
      </c>
      <c r="L3837" s="215">
        <v>3.0999999999999999E-3</v>
      </c>
      <c r="M3837" s="53">
        <v>631.79762748255189</v>
      </c>
      <c r="N3837" s="53">
        <f t="shared" si="369"/>
        <v>1.9585726451959107</v>
      </c>
      <c r="O3837" s="72"/>
      <c r="P3837" s="36" t="str">
        <f t="shared" si="364"/>
        <v/>
      </c>
      <c r="Q3837" s="216">
        <f t="shared" si="365"/>
        <v>0.14399999999999991</v>
      </c>
      <c r="R3837" s="216">
        <f t="shared" si="366"/>
        <v>0.14400000000000013</v>
      </c>
      <c r="S3837" s="217" t="str">
        <f t="shared" si="367"/>
        <v/>
      </c>
    </row>
    <row r="3838" spans="1:19" ht="15.75" hidden="1" thickBot="1" x14ac:dyDescent="0.3">
      <c r="A3838" s="257"/>
      <c r="B3838" s="260"/>
      <c r="C3838" s="35" t="s">
        <v>986</v>
      </c>
      <c r="D3838" s="46" t="s">
        <v>69</v>
      </c>
      <c r="E3838" s="36">
        <v>1</v>
      </c>
      <c r="F3838" s="53" t="s">
        <v>416</v>
      </c>
      <c r="G3838" s="53" t="str">
        <f t="shared" si="368"/>
        <v/>
      </c>
      <c r="H3838" s="72"/>
      <c r="I3838" s="73"/>
      <c r="J3838" s="152">
        <v>0</v>
      </c>
      <c r="L3838" s="215">
        <v>1</v>
      </c>
      <c r="M3838" s="53"/>
      <c r="N3838" s="53" t="str">
        <f t="shared" si="369"/>
        <v/>
      </c>
      <c r="O3838" s="72"/>
      <c r="P3838" s="36" t="str">
        <f t="shared" si="364"/>
        <v/>
      </c>
      <c r="Q3838" s="216" t="str">
        <f t="shared" si="365"/>
        <v/>
      </c>
      <c r="R3838" s="216" t="str">
        <f t="shared" si="366"/>
        <v/>
      </c>
      <c r="S3838" s="217" t="str">
        <f t="shared" si="367"/>
        <v/>
      </c>
    </row>
    <row r="3839" spans="1:19" ht="15.75" hidden="1" thickBot="1" x14ac:dyDescent="0.3">
      <c r="A3839" s="257"/>
      <c r="B3839" s="260"/>
      <c r="C3839" s="35" t="s">
        <v>584</v>
      </c>
      <c r="D3839" s="35" t="s">
        <v>583</v>
      </c>
      <c r="E3839" s="36">
        <v>0.15</v>
      </c>
      <c r="F3839" s="53">
        <v>20.225499999999997</v>
      </c>
      <c r="G3839" s="53">
        <f t="shared" si="368"/>
        <v>3.0338249999999993</v>
      </c>
      <c r="H3839" s="72"/>
      <c r="I3839" s="73"/>
      <c r="J3839" s="152">
        <v>0</v>
      </c>
      <c r="L3839" s="215">
        <v>0.15</v>
      </c>
      <c r="M3839" s="53">
        <v>17.313027999999996</v>
      </c>
      <c r="N3839" s="53">
        <f t="shared" si="369"/>
        <v>2.5969541999999994</v>
      </c>
      <c r="O3839" s="72"/>
      <c r="P3839" s="36" t="str">
        <f t="shared" si="364"/>
        <v/>
      </c>
      <c r="Q3839" s="216">
        <f t="shared" si="365"/>
        <v>0.14400000000000013</v>
      </c>
      <c r="R3839" s="216">
        <f t="shared" si="366"/>
        <v>0.14400000000000002</v>
      </c>
      <c r="S3839" s="217" t="str">
        <f t="shared" si="367"/>
        <v/>
      </c>
    </row>
    <row r="3840" spans="1:19" ht="15.75" hidden="1" thickBot="1" x14ac:dyDescent="0.3">
      <c r="A3840" s="257"/>
      <c r="B3840" s="260"/>
      <c r="C3840" s="35" t="s">
        <v>8373</v>
      </c>
      <c r="D3840" s="35" t="s">
        <v>213</v>
      </c>
      <c r="E3840" s="36">
        <f>ROUND(0.1/0.28,4)</f>
        <v>0.35709999999999997</v>
      </c>
      <c r="F3840" s="53">
        <v>26.125</v>
      </c>
      <c r="G3840" s="53">
        <f t="shared" si="368"/>
        <v>9.3292374999999996</v>
      </c>
      <c r="H3840" s="72"/>
      <c r="I3840" s="73"/>
      <c r="J3840" s="152">
        <v>0</v>
      </c>
      <c r="L3840" s="215">
        <v>0.35709999999999997</v>
      </c>
      <c r="M3840" s="53">
        <v>22.363</v>
      </c>
      <c r="N3840" s="53">
        <f t="shared" si="369"/>
        <v>7.9858272999999995</v>
      </c>
      <c r="O3840" s="72"/>
      <c r="P3840" s="36" t="str">
        <f t="shared" si="364"/>
        <v/>
      </c>
      <c r="Q3840" s="216">
        <f t="shared" si="365"/>
        <v>0.14400000000000002</v>
      </c>
      <c r="R3840" s="216">
        <f t="shared" si="366"/>
        <v>0.14400000000000002</v>
      </c>
      <c r="S3840" s="217" t="str">
        <f t="shared" si="367"/>
        <v/>
      </c>
    </row>
    <row r="3841" spans="1:19" ht="15.75" hidden="1" thickBot="1" x14ac:dyDescent="0.3">
      <c r="A3841" s="257"/>
      <c r="B3841" s="260"/>
      <c r="C3841" s="35"/>
      <c r="D3841" s="46"/>
      <c r="E3841" s="36"/>
      <c r="F3841" s="53" t="s">
        <v>416</v>
      </c>
      <c r="G3841" s="53" t="str">
        <f t="shared" si="368"/>
        <v/>
      </c>
      <c r="H3841" s="72"/>
      <c r="I3841" s="73"/>
      <c r="J3841" s="152">
        <v>0</v>
      </c>
      <c r="L3841" s="215"/>
      <c r="M3841" s="53"/>
      <c r="N3841" s="53" t="str">
        <f t="shared" si="369"/>
        <v/>
      </c>
      <c r="O3841" s="72"/>
      <c r="P3841" s="36" t="str">
        <f t="shared" si="364"/>
        <v/>
      </c>
      <c r="Q3841" s="216" t="str">
        <f t="shared" si="365"/>
        <v/>
      </c>
      <c r="R3841" s="216" t="str">
        <f t="shared" si="366"/>
        <v/>
      </c>
      <c r="S3841" s="217" t="str">
        <f t="shared" si="367"/>
        <v/>
      </c>
    </row>
    <row r="3842" spans="1:19" ht="15.75" hidden="1" thickBot="1" x14ac:dyDescent="0.3">
      <c r="A3842" s="257"/>
      <c r="B3842" s="260"/>
      <c r="C3842" s="149" t="s">
        <v>987</v>
      </c>
      <c r="D3842" s="46"/>
      <c r="E3842" s="36"/>
      <c r="F3842" s="53" t="s">
        <v>416</v>
      </c>
      <c r="G3842" s="53" t="str">
        <f t="shared" si="368"/>
        <v/>
      </c>
      <c r="H3842" s="72"/>
      <c r="I3842" s="73"/>
      <c r="J3842" s="152">
        <v>0</v>
      </c>
      <c r="L3842" s="215"/>
      <c r="M3842" s="53"/>
      <c r="N3842" s="53" t="str">
        <f t="shared" si="369"/>
        <v/>
      </c>
      <c r="O3842" s="72"/>
      <c r="P3842" s="36" t="str">
        <f t="shared" si="364"/>
        <v/>
      </c>
      <c r="Q3842" s="216" t="str">
        <f t="shared" si="365"/>
        <v/>
      </c>
      <c r="R3842" s="216" t="str">
        <f t="shared" si="366"/>
        <v/>
      </c>
      <c r="S3842" s="217" t="str">
        <f t="shared" si="367"/>
        <v/>
      </c>
    </row>
    <row r="3843" spans="1:19" ht="15.75" hidden="1" thickBot="1" x14ac:dyDescent="0.3">
      <c r="A3843" s="257"/>
      <c r="B3843" s="260"/>
      <c r="C3843" s="54"/>
      <c r="D3843" s="54"/>
      <c r="E3843" s="65"/>
      <c r="F3843" s="75" t="s">
        <v>416</v>
      </c>
      <c r="G3843" s="75" t="str">
        <f t="shared" si="368"/>
        <v/>
      </c>
      <c r="H3843" s="76"/>
      <c r="I3843" s="73"/>
      <c r="J3843" s="152">
        <v>0</v>
      </c>
      <c r="L3843" s="222"/>
      <c r="M3843" s="75"/>
      <c r="N3843" s="75" t="str">
        <f t="shared" si="369"/>
        <v/>
      </c>
      <c r="O3843" s="76"/>
      <c r="P3843" s="36" t="str">
        <f t="shared" si="364"/>
        <v/>
      </c>
      <c r="Q3843" s="216" t="str">
        <f t="shared" si="365"/>
        <v/>
      </c>
      <c r="R3843" s="216" t="str">
        <f t="shared" si="366"/>
        <v/>
      </c>
      <c r="S3843" s="217" t="str">
        <f t="shared" si="367"/>
        <v/>
      </c>
    </row>
    <row r="3844" spans="1:19" ht="15.75" hidden="1" thickBot="1" x14ac:dyDescent="0.3">
      <c r="A3844" s="256" t="s">
        <v>988</v>
      </c>
      <c r="B3844" s="259" t="str">
        <f>INDEX(Orçamentária!A:B,MATCH(Composições!A3844,Orçamentária!A:A,0),2)</f>
        <v>Granito Vermelho Brasília 20 mm para bancadas</v>
      </c>
      <c r="C3844" s="40"/>
      <c r="D3844" s="25" t="s">
        <v>70</v>
      </c>
      <c r="E3844" s="26"/>
      <c r="F3844" s="48" t="s">
        <v>416</v>
      </c>
      <c r="G3844" s="27" t="str">
        <f t="shared" si="368"/>
        <v/>
      </c>
      <c r="H3844" s="28"/>
      <c r="I3844" s="29"/>
      <c r="J3844" s="152">
        <v>0</v>
      </c>
      <c r="L3844" s="218"/>
      <c r="M3844" s="48"/>
      <c r="N3844" s="27" t="str">
        <f t="shared" si="369"/>
        <v/>
      </c>
      <c r="O3844" s="28"/>
      <c r="P3844" s="36" t="str">
        <f t="shared" si="364"/>
        <v/>
      </c>
      <c r="Q3844" s="216" t="str">
        <f t="shared" si="365"/>
        <v/>
      </c>
      <c r="R3844" s="216" t="str">
        <f t="shared" si="366"/>
        <v/>
      </c>
      <c r="S3844" s="217" t="str">
        <f t="shared" si="367"/>
        <v/>
      </c>
    </row>
    <row r="3845" spans="1:19" ht="15.75" hidden="1" thickBot="1" x14ac:dyDescent="0.3">
      <c r="A3845" s="257"/>
      <c r="B3845" s="260"/>
      <c r="C3845" s="31"/>
      <c r="D3845" s="31"/>
      <c r="E3845" s="32"/>
      <c r="F3845" s="53" t="s">
        <v>416</v>
      </c>
      <c r="G3845" s="53" t="str">
        <f t="shared" si="368"/>
        <v/>
      </c>
      <c r="H3845" s="72"/>
      <c r="I3845" s="73"/>
      <c r="J3845" s="152">
        <v>0</v>
      </c>
      <c r="L3845" s="219"/>
      <c r="M3845" s="53"/>
      <c r="N3845" s="53" t="str">
        <f t="shared" si="369"/>
        <v/>
      </c>
      <c r="O3845" s="72"/>
      <c r="P3845" s="36" t="str">
        <f t="shared" si="364"/>
        <v/>
      </c>
      <c r="Q3845" s="216" t="str">
        <f t="shared" si="365"/>
        <v/>
      </c>
      <c r="R3845" s="216" t="str">
        <f t="shared" si="366"/>
        <v/>
      </c>
      <c r="S3845" s="217" t="str">
        <f t="shared" si="367"/>
        <v/>
      </c>
    </row>
    <row r="3846" spans="1:19" ht="15.75" hidden="1" thickBot="1" x14ac:dyDescent="0.3">
      <c r="A3846" s="257"/>
      <c r="B3846" s="260"/>
      <c r="C3846" s="35" t="s">
        <v>2934</v>
      </c>
      <c r="D3846" s="35" t="s">
        <v>773</v>
      </c>
      <c r="E3846" s="36">
        <f>ROUND(0.5228/(1.5*0.6),4)</f>
        <v>0.58089999999999997</v>
      </c>
      <c r="F3846" s="53">
        <v>38.826499999999996</v>
      </c>
      <c r="G3846" s="53">
        <f t="shared" si="368"/>
        <v>22.554313849999996</v>
      </c>
      <c r="H3846" s="38">
        <f>SUM(G3846:G3852)</f>
        <v>155.11190929999998</v>
      </c>
      <c r="I3846" s="39"/>
      <c r="J3846" s="152">
        <v>0</v>
      </c>
      <c r="L3846" s="215">
        <v>0.58089999999999997</v>
      </c>
      <c r="M3846" s="53">
        <v>33.235484</v>
      </c>
      <c r="N3846" s="53">
        <f t="shared" si="369"/>
        <v>19.3064926556</v>
      </c>
      <c r="O3846" s="38">
        <f>SUM(N3846:N3852)</f>
        <v>132.77579436079998</v>
      </c>
      <c r="P3846" s="36" t="str">
        <f t="shared" si="364"/>
        <v/>
      </c>
      <c r="Q3846" s="216">
        <f t="shared" si="365"/>
        <v>0.14399999999999991</v>
      </c>
      <c r="R3846" s="216">
        <f t="shared" si="366"/>
        <v>0.14399999999999991</v>
      </c>
      <c r="S3846" s="217">
        <f t="shared" si="367"/>
        <v>0.14400000000000002</v>
      </c>
    </row>
    <row r="3847" spans="1:19" ht="39" hidden="1" thickBot="1" x14ac:dyDescent="0.3">
      <c r="A3847" s="257"/>
      <c r="B3847" s="260"/>
      <c r="C3847" s="35" t="s">
        <v>991</v>
      </c>
      <c r="D3847" s="35" t="s">
        <v>213</v>
      </c>
      <c r="E3847" s="36">
        <f>ROUND(6/(1.5*0.6),4)</f>
        <v>6.6666999999999996</v>
      </c>
      <c r="F3847" s="53">
        <v>1.1019999999999999</v>
      </c>
      <c r="G3847" s="53">
        <f t="shared" si="368"/>
        <v>7.3467033999999991</v>
      </c>
      <c r="H3847" s="72"/>
      <c r="I3847" s="73"/>
      <c r="J3847" s="152">
        <v>0</v>
      </c>
      <c r="L3847" s="215">
        <v>6.6666999999999996</v>
      </c>
      <c r="M3847" s="53">
        <v>0.94331199999999993</v>
      </c>
      <c r="N3847" s="53">
        <f t="shared" si="369"/>
        <v>6.2887781103999991</v>
      </c>
      <c r="O3847" s="72"/>
      <c r="P3847" s="36" t="str">
        <f t="shared" si="364"/>
        <v/>
      </c>
      <c r="Q3847" s="216">
        <f t="shared" si="365"/>
        <v>0.14400000000000002</v>
      </c>
      <c r="R3847" s="216">
        <f t="shared" si="366"/>
        <v>0.14400000000000002</v>
      </c>
      <c r="S3847" s="217" t="str">
        <f t="shared" si="367"/>
        <v/>
      </c>
    </row>
    <row r="3848" spans="1:19" ht="26.25" hidden="1" thickBot="1" x14ac:dyDescent="0.3">
      <c r="A3848" s="257"/>
      <c r="B3848" s="260"/>
      <c r="C3848" s="35" t="s">
        <v>989</v>
      </c>
      <c r="D3848" s="35" t="s">
        <v>861</v>
      </c>
      <c r="E3848" s="36">
        <f>ROUND(1.005/(1.5*0.6),4)</f>
        <v>1.1167</v>
      </c>
      <c r="F3848" s="53" t="s">
        <v>416</v>
      </c>
      <c r="G3848" s="53" t="str">
        <f t="shared" si="368"/>
        <v/>
      </c>
      <c r="H3848" s="72"/>
      <c r="I3848" s="73"/>
      <c r="J3848" s="152">
        <v>0</v>
      </c>
      <c r="L3848" s="215">
        <v>1.1167</v>
      </c>
      <c r="M3848" s="53"/>
      <c r="N3848" s="53" t="str">
        <f t="shared" si="369"/>
        <v/>
      </c>
      <c r="O3848" s="72"/>
      <c r="P3848" s="36" t="str">
        <f t="shared" ref="P3848:P3911" si="370">IF(ISBLANK(L3848),"",IF($E3848&lt;&gt;L3848,"SIM",""))</f>
        <v/>
      </c>
      <c r="Q3848" s="216" t="str">
        <f t="shared" ref="Q3848:Q3911" si="371">IF(M3848="","",1-M3848/$F3848)</f>
        <v/>
      </c>
      <c r="R3848" s="216" t="str">
        <f t="shared" ref="R3848:R3911" si="372">IF(N3848="","",1-N3848/$G3848)</f>
        <v/>
      </c>
      <c r="S3848" s="217" t="str">
        <f t="shared" ref="S3848:S3911" si="373">IF(O3848="","",1-O3848/$H3848)</f>
        <v/>
      </c>
    </row>
    <row r="3849" spans="1:19" ht="15.75" hidden="1" thickBot="1" x14ac:dyDescent="0.3">
      <c r="A3849" s="257"/>
      <c r="B3849" s="260"/>
      <c r="C3849" s="35" t="s">
        <v>3061</v>
      </c>
      <c r="D3849" s="35" t="s">
        <v>773</v>
      </c>
      <c r="E3849" s="36">
        <f>ROUND(0.0211/(1.5*0.6),4)</f>
        <v>2.3400000000000001E-2</v>
      </c>
      <c r="F3849" s="53">
        <v>72.836500000000001</v>
      </c>
      <c r="G3849" s="53">
        <f t="shared" si="368"/>
        <v>1.7043741000000001</v>
      </c>
      <c r="H3849" s="72"/>
      <c r="I3849" s="73"/>
      <c r="J3849" s="152">
        <v>0</v>
      </c>
      <c r="L3849" s="215">
        <v>2.3400000000000001E-2</v>
      </c>
      <c r="M3849" s="53">
        <v>62.348044000000002</v>
      </c>
      <c r="N3849" s="53">
        <f t="shared" si="369"/>
        <v>1.4589442296000001</v>
      </c>
      <c r="O3849" s="72"/>
      <c r="P3849" s="36" t="str">
        <f t="shared" si="370"/>
        <v/>
      </c>
      <c r="Q3849" s="216">
        <f t="shared" si="371"/>
        <v>0.14400000000000002</v>
      </c>
      <c r="R3849" s="216">
        <f t="shared" si="372"/>
        <v>0.14400000000000002</v>
      </c>
      <c r="S3849" s="217" t="str">
        <f t="shared" si="373"/>
        <v/>
      </c>
    </row>
    <row r="3850" spans="1:19" ht="26.25" hidden="1" thickBot="1" x14ac:dyDescent="0.3">
      <c r="A3850" s="257"/>
      <c r="B3850" s="260"/>
      <c r="C3850" s="35" t="s">
        <v>2941</v>
      </c>
      <c r="D3850" s="35" t="s">
        <v>213</v>
      </c>
      <c r="E3850" s="36">
        <f>ROUND(2/(1.5*0.6),4)</f>
        <v>2.2222</v>
      </c>
      <c r="F3850" s="53">
        <v>25.4315</v>
      </c>
      <c r="G3850" s="53">
        <f t="shared" si="368"/>
        <v>56.513879299999999</v>
      </c>
      <c r="H3850" s="72"/>
      <c r="I3850" s="73"/>
      <c r="J3850" s="152">
        <v>0</v>
      </c>
      <c r="L3850" s="215">
        <v>2.2222</v>
      </c>
      <c r="M3850" s="53">
        <v>21.769363999999999</v>
      </c>
      <c r="N3850" s="53">
        <f t="shared" si="369"/>
        <v>48.375880680799995</v>
      </c>
      <c r="O3850" s="72"/>
      <c r="P3850" s="36" t="str">
        <f t="shared" si="370"/>
        <v/>
      </c>
      <c r="Q3850" s="216">
        <f t="shared" si="371"/>
        <v>0.14400000000000002</v>
      </c>
      <c r="R3850" s="216">
        <f t="shared" si="372"/>
        <v>0.14400000000000013</v>
      </c>
      <c r="S3850" s="217" t="str">
        <f t="shared" si="373"/>
        <v/>
      </c>
    </row>
    <row r="3851" spans="1:19" ht="15.75" hidden="1" thickBot="1" x14ac:dyDescent="0.3">
      <c r="A3851" s="257"/>
      <c r="B3851" s="260"/>
      <c r="C3851" s="35" t="s">
        <v>2906</v>
      </c>
      <c r="D3851" s="35" t="s">
        <v>583</v>
      </c>
      <c r="E3851" s="36">
        <f>ROUND(1.4944/(1.5*0.6),4)</f>
        <v>1.6604000000000001</v>
      </c>
      <c r="F3851" s="53">
        <v>27.036999999999999</v>
      </c>
      <c r="G3851" s="53">
        <f t="shared" si="368"/>
        <v>44.892234800000004</v>
      </c>
      <c r="H3851" s="72"/>
      <c r="I3851" s="73"/>
      <c r="J3851" s="152">
        <v>0</v>
      </c>
      <c r="L3851" s="215">
        <v>1.6604000000000001</v>
      </c>
      <c r="M3851" s="53">
        <v>23.143671999999999</v>
      </c>
      <c r="N3851" s="53">
        <f t="shared" si="369"/>
        <v>38.427752988800002</v>
      </c>
      <c r="O3851" s="72"/>
      <c r="P3851" s="36" t="str">
        <f t="shared" si="370"/>
        <v/>
      </c>
      <c r="Q3851" s="216">
        <f t="shared" si="371"/>
        <v>0.14400000000000002</v>
      </c>
      <c r="R3851" s="216">
        <f t="shared" si="372"/>
        <v>0.14400000000000002</v>
      </c>
      <c r="S3851" s="217" t="str">
        <f t="shared" si="373"/>
        <v/>
      </c>
    </row>
    <row r="3852" spans="1:19" ht="15.75" hidden="1" thickBot="1" x14ac:dyDescent="0.3">
      <c r="A3852" s="257"/>
      <c r="B3852" s="260"/>
      <c r="C3852" s="35" t="s">
        <v>584</v>
      </c>
      <c r="D3852" s="35" t="s">
        <v>583</v>
      </c>
      <c r="E3852" s="36">
        <f>ROUND(0.9834/(1.5*0.6),4)</f>
        <v>1.0927</v>
      </c>
      <c r="F3852" s="53">
        <v>20.225499999999997</v>
      </c>
      <c r="G3852" s="53">
        <f t="shared" si="368"/>
        <v>22.100403849999996</v>
      </c>
      <c r="H3852" s="72"/>
      <c r="I3852" s="73"/>
      <c r="J3852" s="152">
        <v>0</v>
      </c>
      <c r="L3852" s="215">
        <v>1.0927</v>
      </c>
      <c r="M3852" s="53">
        <v>17.313027999999996</v>
      </c>
      <c r="N3852" s="53">
        <f t="shared" si="369"/>
        <v>18.917945695599997</v>
      </c>
      <c r="O3852" s="72"/>
      <c r="P3852" s="36" t="str">
        <f t="shared" si="370"/>
        <v/>
      </c>
      <c r="Q3852" s="216">
        <f t="shared" si="371"/>
        <v>0.14400000000000013</v>
      </c>
      <c r="R3852" s="216">
        <f t="shared" si="372"/>
        <v>0.14400000000000002</v>
      </c>
      <c r="S3852" s="217" t="str">
        <f t="shared" si="373"/>
        <v/>
      </c>
    </row>
    <row r="3853" spans="1:19" ht="15.75" hidden="1" thickBot="1" x14ac:dyDescent="0.3">
      <c r="A3853" s="257"/>
      <c r="B3853" s="260"/>
      <c r="C3853" s="35"/>
      <c r="D3853" s="35"/>
      <c r="E3853" s="36"/>
      <c r="F3853" s="53" t="s">
        <v>416</v>
      </c>
      <c r="G3853" s="53" t="str">
        <f t="shared" si="368"/>
        <v/>
      </c>
      <c r="H3853" s="72"/>
      <c r="I3853" s="73"/>
      <c r="J3853" s="152">
        <v>0</v>
      </c>
      <c r="L3853" s="215"/>
      <c r="M3853" s="53"/>
      <c r="N3853" s="53" t="str">
        <f t="shared" si="369"/>
        <v/>
      </c>
      <c r="O3853" s="72"/>
      <c r="P3853" s="36" t="str">
        <f t="shared" si="370"/>
        <v/>
      </c>
      <c r="Q3853" s="216" t="str">
        <f t="shared" si="371"/>
        <v/>
      </c>
      <c r="R3853" s="216" t="str">
        <f t="shared" si="372"/>
        <v/>
      </c>
      <c r="S3853" s="217" t="str">
        <f t="shared" si="373"/>
        <v/>
      </c>
    </row>
    <row r="3854" spans="1:19" ht="15.75" hidden="1" thickBot="1" x14ac:dyDescent="0.3">
      <c r="A3854" s="256" t="s">
        <v>990</v>
      </c>
      <c r="B3854" s="259" t="str">
        <f>INDEX(Orçamentária!A:B,MATCH(Composições!A3854,Orçamentária!A:A,0),2)</f>
        <v>Porta em alumínio tipo veneziana</v>
      </c>
      <c r="C3854" s="40"/>
      <c r="D3854" s="25" t="s">
        <v>70</v>
      </c>
      <c r="E3854" s="26"/>
      <c r="F3854" s="48" t="s">
        <v>416</v>
      </c>
      <c r="G3854" s="27" t="str">
        <f t="shared" si="368"/>
        <v/>
      </c>
      <c r="H3854" s="28"/>
      <c r="I3854" s="29"/>
      <c r="J3854" s="152">
        <v>0</v>
      </c>
      <c r="L3854" s="218"/>
      <c r="M3854" s="48"/>
      <c r="N3854" s="27" t="str">
        <f t="shared" si="369"/>
        <v/>
      </c>
      <c r="O3854" s="28"/>
      <c r="P3854" s="36" t="str">
        <f t="shared" si="370"/>
        <v/>
      </c>
      <c r="Q3854" s="216" t="str">
        <f t="shared" si="371"/>
        <v/>
      </c>
      <c r="R3854" s="216" t="str">
        <f t="shared" si="372"/>
        <v/>
      </c>
      <c r="S3854" s="217" t="str">
        <f t="shared" si="373"/>
        <v/>
      </c>
    </row>
    <row r="3855" spans="1:19" ht="15.75" hidden="1" thickBot="1" x14ac:dyDescent="0.3">
      <c r="A3855" s="257"/>
      <c r="B3855" s="260"/>
      <c r="C3855" s="31"/>
      <c r="D3855" s="31"/>
      <c r="E3855" s="32"/>
      <c r="F3855" s="53" t="s">
        <v>416</v>
      </c>
      <c r="G3855" s="53" t="str">
        <f t="shared" si="368"/>
        <v/>
      </c>
      <c r="H3855" s="72"/>
      <c r="I3855" s="73"/>
      <c r="J3855" s="152">
        <v>0</v>
      </c>
      <c r="L3855" s="219"/>
      <c r="M3855" s="53"/>
      <c r="N3855" s="53" t="str">
        <f t="shared" si="369"/>
        <v/>
      </c>
      <c r="O3855" s="72"/>
      <c r="P3855" s="36" t="str">
        <f t="shared" si="370"/>
        <v/>
      </c>
      <c r="Q3855" s="216" t="str">
        <f t="shared" si="371"/>
        <v/>
      </c>
      <c r="R3855" s="216" t="str">
        <f t="shared" si="372"/>
        <v/>
      </c>
      <c r="S3855" s="217" t="str">
        <f t="shared" si="373"/>
        <v/>
      </c>
    </row>
    <row r="3856" spans="1:19" ht="26.25" hidden="1" thickBot="1" x14ac:dyDescent="0.3">
      <c r="A3856" s="257"/>
      <c r="B3856" s="260"/>
      <c r="C3856" s="35" t="s">
        <v>928</v>
      </c>
      <c r="D3856" s="35" t="s">
        <v>8526</v>
      </c>
      <c r="E3856" s="36">
        <v>0.88290000000000002</v>
      </c>
      <c r="F3856" s="53">
        <v>39.548499999999997</v>
      </c>
      <c r="G3856" s="53">
        <f t="shared" si="368"/>
        <v>34.917370649999995</v>
      </c>
      <c r="H3856" s="38">
        <f>SUM(G3856:G3861)</f>
        <v>578.10560995000003</v>
      </c>
      <c r="I3856" s="39"/>
      <c r="J3856" s="152">
        <v>0</v>
      </c>
      <c r="L3856" s="215">
        <v>0.88290000000000002</v>
      </c>
      <c r="M3856" s="53">
        <v>33.853515999999999</v>
      </c>
      <c r="N3856" s="53">
        <f t="shared" si="369"/>
        <v>29.8892692764</v>
      </c>
      <c r="O3856" s="38">
        <f>SUM(N3856:N3861)</f>
        <v>494.85840211719994</v>
      </c>
      <c r="P3856" s="36" t="str">
        <f t="shared" si="370"/>
        <v/>
      </c>
      <c r="Q3856" s="216">
        <f t="shared" si="371"/>
        <v>0.14399999999999991</v>
      </c>
      <c r="R3856" s="216">
        <f t="shared" si="372"/>
        <v>0.14399999999999991</v>
      </c>
      <c r="S3856" s="217">
        <f t="shared" si="373"/>
        <v>0.14400000000000013</v>
      </c>
    </row>
    <row r="3857" spans="1:19" ht="39" hidden="1" thickBot="1" x14ac:dyDescent="0.3">
      <c r="A3857" s="257"/>
      <c r="B3857" s="260"/>
      <c r="C3857" s="35" t="s">
        <v>991</v>
      </c>
      <c r="D3857" s="35" t="s">
        <v>213</v>
      </c>
      <c r="E3857" s="36">
        <v>4.8166000000000002</v>
      </c>
      <c r="F3857" s="53">
        <v>1.1019999999999999</v>
      </c>
      <c r="G3857" s="53">
        <f t="shared" si="368"/>
        <v>5.3078931999999996</v>
      </c>
      <c r="H3857" s="72"/>
      <c r="I3857" s="73"/>
      <c r="J3857" s="152">
        <v>0</v>
      </c>
      <c r="L3857" s="215">
        <v>4.8166000000000002</v>
      </c>
      <c r="M3857" s="53">
        <v>0.94331199999999993</v>
      </c>
      <c r="N3857" s="53">
        <f t="shared" si="369"/>
        <v>4.5435565791999997</v>
      </c>
      <c r="O3857" s="72"/>
      <c r="P3857" s="36" t="str">
        <f t="shared" si="370"/>
        <v/>
      </c>
      <c r="Q3857" s="216">
        <f t="shared" si="371"/>
        <v>0.14400000000000002</v>
      </c>
      <c r="R3857" s="216">
        <f t="shared" si="372"/>
        <v>0.14400000000000002</v>
      </c>
      <c r="S3857" s="217" t="str">
        <f t="shared" si="373"/>
        <v/>
      </c>
    </row>
    <row r="3858" spans="1:19" ht="39" hidden="1" thickBot="1" x14ac:dyDescent="0.3">
      <c r="A3858" s="257"/>
      <c r="B3858" s="260"/>
      <c r="C3858" s="35" t="s">
        <v>8175</v>
      </c>
      <c r="D3858" s="35" t="s">
        <v>385</v>
      </c>
      <c r="E3858" s="36">
        <v>6.8503999999999996</v>
      </c>
      <c r="F3858" s="53">
        <v>24.338999999999999</v>
      </c>
      <c r="G3858" s="53">
        <f t="shared" si="368"/>
        <v>166.73188559999997</v>
      </c>
      <c r="H3858" s="72"/>
      <c r="I3858" s="73"/>
      <c r="J3858" s="152">
        <v>0</v>
      </c>
      <c r="L3858" s="215">
        <v>6.8503999999999996</v>
      </c>
      <c r="M3858" s="53">
        <v>20.834184</v>
      </c>
      <c r="N3858" s="53">
        <f t="shared" si="369"/>
        <v>142.72249407359999</v>
      </c>
      <c r="O3858" s="72"/>
      <c r="P3858" s="36" t="str">
        <f t="shared" si="370"/>
        <v/>
      </c>
      <c r="Q3858" s="216">
        <f t="shared" si="371"/>
        <v>0.14399999999999991</v>
      </c>
      <c r="R3858" s="216">
        <f t="shared" si="372"/>
        <v>0.14399999999999991</v>
      </c>
      <c r="S3858" s="217" t="str">
        <f t="shared" si="373"/>
        <v/>
      </c>
    </row>
    <row r="3859" spans="1:19" ht="26.25" hidden="1" thickBot="1" x14ac:dyDescent="0.3">
      <c r="A3859" s="257"/>
      <c r="B3859" s="260"/>
      <c r="C3859" s="35" t="s">
        <v>992</v>
      </c>
      <c r="D3859" s="35" t="s">
        <v>213</v>
      </c>
      <c r="E3859" s="36">
        <v>0.54730000000000001</v>
      </c>
      <c r="F3859" s="53">
        <v>652.09899999999993</v>
      </c>
      <c r="G3859" s="53">
        <f t="shared" si="368"/>
        <v>356.89378269999997</v>
      </c>
      <c r="H3859" s="72"/>
      <c r="I3859" s="73"/>
      <c r="J3859" s="152">
        <v>0</v>
      </c>
      <c r="L3859" s="215">
        <v>0.54730000000000001</v>
      </c>
      <c r="M3859" s="53">
        <v>558.19674399999997</v>
      </c>
      <c r="N3859" s="53">
        <f t="shared" si="369"/>
        <v>305.50107799119996</v>
      </c>
      <c r="O3859" s="72"/>
      <c r="P3859" s="36" t="str">
        <f t="shared" si="370"/>
        <v/>
      </c>
      <c r="Q3859" s="216">
        <f t="shared" si="371"/>
        <v>0.14400000000000002</v>
      </c>
      <c r="R3859" s="216">
        <f t="shared" si="372"/>
        <v>0.14400000000000002</v>
      </c>
      <c r="S3859" s="217" t="str">
        <f t="shared" si="373"/>
        <v/>
      </c>
    </row>
    <row r="3860" spans="1:19" ht="15.75" hidden="1" thickBot="1" x14ac:dyDescent="0.3">
      <c r="A3860" s="257"/>
      <c r="B3860" s="260"/>
      <c r="C3860" s="35" t="s">
        <v>591</v>
      </c>
      <c r="D3860" s="35" t="s">
        <v>583</v>
      </c>
      <c r="E3860" s="36">
        <v>0.3826</v>
      </c>
      <c r="F3860" s="53">
        <v>27.160499999999999</v>
      </c>
      <c r="G3860" s="53">
        <f t="shared" si="368"/>
        <v>10.391607299999999</v>
      </c>
      <c r="H3860" s="72"/>
      <c r="I3860" s="73"/>
      <c r="J3860" s="152">
        <v>0</v>
      </c>
      <c r="L3860" s="215">
        <v>0.3826</v>
      </c>
      <c r="M3860" s="53">
        <v>23.249388</v>
      </c>
      <c r="N3860" s="53">
        <f t="shared" si="369"/>
        <v>8.8952158487999995</v>
      </c>
      <c r="O3860" s="72"/>
      <c r="P3860" s="36" t="str">
        <f t="shared" si="370"/>
        <v/>
      </c>
      <c r="Q3860" s="216">
        <f t="shared" si="371"/>
        <v>0.14400000000000002</v>
      </c>
      <c r="R3860" s="216">
        <f t="shared" si="372"/>
        <v>0.14399999999999991</v>
      </c>
      <c r="S3860" s="217" t="str">
        <f t="shared" si="373"/>
        <v/>
      </c>
    </row>
    <row r="3861" spans="1:19" ht="15.75" hidden="1" thickBot="1" x14ac:dyDescent="0.3">
      <c r="A3861" s="257"/>
      <c r="B3861" s="260"/>
      <c r="C3861" s="35" t="s">
        <v>584</v>
      </c>
      <c r="D3861" s="35" t="s">
        <v>583</v>
      </c>
      <c r="E3861" s="36">
        <v>0.191</v>
      </c>
      <c r="F3861" s="53">
        <v>20.225499999999997</v>
      </c>
      <c r="G3861" s="53">
        <f t="shared" si="368"/>
        <v>3.8630704999999996</v>
      </c>
      <c r="H3861" s="72"/>
      <c r="I3861" s="73"/>
      <c r="J3861" s="152">
        <v>0</v>
      </c>
      <c r="L3861" s="215">
        <v>0.191</v>
      </c>
      <c r="M3861" s="53">
        <v>17.313027999999996</v>
      </c>
      <c r="N3861" s="53">
        <f t="shared" si="369"/>
        <v>3.3067883479999991</v>
      </c>
      <c r="O3861" s="72"/>
      <c r="P3861" s="36" t="str">
        <f t="shared" si="370"/>
        <v/>
      </c>
      <c r="Q3861" s="216">
        <f t="shared" si="371"/>
        <v>0.14400000000000013</v>
      </c>
      <c r="R3861" s="216">
        <f t="shared" si="372"/>
        <v>0.14400000000000013</v>
      </c>
      <c r="S3861" s="217" t="str">
        <f t="shared" si="373"/>
        <v/>
      </c>
    </row>
    <row r="3862" spans="1:19" ht="15.75" hidden="1" thickBot="1" x14ac:dyDescent="0.3">
      <c r="A3862" s="257"/>
      <c r="B3862" s="260"/>
      <c r="C3862" s="35"/>
      <c r="D3862" s="46"/>
      <c r="E3862" s="36"/>
      <c r="F3862" s="53" t="s">
        <v>416</v>
      </c>
      <c r="G3862" s="53" t="str">
        <f t="shared" si="368"/>
        <v/>
      </c>
      <c r="H3862" s="72"/>
      <c r="I3862" s="73"/>
      <c r="J3862" s="152">
        <v>0</v>
      </c>
      <c r="L3862" s="215"/>
      <c r="M3862" s="53"/>
      <c r="N3862" s="53" t="str">
        <f t="shared" si="369"/>
        <v/>
      </c>
      <c r="O3862" s="72"/>
      <c r="P3862" s="36" t="str">
        <f t="shared" si="370"/>
        <v/>
      </c>
      <c r="Q3862" s="216" t="str">
        <f t="shared" si="371"/>
        <v/>
      </c>
      <c r="R3862" s="216" t="str">
        <f t="shared" si="372"/>
        <v/>
      </c>
      <c r="S3862" s="217" t="str">
        <f t="shared" si="373"/>
        <v/>
      </c>
    </row>
    <row r="3863" spans="1:19" ht="15.75" hidden="1" thickBot="1" x14ac:dyDescent="0.3">
      <c r="A3863" s="256" t="s">
        <v>993</v>
      </c>
      <c r="B3863" s="259" t="str">
        <f>INDEX(Orçamentária!A:B,MATCH(Composições!A3863,Orçamentária!A:A,0),2)</f>
        <v>Janela em alumínio</v>
      </c>
      <c r="C3863" s="40"/>
      <c r="D3863" s="25" t="s">
        <v>70</v>
      </c>
      <c r="E3863" s="26"/>
      <c r="F3863" s="48" t="s">
        <v>416</v>
      </c>
      <c r="G3863" s="27" t="str">
        <f t="shared" si="368"/>
        <v/>
      </c>
      <c r="H3863" s="28"/>
      <c r="I3863" s="29"/>
      <c r="J3863" s="152">
        <v>0</v>
      </c>
      <c r="L3863" s="218"/>
      <c r="M3863" s="48"/>
      <c r="N3863" s="27" t="str">
        <f t="shared" si="369"/>
        <v/>
      </c>
      <c r="O3863" s="28"/>
      <c r="P3863" s="36" t="str">
        <f t="shared" si="370"/>
        <v/>
      </c>
      <c r="Q3863" s="216" t="str">
        <f t="shared" si="371"/>
        <v/>
      </c>
      <c r="R3863" s="216" t="str">
        <f t="shared" si="372"/>
        <v/>
      </c>
      <c r="S3863" s="217" t="str">
        <f t="shared" si="373"/>
        <v/>
      </c>
    </row>
    <row r="3864" spans="1:19" ht="15.75" hidden="1" thickBot="1" x14ac:dyDescent="0.3">
      <c r="A3864" s="257"/>
      <c r="B3864" s="260"/>
      <c r="C3864" s="31"/>
      <c r="D3864" s="31"/>
      <c r="E3864" s="32"/>
      <c r="F3864" s="53" t="s">
        <v>416</v>
      </c>
      <c r="G3864" s="53" t="str">
        <f t="shared" si="368"/>
        <v/>
      </c>
      <c r="H3864" s="72"/>
      <c r="I3864" s="73"/>
      <c r="J3864" s="152">
        <v>0</v>
      </c>
      <c r="L3864" s="219"/>
      <c r="M3864" s="53"/>
      <c r="N3864" s="53" t="str">
        <f t="shared" si="369"/>
        <v/>
      </c>
      <c r="O3864" s="72"/>
      <c r="P3864" s="36" t="str">
        <f t="shared" si="370"/>
        <v/>
      </c>
      <c r="Q3864" s="216" t="str">
        <f t="shared" si="371"/>
        <v/>
      </c>
      <c r="R3864" s="216" t="str">
        <f t="shared" si="372"/>
        <v/>
      </c>
      <c r="S3864" s="217" t="str">
        <f t="shared" si="373"/>
        <v/>
      </c>
    </row>
    <row r="3865" spans="1:19" ht="39" hidden="1" thickBot="1" x14ac:dyDescent="0.3">
      <c r="A3865" s="257"/>
      <c r="B3865" s="260"/>
      <c r="C3865" s="35" t="s">
        <v>994</v>
      </c>
      <c r="D3865" s="35" t="s">
        <v>213</v>
      </c>
      <c r="E3865" s="36">
        <v>24.4</v>
      </c>
      <c r="F3865" s="53">
        <v>0.19</v>
      </c>
      <c r="G3865" s="53">
        <f t="shared" si="368"/>
        <v>4.6360000000000001</v>
      </c>
      <c r="H3865" s="38">
        <f>SUM(G3865:G3869)</f>
        <v>610.05279799999994</v>
      </c>
      <c r="I3865" s="39"/>
      <c r="J3865" s="152">
        <v>0</v>
      </c>
      <c r="L3865" s="215">
        <v>24.4</v>
      </c>
      <c r="M3865" s="53">
        <v>0.16264000000000001</v>
      </c>
      <c r="N3865" s="53">
        <f t="shared" si="369"/>
        <v>3.9684159999999999</v>
      </c>
      <c r="O3865" s="38">
        <f>SUM(N3865:N3869)</f>
        <v>522.20519508799998</v>
      </c>
      <c r="P3865" s="36" t="str">
        <f t="shared" si="370"/>
        <v/>
      </c>
      <c r="Q3865" s="216">
        <f t="shared" si="371"/>
        <v>0.14400000000000002</v>
      </c>
      <c r="R3865" s="216">
        <f t="shared" si="372"/>
        <v>0.14400000000000002</v>
      </c>
      <c r="S3865" s="217">
        <f t="shared" si="373"/>
        <v>0.14399999999999991</v>
      </c>
    </row>
    <row r="3866" spans="1:19" ht="39" hidden="1" thickBot="1" x14ac:dyDescent="0.3">
      <c r="A3866" s="257"/>
      <c r="B3866" s="260"/>
      <c r="C3866" s="35" t="s">
        <v>8574</v>
      </c>
      <c r="D3866" s="35" t="s">
        <v>213</v>
      </c>
      <c r="E3866" s="36">
        <v>2.0832999999999999</v>
      </c>
      <c r="F3866" s="53">
        <v>244.435</v>
      </c>
      <c r="G3866" s="53">
        <f t="shared" si="368"/>
        <v>509.23143549999998</v>
      </c>
      <c r="H3866" s="72"/>
      <c r="I3866" s="73"/>
      <c r="J3866" s="152">
        <v>0</v>
      </c>
      <c r="L3866" s="215">
        <v>2.0832999999999999</v>
      </c>
      <c r="M3866" s="53">
        <v>209.23635999999999</v>
      </c>
      <c r="N3866" s="53">
        <f t="shared" si="369"/>
        <v>435.90210878799996</v>
      </c>
      <c r="O3866" s="72"/>
      <c r="P3866" s="36" t="str">
        <f t="shared" si="370"/>
        <v/>
      </c>
      <c r="Q3866" s="216">
        <f t="shared" si="371"/>
        <v>0.14400000000000002</v>
      </c>
      <c r="R3866" s="216">
        <f t="shared" si="372"/>
        <v>0.14400000000000002</v>
      </c>
      <c r="S3866" s="217" t="str">
        <f t="shared" si="373"/>
        <v/>
      </c>
    </row>
    <row r="3867" spans="1:19" ht="15.75" hidden="1" thickBot="1" x14ac:dyDescent="0.3">
      <c r="A3867" s="257"/>
      <c r="B3867" s="260"/>
      <c r="C3867" s="35" t="s">
        <v>8373</v>
      </c>
      <c r="D3867" s="35" t="s">
        <v>213</v>
      </c>
      <c r="E3867" s="36">
        <v>1.2466999999999999</v>
      </c>
      <c r="F3867" s="53">
        <v>26.125</v>
      </c>
      <c r="G3867" s="53">
        <f t="shared" si="368"/>
        <v>32.570037499999998</v>
      </c>
      <c r="H3867" s="72"/>
      <c r="I3867" s="73"/>
      <c r="J3867" s="152">
        <v>0</v>
      </c>
      <c r="L3867" s="215">
        <v>1.2466999999999999</v>
      </c>
      <c r="M3867" s="53">
        <v>22.363</v>
      </c>
      <c r="N3867" s="53">
        <f t="shared" si="369"/>
        <v>27.879952099999997</v>
      </c>
      <c r="O3867" s="72"/>
      <c r="P3867" s="36" t="str">
        <f t="shared" si="370"/>
        <v/>
      </c>
      <c r="Q3867" s="216">
        <f t="shared" si="371"/>
        <v>0.14400000000000002</v>
      </c>
      <c r="R3867" s="216">
        <f t="shared" si="372"/>
        <v>0.14400000000000002</v>
      </c>
      <c r="S3867" s="217" t="str">
        <f t="shared" si="373"/>
        <v/>
      </c>
    </row>
    <row r="3868" spans="1:19" ht="15.75" hidden="1" thickBot="1" x14ac:dyDescent="0.3">
      <c r="A3868" s="257"/>
      <c r="B3868" s="260"/>
      <c r="C3868" s="35" t="s">
        <v>591</v>
      </c>
      <c r="D3868" s="35" t="s">
        <v>583</v>
      </c>
      <c r="E3868" s="36">
        <v>1.7070000000000001</v>
      </c>
      <c r="F3868" s="53">
        <v>27.160499999999999</v>
      </c>
      <c r="G3868" s="53">
        <f t="shared" si="368"/>
        <v>46.362973500000003</v>
      </c>
      <c r="H3868" s="72"/>
      <c r="I3868" s="73"/>
      <c r="J3868" s="152">
        <v>0</v>
      </c>
      <c r="L3868" s="215">
        <v>1.7070000000000001</v>
      </c>
      <c r="M3868" s="53">
        <v>23.249388</v>
      </c>
      <c r="N3868" s="53">
        <f t="shared" si="369"/>
        <v>39.686705316000001</v>
      </c>
      <c r="O3868" s="72"/>
      <c r="P3868" s="36" t="str">
        <f t="shared" si="370"/>
        <v/>
      </c>
      <c r="Q3868" s="216">
        <f t="shared" si="371"/>
        <v>0.14400000000000002</v>
      </c>
      <c r="R3868" s="216">
        <f t="shared" si="372"/>
        <v>0.14400000000000002</v>
      </c>
      <c r="S3868" s="217" t="str">
        <f t="shared" si="373"/>
        <v/>
      </c>
    </row>
    <row r="3869" spans="1:19" ht="15.75" hidden="1" thickBot="1" x14ac:dyDescent="0.3">
      <c r="A3869" s="257"/>
      <c r="B3869" s="260"/>
      <c r="C3869" s="35" t="s">
        <v>584</v>
      </c>
      <c r="D3869" s="35" t="s">
        <v>583</v>
      </c>
      <c r="E3869" s="36">
        <v>0.85299999999999998</v>
      </c>
      <c r="F3869" s="53">
        <v>20.225499999999997</v>
      </c>
      <c r="G3869" s="53">
        <f t="shared" si="368"/>
        <v>17.252351499999996</v>
      </c>
      <c r="H3869" s="72"/>
      <c r="I3869" s="73"/>
      <c r="J3869" s="152">
        <v>0</v>
      </c>
      <c r="L3869" s="215">
        <v>0.85299999999999998</v>
      </c>
      <c r="M3869" s="53">
        <v>17.313027999999996</v>
      </c>
      <c r="N3869" s="53">
        <f t="shared" si="369"/>
        <v>14.768012883999996</v>
      </c>
      <c r="O3869" s="72"/>
      <c r="P3869" s="36" t="str">
        <f t="shared" si="370"/>
        <v/>
      </c>
      <c r="Q3869" s="216">
        <f t="shared" si="371"/>
        <v>0.14400000000000013</v>
      </c>
      <c r="R3869" s="216">
        <f t="shared" si="372"/>
        <v>0.14400000000000002</v>
      </c>
      <c r="S3869" s="217" t="str">
        <f t="shared" si="373"/>
        <v/>
      </c>
    </row>
    <row r="3870" spans="1:19" ht="15.75" hidden="1" thickBot="1" x14ac:dyDescent="0.3">
      <c r="A3870" s="257"/>
      <c r="B3870" s="260"/>
      <c r="C3870" s="35"/>
      <c r="D3870" s="46"/>
      <c r="E3870" s="36"/>
      <c r="F3870" s="53" t="s">
        <v>416</v>
      </c>
      <c r="G3870" s="53" t="str">
        <f t="shared" si="368"/>
        <v/>
      </c>
      <c r="H3870" s="72"/>
      <c r="I3870" s="73"/>
      <c r="J3870" s="152">
        <v>0</v>
      </c>
      <c r="L3870" s="215"/>
      <c r="M3870" s="53"/>
      <c r="N3870" s="53" t="str">
        <f t="shared" si="369"/>
        <v/>
      </c>
      <c r="O3870" s="72"/>
      <c r="P3870" s="36" t="str">
        <f t="shared" si="370"/>
        <v/>
      </c>
      <c r="Q3870" s="216" t="str">
        <f t="shared" si="371"/>
        <v/>
      </c>
      <c r="R3870" s="216" t="str">
        <f t="shared" si="372"/>
        <v/>
      </c>
      <c r="S3870" s="217" t="str">
        <f t="shared" si="373"/>
        <v/>
      </c>
    </row>
    <row r="3871" spans="1:19" ht="15.75" hidden="1" thickBot="1" x14ac:dyDescent="0.3">
      <c r="A3871" s="256" t="s">
        <v>995</v>
      </c>
      <c r="B3871" s="259" t="str">
        <f>INDEX(Orçamentária!A:B,MATCH(Composições!A3871,Orçamentária!A:A,0),2)</f>
        <v>Porta metálica de enrolar</v>
      </c>
      <c r="C3871" s="40"/>
      <c r="D3871" s="25" t="s">
        <v>70</v>
      </c>
      <c r="E3871" s="26"/>
      <c r="F3871" s="48" t="s">
        <v>416</v>
      </c>
      <c r="G3871" s="27" t="str">
        <f t="shared" si="368"/>
        <v/>
      </c>
      <c r="H3871" s="28"/>
      <c r="I3871" s="29"/>
      <c r="J3871" s="152">
        <v>0</v>
      </c>
      <c r="L3871" s="218"/>
      <c r="M3871" s="48"/>
      <c r="N3871" s="27" t="str">
        <f t="shared" si="369"/>
        <v/>
      </c>
      <c r="O3871" s="28"/>
      <c r="P3871" s="36" t="str">
        <f t="shared" si="370"/>
        <v/>
      </c>
      <c r="Q3871" s="216" t="str">
        <f t="shared" si="371"/>
        <v/>
      </c>
      <c r="R3871" s="216" t="str">
        <f t="shared" si="372"/>
        <v/>
      </c>
      <c r="S3871" s="217" t="str">
        <f t="shared" si="373"/>
        <v/>
      </c>
    </row>
    <row r="3872" spans="1:19" ht="15.75" hidden="1" thickBot="1" x14ac:dyDescent="0.3">
      <c r="A3872" s="257"/>
      <c r="B3872" s="260"/>
      <c r="C3872" s="31"/>
      <c r="D3872" s="31"/>
      <c r="E3872" s="32"/>
      <c r="F3872" s="53" t="s">
        <v>416</v>
      </c>
      <c r="G3872" s="53" t="str">
        <f t="shared" si="368"/>
        <v/>
      </c>
      <c r="H3872" s="72"/>
      <c r="I3872" s="73"/>
      <c r="J3872" s="152">
        <v>0</v>
      </c>
      <c r="L3872" s="219"/>
      <c r="M3872" s="53"/>
      <c r="N3872" s="53" t="str">
        <f t="shared" si="369"/>
        <v/>
      </c>
      <c r="O3872" s="72"/>
      <c r="P3872" s="36" t="str">
        <f t="shared" si="370"/>
        <v/>
      </c>
      <c r="Q3872" s="216" t="str">
        <f t="shared" si="371"/>
        <v/>
      </c>
      <c r="R3872" s="216" t="str">
        <f t="shared" si="372"/>
        <v/>
      </c>
      <c r="S3872" s="217" t="str">
        <f t="shared" si="373"/>
        <v/>
      </c>
    </row>
    <row r="3873" spans="1:19" ht="39" hidden="1" thickBot="1" x14ac:dyDescent="0.3">
      <c r="A3873" s="257"/>
      <c r="B3873" s="260"/>
      <c r="C3873" s="35" t="s">
        <v>996</v>
      </c>
      <c r="D3873" s="35" t="s">
        <v>861</v>
      </c>
      <c r="E3873" s="36">
        <v>1</v>
      </c>
      <c r="F3873" s="53">
        <v>402.98999999999995</v>
      </c>
      <c r="G3873" s="53">
        <f t="shared" si="368"/>
        <v>402.98999999999995</v>
      </c>
      <c r="H3873" s="38">
        <f>SUM(G3873:G3879)</f>
        <v>458.69453555140001</v>
      </c>
      <c r="I3873" s="39"/>
      <c r="J3873" s="152">
        <v>0</v>
      </c>
      <c r="L3873" s="215">
        <v>1</v>
      </c>
      <c r="M3873" s="53">
        <v>344.95943999999997</v>
      </c>
      <c r="N3873" s="53">
        <f t="shared" si="369"/>
        <v>344.95943999999997</v>
      </c>
      <c r="O3873" s="38">
        <f>SUM(N3873:N3879)</f>
        <v>392.64252243199843</v>
      </c>
      <c r="P3873" s="36" t="str">
        <f t="shared" si="370"/>
        <v/>
      </c>
      <c r="Q3873" s="216">
        <f t="shared" si="371"/>
        <v>0.14400000000000002</v>
      </c>
      <c r="R3873" s="216">
        <f t="shared" si="372"/>
        <v>0.14400000000000002</v>
      </c>
      <c r="S3873" s="217">
        <f t="shared" si="373"/>
        <v>0.14399999999999991</v>
      </c>
    </row>
    <row r="3874" spans="1:19" ht="15.75" hidden="1" thickBot="1" x14ac:dyDescent="0.3">
      <c r="A3874" s="257"/>
      <c r="B3874" s="260"/>
      <c r="C3874" s="35" t="s">
        <v>591</v>
      </c>
      <c r="D3874" s="35" t="s">
        <v>583</v>
      </c>
      <c r="E3874" s="36">
        <v>1</v>
      </c>
      <c r="F3874" s="53">
        <v>27.160499999999999</v>
      </c>
      <c r="G3874" s="53">
        <f t="shared" si="368"/>
        <v>27.160499999999999</v>
      </c>
      <c r="H3874" s="72"/>
      <c r="I3874" s="73"/>
      <c r="J3874" s="152">
        <v>0</v>
      </c>
      <c r="L3874" s="215">
        <v>1</v>
      </c>
      <c r="M3874" s="53">
        <v>23.249388</v>
      </c>
      <c r="N3874" s="53">
        <f t="shared" si="369"/>
        <v>23.249388</v>
      </c>
      <c r="O3874" s="72"/>
      <c r="P3874" s="36" t="str">
        <f t="shared" si="370"/>
        <v/>
      </c>
      <c r="Q3874" s="216">
        <f t="shared" si="371"/>
        <v>0.14400000000000002</v>
      </c>
      <c r="R3874" s="216">
        <f t="shared" si="372"/>
        <v>0.14400000000000002</v>
      </c>
      <c r="S3874" s="217" t="str">
        <f t="shared" si="373"/>
        <v/>
      </c>
    </row>
    <row r="3875" spans="1:19" ht="15.75" hidden="1" thickBot="1" x14ac:dyDescent="0.3">
      <c r="A3875" s="257"/>
      <c r="B3875" s="260"/>
      <c r="C3875" s="35" t="s">
        <v>584</v>
      </c>
      <c r="D3875" s="35" t="s">
        <v>583</v>
      </c>
      <c r="E3875" s="36">
        <v>1.1000000000000001</v>
      </c>
      <c r="F3875" s="53">
        <v>20.225499999999997</v>
      </c>
      <c r="G3875" s="53">
        <f t="shared" si="368"/>
        <v>22.248049999999999</v>
      </c>
      <c r="H3875" s="72"/>
      <c r="I3875" s="73"/>
      <c r="J3875" s="152">
        <v>0</v>
      </c>
      <c r="L3875" s="215">
        <v>1.1000000000000001</v>
      </c>
      <c r="M3875" s="53">
        <v>17.313027999999996</v>
      </c>
      <c r="N3875" s="53">
        <f t="shared" si="369"/>
        <v>19.044330799999997</v>
      </c>
      <c r="O3875" s="72"/>
      <c r="P3875" s="36" t="str">
        <f t="shared" si="370"/>
        <v/>
      </c>
      <c r="Q3875" s="216">
        <f t="shared" si="371"/>
        <v>0.14400000000000013</v>
      </c>
      <c r="R3875" s="216">
        <f t="shared" si="372"/>
        <v>0.14400000000000013</v>
      </c>
      <c r="S3875" s="217" t="str">
        <f t="shared" si="373"/>
        <v/>
      </c>
    </row>
    <row r="3876" spans="1:19" ht="26.25" hidden="1" thickBot="1" x14ac:dyDescent="0.3">
      <c r="A3876" s="257"/>
      <c r="B3876" s="260"/>
      <c r="C3876" s="35" t="s">
        <v>7985</v>
      </c>
      <c r="D3876" s="35" t="s">
        <v>87</v>
      </c>
      <c r="E3876" s="36">
        <v>1.2999999999999999E-2</v>
      </c>
      <c r="F3876" s="53">
        <v>202.33099999999999</v>
      </c>
      <c r="G3876" s="53">
        <f t="shared" si="368"/>
        <v>2.6303029999999996</v>
      </c>
      <c r="H3876" s="72"/>
      <c r="I3876" s="73"/>
      <c r="J3876" s="152">
        <v>0</v>
      </c>
      <c r="L3876" s="215">
        <v>1.2999999999999999E-2</v>
      </c>
      <c r="M3876" s="53">
        <v>173.195336</v>
      </c>
      <c r="N3876" s="53">
        <f t="shared" si="369"/>
        <v>2.251539368</v>
      </c>
      <c r="O3876" s="72"/>
      <c r="P3876" s="36" t="str">
        <f t="shared" si="370"/>
        <v/>
      </c>
      <c r="Q3876" s="216">
        <f t="shared" si="371"/>
        <v>0.14400000000000002</v>
      </c>
      <c r="R3876" s="216">
        <f t="shared" si="372"/>
        <v>0.14399999999999991</v>
      </c>
      <c r="S3876" s="217" t="str">
        <f t="shared" si="373"/>
        <v/>
      </c>
    </row>
    <row r="3877" spans="1:19" ht="15.75" hidden="1" thickBot="1" x14ac:dyDescent="0.3">
      <c r="A3877" s="257"/>
      <c r="B3877" s="260"/>
      <c r="C3877" s="35" t="s">
        <v>8065</v>
      </c>
      <c r="D3877" s="35" t="s">
        <v>773</v>
      </c>
      <c r="E3877" s="36">
        <v>4.58</v>
      </c>
      <c r="F3877" s="53">
        <v>0.627</v>
      </c>
      <c r="G3877" s="53">
        <f t="shared" si="368"/>
        <v>2.8716599999999999</v>
      </c>
      <c r="H3877" s="72"/>
      <c r="I3877" s="73"/>
      <c r="J3877" s="152">
        <v>0</v>
      </c>
      <c r="L3877" s="215">
        <v>4.58</v>
      </c>
      <c r="M3877" s="53">
        <v>0.53671199999999997</v>
      </c>
      <c r="N3877" s="53">
        <f t="shared" si="369"/>
        <v>2.4581409599999997</v>
      </c>
      <c r="O3877" s="72"/>
      <c r="P3877" s="36" t="str">
        <f t="shared" si="370"/>
        <v/>
      </c>
      <c r="Q3877" s="216">
        <f t="shared" si="371"/>
        <v>0.14400000000000002</v>
      </c>
      <c r="R3877" s="216">
        <f t="shared" si="372"/>
        <v>0.14400000000000002</v>
      </c>
      <c r="S3877" s="217" t="str">
        <f t="shared" si="373"/>
        <v/>
      </c>
    </row>
    <row r="3878" spans="1:19" ht="51.75" hidden="1" thickBot="1" x14ac:dyDescent="0.3">
      <c r="A3878" s="257"/>
      <c r="B3878" s="260"/>
      <c r="C3878" s="35" t="s">
        <v>3071</v>
      </c>
      <c r="D3878" s="35" t="s">
        <v>80</v>
      </c>
      <c r="E3878" s="36">
        <f>1*E3876</f>
        <v>1.2999999999999999E-2</v>
      </c>
      <c r="F3878" s="33">
        <v>7.9257587999999988</v>
      </c>
      <c r="G3878" s="33">
        <f t="shared" si="368"/>
        <v>0.10303486439999998</v>
      </c>
      <c r="H3878" s="34"/>
      <c r="I3878" s="30"/>
      <c r="J3878" s="152">
        <v>0</v>
      </c>
      <c r="L3878" s="215">
        <v>1.2999999999999999E-2</v>
      </c>
      <c r="M3878" s="33">
        <v>6.7844495327999992</v>
      </c>
      <c r="N3878" s="33">
        <f t="shared" si="369"/>
        <v>8.8197843926399982E-2</v>
      </c>
      <c r="O3878" s="34"/>
      <c r="P3878" s="36" t="str">
        <f t="shared" si="370"/>
        <v/>
      </c>
      <c r="Q3878" s="216">
        <f t="shared" si="371"/>
        <v>0.14400000000000002</v>
      </c>
      <c r="R3878" s="216">
        <f t="shared" si="372"/>
        <v>0.14400000000000002</v>
      </c>
      <c r="S3878" s="217" t="str">
        <f t="shared" si="373"/>
        <v/>
      </c>
    </row>
    <row r="3879" spans="1:19" ht="39" hidden="1" thickBot="1" x14ac:dyDescent="0.3">
      <c r="A3879" s="257"/>
      <c r="B3879" s="260"/>
      <c r="C3879" s="35" t="s">
        <v>88</v>
      </c>
      <c r="D3879" s="46" t="s">
        <v>89</v>
      </c>
      <c r="E3879" s="36">
        <f>E3876*20</f>
        <v>0.26</v>
      </c>
      <c r="F3879" s="53">
        <v>2.6576449499999995</v>
      </c>
      <c r="G3879" s="53">
        <f t="shared" si="368"/>
        <v>0.69098768699999991</v>
      </c>
      <c r="H3879" s="72"/>
      <c r="I3879" s="73"/>
      <c r="J3879" s="152">
        <v>0</v>
      </c>
      <c r="L3879" s="215">
        <v>0.26</v>
      </c>
      <c r="M3879" s="53">
        <v>2.2749440771999998</v>
      </c>
      <c r="N3879" s="53">
        <f t="shared" si="369"/>
        <v>0.59148546007199998</v>
      </c>
      <c r="O3879" s="72"/>
      <c r="P3879" s="36" t="str">
        <f t="shared" si="370"/>
        <v/>
      </c>
      <c r="Q3879" s="216">
        <f t="shared" si="371"/>
        <v>0.14399999999999991</v>
      </c>
      <c r="R3879" s="216">
        <f t="shared" si="372"/>
        <v>0.14399999999999991</v>
      </c>
      <c r="S3879" s="217" t="str">
        <f t="shared" si="373"/>
        <v/>
      </c>
    </row>
    <row r="3880" spans="1:19" ht="15.75" hidden="1" thickBot="1" x14ac:dyDescent="0.3">
      <c r="A3880" s="257"/>
      <c r="B3880" s="260"/>
      <c r="C3880" s="50"/>
      <c r="D3880" s="46"/>
      <c r="E3880" s="36"/>
      <c r="F3880" s="53" t="s">
        <v>416</v>
      </c>
      <c r="G3880" s="53" t="str">
        <f t="shared" si="368"/>
        <v/>
      </c>
      <c r="H3880" s="72"/>
      <c r="I3880" s="73"/>
      <c r="J3880" s="152">
        <v>0</v>
      </c>
      <c r="L3880" s="215"/>
      <c r="M3880" s="53"/>
      <c r="N3880" s="53" t="str">
        <f t="shared" si="369"/>
        <v/>
      </c>
      <c r="O3880" s="72"/>
      <c r="P3880" s="36" t="str">
        <f t="shared" si="370"/>
        <v/>
      </c>
      <c r="Q3880" s="216" t="str">
        <f t="shared" si="371"/>
        <v/>
      </c>
      <c r="R3880" s="216" t="str">
        <f t="shared" si="372"/>
        <v/>
      </c>
      <c r="S3880" s="217" t="str">
        <f t="shared" si="373"/>
        <v/>
      </c>
    </row>
    <row r="3881" spans="1:19" ht="15.75" hidden="1" thickBot="1" x14ac:dyDescent="0.3">
      <c r="A3881" s="257"/>
      <c r="B3881" s="260"/>
      <c r="C3881" s="47" t="s">
        <v>631</v>
      </c>
      <c r="D3881" s="46"/>
      <c r="E3881" s="36"/>
      <c r="F3881" s="53" t="s">
        <v>416</v>
      </c>
      <c r="G3881" s="53" t="str">
        <f t="shared" si="368"/>
        <v/>
      </c>
      <c r="H3881" s="72"/>
      <c r="I3881" s="73"/>
      <c r="J3881" s="152">
        <v>0</v>
      </c>
      <c r="L3881" s="215"/>
      <c r="M3881" s="53"/>
      <c r="N3881" s="53" t="str">
        <f t="shared" si="369"/>
        <v/>
      </c>
      <c r="O3881" s="72"/>
      <c r="P3881" s="36" t="str">
        <f t="shared" si="370"/>
        <v/>
      </c>
      <c r="Q3881" s="216" t="str">
        <f t="shared" si="371"/>
        <v/>
      </c>
      <c r="R3881" s="216" t="str">
        <f t="shared" si="372"/>
        <v/>
      </c>
      <c r="S3881" s="217" t="str">
        <f t="shared" si="373"/>
        <v/>
      </c>
    </row>
    <row r="3882" spans="1:19" ht="15.75" hidden="1" thickBot="1" x14ac:dyDescent="0.3">
      <c r="A3882" s="258"/>
      <c r="B3882" s="261"/>
      <c r="C3882" s="47"/>
      <c r="D3882" s="46"/>
      <c r="E3882" s="36"/>
      <c r="F3882" s="53" t="s">
        <v>416</v>
      </c>
      <c r="G3882" s="53" t="str">
        <f t="shared" si="368"/>
        <v/>
      </c>
      <c r="H3882" s="72"/>
      <c r="I3882" s="73"/>
      <c r="J3882" s="152">
        <v>0</v>
      </c>
      <c r="L3882" s="215"/>
      <c r="M3882" s="53"/>
      <c r="N3882" s="53" t="str">
        <f t="shared" si="369"/>
        <v/>
      </c>
      <c r="O3882" s="72"/>
      <c r="P3882" s="36" t="str">
        <f t="shared" si="370"/>
        <v/>
      </c>
      <c r="Q3882" s="216" t="str">
        <f t="shared" si="371"/>
        <v/>
      </c>
      <c r="R3882" s="216" t="str">
        <f t="shared" si="372"/>
        <v/>
      </c>
      <c r="S3882" s="217" t="str">
        <f t="shared" si="373"/>
        <v/>
      </c>
    </row>
    <row r="3883" spans="1:19" ht="15.75" hidden="1" thickBot="1" x14ac:dyDescent="0.3">
      <c r="A3883" s="256" t="s">
        <v>997</v>
      </c>
      <c r="B3883" s="259" t="str">
        <f>INDEX(Orçamentária!A:B,MATCH(Composições!A3883,Orçamentária!A:A,0),2)</f>
        <v>Medidor de Gás</v>
      </c>
      <c r="C3883" s="40"/>
      <c r="D3883" s="25" t="s">
        <v>16</v>
      </c>
      <c r="E3883" s="26"/>
      <c r="F3883" s="48" t="s">
        <v>416</v>
      </c>
      <c r="G3883" s="27" t="str">
        <f t="shared" si="368"/>
        <v/>
      </c>
      <c r="H3883" s="28"/>
      <c r="I3883" s="29"/>
      <c r="J3883" s="152">
        <v>0</v>
      </c>
      <c r="L3883" s="218"/>
      <c r="M3883" s="48"/>
      <c r="N3883" s="27" t="str">
        <f t="shared" si="369"/>
        <v/>
      </c>
      <c r="O3883" s="28"/>
      <c r="P3883" s="36" t="str">
        <f t="shared" si="370"/>
        <v/>
      </c>
      <c r="Q3883" s="216" t="str">
        <f t="shared" si="371"/>
        <v/>
      </c>
      <c r="R3883" s="216" t="str">
        <f t="shared" si="372"/>
        <v/>
      </c>
      <c r="S3883" s="217" t="str">
        <f t="shared" si="373"/>
        <v/>
      </c>
    </row>
    <row r="3884" spans="1:19" ht="15.75" hidden="1" thickBot="1" x14ac:dyDescent="0.3">
      <c r="A3884" s="257"/>
      <c r="B3884" s="260"/>
      <c r="C3884" s="31"/>
      <c r="D3884" s="31"/>
      <c r="E3884" s="32"/>
      <c r="F3884" s="53" t="s">
        <v>416</v>
      </c>
      <c r="G3884" s="53" t="str">
        <f t="shared" ref="G3884:G3947" si="374">IF(ISNUMBER(F3884),E3884*F3884,"")</f>
        <v/>
      </c>
      <c r="H3884" s="72"/>
      <c r="I3884" s="73"/>
      <c r="J3884" s="152">
        <v>0</v>
      </c>
      <c r="L3884" s="219"/>
      <c r="M3884" s="53"/>
      <c r="N3884" s="53" t="str">
        <f t="shared" ref="N3884:N3947" si="375">IF(ISNUMBER(M3884),L3884*M3884,"")</f>
        <v/>
      </c>
      <c r="O3884" s="72"/>
      <c r="P3884" s="36" t="str">
        <f t="shared" si="370"/>
        <v/>
      </c>
      <c r="Q3884" s="216" t="str">
        <f t="shared" si="371"/>
        <v/>
      </c>
      <c r="R3884" s="216" t="str">
        <f t="shared" si="372"/>
        <v/>
      </c>
      <c r="S3884" s="217" t="str">
        <f t="shared" si="373"/>
        <v/>
      </c>
    </row>
    <row r="3885" spans="1:19" ht="15.75" hidden="1" thickBot="1" x14ac:dyDescent="0.3">
      <c r="A3885" s="257"/>
      <c r="B3885" s="260"/>
      <c r="C3885" s="35" t="s">
        <v>244</v>
      </c>
      <c r="D3885" s="35" t="s">
        <v>213</v>
      </c>
      <c r="E3885" s="36">
        <v>0.20519999999999999</v>
      </c>
      <c r="F3885" s="53">
        <v>14.8865</v>
      </c>
      <c r="G3885" s="53">
        <f t="shared" si="374"/>
        <v>3.0547097999999999</v>
      </c>
      <c r="H3885" s="38">
        <f>SUM(G3885:G3896)</f>
        <v>736.01603114999989</v>
      </c>
      <c r="I3885" s="39"/>
      <c r="J3885" s="152">
        <v>0</v>
      </c>
      <c r="L3885" s="215">
        <v>0.20519999999999999</v>
      </c>
      <c r="M3885" s="53">
        <v>12.742844</v>
      </c>
      <c r="N3885" s="53">
        <f t="shared" si="375"/>
        <v>2.6148315888</v>
      </c>
      <c r="O3885" s="38">
        <f>SUM(N3885:N3896)</f>
        <v>630.02972266439997</v>
      </c>
      <c r="P3885" s="36" t="str">
        <f t="shared" si="370"/>
        <v/>
      </c>
      <c r="Q3885" s="216">
        <f t="shared" si="371"/>
        <v>0.14400000000000002</v>
      </c>
      <c r="R3885" s="216">
        <f t="shared" si="372"/>
        <v>0.14400000000000002</v>
      </c>
      <c r="S3885" s="217">
        <f t="shared" si="373"/>
        <v>0.14399999999999991</v>
      </c>
    </row>
    <row r="3886" spans="1:19" ht="26.25" hidden="1" thickBot="1" x14ac:dyDescent="0.3">
      <c r="A3886" s="257"/>
      <c r="B3886" s="260"/>
      <c r="C3886" s="35" t="s">
        <v>998</v>
      </c>
      <c r="D3886" s="35" t="s">
        <v>213</v>
      </c>
      <c r="E3886" s="36">
        <v>2</v>
      </c>
      <c r="F3886" s="53">
        <v>15.513499999999997</v>
      </c>
      <c r="G3886" s="53">
        <f t="shared" si="374"/>
        <v>31.026999999999994</v>
      </c>
      <c r="H3886" s="72"/>
      <c r="I3886" s="73"/>
      <c r="J3886" s="152">
        <v>0</v>
      </c>
      <c r="L3886" s="215">
        <v>2</v>
      </c>
      <c r="M3886" s="53">
        <v>13.279555999999998</v>
      </c>
      <c r="N3886" s="53">
        <f t="shared" si="375"/>
        <v>26.559111999999995</v>
      </c>
      <c r="O3886" s="72"/>
      <c r="P3886" s="36" t="str">
        <f t="shared" si="370"/>
        <v/>
      </c>
      <c r="Q3886" s="216">
        <f t="shared" si="371"/>
        <v>0.14400000000000002</v>
      </c>
      <c r="R3886" s="216">
        <f t="shared" si="372"/>
        <v>0.14400000000000002</v>
      </c>
      <c r="S3886" s="217" t="str">
        <f t="shared" si="373"/>
        <v/>
      </c>
    </row>
    <row r="3887" spans="1:19" ht="15.75" hidden="1" thickBot="1" x14ac:dyDescent="0.3">
      <c r="A3887" s="257"/>
      <c r="B3887" s="260"/>
      <c r="C3887" s="35" t="s">
        <v>999</v>
      </c>
      <c r="D3887" s="35" t="s">
        <v>213</v>
      </c>
      <c r="E3887" s="36">
        <v>4</v>
      </c>
      <c r="F3887" s="53">
        <v>11.504499999999998</v>
      </c>
      <c r="G3887" s="53">
        <f t="shared" si="374"/>
        <v>46.017999999999994</v>
      </c>
      <c r="H3887" s="72"/>
      <c r="I3887" s="73"/>
      <c r="J3887" s="152">
        <v>0</v>
      </c>
      <c r="L3887" s="215">
        <v>4</v>
      </c>
      <c r="M3887" s="53">
        <v>9.8478519999999996</v>
      </c>
      <c r="N3887" s="53">
        <f t="shared" si="375"/>
        <v>39.391407999999998</v>
      </c>
      <c r="O3887" s="72"/>
      <c r="P3887" s="36" t="str">
        <f t="shared" si="370"/>
        <v/>
      </c>
      <c r="Q3887" s="216">
        <f t="shared" si="371"/>
        <v>0.14399999999999991</v>
      </c>
      <c r="R3887" s="216">
        <f t="shared" si="372"/>
        <v>0.14399999999999991</v>
      </c>
      <c r="S3887" s="217" t="str">
        <f t="shared" si="373"/>
        <v/>
      </c>
    </row>
    <row r="3888" spans="1:19" ht="15.75" hidden="1" thickBot="1" x14ac:dyDescent="0.3">
      <c r="A3888" s="257"/>
      <c r="B3888" s="260"/>
      <c r="C3888" s="35" t="s">
        <v>1000</v>
      </c>
      <c r="D3888" s="35" t="s">
        <v>213</v>
      </c>
      <c r="E3888" s="36">
        <v>2</v>
      </c>
      <c r="F3888" s="53">
        <v>4.1040000000000001</v>
      </c>
      <c r="G3888" s="53">
        <f t="shared" si="374"/>
        <v>8.2080000000000002</v>
      </c>
      <c r="H3888" s="72"/>
      <c r="I3888" s="73"/>
      <c r="J3888" s="152">
        <v>0</v>
      </c>
      <c r="L3888" s="215">
        <v>2</v>
      </c>
      <c r="M3888" s="53">
        <v>3.5130240000000001</v>
      </c>
      <c r="N3888" s="53">
        <f t="shared" si="375"/>
        <v>7.0260480000000003</v>
      </c>
      <c r="O3888" s="72"/>
      <c r="P3888" s="36" t="str">
        <f t="shared" si="370"/>
        <v/>
      </c>
      <c r="Q3888" s="216">
        <f t="shared" si="371"/>
        <v>0.14400000000000002</v>
      </c>
      <c r="R3888" s="216">
        <f t="shared" si="372"/>
        <v>0.14400000000000002</v>
      </c>
      <c r="S3888" s="217" t="str">
        <f t="shared" si="373"/>
        <v/>
      </c>
    </row>
    <row r="3889" spans="1:19" ht="26.25" hidden="1" thickBot="1" x14ac:dyDescent="0.3">
      <c r="A3889" s="257"/>
      <c r="B3889" s="260"/>
      <c r="C3889" s="35" t="s">
        <v>1001</v>
      </c>
      <c r="D3889" s="35" t="s">
        <v>213</v>
      </c>
      <c r="E3889" s="36">
        <v>2</v>
      </c>
      <c r="F3889" s="53">
        <v>25.231999999999999</v>
      </c>
      <c r="G3889" s="53">
        <f t="shared" si="374"/>
        <v>50.463999999999999</v>
      </c>
      <c r="H3889" s="72"/>
      <c r="I3889" s="73"/>
      <c r="J3889" s="152">
        <v>0</v>
      </c>
      <c r="L3889" s="215">
        <v>2</v>
      </c>
      <c r="M3889" s="53">
        <v>21.598592</v>
      </c>
      <c r="N3889" s="53">
        <f t="shared" si="375"/>
        <v>43.197184</v>
      </c>
      <c r="O3889" s="72"/>
      <c r="P3889" s="36" t="str">
        <f t="shared" si="370"/>
        <v/>
      </c>
      <c r="Q3889" s="216">
        <f t="shared" si="371"/>
        <v>0.14400000000000002</v>
      </c>
      <c r="R3889" s="216">
        <f t="shared" si="372"/>
        <v>0.14400000000000002</v>
      </c>
      <c r="S3889" s="217" t="str">
        <f t="shared" si="373"/>
        <v/>
      </c>
    </row>
    <row r="3890" spans="1:19" ht="26.25" hidden="1" thickBot="1" x14ac:dyDescent="0.3">
      <c r="A3890" s="257"/>
      <c r="B3890" s="260"/>
      <c r="C3890" s="35" t="s">
        <v>1002</v>
      </c>
      <c r="D3890" s="35" t="s">
        <v>213</v>
      </c>
      <c r="E3890" s="36">
        <v>1</v>
      </c>
      <c r="F3890" s="53">
        <v>33.126499999999993</v>
      </c>
      <c r="G3890" s="53">
        <f t="shared" si="374"/>
        <v>33.126499999999993</v>
      </c>
      <c r="H3890" s="72"/>
      <c r="I3890" s="73"/>
      <c r="J3890" s="152">
        <v>0</v>
      </c>
      <c r="L3890" s="215">
        <v>1</v>
      </c>
      <c r="M3890" s="53">
        <v>28.356283999999995</v>
      </c>
      <c r="N3890" s="53">
        <f t="shared" si="375"/>
        <v>28.356283999999995</v>
      </c>
      <c r="O3890" s="72"/>
      <c r="P3890" s="36" t="str">
        <f t="shared" si="370"/>
        <v/>
      </c>
      <c r="Q3890" s="216">
        <f t="shared" si="371"/>
        <v>0.14400000000000002</v>
      </c>
      <c r="R3890" s="216">
        <f t="shared" si="372"/>
        <v>0.14400000000000002</v>
      </c>
      <c r="S3890" s="217" t="str">
        <f t="shared" si="373"/>
        <v/>
      </c>
    </row>
    <row r="3891" spans="1:19" ht="15.75" hidden="1" thickBot="1" x14ac:dyDescent="0.3">
      <c r="A3891" s="257"/>
      <c r="B3891" s="260"/>
      <c r="C3891" s="35" t="s">
        <v>8492</v>
      </c>
      <c r="D3891" s="35" t="s">
        <v>213</v>
      </c>
      <c r="E3891" s="36">
        <v>3</v>
      </c>
      <c r="F3891" s="53">
        <v>83.219999999999985</v>
      </c>
      <c r="G3891" s="53">
        <f t="shared" si="374"/>
        <v>249.65999999999997</v>
      </c>
      <c r="H3891" s="72"/>
      <c r="I3891" s="73"/>
      <c r="J3891" s="152">
        <v>0</v>
      </c>
      <c r="L3891" s="215">
        <v>3</v>
      </c>
      <c r="M3891" s="53">
        <v>71.236319999999992</v>
      </c>
      <c r="N3891" s="53">
        <f t="shared" si="375"/>
        <v>213.70895999999999</v>
      </c>
      <c r="O3891" s="72"/>
      <c r="P3891" s="36" t="str">
        <f t="shared" si="370"/>
        <v/>
      </c>
      <c r="Q3891" s="216">
        <f t="shared" si="371"/>
        <v>0.14399999999999991</v>
      </c>
      <c r="R3891" s="216">
        <f t="shared" si="372"/>
        <v>0.14399999999999991</v>
      </c>
      <c r="S3891" s="217" t="str">
        <f t="shared" si="373"/>
        <v/>
      </c>
    </row>
    <row r="3892" spans="1:19" ht="15.75" hidden="1" thickBot="1" x14ac:dyDescent="0.3">
      <c r="A3892" s="257"/>
      <c r="B3892" s="260"/>
      <c r="C3892" s="35" t="s">
        <v>1003</v>
      </c>
      <c r="D3892" s="35" t="s">
        <v>213</v>
      </c>
      <c r="E3892" s="36">
        <v>2</v>
      </c>
      <c r="F3892" s="53">
        <v>53.399499999999996</v>
      </c>
      <c r="G3892" s="53">
        <f t="shared" si="374"/>
        <v>106.79899999999999</v>
      </c>
      <c r="H3892" s="72"/>
      <c r="I3892" s="73"/>
      <c r="J3892" s="152">
        <v>0</v>
      </c>
      <c r="L3892" s="215">
        <v>2</v>
      </c>
      <c r="M3892" s="53">
        <v>45.709971999999993</v>
      </c>
      <c r="N3892" s="53">
        <f t="shared" si="375"/>
        <v>91.419943999999987</v>
      </c>
      <c r="O3892" s="72"/>
      <c r="P3892" s="36" t="str">
        <f t="shared" si="370"/>
        <v/>
      </c>
      <c r="Q3892" s="216">
        <f t="shared" si="371"/>
        <v>0.14400000000000002</v>
      </c>
      <c r="R3892" s="216">
        <f t="shared" si="372"/>
        <v>0.14400000000000002</v>
      </c>
      <c r="S3892" s="217" t="str">
        <f t="shared" si="373"/>
        <v/>
      </c>
    </row>
    <row r="3893" spans="1:19" ht="26.25" hidden="1" thickBot="1" x14ac:dyDescent="0.3">
      <c r="A3893" s="257"/>
      <c r="B3893" s="260"/>
      <c r="C3893" s="35" t="s">
        <v>1004</v>
      </c>
      <c r="D3893" s="35" t="s">
        <v>385</v>
      </c>
      <c r="E3893" s="36">
        <v>0.72729999999999995</v>
      </c>
      <c r="F3893" s="53">
        <v>37.439499999999995</v>
      </c>
      <c r="G3893" s="53">
        <f t="shared" si="374"/>
        <v>27.229748349999994</v>
      </c>
      <c r="H3893" s="72"/>
      <c r="I3893" s="73"/>
      <c r="J3893" s="152">
        <v>0</v>
      </c>
      <c r="L3893" s="215">
        <v>0.72729999999999995</v>
      </c>
      <c r="M3893" s="53">
        <v>32.048211999999999</v>
      </c>
      <c r="N3893" s="53">
        <f t="shared" si="375"/>
        <v>23.308664587599999</v>
      </c>
      <c r="O3893" s="72"/>
      <c r="P3893" s="36" t="str">
        <f t="shared" si="370"/>
        <v/>
      </c>
      <c r="Q3893" s="216">
        <f t="shared" si="371"/>
        <v>0.14399999999999991</v>
      </c>
      <c r="R3893" s="216">
        <f t="shared" si="372"/>
        <v>0.14399999999999979</v>
      </c>
      <c r="S3893" s="217" t="str">
        <f t="shared" si="373"/>
        <v/>
      </c>
    </row>
    <row r="3894" spans="1:19" ht="26.25" hidden="1" thickBot="1" x14ac:dyDescent="0.3">
      <c r="A3894" s="257"/>
      <c r="B3894" s="260"/>
      <c r="C3894" s="35" t="s">
        <v>824</v>
      </c>
      <c r="D3894" s="35" t="s">
        <v>583</v>
      </c>
      <c r="E3894" s="36">
        <v>1.6462000000000001</v>
      </c>
      <c r="F3894" s="53">
        <v>21.166</v>
      </c>
      <c r="G3894" s="53">
        <f t="shared" si="374"/>
        <v>34.843469200000001</v>
      </c>
      <c r="H3894" s="72"/>
      <c r="I3894" s="73"/>
      <c r="J3894" s="152">
        <v>0</v>
      </c>
      <c r="L3894" s="215">
        <v>1.6462000000000001</v>
      </c>
      <c r="M3894" s="53">
        <v>18.118096000000001</v>
      </c>
      <c r="N3894" s="53">
        <f t="shared" si="375"/>
        <v>29.826009635200005</v>
      </c>
      <c r="O3894" s="72"/>
      <c r="P3894" s="36" t="str">
        <f t="shared" si="370"/>
        <v/>
      </c>
      <c r="Q3894" s="216">
        <f t="shared" si="371"/>
        <v>0.14399999999999991</v>
      </c>
      <c r="R3894" s="216">
        <f t="shared" si="372"/>
        <v>0.14399999999999991</v>
      </c>
      <c r="S3894" s="217" t="str">
        <f t="shared" si="373"/>
        <v/>
      </c>
    </row>
    <row r="3895" spans="1:19" ht="26.25" hidden="1" thickBot="1" x14ac:dyDescent="0.3">
      <c r="A3895" s="257"/>
      <c r="B3895" s="260"/>
      <c r="C3895" s="35" t="s">
        <v>825</v>
      </c>
      <c r="D3895" s="35" t="s">
        <v>583</v>
      </c>
      <c r="E3895" s="36">
        <v>5.4324000000000003</v>
      </c>
      <c r="F3895" s="53">
        <v>26.799499999999998</v>
      </c>
      <c r="G3895" s="53">
        <f t="shared" si="374"/>
        <v>145.5856038</v>
      </c>
      <c r="H3895" s="72"/>
      <c r="I3895" s="73"/>
      <c r="J3895" s="152">
        <v>0</v>
      </c>
      <c r="L3895" s="215">
        <v>5.4324000000000003</v>
      </c>
      <c r="M3895" s="53">
        <v>22.940372</v>
      </c>
      <c r="N3895" s="53">
        <f t="shared" si="375"/>
        <v>124.62127685280001</v>
      </c>
      <c r="O3895" s="72"/>
      <c r="P3895" s="36" t="str">
        <f t="shared" si="370"/>
        <v/>
      </c>
      <c r="Q3895" s="216">
        <f t="shared" si="371"/>
        <v>0.14399999999999991</v>
      </c>
      <c r="R3895" s="216">
        <f t="shared" si="372"/>
        <v>0.14399999999999991</v>
      </c>
      <c r="S3895" s="217" t="str">
        <f t="shared" si="373"/>
        <v/>
      </c>
    </row>
    <row r="3896" spans="1:19" ht="15.75" hidden="1" thickBot="1" x14ac:dyDescent="0.3">
      <c r="A3896" s="257"/>
      <c r="B3896" s="260"/>
      <c r="C3896" s="35" t="s">
        <v>1005</v>
      </c>
      <c r="D3896" s="46" t="s">
        <v>213</v>
      </c>
      <c r="E3896" s="36">
        <v>1</v>
      </c>
      <c r="F3896" s="53" t="s">
        <v>416</v>
      </c>
      <c r="G3896" s="53" t="str">
        <f t="shared" si="374"/>
        <v/>
      </c>
      <c r="H3896" s="72"/>
      <c r="I3896" s="73"/>
      <c r="J3896" s="152">
        <v>0</v>
      </c>
      <c r="L3896" s="215">
        <v>1</v>
      </c>
      <c r="M3896" s="53"/>
      <c r="N3896" s="53" t="str">
        <f t="shared" si="375"/>
        <v/>
      </c>
      <c r="O3896" s="72"/>
      <c r="P3896" s="36" t="str">
        <f t="shared" si="370"/>
        <v/>
      </c>
      <c r="Q3896" s="216" t="str">
        <f t="shared" si="371"/>
        <v/>
      </c>
      <c r="R3896" s="216" t="str">
        <f t="shared" si="372"/>
        <v/>
      </c>
      <c r="S3896" s="217" t="str">
        <f t="shared" si="373"/>
        <v/>
      </c>
    </row>
    <row r="3897" spans="1:19" ht="15.75" hidden="1" thickBot="1" x14ac:dyDescent="0.3">
      <c r="A3897" s="257"/>
      <c r="B3897" s="260"/>
      <c r="C3897" s="54"/>
      <c r="D3897" s="54"/>
      <c r="E3897" s="65"/>
      <c r="F3897" s="75" t="s">
        <v>416</v>
      </c>
      <c r="G3897" s="75" t="str">
        <f t="shared" si="374"/>
        <v/>
      </c>
      <c r="H3897" s="76"/>
      <c r="I3897" s="73"/>
      <c r="J3897" s="152">
        <v>0</v>
      </c>
      <c r="L3897" s="222"/>
      <c r="M3897" s="75"/>
      <c r="N3897" s="75" t="str">
        <f t="shared" si="375"/>
        <v/>
      </c>
      <c r="O3897" s="76"/>
      <c r="P3897" s="36" t="str">
        <f t="shared" si="370"/>
        <v/>
      </c>
      <c r="Q3897" s="216" t="str">
        <f t="shared" si="371"/>
        <v/>
      </c>
      <c r="R3897" s="216" t="str">
        <f t="shared" si="372"/>
        <v/>
      </c>
      <c r="S3897" s="217" t="str">
        <f t="shared" si="373"/>
        <v/>
      </c>
    </row>
    <row r="3898" spans="1:19" ht="15.75" hidden="1" thickBot="1" x14ac:dyDescent="0.3">
      <c r="A3898" s="256" t="s">
        <v>1006</v>
      </c>
      <c r="B3898" s="259" t="str">
        <f>INDEX(Orçamentária!A:B,MATCH(Composições!A3898,Orçamentária!A:A,0),2)</f>
        <v>Registro Esfera para Gás 3/4”</v>
      </c>
      <c r="C3898" s="40"/>
      <c r="D3898" s="25" t="s">
        <v>16</v>
      </c>
      <c r="E3898" s="26"/>
      <c r="F3898" s="48" t="s">
        <v>416</v>
      </c>
      <c r="G3898" s="27" t="str">
        <f t="shared" si="374"/>
        <v/>
      </c>
      <c r="H3898" s="28"/>
      <c r="I3898" s="29"/>
      <c r="J3898" s="152">
        <v>0</v>
      </c>
      <c r="L3898" s="218"/>
      <c r="M3898" s="48"/>
      <c r="N3898" s="27" t="str">
        <f t="shared" si="375"/>
        <v/>
      </c>
      <c r="O3898" s="28"/>
      <c r="P3898" s="36" t="str">
        <f t="shared" si="370"/>
        <v/>
      </c>
      <c r="Q3898" s="216" t="str">
        <f t="shared" si="371"/>
        <v/>
      </c>
      <c r="R3898" s="216" t="str">
        <f t="shared" si="372"/>
        <v/>
      </c>
      <c r="S3898" s="217" t="str">
        <f t="shared" si="373"/>
        <v/>
      </c>
    </row>
    <row r="3899" spans="1:19" ht="15.75" hidden="1" thickBot="1" x14ac:dyDescent="0.3">
      <c r="A3899" s="257"/>
      <c r="B3899" s="260"/>
      <c r="C3899" s="31"/>
      <c r="D3899" s="31"/>
      <c r="E3899" s="32"/>
      <c r="F3899" s="53" t="s">
        <v>416</v>
      </c>
      <c r="G3899" s="53" t="str">
        <f t="shared" si="374"/>
        <v/>
      </c>
      <c r="H3899" s="72"/>
      <c r="I3899" s="73"/>
      <c r="J3899" s="152">
        <v>0</v>
      </c>
      <c r="L3899" s="219"/>
      <c r="M3899" s="53"/>
      <c r="N3899" s="53" t="str">
        <f t="shared" si="375"/>
        <v/>
      </c>
      <c r="O3899" s="72"/>
      <c r="P3899" s="36" t="str">
        <f t="shared" si="370"/>
        <v/>
      </c>
      <c r="Q3899" s="216" t="str">
        <f t="shared" si="371"/>
        <v/>
      </c>
      <c r="R3899" s="216" t="str">
        <f t="shared" si="372"/>
        <v/>
      </c>
      <c r="S3899" s="217" t="str">
        <f t="shared" si="373"/>
        <v/>
      </c>
    </row>
    <row r="3900" spans="1:19" ht="15.75" hidden="1" thickBot="1" x14ac:dyDescent="0.3">
      <c r="A3900" s="257"/>
      <c r="B3900" s="260"/>
      <c r="C3900" s="35" t="s">
        <v>244</v>
      </c>
      <c r="D3900" s="35" t="s">
        <v>213</v>
      </c>
      <c r="E3900" s="36">
        <v>1.06E-2</v>
      </c>
      <c r="F3900" s="53">
        <v>14.8865</v>
      </c>
      <c r="G3900" s="53">
        <f t="shared" si="374"/>
        <v>0.15779689999999999</v>
      </c>
      <c r="H3900" s="38">
        <f>SUM(G3900:G3903)</f>
        <v>5.4435950000000002</v>
      </c>
      <c r="I3900" s="39"/>
      <c r="J3900" s="152">
        <v>0</v>
      </c>
      <c r="L3900" s="215">
        <v>1.06E-2</v>
      </c>
      <c r="M3900" s="53">
        <v>12.742844</v>
      </c>
      <c r="N3900" s="53">
        <f t="shared" si="375"/>
        <v>0.13507414640000001</v>
      </c>
      <c r="O3900" s="38">
        <f>SUM(N3900:N3903)</f>
        <v>4.6597173200000004</v>
      </c>
      <c r="P3900" s="36" t="str">
        <f t="shared" si="370"/>
        <v/>
      </c>
      <c r="Q3900" s="216">
        <f t="shared" si="371"/>
        <v>0.14400000000000002</v>
      </c>
      <c r="R3900" s="216">
        <f t="shared" si="372"/>
        <v>0.14399999999999991</v>
      </c>
      <c r="S3900" s="217">
        <f t="shared" si="373"/>
        <v>0.14399999999999991</v>
      </c>
    </row>
    <row r="3901" spans="1:19" ht="15.75" hidden="1" thickBot="1" x14ac:dyDescent="0.3">
      <c r="A3901" s="257"/>
      <c r="B3901" s="260"/>
      <c r="C3901" s="35" t="s">
        <v>1007</v>
      </c>
      <c r="D3901" s="35" t="s">
        <v>213</v>
      </c>
      <c r="E3901" s="36">
        <v>1</v>
      </c>
      <c r="F3901" s="53" t="s">
        <v>416</v>
      </c>
      <c r="G3901" s="53" t="str">
        <f t="shared" si="374"/>
        <v/>
      </c>
      <c r="H3901" s="72"/>
      <c r="I3901" s="73"/>
      <c r="J3901" s="152">
        <v>0</v>
      </c>
      <c r="L3901" s="215">
        <v>1</v>
      </c>
      <c r="M3901" s="53"/>
      <c r="N3901" s="53" t="str">
        <f t="shared" si="375"/>
        <v/>
      </c>
      <c r="O3901" s="72"/>
      <c r="P3901" s="36" t="str">
        <f t="shared" si="370"/>
        <v/>
      </c>
      <c r="Q3901" s="216" t="str">
        <f t="shared" si="371"/>
        <v/>
      </c>
      <c r="R3901" s="216" t="str">
        <f t="shared" si="372"/>
        <v/>
      </c>
      <c r="S3901" s="217" t="str">
        <f t="shared" si="373"/>
        <v/>
      </c>
    </row>
    <row r="3902" spans="1:19" ht="26.25" hidden="1" thickBot="1" x14ac:dyDescent="0.3">
      <c r="A3902" s="257"/>
      <c r="B3902" s="260"/>
      <c r="C3902" s="35" t="s">
        <v>824</v>
      </c>
      <c r="D3902" s="35" t="s">
        <v>583</v>
      </c>
      <c r="E3902" s="36">
        <v>0.11020000000000001</v>
      </c>
      <c r="F3902" s="53">
        <v>21.166</v>
      </c>
      <c r="G3902" s="53">
        <f t="shared" si="374"/>
        <v>2.3324932</v>
      </c>
      <c r="H3902" s="72"/>
      <c r="I3902" s="73"/>
      <c r="J3902" s="152">
        <v>0</v>
      </c>
      <c r="L3902" s="215">
        <v>0.11020000000000001</v>
      </c>
      <c r="M3902" s="53">
        <v>18.118096000000001</v>
      </c>
      <c r="N3902" s="53">
        <f t="shared" si="375"/>
        <v>1.9966141792000003</v>
      </c>
      <c r="O3902" s="72"/>
      <c r="P3902" s="36" t="str">
        <f t="shared" si="370"/>
        <v/>
      </c>
      <c r="Q3902" s="216">
        <f t="shared" si="371"/>
        <v>0.14399999999999991</v>
      </c>
      <c r="R3902" s="216">
        <f t="shared" si="372"/>
        <v>0.14399999999999991</v>
      </c>
      <c r="S3902" s="217" t="str">
        <f t="shared" si="373"/>
        <v/>
      </c>
    </row>
    <row r="3903" spans="1:19" ht="26.25" hidden="1" thickBot="1" x14ac:dyDescent="0.3">
      <c r="A3903" s="257"/>
      <c r="B3903" s="260"/>
      <c r="C3903" s="35" t="s">
        <v>825</v>
      </c>
      <c r="D3903" s="35" t="s">
        <v>583</v>
      </c>
      <c r="E3903" s="36">
        <v>0.11020000000000001</v>
      </c>
      <c r="F3903" s="53">
        <v>26.799499999999998</v>
      </c>
      <c r="G3903" s="53">
        <f t="shared" si="374"/>
        <v>2.9533049</v>
      </c>
      <c r="H3903" s="72"/>
      <c r="I3903" s="73"/>
      <c r="J3903" s="152">
        <v>0</v>
      </c>
      <c r="L3903" s="215">
        <v>0.11020000000000001</v>
      </c>
      <c r="M3903" s="53">
        <v>22.940372</v>
      </c>
      <c r="N3903" s="53">
        <f t="shared" si="375"/>
        <v>2.5280289944000001</v>
      </c>
      <c r="O3903" s="72"/>
      <c r="P3903" s="36" t="str">
        <f t="shared" si="370"/>
        <v/>
      </c>
      <c r="Q3903" s="216">
        <f t="shared" si="371"/>
        <v>0.14399999999999991</v>
      </c>
      <c r="R3903" s="216">
        <f t="shared" si="372"/>
        <v>0.14400000000000002</v>
      </c>
      <c r="S3903" s="217" t="str">
        <f t="shared" si="373"/>
        <v/>
      </c>
    </row>
    <row r="3904" spans="1:19" ht="15.75" hidden="1" thickBot="1" x14ac:dyDescent="0.3">
      <c r="A3904" s="257"/>
      <c r="B3904" s="260"/>
      <c r="C3904" s="54"/>
      <c r="D3904" s="54"/>
      <c r="E3904" s="65"/>
      <c r="F3904" s="75" t="s">
        <v>416</v>
      </c>
      <c r="G3904" s="75" t="str">
        <f t="shared" si="374"/>
        <v/>
      </c>
      <c r="H3904" s="76"/>
      <c r="I3904" s="73"/>
      <c r="J3904" s="152">
        <v>0</v>
      </c>
      <c r="L3904" s="222"/>
      <c r="M3904" s="75"/>
      <c r="N3904" s="75" t="str">
        <f t="shared" si="375"/>
        <v/>
      </c>
      <c r="O3904" s="76"/>
      <c r="P3904" s="36" t="str">
        <f t="shared" si="370"/>
        <v/>
      </c>
      <c r="Q3904" s="216" t="str">
        <f t="shared" si="371"/>
        <v/>
      </c>
      <c r="R3904" s="216" t="str">
        <f t="shared" si="372"/>
        <v/>
      </c>
      <c r="S3904" s="217" t="str">
        <f t="shared" si="373"/>
        <v/>
      </c>
    </row>
    <row r="3905" spans="1:19" ht="15.75" thickBot="1" x14ac:dyDescent="0.3">
      <c r="A3905" s="256" t="s">
        <v>1008</v>
      </c>
      <c r="B3905" s="259" t="str">
        <f>INDEX(Orçamentária!A:B,MATCH(Composições!A3905,Orçamentária!A:A,0),2)</f>
        <v>Placa de Concreto Pré-Moldado 15 MPa</v>
      </c>
      <c r="C3905" s="40"/>
      <c r="D3905" s="25" t="s">
        <v>80</v>
      </c>
      <c r="E3905" s="26"/>
      <c r="F3905" s="48" t="s">
        <v>416</v>
      </c>
      <c r="G3905" s="27" t="str">
        <f t="shared" si="374"/>
        <v/>
      </c>
      <c r="H3905" s="28"/>
      <c r="I3905" s="29"/>
      <c r="J3905" s="152">
        <v>1.5</v>
      </c>
      <c r="L3905" s="218"/>
      <c r="M3905" s="48"/>
      <c r="N3905" s="27" t="str">
        <f t="shared" si="375"/>
        <v/>
      </c>
      <c r="O3905" s="28"/>
      <c r="P3905" s="36" t="str">
        <f t="shared" si="370"/>
        <v/>
      </c>
      <c r="Q3905" s="216" t="str">
        <f t="shared" si="371"/>
        <v/>
      </c>
      <c r="R3905" s="216" t="str">
        <f t="shared" si="372"/>
        <v/>
      </c>
      <c r="S3905" s="217" t="str">
        <f t="shared" si="373"/>
        <v/>
      </c>
    </row>
    <row r="3906" spans="1:19" x14ac:dyDescent="0.25">
      <c r="A3906" s="257"/>
      <c r="B3906" s="260"/>
      <c r="C3906" s="31"/>
      <c r="D3906" s="31"/>
      <c r="E3906" s="32"/>
      <c r="F3906" s="53" t="s">
        <v>416</v>
      </c>
      <c r="G3906" s="53" t="str">
        <f t="shared" si="374"/>
        <v/>
      </c>
      <c r="H3906" s="72"/>
      <c r="I3906" s="73"/>
      <c r="J3906" s="152">
        <v>1.5</v>
      </c>
      <c r="L3906" s="219"/>
      <c r="M3906" s="53"/>
      <c r="N3906" s="53" t="str">
        <f t="shared" si="375"/>
        <v/>
      </c>
      <c r="O3906" s="72"/>
      <c r="P3906" s="36" t="str">
        <f t="shared" si="370"/>
        <v/>
      </c>
      <c r="Q3906" s="216" t="str">
        <f t="shared" si="371"/>
        <v/>
      </c>
      <c r="R3906" s="216" t="str">
        <f t="shared" si="372"/>
        <v/>
      </c>
      <c r="S3906" s="217" t="str">
        <f t="shared" si="373"/>
        <v/>
      </c>
    </row>
    <row r="3907" spans="1:19" ht="38.25" x14ac:dyDescent="0.25">
      <c r="A3907" s="257"/>
      <c r="B3907" s="260"/>
      <c r="C3907" s="35" t="s">
        <v>8062</v>
      </c>
      <c r="D3907" s="35" t="s">
        <v>861</v>
      </c>
      <c r="E3907" s="36">
        <v>0.75829999999999997</v>
      </c>
      <c r="F3907" s="53">
        <v>55.745999999999995</v>
      </c>
      <c r="G3907" s="53">
        <f t="shared" si="374"/>
        <v>42.272191799999995</v>
      </c>
      <c r="H3907" s="38">
        <f>SUM(G3907:G3921)</f>
        <v>1696.9222716469956</v>
      </c>
      <c r="I3907" s="39"/>
      <c r="J3907" s="152">
        <v>1.5</v>
      </c>
      <c r="L3907" s="215">
        <v>0.75829999999999997</v>
      </c>
      <c r="M3907" s="53">
        <v>47.718575999999999</v>
      </c>
      <c r="N3907" s="53">
        <f t="shared" si="375"/>
        <v>36.184996180799999</v>
      </c>
      <c r="O3907" s="38">
        <f>SUM(N3907:N3921)</f>
        <v>1452.5654645298282</v>
      </c>
      <c r="P3907" s="36" t="str">
        <f t="shared" si="370"/>
        <v/>
      </c>
      <c r="Q3907" s="216">
        <f t="shared" si="371"/>
        <v>0.14399999999999991</v>
      </c>
      <c r="R3907" s="216">
        <f t="shared" si="372"/>
        <v>0.14399999999999991</v>
      </c>
      <c r="S3907" s="217">
        <f t="shared" si="373"/>
        <v>0.14400000000000002</v>
      </c>
    </row>
    <row r="3908" spans="1:19" ht="25.5" x14ac:dyDescent="0.25">
      <c r="A3908" s="257"/>
      <c r="B3908" s="260"/>
      <c r="C3908" s="35" t="s">
        <v>1009</v>
      </c>
      <c r="D3908" s="35" t="s">
        <v>75</v>
      </c>
      <c r="E3908" s="36">
        <v>3.3399999999999999E-2</v>
      </c>
      <c r="F3908" s="53">
        <v>7.9229999999999992</v>
      </c>
      <c r="G3908" s="53">
        <f t="shared" si="374"/>
        <v>0.26462819999999998</v>
      </c>
      <c r="H3908" s="72"/>
      <c r="I3908" s="73"/>
      <c r="J3908" s="152">
        <v>1.5</v>
      </c>
      <c r="L3908" s="215">
        <v>3.3399999999999999E-2</v>
      </c>
      <c r="M3908" s="53">
        <v>6.7820879999999999</v>
      </c>
      <c r="N3908" s="53">
        <f t="shared" si="375"/>
        <v>0.22652173919999999</v>
      </c>
      <c r="O3908" s="72"/>
      <c r="P3908" s="36" t="str">
        <f t="shared" si="370"/>
        <v/>
      </c>
      <c r="Q3908" s="216">
        <f t="shared" si="371"/>
        <v>0.14399999999999991</v>
      </c>
      <c r="R3908" s="216">
        <f t="shared" si="372"/>
        <v>0.14400000000000002</v>
      </c>
      <c r="S3908" s="217" t="str">
        <f t="shared" si="373"/>
        <v/>
      </c>
    </row>
    <row r="3909" spans="1:19" ht="25.5" x14ac:dyDescent="0.25">
      <c r="A3909" s="257"/>
      <c r="B3909" s="260"/>
      <c r="C3909" s="35" t="s">
        <v>3235</v>
      </c>
      <c r="D3909" s="35" t="s">
        <v>385</v>
      </c>
      <c r="E3909" s="36">
        <v>2.8315999999999999</v>
      </c>
      <c r="F3909" s="53">
        <v>2.8594999999999997</v>
      </c>
      <c r="G3909" s="53">
        <f t="shared" si="374"/>
        <v>8.0969601999999981</v>
      </c>
      <c r="H3909" s="72"/>
      <c r="I3909" s="73"/>
      <c r="J3909" s="152">
        <v>1.5</v>
      </c>
      <c r="L3909" s="215">
        <v>2.8315999999999999</v>
      </c>
      <c r="M3909" s="53">
        <v>2.4477319999999998</v>
      </c>
      <c r="N3909" s="53">
        <f t="shared" si="375"/>
        <v>6.9309979311999994</v>
      </c>
      <c r="O3909" s="72"/>
      <c r="P3909" s="36" t="str">
        <f t="shared" si="370"/>
        <v/>
      </c>
      <c r="Q3909" s="216">
        <f t="shared" si="371"/>
        <v>0.14400000000000002</v>
      </c>
      <c r="R3909" s="216">
        <f t="shared" si="372"/>
        <v>0.14399999999999991</v>
      </c>
      <c r="S3909" s="217" t="str">
        <f t="shared" si="373"/>
        <v/>
      </c>
    </row>
    <row r="3910" spans="1:19" x14ac:dyDescent="0.25">
      <c r="A3910" s="257"/>
      <c r="B3910" s="260"/>
      <c r="C3910" s="35" t="s">
        <v>1010</v>
      </c>
      <c r="D3910" s="35" t="s">
        <v>773</v>
      </c>
      <c r="E3910" s="36">
        <v>6.0100000000000001E-2</v>
      </c>
      <c r="F3910" s="53">
        <v>23.9115</v>
      </c>
      <c r="G3910" s="53">
        <f t="shared" si="374"/>
        <v>1.43708115</v>
      </c>
      <c r="H3910" s="72"/>
      <c r="I3910" s="73"/>
      <c r="J3910" s="152">
        <v>1.5</v>
      </c>
      <c r="L3910" s="215">
        <v>6.0100000000000001E-2</v>
      </c>
      <c r="M3910" s="53">
        <v>20.468243999999999</v>
      </c>
      <c r="N3910" s="53">
        <f t="shared" si="375"/>
        <v>1.2301414643999999</v>
      </c>
      <c r="O3910" s="72"/>
      <c r="P3910" s="36" t="str">
        <f t="shared" si="370"/>
        <v/>
      </c>
      <c r="Q3910" s="216">
        <f t="shared" si="371"/>
        <v>0.14400000000000002</v>
      </c>
      <c r="R3910" s="216">
        <f t="shared" si="372"/>
        <v>0.14400000000000002</v>
      </c>
      <c r="S3910" s="217" t="str">
        <f t="shared" si="373"/>
        <v/>
      </c>
    </row>
    <row r="3911" spans="1:19" x14ac:dyDescent="0.25">
      <c r="A3911" s="257"/>
      <c r="B3911" s="260"/>
      <c r="C3911" s="35" t="s">
        <v>8327</v>
      </c>
      <c r="D3911" s="35" t="s">
        <v>87</v>
      </c>
      <c r="E3911" s="36">
        <v>0.18540000000000001</v>
      </c>
      <c r="F3911" s="53">
        <v>608.96899999999994</v>
      </c>
      <c r="G3911" s="53">
        <f t="shared" si="374"/>
        <v>112.90285259999999</v>
      </c>
      <c r="H3911" s="72"/>
      <c r="I3911" s="73"/>
      <c r="J3911" s="152">
        <v>1.5</v>
      </c>
      <c r="L3911" s="215">
        <v>0.18540000000000001</v>
      </c>
      <c r="M3911" s="53">
        <v>521.27746400000001</v>
      </c>
      <c r="N3911" s="53">
        <f t="shared" si="375"/>
        <v>96.644841825600011</v>
      </c>
      <c r="O3911" s="72"/>
      <c r="P3911" s="36" t="str">
        <f t="shared" si="370"/>
        <v/>
      </c>
      <c r="Q3911" s="216">
        <f t="shared" si="371"/>
        <v>0.14399999999999991</v>
      </c>
      <c r="R3911" s="216">
        <f t="shared" si="372"/>
        <v>0.14399999999999979</v>
      </c>
      <c r="S3911" s="217" t="str">
        <f t="shared" si="373"/>
        <v/>
      </c>
    </row>
    <row r="3912" spans="1:19" x14ac:dyDescent="0.25">
      <c r="A3912" s="257"/>
      <c r="B3912" s="260"/>
      <c r="C3912" s="35" t="s">
        <v>660</v>
      </c>
      <c r="D3912" s="35" t="s">
        <v>583</v>
      </c>
      <c r="E3912" s="36">
        <v>0.1865</v>
      </c>
      <c r="F3912" s="53">
        <v>21.337</v>
      </c>
      <c r="G3912" s="53">
        <f t="shared" si="374"/>
        <v>3.9793504999999998</v>
      </c>
      <c r="H3912" s="72"/>
      <c r="I3912" s="73"/>
      <c r="J3912" s="152">
        <v>1.5</v>
      </c>
      <c r="L3912" s="215">
        <v>0.1865</v>
      </c>
      <c r="M3912" s="53">
        <v>18.264472000000001</v>
      </c>
      <c r="N3912" s="53">
        <f t="shared" si="375"/>
        <v>3.4063240280000002</v>
      </c>
      <c r="O3912" s="72"/>
      <c r="P3912" s="36" t="str">
        <f t="shared" ref="P3912:P3975" si="376">IF(ISBLANK(L3912),"",IF($E3912&lt;&gt;L3912,"SIM",""))</f>
        <v/>
      </c>
      <c r="Q3912" s="216">
        <f t="shared" ref="Q3912:Q3975" si="377">IF(M3912="","",1-M3912/$F3912)</f>
        <v>0.14399999999999991</v>
      </c>
      <c r="R3912" s="216">
        <f t="shared" ref="R3912:R3975" si="378">IF(N3912="","",1-N3912/$G3912)</f>
        <v>0.14399999999999991</v>
      </c>
      <c r="S3912" s="217" t="str">
        <f t="shared" ref="S3912:S3975" si="379">IF(O3912="","",1-O3912/$H3912)</f>
        <v/>
      </c>
    </row>
    <row r="3913" spans="1:19" x14ac:dyDescent="0.25">
      <c r="A3913" s="257"/>
      <c r="B3913" s="260"/>
      <c r="C3913" s="35" t="s">
        <v>582</v>
      </c>
      <c r="D3913" s="35" t="s">
        <v>583</v>
      </c>
      <c r="E3913" s="36">
        <v>0.93259999999999998</v>
      </c>
      <c r="F3913" s="53">
        <v>25.725999999999996</v>
      </c>
      <c r="G3913" s="53">
        <f t="shared" si="374"/>
        <v>23.992067599999995</v>
      </c>
      <c r="H3913" s="72"/>
      <c r="I3913" s="73"/>
      <c r="J3913" s="152">
        <v>1.5</v>
      </c>
      <c r="L3913" s="215">
        <v>0.93259999999999998</v>
      </c>
      <c r="M3913" s="53">
        <v>22.021455999999997</v>
      </c>
      <c r="N3913" s="53">
        <f t="shared" si="375"/>
        <v>20.537209865599998</v>
      </c>
      <c r="O3913" s="72"/>
      <c r="P3913" s="36" t="str">
        <f t="shared" si="376"/>
        <v/>
      </c>
      <c r="Q3913" s="216">
        <f t="shared" si="377"/>
        <v>0.14400000000000002</v>
      </c>
      <c r="R3913" s="216">
        <f t="shared" si="378"/>
        <v>0.14399999999999991</v>
      </c>
      <c r="S3913" s="217" t="str">
        <f t="shared" si="379"/>
        <v/>
      </c>
    </row>
    <row r="3914" spans="1:19" x14ac:dyDescent="0.25">
      <c r="A3914" s="257"/>
      <c r="B3914" s="260"/>
      <c r="C3914" s="35" t="s">
        <v>591</v>
      </c>
      <c r="D3914" s="35" t="s">
        <v>583</v>
      </c>
      <c r="E3914" s="36">
        <v>6.7480000000000002</v>
      </c>
      <c r="F3914" s="53">
        <v>27.160499999999999</v>
      </c>
      <c r="G3914" s="53">
        <f t="shared" si="374"/>
        <v>183.279054</v>
      </c>
      <c r="H3914" s="72"/>
      <c r="I3914" s="73"/>
      <c r="J3914" s="152">
        <v>1.5</v>
      </c>
      <c r="L3914" s="215">
        <v>6.7480000000000002</v>
      </c>
      <c r="M3914" s="53">
        <v>23.249388</v>
      </c>
      <c r="N3914" s="53">
        <f t="shared" si="375"/>
        <v>156.88687022400001</v>
      </c>
      <c r="O3914" s="72"/>
      <c r="P3914" s="36" t="str">
        <f t="shared" si="376"/>
        <v/>
      </c>
      <c r="Q3914" s="216">
        <f t="shared" si="377"/>
        <v>0.14400000000000002</v>
      </c>
      <c r="R3914" s="216">
        <f t="shared" si="378"/>
        <v>0.14400000000000002</v>
      </c>
      <c r="S3914" s="217" t="str">
        <f t="shared" si="379"/>
        <v/>
      </c>
    </row>
    <row r="3915" spans="1:19" x14ac:dyDescent="0.25">
      <c r="A3915" s="257"/>
      <c r="B3915" s="260"/>
      <c r="C3915" s="35" t="s">
        <v>584</v>
      </c>
      <c r="D3915" s="35" t="s">
        <v>583</v>
      </c>
      <c r="E3915" s="36">
        <v>6.7480000000000002</v>
      </c>
      <c r="F3915" s="53">
        <v>20.225499999999997</v>
      </c>
      <c r="G3915" s="53">
        <f t="shared" si="374"/>
        <v>136.48167399999997</v>
      </c>
      <c r="H3915" s="72"/>
      <c r="I3915" s="73"/>
      <c r="J3915" s="152">
        <v>1.5</v>
      </c>
      <c r="L3915" s="215">
        <v>6.7480000000000002</v>
      </c>
      <c r="M3915" s="53">
        <v>17.313027999999996</v>
      </c>
      <c r="N3915" s="53">
        <f t="shared" si="375"/>
        <v>116.82831294399998</v>
      </c>
      <c r="O3915" s="72"/>
      <c r="P3915" s="36" t="str">
        <f t="shared" si="376"/>
        <v/>
      </c>
      <c r="Q3915" s="216">
        <f t="shared" si="377"/>
        <v>0.14400000000000013</v>
      </c>
      <c r="R3915" s="216">
        <f t="shared" si="378"/>
        <v>0.14400000000000002</v>
      </c>
      <c r="S3915" s="217" t="str">
        <f t="shared" si="379"/>
        <v/>
      </c>
    </row>
    <row r="3916" spans="1:19" ht="25.5" x14ac:dyDescent="0.25">
      <c r="A3916" s="257"/>
      <c r="B3916" s="260"/>
      <c r="C3916" s="35" t="s">
        <v>1011</v>
      </c>
      <c r="D3916" s="35" t="s">
        <v>813</v>
      </c>
      <c r="E3916" s="36">
        <v>0.86770000000000003</v>
      </c>
      <c r="F3916" s="53">
        <v>1.1304999999999998</v>
      </c>
      <c r="G3916" s="53">
        <f t="shared" si="374"/>
        <v>0.98093484999999991</v>
      </c>
      <c r="H3916" s="72"/>
      <c r="I3916" s="73"/>
      <c r="J3916" s="152">
        <v>1.5</v>
      </c>
      <c r="L3916" s="215">
        <v>0.86770000000000003</v>
      </c>
      <c r="M3916" s="53">
        <v>0.9677079999999999</v>
      </c>
      <c r="N3916" s="53">
        <f t="shared" si="375"/>
        <v>0.83968023159999994</v>
      </c>
      <c r="O3916" s="72"/>
      <c r="P3916" s="36" t="str">
        <f t="shared" si="376"/>
        <v/>
      </c>
      <c r="Q3916" s="216">
        <f t="shared" si="377"/>
        <v>0.14400000000000002</v>
      </c>
      <c r="R3916" s="216">
        <f t="shared" si="378"/>
        <v>0.14400000000000002</v>
      </c>
      <c r="S3916" s="217" t="str">
        <f t="shared" si="379"/>
        <v/>
      </c>
    </row>
    <row r="3917" spans="1:19" ht="25.5" x14ac:dyDescent="0.25">
      <c r="A3917" s="257"/>
      <c r="B3917" s="260"/>
      <c r="C3917" s="35" t="s">
        <v>1012</v>
      </c>
      <c r="D3917" s="35" t="s">
        <v>815</v>
      </c>
      <c r="E3917" s="36">
        <v>2.3860000000000001</v>
      </c>
      <c r="F3917" s="53">
        <v>0.47499999999999998</v>
      </c>
      <c r="G3917" s="53">
        <f t="shared" si="374"/>
        <v>1.1333500000000001</v>
      </c>
      <c r="H3917" s="72"/>
      <c r="I3917" s="73"/>
      <c r="J3917" s="152">
        <v>1.5</v>
      </c>
      <c r="L3917" s="215">
        <v>2.3860000000000001</v>
      </c>
      <c r="M3917" s="53">
        <v>0.40659999999999996</v>
      </c>
      <c r="N3917" s="53">
        <f t="shared" si="375"/>
        <v>0.9701476</v>
      </c>
      <c r="O3917" s="72"/>
      <c r="P3917" s="36" t="str">
        <f t="shared" si="376"/>
        <v/>
      </c>
      <c r="Q3917" s="216">
        <f t="shared" si="377"/>
        <v>0.14400000000000002</v>
      </c>
      <c r="R3917" s="216">
        <f t="shared" si="378"/>
        <v>0.14400000000000002</v>
      </c>
      <c r="S3917" s="217" t="str">
        <f t="shared" si="379"/>
        <v/>
      </c>
    </row>
    <row r="3918" spans="1:19" ht="25.5" x14ac:dyDescent="0.25">
      <c r="A3918" s="257"/>
      <c r="B3918" s="260"/>
      <c r="C3918" s="35" t="s">
        <v>1013</v>
      </c>
      <c r="D3918" s="35" t="s">
        <v>813</v>
      </c>
      <c r="E3918" s="36">
        <v>8.9399999999999993E-2</v>
      </c>
      <c r="F3918" s="53">
        <v>22.210999999999999</v>
      </c>
      <c r="G3918" s="53">
        <f t="shared" si="374"/>
        <v>1.9856633999999997</v>
      </c>
      <c r="H3918" s="72"/>
      <c r="I3918" s="73"/>
      <c r="J3918" s="152">
        <v>1.5</v>
      </c>
      <c r="L3918" s="215">
        <v>8.9399999999999993E-2</v>
      </c>
      <c r="M3918" s="53">
        <v>19.012615999999998</v>
      </c>
      <c r="N3918" s="53">
        <f t="shared" si="375"/>
        <v>1.6997278703999996</v>
      </c>
      <c r="O3918" s="72"/>
      <c r="P3918" s="36" t="str">
        <f t="shared" si="376"/>
        <v/>
      </c>
      <c r="Q3918" s="216">
        <f t="shared" si="377"/>
        <v>0.14400000000000002</v>
      </c>
      <c r="R3918" s="216">
        <f t="shared" si="378"/>
        <v>0.14400000000000013</v>
      </c>
      <c r="S3918" s="217" t="str">
        <f t="shared" si="379"/>
        <v/>
      </c>
    </row>
    <row r="3919" spans="1:19" ht="25.5" x14ac:dyDescent="0.25">
      <c r="A3919" s="257"/>
      <c r="B3919" s="260"/>
      <c r="C3919" s="35" t="s">
        <v>1014</v>
      </c>
      <c r="D3919" s="35" t="s">
        <v>815</v>
      </c>
      <c r="E3919" s="36">
        <v>9.7100000000000006E-2</v>
      </c>
      <c r="F3919" s="53">
        <v>21.2895</v>
      </c>
      <c r="G3919" s="53">
        <f t="shared" si="374"/>
        <v>2.0672104500000001</v>
      </c>
      <c r="H3919" s="72"/>
      <c r="I3919" s="73"/>
      <c r="J3919" s="152">
        <v>1.5</v>
      </c>
      <c r="L3919" s="215">
        <v>9.7100000000000006E-2</v>
      </c>
      <c r="M3919" s="53">
        <v>18.223812000000002</v>
      </c>
      <c r="N3919" s="53">
        <f t="shared" si="375"/>
        <v>1.7695321452000004</v>
      </c>
      <c r="O3919" s="72"/>
      <c r="P3919" s="36" t="str">
        <f t="shared" si="376"/>
        <v/>
      </c>
      <c r="Q3919" s="216">
        <f t="shared" si="377"/>
        <v>0.14399999999999991</v>
      </c>
      <c r="R3919" s="216">
        <f t="shared" si="378"/>
        <v>0.14399999999999991</v>
      </c>
      <c r="S3919" s="217" t="str">
        <f t="shared" si="379"/>
        <v/>
      </c>
    </row>
    <row r="3920" spans="1:19" ht="38.25" x14ac:dyDescent="0.25">
      <c r="A3920" s="257"/>
      <c r="B3920" s="260"/>
      <c r="C3920" s="35" t="s">
        <v>2880</v>
      </c>
      <c r="D3920" s="35" t="s">
        <v>773</v>
      </c>
      <c r="E3920" s="36">
        <v>31.7318</v>
      </c>
      <c r="F3920" s="53">
        <v>14.77567395</v>
      </c>
      <c r="G3920" s="53">
        <f t="shared" si="374"/>
        <v>468.85873064661001</v>
      </c>
      <c r="H3920" s="72"/>
      <c r="I3920" s="73"/>
      <c r="J3920" s="152">
        <v>1.5</v>
      </c>
      <c r="L3920" s="215">
        <v>31.7318</v>
      </c>
      <c r="M3920" s="53">
        <v>12.6479769012</v>
      </c>
      <c r="N3920" s="53">
        <f t="shared" si="375"/>
        <v>401.34307343349815</v>
      </c>
      <c r="O3920" s="72"/>
      <c r="P3920" s="36" t="str">
        <f t="shared" si="376"/>
        <v/>
      </c>
      <c r="Q3920" s="216">
        <f t="shared" si="377"/>
        <v>0.14400000000000002</v>
      </c>
      <c r="R3920" s="216">
        <f t="shared" si="378"/>
        <v>0.14400000000000002</v>
      </c>
      <c r="S3920" s="217" t="str">
        <f t="shared" si="379"/>
        <v/>
      </c>
    </row>
    <row r="3921" spans="1:19" ht="38.25" x14ac:dyDescent="0.25">
      <c r="A3921" s="257"/>
      <c r="B3921" s="260"/>
      <c r="C3921" s="35" t="s">
        <v>5739</v>
      </c>
      <c r="D3921" s="35" t="s">
        <v>87</v>
      </c>
      <c r="E3921" s="36">
        <v>1.103</v>
      </c>
      <c r="F3921" s="53">
        <v>642.96511536752996</v>
      </c>
      <c r="G3921" s="53">
        <f t="shared" si="374"/>
        <v>709.19052225038558</v>
      </c>
      <c r="H3921" s="72"/>
      <c r="I3921" s="73"/>
      <c r="J3921" s="152">
        <v>1.5</v>
      </c>
      <c r="L3921" s="215">
        <v>1.103</v>
      </c>
      <c r="M3921" s="53">
        <v>550.37813875460563</v>
      </c>
      <c r="N3921" s="53">
        <f t="shared" si="375"/>
        <v>607.06708704633002</v>
      </c>
      <c r="O3921" s="72"/>
      <c r="P3921" s="36" t="str">
        <f t="shared" si="376"/>
        <v/>
      </c>
      <c r="Q3921" s="216">
        <f t="shared" si="377"/>
        <v>0.14400000000000002</v>
      </c>
      <c r="R3921" s="216">
        <f t="shared" si="378"/>
        <v>0.14400000000000002</v>
      </c>
      <c r="S3921" s="217" t="str">
        <f t="shared" si="379"/>
        <v/>
      </c>
    </row>
    <row r="3922" spans="1:19" ht="15.75" thickBot="1" x14ac:dyDescent="0.3">
      <c r="A3922" s="258"/>
      <c r="B3922" s="261"/>
      <c r="C3922" s="54"/>
      <c r="D3922" s="54"/>
      <c r="E3922" s="65"/>
      <c r="F3922" s="75" t="s">
        <v>416</v>
      </c>
      <c r="G3922" s="75" t="str">
        <f t="shared" si="374"/>
        <v/>
      </c>
      <c r="H3922" s="76"/>
      <c r="I3922" s="73"/>
      <c r="J3922" s="152">
        <v>1.5</v>
      </c>
      <c r="L3922" s="222"/>
      <c r="M3922" s="75"/>
      <c r="N3922" s="75" t="str">
        <f t="shared" si="375"/>
        <v/>
      </c>
      <c r="O3922" s="76"/>
      <c r="P3922" s="36" t="str">
        <f t="shared" si="376"/>
        <v/>
      </c>
      <c r="Q3922" s="216" t="str">
        <f t="shared" si="377"/>
        <v/>
      </c>
      <c r="R3922" s="216" t="str">
        <f t="shared" si="378"/>
        <v/>
      </c>
      <c r="S3922" s="217" t="str">
        <f t="shared" si="379"/>
        <v/>
      </c>
    </row>
    <row r="3923" spans="1:19" ht="15.75" hidden="1" thickBot="1" x14ac:dyDescent="0.3">
      <c r="A3923" s="256" t="s">
        <v>1016</v>
      </c>
      <c r="B3923" s="259" t="str">
        <f>INDEX(Orçamentária!A:B,MATCH(Composições!A3923,Orçamentária!A:A,0),2)</f>
        <v>Eletroduto PEAD 3”</v>
      </c>
      <c r="C3923" s="40"/>
      <c r="D3923" s="25" t="s">
        <v>69</v>
      </c>
      <c r="E3923" s="26"/>
      <c r="F3923" s="48" t="s">
        <v>416</v>
      </c>
      <c r="G3923" s="27" t="str">
        <f t="shared" si="374"/>
        <v/>
      </c>
      <c r="H3923" s="28"/>
      <c r="I3923" s="29"/>
      <c r="J3923" s="152">
        <v>0</v>
      </c>
      <c r="L3923" s="218"/>
      <c r="M3923" s="48"/>
      <c r="N3923" s="27" t="str">
        <f t="shared" si="375"/>
        <v/>
      </c>
      <c r="O3923" s="28"/>
      <c r="P3923" s="36" t="str">
        <f t="shared" si="376"/>
        <v/>
      </c>
      <c r="Q3923" s="216" t="str">
        <f t="shared" si="377"/>
        <v/>
      </c>
      <c r="R3923" s="216" t="str">
        <f t="shared" si="378"/>
        <v/>
      </c>
      <c r="S3923" s="217" t="str">
        <f t="shared" si="379"/>
        <v/>
      </c>
    </row>
    <row r="3924" spans="1:19" ht="15.75" hidden="1" thickBot="1" x14ac:dyDescent="0.3">
      <c r="A3924" s="257"/>
      <c r="B3924" s="260"/>
      <c r="C3924" s="31"/>
      <c r="D3924" s="31"/>
      <c r="E3924" s="32"/>
      <c r="F3924" s="53" t="s">
        <v>416</v>
      </c>
      <c r="G3924" s="53" t="str">
        <f t="shared" si="374"/>
        <v/>
      </c>
      <c r="H3924" s="72"/>
      <c r="I3924" s="73"/>
      <c r="J3924" s="152">
        <v>0</v>
      </c>
      <c r="L3924" s="219"/>
      <c r="M3924" s="53"/>
      <c r="N3924" s="53" t="str">
        <f t="shared" si="375"/>
        <v/>
      </c>
      <c r="O3924" s="72"/>
      <c r="P3924" s="36" t="str">
        <f t="shared" si="376"/>
        <v/>
      </c>
      <c r="Q3924" s="216" t="str">
        <f t="shared" si="377"/>
        <v/>
      </c>
      <c r="R3924" s="216" t="str">
        <f t="shared" si="378"/>
        <v/>
      </c>
      <c r="S3924" s="217" t="str">
        <f t="shared" si="379"/>
        <v/>
      </c>
    </row>
    <row r="3925" spans="1:19" ht="39" hidden="1" thickBot="1" x14ac:dyDescent="0.3">
      <c r="A3925" s="257"/>
      <c r="B3925" s="260"/>
      <c r="C3925" s="35" t="s">
        <v>8528</v>
      </c>
      <c r="D3925" s="35" t="s">
        <v>385</v>
      </c>
      <c r="E3925" s="36">
        <v>1.1000000000000001</v>
      </c>
      <c r="F3925" s="53">
        <v>7.6949999999999994</v>
      </c>
      <c r="G3925" s="53">
        <f t="shared" si="374"/>
        <v>8.4644999999999992</v>
      </c>
      <c r="H3925" s="38">
        <f>SUM(G3925:G3927)</f>
        <v>15.931710899999999</v>
      </c>
      <c r="I3925" s="39"/>
      <c r="J3925" s="152">
        <v>0</v>
      </c>
      <c r="L3925" s="215">
        <v>1.1000000000000001</v>
      </c>
      <c r="M3925" s="53">
        <v>6.5869199999999992</v>
      </c>
      <c r="N3925" s="53">
        <f t="shared" si="375"/>
        <v>7.2456119999999995</v>
      </c>
      <c r="O3925" s="38">
        <f>SUM(N3925:N3927)</f>
        <v>13.6375445304</v>
      </c>
      <c r="P3925" s="36" t="str">
        <f t="shared" si="376"/>
        <v/>
      </c>
      <c r="Q3925" s="216">
        <f t="shared" si="377"/>
        <v>0.14400000000000002</v>
      </c>
      <c r="R3925" s="216">
        <f t="shared" si="378"/>
        <v>0.14400000000000002</v>
      </c>
      <c r="S3925" s="217">
        <f t="shared" si="379"/>
        <v>0.14399999999999991</v>
      </c>
    </row>
    <row r="3926" spans="1:19" ht="15.75" hidden="1" thickBot="1" x14ac:dyDescent="0.3">
      <c r="A3926" s="257"/>
      <c r="B3926" s="260"/>
      <c r="C3926" s="35" t="s">
        <v>1017</v>
      </c>
      <c r="D3926" s="35" t="s">
        <v>583</v>
      </c>
      <c r="E3926" s="36">
        <v>0.15110000000000001</v>
      </c>
      <c r="F3926" s="53">
        <v>21.584</v>
      </c>
      <c r="G3926" s="53">
        <f t="shared" si="374"/>
        <v>3.2613424000000002</v>
      </c>
      <c r="H3926" s="72"/>
      <c r="I3926" s="73"/>
      <c r="J3926" s="152">
        <v>0</v>
      </c>
      <c r="L3926" s="215">
        <v>0.15110000000000001</v>
      </c>
      <c r="M3926" s="53">
        <v>18.475904</v>
      </c>
      <c r="N3926" s="53">
        <f t="shared" si="375"/>
        <v>2.7917090944000003</v>
      </c>
      <c r="O3926" s="72"/>
      <c r="P3926" s="36" t="str">
        <f t="shared" si="376"/>
        <v/>
      </c>
      <c r="Q3926" s="216">
        <f t="shared" si="377"/>
        <v>0.14400000000000002</v>
      </c>
      <c r="R3926" s="216">
        <f t="shared" si="378"/>
        <v>0.14400000000000002</v>
      </c>
      <c r="S3926" s="217" t="str">
        <f t="shared" si="379"/>
        <v/>
      </c>
    </row>
    <row r="3927" spans="1:19" ht="15.75" hidden="1" thickBot="1" x14ac:dyDescent="0.3">
      <c r="A3927" s="257"/>
      <c r="B3927" s="260"/>
      <c r="C3927" s="35" t="s">
        <v>1018</v>
      </c>
      <c r="D3927" s="35" t="s">
        <v>583</v>
      </c>
      <c r="E3927" s="36">
        <v>0.15110000000000001</v>
      </c>
      <c r="F3927" s="53">
        <v>27.835000000000001</v>
      </c>
      <c r="G3927" s="53">
        <f t="shared" si="374"/>
        <v>4.2058685000000002</v>
      </c>
      <c r="H3927" s="72"/>
      <c r="I3927" s="73"/>
      <c r="J3927" s="152">
        <v>0</v>
      </c>
      <c r="L3927" s="215">
        <v>0.15110000000000001</v>
      </c>
      <c r="M3927" s="53">
        <v>23.82676</v>
      </c>
      <c r="N3927" s="53">
        <f t="shared" si="375"/>
        <v>3.6002234360000003</v>
      </c>
      <c r="O3927" s="72"/>
      <c r="P3927" s="36" t="str">
        <f t="shared" si="376"/>
        <v/>
      </c>
      <c r="Q3927" s="216">
        <f t="shared" si="377"/>
        <v>0.14400000000000002</v>
      </c>
      <c r="R3927" s="216">
        <f t="shared" si="378"/>
        <v>0.14400000000000002</v>
      </c>
      <c r="S3927" s="217" t="str">
        <f t="shared" si="379"/>
        <v/>
      </c>
    </row>
    <row r="3928" spans="1:19" ht="15.75" hidden="1" thickBot="1" x14ac:dyDescent="0.3">
      <c r="A3928" s="257"/>
      <c r="B3928" s="260"/>
      <c r="C3928" s="54"/>
      <c r="D3928" s="54"/>
      <c r="E3928" s="65"/>
      <c r="F3928" s="75" t="s">
        <v>416</v>
      </c>
      <c r="G3928" s="75" t="str">
        <f t="shared" si="374"/>
        <v/>
      </c>
      <c r="H3928" s="76"/>
      <c r="I3928" s="73"/>
      <c r="J3928" s="152">
        <v>0</v>
      </c>
      <c r="L3928" s="222"/>
      <c r="M3928" s="75"/>
      <c r="N3928" s="75" t="str">
        <f t="shared" si="375"/>
        <v/>
      </c>
      <c r="O3928" s="76"/>
      <c r="P3928" s="36" t="str">
        <f t="shared" si="376"/>
        <v/>
      </c>
      <c r="Q3928" s="216" t="str">
        <f t="shared" si="377"/>
        <v/>
      </c>
      <c r="R3928" s="216" t="str">
        <f t="shared" si="378"/>
        <v/>
      </c>
      <c r="S3928" s="217" t="str">
        <f t="shared" si="379"/>
        <v/>
      </c>
    </row>
    <row r="3929" spans="1:19" ht="15.75" hidden="1" thickBot="1" x14ac:dyDescent="0.3">
      <c r="A3929" s="256" t="s">
        <v>1019</v>
      </c>
      <c r="B3929" s="259" t="str">
        <f>INDEX(Orçamentária!A:B,MATCH(Composições!A3929,Orçamentária!A:A,0),2)</f>
        <v>Eletroduto de aço galvanizado de 3”</v>
      </c>
      <c r="C3929" s="40"/>
      <c r="D3929" s="25" t="s">
        <v>69</v>
      </c>
      <c r="E3929" s="26"/>
      <c r="F3929" s="48" t="s">
        <v>416</v>
      </c>
      <c r="G3929" s="27" t="str">
        <f t="shared" si="374"/>
        <v/>
      </c>
      <c r="H3929" s="28"/>
      <c r="I3929" s="29"/>
      <c r="J3929" s="152">
        <v>0</v>
      </c>
      <c r="L3929" s="218"/>
      <c r="M3929" s="48"/>
      <c r="N3929" s="27" t="str">
        <f t="shared" si="375"/>
        <v/>
      </c>
      <c r="O3929" s="28"/>
      <c r="P3929" s="36" t="str">
        <f t="shared" si="376"/>
        <v/>
      </c>
      <c r="Q3929" s="216" t="str">
        <f t="shared" si="377"/>
        <v/>
      </c>
      <c r="R3929" s="216" t="str">
        <f t="shared" si="378"/>
        <v/>
      </c>
      <c r="S3929" s="217" t="str">
        <f t="shared" si="379"/>
        <v/>
      </c>
    </row>
    <row r="3930" spans="1:19" ht="15.75" hidden="1" thickBot="1" x14ac:dyDescent="0.3">
      <c r="A3930" s="257"/>
      <c r="B3930" s="260"/>
      <c r="C3930" s="31"/>
      <c r="D3930" s="31"/>
      <c r="E3930" s="32"/>
      <c r="F3930" s="53" t="s">
        <v>416</v>
      </c>
      <c r="G3930" s="53" t="str">
        <f t="shared" si="374"/>
        <v/>
      </c>
      <c r="H3930" s="72"/>
      <c r="I3930" s="73"/>
      <c r="J3930" s="152">
        <v>0</v>
      </c>
      <c r="L3930" s="219"/>
      <c r="M3930" s="53"/>
      <c r="N3930" s="53" t="str">
        <f t="shared" si="375"/>
        <v/>
      </c>
      <c r="O3930" s="72"/>
      <c r="P3930" s="36" t="str">
        <f t="shared" si="376"/>
        <v/>
      </c>
      <c r="Q3930" s="216" t="str">
        <f t="shared" si="377"/>
        <v/>
      </c>
      <c r="R3930" s="216" t="str">
        <f t="shared" si="378"/>
        <v/>
      </c>
      <c r="S3930" s="217" t="str">
        <f t="shared" si="379"/>
        <v/>
      </c>
    </row>
    <row r="3931" spans="1:19" ht="15.75" hidden="1" thickBot="1" x14ac:dyDescent="0.3">
      <c r="A3931" s="257"/>
      <c r="B3931" s="260"/>
      <c r="C3931" s="35" t="s">
        <v>1020</v>
      </c>
      <c r="D3931" s="35" t="s">
        <v>69</v>
      </c>
      <c r="E3931" s="36">
        <v>1.05</v>
      </c>
      <c r="F3931" s="53">
        <v>0</v>
      </c>
      <c r="G3931" s="53">
        <f t="shared" si="374"/>
        <v>0</v>
      </c>
      <c r="H3931" s="38">
        <f>SUM(G3931:G3933)</f>
        <v>49.418999999999997</v>
      </c>
      <c r="I3931" s="39"/>
      <c r="J3931" s="152">
        <v>0</v>
      </c>
      <c r="L3931" s="215">
        <v>1.05</v>
      </c>
      <c r="M3931" s="53">
        <v>0</v>
      </c>
      <c r="N3931" s="53">
        <f t="shared" si="375"/>
        <v>0</v>
      </c>
      <c r="O3931" s="38">
        <f>SUM(N3931:N3933)</f>
        <v>42.302664</v>
      </c>
      <c r="P3931" s="36" t="str">
        <f t="shared" si="376"/>
        <v/>
      </c>
      <c r="Q3931" s="216" t="e">
        <f t="shared" si="377"/>
        <v>#DIV/0!</v>
      </c>
      <c r="R3931" s="216" t="e">
        <f t="shared" si="378"/>
        <v>#DIV/0!</v>
      </c>
      <c r="S3931" s="217">
        <f t="shared" si="379"/>
        <v>0.14399999999999991</v>
      </c>
    </row>
    <row r="3932" spans="1:19" ht="15.75" hidden="1" thickBot="1" x14ac:dyDescent="0.3">
      <c r="A3932" s="257"/>
      <c r="B3932" s="260"/>
      <c r="C3932" s="35" t="s">
        <v>1018</v>
      </c>
      <c r="D3932" s="35" t="s">
        <v>583</v>
      </c>
      <c r="E3932" s="36">
        <v>1</v>
      </c>
      <c r="F3932" s="30">
        <v>27.835000000000001</v>
      </c>
      <c r="G3932" s="33">
        <f t="shared" si="374"/>
        <v>27.835000000000001</v>
      </c>
      <c r="H3932" s="72"/>
      <c r="I3932" s="73"/>
      <c r="J3932" s="152">
        <v>0</v>
      </c>
      <c r="L3932" s="215">
        <v>1</v>
      </c>
      <c r="M3932" s="30">
        <v>23.82676</v>
      </c>
      <c r="N3932" s="33">
        <f t="shared" si="375"/>
        <v>23.82676</v>
      </c>
      <c r="O3932" s="72"/>
      <c r="P3932" s="36" t="str">
        <f t="shared" si="376"/>
        <v/>
      </c>
      <c r="Q3932" s="216">
        <f t="shared" si="377"/>
        <v>0.14400000000000002</v>
      </c>
      <c r="R3932" s="216">
        <f t="shared" si="378"/>
        <v>0.14400000000000002</v>
      </c>
      <c r="S3932" s="217" t="str">
        <f t="shared" si="379"/>
        <v/>
      </c>
    </row>
    <row r="3933" spans="1:19" ht="15.75" hidden="1" thickBot="1" x14ac:dyDescent="0.3">
      <c r="A3933" s="257"/>
      <c r="B3933" s="260"/>
      <c r="C3933" s="35" t="s">
        <v>1017</v>
      </c>
      <c r="D3933" s="35" t="s">
        <v>583</v>
      </c>
      <c r="E3933" s="36">
        <v>1</v>
      </c>
      <c r="F3933" s="30">
        <v>21.584</v>
      </c>
      <c r="G3933" s="33">
        <f t="shared" si="374"/>
        <v>21.584</v>
      </c>
      <c r="H3933" s="72"/>
      <c r="I3933" s="73"/>
      <c r="J3933" s="152">
        <v>0</v>
      </c>
      <c r="L3933" s="215">
        <v>1</v>
      </c>
      <c r="M3933" s="30">
        <v>18.475904</v>
      </c>
      <c r="N3933" s="33">
        <f t="shared" si="375"/>
        <v>18.475904</v>
      </c>
      <c r="O3933" s="72"/>
      <c r="P3933" s="36" t="str">
        <f t="shared" si="376"/>
        <v/>
      </c>
      <c r="Q3933" s="216">
        <f t="shared" si="377"/>
        <v>0.14400000000000002</v>
      </c>
      <c r="R3933" s="216">
        <f t="shared" si="378"/>
        <v>0.14400000000000002</v>
      </c>
      <c r="S3933" s="217" t="str">
        <f t="shared" si="379"/>
        <v/>
      </c>
    </row>
    <row r="3934" spans="1:19" ht="15.75" hidden="1" thickBot="1" x14ac:dyDescent="0.3">
      <c r="A3934" s="257"/>
      <c r="B3934" s="260"/>
      <c r="C3934" s="54"/>
      <c r="D3934" s="54"/>
      <c r="E3934" s="65"/>
      <c r="F3934" s="75" t="s">
        <v>416</v>
      </c>
      <c r="G3934" s="75" t="str">
        <f t="shared" si="374"/>
        <v/>
      </c>
      <c r="H3934" s="76"/>
      <c r="I3934" s="73"/>
      <c r="J3934" s="152">
        <v>0</v>
      </c>
      <c r="L3934" s="222"/>
      <c r="M3934" s="75"/>
      <c r="N3934" s="75" t="str">
        <f t="shared" si="375"/>
        <v/>
      </c>
      <c r="O3934" s="76"/>
      <c r="P3934" s="36" t="str">
        <f t="shared" si="376"/>
        <v/>
      </c>
      <c r="Q3934" s="216" t="str">
        <f t="shared" si="377"/>
        <v/>
      </c>
      <c r="R3934" s="216" t="str">
        <f t="shared" si="378"/>
        <v/>
      </c>
      <c r="S3934" s="217" t="str">
        <f t="shared" si="379"/>
        <v/>
      </c>
    </row>
    <row r="3935" spans="1:19" ht="15.75" hidden="1" thickBot="1" x14ac:dyDescent="0.3">
      <c r="A3935" s="256" t="s">
        <v>1021</v>
      </c>
      <c r="B3935" s="259" t="str">
        <f>INDEX(Orçamentária!A:B,MATCH(Composições!A3935,Orçamentária!A:A,0),2)</f>
        <v>Grelha reta para ralo</v>
      </c>
      <c r="C3935" s="40"/>
      <c r="D3935" s="25" t="s">
        <v>69</v>
      </c>
      <c r="E3935" s="26"/>
      <c r="F3935" s="48" t="s">
        <v>416</v>
      </c>
      <c r="G3935" s="27" t="str">
        <f t="shared" si="374"/>
        <v/>
      </c>
      <c r="H3935" s="28"/>
      <c r="I3935" s="29"/>
      <c r="J3935" s="152">
        <v>0</v>
      </c>
      <c r="L3935" s="218"/>
      <c r="M3935" s="48"/>
      <c r="N3935" s="27" t="str">
        <f t="shared" si="375"/>
        <v/>
      </c>
      <c r="O3935" s="28"/>
      <c r="P3935" s="36" t="str">
        <f t="shared" si="376"/>
        <v/>
      </c>
      <c r="Q3935" s="216" t="str">
        <f t="shared" si="377"/>
        <v/>
      </c>
      <c r="R3935" s="216" t="str">
        <f t="shared" si="378"/>
        <v/>
      </c>
      <c r="S3935" s="217" t="str">
        <f t="shared" si="379"/>
        <v/>
      </c>
    </row>
    <row r="3936" spans="1:19" ht="15.75" hidden="1" thickBot="1" x14ac:dyDescent="0.3">
      <c r="A3936" s="257"/>
      <c r="B3936" s="260"/>
      <c r="C3936" s="31"/>
      <c r="D3936" s="31"/>
      <c r="E3936" s="32"/>
      <c r="F3936" s="53" t="s">
        <v>416</v>
      </c>
      <c r="G3936" s="53" t="str">
        <f t="shared" si="374"/>
        <v/>
      </c>
      <c r="H3936" s="72"/>
      <c r="I3936" s="73"/>
      <c r="J3936" s="152">
        <v>0</v>
      </c>
      <c r="L3936" s="219"/>
      <c r="M3936" s="53"/>
      <c r="N3936" s="53" t="str">
        <f t="shared" si="375"/>
        <v/>
      </c>
      <c r="O3936" s="72"/>
      <c r="P3936" s="36" t="str">
        <f t="shared" si="376"/>
        <v/>
      </c>
      <c r="Q3936" s="216" t="str">
        <f t="shared" si="377"/>
        <v/>
      </c>
      <c r="R3936" s="216" t="str">
        <f t="shared" si="378"/>
        <v/>
      </c>
      <c r="S3936" s="217" t="str">
        <f t="shared" si="379"/>
        <v/>
      </c>
    </row>
    <row r="3937" spans="1:19" ht="26.25" hidden="1" thickBot="1" x14ac:dyDescent="0.3">
      <c r="A3937" s="257"/>
      <c r="B3937" s="260"/>
      <c r="C3937" s="35" t="s">
        <v>1022</v>
      </c>
      <c r="D3937" s="35" t="s">
        <v>69</v>
      </c>
      <c r="E3937" s="36">
        <v>1</v>
      </c>
      <c r="F3937" s="53">
        <v>0</v>
      </c>
      <c r="G3937" s="53">
        <f t="shared" si="374"/>
        <v>0</v>
      </c>
      <c r="H3937" s="38">
        <f>SUM(G3937:G3939)</f>
        <v>31.748620000000003</v>
      </c>
      <c r="I3937" s="39"/>
      <c r="J3937" s="152">
        <v>0</v>
      </c>
      <c r="L3937" s="215">
        <v>1</v>
      </c>
      <c r="M3937" s="53">
        <v>0</v>
      </c>
      <c r="N3937" s="53">
        <f t="shared" si="375"/>
        <v>0</v>
      </c>
      <c r="O3937" s="38">
        <f>SUM(N3937:N3939)</f>
        <v>27.17681872</v>
      </c>
      <c r="P3937" s="36" t="str">
        <f t="shared" si="376"/>
        <v/>
      </c>
      <c r="Q3937" s="216" t="e">
        <f t="shared" si="377"/>
        <v>#DIV/0!</v>
      </c>
      <c r="R3937" s="216" t="e">
        <f t="shared" si="378"/>
        <v>#DIV/0!</v>
      </c>
      <c r="S3937" s="217">
        <f t="shared" si="379"/>
        <v>0.14400000000000002</v>
      </c>
    </row>
    <row r="3938" spans="1:19" ht="15.75" hidden="1" thickBot="1" x14ac:dyDescent="0.3">
      <c r="A3938" s="257"/>
      <c r="B3938" s="260"/>
      <c r="C3938" s="35" t="s">
        <v>591</v>
      </c>
      <c r="D3938" s="35" t="s">
        <v>583</v>
      </c>
      <c r="E3938" s="36">
        <v>0.67</v>
      </c>
      <c r="F3938" s="53">
        <v>27.160499999999999</v>
      </c>
      <c r="G3938" s="53">
        <f t="shared" si="374"/>
        <v>18.197535000000002</v>
      </c>
      <c r="H3938" s="72"/>
      <c r="I3938" s="73"/>
      <c r="J3938" s="152">
        <v>0</v>
      </c>
      <c r="L3938" s="215">
        <v>0.67</v>
      </c>
      <c r="M3938" s="53">
        <v>23.249388</v>
      </c>
      <c r="N3938" s="53">
        <f t="shared" si="375"/>
        <v>15.57708996</v>
      </c>
      <c r="O3938" s="72"/>
      <c r="P3938" s="36" t="str">
        <f t="shared" si="376"/>
        <v/>
      </c>
      <c r="Q3938" s="216">
        <f t="shared" si="377"/>
        <v>0.14400000000000002</v>
      </c>
      <c r="R3938" s="216">
        <f t="shared" si="378"/>
        <v>0.14400000000000013</v>
      </c>
      <c r="S3938" s="217" t="str">
        <f t="shared" si="379"/>
        <v/>
      </c>
    </row>
    <row r="3939" spans="1:19" ht="15.75" hidden="1" thickBot="1" x14ac:dyDescent="0.3">
      <c r="A3939" s="257"/>
      <c r="B3939" s="260"/>
      <c r="C3939" s="35" t="s">
        <v>584</v>
      </c>
      <c r="D3939" s="35" t="s">
        <v>583</v>
      </c>
      <c r="E3939" s="36">
        <v>0.67</v>
      </c>
      <c r="F3939" s="53">
        <v>20.225499999999997</v>
      </c>
      <c r="G3939" s="53">
        <f t="shared" si="374"/>
        <v>13.551084999999999</v>
      </c>
      <c r="H3939" s="72"/>
      <c r="I3939" s="73"/>
      <c r="J3939" s="152">
        <v>0</v>
      </c>
      <c r="L3939" s="215">
        <v>0.67</v>
      </c>
      <c r="M3939" s="53">
        <v>17.313027999999996</v>
      </c>
      <c r="N3939" s="53">
        <f t="shared" si="375"/>
        <v>11.599728759999998</v>
      </c>
      <c r="O3939" s="72"/>
      <c r="P3939" s="36" t="str">
        <f t="shared" si="376"/>
        <v/>
      </c>
      <c r="Q3939" s="216">
        <f t="shared" si="377"/>
        <v>0.14400000000000013</v>
      </c>
      <c r="R3939" s="216">
        <f t="shared" si="378"/>
        <v>0.14400000000000013</v>
      </c>
      <c r="S3939" s="217" t="str">
        <f t="shared" si="379"/>
        <v/>
      </c>
    </row>
    <row r="3940" spans="1:19" ht="15.75" hidden="1" thickBot="1" x14ac:dyDescent="0.3">
      <c r="A3940" s="257"/>
      <c r="B3940" s="260"/>
      <c r="C3940" s="54"/>
      <c r="D3940" s="54"/>
      <c r="E3940" s="65"/>
      <c r="F3940" s="75" t="s">
        <v>416</v>
      </c>
      <c r="G3940" s="75" t="str">
        <f t="shared" si="374"/>
        <v/>
      </c>
      <c r="H3940" s="76"/>
      <c r="I3940" s="73"/>
      <c r="J3940" s="152">
        <v>0</v>
      </c>
      <c r="L3940" s="222"/>
      <c r="M3940" s="75"/>
      <c r="N3940" s="75" t="str">
        <f t="shared" si="375"/>
        <v/>
      </c>
      <c r="O3940" s="76"/>
      <c r="P3940" s="36" t="str">
        <f t="shared" si="376"/>
        <v/>
      </c>
      <c r="Q3940" s="216" t="str">
        <f t="shared" si="377"/>
        <v/>
      </c>
      <c r="R3940" s="216" t="str">
        <f t="shared" si="378"/>
        <v/>
      </c>
      <c r="S3940" s="217" t="str">
        <f t="shared" si="379"/>
        <v/>
      </c>
    </row>
    <row r="3941" spans="1:19" ht="15.75" hidden="1" thickBot="1" x14ac:dyDescent="0.3">
      <c r="A3941" s="256" t="s">
        <v>1023</v>
      </c>
      <c r="B3941" s="259" t="str">
        <f>INDEX(Orçamentária!A:B,MATCH(Composições!A3941,Orçamentária!A:A,0),2)</f>
        <v>Granito Vermelho Brasília para soleira e peitoril</v>
      </c>
      <c r="C3941" s="40"/>
      <c r="D3941" s="25" t="s">
        <v>70</v>
      </c>
      <c r="E3941" s="26"/>
      <c r="F3941" s="48" t="s">
        <v>416</v>
      </c>
      <c r="G3941" s="27" t="str">
        <f t="shared" si="374"/>
        <v/>
      </c>
      <c r="H3941" s="28"/>
      <c r="I3941" s="29"/>
      <c r="J3941" s="152">
        <v>0</v>
      </c>
      <c r="L3941" s="218"/>
      <c r="M3941" s="48"/>
      <c r="N3941" s="27" t="str">
        <f t="shared" si="375"/>
        <v/>
      </c>
      <c r="O3941" s="28"/>
      <c r="P3941" s="36" t="str">
        <f t="shared" si="376"/>
        <v/>
      </c>
      <c r="Q3941" s="216" t="str">
        <f t="shared" si="377"/>
        <v/>
      </c>
      <c r="R3941" s="216" t="str">
        <f t="shared" si="378"/>
        <v/>
      </c>
      <c r="S3941" s="217" t="str">
        <f t="shared" si="379"/>
        <v/>
      </c>
    </row>
    <row r="3942" spans="1:19" ht="15.75" hidden="1" thickBot="1" x14ac:dyDescent="0.3">
      <c r="A3942" s="257"/>
      <c r="B3942" s="260"/>
      <c r="C3942" s="31"/>
      <c r="D3942" s="31"/>
      <c r="E3942" s="32"/>
      <c r="F3942" s="53" t="s">
        <v>416</v>
      </c>
      <c r="G3942" s="53" t="str">
        <f t="shared" si="374"/>
        <v/>
      </c>
      <c r="H3942" s="72"/>
      <c r="I3942" s="73"/>
      <c r="J3942" s="152">
        <v>0</v>
      </c>
      <c r="L3942" s="219"/>
      <c r="M3942" s="53"/>
      <c r="N3942" s="53" t="str">
        <f t="shared" si="375"/>
        <v/>
      </c>
      <c r="O3942" s="72"/>
      <c r="P3942" s="36" t="str">
        <f t="shared" si="376"/>
        <v/>
      </c>
      <c r="Q3942" s="216" t="str">
        <f t="shared" si="377"/>
        <v/>
      </c>
      <c r="R3942" s="216" t="str">
        <f t="shared" si="378"/>
        <v/>
      </c>
      <c r="S3942" s="217" t="str">
        <f t="shared" si="379"/>
        <v/>
      </c>
    </row>
    <row r="3943" spans="1:19" ht="26.25" hidden="1" thickBot="1" x14ac:dyDescent="0.3">
      <c r="A3943" s="257"/>
      <c r="B3943" s="260"/>
      <c r="C3943" s="35" t="s">
        <v>1024</v>
      </c>
      <c r="D3943" s="35" t="s">
        <v>69</v>
      </c>
      <c r="E3943" s="36">
        <f>ROUND(1/0.15,4)</f>
        <v>6.6666999999999996</v>
      </c>
      <c r="F3943" s="53" t="s">
        <v>416</v>
      </c>
      <c r="G3943" s="53" t="str">
        <f t="shared" si="374"/>
        <v/>
      </c>
      <c r="H3943" s="38">
        <f>SUM(G3943:G3946)</f>
        <v>150.9292379</v>
      </c>
      <c r="I3943" s="39"/>
      <c r="J3943" s="152">
        <v>0</v>
      </c>
      <c r="L3943" s="215">
        <v>6.6666999999999996</v>
      </c>
      <c r="M3943" s="53"/>
      <c r="N3943" s="53" t="str">
        <f t="shared" si="375"/>
        <v/>
      </c>
      <c r="O3943" s="38">
        <f>SUM(N3943:N3946)</f>
        <v>129.19542764240001</v>
      </c>
      <c r="P3943" s="36" t="str">
        <f t="shared" si="376"/>
        <v/>
      </c>
      <c r="Q3943" s="216" t="str">
        <f t="shared" si="377"/>
        <v/>
      </c>
      <c r="R3943" s="216" t="str">
        <f t="shared" si="378"/>
        <v/>
      </c>
      <c r="S3943" s="217">
        <f t="shared" si="379"/>
        <v>0.14400000000000002</v>
      </c>
    </row>
    <row r="3944" spans="1:19" ht="15.75" hidden="1" thickBot="1" x14ac:dyDescent="0.3">
      <c r="A3944" s="257"/>
      <c r="B3944" s="260"/>
      <c r="C3944" s="35" t="s">
        <v>7987</v>
      </c>
      <c r="D3944" s="35" t="s">
        <v>773</v>
      </c>
      <c r="E3944" s="36">
        <f>1.29/0.15</f>
        <v>8.6000000000000014</v>
      </c>
      <c r="F3944" s="53">
        <v>1.8049999999999999</v>
      </c>
      <c r="G3944" s="53">
        <f t="shared" si="374"/>
        <v>15.523000000000001</v>
      </c>
      <c r="H3944" s="72"/>
      <c r="I3944" s="73"/>
      <c r="J3944" s="152">
        <v>0</v>
      </c>
      <c r="L3944" s="215">
        <v>8.6000000000000014</v>
      </c>
      <c r="M3944" s="53">
        <v>1.54508</v>
      </c>
      <c r="N3944" s="53">
        <f t="shared" si="375"/>
        <v>13.287688000000003</v>
      </c>
      <c r="O3944" s="72"/>
      <c r="P3944" s="36" t="str">
        <f t="shared" si="376"/>
        <v/>
      </c>
      <c r="Q3944" s="216">
        <f t="shared" si="377"/>
        <v>0.14400000000000002</v>
      </c>
      <c r="R3944" s="216">
        <f t="shared" si="378"/>
        <v>0.14399999999999991</v>
      </c>
      <c r="S3944" s="217" t="str">
        <f t="shared" si="379"/>
        <v/>
      </c>
    </row>
    <row r="3945" spans="1:19" ht="15.75" hidden="1" thickBot="1" x14ac:dyDescent="0.3">
      <c r="A3945" s="257"/>
      <c r="B3945" s="260"/>
      <c r="C3945" s="35" t="s">
        <v>2906</v>
      </c>
      <c r="D3945" s="35" t="s">
        <v>583</v>
      </c>
      <c r="E3945" s="36">
        <f>ROUND(0.547/0.15,4)</f>
        <v>3.6467000000000001</v>
      </c>
      <c r="F3945" s="53">
        <v>27.036999999999999</v>
      </c>
      <c r="G3945" s="53">
        <f t="shared" si="374"/>
        <v>98.595827900000003</v>
      </c>
      <c r="H3945" s="72"/>
      <c r="I3945" s="73"/>
      <c r="J3945" s="152">
        <v>0</v>
      </c>
      <c r="L3945" s="215">
        <v>3.6467000000000001</v>
      </c>
      <c r="M3945" s="53">
        <v>23.143671999999999</v>
      </c>
      <c r="N3945" s="53">
        <f t="shared" si="375"/>
        <v>84.398028682399996</v>
      </c>
      <c r="O3945" s="72"/>
      <c r="P3945" s="36" t="str">
        <f t="shared" si="376"/>
        <v/>
      </c>
      <c r="Q3945" s="216">
        <f t="shared" si="377"/>
        <v>0.14400000000000002</v>
      </c>
      <c r="R3945" s="216">
        <f t="shared" si="378"/>
        <v>0.14400000000000002</v>
      </c>
      <c r="S3945" s="217" t="str">
        <f t="shared" si="379"/>
        <v/>
      </c>
    </row>
    <row r="3946" spans="1:19" ht="15.75" hidden="1" thickBot="1" x14ac:dyDescent="0.3">
      <c r="A3946" s="257"/>
      <c r="B3946" s="260"/>
      <c r="C3946" s="35" t="s">
        <v>584</v>
      </c>
      <c r="D3946" s="35" t="s">
        <v>583</v>
      </c>
      <c r="E3946" s="36">
        <f>0.273/0.15</f>
        <v>1.8200000000000003</v>
      </c>
      <c r="F3946" s="53">
        <v>20.225499999999997</v>
      </c>
      <c r="G3946" s="53">
        <f t="shared" si="374"/>
        <v>36.810409999999997</v>
      </c>
      <c r="H3946" s="72"/>
      <c r="I3946" s="73"/>
      <c r="J3946" s="152">
        <v>0</v>
      </c>
      <c r="L3946" s="215">
        <v>1.8200000000000003</v>
      </c>
      <c r="M3946" s="53">
        <v>17.313027999999996</v>
      </c>
      <c r="N3946" s="53">
        <f t="shared" si="375"/>
        <v>31.509710959999996</v>
      </c>
      <c r="O3946" s="72"/>
      <c r="P3946" s="36" t="str">
        <f t="shared" si="376"/>
        <v/>
      </c>
      <c r="Q3946" s="216">
        <f t="shared" si="377"/>
        <v>0.14400000000000013</v>
      </c>
      <c r="R3946" s="216">
        <f t="shared" si="378"/>
        <v>0.14400000000000002</v>
      </c>
      <c r="S3946" s="217" t="str">
        <f t="shared" si="379"/>
        <v/>
      </c>
    </row>
    <row r="3947" spans="1:19" ht="15.75" hidden="1" thickBot="1" x14ac:dyDescent="0.3">
      <c r="A3947" s="257"/>
      <c r="B3947" s="260"/>
      <c r="C3947" s="35"/>
      <c r="D3947" s="35"/>
      <c r="E3947" s="36"/>
      <c r="F3947" s="53" t="s">
        <v>416</v>
      </c>
      <c r="G3947" s="53" t="str">
        <f t="shared" si="374"/>
        <v/>
      </c>
      <c r="H3947" s="72"/>
      <c r="I3947" s="73"/>
      <c r="J3947" s="152">
        <v>0</v>
      </c>
      <c r="L3947" s="215"/>
      <c r="M3947" s="53"/>
      <c r="N3947" s="53" t="str">
        <f t="shared" si="375"/>
        <v/>
      </c>
      <c r="O3947" s="72"/>
      <c r="P3947" s="36" t="str">
        <f t="shared" si="376"/>
        <v/>
      </c>
      <c r="Q3947" s="216" t="str">
        <f t="shared" si="377"/>
        <v/>
      </c>
      <c r="R3947" s="216" t="str">
        <f t="shared" si="378"/>
        <v/>
      </c>
      <c r="S3947" s="217" t="str">
        <f t="shared" si="379"/>
        <v/>
      </c>
    </row>
    <row r="3948" spans="1:19" ht="15.75" hidden="1" thickBot="1" x14ac:dyDescent="0.3">
      <c r="A3948" s="256" t="s">
        <v>1025</v>
      </c>
      <c r="B3948" s="259" t="str">
        <f>INDEX(Orçamentária!A:B,MATCH(Composições!A3948,Orçamentária!A:A,0),2)</f>
        <v>Luminária LED redonda de embutir</v>
      </c>
      <c r="C3948" s="40"/>
      <c r="D3948" s="25" t="s">
        <v>16</v>
      </c>
      <c r="E3948" s="26"/>
      <c r="F3948" s="48" t="s">
        <v>416</v>
      </c>
      <c r="G3948" s="27" t="str">
        <f t="shared" ref="G3948:G4011" si="380">IF(ISNUMBER(F3948),E3948*F3948,"")</f>
        <v/>
      </c>
      <c r="H3948" s="28"/>
      <c r="I3948" s="29"/>
      <c r="J3948" s="152">
        <v>0</v>
      </c>
      <c r="L3948" s="218"/>
      <c r="M3948" s="48"/>
      <c r="N3948" s="27" t="str">
        <f t="shared" ref="N3948:N4011" si="381">IF(ISNUMBER(M3948),L3948*M3948,"")</f>
        <v/>
      </c>
      <c r="O3948" s="28"/>
      <c r="P3948" s="36" t="str">
        <f t="shared" si="376"/>
        <v/>
      </c>
      <c r="Q3948" s="216" t="str">
        <f t="shared" si="377"/>
        <v/>
      </c>
      <c r="R3948" s="216" t="str">
        <f t="shared" si="378"/>
        <v/>
      </c>
      <c r="S3948" s="217" t="str">
        <f t="shared" si="379"/>
        <v/>
      </c>
    </row>
    <row r="3949" spans="1:19" ht="15.75" hidden="1" thickBot="1" x14ac:dyDescent="0.3">
      <c r="A3949" s="257"/>
      <c r="B3949" s="260"/>
      <c r="C3949" s="31"/>
      <c r="D3949" s="31"/>
      <c r="E3949" s="32"/>
      <c r="F3949" s="53" t="s">
        <v>416</v>
      </c>
      <c r="G3949" s="53" t="str">
        <f t="shared" si="380"/>
        <v/>
      </c>
      <c r="H3949" s="72"/>
      <c r="I3949" s="73"/>
      <c r="J3949" s="152">
        <v>0</v>
      </c>
      <c r="L3949" s="219"/>
      <c r="M3949" s="53"/>
      <c r="N3949" s="53" t="str">
        <f t="shared" si="381"/>
        <v/>
      </c>
      <c r="O3949" s="72"/>
      <c r="P3949" s="36" t="str">
        <f t="shared" si="376"/>
        <v/>
      </c>
      <c r="Q3949" s="216" t="str">
        <f t="shared" si="377"/>
        <v/>
      </c>
      <c r="R3949" s="216" t="str">
        <f t="shared" si="378"/>
        <v/>
      </c>
      <c r="S3949" s="217" t="str">
        <f t="shared" si="379"/>
        <v/>
      </c>
    </row>
    <row r="3950" spans="1:19" ht="39" hidden="1" thickBot="1" x14ac:dyDescent="0.3">
      <c r="A3950" s="257"/>
      <c r="B3950" s="260"/>
      <c r="C3950" s="35" t="s">
        <v>1026</v>
      </c>
      <c r="D3950" s="35" t="s">
        <v>107</v>
      </c>
      <c r="E3950" s="36">
        <v>1</v>
      </c>
      <c r="F3950" s="53" t="s">
        <v>416</v>
      </c>
      <c r="G3950" s="53" t="str">
        <f t="shared" si="380"/>
        <v/>
      </c>
      <c r="H3950" s="38">
        <f>SUM(G3950:G3955)</f>
        <v>13.078640500000002</v>
      </c>
      <c r="I3950" s="39"/>
      <c r="J3950" s="152">
        <v>0</v>
      </c>
      <c r="L3950" s="215">
        <v>1</v>
      </c>
      <c r="M3950" s="53"/>
      <c r="N3950" s="53" t="str">
        <f t="shared" si="381"/>
        <v/>
      </c>
      <c r="O3950" s="38">
        <f>SUM(N3950:N3955)</f>
        <v>11.195316267999999</v>
      </c>
      <c r="P3950" s="36" t="str">
        <f t="shared" si="376"/>
        <v/>
      </c>
      <c r="Q3950" s="216" t="str">
        <f t="shared" si="377"/>
        <v/>
      </c>
      <c r="R3950" s="216" t="str">
        <f t="shared" si="378"/>
        <v/>
      </c>
      <c r="S3950" s="217">
        <f t="shared" si="379"/>
        <v>0.14400000000000024</v>
      </c>
    </row>
    <row r="3951" spans="1:19" ht="26.25" hidden="1" thickBot="1" x14ac:dyDescent="0.3">
      <c r="A3951" s="257"/>
      <c r="B3951" s="260"/>
      <c r="C3951" s="35" t="s">
        <v>433</v>
      </c>
      <c r="D3951" s="35" t="s">
        <v>69</v>
      </c>
      <c r="E3951" s="36">
        <v>1.5</v>
      </c>
      <c r="F3951" s="53" t="s">
        <v>416</v>
      </c>
      <c r="G3951" s="53" t="str">
        <f t="shared" si="380"/>
        <v/>
      </c>
      <c r="H3951" s="72"/>
      <c r="I3951" s="73"/>
      <c r="J3951" s="152">
        <v>0</v>
      </c>
      <c r="L3951" s="215">
        <v>1.5</v>
      </c>
      <c r="M3951" s="53"/>
      <c r="N3951" s="53" t="str">
        <f t="shared" si="381"/>
        <v/>
      </c>
      <c r="O3951" s="72"/>
      <c r="P3951" s="36" t="str">
        <f t="shared" si="376"/>
        <v/>
      </c>
      <c r="Q3951" s="216" t="str">
        <f t="shared" si="377"/>
        <v/>
      </c>
      <c r="R3951" s="216" t="str">
        <f t="shared" si="378"/>
        <v/>
      </c>
      <c r="S3951" s="217" t="str">
        <f t="shared" si="379"/>
        <v/>
      </c>
    </row>
    <row r="3952" spans="1:19" ht="15.75" hidden="1" thickBot="1" x14ac:dyDescent="0.3">
      <c r="A3952" s="257"/>
      <c r="B3952" s="260"/>
      <c r="C3952" s="35" t="s">
        <v>434</v>
      </c>
      <c r="D3952" s="35" t="s">
        <v>107</v>
      </c>
      <c r="E3952" s="36">
        <v>1</v>
      </c>
      <c r="F3952" s="53" t="s">
        <v>416</v>
      </c>
      <c r="G3952" s="53" t="str">
        <f t="shared" si="380"/>
        <v/>
      </c>
      <c r="H3952" s="72"/>
      <c r="I3952" s="73"/>
      <c r="J3952" s="152">
        <v>0</v>
      </c>
      <c r="L3952" s="215">
        <v>1</v>
      </c>
      <c r="M3952" s="53"/>
      <c r="N3952" s="53" t="str">
        <f t="shared" si="381"/>
        <v/>
      </c>
      <c r="O3952" s="72"/>
      <c r="P3952" s="36" t="str">
        <f t="shared" si="376"/>
        <v/>
      </c>
      <c r="Q3952" s="216" t="str">
        <f t="shared" si="377"/>
        <v/>
      </c>
      <c r="R3952" s="216" t="str">
        <f t="shared" si="378"/>
        <v/>
      </c>
      <c r="S3952" s="217" t="str">
        <f t="shared" si="379"/>
        <v/>
      </c>
    </row>
    <row r="3953" spans="1:19" ht="15.75" hidden="1" thickBot="1" x14ac:dyDescent="0.3">
      <c r="A3953" s="257"/>
      <c r="B3953" s="260"/>
      <c r="C3953" s="35" t="s">
        <v>435</v>
      </c>
      <c r="D3953" s="35" t="s">
        <v>107</v>
      </c>
      <c r="E3953" s="36">
        <v>1</v>
      </c>
      <c r="F3953" s="53" t="s">
        <v>416</v>
      </c>
      <c r="G3953" s="53" t="str">
        <f t="shared" si="380"/>
        <v/>
      </c>
      <c r="H3953" s="72"/>
      <c r="I3953" s="73"/>
      <c r="J3953" s="152">
        <v>0</v>
      </c>
      <c r="L3953" s="215">
        <v>1</v>
      </c>
      <c r="M3953" s="53"/>
      <c r="N3953" s="53" t="str">
        <f t="shared" si="381"/>
        <v/>
      </c>
      <c r="O3953" s="72"/>
      <c r="P3953" s="36" t="str">
        <f t="shared" si="376"/>
        <v/>
      </c>
      <c r="Q3953" s="216" t="str">
        <f t="shared" si="377"/>
        <v/>
      </c>
      <c r="R3953" s="216" t="str">
        <f t="shared" si="378"/>
        <v/>
      </c>
      <c r="S3953" s="217" t="str">
        <f t="shared" si="379"/>
        <v/>
      </c>
    </row>
    <row r="3954" spans="1:19" ht="15.75" hidden="1" thickBot="1" x14ac:dyDescent="0.3">
      <c r="A3954" s="257"/>
      <c r="B3954" s="260"/>
      <c r="C3954" s="35" t="s">
        <v>1017</v>
      </c>
      <c r="D3954" s="35" t="s">
        <v>583</v>
      </c>
      <c r="E3954" s="36">
        <v>0.14799999999999999</v>
      </c>
      <c r="F3954" s="53">
        <v>21.584</v>
      </c>
      <c r="G3954" s="53">
        <f t="shared" si="380"/>
        <v>3.1944319999999999</v>
      </c>
      <c r="H3954" s="72"/>
      <c r="I3954" s="73"/>
      <c r="J3954" s="152">
        <v>0</v>
      </c>
      <c r="L3954" s="215">
        <v>0.14799999999999999</v>
      </c>
      <c r="M3954" s="53">
        <v>18.475904</v>
      </c>
      <c r="N3954" s="53">
        <f t="shared" si="381"/>
        <v>2.7344337919999999</v>
      </c>
      <c r="O3954" s="72"/>
      <c r="P3954" s="36" t="str">
        <f t="shared" si="376"/>
        <v/>
      </c>
      <c r="Q3954" s="216">
        <f t="shared" si="377"/>
        <v>0.14400000000000002</v>
      </c>
      <c r="R3954" s="216">
        <f t="shared" si="378"/>
        <v>0.14400000000000002</v>
      </c>
      <c r="S3954" s="217" t="str">
        <f t="shared" si="379"/>
        <v/>
      </c>
    </row>
    <row r="3955" spans="1:19" ht="15.75" hidden="1" thickBot="1" x14ac:dyDescent="0.3">
      <c r="A3955" s="257"/>
      <c r="B3955" s="260"/>
      <c r="C3955" s="35" t="s">
        <v>1018</v>
      </c>
      <c r="D3955" s="35" t="s">
        <v>583</v>
      </c>
      <c r="E3955" s="36">
        <v>0.35510000000000003</v>
      </c>
      <c r="F3955" s="53">
        <v>27.835000000000001</v>
      </c>
      <c r="G3955" s="53">
        <f t="shared" si="380"/>
        <v>9.8842085000000015</v>
      </c>
      <c r="H3955" s="72"/>
      <c r="I3955" s="73"/>
      <c r="J3955" s="152">
        <v>0</v>
      </c>
      <c r="L3955" s="215">
        <v>0.35510000000000003</v>
      </c>
      <c r="M3955" s="53">
        <v>23.82676</v>
      </c>
      <c r="N3955" s="53">
        <f t="shared" si="381"/>
        <v>8.4608824760000001</v>
      </c>
      <c r="O3955" s="72"/>
      <c r="P3955" s="36" t="str">
        <f t="shared" si="376"/>
        <v/>
      </c>
      <c r="Q3955" s="216">
        <f t="shared" si="377"/>
        <v>0.14400000000000002</v>
      </c>
      <c r="R3955" s="216">
        <f t="shared" si="378"/>
        <v>0.14400000000000013</v>
      </c>
      <c r="S3955" s="217" t="str">
        <f t="shared" si="379"/>
        <v/>
      </c>
    </row>
    <row r="3956" spans="1:19" ht="15.75" hidden="1" thickBot="1" x14ac:dyDescent="0.3">
      <c r="A3956" s="257"/>
      <c r="B3956" s="260"/>
      <c r="C3956" s="35"/>
      <c r="D3956" s="46"/>
      <c r="E3956" s="36"/>
      <c r="F3956" s="53" t="s">
        <v>416</v>
      </c>
      <c r="G3956" s="53" t="str">
        <f t="shared" si="380"/>
        <v/>
      </c>
      <c r="H3956" s="72"/>
      <c r="I3956" s="73"/>
      <c r="J3956" s="152">
        <v>0</v>
      </c>
      <c r="L3956" s="215"/>
      <c r="M3956" s="53"/>
      <c r="N3956" s="53" t="str">
        <f t="shared" si="381"/>
        <v/>
      </c>
      <c r="O3956" s="72"/>
      <c r="P3956" s="36" t="str">
        <f t="shared" si="376"/>
        <v/>
      </c>
      <c r="Q3956" s="216" t="str">
        <f t="shared" si="377"/>
        <v/>
      </c>
      <c r="R3956" s="216" t="str">
        <f t="shared" si="378"/>
        <v/>
      </c>
      <c r="S3956" s="217" t="str">
        <f t="shared" si="379"/>
        <v/>
      </c>
    </row>
    <row r="3957" spans="1:19" ht="15.75" hidden="1" thickBot="1" x14ac:dyDescent="0.3">
      <c r="A3957" s="256" t="s">
        <v>1027</v>
      </c>
      <c r="B3957" s="259" t="str">
        <f>INDEX(Orçamentária!A:B,MATCH(Composições!A3957,Orçamentária!A:A,0),2)</f>
        <v>Piso tátil de borracha</v>
      </c>
      <c r="C3957" s="40"/>
      <c r="D3957" s="25" t="s">
        <v>69</v>
      </c>
      <c r="E3957" s="26"/>
      <c r="F3957" s="48" t="s">
        <v>416</v>
      </c>
      <c r="G3957" s="27" t="str">
        <f t="shared" si="380"/>
        <v/>
      </c>
      <c r="H3957" s="28"/>
      <c r="I3957" s="29"/>
      <c r="J3957" s="152">
        <v>0</v>
      </c>
      <c r="L3957" s="218"/>
      <c r="M3957" s="48"/>
      <c r="N3957" s="27" t="str">
        <f t="shared" si="381"/>
        <v/>
      </c>
      <c r="O3957" s="28"/>
      <c r="P3957" s="36" t="str">
        <f t="shared" si="376"/>
        <v/>
      </c>
      <c r="Q3957" s="216" t="str">
        <f t="shared" si="377"/>
        <v/>
      </c>
      <c r="R3957" s="216" t="str">
        <f t="shared" si="378"/>
        <v/>
      </c>
      <c r="S3957" s="217" t="str">
        <f t="shared" si="379"/>
        <v/>
      </c>
    </row>
    <row r="3958" spans="1:19" ht="15.75" hidden="1" thickBot="1" x14ac:dyDescent="0.3">
      <c r="A3958" s="257"/>
      <c r="B3958" s="260"/>
      <c r="C3958" s="31"/>
      <c r="D3958" s="31"/>
      <c r="E3958" s="32"/>
      <c r="F3958" s="53" t="s">
        <v>416</v>
      </c>
      <c r="G3958" s="53" t="str">
        <f t="shared" si="380"/>
        <v/>
      </c>
      <c r="H3958" s="72"/>
      <c r="I3958" s="73"/>
      <c r="J3958" s="152">
        <v>0</v>
      </c>
      <c r="L3958" s="219"/>
      <c r="M3958" s="53"/>
      <c r="N3958" s="53" t="str">
        <f t="shared" si="381"/>
        <v/>
      </c>
      <c r="O3958" s="72"/>
      <c r="P3958" s="36" t="str">
        <f t="shared" si="376"/>
        <v/>
      </c>
      <c r="Q3958" s="216" t="str">
        <f t="shared" si="377"/>
        <v/>
      </c>
      <c r="R3958" s="216" t="str">
        <f t="shared" si="378"/>
        <v/>
      </c>
      <c r="S3958" s="217" t="str">
        <f t="shared" si="379"/>
        <v/>
      </c>
    </row>
    <row r="3959" spans="1:19" ht="15.75" hidden="1" thickBot="1" x14ac:dyDescent="0.3">
      <c r="A3959" s="257"/>
      <c r="B3959" s="260"/>
      <c r="C3959" s="35" t="s">
        <v>8065</v>
      </c>
      <c r="D3959" s="35" t="s">
        <v>773</v>
      </c>
      <c r="E3959" s="36">
        <v>0.24</v>
      </c>
      <c r="F3959" s="53">
        <v>0.627</v>
      </c>
      <c r="G3959" s="53">
        <f t="shared" si="380"/>
        <v>0.15048</v>
      </c>
      <c r="H3959" s="38">
        <f>SUM(G3959:G3963)</f>
        <v>125.02422749999999</v>
      </c>
      <c r="I3959" s="39"/>
      <c r="J3959" s="152">
        <v>0</v>
      </c>
      <c r="L3959" s="215">
        <v>0.24</v>
      </c>
      <c r="M3959" s="53">
        <v>0.53671199999999997</v>
      </c>
      <c r="N3959" s="53">
        <f t="shared" si="381"/>
        <v>0.12881087999999999</v>
      </c>
      <c r="O3959" s="38">
        <f>SUM(N3959:N3963)</f>
        <v>107.02073874</v>
      </c>
      <c r="P3959" s="36" t="str">
        <f t="shared" si="376"/>
        <v/>
      </c>
      <c r="Q3959" s="216">
        <f t="shared" si="377"/>
        <v>0.14400000000000002</v>
      </c>
      <c r="R3959" s="216">
        <f t="shared" si="378"/>
        <v>0.14400000000000013</v>
      </c>
      <c r="S3959" s="217">
        <f t="shared" si="379"/>
        <v>0.14400000000000002</v>
      </c>
    </row>
    <row r="3960" spans="1:19" ht="15.75" hidden="1" thickBot="1" x14ac:dyDescent="0.3">
      <c r="A3960" s="257"/>
      <c r="B3960" s="260"/>
      <c r="C3960" s="35" t="s">
        <v>7987</v>
      </c>
      <c r="D3960" s="35" t="s">
        <v>773</v>
      </c>
      <c r="E3960" s="36">
        <v>1.2150000000000001</v>
      </c>
      <c r="F3960" s="53">
        <v>1.8049999999999999</v>
      </c>
      <c r="G3960" s="53">
        <f t="shared" si="380"/>
        <v>2.1930749999999999</v>
      </c>
      <c r="H3960" s="72"/>
      <c r="I3960" s="73"/>
      <c r="J3960" s="152">
        <v>0</v>
      </c>
      <c r="L3960" s="215">
        <v>1.2150000000000001</v>
      </c>
      <c r="M3960" s="53">
        <v>1.54508</v>
      </c>
      <c r="N3960" s="53">
        <f t="shared" si="381"/>
        <v>1.8772722000000002</v>
      </c>
      <c r="O3960" s="72"/>
      <c r="P3960" s="36" t="str">
        <f t="shared" si="376"/>
        <v/>
      </c>
      <c r="Q3960" s="216">
        <f t="shared" si="377"/>
        <v>0.14400000000000002</v>
      </c>
      <c r="R3960" s="216">
        <f t="shared" si="378"/>
        <v>0.14399999999999991</v>
      </c>
      <c r="S3960" s="217" t="str">
        <f t="shared" si="379"/>
        <v/>
      </c>
    </row>
    <row r="3961" spans="1:19" ht="26.25" hidden="1" thickBot="1" x14ac:dyDescent="0.3">
      <c r="A3961" s="257"/>
      <c r="B3961" s="260"/>
      <c r="C3961" s="35" t="s">
        <v>8321</v>
      </c>
      <c r="D3961" s="35" t="s">
        <v>861</v>
      </c>
      <c r="E3961" s="36">
        <v>0.25</v>
      </c>
      <c r="F3961" s="53">
        <v>425.60949999999997</v>
      </c>
      <c r="G3961" s="53">
        <f t="shared" si="380"/>
        <v>106.40237499999999</v>
      </c>
      <c r="H3961" s="72"/>
      <c r="I3961" s="73"/>
      <c r="J3961" s="152">
        <v>0</v>
      </c>
      <c r="L3961" s="215">
        <v>0.25</v>
      </c>
      <c r="M3961" s="53">
        <v>364.321732</v>
      </c>
      <c r="N3961" s="53">
        <f t="shared" si="381"/>
        <v>91.080432999999999</v>
      </c>
      <c r="O3961" s="72"/>
      <c r="P3961" s="36" t="str">
        <f t="shared" si="376"/>
        <v/>
      </c>
      <c r="Q3961" s="216">
        <f t="shared" si="377"/>
        <v>0.14399999999999991</v>
      </c>
      <c r="R3961" s="216">
        <f t="shared" si="378"/>
        <v>0.14399999999999991</v>
      </c>
      <c r="S3961" s="217" t="str">
        <f t="shared" si="379"/>
        <v/>
      </c>
    </row>
    <row r="3962" spans="1:19" ht="15.75" hidden="1" thickBot="1" x14ac:dyDescent="0.3">
      <c r="A3962" s="257"/>
      <c r="B3962" s="260"/>
      <c r="C3962" s="35" t="s">
        <v>591</v>
      </c>
      <c r="D3962" s="35" t="s">
        <v>583</v>
      </c>
      <c r="E3962" s="36">
        <v>0.437</v>
      </c>
      <c r="F3962" s="53">
        <v>27.160499999999999</v>
      </c>
      <c r="G3962" s="53">
        <f t="shared" si="380"/>
        <v>11.8691385</v>
      </c>
      <c r="H3962" s="72"/>
      <c r="I3962" s="73"/>
      <c r="J3962" s="152">
        <v>0</v>
      </c>
      <c r="L3962" s="215">
        <v>0.437</v>
      </c>
      <c r="M3962" s="53">
        <v>23.249388</v>
      </c>
      <c r="N3962" s="53">
        <f t="shared" si="381"/>
        <v>10.159982555999999</v>
      </c>
      <c r="O3962" s="72"/>
      <c r="P3962" s="36" t="str">
        <f t="shared" si="376"/>
        <v/>
      </c>
      <c r="Q3962" s="216">
        <f t="shared" si="377"/>
        <v>0.14400000000000002</v>
      </c>
      <c r="R3962" s="216">
        <f t="shared" si="378"/>
        <v>0.14400000000000002</v>
      </c>
      <c r="S3962" s="217" t="str">
        <f t="shared" si="379"/>
        <v/>
      </c>
    </row>
    <row r="3963" spans="1:19" ht="15.75" hidden="1" thickBot="1" x14ac:dyDescent="0.3">
      <c r="A3963" s="257"/>
      <c r="B3963" s="260"/>
      <c r="C3963" s="35" t="s">
        <v>584</v>
      </c>
      <c r="D3963" s="35" t="s">
        <v>583</v>
      </c>
      <c r="E3963" s="36">
        <v>0.218</v>
      </c>
      <c r="F3963" s="53">
        <v>20.225499999999997</v>
      </c>
      <c r="G3963" s="53">
        <f t="shared" si="380"/>
        <v>4.4091589999999989</v>
      </c>
      <c r="H3963" s="72"/>
      <c r="I3963" s="73"/>
      <c r="J3963" s="152">
        <v>0</v>
      </c>
      <c r="L3963" s="215">
        <v>0.218</v>
      </c>
      <c r="M3963" s="53">
        <v>17.313027999999996</v>
      </c>
      <c r="N3963" s="53">
        <f t="shared" si="381"/>
        <v>3.7742401039999991</v>
      </c>
      <c r="O3963" s="72"/>
      <c r="P3963" s="36" t="str">
        <f t="shared" si="376"/>
        <v/>
      </c>
      <c r="Q3963" s="216">
        <f t="shared" si="377"/>
        <v>0.14400000000000013</v>
      </c>
      <c r="R3963" s="216">
        <f t="shared" si="378"/>
        <v>0.14400000000000002</v>
      </c>
      <c r="S3963" s="217" t="str">
        <f t="shared" si="379"/>
        <v/>
      </c>
    </row>
    <row r="3964" spans="1:19" ht="15.75" hidden="1" thickBot="1" x14ac:dyDescent="0.3">
      <c r="A3964" s="257"/>
      <c r="B3964" s="260"/>
      <c r="C3964" s="54"/>
      <c r="D3964" s="54"/>
      <c r="E3964" s="65"/>
      <c r="F3964" s="75" t="s">
        <v>416</v>
      </c>
      <c r="G3964" s="75" t="str">
        <f t="shared" si="380"/>
        <v/>
      </c>
      <c r="H3964" s="76"/>
      <c r="I3964" s="73"/>
      <c r="J3964" s="152">
        <v>0</v>
      </c>
      <c r="L3964" s="222"/>
      <c r="M3964" s="75"/>
      <c r="N3964" s="75" t="str">
        <f t="shared" si="381"/>
        <v/>
      </c>
      <c r="O3964" s="76"/>
      <c r="P3964" s="36" t="str">
        <f t="shared" si="376"/>
        <v/>
      </c>
      <c r="Q3964" s="216" t="str">
        <f t="shared" si="377"/>
        <v/>
      </c>
      <c r="R3964" s="216" t="str">
        <f t="shared" si="378"/>
        <v/>
      </c>
      <c r="S3964" s="217" t="str">
        <f t="shared" si="379"/>
        <v/>
      </c>
    </row>
    <row r="3965" spans="1:19" ht="15.75" hidden="1" thickBot="1" x14ac:dyDescent="0.3">
      <c r="A3965" s="256" t="s">
        <v>1028</v>
      </c>
      <c r="B3965" s="259" t="str">
        <f>INDEX(Orçamentária!A:B,MATCH(Composições!A3965,Orçamentária!A:A,0),2)</f>
        <v>Granito Vermelho Brasília 20 mm para divisória</v>
      </c>
      <c r="C3965" s="40"/>
      <c r="D3965" s="25" t="s">
        <v>70</v>
      </c>
      <c r="E3965" s="26"/>
      <c r="F3965" s="48" t="s">
        <v>416</v>
      </c>
      <c r="G3965" s="27" t="str">
        <f t="shared" si="380"/>
        <v/>
      </c>
      <c r="H3965" s="28"/>
      <c r="I3965" s="29"/>
      <c r="J3965" s="152">
        <v>0</v>
      </c>
      <c r="L3965" s="218"/>
      <c r="M3965" s="48"/>
      <c r="N3965" s="27" t="str">
        <f t="shared" si="381"/>
        <v/>
      </c>
      <c r="O3965" s="28"/>
      <c r="P3965" s="36" t="str">
        <f t="shared" si="376"/>
        <v/>
      </c>
      <c r="Q3965" s="216" t="str">
        <f t="shared" si="377"/>
        <v/>
      </c>
      <c r="R3965" s="216" t="str">
        <f t="shared" si="378"/>
        <v/>
      </c>
      <c r="S3965" s="217" t="str">
        <f t="shared" si="379"/>
        <v/>
      </c>
    </row>
    <row r="3966" spans="1:19" ht="15.75" hidden="1" thickBot="1" x14ac:dyDescent="0.3">
      <c r="A3966" s="257"/>
      <c r="B3966" s="260"/>
      <c r="C3966" s="31"/>
      <c r="D3966" s="31"/>
      <c r="E3966" s="32"/>
      <c r="F3966" s="53" t="s">
        <v>416</v>
      </c>
      <c r="G3966" s="53" t="str">
        <f t="shared" si="380"/>
        <v/>
      </c>
      <c r="H3966" s="72"/>
      <c r="I3966" s="73"/>
      <c r="J3966" s="152">
        <v>0</v>
      </c>
      <c r="L3966" s="219"/>
      <c r="M3966" s="53"/>
      <c r="N3966" s="53" t="str">
        <f t="shared" si="381"/>
        <v/>
      </c>
      <c r="O3966" s="72"/>
      <c r="P3966" s="36" t="str">
        <f t="shared" si="376"/>
        <v/>
      </c>
      <c r="Q3966" s="216" t="str">
        <f t="shared" si="377"/>
        <v/>
      </c>
      <c r="R3966" s="216" t="str">
        <f t="shared" si="378"/>
        <v/>
      </c>
      <c r="S3966" s="217" t="str">
        <f t="shared" si="379"/>
        <v/>
      </c>
    </row>
    <row r="3967" spans="1:19" ht="26.25" hidden="1" thickBot="1" x14ac:dyDescent="0.3">
      <c r="A3967" s="257"/>
      <c r="B3967" s="260"/>
      <c r="C3967" s="35" t="s">
        <v>650</v>
      </c>
      <c r="D3967" s="35" t="s">
        <v>773</v>
      </c>
      <c r="E3967" s="36">
        <v>0.53</v>
      </c>
      <c r="F3967" s="53">
        <v>52.259499999999996</v>
      </c>
      <c r="G3967" s="53">
        <f t="shared" si="380"/>
        <v>27.697534999999998</v>
      </c>
      <c r="H3967" s="38">
        <f>SUM(G3967:G3973)</f>
        <v>111.88545199999999</v>
      </c>
      <c r="I3967" s="39"/>
      <c r="J3967" s="152">
        <v>0</v>
      </c>
      <c r="L3967" s="215">
        <v>0.53</v>
      </c>
      <c r="M3967" s="53">
        <v>44.734131999999995</v>
      </c>
      <c r="N3967" s="53">
        <f t="shared" si="381"/>
        <v>23.70908996</v>
      </c>
      <c r="O3967" s="38">
        <f>SUM(N3967:N3973)</f>
        <v>95.773946911999985</v>
      </c>
      <c r="P3967" s="36" t="str">
        <f t="shared" si="376"/>
        <v/>
      </c>
      <c r="Q3967" s="216">
        <f t="shared" si="377"/>
        <v>0.14400000000000002</v>
      </c>
      <c r="R3967" s="216">
        <f t="shared" si="378"/>
        <v>0.14399999999999991</v>
      </c>
      <c r="S3967" s="217">
        <f t="shared" si="379"/>
        <v>0.14400000000000002</v>
      </c>
    </row>
    <row r="3968" spans="1:19" ht="39" hidden="1" thickBot="1" x14ac:dyDescent="0.3">
      <c r="A3968" s="257"/>
      <c r="B3968" s="260"/>
      <c r="C3968" s="35" t="s">
        <v>5548</v>
      </c>
      <c r="D3968" s="35" t="s">
        <v>861</v>
      </c>
      <c r="E3968" s="36">
        <v>1.05</v>
      </c>
      <c r="F3968" s="53" t="s">
        <v>416</v>
      </c>
      <c r="G3968" s="53" t="str">
        <f t="shared" si="380"/>
        <v/>
      </c>
      <c r="H3968" s="72"/>
      <c r="I3968" s="73"/>
      <c r="J3968" s="152">
        <v>0</v>
      </c>
      <c r="L3968" s="215">
        <v>1.05</v>
      </c>
      <c r="M3968" s="53"/>
      <c r="N3968" s="53" t="str">
        <f t="shared" si="381"/>
        <v/>
      </c>
      <c r="O3968" s="72"/>
      <c r="P3968" s="36" t="str">
        <f t="shared" si="376"/>
        <v/>
      </c>
      <c r="Q3968" s="216" t="str">
        <f t="shared" si="377"/>
        <v/>
      </c>
      <c r="R3968" s="216" t="str">
        <f t="shared" si="378"/>
        <v/>
      </c>
      <c r="S3968" s="217" t="str">
        <f t="shared" si="379"/>
        <v/>
      </c>
    </row>
    <row r="3969" spans="1:19" ht="15.75" hidden="1" thickBot="1" x14ac:dyDescent="0.3">
      <c r="A3969" s="257"/>
      <c r="B3969" s="260"/>
      <c r="C3969" s="35" t="s">
        <v>7988</v>
      </c>
      <c r="D3969" s="35" t="s">
        <v>773</v>
      </c>
      <c r="E3969" s="36">
        <v>0.97</v>
      </c>
      <c r="F3969" s="53">
        <v>2.0710000000000002</v>
      </c>
      <c r="G3969" s="53">
        <f t="shared" si="380"/>
        <v>2.0088699999999999</v>
      </c>
      <c r="H3969" s="72"/>
      <c r="I3969" s="73"/>
      <c r="J3969" s="152">
        <v>0</v>
      </c>
      <c r="L3969" s="215">
        <v>0.97</v>
      </c>
      <c r="M3969" s="53">
        <v>1.7727760000000001</v>
      </c>
      <c r="N3969" s="53">
        <f t="shared" si="381"/>
        <v>1.7195927200000001</v>
      </c>
      <c r="O3969" s="72"/>
      <c r="P3969" s="36" t="str">
        <f t="shared" si="376"/>
        <v/>
      </c>
      <c r="Q3969" s="216">
        <f t="shared" si="377"/>
        <v>0.14400000000000002</v>
      </c>
      <c r="R3969" s="216">
        <f t="shared" si="378"/>
        <v>0.14399999999999991</v>
      </c>
      <c r="S3969" s="217" t="str">
        <f t="shared" si="379"/>
        <v/>
      </c>
    </row>
    <row r="3970" spans="1:19" ht="15.75" hidden="1" thickBot="1" x14ac:dyDescent="0.3">
      <c r="A3970" s="257"/>
      <c r="B3970" s="260"/>
      <c r="C3970" s="35" t="s">
        <v>2906</v>
      </c>
      <c r="D3970" s="35" t="s">
        <v>583</v>
      </c>
      <c r="E3970" s="36">
        <v>1.405</v>
      </c>
      <c r="F3970" s="53">
        <v>27.036999999999999</v>
      </c>
      <c r="G3970" s="53">
        <f t="shared" si="380"/>
        <v>37.986984999999997</v>
      </c>
      <c r="H3970" s="72"/>
      <c r="I3970" s="73"/>
      <c r="J3970" s="152">
        <v>0</v>
      </c>
      <c r="L3970" s="215">
        <v>1.405</v>
      </c>
      <c r="M3970" s="53">
        <v>23.143671999999999</v>
      </c>
      <c r="N3970" s="53">
        <f t="shared" si="381"/>
        <v>32.516859159999996</v>
      </c>
      <c r="O3970" s="72"/>
      <c r="P3970" s="36" t="str">
        <f t="shared" si="376"/>
        <v/>
      </c>
      <c r="Q3970" s="216">
        <f t="shared" si="377"/>
        <v>0.14400000000000002</v>
      </c>
      <c r="R3970" s="216">
        <f t="shared" si="378"/>
        <v>0.14400000000000002</v>
      </c>
      <c r="S3970" s="217" t="str">
        <f t="shared" si="379"/>
        <v/>
      </c>
    </row>
    <row r="3971" spans="1:19" ht="15.75" hidden="1" thickBot="1" x14ac:dyDescent="0.3">
      <c r="A3971" s="257"/>
      <c r="B3971" s="260"/>
      <c r="C3971" s="35" t="s">
        <v>584</v>
      </c>
      <c r="D3971" s="35" t="s">
        <v>583</v>
      </c>
      <c r="E3971" s="36">
        <v>0.70199999999999996</v>
      </c>
      <c r="F3971" s="53">
        <v>20.225499999999997</v>
      </c>
      <c r="G3971" s="53">
        <f t="shared" si="380"/>
        <v>14.198300999999997</v>
      </c>
      <c r="H3971" s="72"/>
      <c r="I3971" s="73"/>
      <c r="J3971" s="152">
        <v>0</v>
      </c>
      <c r="L3971" s="215">
        <v>0.70199999999999996</v>
      </c>
      <c r="M3971" s="53">
        <v>17.313027999999996</v>
      </c>
      <c r="N3971" s="53">
        <f t="shared" si="381"/>
        <v>12.153745655999996</v>
      </c>
      <c r="O3971" s="72"/>
      <c r="P3971" s="36" t="str">
        <f t="shared" si="376"/>
        <v/>
      </c>
      <c r="Q3971" s="216">
        <f t="shared" si="377"/>
        <v>0.14400000000000013</v>
      </c>
      <c r="R3971" s="216">
        <f t="shared" si="378"/>
        <v>0.14400000000000013</v>
      </c>
      <c r="S3971" s="217" t="str">
        <f t="shared" si="379"/>
        <v/>
      </c>
    </row>
    <row r="3972" spans="1:19" ht="26.25" hidden="1" thickBot="1" x14ac:dyDescent="0.3">
      <c r="A3972" s="257"/>
      <c r="B3972" s="260"/>
      <c r="C3972" s="35" t="s">
        <v>1013</v>
      </c>
      <c r="D3972" s="35" t="s">
        <v>813</v>
      </c>
      <c r="E3972" s="36">
        <v>8.8999999999999996E-2</v>
      </c>
      <c r="F3972" s="53">
        <v>22.210999999999999</v>
      </c>
      <c r="G3972" s="53">
        <f t="shared" si="380"/>
        <v>1.9767789999999998</v>
      </c>
      <c r="H3972" s="72"/>
      <c r="I3972" s="73"/>
      <c r="J3972" s="152">
        <v>0</v>
      </c>
      <c r="L3972" s="215">
        <v>8.8999999999999996E-2</v>
      </c>
      <c r="M3972" s="53">
        <v>19.012615999999998</v>
      </c>
      <c r="N3972" s="53">
        <f t="shared" si="381"/>
        <v>1.6921228239999997</v>
      </c>
      <c r="O3972" s="72"/>
      <c r="P3972" s="36" t="str">
        <f t="shared" si="376"/>
        <v/>
      </c>
      <c r="Q3972" s="216">
        <f t="shared" si="377"/>
        <v>0.14400000000000002</v>
      </c>
      <c r="R3972" s="216">
        <f t="shared" si="378"/>
        <v>0.14400000000000013</v>
      </c>
      <c r="S3972" s="217" t="str">
        <f t="shared" si="379"/>
        <v/>
      </c>
    </row>
    <row r="3973" spans="1:19" ht="26.25" hidden="1" thickBot="1" x14ac:dyDescent="0.3">
      <c r="A3973" s="257"/>
      <c r="B3973" s="260"/>
      <c r="C3973" s="35" t="s">
        <v>1014</v>
      </c>
      <c r="D3973" s="35" t="s">
        <v>815</v>
      </c>
      <c r="E3973" s="36">
        <v>1.3160000000000001</v>
      </c>
      <c r="F3973" s="53">
        <v>21.2895</v>
      </c>
      <c r="G3973" s="53">
        <f t="shared" si="380"/>
        <v>28.016982000000002</v>
      </c>
      <c r="H3973" s="72"/>
      <c r="I3973" s="73"/>
      <c r="J3973" s="152">
        <v>0</v>
      </c>
      <c r="L3973" s="215">
        <v>1.3160000000000001</v>
      </c>
      <c r="M3973" s="53">
        <v>18.223812000000002</v>
      </c>
      <c r="N3973" s="53">
        <f t="shared" si="381"/>
        <v>23.982536592000002</v>
      </c>
      <c r="O3973" s="72"/>
      <c r="P3973" s="36" t="str">
        <f t="shared" si="376"/>
        <v/>
      </c>
      <c r="Q3973" s="216">
        <f t="shared" si="377"/>
        <v>0.14399999999999991</v>
      </c>
      <c r="R3973" s="216">
        <f t="shared" si="378"/>
        <v>0.14400000000000002</v>
      </c>
      <c r="S3973" s="217" t="str">
        <f t="shared" si="379"/>
        <v/>
      </c>
    </row>
    <row r="3974" spans="1:19" ht="15.75" hidden="1" thickBot="1" x14ac:dyDescent="0.3">
      <c r="A3974" s="257"/>
      <c r="B3974" s="260"/>
      <c r="C3974" s="35"/>
      <c r="D3974" s="35"/>
      <c r="E3974" s="36"/>
      <c r="F3974" s="53" t="s">
        <v>416</v>
      </c>
      <c r="G3974" s="53" t="str">
        <f t="shared" si="380"/>
        <v/>
      </c>
      <c r="H3974" s="72"/>
      <c r="I3974" s="73"/>
      <c r="J3974" s="152">
        <v>0</v>
      </c>
      <c r="L3974" s="215"/>
      <c r="M3974" s="53"/>
      <c r="N3974" s="53" t="str">
        <f t="shared" si="381"/>
        <v/>
      </c>
      <c r="O3974" s="72"/>
      <c r="P3974" s="36" t="str">
        <f t="shared" si="376"/>
        <v/>
      </c>
      <c r="Q3974" s="216" t="str">
        <f t="shared" si="377"/>
        <v/>
      </c>
      <c r="R3974" s="216" t="str">
        <f t="shared" si="378"/>
        <v/>
      </c>
      <c r="S3974" s="217" t="str">
        <f t="shared" si="379"/>
        <v/>
      </c>
    </row>
    <row r="3975" spans="1:19" ht="15.75" hidden="1" thickBot="1" x14ac:dyDescent="0.3">
      <c r="A3975" s="256" t="s">
        <v>1029</v>
      </c>
      <c r="B3975" s="259" t="str">
        <f>INDEX(Orçamentária!A:B,MATCH(Composições!A3975,Orçamentária!A:A,0),2)</f>
        <v>Tampa em ferro fundido 20x20 cm</v>
      </c>
      <c r="C3975" s="40"/>
      <c r="D3975" s="25" t="s">
        <v>16</v>
      </c>
      <c r="E3975" s="26"/>
      <c r="F3975" s="48" t="s">
        <v>416</v>
      </c>
      <c r="G3975" s="27" t="str">
        <f t="shared" si="380"/>
        <v/>
      </c>
      <c r="H3975" s="28"/>
      <c r="I3975" s="29"/>
      <c r="J3975" s="152">
        <v>0</v>
      </c>
      <c r="L3975" s="218"/>
      <c r="M3975" s="48"/>
      <c r="N3975" s="27" t="str">
        <f t="shared" si="381"/>
        <v/>
      </c>
      <c r="O3975" s="28"/>
      <c r="P3975" s="36" t="str">
        <f t="shared" si="376"/>
        <v/>
      </c>
      <c r="Q3975" s="216" t="str">
        <f t="shared" si="377"/>
        <v/>
      </c>
      <c r="R3975" s="216" t="str">
        <f t="shared" si="378"/>
        <v/>
      </c>
      <c r="S3975" s="217" t="str">
        <f t="shared" si="379"/>
        <v/>
      </c>
    </row>
    <row r="3976" spans="1:19" ht="15.75" hidden="1" thickBot="1" x14ac:dyDescent="0.3">
      <c r="A3976" s="257"/>
      <c r="B3976" s="260"/>
      <c r="C3976" s="31"/>
      <c r="D3976" s="31"/>
      <c r="E3976" s="32"/>
      <c r="F3976" s="53" t="s">
        <v>416</v>
      </c>
      <c r="G3976" s="53" t="str">
        <f t="shared" si="380"/>
        <v/>
      </c>
      <c r="H3976" s="72"/>
      <c r="I3976" s="73"/>
      <c r="J3976" s="152">
        <v>0</v>
      </c>
      <c r="L3976" s="219"/>
      <c r="M3976" s="53"/>
      <c r="N3976" s="53" t="str">
        <f t="shared" si="381"/>
        <v/>
      </c>
      <c r="O3976" s="72"/>
      <c r="P3976" s="36" t="str">
        <f t="shared" ref="P3976:P4039" si="382">IF(ISBLANK(L3976),"",IF($E3976&lt;&gt;L3976,"SIM",""))</f>
        <v/>
      </c>
      <c r="Q3976" s="216" t="str">
        <f t="shared" ref="Q3976:Q4039" si="383">IF(M3976="","",1-M3976/$F3976)</f>
        <v/>
      </c>
      <c r="R3976" s="216" t="str">
        <f t="shared" ref="R3976:R4039" si="384">IF(N3976="","",1-N3976/$G3976)</f>
        <v/>
      </c>
      <c r="S3976" s="217" t="str">
        <f t="shared" ref="S3976:S4039" si="385">IF(O3976="","",1-O3976/$H3976)</f>
        <v/>
      </c>
    </row>
    <row r="3977" spans="1:19" ht="26.25" hidden="1" thickBot="1" x14ac:dyDescent="0.3">
      <c r="A3977" s="257"/>
      <c r="B3977" s="260"/>
      <c r="C3977" s="35" t="s">
        <v>1030</v>
      </c>
      <c r="D3977" s="35" t="s">
        <v>213</v>
      </c>
      <c r="E3977" s="36">
        <v>1</v>
      </c>
      <c r="F3977" s="53">
        <v>94.847999999999999</v>
      </c>
      <c r="G3977" s="53">
        <f t="shared" si="380"/>
        <v>94.847999999999999</v>
      </c>
      <c r="H3977" s="38">
        <f>SUM(G3977:G3980)</f>
        <v>141.17421341458939</v>
      </c>
      <c r="I3977" s="39"/>
      <c r="J3977" s="152">
        <v>0</v>
      </c>
      <c r="L3977" s="215">
        <v>1</v>
      </c>
      <c r="M3977" s="53">
        <v>81.189887999999996</v>
      </c>
      <c r="N3977" s="53">
        <f t="shared" si="381"/>
        <v>81.189887999999996</v>
      </c>
      <c r="O3977" s="38">
        <f>SUM(N3977:N3980)</f>
        <v>120.84512668288852</v>
      </c>
      <c r="P3977" s="36" t="str">
        <f t="shared" si="382"/>
        <v/>
      </c>
      <c r="Q3977" s="216">
        <f t="shared" si="383"/>
        <v>0.14400000000000002</v>
      </c>
      <c r="R3977" s="216">
        <f t="shared" si="384"/>
        <v>0.14400000000000002</v>
      </c>
      <c r="S3977" s="217">
        <f t="shared" si="385"/>
        <v>0.14400000000000002</v>
      </c>
    </row>
    <row r="3978" spans="1:19" ht="26.25" hidden="1" thickBot="1" x14ac:dyDescent="0.3">
      <c r="A3978" s="257"/>
      <c r="B3978" s="260"/>
      <c r="C3978" s="35" t="s">
        <v>2898</v>
      </c>
      <c r="D3978" s="46" t="s">
        <v>87</v>
      </c>
      <c r="E3978" s="36">
        <v>4.4000000000000003E-3</v>
      </c>
      <c r="F3978" s="53">
        <v>657.09798058849992</v>
      </c>
      <c r="G3978" s="53">
        <f t="shared" si="380"/>
        <v>2.8912311145893996</v>
      </c>
      <c r="H3978" s="72"/>
      <c r="I3978" s="73"/>
      <c r="J3978" s="152">
        <v>0</v>
      </c>
      <c r="L3978" s="215">
        <v>4.4000000000000003E-3</v>
      </c>
      <c r="M3978" s="53">
        <v>562.47587138375593</v>
      </c>
      <c r="N3978" s="53">
        <f t="shared" si="381"/>
        <v>2.474893834088526</v>
      </c>
      <c r="O3978" s="72"/>
      <c r="P3978" s="36" t="str">
        <f t="shared" si="382"/>
        <v/>
      </c>
      <c r="Q3978" s="216">
        <f t="shared" si="383"/>
        <v>0.14400000000000002</v>
      </c>
      <c r="R3978" s="216">
        <f t="shared" si="384"/>
        <v>0.14400000000000002</v>
      </c>
      <c r="S3978" s="217" t="str">
        <f t="shared" si="385"/>
        <v/>
      </c>
    </row>
    <row r="3979" spans="1:19" ht="15.75" hidden="1" thickBot="1" x14ac:dyDescent="0.3">
      <c r="A3979" s="257"/>
      <c r="B3979" s="260"/>
      <c r="C3979" s="35" t="s">
        <v>591</v>
      </c>
      <c r="D3979" s="35" t="s">
        <v>583</v>
      </c>
      <c r="E3979" s="36">
        <v>1.0088999999999999</v>
      </c>
      <c r="F3979" s="53">
        <v>27.160499999999999</v>
      </c>
      <c r="G3979" s="53">
        <f t="shared" si="380"/>
        <v>27.402228449999996</v>
      </c>
      <c r="H3979" s="72"/>
      <c r="I3979" s="73"/>
      <c r="J3979" s="152">
        <v>0</v>
      </c>
      <c r="L3979" s="215">
        <v>1.0088999999999999</v>
      </c>
      <c r="M3979" s="53">
        <v>23.249388</v>
      </c>
      <c r="N3979" s="53">
        <f t="shared" si="381"/>
        <v>23.456307553199998</v>
      </c>
      <c r="O3979" s="72"/>
      <c r="P3979" s="36" t="str">
        <f t="shared" si="382"/>
        <v/>
      </c>
      <c r="Q3979" s="216">
        <f t="shared" si="383"/>
        <v>0.14400000000000002</v>
      </c>
      <c r="R3979" s="216">
        <f t="shared" si="384"/>
        <v>0.14399999999999991</v>
      </c>
      <c r="S3979" s="217" t="str">
        <f t="shared" si="385"/>
        <v/>
      </c>
    </row>
    <row r="3980" spans="1:19" ht="15.75" hidden="1" thickBot="1" x14ac:dyDescent="0.3">
      <c r="A3980" s="257"/>
      <c r="B3980" s="260"/>
      <c r="C3980" s="35" t="s">
        <v>584</v>
      </c>
      <c r="D3980" s="35" t="s">
        <v>583</v>
      </c>
      <c r="E3980" s="36">
        <v>0.79269999999999996</v>
      </c>
      <c r="F3980" s="53">
        <v>20.225499999999997</v>
      </c>
      <c r="G3980" s="53">
        <f t="shared" si="380"/>
        <v>16.032753849999995</v>
      </c>
      <c r="H3980" s="72"/>
      <c r="I3980" s="73"/>
      <c r="J3980" s="152">
        <v>0</v>
      </c>
      <c r="L3980" s="215">
        <v>0.79269999999999996</v>
      </c>
      <c r="M3980" s="53">
        <v>17.313027999999996</v>
      </c>
      <c r="N3980" s="53">
        <f t="shared" si="381"/>
        <v>13.724037295599995</v>
      </c>
      <c r="O3980" s="72"/>
      <c r="P3980" s="36" t="str">
        <f t="shared" si="382"/>
        <v/>
      </c>
      <c r="Q3980" s="216">
        <f t="shared" si="383"/>
        <v>0.14400000000000013</v>
      </c>
      <c r="R3980" s="216">
        <f t="shared" si="384"/>
        <v>0.14400000000000002</v>
      </c>
      <c r="S3980" s="217" t="str">
        <f t="shared" si="385"/>
        <v/>
      </c>
    </row>
    <row r="3981" spans="1:19" ht="15.75" hidden="1" thickBot="1" x14ac:dyDescent="0.3">
      <c r="A3981" s="257"/>
      <c r="B3981" s="260"/>
      <c r="C3981" s="54"/>
      <c r="D3981" s="54"/>
      <c r="E3981" s="65"/>
      <c r="F3981" s="75" t="s">
        <v>416</v>
      </c>
      <c r="G3981" s="75" t="str">
        <f t="shared" si="380"/>
        <v/>
      </c>
      <c r="H3981" s="76"/>
      <c r="I3981" s="73"/>
      <c r="J3981" s="152">
        <v>0</v>
      </c>
      <c r="L3981" s="222"/>
      <c r="M3981" s="75"/>
      <c r="N3981" s="75" t="str">
        <f t="shared" si="381"/>
        <v/>
      </c>
      <c r="O3981" s="76"/>
      <c r="P3981" s="36" t="str">
        <f t="shared" si="382"/>
        <v/>
      </c>
      <c r="Q3981" s="216" t="str">
        <f t="shared" si="383"/>
        <v/>
      </c>
      <c r="R3981" s="216" t="str">
        <f t="shared" si="384"/>
        <v/>
      </c>
      <c r="S3981" s="217" t="str">
        <f t="shared" si="385"/>
        <v/>
      </c>
    </row>
    <row r="3982" spans="1:19" ht="15.75" hidden="1" thickBot="1" x14ac:dyDescent="0.3">
      <c r="A3982" s="256" t="s">
        <v>1031</v>
      </c>
      <c r="B3982" s="259" t="str">
        <f>INDEX(Orçamentária!A:B,MATCH(Composições!A3982,Orçamentária!A:A,0),2)</f>
        <v>Cerâmica para revestimento de superfícies internas ou externas – Linha GAIL</v>
      </c>
      <c r="C3982" s="40"/>
      <c r="D3982" s="25" t="s">
        <v>70</v>
      </c>
      <c r="E3982" s="26"/>
      <c r="F3982" s="48" t="s">
        <v>416</v>
      </c>
      <c r="G3982" s="27" t="str">
        <f t="shared" si="380"/>
        <v/>
      </c>
      <c r="H3982" s="28"/>
      <c r="I3982" s="29"/>
      <c r="J3982" s="152">
        <v>0</v>
      </c>
      <c r="L3982" s="218"/>
      <c r="M3982" s="48"/>
      <c r="N3982" s="27" t="str">
        <f t="shared" si="381"/>
        <v/>
      </c>
      <c r="O3982" s="28"/>
      <c r="P3982" s="36" t="str">
        <f t="shared" si="382"/>
        <v/>
      </c>
      <c r="Q3982" s="216" t="str">
        <f t="shared" si="383"/>
        <v/>
      </c>
      <c r="R3982" s="216" t="str">
        <f t="shared" si="384"/>
        <v/>
      </c>
      <c r="S3982" s="217" t="str">
        <f t="shared" si="385"/>
        <v/>
      </c>
    </row>
    <row r="3983" spans="1:19" ht="15.75" hidden="1" thickBot="1" x14ac:dyDescent="0.3">
      <c r="A3983" s="257"/>
      <c r="B3983" s="260"/>
      <c r="C3983" s="31"/>
      <c r="D3983" s="31"/>
      <c r="E3983" s="32"/>
      <c r="F3983" s="53" t="s">
        <v>416</v>
      </c>
      <c r="G3983" s="53" t="str">
        <f t="shared" si="380"/>
        <v/>
      </c>
      <c r="H3983" s="72"/>
      <c r="I3983" s="73"/>
      <c r="J3983" s="152">
        <v>0</v>
      </c>
      <c r="L3983" s="219"/>
      <c r="M3983" s="53"/>
      <c r="N3983" s="53" t="str">
        <f t="shared" si="381"/>
        <v/>
      </c>
      <c r="O3983" s="72"/>
      <c r="P3983" s="36" t="str">
        <f t="shared" si="382"/>
        <v/>
      </c>
      <c r="Q3983" s="216" t="str">
        <f t="shared" si="383"/>
        <v/>
      </c>
      <c r="R3983" s="216" t="str">
        <f t="shared" si="384"/>
        <v/>
      </c>
      <c r="S3983" s="217" t="str">
        <f t="shared" si="385"/>
        <v/>
      </c>
    </row>
    <row r="3984" spans="1:19" ht="26.25" hidden="1" thickBot="1" x14ac:dyDescent="0.3">
      <c r="A3984" s="257"/>
      <c r="B3984" s="260"/>
      <c r="C3984" s="35" t="s">
        <v>1032</v>
      </c>
      <c r="D3984" s="35" t="s">
        <v>70</v>
      </c>
      <c r="E3984" s="36">
        <v>1.08</v>
      </c>
      <c r="F3984" s="53" t="s">
        <v>416</v>
      </c>
      <c r="G3984" s="53" t="str">
        <f t="shared" si="380"/>
        <v/>
      </c>
      <c r="H3984" s="38">
        <f>SUM(G3984:G3988)</f>
        <v>32.594309999999993</v>
      </c>
      <c r="I3984" s="39"/>
      <c r="J3984" s="152">
        <v>0</v>
      </c>
      <c r="L3984" s="215">
        <v>1.08</v>
      </c>
      <c r="M3984" s="53"/>
      <c r="N3984" s="53" t="str">
        <f t="shared" si="381"/>
        <v/>
      </c>
      <c r="O3984" s="38">
        <f>SUM(N3984:N3988)</f>
        <v>27.900729359999996</v>
      </c>
      <c r="P3984" s="36" t="str">
        <f t="shared" si="382"/>
        <v/>
      </c>
      <c r="Q3984" s="216" t="str">
        <f t="shared" si="383"/>
        <v/>
      </c>
      <c r="R3984" s="216" t="str">
        <f t="shared" si="384"/>
        <v/>
      </c>
      <c r="S3984" s="217">
        <f t="shared" si="385"/>
        <v>0.14399999999999991</v>
      </c>
    </row>
    <row r="3985" spans="1:19" ht="15.75" hidden="1" thickBot="1" x14ac:dyDescent="0.3">
      <c r="A3985" s="257"/>
      <c r="B3985" s="260"/>
      <c r="C3985" s="35" t="s">
        <v>7986</v>
      </c>
      <c r="D3985" s="35" t="s">
        <v>773</v>
      </c>
      <c r="E3985" s="36">
        <v>6.14</v>
      </c>
      <c r="F3985" s="53">
        <v>1.0924999999999998</v>
      </c>
      <c r="G3985" s="53">
        <f t="shared" si="380"/>
        <v>6.7079499999999985</v>
      </c>
      <c r="H3985" s="72"/>
      <c r="I3985" s="73"/>
      <c r="J3985" s="152">
        <v>0</v>
      </c>
      <c r="L3985" s="215">
        <v>6.14</v>
      </c>
      <c r="M3985" s="53">
        <v>0.9351799999999999</v>
      </c>
      <c r="N3985" s="53">
        <f t="shared" si="381"/>
        <v>5.7420051999999995</v>
      </c>
      <c r="O3985" s="72"/>
      <c r="P3985" s="36" t="str">
        <f t="shared" si="382"/>
        <v/>
      </c>
      <c r="Q3985" s="216">
        <f t="shared" si="383"/>
        <v>0.14399999999999991</v>
      </c>
      <c r="R3985" s="216">
        <f t="shared" si="384"/>
        <v>0.14399999999999991</v>
      </c>
      <c r="S3985" s="217" t="str">
        <f t="shared" si="385"/>
        <v/>
      </c>
    </row>
    <row r="3986" spans="1:19" ht="15.75" hidden="1" thickBot="1" x14ac:dyDescent="0.3">
      <c r="A3986" s="257"/>
      <c r="B3986" s="260"/>
      <c r="C3986" s="35" t="s">
        <v>8367</v>
      </c>
      <c r="D3986" s="35" t="s">
        <v>773</v>
      </c>
      <c r="E3986" s="36">
        <v>0.22</v>
      </c>
      <c r="F3986" s="53">
        <v>3.4579999999999997</v>
      </c>
      <c r="G3986" s="53">
        <f t="shared" si="380"/>
        <v>0.76075999999999999</v>
      </c>
      <c r="H3986" s="72"/>
      <c r="I3986" s="73"/>
      <c r="J3986" s="152">
        <v>0</v>
      </c>
      <c r="L3986" s="215">
        <v>0.22</v>
      </c>
      <c r="M3986" s="53">
        <v>2.9600479999999996</v>
      </c>
      <c r="N3986" s="53">
        <f t="shared" si="381"/>
        <v>0.65121055999999988</v>
      </c>
      <c r="O3986" s="72"/>
      <c r="P3986" s="36" t="str">
        <f t="shared" si="382"/>
        <v/>
      </c>
      <c r="Q3986" s="216">
        <f t="shared" si="383"/>
        <v>0.14400000000000002</v>
      </c>
      <c r="R3986" s="216">
        <f t="shared" si="384"/>
        <v>0.14400000000000013</v>
      </c>
      <c r="S3986" s="217" t="str">
        <f t="shared" si="385"/>
        <v/>
      </c>
    </row>
    <row r="3987" spans="1:19" ht="15.75" hidden="1" thickBot="1" x14ac:dyDescent="0.3">
      <c r="A3987" s="257"/>
      <c r="B3987" s="260"/>
      <c r="C3987" s="35" t="s">
        <v>1079</v>
      </c>
      <c r="D3987" s="35" t="s">
        <v>583</v>
      </c>
      <c r="E3987" s="36">
        <v>0.66</v>
      </c>
      <c r="F3987" s="53">
        <v>27.036999999999999</v>
      </c>
      <c r="G3987" s="53">
        <f t="shared" si="380"/>
        <v>17.84442</v>
      </c>
      <c r="H3987" s="72"/>
      <c r="I3987" s="73"/>
      <c r="J3987" s="152">
        <v>0</v>
      </c>
      <c r="L3987" s="215">
        <v>0.66</v>
      </c>
      <c r="M3987" s="53">
        <v>23.143671999999999</v>
      </c>
      <c r="N3987" s="53">
        <f t="shared" si="381"/>
        <v>15.27482352</v>
      </c>
      <c r="O3987" s="72"/>
      <c r="P3987" s="36" t="str">
        <f t="shared" si="382"/>
        <v/>
      </c>
      <c r="Q3987" s="216">
        <f t="shared" si="383"/>
        <v>0.14400000000000002</v>
      </c>
      <c r="R3987" s="216">
        <f t="shared" si="384"/>
        <v>0.14400000000000002</v>
      </c>
      <c r="S3987" s="217" t="str">
        <f t="shared" si="385"/>
        <v/>
      </c>
    </row>
    <row r="3988" spans="1:19" ht="15.75" hidden="1" thickBot="1" x14ac:dyDescent="0.3">
      <c r="A3988" s="257"/>
      <c r="B3988" s="260"/>
      <c r="C3988" s="35" t="s">
        <v>584</v>
      </c>
      <c r="D3988" s="35" t="s">
        <v>583</v>
      </c>
      <c r="E3988" s="36">
        <v>0.36</v>
      </c>
      <c r="F3988" s="53">
        <v>20.225499999999997</v>
      </c>
      <c r="G3988" s="53">
        <f t="shared" si="380"/>
        <v>7.2811799999999982</v>
      </c>
      <c r="H3988" s="72"/>
      <c r="I3988" s="73"/>
      <c r="J3988" s="152">
        <v>0</v>
      </c>
      <c r="L3988" s="215">
        <v>0.36</v>
      </c>
      <c r="M3988" s="53">
        <v>17.313027999999996</v>
      </c>
      <c r="N3988" s="53">
        <f t="shared" si="381"/>
        <v>6.2326900799999985</v>
      </c>
      <c r="O3988" s="72"/>
      <c r="P3988" s="36" t="str">
        <f t="shared" si="382"/>
        <v/>
      </c>
      <c r="Q3988" s="216">
        <f t="shared" si="383"/>
        <v>0.14400000000000013</v>
      </c>
      <c r="R3988" s="216">
        <f t="shared" si="384"/>
        <v>0.14400000000000002</v>
      </c>
      <c r="S3988" s="217" t="str">
        <f t="shared" si="385"/>
        <v/>
      </c>
    </row>
    <row r="3989" spans="1:19" ht="15.75" hidden="1" thickBot="1" x14ac:dyDescent="0.3">
      <c r="A3989" s="257"/>
      <c r="B3989" s="260"/>
      <c r="C3989" s="35"/>
      <c r="D3989" s="46"/>
      <c r="E3989" s="36"/>
      <c r="F3989" s="53" t="s">
        <v>416</v>
      </c>
      <c r="G3989" s="53" t="str">
        <f t="shared" si="380"/>
        <v/>
      </c>
      <c r="H3989" s="72"/>
      <c r="I3989" s="73"/>
      <c r="J3989" s="152">
        <v>0</v>
      </c>
      <c r="L3989" s="215"/>
      <c r="M3989" s="53"/>
      <c r="N3989" s="53" t="str">
        <f t="shared" si="381"/>
        <v/>
      </c>
      <c r="O3989" s="72"/>
      <c r="P3989" s="36" t="str">
        <f t="shared" si="382"/>
        <v/>
      </c>
      <c r="Q3989" s="216" t="str">
        <f t="shared" si="383"/>
        <v/>
      </c>
      <c r="R3989" s="216" t="str">
        <f t="shared" si="384"/>
        <v/>
      </c>
      <c r="S3989" s="217" t="str">
        <f t="shared" si="385"/>
        <v/>
      </c>
    </row>
    <row r="3990" spans="1:19" ht="15.75" thickBot="1" x14ac:dyDescent="0.3">
      <c r="A3990" s="256" t="s">
        <v>1033</v>
      </c>
      <c r="B3990" s="259" t="str">
        <f>INDEX(Orçamentária!A:B,MATCH(Composições!A3990,Orçamentária!A:A,0),2)</f>
        <v>Aterro de vala com areia média e compactação mecanizada</v>
      </c>
      <c r="C3990" s="40"/>
      <c r="D3990" s="25" t="s">
        <v>80</v>
      </c>
      <c r="E3990" s="26"/>
      <c r="F3990" s="48" t="s">
        <v>416</v>
      </c>
      <c r="G3990" s="27" t="str">
        <f t="shared" si="380"/>
        <v/>
      </c>
      <c r="H3990" s="28"/>
      <c r="I3990" s="29"/>
      <c r="J3990" s="152">
        <v>12</v>
      </c>
      <c r="L3990" s="218"/>
      <c r="M3990" s="48"/>
      <c r="N3990" s="27" t="str">
        <f t="shared" si="381"/>
        <v/>
      </c>
      <c r="O3990" s="28"/>
      <c r="P3990" s="36" t="str">
        <f t="shared" si="382"/>
        <v/>
      </c>
      <c r="Q3990" s="216" t="str">
        <f t="shared" si="383"/>
        <v/>
      </c>
      <c r="R3990" s="216" t="str">
        <f t="shared" si="384"/>
        <v/>
      </c>
      <c r="S3990" s="217" t="str">
        <f t="shared" si="385"/>
        <v/>
      </c>
    </row>
    <row r="3991" spans="1:19" x14ac:dyDescent="0.25">
      <c r="A3991" s="257"/>
      <c r="B3991" s="260"/>
      <c r="C3991" s="31"/>
      <c r="D3991" s="31"/>
      <c r="E3991" s="32"/>
      <c r="F3991" s="53" t="s">
        <v>416</v>
      </c>
      <c r="G3991" s="53" t="str">
        <f t="shared" si="380"/>
        <v/>
      </c>
      <c r="H3991" s="72"/>
      <c r="I3991" s="73"/>
      <c r="J3991" s="152">
        <v>12</v>
      </c>
      <c r="L3991" s="219"/>
      <c r="M3991" s="53"/>
      <c r="N3991" s="53" t="str">
        <f t="shared" si="381"/>
        <v/>
      </c>
      <c r="O3991" s="72"/>
      <c r="P3991" s="36" t="str">
        <f t="shared" si="382"/>
        <v/>
      </c>
      <c r="Q3991" s="216" t="str">
        <f t="shared" si="383"/>
        <v/>
      </c>
      <c r="R3991" s="216" t="str">
        <f t="shared" si="384"/>
        <v/>
      </c>
      <c r="S3991" s="217" t="str">
        <f t="shared" si="385"/>
        <v/>
      </c>
    </row>
    <row r="3992" spans="1:19" ht="25.5" x14ac:dyDescent="0.25">
      <c r="A3992" s="257"/>
      <c r="B3992" s="260"/>
      <c r="C3992" s="35" t="s">
        <v>1034</v>
      </c>
      <c r="D3992" s="35" t="s">
        <v>87</v>
      </c>
      <c r="E3992" s="36">
        <v>1.25</v>
      </c>
      <c r="F3992" s="53">
        <v>101.16549999999999</v>
      </c>
      <c r="G3992" s="53">
        <f t="shared" si="380"/>
        <v>126.456875</v>
      </c>
      <c r="H3992" s="38">
        <f>SUM(G3992:G3999)</f>
        <v>231.20914274999996</v>
      </c>
      <c r="I3992" s="39"/>
      <c r="J3992" s="152">
        <v>12</v>
      </c>
      <c r="L3992" s="215">
        <v>1.25</v>
      </c>
      <c r="M3992" s="53">
        <v>86.597667999999999</v>
      </c>
      <c r="N3992" s="53">
        <f t="shared" si="381"/>
        <v>108.247085</v>
      </c>
      <c r="O3992" s="38">
        <f>SUM(N3992:N3999)</f>
        <v>197.91502619400001</v>
      </c>
      <c r="P3992" s="36" t="str">
        <f t="shared" si="382"/>
        <v/>
      </c>
      <c r="Q3992" s="216">
        <f t="shared" si="383"/>
        <v>0.14400000000000002</v>
      </c>
      <c r="R3992" s="216">
        <f t="shared" si="384"/>
        <v>0.14400000000000002</v>
      </c>
      <c r="S3992" s="217">
        <f t="shared" si="385"/>
        <v>0.14399999999999979</v>
      </c>
    </row>
    <row r="3993" spans="1:19" ht="51" x14ac:dyDescent="0.25">
      <c r="A3993" s="257"/>
      <c r="B3993" s="260"/>
      <c r="C3993" s="35" t="s">
        <v>818</v>
      </c>
      <c r="D3993" s="35" t="s">
        <v>813</v>
      </c>
      <c r="E3993" s="36">
        <v>6.0000000000000001E-3</v>
      </c>
      <c r="F3993" s="53">
        <v>294.57599999999996</v>
      </c>
      <c r="G3993" s="53">
        <f t="shared" si="380"/>
        <v>1.7674559999999999</v>
      </c>
      <c r="H3993" s="72"/>
      <c r="I3993" s="73"/>
      <c r="J3993" s="152">
        <v>12</v>
      </c>
      <c r="L3993" s="215">
        <v>6.0000000000000001E-3</v>
      </c>
      <c r="M3993" s="53">
        <v>252.15705599999998</v>
      </c>
      <c r="N3993" s="53">
        <f t="shared" si="381"/>
        <v>1.5129423359999998</v>
      </c>
      <c r="O3993" s="72"/>
      <c r="P3993" s="36" t="str">
        <f t="shared" si="382"/>
        <v/>
      </c>
      <c r="Q3993" s="216">
        <f t="shared" si="383"/>
        <v>0.14399999999999991</v>
      </c>
      <c r="R3993" s="216">
        <f t="shared" si="384"/>
        <v>0.14400000000000002</v>
      </c>
      <c r="S3993" s="217" t="str">
        <f t="shared" si="385"/>
        <v/>
      </c>
    </row>
    <row r="3994" spans="1:19" ht="51" x14ac:dyDescent="0.25">
      <c r="A3994" s="257"/>
      <c r="B3994" s="260"/>
      <c r="C3994" s="35" t="s">
        <v>819</v>
      </c>
      <c r="D3994" s="35" t="s">
        <v>815</v>
      </c>
      <c r="E3994" s="36">
        <v>3.0000000000000001E-3</v>
      </c>
      <c r="F3994" s="53">
        <v>60.363</v>
      </c>
      <c r="G3994" s="53">
        <f t="shared" si="380"/>
        <v>0.181089</v>
      </c>
      <c r="H3994" s="72"/>
      <c r="I3994" s="73"/>
      <c r="J3994" s="152">
        <v>12</v>
      </c>
      <c r="L3994" s="215">
        <v>3.0000000000000001E-3</v>
      </c>
      <c r="M3994" s="53">
        <v>51.670727999999997</v>
      </c>
      <c r="N3994" s="53">
        <f t="shared" si="381"/>
        <v>0.155012184</v>
      </c>
      <c r="O3994" s="72"/>
      <c r="P3994" s="36" t="str">
        <f t="shared" si="382"/>
        <v/>
      </c>
      <c r="Q3994" s="216">
        <f t="shared" si="383"/>
        <v>0.14400000000000002</v>
      </c>
      <c r="R3994" s="216">
        <f t="shared" si="384"/>
        <v>0.14400000000000002</v>
      </c>
      <c r="S3994" s="217" t="str">
        <f t="shared" si="385"/>
        <v/>
      </c>
    </row>
    <row r="3995" spans="1:19" x14ac:dyDescent="0.25">
      <c r="A3995" s="257"/>
      <c r="B3995" s="260"/>
      <c r="C3995" s="35" t="s">
        <v>584</v>
      </c>
      <c r="D3995" s="35" t="s">
        <v>583</v>
      </c>
      <c r="E3995" s="36">
        <v>0.65900000000000003</v>
      </c>
      <c r="F3995" s="53">
        <v>20.225499999999997</v>
      </c>
      <c r="G3995" s="53">
        <f t="shared" si="380"/>
        <v>13.328604499999999</v>
      </c>
      <c r="H3995" s="72"/>
      <c r="I3995" s="73"/>
      <c r="J3995" s="152">
        <v>12</v>
      </c>
      <c r="L3995" s="215">
        <v>0.65900000000000003</v>
      </c>
      <c r="M3995" s="53">
        <v>17.313027999999996</v>
      </c>
      <c r="N3995" s="53">
        <f t="shared" si="381"/>
        <v>11.409285451999997</v>
      </c>
      <c r="O3995" s="72"/>
      <c r="P3995" s="36" t="str">
        <f t="shared" si="382"/>
        <v/>
      </c>
      <c r="Q3995" s="216">
        <f t="shared" si="383"/>
        <v>0.14400000000000013</v>
      </c>
      <c r="R3995" s="216">
        <f t="shared" si="384"/>
        <v>0.14400000000000013</v>
      </c>
      <c r="S3995" s="217" t="str">
        <f t="shared" si="385"/>
        <v/>
      </c>
    </row>
    <row r="3996" spans="1:19" ht="25.5" x14ac:dyDescent="0.25">
      <c r="A3996" s="257"/>
      <c r="B3996" s="260"/>
      <c r="C3996" s="35" t="s">
        <v>812</v>
      </c>
      <c r="D3996" s="35" t="s">
        <v>813</v>
      </c>
      <c r="E3996" s="36">
        <v>0.27400000000000002</v>
      </c>
      <c r="F3996" s="53">
        <v>27.512</v>
      </c>
      <c r="G3996" s="53">
        <f t="shared" si="380"/>
        <v>7.5382880000000005</v>
      </c>
      <c r="H3996" s="72"/>
      <c r="I3996" s="73"/>
      <c r="J3996" s="152">
        <v>12</v>
      </c>
      <c r="L3996" s="215">
        <v>0.27400000000000002</v>
      </c>
      <c r="M3996" s="53">
        <v>23.550272</v>
      </c>
      <c r="N3996" s="53">
        <f t="shared" si="381"/>
        <v>6.4527745280000008</v>
      </c>
      <c r="O3996" s="72"/>
      <c r="P3996" s="36" t="str">
        <f t="shared" si="382"/>
        <v/>
      </c>
      <c r="Q3996" s="216">
        <f t="shared" si="383"/>
        <v>0.14400000000000002</v>
      </c>
      <c r="R3996" s="216">
        <f t="shared" si="384"/>
        <v>0.14399999999999991</v>
      </c>
      <c r="S3996" s="217" t="str">
        <f t="shared" si="385"/>
        <v/>
      </c>
    </row>
    <row r="3997" spans="1:19" ht="25.5" x14ac:dyDescent="0.25">
      <c r="A3997" s="257"/>
      <c r="B3997" s="260"/>
      <c r="C3997" s="35" t="s">
        <v>814</v>
      </c>
      <c r="D3997" s="35" t="s">
        <v>815</v>
      </c>
      <c r="E3997" s="36">
        <v>0.254</v>
      </c>
      <c r="F3997" s="53">
        <v>22.001999999999999</v>
      </c>
      <c r="G3997" s="53">
        <f t="shared" si="380"/>
        <v>5.588508</v>
      </c>
      <c r="H3997" s="72"/>
      <c r="I3997" s="73"/>
      <c r="J3997" s="152">
        <v>12</v>
      </c>
      <c r="L3997" s="215">
        <v>0.254</v>
      </c>
      <c r="M3997" s="53">
        <v>18.833711999999998</v>
      </c>
      <c r="N3997" s="53">
        <f t="shared" si="381"/>
        <v>4.7837628479999994</v>
      </c>
      <c r="O3997" s="72"/>
      <c r="P3997" s="36" t="str">
        <f t="shared" si="382"/>
        <v/>
      </c>
      <c r="Q3997" s="216">
        <f t="shared" si="383"/>
        <v>0.14400000000000002</v>
      </c>
      <c r="R3997" s="216">
        <f t="shared" si="384"/>
        <v>0.14400000000000013</v>
      </c>
      <c r="S3997" s="217" t="str">
        <f t="shared" si="385"/>
        <v/>
      </c>
    </row>
    <row r="3998" spans="1:19" ht="51" x14ac:dyDescent="0.25">
      <c r="A3998" s="257"/>
      <c r="B3998" s="260"/>
      <c r="C3998" s="35" t="s">
        <v>3071</v>
      </c>
      <c r="D3998" s="35" t="s">
        <v>80</v>
      </c>
      <c r="E3998" s="36">
        <f>1*E3992</f>
        <v>1.25</v>
      </c>
      <c r="F3998" s="33">
        <v>7.9257587999999988</v>
      </c>
      <c r="G3998" s="33">
        <f t="shared" si="380"/>
        <v>9.907198499999998</v>
      </c>
      <c r="H3998" s="34"/>
      <c r="I3998" s="30"/>
      <c r="J3998" s="152">
        <v>12</v>
      </c>
      <c r="L3998" s="215">
        <v>1.25</v>
      </c>
      <c r="M3998" s="33">
        <v>6.7844495327999992</v>
      </c>
      <c r="N3998" s="33">
        <f t="shared" si="381"/>
        <v>8.4805619159999992</v>
      </c>
      <c r="O3998" s="34"/>
      <c r="P3998" s="36" t="str">
        <f t="shared" si="382"/>
        <v/>
      </c>
      <c r="Q3998" s="216">
        <f t="shared" si="383"/>
        <v>0.14400000000000002</v>
      </c>
      <c r="R3998" s="216">
        <f t="shared" si="384"/>
        <v>0.14399999999999991</v>
      </c>
      <c r="S3998" s="217" t="str">
        <f t="shared" si="385"/>
        <v/>
      </c>
    </row>
    <row r="3999" spans="1:19" ht="38.25" x14ac:dyDescent="0.25">
      <c r="A3999" s="257"/>
      <c r="B3999" s="260"/>
      <c r="C3999" s="35" t="s">
        <v>88</v>
      </c>
      <c r="D3999" s="46" t="s">
        <v>89</v>
      </c>
      <c r="E3999" s="36">
        <f>E3992*20</f>
        <v>25</v>
      </c>
      <c r="F3999" s="53">
        <v>2.6576449499999995</v>
      </c>
      <c r="G3999" s="53">
        <f t="shared" si="380"/>
        <v>66.441123749999988</v>
      </c>
      <c r="H3999" s="72"/>
      <c r="I3999" s="73"/>
      <c r="J3999" s="152">
        <v>12</v>
      </c>
      <c r="L3999" s="215">
        <v>25</v>
      </c>
      <c r="M3999" s="53">
        <v>2.2749440771999998</v>
      </c>
      <c r="N3999" s="53">
        <f t="shared" si="381"/>
        <v>56.873601929999992</v>
      </c>
      <c r="O3999" s="72"/>
      <c r="P3999" s="36" t="str">
        <f t="shared" si="382"/>
        <v/>
      </c>
      <c r="Q3999" s="216">
        <f t="shared" si="383"/>
        <v>0.14399999999999991</v>
      </c>
      <c r="R3999" s="216">
        <f t="shared" si="384"/>
        <v>0.14400000000000002</v>
      </c>
      <c r="S3999" s="217" t="str">
        <f t="shared" si="385"/>
        <v/>
      </c>
    </row>
    <row r="4000" spans="1:19" x14ac:dyDescent="0.25">
      <c r="A4000" s="257"/>
      <c r="B4000" s="260"/>
      <c r="C4000" s="50"/>
      <c r="D4000" s="46"/>
      <c r="E4000" s="36"/>
      <c r="F4000" s="53" t="s">
        <v>416</v>
      </c>
      <c r="G4000" s="53" t="str">
        <f t="shared" si="380"/>
        <v/>
      </c>
      <c r="H4000" s="72"/>
      <c r="I4000" s="73"/>
      <c r="J4000" s="152">
        <v>12</v>
      </c>
      <c r="L4000" s="215"/>
      <c r="M4000" s="53"/>
      <c r="N4000" s="53" t="str">
        <f t="shared" si="381"/>
        <v/>
      </c>
      <c r="O4000" s="72"/>
      <c r="P4000" s="36" t="str">
        <f t="shared" si="382"/>
        <v/>
      </c>
      <c r="Q4000" s="216" t="str">
        <f t="shared" si="383"/>
        <v/>
      </c>
      <c r="R4000" s="216" t="str">
        <f t="shared" si="384"/>
        <v/>
      </c>
      <c r="S4000" s="217" t="str">
        <f t="shared" si="385"/>
        <v/>
      </c>
    </row>
    <row r="4001" spans="1:19" x14ac:dyDescent="0.25">
      <c r="A4001" s="257"/>
      <c r="B4001" s="260"/>
      <c r="C4001" s="47" t="s">
        <v>631</v>
      </c>
      <c r="D4001" s="46"/>
      <c r="E4001" s="36"/>
      <c r="F4001" s="53" t="s">
        <v>416</v>
      </c>
      <c r="G4001" s="53" t="str">
        <f t="shared" si="380"/>
        <v/>
      </c>
      <c r="H4001" s="72"/>
      <c r="I4001" s="73"/>
      <c r="J4001" s="152">
        <v>12</v>
      </c>
      <c r="L4001" s="215"/>
      <c r="M4001" s="53"/>
      <c r="N4001" s="53" t="str">
        <f t="shared" si="381"/>
        <v/>
      </c>
      <c r="O4001" s="72"/>
      <c r="P4001" s="36" t="str">
        <f t="shared" si="382"/>
        <v/>
      </c>
      <c r="Q4001" s="216" t="str">
        <f t="shared" si="383"/>
        <v/>
      </c>
      <c r="R4001" s="216" t="str">
        <f t="shared" si="384"/>
        <v/>
      </c>
      <c r="S4001" s="217" t="str">
        <f t="shared" si="385"/>
        <v/>
      </c>
    </row>
    <row r="4002" spans="1:19" ht="15.75" thickBot="1" x14ac:dyDescent="0.3">
      <c r="A4002" s="257"/>
      <c r="B4002" s="260"/>
      <c r="C4002" s="54"/>
      <c r="D4002" s="54"/>
      <c r="E4002" s="65"/>
      <c r="F4002" s="75" t="s">
        <v>416</v>
      </c>
      <c r="G4002" s="75" t="str">
        <f t="shared" si="380"/>
        <v/>
      </c>
      <c r="H4002" s="76"/>
      <c r="I4002" s="73"/>
      <c r="J4002" s="152">
        <v>12</v>
      </c>
      <c r="L4002" s="222"/>
      <c r="M4002" s="75"/>
      <c r="N4002" s="75" t="str">
        <f t="shared" si="381"/>
        <v/>
      </c>
      <c r="O4002" s="76"/>
      <c r="P4002" s="36" t="str">
        <f t="shared" si="382"/>
        <v/>
      </c>
      <c r="Q4002" s="216" t="str">
        <f t="shared" si="383"/>
        <v/>
      </c>
      <c r="R4002" s="216" t="str">
        <f t="shared" si="384"/>
        <v/>
      </c>
      <c r="S4002" s="217" t="str">
        <f t="shared" si="385"/>
        <v/>
      </c>
    </row>
    <row r="4003" spans="1:19" ht="15.75" hidden="1" thickBot="1" x14ac:dyDescent="0.3">
      <c r="A4003" s="256" t="s">
        <v>1035</v>
      </c>
      <c r="B4003" s="259" t="str">
        <f>INDEX(Orçamentária!A:B,MATCH(Composições!A4003,Orçamentária!A:A,0),2)</f>
        <v>Guarda-corpo panorâmico</v>
      </c>
      <c r="C4003" s="40"/>
      <c r="D4003" s="25" t="s">
        <v>69</v>
      </c>
      <c r="E4003" s="26"/>
      <c r="F4003" s="48" t="s">
        <v>416</v>
      </c>
      <c r="G4003" s="27" t="str">
        <f t="shared" si="380"/>
        <v/>
      </c>
      <c r="H4003" s="28"/>
      <c r="I4003" s="29"/>
      <c r="J4003" s="152">
        <v>0</v>
      </c>
      <c r="L4003" s="218"/>
      <c r="M4003" s="48"/>
      <c r="N4003" s="27" t="str">
        <f t="shared" si="381"/>
        <v/>
      </c>
      <c r="O4003" s="28"/>
      <c r="P4003" s="36" t="str">
        <f t="shared" si="382"/>
        <v/>
      </c>
      <c r="Q4003" s="216" t="str">
        <f t="shared" si="383"/>
        <v/>
      </c>
      <c r="R4003" s="216" t="str">
        <f t="shared" si="384"/>
        <v/>
      </c>
      <c r="S4003" s="217" t="str">
        <f t="shared" si="385"/>
        <v/>
      </c>
    </row>
    <row r="4004" spans="1:19" ht="15.75" hidden="1" thickBot="1" x14ac:dyDescent="0.3">
      <c r="A4004" s="257"/>
      <c r="B4004" s="260"/>
      <c r="C4004" s="31"/>
      <c r="D4004" s="31"/>
      <c r="E4004" s="32"/>
      <c r="F4004" s="53" t="s">
        <v>416</v>
      </c>
      <c r="G4004" s="53" t="str">
        <f t="shared" si="380"/>
        <v/>
      </c>
      <c r="H4004" s="72"/>
      <c r="I4004" s="73"/>
      <c r="J4004" s="152">
        <v>0</v>
      </c>
      <c r="L4004" s="219"/>
      <c r="M4004" s="53"/>
      <c r="N4004" s="53" t="str">
        <f t="shared" si="381"/>
        <v/>
      </c>
      <c r="O4004" s="72"/>
      <c r="P4004" s="36" t="str">
        <f t="shared" si="382"/>
        <v/>
      </c>
      <c r="Q4004" s="216" t="str">
        <f t="shared" si="383"/>
        <v/>
      </c>
      <c r="R4004" s="216" t="str">
        <f t="shared" si="384"/>
        <v/>
      </c>
      <c r="S4004" s="217" t="str">
        <f t="shared" si="385"/>
        <v/>
      </c>
    </row>
    <row r="4005" spans="1:19" ht="15.75" hidden="1" thickBot="1" x14ac:dyDescent="0.3">
      <c r="A4005" s="257"/>
      <c r="B4005" s="260"/>
      <c r="C4005" s="35" t="s">
        <v>1036</v>
      </c>
      <c r="D4005" s="35" t="s">
        <v>773</v>
      </c>
      <c r="E4005" s="36">
        <v>1.4</v>
      </c>
      <c r="F4005" s="53">
        <v>11.153</v>
      </c>
      <c r="G4005" s="53">
        <f t="shared" si="380"/>
        <v>15.6142</v>
      </c>
      <c r="H4005" s="38">
        <f>SUM(G4005:G4014)</f>
        <v>715.18923149999989</v>
      </c>
      <c r="I4005" s="39"/>
      <c r="J4005" s="152">
        <v>0</v>
      </c>
      <c r="L4005" s="215">
        <v>1.4</v>
      </c>
      <c r="M4005" s="53">
        <v>9.5469679999999997</v>
      </c>
      <c r="N4005" s="53">
        <f t="shared" si="381"/>
        <v>13.365755199999999</v>
      </c>
      <c r="O4005" s="38">
        <f>SUM(N4005:N4014)</f>
        <v>612.2019821639999</v>
      </c>
      <c r="P4005" s="36" t="str">
        <f t="shared" si="382"/>
        <v/>
      </c>
      <c r="Q4005" s="216">
        <f t="shared" si="383"/>
        <v>0.14400000000000002</v>
      </c>
      <c r="R4005" s="216">
        <f t="shared" si="384"/>
        <v>0.14400000000000013</v>
      </c>
      <c r="S4005" s="217">
        <f t="shared" si="385"/>
        <v>0.14400000000000002</v>
      </c>
    </row>
    <row r="4006" spans="1:19" ht="15.75" hidden="1" thickBot="1" x14ac:dyDescent="0.3">
      <c r="A4006" s="257"/>
      <c r="B4006" s="260"/>
      <c r="C4006" s="35" t="s">
        <v>1037</v>
      </c>
      <c r="D4006" s="35" t="s">
        <v>773</v>
      </c>
      <c r="E4006" s="36">
        <v>3.0000000000000001E-3</v>
      </c>
      <c r="F4006" s="53">
        <v>36.489499999999992</v>
      </c>
      <c r="G4006" s="53">
        <f t="shared" si="380"/>
        <v>0.10946849999999998</v>
      </c>
      <c r="H4006" s="72"/>
      <c r="I4006" s="73"/>
      <c r="J4006" s="152">
        <v>0</v>
      </c>
      <c r="L4006" s="215">
        <v>3.0000000000000001E-3</v>
      </c>
      <c r="M4006" s="53">
        <v>31.235011999999994</v>
      </c>
      <c r="N4006" s="53">
        <f t="shared" si="381"/>
        <v>9.3705035999999978E-2</v>
      </c>
      <c r="O4006" s="72"/>
      <c r="P4006" s="36" t="str">
        <f t="shared" si="382"/>
        <v/>
      </c>
      <c r="Q4006" s="216">
        <f t="shared" si="383"/>
        <v>0.14400000000000002</v>
      </c>
      <c r="R4006" s="216">
        <f t="shared" si="384"/>
        <v>0.14400000000000002</v>
      </c>
      <c r="S4006" s="217" t="str">
        <f t="shared" si="385"/>
        <v/>
      </c>
    </row>
    <row r="4007" spans="1:19" ht="26.25" hidden="1" thickBot="1" x14ac:dyDescent="0.3">
      <c r="A4007" s="257"/>
      <c r="B4007" s="260"/>
      <c r="C4007" s="35" t="s">
        <v>903</v>
      </c>
      <c r="D4007" s="35" t="s">
        <v>213</v>
      </c>
      <c r="E4007" s="36">
        <v>3.3330000000000002</v>
      </c>
      <c r="F4007" s="53">
        <v>2.4224999999999999</v>
      </c>
      <c r="G4007" s="53">
        <f t="shared" si="380"/>
        <v>8.0741925000000005</v>
      </c>
      <c r="H4007" s="72"/>
      <c r="I4007" s="73"/>
      <c r="J4007" s="152">
        <v>0</v>
      </c>
      <c r="L4007" s="215">
        <v>3.3330000000000002</v>
      </c>
      <c r="M4007" s="53">
        <v>2.0736599999999998</v>
      </c>
      <c r="N4007" s="53">
        <f t="shared" si="381"/>
        <v>6.9115087800000001</v>
      </c>
      <c r="O4007" s="72"/>
      <c r="P4007" s="36" t="str">
        <f t="shared" si="382"/>
        <v/>
      </c>
      <c r="Q4007" s="216">
        <f t="shared" si="383"/>
        <v>0.14400000000000002</v>
      </c>
      <c r="R4007" s="216">
        <f t="shared" si="384"/>
        <v>0.14400000000000002</v>
      </c>
      <c r="S4007" s="217" t="str">
        <f t="shared" si="385"/>
        <v/>
      </c>
    </row>
    <row r="4008" spans="1:19" ht="39" hidden="1" thickBot="1" x14ac:dyDescent="0.3">
      <c r="A4008" s="257"/>
      <c r="B4008" s="260"/>
      <c r="C4008" s="35" t="s">
        <v>1038</v>
      </c>
      <c r="D4008" s="35" t="s">
        <v>213</v>
      </c>
      <c r="E4008" s="36">
        <v>5</v>
      </c>
      <c r="F4008" s="53">
        <v>0.45599999999999996</v>
      </c>
      <c r="G4008" s="53">
        <f t="shared" si="380"/>
        <v>2.2799999999999998</v>
      </c>
      <c r="H4008" s="72"/>
      <c r="I4008" s="73"/>
      <c r="J4008" s="152">
        <v>0</v>
      </c>
      <c r="L4008" s="215">
        <v>5</v>
      </c>
      <c r="M4008" s="53">
        <v>0.39033599999999996</v>
      </c>
      <c r="N4008" s="53">
        <f t="shared" si="381"/>
        <v>1.9516799999999999</v>
      </c>
      <c r="O4008" s="72"/>
      <c r="P4008" s="36" t="str">
        <f t="shared" si="382"/>
        <v/>
      </c>
      <c r="Q4008" s="216">
        <f t="shared" si="383"/>
        <v>0.14400000000000002</v>
      </c>
      <c r="R4008" s="216">
        <f t="shared" si="384"/>
        <v>0.14400000000000002</v>
      </c>
      <c r="S4008" s="217" t="str">
        <f t="shared" si="385"/>
        <v/>
      </c>
    </row>
    <row r="4009" spans="1:19" ht="26.25" hidden="1" thickBot="1" x14ac:dyDescent="0.3">
      <c r="A4009" s="257"/>
      <c r="B4009" s="260"/>
      <c r="C4009" s="35" t="s">
        <v>1039</v>
      </c>
      <c r="D4009" s="35" t="s">
        <v>385</v>
      </c>
      <c r="E4009" s="36">
        <v>3.149</v>
      </c>
      <c r="F4009" s="53">
        <v>16.149999999999999</v>
      </c>
      <c r="G4009" s="53">
        <f t="shared" si="380"/>
        <v>50.856349999999999</v>
      </c>
      <c r="H4009" s="72"/>
      <c r="I4009" s="73"/>
      <c r="J4009" s="152">
        <v>0</v>
      </c>
      <c r="L4009" s="215">
        <v>3.149</v>
      </c>
      <c r="M4009" s="53">
        <v>13.824399999999999</v>
      </c>
      <c r="N4009" s="53">
        <f t="shared" si="381"/>
        <v>43.533035599999998</v>
      </c>
      <c r="O4009" s="72"/>
      <c r="P4009" s="36" t="str">
        <f t="shared" si="382"/>
        <v/>
      </c>
      <c r="Q4009" s="216">
        <f t="shared" si="383"/>
        <v>0.14400000000000002</v>
      </c>
      <c r="R4009" s="216">
        <f t="shared" si="384"/>
        <v>0.14400000000000002</v>
      </c>
      <c r="S4009" s="217" t="str">
        <f t="shared" si="385"/>
        <v/>
      </c>
    </row>
    <row r="4010" spans="1:19" ht="15.75" hidden="1" thickBot="1" x14ac:dyDescent="0.3">
      <c r="A4010" s="257"/>
      <c r="B4010" s="260"/>
      <c r="C4010" s="35" t="s">
        <v>709</v>
      </c>
      <c r="D4010" s="35" t="s">
        <v>773</v>
      </c>
      <c r="E4010" s="36">
        <v>3.4089999999999998</v>
      </c>
      <c r="F4010" s="53">
        <v>39.063999999999993</v>
      </c>
      <c r="G4010" s="53">
        <f t="shared" si="380"/>
        <v>133.16917599999996</v>
      </c>
      <c r="H4010" s="72"/>
      <c r="I4010" s="73"/>
      <c r="J4010" s="152">
        <v>0</v>
      </c>
      <c r="L4010" s="215">
        <v>3.4089999999999998</v>
      </c>
      <c r="M4010" s="53">
        <v>33.438783999999998</v>
      </c>
      <c r="N4010" s="53">
        <f t="shared" si="381"/>
        <v>113.99281465599999</v>
      </c>
      <c r="O4010" s="72"/>
      <c r="P4010" s="36" t="str">
        <f t="shared" si="382"/>
        <v/>
      </c>
      <c r="Q4010" s="216">
        <f t="shared" si="383"/>
        <v>0.14399999999999991</v>
      </c>
      <c r="R4010" s="216">
        <f t="shared" si="384"/>
        <v>0.14399999999999979</v>
      </c>
      <c r="S4010" s="217" t="str">
        <f t="shared" si="385"/>
        <v/>
      </c>
    </row>
    <row r="4011" spans="1:19" ht="26.25" hidden="1" thickBot="1" x14ac:dyDescent="0.3">
      <c r="A4011" s="257"/>
      <c r="B4011" s="260"/>
      <c r="C4011" s="35" t="s">
        <v>1040</v>
      </c>
      <c r="D4011" s="35" t="s">
        <v>861</v>
      </c>
      <c r="E4011" s="36">
        <v>0.998</v>
      </c>
      <c r="F4011" s="53">
        <v>333.83</v>
      </c>
      <c r="G4011" s="53">
        <f t="shared" si="380"/>
        <v>333.16233999999997</v>
      </c>
      <c r="H4011" s="72"/>
      <c r="I4011" s="73"/>
      <c r="J4011" s="152">
        <v>0</v>
      </c>
      <c r="L4011" s="215">
        <v>0.998</v>
      </c>
      <c r="M4011" s="53">
        <v>285.75847999999996</v>
      </c>
      <c r="N4011" s="53">
        <f t="shared" si="381"/>
        <v>285.18696303999997</v>
      </c>
      <c r="O4011" s="72"/>
      <c r="P4011" s="36" t="str">
        <f t="shared" si="382"/>
        <v/>
      </c>
      <c r="Q4011" s="216">
        <f t="shared" si="383"/>
        <v>0.14400000000000002</v>
      </c>
      <c r="R4011" s="216">
        <f t="shared" si="384"/>
        <v>0.14400000000000002</v>
      </c>
      <c r="S4011" s="217" t="str">
        <f t="shared" si="385"/>
        <v/>
      </c>
    </row>
    <row r="4012" spans="1:19" ht="15.75" hidden="1" thickBot="1" x14ac:dyDescent="0.3">
      <c r="A4012" s="257"/>
      <c r="B4012" s="260"/>
      <c r="C4012" s="35" t="s">
        <v>8373</v>
      </c>
      <c r="D4012" s="35" t="s">
        <v>213</v>
      </c>
      <c r="E4012" s="36">
        <v>0.85499999999999998</v>
      </c>
      <c r="F4012" s="53">
        <v>26.125</v>
      </c>
      <c r="G4012" s="53">
        <f t="shared" ref="G4012:G4075" si="386">IF(ISNUMBER(F4012),E4012*F4012,"")</f>
        <v>22.336874999999999</v>
      </c>
      <c r="H4012" s="72"/>
      <c r="I4012" s="73"/>
      <c r="J4012" s="152">
        <v>0</v>
      </c>
      <c r="L4012" s="215">
        <v>0.85499999999999998</v>
      </c>
      <c r="M4012" s="53">
        <v>22.363</v>
      </c>
      <c r="N4012" s="53">
        <f t="shared" ref="N4012:N4075" si="387">IF(ISNUMBER(M4012),L4012*M4012,"")</f>
        <v>19.120365</v>
      </c>
      <c r="O4012" s="72"/>
      <c r="P4012" s="36" t="str">
        <f t="shared" si="382"/>
        <v/>
      </c>
      <c r="Q4012" s="216">
        <f t="shared" si="383"/>
        <v>0.14400000000000002</v>
      </c>
      <c r="R4012" s="216">
        <f t="shared" si="384"/>
        <v>0.14400000000000002</v>
      </c>
      <c r="S4012" s="217" t="str">
        <f t="shared" si="385"/>
        <v/>
      </c>
    </row>
    <row r="4013" spans="1:19" ht="15.75" hidden="1" thickBot="1" x14ac:dyDescent="0.3">
      <c r="A4013" s="257"/>
      <c r="B4013" s="260"/>
      <c r="C4013" s="35" t="s">
        <v>662</v>
      </c>
      <c r="D4013" s="35" t="s">
        <v>583</v>
      </c>
      <c r="E4013" s="36">
        <v>2.754</v>
      </c>
      <c r="F4013" s="53">
        <v>21.479499999999998</v>
      </c>
      <c r="G4013" s="53">
        <f t="shared" si="386"/>
        <v>59.154542999999997</v>
      </c>
      <c r="H4013" s="72"/>
      <c r="I4013" s="73"/>
      <c r="J4013" s="152">
        <v>0</v>
      </c>
      <c r="L4013" s="215">
        <v>2.754</v>
      </c>
      <c r="M4013" s="53">
        <v>18.386451999999998</v>
      </c>
      <c r="N4013" s="53">
        <f t="shared" si="387"/>
        <v>50.636288807999996</v>
      </c>
      <c r="O4013" s="72"/>
      <c r="P4013" s="36" t="str">
        <f t="shared" si="382"/>
        <v/>
      </c>
      <c r="Q4013" s="216">
        <f t="shared" si="383"/>
        <v>0.14400000000000002</v>
      </c>
      <c r="R4013" s="216">
        <f t="shared" si="384"/>
        <v>0.14400000000000002</v>
      </c>
      <c r="S4013" s="217" t="str">
        <f t="shared" si="385"/>
        <v/>
      </c>
    </row>
    <row r="4014" spans="1:19" ht="15.75" hidden="1" thickBot="1" x14ac:dyDescent="0.3">
      <c r="A4014" s="257"/>
      <c r="B4014" s="260"/>
      <c r="C4014" s="35" t="s">
        <v>1041</v>
      </c>
      <c r="D4014" s="35" t="s">
        <v>583</v>
      </c>
      <c r="E4014" s="36">
        <v>3.3530000000000002</v>
      </c>
      <c r="F4014" s="53">
        <v>26.970499999999998</v>
      </c>
      <c r="G4014" s="53">
        <f t="shared" si="386"/>
        <v>90.432086499999997</v>
      </c>
      <c r="H4014" s="72"/>
      <c r="I4014" s="73"/>
      <c r="J4014" s="152">
        <v>0</v>
      </c>
      <c r="L4014" s="215">
        <v>3.3530000000000002</v>
      </c>
      <c r="M4014" s="53">
        <v>23.086748</v>
      </c>
      <c r="N4014" s="53">
        <f t="shared" si="387"/>
        <v>77.409866044000012</v>
      </c>
      <c r="O4014" s="72"/>
      <c r="P4014" s="36" t="str">
        <f t="shared" si="382"/>
        <v/>
      </c>
      <c r="Q4014" s="216">
        <f t="shared" si="383"/>
        <v>0.14399999999999991</v>
      </c>
      <c r="R4014" s="216">
        <f t="shared" si="384"/>
        <v>0.14399999999999979</v>
      </c>
      <c r="S4014" s="217" t="str">
        <f t="shared" si="385"/>
        <v/>
      </c>
    </row>
    <row r="4015" spans="1:19" ht="15.75" hidden="1" thickBot="1" x14ac:dyDescent="0.3">
      <c r="A4015" s="258"/>
      <c r="B4015" s="261"/>
      <c r="C4015" s="54"/>
      <c r="D4015" s="54"/>
      <c r="E4015" s="65"/>
      <c r="F4015" s="75" t="s">
        <v>416</v>
      </c>
      <c r="G4015" s="75" t="str">
        <f t="shared" si="386"/>
        <v/>
      </c>
      <c r="H4015" s="76"/>
      <c r="I4015" s="73"/>
      <c r="J4015" s="152">
        <v>0</v>
      </c>
      <c r="L4015" s="222"/>
      <c r="M4015" s="75"/>
      <c r="N4015" s="75" t="str">
        <f t="shared" si="387"/>
        <v/>
      </c>
      <c r="O4015" s="76"/>
      <c r="P4015" s="36" t="str">
        <f t="shared" si="382"/>
        <v/>
      </c>
      <c r="Q4015" s="216" t="str">
        <f t="shared" si="383"/>
        <v/>
      </c>
      <c r="R4015" s="216" t="str">
        <f t="shared" si="384"/>
        <v/>
      </c>
      <c r="S4015" s="217" t="str">
        <f t="shared" si="385"/>
        <v/>
      </c>
    </row>
    <row r="4016" spans="1:19" ht="15.75" hidden="1" thickBot="1" x14ac:dyDescent="0.3">
      <c r="A4016" s="256" t="s">
        <v>1042</v>
      </c>
      <c r="B4016" s="259" t="str">
        <f>INDEX(Orçamentária!A:B,MATCH(Composições!A4016,Orçamentária!A:A,0),2)</f>
        <v>Perfil “U” em aço 25 x 25 mm</v>
      </c>
      <c r="C4016" s="40"/>
      <c r="D4016" s="25" t="s">
        <v>69</v>
      </c>
      <c r="E4016" s="26"/>
      <c r="F4016" s="41" t="s">
        <v>416</v>
      </c>
      <c r="G4016" s="27" t="str">
        <f t="shared" si="386"/>
        <v/>
      </c>
      <c r="H4016" s="28"/>
      <c r="I4016" s="29"/>
      <c r="J4016" s="152">
        <v>0</v>
      </c>
      <c r="L4016" s="218"/>
      <c r="M4016" s="41"/>
      <c r="N4016" s="27" t="str">
        <f t="shared" si="387"/>
        <v/>
      </c>
      <c r="O4016" s="28"/>
      <c r="P4016" s="36" t="str">
        <f t="shared" si="382"/>
        <v/>
      </c>
      <c r="Q4016" s="216" t="str">
        <f t="shared" si="383"/>
        <v/>
      </c>
      <c r="R4016" s="216" t="str">
        <f t="shared" si="384"/>
        <v/>
      </c>
      <c r="S4016" s="217" t="str">
        <f t="shared" si="385"/>
        <v/>
      </c>
    </row>
    <row r="4017" spans="1:19" ht="15.75" hidden="1" thickBot="1" x14ac:dyDescent="0.3">
      <c r="A4017" s="257"/>
      <c r="B4017" s="260"/>
      <c r="C4017" s="31"/>
      <c r="D4017" s="31"/>
      <c r="E4017" s="32"/>
      <c r="F4017" s="42" t="s">
        <v>416</v>
      </c>
      <c r="G4017" s="30" t="str">
        <f t="shared" si="386"/>
        <v/>
      </c>
      <c r="H4017" s="34"/>
      <c r="I4017" s="30"/>
      <c r="J4017" s="152">
        <v>0</v>
      </c>
      <c r="L4017" s="219"/>
      <c r="M4017" s="42"/>
      <c r="N4017" s="30" t="str">
        <f t="shared" si="387"/>
        <v/>
      </c>
      <c r="O4017" s="34"/>
      <c r="P4017" s="36" t="str">
        <f t="shared" si="382"/>
        <v/>
      </c>
      <c r="Q4017" s="216" t="str">
        <f t="shared" si="383"/>
        <v/>
      </c>
      <c r="R4017" s="216" t="str">
        <f t="shared" si="384"/>
        <v/>
      </c>
      <c r="S4017" s="217" t="str">
        <f t="shared" si="385"/>
        <v/>
      </c>
    </row>
    <row r="4018" spans="1:19" ht="15.75" hidden="1" thickBot="1" x14ac:dyDescent="0.3">
      <c r="A4018" s="257"/>
      <c r="B4018" s="260"/>
      <c r="C4018" s="35" t="s">
        <v>2909</v>
      </c>
      <c r="D4018" s="35" t="s">
        <v>583</v>
      </c>
      <c r="E4018" s="36">
        <f>1/10</f>
        <v>0.1</v>
      </c>
      <c r="F4018" s="30">
        <v>25.060999999999996</v>
      </c>
      <c r="G4018" s="33">
        <f t="shared" si="386"/>
        <v>2.5061</v>
      </c>
      <c r="H4018" s="38">
        <f>SUM(G4018:G4019)</f>
        <v>2.5061</v>
      </c>
      <c r="I4018" s="39"/>
      <c r="J4018" s="152">
        <v>0</v>
      </c>
      <c r="L4018" s="215">
        <v>0.1</v>
      </c>
      <c r="M4018" s="30">
        <v>21.452215999999996</v>
      </c>
      <c r="N4018" s="33">
        <f t="shared" si="387"/>
        <v>2.1452215999999997</v>
      </c>
      <c r="O4018" s="38">
        <f>SUM(N4018:N4019)</f>
        <v>2.1452215999999997</v>
      </c>
      <c r="P4018" s="36" t="str">
        <f t="shared" si="382"/>
        <v/>
      </c>
      <c r="Q4018" s="216">
        <f t="shared" si="383"/>
        <v>0.14400000000000002</v>
      </c>
      <c r="R4018" s="216">
        <f t="shared" si="384"/>
        <v>0.14400000000000013</v>
      </c>
      <c r="S4018" s="217">
        <f t="shared" si="385"/>
        <v>0.14400000000000013</v>
      </c>
    </row>
    <row r="4019" spans="1:19" ht="15.75" hidden="1" thickBot="1" x14ac:dyDescent="0.3">
      <c r="A4019" s="257"/>
      <c r="B4019" s="260"/>
      <c r="C4019" s="35" t="s">
        <v>1043</v>
      </c>
      <c r="D4019" s="46" t="s">
        <v>69</v>
      </c>
      <c r="E4019" s="36">
        <v>1.05</v>
      </c>
      <c r="F4019" s="33" t="s">
        <v>416</v>
      </c>
      <c r="G4019" s="33" t="str">
        <f t="shared" si="386"/>
        <v/>
      </c>
      <c r="H4019" s="34"/>
      <c r="I4019" s="30"/>
      <c r="J4019" s="152">
        <v>0</v>
      </c>
      <c r="L4019" s="215">
        <v>1.05</v>
      </c>
      <c r="M4019" s="33"/>
      <c r="N4019" s="33" t="str">
        <f t="shared" si="387"/>
        <v/>
      </c>
      <c r="O4019" s="34"/>
      <c r="P4019" s="36" t="str">
        <f t="shared" si="382"/>
        <v/>
      </c>
      <c r="Q4019" s="216" t="str">
        <f t="shared" si="383"/>
        <v/>
      </c>
      <c r="R4019" s="216" t="str">
        <f t="shared" si="384"/>
        <v/>
      </c>
      <c r="S4019" s="217" t="str">
        <f t="shared" si="385"/>
        <v/>
      </c>
    </row>
    <row r="4020" spans="1:19" ht="15.75" hidden="1" thickBot="1" x14ac:dyDescent="0.3">
      <c r="A4020" s="258"/>
      <c r="B4020" s="261"/>
      <c r="C4020" s="35"/>
      <c r="D4020" s="46"/>
      <c r="E4020" s="36"/>
      <c r="F4020" s="33" t="s">
        <v>416</v>
      </c>
      <c r="G4020" s="33" t="str">
        <f t="shared" si="386"/>
        <v/>
      </c>
      <c r="H4020" s="34"/>
      <c r="I4020" s="30"/>
      <c r="J4020" s="152">
        <v>0</v>
      </c>
      <c r="L4020" s="215"/>
      <c r="M4020" s="33"/>
      <c r="N4020" s="33" t="str">
        <f t="shared" si="387"/>
        <v/>
      </c>
      <c r="O4020" s="34"/>
      <c r="P4020" s="36" t="str">
        <f t="shared" si="382"/>
        <v/>
      </c>
      <c r="Q4020" s="216" t="str">
        <f t="shared" si="383"/>
        <v/>
      </c>
      <c r="R4020" s="216" t="str">
        <f t="shared" si="384"/>
        <v/>
      </c>
      <c r="S4020" s="217" t="str">
        <f t="shared" si="385"/>
        <v/>
      </c>
    </row>
    <row r="4021" spans="1:19" ht="15.75" hidden="1" thickBot="1" x14ac:dyDescent="0.3">
      <c r="A4021" s="256" t="s">
        <v>1044</v>
      </c>
      <c r="B4021" s="259" t="str">
        <f>INDEX(Orçamentária!A:B,MATCH(Composições!A4021,Orçamentária!A:A,0),2)</f>
        <v>Alimentação para mão-de-obra indireta</v>
      </c>
      <c r="C4021" s="40"/>
      <c r="D4021" s="25" t="s">
        <v>11</v>
      </c>
      <c r="E4021" s="26"/>
      <c r="F4021" s="48" t="s">
        <v>416</v>
      </c>
      <c r="G4021" s="27" t="str">
        <f t="shared" si="386"/>
        <v/>
      </c>
      <c r="H4021" s="28"/>
      <c r="I4021" s="29"/>
      <c r="J4021" s="152">
        <v>0</v>
      </c>
      <c r="L4021" s="218"/>
      <c r="M4021" s="48"/>
      <c r="N4021" s="27" t="str">
        <f t="shared" si="387"/>
        <v/>
      </c>
      <c r="O4021" s="28"/>
      <c r="P4021" s="36" t="str">
        <f t="shared" si="382"/>
        <v/>
      </c>
      <c r="Q4021" s="216" t="str">
        <f t="shared" si="383"/>
        <v/>
      </c>
      <c r="R4021" s="216" t="str">
        <f t="shared" si="384"/>
        <v/>
      </c>
      <c r="S4021" s="217" t="str">
        <f t="shared" si="385"/>
        <v/>
      </c>
    </row>
    <row r="4022" spans="1:19" ht="15.75" hidden="1" thickBot="1" x14ac:dyDescent="0.3">
      <c r="A4022" s="257"/>
      <c r="B4022" s="260"/>
      <c r="C4022" s="31"/>
      <c r="D4022" s="31"/>
      <c r="E4022" s="32"/>
      <c r="F4022" s="53" t="s">
        <v>416</v>
      </c>
      <c r="G4022" s="53" t="str">
        <f t="shared" si="386"/>
        <v/>
      </c>
      <c r="H4022" s="72"/>
      <c r="I4022" s="73"/>
      <c r="J4022" s="152">
        <v>0</v>
      </c>
      <c r="L4022" s="219"/>
      <c r="M4022" s="53"/>
      <c r="N4022" s="53" t="str">
        <f t="shared" si="387"/>
        <v/>
      </c>
      <c r="O4022" s="72"/>
      <c r="P4022" s="36" t="str">
        <f t="shared" si="382"/>
        <v/>
      </c>
      <c r="Q4022" s="216" t="str">
        <f t="shared" si="383"/>
        <v/>
      </c>
      <c r="R4022" s="216" t="str">
        <f t="shared" si="384"/>
        <v/>
      </c>
      <c r="S4022" s="217" t="str">
        <f t="shared" si="385"/>
        <v/>
      </c>
    </row>
    <row r="4023" spans="1:19" ht="26.25" hidden="1" thickBot="1" x14ac:dyDescent="0.3">
      <c r="A4023" s="257"/>
      <c r="B4023" s="260"/>
      <c r="C4023" s="35" t="s">
        <v>7979</v>
      </c>
      <c r="D4023" s="35" t="s">
        <v>583</v>
      </c>
      <c r="E4023" s="36">
        <v>1</v>
      </c>
      <c r="F4023" s="53">
        <v>3.1254999999999997</v>
      </c>
      <c r="G4023" s="53">
        <f t="shared" si="386"/>
        <v>3.1254999999999997</v>
      </c>
      <c r="H4023" s="38">
        <f>SUM(G4023:G4023)</f>
        <v>3.1254999999999997</v>
      </c>
      <c r="I4023" s="39"/>
      <c r="J4023" s="152">
        <v>0</v>
      </c>
      <c r="L4023" s="215">
        <v>1</v>
      </c>
      <c r="M4023" s="53">
        <v>2.6754279999999997</v>
      </c>
      <c r="N4023" s="53">
        <f t="shared" si="387"/>
        <v>2.6754279999999997</v>
      </c>
      <c r="O4023" s="38">
        <f>SUM(N4023:N4023)</f>
        <v>2.6754279999999997</v>
      </c>
      <c r="P4023" s="36" t="str">
        <f t="shared" si="382"/>
        <v/>
      </c>
      <c r="Q4023" s="216">
        <f t="shared" si="383"/>
        <v>0.14400000000000002</v>
      </c>
      <c r="R4023" s="216">
        <f t="shared" si="384"/>
        <v>0.14400000000000002</v>
      </c>
      <c r="S4023" s="217">
        <f t="shared" si="385"/>
        <v>0.14400000000000002</v>
      </c>
    </row>
    <row r="4024" spans="1:19" ht="15.75" hidden="1" thickBot="1" x14ac:dyDescent="0.3">
      <c r="A4024" s="257"/>
      <c r="B4024" s="260"/>
      <c r="C4024" s="54"/>
      <c r="D4024" s="54"/>
      <c r="E4024" s="65"/>
      <c r="F4024" s="75" t="s">
        <v>416</v>
      </c>
      <c r="G4024" s="75" t="str">
        <f t="shared" si="386"/>
        <v/>
      </c>
      <c r="H4024" s="76"/>
      <c r="I4024" s="73"/>
      <c r="J4024" s="152">
        <v>0</v>
      </c>
      <c r="L4024" s="222"/>
      <c r="M4024" s="75"/>
      <c r="N4024" s="75" t="str">
        <f t="shared" si="387"/>
        <v/>
      </c>
      <c r="O4024" s="76"/>
      <c r="P4024" s="36" t="str">
        <f t="shared" si="382"/>
        <v/>
      </c>
      <c r="Q4024" s="216" t="str">
        <f t="shared" si="383"/>
        <v/>
      </c>
      <c r="R4024" s="216" t="str">
        <f t="shared" si="384"/>
        <v/>
      </c>
      <c r="S4024" s="217" t="str">
        <f t="shared" si="385"/>
        <v/>
      </c>
    </row>
    <row r="4025" spans="1:19" ht="15.75" hidden="1" thickBot="1" x14ac:dyDescent="0.3">
      <c r="A4025" s="256" t="s">
        <v>1045</v>
      </c>
      <c r="B4025" s="259" t="str">
        <f>INDEX(Orçamentária!A:B,MATCH(Composições!A4025,Orçamentária!A:A,0),2)</f>
        <v>Transporte para mão-de-obra indireta</v>
      </c>
      <c r="C4025" s="40"/>
      <c r="D4025" s="25" t="s">
        <v>11</v>
      </c>
      <c r="E4025" s="26"/>
      <c r="F4025" s="48" t="s">
        <v>416</v>
      </c>
      <c r="G4025" s="27" t="str">
        <f t="shared" si="386"/>
        <v/>
      </c>
      <c r="H4025" s="28"/>
      <c r="I4025" s="29"/>
      <c r="J4025" s="152">
        <v>0</v>
      </c>
      <c r="L4025" s="218"/>
      <c r="M4025" s="48"/>
      <c r="N4025" s="27" t="str">
        <f t="shared" si="387"/>
        <v/>
      </c>
      <c r="O4025" s="28"/>
      <c r="P4025" s="36" t="str">
        <f t="shared" si="382"/>
        <v/>
      </c>
      <c r="Q4025" s="216" t="str">
        <f t="shared" si="383"/>
        <v/>
      </c>
      <c r="R4025" s="216" t="str">
        <f t="shared" si="384"/>
        <v/>
      </c>
      <c r="S4025" s="217" t="str">
        <f t="shared" si="385"/>
        <v/>
      </c>
    </row>
    <row r="4026" spans="1:19" ht="15.75" hidden="1" thickBot="1" x14ac:dyDescent="0.3">
      <c r="A4026" s="257"/>
      <c r="B4026" s="260"/>
      <c r="C4026" s="31"/>
      <c r="D4026" s="31"/>
      <c r="E4026" s="32"/>
      <c r="F4026" s="53" t="s">
        <v>416</v>
      </c>
      <c r="G4026" s="53" t="str">
        <f t="shared" si="386"/>
        <v/>
      </c>
      <c r="H4026" s="72"/>
      <c r="I4026" s="73"/>
      <c r="J4026" s="152">
        <v>0</v>
      </c>
      <c r="L4026" s="219"/>
      <c r="M4026" s="53"/>
      <c r="N4026" s="53" t="str">
        <f t="shared" si="387"/>
        <v/>
      </c>
      <c r="O4026" s="72"/>
      <c r="P4026" s="36" t="str">
        <f t="shared" si="382"/>
        <v/>
      </c>
      <c r="Q4026" s="216" t="str">
        <f t="shared" si="383"/>
        <v/>
      </c>
      <c r="R4026" s="216" t="str">
        <f t="shared" si="384"/>
        <v/>
      </c>
      <c r="S4026" s="217" t="str">
        <f t="shared" si="385"/>
        <v/>
      </c>
    </row>
    <row r="4027" spans="1:19" ht="26.25" hidden="1" thickBot="1" x14ac:dyDescent="0.3">
      <c r="A4027" s="257"/>
      <c r="B4027" s="260"/>
      <c r="C4027" s="35" t="s">
        <v>8451</v>
      </c>
      <c r="D4027" s="35" t="s">
        <v>583</v>
      </c>
      <c r="E4027" s="36">
        <v>1.05</v>
      </c>
      <c r="F4027" s="53">
        <v>1.4249999999999998</v>
      </c>
      <c r="G4027" s="53">
        <f t="shared" si="386"/>
        <v>1.4962499999999999</v>
      </c>
      <c r="H4027" s="38">
        <f>SUM(G4027:G4027)</f>
        <v>1.4962499999999999</v>
      </c>
      <c r="I4027" s="39"/>
      <c r="J4027" s="152">
        <v>0</v>
      </c>
      <c r="L4027" s="215">
        <v>1.05</v>
      </c>
      <c r="M4027" s="53">
        <v>1.2197999999999998</v>
      </c>
      <c r="N4027" s="53">
        <f t="shared" si="387"/>
        <v>1.2807899999999999</v>
      </c>
      <c r="O4027" s="38">
        <f>SUM(N4027:N4027)</f>
        <v>1.2807899999999999</v>
      </c>
      <c r="P4027" s="36" t="str">
        <f t="shared" si="382"/>
        <v/>
      </c>
      <c r="Q4027" s="216">
        <f t="shared" si="383"/>
        <v>0.14400000000000002</v>
      </c>
      <c r="R4027" s="216">
        <f t="shared" si="384"/>
        <v>0.14400000000000002</v>
      </c>
      <c r="S4027" s="217">
        <f t="shared" si="385"/>
        <v>0.14400000000000002</v>
      </c>
    </row>
    <row r="4028" spans="1:19" ht="15.75" hidden="1" thickBot="1" x14ac:dyDescent="0.3">
      <c r="A4028" s="258"/>
      <c r="B4028" s="261"/>
      <c r="C4028" s="54"/>
      <c r="D4028" s="54"/>
      <c r="E4028" s="65"/>
      <c r="F4028" s="75" t="s">
        <v>416</v>
      </c>
      <c r="G4028" s="75" t="str">
        <f t="shared" si="386"/>
        <v/>
      </c>
      <c r="H4028" s="76"/>
      <c r="I4028" s="73"/>
      <c r="J4028" s="152">
        <v>0</v>
      </c>
      <c r="L4028" s="222"/>
      <c r="M4028" s="75"/>
      <c r="N4028" s="75" t="str">
        <f t="shared" si="387"/>
        <v/>
      </c>
      <c r="O4028" s="76"/>
      <c r="P4028" s="36" t="str">
        <f t="shared" si="382"/>
        <v/>
      </c>
      <c r="Q4028" s="216" t="str">
        <f t="shared" si="383"/>
        <v/>
      </c>
      <c r="R4028" s="216" t="str">
        <f t="shared" si="384"/>
        <v/>
      </c>
      <c r="S4028" s="217" t="str">
        <f t="shared" si="385"/>
        <v/>
      </c>
    </row>
    <row r="4029" spans="1:19" ht="15.75" hidden="1" thickBot="1" x14ac:dyDescent="0.3">
      <c r="A4029" s="256" t="s">
        <v>1046</v>
      </c>
      <c r="B4029" s="259" t="str">
        <f>INDEX(Orçamentária!A:B,MATCH(Composições!A4029,Orçamentária!A:A,0),2)</f>
        <v>Cotovelo de cobre de 1 3/8”</v>
      </c>
      <c r="C4029" s="40"/>
      <c r="D4029" s="25" t="s">
        <v>16</v>
      </c>
      <c r="E4029" s="26"/>
      <c r="F4029" s="48" t="s">
        <v>416</v>
      </c>
      <c r="G4029" s="27" t="str">
        <f t="shared" si="386"/>
        <v/>
      </c>
      <c r="H4029" s="28"/>
      <c r="I4029" s="29"/>
      <c r="J4029" s="152">
        <v>0</v>
      </c>
      <c r="L4029" s="218"/>
      <c r="M4029" s="48"/>
      <c r="N4029" s="27" t="str">
        <f t="shared" si="387"/>
        <v/>
      </c>
      <c r="O4029" s="28"/>
      <c r="P4029" s="36" t="str">
        <f t="shared" si="382"/>
        <v/>
      </c>
      <c r="Q4029" s="216" t="str">
        <f t="shared" si="383"/>
        <v/>
      </c>
      <c r="R4029" s="216" t="str">
        <f t="shared" si="384"/>
        <v/>
      </c>
      <c r="S4029" s="217" t="str">
        <f t="shared" si="385"/>
        <v/>
      </c>
    </row>
    <row r="4030" spans="1:19" ht="15.75" hidden="1" thickBot="1" x14ac:dyDescent="0.3">
      <c r="A4030" s="257"/>
      <c r="B4030" s="260"/>
      <c r="C4030" s="31"/>
      <c r="D4030" s="31"/>
      <c r="E4030" s="32"/>
      <c r="F4030" s="53" t="s">
        <v>416</v>
      </c>
      <c r="G4030" s="53" t="str">
        <f t="shared" si="386"/>
        <v/>
      </c>
      <c r="H4030" s="72"/>
      <c r="I4030" s="73"/>
      <c r="J4030" s="152">
        <v>0</v>
      </c>
      <c r="L4030" s="219"/>
      <c r="M4030" s="53"/>
      <c r="N4030" s="53" t="str">
        <f t="shared" si="387"/>
        <v/>
      </c>
      <c r="O4030" s="72"/>
      <c r="P4030" s="36" t="str">
        <f t="shared" si="382"/>
        <v/>
      </c>
      <c r="Q4030" s="216" t="str">
        <f t="shared" si="383"/>
        <v/>
      </c>
      <c r="R4030" s="216" t="str">
        <f t="shared" si="384"/>
        <v/>
      </c>
      <c r="S4030" s="217" t="str">
        <f t="shared" si="385"/>
        <v/>
      </c>
    </row>
    <row r="4031" spans="1:19" ht="26.25" hidden="1" thickBot="1" x14ac:dyDescent="0.3">
      <c r="A4031" s="257"/>
      <c r="B4031" s="260"/>
      <c r="C4031" s="35" t="s">
        <v>1047</v>
      </c>
      <c r="D4031" s="35" t="s">
        <v>213</v>
      </c>
      <c r="E4031" s="36">
        <v>1</v>
      </c>
      <c r="F4031" s="53">
        <v>41.742999999999995</v>
      </c>
      <c r="G4031" s="53">
        <f t="shared" si="386"/>
        <v>41.742999999999995</v>
      </c>
      <c r="H4031" s="38">
        <f>SUM(G4031:G4036)</f>
        <v>51.496834299999989</v>
      </c>
      <c r="I4031" s="39"/>
      <c r="J4031" s="152">
        <v>0</v>
      </c>
      <c r="L4031" s="215">
        <v>1</v>
      </c>
      <c r="M4031" s="53">
        <v>35.732007999999993</v>
      </c>
      <c r="N4031" s="53">
        <f t="shared" si="387"/>
        <v>35.732007999999993</v>
      </c>
      <c r="O4031" s="38">
        <f>SUM(N4031:N4036)</f>
        <v>44.081290160799995</v>
      </c>
      <c r="P4031" s="36" t="str">
        <f t="shared" si="382"/>
        <v/>
      </c>
      <c r="Q4031" s="216">
        <f t="shared" si="383"/>
        <v>0.14400000000000002</v>
      </c>
      <c r="R4031" s="216">
        <f t="shared" si="384"/>
        <v>0.14400000000000002</v>
      </c>
      <c r="S4031" s="217">
        <f t="shared" si="385"/>
        <v>0.14399999999999991</v>
      </c>
    </row>
    <row r="4032" spans="1:19" ht="26.25" hidden="1" thickBot="1" x14ac:dyDescent="0.3">
      <c r="A4032" s="257"/>
      <c r="B4032" s="260"/>
      <c r="C4032" s="35" t="s">
        <v>1048</v>
      </c>
      <c r="D4032" s="35" t="s">
        <v>213</v>
      </c>
      <c r="E4032" s="36">
        <v>8.3999999999999995E-3</v>
      </c>
      <c r="F4032" s="53">
        <v>308.35099999999994</v>
      </c>
      <c r="G4032" s="53">
        <f t="shared" si="386"/>
        <v>2.5901483999999995</v>
      </c>
      <c r="H4032" s="72"/>
      <c r="I4032" s="73"/>
      <c r="J4032" s="152">
        <v>0</v>
      </c>
      <c r="L4032" s="215">
        <v>8.3999999999999995E-3</v>
      </c>
      <c r="M4032" s="53">
        <v>263.94845599999996</v>
      </c>
      <c r="N4032" s="53">
        <f t="shared" si="387"/>
        <v>2.2171670303999997</v>
      </c>
      <c r="O4032" s="72"/>
      <c r="P4032" s="36" t="str">
        <f t="shared" si="382"/>
        <v/>
      </c>
      <c r="Q4032" s="216">
        <f t="shared" si="383"/>
        <v>0.14399999999999991</v>
      </c>
      <c r="R4032" s="216">
        <f t="shared" si="384"/>
        <v>0.14399999999999991</v>
      </c>
      <c r="S4032" s="217" t="str">
        <f t="shared" si="385"/>
        <v/>
      </c>
    </row>
    <row r="4033" spans="1:19" ht="15.75" hidden="1" thickBot="1" x14ac:dyDescent="0.3">
      <c r="A4033" s="257"/>
      <c r="B4033" s="260"/>
      <c r="C4033" s="35" t="s">
        <v>8220</v>
      </c>
      <c r="D4033" s="35" t="s">
        <v>213</v>
      </c>
      <c r="E4033" s="36">
        <v>5.9400000000000001E-2</v>
      </c>
      <c r="F4033" s="53">
        <v>2.1185</v>
      </c>
      <c r="G4033" s="53">
        <f t="shared" si="386"/>
        <v>0.1258389</v>
      </c>
      <c r="H4033" s="72"/>
      <c r="I4033" s="73"/>
      <c r="J4033" s="152">
        <v>0</v>
      </c>
      <c r="L4033" s="215">
        <v>5.9400000000000001E-2</v>
      </c>
      <c r="M4033" s="53">
        <v>1.813436</v>
      </c>
      <c r="N4033" s="53">
        <f t="shared" si="387"/>
        <v>0.1077180984</v>
      </c>
      <c r="O4033" s="72"/>
      <c r="P4033" s="36" t="str">
        <f t="shared" si="382"/>
        <v/>
      </c>
      <c r="Q4033" s="216">
        <f t="shared" si="383"/>
        <v>0.14400000000000002</v>
      </c>
      <c r="R4033" s="216">
        <f t="shared" si="384"/>
        <v>0.14400000000000002</v>
      </c>
      <c r="S4033" s="217" t="str">
        <f t="shared" si="385"/>
        <v/>
      </c>
    </row>
    <row r="4034" spans="1:19" ht="26.25" hidden="1" thickBot="1" x14ac:dyDescent="0.3">
      <c r="A4034" s="257"/>
      <c r="B4034" s="260"/>
      <c r="C4034" s="35" t="s">
        <v>1049</v>
      </c>
      <c r="D4034" s="35" t="s">
        <v>213</v>
      </c>
      <c r="E4034" s="36">
        <v>1.0800000000000001E-2</v>
      </c>
      <c r="F4034" s="53">
        <v>56.524999999999999</v>
      </c>
      <c r="G4034" s="53">
        <f t="shared" si="386"/>
        <v>0.61047000000000007</v>
      </c>
      <c r="H4034" s="72"/>
      <c r="I4034" s="73"/>
      <c r="J4034" s="152">
        <v>0</v>
      </c>
      <c r="L4034" s="215">
        <v>1.0800000000000001E-2</v>
      </c>
      <c r="M4034" s="53">
        <v>48.385399999999997</v>
      </c>
      <c r="N4034" s="53">
        <f t="shared" si="387"/>
        <v>0.52256232000000002</v>
      </c>
      <c r="O4034" s="72"/>
      <c r="P4034" s="36" t="str">
        <f t="shared" si="382"/>
        <v/>
      </c>
      <c r="Q4034" s="216">
        <f t="shared" si="383"/>
        <v>0.14400000000000002</v>
      </c>
      <c r="R4034" s="216">
        <f t="shared" si="384"/>
        <v>0.14400000000000002</v>
      </c>
      <c r="S4034" s="217" t="str">
        <f t="shared" si="385"/>
        <v/>
      </c>
    </row>
    <row r="4035" spans="1:19" ht="26.25" hidden="1" thickBot="1" x14ac:dyDescent="0.3">
      <c r="A4035" s="257"/>
      <c r="B4035" s="260"/>
      <c r="C4035" s="35" t="s">
        <v>824</v>
      </c>
      <c r="D4035" s="35" t="s">
        <v>583</v>
      </c>
      <c r="E4035" s="36">
        <v>0.13400000000000001</v>
      </c>
      <c r="F4035" s="53">
        <v>21.166</v>
      </c>
      <c r="G4035" s="53">
        <f t="shared" si="386"/>
        <v>2.8362440000000002</v>
      </c>
      <c r="H4035" s="72"/>
      <c r="I4035" s="73"/>
      <c r="J4035" s="152">
        <v>0</v>
      </c>
      <c r="L4035" s="215">
        <v>0.13400000000000001</v>
      </c>
      <c r="M4035" s="53">
        <v>18.118096000000001</v>
      </c>
      <c r="N4035" s="53">
        <f t="shared" si="387"/>
        <v>2.4278248640000002</v>
      </c>
      <c r="O4035" s="72"/>
      <c r="P4035" s="36" t="str">
        <f t="shared" si="382"/>
        <v/>
      </c>
      <c r="Q4035" s="216">
        <f t="shared" si="383"/>
        <v>0.14399999999999991</v>
      </c>
      <c r="R4035" s="216">
        <f t="shared" si="384"/>
        <v>0.14400000000000002</v>
      </c>
      <c r="S4035" s="217" t="str">
        <f t="shared" si="385"/>
        <v/>
      </c>
    </row>
    <row r="4036" spans="1:19" ht="26.25" hidden="1" thickBot="1" x14ac:dyDescent="0.3">
      <c r="A4036" s="257"/>
      <c r="B4036" s="260"/>
      <c r="C4036" s="35" t="s">
        <v>825</v>
      </c>
      <c r="D4036" s="35" t="s">
        <v>583</v>
      </c>
      <c r="E4036" s="36">
        <v>0.13400000000000001</v>
      </c>
      <c r="F4036" s="53">
        <v>26.799499999999998</v>
      </c>
      <c r="G4036" s="53">
        <f t="shared" si="386"/>
        <v>3.5911330000000001</v>
      </c>
      <c r="H4036" s="72"/>
      <c r="I4036" s="73"/>
      <c r="J4036" s="152">
        <v>0</v>
      </c>
      <c r="L4036" s="215">
        <v>0.13400000000000001</v>
      </c>
      <c r="M4036" s="53">
        <v>22.940372</v>
      </c>
      <c r="N4036" s="53">
        <f t="shared" si="387"/>
        <v>3.0740098480000002</v>
      </c>
      <c r="O4036" s="72"/>
      <c r="P4036" s="36" t="str">
        <f t="shared" si="382"/>
        <v/>
      </c>
      <c r="Q4036" s="216">
        <f t="shared" si="383"/>
        <v>0.14399999999999991</v>
      </c>
      <c r="R4036" s="216">
        <f t="shared" si="384"/>
        <v>0.14400000000000002</v>
      </c>
      <c r="S4036" s="217" t="str">
        <f t="shared" si="385"/>
        <v/>
      </c>
    </row>
    <row r="4037" spans="1:19" ht="15.75" hidden="1" thickBot="1" x14ac:dyDescent="0.3">
      <c r="A4037" s="258"/>
      <c r="B4037" s="261"/>
      <c r="C4037" s="54"/>
      <c r="D4037" s="54"/>
      <c r="E4037" s="65"/>
      <c r="F4037" s="75" t="s">
        <v>416</v>
      </c>
      <c r="G4037" s="75" t="str">
        <f t="shared" si="386"/>
        <v/>
      </c>
      <c r="H4037" s="76"/>
      <c r="I4037" s="73"/>
      <c r="J4037" s="152">
        <v>0</v>
      </c>
      <c r="L4037" s="222"/>
      <c r="M4037" s="75"/>
      <c r="N4037" s="75" t="str">
        <f t="shared" si="387"/>
        <v/>
      </c>
      <c r="O4037" s="76"/>
      <c r="P4037" s="36" t="str">
        <f t="shared" si="382"/>
        <v/>
      </c>
      <c r="Q4037" s="216" t="str">
        <f t="shared" si="383"/>
        <v/>
      </c>
      <c r="R4037" s="216" t="str">
        <f t="shared" si="384"/>
        <v/>
      </c>
      <c r="S4037" s="217" t="str">
        <f t="shared" si="385"/>
        <v/>
      </c>
    </row>
    <row r="4038" spans="1:19" ht="15.75" hidden="1" thickBot="1" x14ac:dyDescent="0.3">
      <c r="A4038" s="256" t="s">
        <v>1050</v>
      </c>
      <c r="B4038" s="259" t="str">
        <f>INDEX(Orçamentária!A:B,MATCH(Composições!A4038,Orçamentária!A:A,0),2)</f>
        <v>Cotovelo de cobre de 1 5/8”</v>
      </c>
      <c r="C4038" s="40"/>
      <c r="D4038" s="25" t="s">
        <v>16</v>
      </c>
      <c r="E4038" s="26"/>
      <c r="F4038" s="48" t="s">
        <v>416</v>
      </c>
      <c r="G4038" s="27" t="str">
        <f t="shared" si="386"/>
        <v/>
      </c>
      <c r="H4038" s="28"/>
      <c r="I4038" s="29"/>
      <c r="J4038" s="152">
        <v>0</v>
      </c>
      <c r="L4038" s="218"/>
      <c r="M4038" s="48"/>
      <c r="N4038" s="27" t="str">
        <f t="shared" si="387"/>
        <v/>
      </c>
      <c r="O4038" s="28"/>
      <c r="P4038" s="36" t="str">
        <f t="shared" si="382"/>
        <v/>
      </c>
      <c r="Q4038" s="216" t="str">
        <f t="shared" si="383"/>
        <v/>
      </c>
      <c r="R4038" s="216" t="str">
        <f t="shared" si="384"/>
        <v/>
      </c>
      <c r="S4038" s="217" t="str">
        <f t="shared" si="385"/>
        <v/>
      </c>
    </row>
    <row r="4039" spans="1:19" ht="15.75" hidden="1" thickBot="1" x14ac:dyDescent="0.3">
      <c r="A4039" s="257"/>
      <c r="B4039" s="260"/>
      <c r="C4039" s="31"/>
      <c r="D4039" s="31"/>
      <c r="E4039" s="32"/>
      <c r="F4039" s="53" t="s">
        <v>416</v>
      </c>
      <c r="G4039" s="53" t="str">
        <f t="shared" si="386"/>
        <v/>
      </c>
      <c r="H4039" s="72"/>
      <c r="I4039" s="73"/>
      <c r="J4039" s="152">
        <v>0</v>
      </c>
      <c r="L4039" s="219"/>
      <c r="M4039" s="53"/>
      <c r="N4039" s="53" t="str">
        <f t="shared" si="387"/>
        <v/>
      </c>
      <c r="O4039" s="72"/>
      <c r="P4039" s="36" t="str">
        <f t="shared" si="382"/>
        <v/>
      </c>
      <c r="Q4039" s="216" t="str">
        <f t="shared" si="383"/>
        <v/>
      </c>
      <c r="R4039" s="216" t="str">
        <f t="shared" si="384"/>
        <v/>
      </c>
      <c r="S4039" s="217" t="str">
        <f t="shared" si="385"/>
        <v/>
      </c>
    </row>
    <row r="4040" spans="1:19" ht="26.25" hidden="1" thickBot="1" x14ac:dyDescent="0.3">
      <c r="A4040" s="257"/>
      <c r="B4040" s="260"/>
      <c r="C4040" s="35" t="s">
        <v>1051</v>
      </c>
      <c r="D4040" s="35" t="s">
        <v>213</v>
      </c>
      <c r="E4040" s="36">
        <v>1</v>
      </c>
      <c r="F4040" s="53">
        <v>64.067999999999998</v>
      </c>
      <c r="G4040" s="53">
        <f t="shared" si="386"/>
        <v>64.067999999999998</v>
      </c>
      <c r="H4040" s="38">
        <f>SUM(G4040:G4045)</f>
        <v>78.370864649999987</v>
      </c>
      <c r="I4040" s="39"/>
      <c r="J4040" s="152">
        <v>0</v>
      </c>
      <c r="L4040" s="215">
        <v>1</v>
      </c>
      <c r="M4040" s="53">
        <v>54.842207999999999</v>
      </c>
      <c r="N4040" s="53">
        <f t="shared" si="387"/>
        <v>54.842207999999999</v>
      </c>
      <c r="O4040" s="38">
        <f>SUM(N4040:N4045)</f>
        <v>67.085460140400002</v>
      </c>
      <c r="P4040" s="36" t="str">
        <f t="shared" ref="P4040:P4103" si="388">IF(ISBLANK(L4040),"",IF($E4040&lt;&gt;L4040,"SIM",""))</f>
        <v/>
      </c>
      <c r="Q4040" s="216">
        <f t="shared" ref="Q4040:Q4103" si="389">IF(M4040="","",1-M4040/$F4040)</f>
        <v>0.14400000000000002</v>
      </c>
      <c r="R4040" s="216">
        <f t="shared" ref="R4040:R4103" si="390">IF(N4040="","",1-N4040/$G4040)</f>
        <v>0.14400000000000002</v>
      </c>
      <c r="S4040" s="217">
        <f t="shared" ref="S4040:S4103" si="391">IF(O4040="","",1-O4040/$H4040)</f>
        <v>0.14399999999999979</v>
      </c>
    </row>
    <row r="4041" spans="1:19" ht="26.25" hidden="1" thickBot="1" x14ac:dyDescent="0.3">
      <c r="A4041" s="257"/>
      <c r="B4041" s="260"/>
      <c r="C4041" s="35" t="s">
        <v>1048</v>
      </c>
      <c r="D4041" s="35" t="s">
        <v>213</v>
      </c>
      <c r="E4041" s="36">
        <v>1.7600000000000001E-2</v>
      </c>
      <c r="F4041" s="53">
        <v>308.35099999999994</v>
      </c>
      <c r="G4041" s="53">
        <f t="shared" si="386"/>
        <v>5.426977599999999</v>
      </c>
      <c r="H4041" s="72"/>
      <c r="I4041" s="73"/>
      <c r="J4041" s="152">
        <v>0</v>
      </c>
      <c r="L4041" s="215">
        <v>1.7600000000000001E-2</v>
      </c>
      <c r="M4041" s="53">
        <v>263.94845599999996</v>
      </c>
      <c r="N4041" s="53">
        <f t="shared" si="387"/>
        <v>4.6454928255999999</v>
      </c>
      <c r="O4041" s="72"/>
      <c r="P4041" s="36" t="str">
        <f t="shared" si="388"/>
        <v/>
      </c>
      <c r="Q4041" s="216">
        <f t="shared" si="389"/>
        <v>0.14399999999999991</v>
      </c>
      <c r="R4041" s="216">
        <f t="shared" si="390"/>
        <v>0.14399999999999991</v>
      </c>
      <c r="S4041" s="217" t="str">
        <f t="shared" si="391"/>
        <v/>
      </c>
    </row>
    <row r="4042" spans="1:19" ht="15.75" hidden="1" thickBot="1" x14ac:dyDescent="0.3">
      <c r="A4042" s="257"/>
      <c r="B4042" s="260"/>
      <c r="C4042" s="35" t="s">
        <v>8220</v>
      </c>
      <c r="D4042" s="35" t="s">
        <v>213</v>
      </c>
      <c r="E4042" s="36">
        <v>6.93E-2</v>
      </c>
      <c r="F4042" s="53">
        <v>2.1185</v>
      </c>
      <c r="G4042" s="53">
        <f t="shared" si="386"/>
        <v>0.14681205</v>
      </c>
      <c r="H4042" s="72"/>
      <c r="I4042" s="73"/>
      <c r="J4042" s="152">
        <v>0</v>
      </c>
      <c r="L4042" s="215">
        <v>6.93E-2</v>
      </c>
      <c r="M4042" s="53">
        <v>1.813436</v>
      </c>
      <c r="N4042" s="53">
        <f t="shared" si="387"/>
        <v>0.12567111480000001</v>
      </c>
      <c r="O4042" s="72"/>
      <c r="P4042" s="36" t="str">
        <f t="shared" si="388"/>
        <v/>
      </c>
      <c r="Q4042" s="216">
        <f t="shared" si="389"/>
        <v>0.14400000000000002</v>
      </c>
      <c r="R4042" s="216">
        <f t="shared" si="390"/>
        <v>0.14399999999999991</v>
      </c>
      <c r="S4042" s="217" t="str">
        <f t="shared" si="391"/>
        <v/>
      </c>
    </row>
    <row r="4043" spans="1:19" ht="26.25" hidden="1" thickBot="1" x14ac:dyDescent="0.3">
      <c r="A4043" s="257"/>
      <c r="B4043" s="260"/>
      <c r="C4043" s="35" t="s">
        <v>1049</v>
      </c>
      <c r="D4043" s="35" t="s">
        <v>213</v>
      </c>
      <c r="E4043" s="36">
        <v>2.29E-2</v>
      </c>
      <c r="F4043" s="53">
        <v>56.524999999999999</v>
      </c>
      <c r="G4043" s="53">
        <f t="shared" si="386"/>
        <v>1.2944225</v>
      </c>
      <c r="H4043" s="72"/>
      <c r="I4043" s="73"/>
      <c r="J4043" s="152">
        <v>0</v>
      </c>
      <c r="L4043" s="215">
        <v>2.29E-2</v>
      </c>
      <c r="M4043" s="53">
        <v>48.385399999999997</v>
      </c>
      <c r="N4043" s="53">
        <f t="shared" si="387"/>
        <v>1.10802566</v>
      </c>
      <c r="O4043" s="72"/>
      <c r="P4043" s="36" t="str">
        <f t="shared" si="388"/>
        <v/>
      </c>
      <c r="Q4043" s="216">
        <f t="shared" si="389"/>
        <v>0.14400000000000002</v>
      </c>
      <c r="R4043" s="216">
        <f t="shared" si="390"/>
        <v>0.14400000000000002</v>
      </c>
      <c r="S4043" s="217" t="str">
        <f t="shared" si="391"/>
        <v/>
      </c>
    </row>
    <row r="4044" spans="1:19" ht="26.25" hidden="1" thickBot="1" x14ac:dyDescent="0.3">
      <c r="A4044" s="257"/>
      <c r="B4044" s="260"/>
      <c r="C4044" s="35" t="s">
        <v>824</v>
      </c>
      <c r="D4044" s="35" t="s">
        <v>583</v>
      </c>
      <c r="E4044" s="36">
        <v>0.155</v>
      </c>
      <c r="F4044" s="53">
        <v>21.166</v>
      </c>
      <c r="G4044" s="53">
        <f t="shared" si="386"/>
        <v>3.2807300000000001</v>
      </c>
      <c r="H4044" s="72"/>
      <c r="I4044" s="73"/>
      <c r="J4044" s="152">
        <v>0</v>
      </c>
      <c r="L4044" s="215">
        <v>0.155</v>
      </c>
      <c r="M4044" s="53">
        <v>18.118096000000001</v>
      </c>
      <c r="N4044" s="53">
        <f t="shared" si="387"/>
        <v>2.8083048800000001</v>
      </c>
      <c r="O4044" s="72"/>
      <c r="P4044" s="36" t="str">
        <f t="shared" si="388"/>
        <v/>
      </c>
      <c r="Q4044" s="216">
        <f t="shared" si="389"/>
        <v>0.14399999999999991</v>
      </c>
      <c r="R4044" s="216">
        <f t="shared" si="390"/>
        <v>0.14400000000000002</v>
      </c>
      <c r="S4044" s="217" t="str">
        <f t="shared" si="391"/>
        <v/>
      </c>
    </row>
    <row r="4045" spans="1:19" ht="26.25" hidden="1" thickBot="1" x14ac:dyDescent="0.3">
      <c r="A4045" s="257"/>
      <c r="B4045" s="260"/>
      <c r="C4045" s="35" t="s">
        <v>825</v>
      </c>
      <c r="D4045" s="35" t="s">
        <v>583</v>
      </c>
      <c r="E4045" s="36">
        <v>0.155</v>
      </c>
      <c r="F4045" s="53">
        <v>26.799499999999998</v>
      </c>
      <c r="G4045" s="53">
        <f t="shared" si="386"/>
        <v>4.1539224999999993</v>
      </c>
      <c r="H4045" s="72"/>
      <c r="I4045" s="73"/>
      <c r="J4045" s="152">
        <v>0</v>
      </c>
      <c r="L4045" s="215">
        <v>0.155</v>
      </c>
      <c r="M4045" s="53">
        <v>22.940372</v>
      </c>
      <c r="N4045" s="53">
        <f t="shared" si="387"/>
        <v>3.5557576599999998</v>
      </c>
      <c r="O4045" s="72"/>
      <c r="P4045" s="36" t="str">
        <f t="shared" si="388"/>
        <v/>
      </c>
      <c r="Q4045" s="216">
        <f t="shared" si="389"/>
        <v>0.14399999999999991</v>
      </c>
      <c r="R4045" s="216">
        <f t="shared" si="390"/>
        <v>0.14399999999999991</v>
      </c>
      <c r="S4045" s="217" t="str">
        <f t="shared" si="391"/>
        <v/>
      </c>
    </row>
    <row r="4046" spans="1:19" ht="15.75" hidden="1" thickBot="1" x14ac:dyDescent="0.3">
      <c r="A4046" s="258"/>
      <c r="B4046" s="261"/>
      <c r="C4046" s="54"/>
      <c r="D4046" s="54"/>
      <c r="E4046" s="65"/>
      <c r="F4046" s="75" t="s">
        <v>416</v>
      </c>
      <c r="G4046" s="75" t="str">
        <f t="shared" si="386"/>
        <v/>
      </c>
      <c r="H4046" s="76"/>
      <c r="I4046" s="73"/>
      <c r="J4046" s="152">
        <v>0</v>
      </c>
      <c r="L4046" s="222"/>
      <c r="M4046" s="75"/>
      <c r="N4046" s="75" t="str">
        <f t="shared" si="387"/>
        <v/>
      </c>
      <c r="O4046" s="76"/>
      <c r="P4046" s="36" t="str">
        <f t="shared" si="388"/>
        <v/>
      </c>
      <c r="Q4046" s="216" t="str">
        <f t="shared" si="389"/>
        <v/>
      </c>
      <c r="R4046" s="216" t="str">
        <f t="shared" si="390"/>
        <v/>
      </c>
      <c r="S4046" s="217" t="str">
        <f t="shared" si="391"/>
        <v/>
      </c>
    </row>
    <row r="4047" spans="1:19" ht="15.75" hidden="1" thickBot="1" x14ac:dyDescent="0.3">
      <c r="A4047" s="256" t="s">
        <v>1052</v>
      </c>
      <c r="B4047" s="259" t="str">
        <f>INDEX(Orçamentária!A:B,MATCH(Composições!A4047,Orçamentária!A:A,0),2)</f>
        <v>Cotovelo de cobre de 7/8”</v>
      </c>
      <c r="C4047" s="40"/>
      <c r="D4047" s="25" t="s">
        <v>16</v>
      </c>
      <c r="E4047" s="26"/>
      <c r="F4047" s="48" t="s">
        <v>416</v>
      </c>
      <c r="G4047" s="27" t="str">
        <f t="shared" si="386"/>
        <v/>
      </c>
      <c r="H4047" s="28"/>
      <c r="I4047" s="29"/>
      <c r="J4047" s="152">
        <v>0</v>
      </c>
      <c r="L4047" s="218"/>
      <c r="M4047" s="48"/>
      <c r="N4047" s="27" t="str">
        <f t="shared" si="387"/>
        <v/>
      </c>
      <c r="O4047" s="28"/>
      <c r="P4047" s="36" t="str">
        <f t="shared" si="388"/>
        <v/>
      </c>
      <c r="Q4047" s="216" t="str">
        <f t="shared" si="389"/>
        <v/>
      </c>
      <c r="R4047" s="216" t="str">
        <f t="shared" si="390"/>
        <v/>
      </c>
      <c r="S4047" s="217" t="str">
        <f t="shared" si="391"/>
        <v/>
      </c>
    </row>
    <row r="4048" spans="1:19" ht="15.75" hidden="1" thickBot="1" x14ac:dyDescent="0.3">
      <c r="A4048" s="257"/>
      <c r="B4048" s="260"/>
      <c r="C4048" s="31"/>
      <c r="D4048" s="31"/>
      <c r="E4048" s="32"/>
      <c r="F4048" s="53" t="s">
        <v>416</v>
      </c>
      <c r="G4048" s="53" t="str">
        <f t="shared" si="386"/>
        <v/>
      </c>
      <c r="H4048" s="72"/>
      <c r="I4048" s="73"/>
      <c r="J4048" s="152">
        <v>0</v>
      </c>
      <c r="L4048" s="219"/>
      <c r="M4048" s="53"/>
      <c r="N4048" s="53" t="str">
        <f t="shared" si="387"/>
        <v/>
      </c>
      <c r="O4048" s="72"/>
      <c r="P4048" s="36" t="str">
        <f t="shared" si="388"/>
        <v/>
      </c>
      <c r="Q4048" s="216" t="str">
        <f t="shared" si="389"/>
        <v/>
      </c>
      <c r="R4048" s="216" t="str">
        <f t="shared" si="390"/>
        <v/>
      </c>
      <c r="S4048" s="217" t="str">
        <f t="shared" si="391"/>
        <v/>
      </c>
    </row>
    <row r="4049" spans="1:19" ht="26.25" hidden="1" thickBot="1" x14ac:dyDescent="0.3">
      <c r="A4049" s="257"/>
      <c r="B4049" s="260"/>
      <c r="C4049" s="35" t="s">
        <v>1053</v>
      </c>
      <c r="D4049" s="35" t="s">
        <v>213</v>
      </c>
      <c r="E4049" s="36">
        <v>1</v>
      </c>
      <c r="F4049" s="53">
        <v>12.359499999999999</v>
      </c>
      <c r="G4049" s="53">
        <f t="shared" si="386"/>
        <v>12.359499999999999</v>
      </c>
      <c r="H4049" s="38">
        <f>SUM(G4049:G4054)</f>
        <v>18.891899500000001</v>
      </c>
      <c r="I4049" s="39"/>
      <c r="J4049" s="152">
        <v>0</v>
      </c>
      <c r="L4049" s="215">
        <v>1</v>
      </c>
      <c r="M4049" s="53">
        <v>10.579732</v>
      </c>
      <c r="N4049" s="53">
        <f t="shared" si="387"/>
        <v>10.579732</v>
      </c>
      <c r="O4049" s="38">
        <f>SUM(N4049:N4054)</f>
        <v>16.171465972</v>
      </c>
      <c r="P4049" s="36" t="str">
        <f t="shared" si="388"/>
        <v/>
      </c>
      <c r="Q4049" s="216">
        <f t="shared" si="389"/>
        <v>0.14399999999999991</v>
      </c>
      <c r="R4049" s="216">
        <f t="shared" si="390"/>
        <v>0.14399999999999991</v>
      </c>
      <c r="S4049" s="217">
        <f t="shared" si="391"/>
        <v>0.14400000000000002</v>
      </c>
    </row>
    <row r="4050" spans="1:19" ht="26.25" hidden="1" thickBot="1" x14ac:dyDescent="0.3">
      <c r="A4050" s="257"/>
      <c r="B4050" s="260"/>
      <c r="C4050" s="35" t="s">
        <v>1048</v>
      </c>
      <c r="D4050" s="35" t="s">
        <v>213</v>
      </c>
      <c r="E4050" s="36">
        <v>4.7999999999999996E-3</v>
      </c>
      <c r="F4050" s="53">
        <v>308.35099999999994</v>
      </c>
      <c r="G4050" s="53">
        <f t="shared" si="386"/>
        <v>1.4800847999999995</v>
      </c>
      <c r="H4050" s="72"/>
      <c r="I4050" s="73"/>
      <c r="J4050" s="152">
        <v>0</v>
      </c>
      <c r="L4050" s="215">
        <v>4.7999999999999996E-3</v>
      </c>
      <c r="M4050" s="53">
        <v>263.94845599999996</v>
      </c>
      <c r="N4050" s="53">
        <f t="shared" si="387"/>
        <v>1.2669525887999997</v>
      </c>
      <c r="O4050" s="72"/>
      <c r="P4050" s="36" t="str">
        <f t="shared" si="388"/>
        <v/>
      </c>
      <c r="Q4050" s="216">
        <f t="shared" si="389"/>
        <v>0.14399999999999991</v>
      </c>
      <c r="R4050" s="216">
        <f t="shared" si="390"/>
        <v>0.14399999999999991</v>
      </c>
      <c r="S4050" s="217" t="str">
        <f t="shared" si="391"/>
        <v/>
      </c>
    </row>
    <row r="4051" spans="1:19" ht="15.75" hidden="1" thickBot="1" x14ac:dyDescent="0.3">
      <c r="A4051" s="257"/>
      <c r="B4051" s="260"/>
      <c r="C4051" s="35" t="s">
        <v>8220</v>
      </c>
      <c r="D4051" s="35" t="s">
        <v>213</v>
      </c>
      <c r="E4051" s="36">
        <v>4.3200000000000002E-2</v>
      </c>
      <c r="F4051" s="53">
        <v>2.1185</v>
      </c>
      <c r="G4051" s="53">
        <f t="shared" si="386"/>
        <v>9.1519200000000009E-2</v>
      </c>
      <c r="H4051" s="72"/>
      <c r="I4051" s="73"/>
      <c r="J4051" s="152">
        <v>0</v>
      </c>
      <c r="L4051" s="215">
        <v>4.3200000000000002E-2</v>
      </c>
      <c r="M4051" s="53">
        <v>1.813436</v>
      </c>
      <c r="N4051" s="53">
        <f t="shared" si="387"/>
        <v>7.8340435200000003E-2</v>
      </c>
      <c r="O4051" s="72"/>
      <c r="P4051" s="36" t="str">
        <f t="shared" si="388"/>
        <v/>
      </c>
      <c r="Q4051" s="216">
        <f t="shared" si="389"/>
        <v>0.14400000000000002</v>
      </c>
      <c r="R4051" s="216">
        <f t="shared" si="390"/>
        <v>0.14400000000000002</v>
      </c>
      <c r="S4051" s="217" t="str">
        <f t="shared" si="391"/>
        <v/>
      </c>
    </row>
    <row r="4052" spans="1:19" ht="26.25" hidden="1" thickBot="1" x14ac:dyDescent="0.3">
      <c r="A4052" s="257"/>
      <c r="B4052" s="260"/>
      <c r="C4052" s="35" t="s">
        <v>1049</v>
      </c>
      <c r="D4052" s="35" t="s">
        <v>213</v>
      </c>
      <c r="E4052" s="36">
        <v>6.3E-3</v>
      </c>
      <c r="F4052" s="53">
        <v>56.524999999999999</v>
      </c>
      <c r="G4052" s="53">
        <f t="shared" si="386"/>
        <v>0.35610750000000002</v>
      </c>
      <c r="H4052" s="72"/>
      <c r="I4052" s="73"/>
      <c r="J4052" s="152">
        <v>0</v>
      </c>
      <c r="L4052" s="215">
        <v>6.3E-3</v>
      </c>
      <c r="M4052" s="53">
        <v>48.385399999999997</v>
      </c>
      <c r="N4052" s="53">
        <f t="shared" si="387"/>
        <v>0.30482801999999998</v>
      </c>
      <c r="O4052" s="72"/>
      <c r="P4052" s="36" t="str">
        <f t="shared" si="388"/>
        <v/>
      </c>
      <c r="Q4052" s="216">
        <f t="shared" si="389"/>
        <v>0.14400000000000002</v>
      </c>
      <c r="R4052" s="216">
        <f t="shared" si="390"/>
        <v>0.14400000000000013</v>
      </c>
      <c r="S4052" s="217" t="str">
        <f t="shared" si="391"/>
        <v/>
      </c>
    </row>
    <row r="4053" spans="1:19" ht="26.25" hidden="1" thickBot="1" x14ac:dyDescent="0.3">
      <c r="A4053" s="257"/>
      <c r="B4053" s="260"/>
      <c r="C4053" s="35" t="s">
        <v>824</v>
      </c>
      <c r="D4053" s="35" t="s">
        <v>583</v>
      </c>
      <c r="E4053" s="36">
        <v>9.6000000000000002E-2</v>
      </c>
      <c r="F4053" s="53">
        <v>21.166</v>
      </c>
      <c r="G4053" s="53">
        <f t="shared" si="386"/>
        <v>2.031936</v>
      </c>
      <c r="H4053" s="72"/>
      <c r="I4053" s="73"/>
      <c r="J4053" s="152">
        <v>0</v>
      </c>
      <c r="L4053" s="215">
        <v>9.6000000000000002E-2</v>
      </c>
      <c r="M4053" s="53">
        <v>18.118096000000001</v>
      </c>
      <c r="N4053" s="53">
        <f t="shared" si="387"/>
        <v>1.7393372160000002</v>
      </c>
      <c r="O4053" s="72"/>
      <c r="P4053" s="36" t="str">
        <f t="shared" si="388"/>
        <v/>
      </c>
      <c r="Q4053" s="216">
        <f t="shared" si="389"/>
        <v>0.14399999999999991</v>
      </c>
      <c r="R4053" s="216">
        <f t="shared" si="390"/>
        <v>0.14399999999999991</v>
      </c>
      <c r="S4053" s="217" t="str">
        <f t="shared" si="391"/>
        <v/>
      </c>
    </row>
    <row r="4054" spans="1:19" ht="26.25" hidden="1" thickBot="1" x14ac:dyDescent="0.3">
      <c r="A4054" s="257"/>
      <c r="B4054" s="260"/>
      <c r="C4054" s="35" t="s">
        <v>825</v>
      </c>
      <c r="D4054" s="35" t="s">
        <v>583</v>
      </c>
      <c r="E4054" s="36">
        <v>9.6000000000000002E-2</v>
      </c>
      <c r="F4054" s="53">
        <v>26.799499999999998</v>
      </c>
      <c r="G4054" s="53">
        <f t="shared" si="386"/>
        <v>2.5727519999999999</v>
      </c>
      <c r="H4054" s="72"/>
      <c r="I4054" s="73"/>
      <c r="J4054" s="152">
        <v>0</v>
      </c>
      <c r="L4054" s="215">
        <v>9.6000000000000002E-2</v>
      </c>
      <c r="M4054" s="53">
        <v>22.940372</v>
      </c>
      <c r="N4054" s="53">
        <f t="shared" si="387"/>
        <v>2.2022757120000001</v>
      </c>
      <c r="O4054" s="72"/>
      <c r="P4054" s="36" t="str">
        <f t="shared" si="388"/>
        <v/>
      </c>
      <c r="Q4054" s="216">
        <f t="shared" si="389"/>
        <v>0.14399999999999991</v>
      </c>
      <c r="R4054" s="216">
        <f t="shared" si="390"/>
        <v>0.14399999999999991</v>
      </c>
      <c r="S4054" s="217" t="str">
        <f t="shared" si="391"/>
        <v/>
      </c>
    </row>
    <row r="4055" spans="1:19" ht="15.75" hidden="1" thickBot="1" x14ac:dyDescent="0.3">
      <c r="A4055" s="258"/>
      <c r="B4055" s="261"/>
      <c r="C4055" s="54"/>
      <c r="D4055" s="54"/>
      <c r="E4055" s="65"/>
      <c r="F4055" s="75" t="s">
        <v>416</v>
      </c>
      <c r="G4055" s="75" t="str">
        <f t="shared" si="386"/>
        <v/>
      </c>
      <c r="H4055" s="76"/>
      <c r="I4055" s="73"/>
      <c r="J4055" s="152">
        <v>0</v>
      </c>
      <c r="L4055" s="222"/>
      <c r="M4055" s="75"/>
      <c r="N4055" s="75" t="str">
        <f t="shared" si="387"/>
        <v/>
      </c>
      <c r="O4055" s="76"/>
      <c r="P4055" s="36" t="str">
        <f t="shared" si="388"/>
        <v/>
      </c>
      <c r="Q4055" s="216" t="str">
        <f t="shared" si="389"/>
        <v/>
      </c>
      <c r="R4055" s="216" t="str">
        <f t="shared" si="390"/>
        <v/>
      </c>
      <c r="S4055" s="217" t="str">
        <f t="shared" si="391"/>
        <v/>
      </c>
    </row>
    <row r="4056" spans="1:19" ht="15.75" hidden="1" thickBot="1" x14ac:dyDescent="0.3">
      <c r="A4056" s="256" t="s">
        <v>1054</v>
      </c>
      <c r="B4056" s="259" t="str">
        <f>INDEX(Orçamentária!A:B,MATCH(Composições!A4056,Orçamentária!A:A,0),2)</f>
        <v>Luva de cobre de 1 3/8”</v>
      </c>
      <c r="C4056" s="40"/>
      <c r="D4056" s="25" t="s">
        <v>16</v>
      </c>
      <c r="E4056" s="26"/>
      <c r="F4056" s="48" t="s">
        <v>416</v>
      </c>
      <c r="G4056" s="27" t="str">
        <f t="shared" si="386"/>
        <v/>
      </c>
      <c r="H4056" s="28"/>
      <c r="I4056" s="29"/>
      <c r="J4056" s="152">
        <v>0</v>
      </c>
      <c r="L4056" s="218"/>
      <c r="M4056" s="48"/>
      <c r="N4056" s="27" t="str">
        <f t="shared" si="387"/>
        <v/>
      </c>
      <c r="O4056" s="28"/>
      <c r="P4056" s="36" t="str">
        <f t="shared" si="388"/>
        <v/>
      </c>
      <c r="Q4056" s="216" t="str">
        <f t="shared" si="389"/>
        <v/>
      </c>
      <c r="R4056" s="216" t="str">
        <f t="shared" si="390"/>
        <v/>
      </c>
      <c r="S4056" s="217" t="str">
        <f t="shared" si="391"/>
        <v/>
      </c>
    </row>
    <row r="4057" spans="1:19" ht="15.75" hidden="1" thickBot="1" x14ac:dyDescent="0.3">
      <c r="A4057" s="257"/>
      <c r="B4057" s="260"/>
      <c r="C4057" s="31"/>
      <c r="D4057" s="31"/>
      <c r="E4057" s="32"/>
      <c r="F4057" s="53" t="s">
        <v>416</v>
      </c>
      <c r="G4057" s="53" t="str">
        <f t="shared" si="386"/>
        <v/>
      </c>
      <c r="H4057" s="72"/>
      <c r="I4057" s="73"/>
      <c r="J4057" s="152">
        <v>0</v>
      </c>
      <c r="L4057" s="219"/>
      <c r="M4057" s="53"/>
      <c r="N4057" s="53" t="str">
        <f t="shared" si="387"/>
        <v/>
      </c>
      <c r="O4057" s="72"/>
      <c r="P4057" s="36" t="str">
        <f t="shared" si="388"/>
        <v/>
      </c>
      <c r="Q4057" s="216" t="str">
        <f t="shared" si="389"/>
        <v/>
      </c>
      <c r="R4057" s="216" t="str">
        <f t="shared" si="390"/>
        <v/>
      </c>
      <c r="S4057" s="217" t="str">
        <f t="shared" si="391"/>
        <v/>
      </c>
    </row>
    <row r="4058" spans="1:19" ht="26.25" hidden="1" thickBot="1" x14ac:dyDescent="0.3">
      <c r="A4058" s="257"/>
      <c r="B4058" s="260"/>
      <c r="C4058" s="35" t="s">
        <v>1055</v>
      </c>
      <c r="D4058" s="35" t="s">
        <v>213</v>
      </c>
      <c r="E4058" s="36">
        <v>1</v>
      </c>
      <c r="F4058" s="53">
        <v>25.934999999999999</v>
      </c>
      <c r="G4058" s="53">
        <f t="shared" si="386"/>
        <v>25.934999999999999</v>
      </c>
      <c r="H4058" s="38">
        <f>SUM(G4058:G4063)</f>
        <v>33.530386800000002</v>
      </c>
      <c r="I4058" s="39"/>
      <c r="J4058" s="152">
        <v>0</v>
      </c>
      <c r="L4058" s="215">
        <v>1</v>
      </c>
      <c r="M4058" s="53">
        <v>22.20036</v>
      </c>
      <c r="N4058" s="53">
        <f t="shared" si="387"/>
        <v>22.20036</v>
      </c>
      <c r="O4058" s="38">
        <f>SUM(N4058:N4063)</f>
        <v>28.702011100799997</v>
      </c>
      <c r="P4058" s="36" t="str">
        <f t="shared" si="388"/>
        <v/>
      </c>
      <c r="Q4058" s="216">
        <f t="shared" si="389"/>
        <v>0.14400000000000002</v>
      </c>
      <c r="R4058" s="216">
        <f t="shared" si="390"/>
        <v>0.14400000000000002</v>
      </c>
      <c r="S4058" s="217">
        <f t="shared" si="391"/>
        <v>0.14400000000000013</v>
      </c>
    </row>
    <row r="4059" spans="1:19" ht="26.25" hidden="1" thickBot="1" x14ac:dyDescent="0.3">
      <c r="A4059" s="257"/>
      <c r="B4059" s="260"/>
      <c r="C4059" s="35" t="s">
        <v>1048</v>
      </c>
      <c r="D4059" s="35" t="s">
        <v>213</v>
      </c>
      <c r="E4059" s="36">
        <v>8.3999999999999995E-3</v>
      </c>
      <c r="F4059" s="53">
        <v>308.35099999999994</v>
      </c>
      <c r="G4059" s="53">
        <f t="shared" si="386"/>
        <v>2.5901483999999995</v>
      </c>
      <c r="H4059" s="72"/>
      <c r="I4059" s="73"/>
      <c r="J4059" s="152">
        <v>0</v>
      </c>
      <c r="L4059" s="215">
        <v>8.3999999999999995E-3</v>
      </c>
      <c r="M4059" s="53">
        <v>263.94845599999996</v>
      </c>
      <c r="N4059" s="53">
        <f t="shared" si="387"/>
        <v>2.2171670303999997</v>
      </c>
      <c r="O4059" s="72"/>
      <c r="P4059" s="36" t="str">
        <f t="shared" si="388"/>
        <v/>
      </c>
      <c r="Q4059" s="216">
        <f t="shared" si="389"/>
        <v>0.14399999999999991</v>
      </c>
      <c r="R4059" s="216">
        <f t="shared" si="390"/>
        <v>0.14399999999999991</v>
      </c>
      <c r="S4059" s="217" t="str">
        <f t="shared" si="391"/>
        <v/>
      </c>
    </row>
    <row r="4060" spans="1:19" ht="15.75" hidden="1" thickBot="1" x14ac:dyDescent="0.3">
      <c r="A4060" s="257"/>
      <c r="B4060" s="260"/>
      <c r="C4060" s="35" t="s">
        <v>8220</v>
      </c>
      <c r="D4060" s="35" t="s">
        <v>213</v>
      </c>
      <c r="E4060" s="36">
        <v>5.9400000000000001E-2</v>
      </c>
      <c r="F4060" s="53">
        <v>2.1185</v>
      </c>
      <c r="G4060" s="53">
        <f t="shared" si="386"/>
        <v>0.1258389</v>
      </c>
      <c r="H4060" s="72"/>
      <c r="I4060" s="73"/>
      <c r="J4060" s="152">
        <v>0</v>
      </c>
      <c r="L4060" s="215">
        <v>5.9400000000000001E-2</v>
      </c>
      <c r="M4060" s="53">
        <v>1.813436</v>
      </c>
      <c r="N4060" s="53">
        <f t="shared" si="387"/>
        <v>0.1077180984</v>
      </c>
      <c r="O4060" s="72"/>
      <c r="P4060" s="36" t="str">
        <f t="shared" si="388"/>
        <v/>
      </c>
      <c r="Q4060" s="216">
        <f t="shared" si="389"/>
        <v>0.14400000000000002</v>
      </c>
      <c r="R4060" s="216">
        <f t="shared" si="390"/>
        <v>0.14400000000000002</v>
      </c>
      <c r="S4060" s="217" t="str">
        <f t="shared" si="391"/>
        <v/>
      </c>
    </row>
    <row r="4061" spans="1:19" ht="26.25" hidden="1" thickBot="1" x14ac:dyDescent="0.3">
      <c r="A4061" s="257"/>
      <c r="B4061" s="260"/>
      <c r="C4061" s="35" t="s">
        <v>1049</v>
      </c>
      <c r="D4061" s="35" t="s">
        <v>213</v>
      </c>
      <c r="E4061" s="36">
        <v>1.0800000000000001E-2</v>
      </c>
      <c r="F4061" s="53">
        <v>56.524999999999999</v>
      </c>
      <c r="G4061" s="53">
        <f t="shared" si="386"/>
        <v>0.61047000000000007</v>
      </c>
      <c r="H4061" s="72"/>
      <c r="I4061" s="73"/>
      <c r="J4061" s="152">
        <v>0</v>
      </c>
      <c r="L4061" s="215">
        <v>1.0800000000000001E-2</v>
      </c>
      <c r="M4061" s="53">
        <v>48.385399999999997</v>
      </c>
      <c r="N4061" s="53">
        <f t="shared" si="387"/>
        <v>0.52256232000000002</v>
      </c>
      <c r="O4061" s="72"/>
      <c r="P4061" s="36" t="str">
        <f t="shared" si="388"/>
        <v/>
      </c>
      <c r="Q4061" s="216">
        <f t="shared" si="389"/>
        <v>0.14400000000000002</v>
      </c>
      <c r="R4061" s="216">
        <f t="shared" si="390"/>
        <v>0.14400000000000002</v>
      </c>
      <c r="S4061" s="217" t="str">
        <f t="shared" si="391"/>
        <v/>
      </c>
    </row>
    <row r="4062" spans="1:19" ht="26.25" hidden="1" thickBot="1" x14ac:dyDescent="0.3">
      <c r="A4062" s="257"/>
      <c r="B4062" s="260"/>
      <c r="C4062" s="35" t="s">
        <v>824</v>
      </c>
      <c r="D4062" s="35" t="s">
        <v>583</v>
      </c>
      <c r="E4062" s="36">
        <v>8.8999999999999996E-2</v>
      </c>
      <c r="F4062" s="53">
        <v>21.166</v>
      </c>
      <c r="G4062" s="53">
        <f t="shared" si="386"/>
        <v>1.8837739999999998</v>
      </c>
      <c r="H4062" s="72"/>
      <c r="I4062" s="73"/>
      <c r="J4062" s="152">
        <v>0</v>
      </c>
      <c r="L4062" s="215">
        <v>8.8999999999999996E-2</v>
      </c>
      <c r="M4062" s="53">
        <v>18.118096000000001</v>
      </c>
      <c r="N4062" s="53">
        <f t="shared" si="387"/>
        <v>1.612510544</v>
      </c>
      <c r="O4062" s="72"/>
      <c r="P4062" s="36" t="str">
        <f t="shared" si="388"/>
        <v/>
      </c>
      <c r="Q4062" s="216">
        <f t="shared" si="389"/>
        <v>0.14399999999999991</v>
      </c>
      <c r="R4062" s="216">
        <f t="shared" si="390"/>
        <v>0.14399999999999991</v>
      </c>
      <c r="S4062" s="217" t="str">
        <f t="shared" si="391"/>
        <v/>
      </c>
    </row>
    <row r="4063" spans="1:19" ht="26.25" hidden="1" thickBot="1" x14ac:dyDescent="0.3">
      <c r="A4063" s="257"/>
      <c r="B4063" s="260"/>
      <c r="C4063" s="35" t="s">
        <v>825</v>
      </c>
      <c r="D4063" s="35" t="s">
        <v>583</v>
      </c>
      <c r="E4063" s="36">
        <v>8.8999999999999996E-2</v>
      </c>
      <c r="F4063" s="53">
        <v>26.799499999999998</v>
      </c>
      <c r="G4063" s="53">
        <f t="shared" si="386"/>
        <v>2.3851554999999998</v>
      </c>
      <c r="H4063" s="72"/>
      <c r="I4063" s="73"/>
      <c r="J4063" s="152">
        <v>0</v>
      </c>
      <c r="L4063" s="215">
        <v>8.8999999999999996E-2</v>
      </c>
      <c r="M4063" s="53">
        <v>22.940372</v>
      </c>
      <c r="N4063" s="53">
        <f t="shared" si="387"/>
        <v>2.041693108</v>
      </c>
      <c r="O4063" s="72"/>
      <c r="P4063" s="36" t="str">
        <f t="shared" si="388"/>
        <v/>
      </c>
      <c r="Q4063" s="216">
        <f t="shared" si="389"/>
        <v>0.14399999999999991</v>
      </c>
      <c r="R4063" s="216">
        <f t="shared" si="390"/>
        <v>0.14399999999999991</v>
      </c>
      <c r="S4063" s="217" t="str">
        <f t="shared" si="391"/>
        <v/>
      </c>
    </row>
    <row r="4064" spans="1:19" ht="15.75" hidden="1" thickBot="1" x14ac:dyDescent="0.3">
      <c r="A4064" s="258"/>
      <c r="B4064" s="261"/>
      <c r="C4064" s="54"/>
      <c r="D4064" s="54"/>
      <c r="E4064" s="65"/>
      <c r="F4064" s="75" t="s">
        <v>416</v>
      </c>
      <c r="G4064" s="75" t="str">
        <f t="shared" si="386"/>
        <v/>
      </c>
      <c r="H4064" s="76"/>
      <c r="I4064" s="73"/>
      <c r="J4064" s="152">
        <v>0</v>
      </c>
      <c r="L4064" s="222"/>
      <c r="M4064" s="75"/>
      <c r="N4064" s="75" t="str">
        <f t="shared" si="387"/>
        <v/>
      </c>
      <c r="O4064" s="76"/>
      <c r="P4064" s="36" t="str">
        <f t="shared" si="388"/>
        <v/>
      </c>
      <c r="Q4064" s="216" t="str">
        <f t="shared" si="389"/>
        <v/>
      </c>
      <c r="R4064" s="216" t="str">
        <f t="shared" si="390"/>
        <v/>
      </c>
      <c r="S4064" s="217" t="str">
        <f t="shared" si="391"/>
        <v/>
      </c>
    </row>
    <row r="4065" spans="1:19" ht="15.75" hidden="1" thickBot="1" x14ac:dyDescent="0.3">
      <c r="A4065" s="256" t="s">
        <v>1056</v>
      </c>
      <c r="B4065" s="259" t="str">
        <f>INDEX(Orçamentária!A:B,MATCH(Composições!A4065,Orçamentária!A:A,0),2)</f>
        <v>Luva de cobre de 1 5/8”</v>
      </c>
      <c r="C4065" s="40"/>
      <c r="D4065" s="25" t="s">
        <v>16</v>
      </c>
      <c r="E4065" s="26"/>
      <c r="F4065" s="48" t="s">
        <v>416</v>
      </c>
      <c r="G4065" s="27" t="str">
        <f t="shared" si="386"/>
        <v/>
      </c>
      <c r="H4065" s="28"/>
      <c r="I4065" s="29"/>
      <c r="J4065" s="152">
        <v>0</v>
      </c>
      <c r="L4065" s="218"/>
      <c r="M4065" s="48"/>
      <c r="N4065" s="27" t="str">
        <f t="shared" si="387"/>
        <v/>
      </c>
      <c r="O4065" s="28"/>
      <c r="P4065" s="36" t="str">
        <f t="shared" si="388"/>
        <v/>
      </c>
      <c r="Q4065" s="216" t="str">
        <f t="shared" si="389"/>
        <v/>
      </c>
      <c r="R4065" s="216" t="str">
        <f t="shared" si="390"/>
        <v/>
      </c>
      <c r="S4065" s="217" t="str">
        <f t="shared" si="391"/>
        <v/>
      </c>
    </row>
    <row r="4066" spans="1:19" ht="15.75" hidden="1" thickBot="1" x14ac:dyDescent="0.3">
      <c r="A4066" s="257"/>
      <c r="B4066" s="260"/>
      <c r="C4066" s="31"/>
      <c r="D4066" s="31"/>
      <c r="E4066" s="32"/>
      <c r="F4066" s="53" t="s">
        <v>416</v>
      </c>
      <c r="G4066" s="53" t="str">
        <f t="shared" si="386"/>
        <v/>
      </c>
      <c r="H4066" s="72"/>
      <c r="I4066" s="73"/>
      <c r="J4066" s="152">
        <v>0</v>
      </c>
      <c r="L4066" s="219"/>
      <c r="M4066" s="53"/>
      <c r="N4066" s="53" t="str">
        <f t="shared" si="387"/>
        <v/>
      </c>
      <c r="O4066" s="72"/>
      <c r="P4066" s="36" t="str">
        <f t="shared" si="388"/>
        <v/>
      </c>
      <c r="Q4066" s="216" t="str">
        <f t="shared" si="389"/>
        <v/>
      </c>
      <c r="R4066" s="216" t="str">
        <f t="shared" si="390"/>
        <v/>
      </c>
      <c r="S4066" s="217" t="str">
        <f t="shared" si="391"/>
        <v/>
      </c>
    </row>
    <row r="4067" spans="1:19" ht="26.25" hidden="1" thickBot="1" x14ac:dyDescent="0.3">
      <c r="A4067" s="257"/>
      <c r="B4067" s="260"/>
      <c r="C4067" s="35" t="s">
        <v>1057</v>
      </c>
      <c r="D4067" s="35" t="s">
        <v>213</v>
      </c>
      <c r="E4067" s="36">
        <v>1</v>
      </c>
      <c r="F4067" s="53">
        <v>32.888999999999996</v>
      </c>
      <c r="G4067" s="53">
        <f t="shared" si="386"/>
        <v>32.888999999999996</v>
      </c>
      <c r="H4067" s="38">
        <f>SUM(G4067:G4072)</f>
        <v>44.697658650000001</v>
      </c>
      <c r="I4067" s="39"/>
      <c r="J4067" s="152">
        <v>0</v>
      </c>
      <c r="L4067" s="215">
        <v>1</v>
      </c>
      <c r="M4067" s="53">
        <v>28.152983999999996</v>
      </c>
      <c r="N4067" s="53">
        <f t="shared" si="387"/>
        <v>28.152983999999996</v>
      </c>
      <c r="O4067" s="38">
        <f>SUM(N4067:N4072)</f>
        <v>38.261195804400003</v>
      </c>
      <c r="P4067" s="36" t="str">
        <f t="shared" si="388"/>
        <v/>
      </c>
      <c r="Q4067" s="216">
        <f t="shared" si="389"/>
        <v>0.14400000000000002</v>
      </c>
      <c r="R4067" s="216">
        <f t="shared" si="390"/>
        <v>0.14400000000000002</v>
      </c>
      <c r="S4067" s="217">
        <f t="shared" si="391"/>
        <v>0.14399999999999991</v>
      </c>
    </row>
    <row r="4068" spans="1:19" ht="26.25" hidden="1" thickBot="1" x14ac:dyDescent="0.3">
      <c r="A4068" s="257"/>
      <c r="B4068" s="260"/>
      <c r="C4068" s="35" t="s">
        <v>1048</v>
      </c>
      <c r="D4068" s="35" t="s">
        <v>213</v>
      </c>
      <c r="E4068" s="36">
        <v>1.7600000000000001E-2</v>
      </c>
      <c r="F4068" s="53">
        <v>308.35099999999994</v>
      </c>
      <c r="G4068" s="53">
        <f t="shared" si="386"/>
        <v>5.426977599999999</v>
      </c>
      <c r="H4068" s="72"/>
      <c r="I4068" s="73"/>
      <c r="J4068" s="152">
        <v>0</v>
      </c>
      <c r="L4068" s="215">
        <v>1.7600000000000001E-2</v>
      </c>
      <c r="M4068" s="53">
        <v>263.94845599999996</v>
      </c>
      <c r="N4068" s="53">
        <f t="shared" si="387"/>
        <v>4.6454928255999999</v>
      </c>
      <c r="O4068" s="72"/>
      <c r="P4068" s="36" t="str">
        <f t="shared" si="388"/>
        <v/>
      </c>
      <c r="Q4068" s="216">
        <f t="shared" si="389"/>
        <v>0.14399999999999991</v>
      </c>
      <c r="R4068" s="216">
        <f t="shared" si="390"/>
        <v>0.14399999999999991</v>
      </c>
      <c r="S4068" s="217" t="str">
        <f t="shared" si="391"/>
        <v/>
      </c>
    </row>
    <row r="4069" spans="1:19" ht="15.75" hidden="1" thickBot="1" x14ac:dyDescent="0.3">
      <c r="A4069" s="257"/>
      <c r="B4069" s="260"/>
      <c r="C4069" s="35" t="s">
        <v>8220</v>
      </c>
      <c r="D4069" s="35" t="s">
        <v>213</v>
      </c>
      <c r="E4069" s="36">
        <v>6.93E-2</v>
      </c>
      <c r="F4069" s="53">
        <v>2.1185</v>
      </c>
      <c r="G4069" s="53">
        <f t="shared" si="386"/>
        <v>0.14681205</v>
      </c>
      <c r="H4069" s="72"/>
      <c r="I4069" s="73"/>
      <c r="J4069" s="152">
        <v>0</v>
      </c>
      <c r="L4069" s="215">
        <v>6.93E-2</v>
      </c>
      <c r="M4069" s="53">
        <v>1.813436</v>
      </c>
      <c r="N4069" s="53">
        <f t="shared" si="387"/>
        <v>0.12567111480000001</v>
      </c>
      <c r="O4069" s="72"/>
      <c r="P4069" s="36" t="str">
        <f t="shared" si="388"/>
        <v/>
      </c>
      <c r="Q4069" s="216">
        <f t="shared" si="389"/>
        <v>0.14400000000000002</v>
      </c>
      <c r="R4069" s="216">
        <f t="shared" si="390"/>
        <v>0.14399999999999991</v>
      </c>
      <c r="S4069" s="217" t="str">
        <f t="shared" si="391"/>
        <v/>
      </c>
    </row>
    <row r="4070" spans="1:19" ht="26.25" hidden="1" thickBot="1" x14ac:dyDescent="0.3">
      <c r="A4070" s="257"/>
      <c r="B4070" s="260"/>
      <c r="C4070" s="35" t="s">
        <v>1049</v>
      </c>
      <c r="D4070" s="35" t="s">
        <v>213</v>
      </c>
      <c r="E4070" s="36">
        <v>2.29E-2</v>
      </c>
      <c r="F4070" s="53">
        <v>56.524999999999999</v>
      </c>
      <c r="G4070" s="53">
        <f t="shared" si="386"/>
        <v>1.2944225</v>
      </c>
      <c r="H4070" s="72"/>
      <c r="I4070" s="73"/>
      <c r="J4070" s="152">
        <v>0</v>
      </c>
      <c r="L4070" s="215">
        <v>2.29E-2</v>
      </c>
      <c r="M4070" s="53">
        <v>48.385399999999997</v>
      </c>
      <c r="N4070" s="53">
        <f t="shared" si="387"/>
        <v>1.10802566</v>
      </c>
      <c r="O4070" s="72"/>
      <c r="P4070" s="36" t="str">
        <f t="shared" si="388"/>
        <v/>
      </c>
      <c r="Q4070" s="216">
        <f t="shared" si="389"/>
        <v>0.14400000000000002</v>
      </c>
      <c r="R4070" s="216">
        <f t="shared" si="390"/>
        <v>0.14400000000000002</v>
      </c>
      <c r="S4070" s="217" t="str">
        <f t="shared" si="391"/>
        <v/>
      </c>
    </row>
    <row r="4071" spans="1:19" ht="26.25" hidden="1" thickBot="1" x14ac:dyDescent="0.3">
      <c r="A4071" s="257"/>
      <c r="B4071" s="260"/>
      <c r="C4071" s="35" t="s">
        <v>824</v>
      </c>
      <c r="D4071" s="35" t="s">
        <v>583</v>
      </c>
      <c r="E4071" s="36">
        <v>0.10299999999999999</v>
      </c>
      <c r="F4071" s="53">
        <v>21.166</v>
      </c>
      <c r="G4071" s="53">
        <f t="shared" si="386"/>
        <v>2.1800980000000001</v>
      </c>
      <c r="H4071" s="72"/>
      <c r="I4071" s="73"/>
      <c r="J4071" s="152">
        <v>0</v>
      </c>
      <c r="L4071" s="215">
        <v>0.10299999999999999</v>
      </c>
      <c r="M4071" s="53">
        <v>18.118096000000001</v>
      </c>
      <c r="N4071" s="53">
        <f t="shared" si="387"/>
        <v>1.866163888</v>
      </c>
      <c r="O4071" s="72"/>
      <c r="P4071" s="36" t="str">
        <f t="shared" si="388"/>
        <v/>
      </c>
      <c r="Q4071" s="216">
        <f t="shared" si="389"/>
        <v>0.14399999999999991</v>
      </c>
      <c r="R4071" s="216">
        <f t="shared" si="390"/>
        <v>0.14400000000000002</v>
      </c>
      <c r="S4071" s="217" t="str">
        <f t="shared" si="391"/>
        <v/>
      </c>
    </row>
    <row r="4072" spans="1:19" ht="26.25" hidden="1" thickBot="1" x14ac:dyDescent="0.3">
      <c r="A4072" s="257"/>
      <c r="B4072" s="260"/>
      <c r="C4072" s="35" t="s">
        <v>825</v>
      </c>
      <c r="D4072" s="35" t="s">
        <v>583</v>
      </c>
      <c r="E4072" s="36">
        <v>0.10299999999999999</v>
      </c>
      <c r="F4072" s="53">
        <v>26.799499999999998</v>
      </c>
      <c r="G4072" s="53">
        <f t="shared" si="386"/>
        <v>2.7603484999999996</v>
      </c>
      <c r="H4072" s="72"/>
      <c r="I4072" s="73"/>
      <c r="J4072" s="152">
        <v>0</v>
      </c>
      <c r="L4072" s="215">
        <v>0.10299999999999999</v>
      </c>
      <c r="M4072" s="53">
        <v>22.940372</v>
      </c>
      <c r="N4072" s="53">
        <f t="shared" si="387"/>
        <v>2.3628583160000001</v>
      </c>
      <c r="O4072" s="72"/>
      <c r="P4072" s="36" t="str">
        <f t="shared" si="388"/>
        <v/>
      </c>
      <c r="Q4072" s="216">
        <f t="shared" si="389"/>
        <v>0.14399999999999991</v>
      </c>
      <c r="R4072" s="216">
        <f t="shared" si="390"/>
        <v>0.14399999999999991</v>
      </c>
      <c r="S4072" s="217" t="str">
        <f t="shared" si="391"/>
        <v/>
      </c>
    </row>
    <row r="4073" spans="1:19" ht="15.75" hidden="1" thickBot="1" x14ac:dyDescent="0.3">
      <c r="A4073" s="258"/>
      <c r="B4073" s="261"/>
      <c r="C4073" s="54"/>
      <c r="D4073" s="54"/>
      <c r="E4073" s="65"/>
      <c r="F4073" s="75" t="s">
        <v>416</v>
      </c>
      <c r="G4073" s="75" t="str">
        <f t="shared" si="386"/>
        <v/>
      </c>
      <c r="H4073" s="76"/>
      <c r="I4073" s="73"/>
      <c r="J4073" s="152">
        <v>0</v>
      </c>
      <c r="L4073" s="222"/>
      <c r="M4073" s="75"/>
      <c r="N4073" s="75" t="str">
        <f t="shared" si="387"/>
        <v/>
      </c>
      <c r="O4073" s="76"/>
      <c r="P4073" s="36" t="str">
        <f t="shared" si="388"/>
        <v/>
      </c>
      <c r="Q4073" s="216" t="str">
        <f t="shared" si="389"/>
        <v/>
      </c>
      <c r="R4073" s="216" t="str">
        <f t="shared" si="390"/>
        <v/>
      </c>
      <c r="S4073" s="217" t="str">
        <f t="shared" si="391"/>
        <v/>
      </c>
    </row>
    <row r="4074" spans="1:19" ht="15.75" hidden="1" thickBot="1" x14ac:dyDescent="0.3">
      <c r="A4074" s="256" t="s">
        <v>1058</v>
      </c>
      <c r="B4074" s="259" t="str">
        <f>INDEX(Orçamentária!A:B,MATCH(Composições!A4074,Orçamentária!A:A,0),2)</f>
        <v>Luva de cobre de 7/8”</v>
      </c>
      <c r="C4074" s="40"/>
      <c r="D4074" s="25" t="s">
        <v>16</v>
      </c>
      <c r="E4074" s="26"/>
      <c r="F4074" s="48" t="s">
        <v>416</v>
      </c>
      <c r="G4074" s="27" t="str">
        <f t="shared" si="386"/>
        <v/>
      </c>
      <c r="H4074" s="28"/>
      <c r="I4074" s="29"/>
      <c r="J4074" s="152">
        <v>0</v>
      </c>
      <c r="L4074" s="218"/>
      <c r="M4074" s="48"/>
      <c r="N4074" s="27" t="str">
        <f t="shared" si="387"/>
        <v/>
      </c>
      <c r="O4074" s="28"/>
      <c r="P4074" s="36" t="str">
        <f t="shared" si="388"/>
        <v/>
      </c>
      <c r="Q4074" s="216" t="str">
        <f t="shared" si="389"/>
        <v/>
      </c>
      <c r="R4074" s="216" t="str">
        <f t="shared" si="390"/>
        <v/>
      </c>
      <c r="S4074" s="217" t="str">
        <f t="shared" si="391"/>
        <v/>
      </c>
    </row>
    <row r="4075" spans="1:19" ht="15.75" hidden="1" thickBot="1" x14ac:dyDescent="0.3">
      <c r="A4075" s="257"/>
      <c r="B4075" s="260"/>
      <c r="C4075" s="31"/>
      <c r="D4075" s="31"/>
      <c r="E4075" s="32"/>
      <c r="F4075" s="53" t="s">
        <v>416</v>
      </c>
      <c r="G4075" s="53" t="str">
        <f t="shared" si="386"/>
        <v/>
      </c>
      <c r="H4075" s="72"/>
      <c r="I4075" s="73"/>
      <c r="J4075" s="152">
        <v>0</v>
      </c>
      <c r="L4075" s="219"/>
      <c r="M4075" s="53"/>
      <c r="N4075" s="53" t="str">
        <f t="shared" si="387"/>
        <v/>
      </c>
      <c r="O4075" s="72"/>
      <c r="P4075" s="36" t="str">
        <f t="shared" si="388"/>
        <v/>
      </c>
      <c r="Q4075" s="216" t="str">
        <f t="shared" si="389"/>
        <v/>
      </c>
      <c r="R4075" s="216" t="str">
        <f t="shared" si="390"/>
        <v/>
      </c>
      <c r="S4075" s="217" t="str">
        <f t="shared" si="391"/>
        <v/>
      </c>
    </row>
    <row r="4076" spans="1:19" ht="26.25" hidden="1" thickBot="1" x14ac:dyDescent="0.3">
      <c r="A4076" s="257"/>
      <c r="B4076" s="260"/>
      <c r="C4076" s="35" t="s">
        <v>1059</v>
      </c>
      <c r="D4076" s="35" t="s">
        <v>213</v>
      </c>
      <c r="E4076" s="36">
        <v>1</v>
      </c>
      <c r="F4076" s="53">
        <v>5.8519999999999994</v>
      </c>
      <c r="G4076" s="53">
        <f t="shared" ref="G4076:G4139" si="392">IF(ISNUMBER(F4076),E4076*F4076,"")</f>
        <v>5.8519999999999994</v>
      </c>
      <c r="H4076" s="38">
        <f>SUM(G4076:G4081)</f>
        <v>10.849503499999999</v>
      </c>
      <c r="I4076" s="39"/>
      <c r="J4076" s="152">
        <v>0</v>
      </c>
      <c r="L4076" s="215">
        <v>1</v>
      </c>
      <c r="M4076" s="53">
        <v>5.0093119999999995</v>
      </c>
      <c r="N4076" s="53">
        <f t="shared" ref="N4076:N4139" si="393">IF(ISNUMBER(M4076),L4076*M4076,"")</f>
        <v>5.0093119999999995</v>
      </c>
      <c r="O4076" s="38">
        <f>SUM(N4076:N4081)</f>
        <v>9.287174996000001</v>
      </c>
      <c r="P4076" s="36" t="str">
        <f t="shared" si="388"/>
        <v/>
      </c>
      <c r="Q4076" s="216">
        <f t="shared" si="389"/>
        <v>0.14400000000000002</v>
      </c>
      <c r="R4076" s="216">
        <f t="shared" si="390"/>
        <v>0.14400000000000002</v>
      </c>
      <c r="S4076" s="217">
        <f t="shared" si="391"/>
        <v>0.14399999999999979</v>
      </c>
    </row>
    <row r="4077" spans="1:19" ht="26.25" hidden="1" thickBot="1" x14ac:dyDescent="0.3">
      <c r="A4077" s="257"/>
      <c r="B4077" s="260"/>
      <c r="C4077" s="35" t="s">
        <v>1048</v>
      </c>
      <c r="D4077" s="35" t="s">
        <v>213</v>
      </c>
      <c r="E4077" s="36">
        <v>4.7999999999999996E-3</v>
      </c>
      <c r="F4077" s="53">
        <v>308.35099999999994</v>
      </c>
      <c r="G4077" s="53">
        <f t="shared" si="392"/>
        <v>1.4800847999999995</v>
      </c>
      <c r="H4077" s="72"/>
      <c r="I4077" s="73"/>
      <c r="J4077" s="152">
        <v>0</v>
      </c>
      <c r="L4077" s="215">
        <v>4.7999999999999996E-3</v>
      </c>
      <c r="M4077" s="53">
        <v>263.94845599999996</v>
      </c>
      <c r="N4077" s="53">
        <f t="shared" si="393"/>
        <v>1.2669525887999997</v>
      </c>
      <c r="O4077" s="72"/>
      <c r="P4077" s="36" t="str">
        <f t="shared" si="388"/>
        <v/>
      </c>
      <c r="Q4077" s="216">
        <f t="shared" si="389"/>
        <v>0.14399999999999991</v>
      </c>
      <c r="R4077" s="216">
        <f t="shared" si="390"/>
        <v>0.14399999999999991</v>
      </c>
      <c r="S4077" s="217" t="str">
        <f t="shared" si="391"/>
        <v/>
      </c>
    </row>
    <row r="4078" spans="1:19" ht="15.75" hidden="1" thickBot="1" x14ac:dyDescent="0.3">
      <c r="A4078" s="257"/>
      <c r="B4078" s="260"/>
      <c r="C4078" s="35" t="s">
        <v>8220</v>
      </c>
      <c r="D4078" s="35" t="s">
        <v>213</v>
      </c>
      <c r="E4078" s="36">
        <v>4.3200000000000002E-2</v>
      </c>
      <c r="F4078" s="53">
        <v>2.1185</v>
      </c>
      <c r="G4078" s="53">
        <f t="shared" si="392"/>
        <v>9.1519200000000009E-2</v>
      </c>
      <c r="H4078" s="72"/>
      <c r="I4078" s="73"/>
      <c r="J4078" s="152">
        <v>0</v>
      </c>
      <c r="L4078" s="215">
        <v>4.3200000000000002E-2</v>
      </c>
      <c r="M4078" s="53">
        <v>1.813436</v>
      </c>
      <c r="N4078" s="53">
        <f t="shared" si="393"/>
        <v>7.8340435200000003E-2</v>
      </c>
      <c r="O4078" s="72"/>
      <c r="P4078" s="36" t="str">
        <f t="shared" si="388"/>
        <v/>
      </c>
      <c r="Q4078" s="216">
        <f t="shared" si="389"/>
        <v>0.14400000000000002</v>
      </c>
      <c r="R4078" s="216">
        <f t="shared" si="390"/>
        <v>0.14400000000000002</v>
      </c>
      <c r="S4078" s="217" t="str">
        <f t="shared" si="391"/>
        <v/>
      </c>
    </row>
    <row r="4079" spans="1:19" ht="26.25" hidden="1" thickBot="1" x14ac:dyDescent="0.3">
      <c r="A4079" s="257"/>
      <c r="B4079" s="260"/>
      <c r="C4079" s="35" t="s">
        <v>1049</v>
      </c>
      <c r="D4079" s="35" t="s">
        <v>213</v>
      </c>
      <c r="E4079" s="36">
        <v>6.3E-3</v>
      </c>
      <c r="F4079" s="53">
        <v>56.524999999999999</v>
      </c>
      <c r="G4079" s="53">
        <f t="shared" si="392"/>
        <v>0.35610750000000002</v>
      </c>
      <c r="H4079" s="72"/>
      <c r="I4079" s="73"/>
      <c r="J4079" s="152">
        <v>0</v>
      </c>
      <c r="L4079" s="215">
        <v>6.3E-3</v>
      </c>
      <c r="M4079" s="53">
        <v>48.385399999999997</v>
      </c>
      <c r="N4079" s="53">
        <f t="shared" si="393"/>
        <v>0.30482801999999998</v>
      </c>
      <c r="O4079" s="72"/>
      <c r="P4079" s="36" t="str">
        <f t="shared" si="388"/>
        <v/>
      </c>
      <c r="Q4079" s="216">
        <f t="shared" si="389"/>
        <v>0.14400000000000002</v>
      </c>
      <c r="R4079" s="216">
        <f t="shared" si="390"/>
        <v>0.14400000000000013</v>
      </c>
      <c r="S4079" s="217" t="str">
        <f t="shared" si="391"/>
        <v/>
      </c>
    </row>
    <row r="4080" spans="1:19" ht="26.25" hidden="1" thickBot="1" x14ac:dyDescent="0.3">
      <c r="A4080" s="257"/>
      <c r="B4080" s="260"/>
      <c r="C4080" s="35" t="s">
        <v>824</v>
      </c>
      <c r="D4080" s="35" t="s">
        <v>583</v>
      </c>
      <c r="E4080" s="36">
        <v>6.4000000000000001E-2</v>
      </c>
      <c r="F4080" s="53">
        <v>21.166</v>
      </c>
      <c r="G4080" s="53">
        <f t="shared" si="392"/>
        <v>1.3546240000000001</v>
      </c>
      <c r="H4080" s="72"/>
      <c r="I4080" s="73"/>
      <c r="J4080" s="152">
        <v>0</v>
      </c>
      <c r="L4080" s="215">
        <v>6.4000000000000001E-2</v>
      </c>
      <c r="M4080" s="53">
        <v>18.118096000000001</v>
      </c>
      <c r="N4080" s="53">
        <f t="shared" si="393"/>
        <v>1.159558144</v>
      </c>
      <c r="O4080" s="72"/>
      <c r="P4080" s="36" t="str">
        <f t="shared" si="388"/>
        <v/>
      </c>
      <c r="Q4080" s="216">
        <f t="shared" si="389"/>
        <v>0.14399999999999991</v>
      </c>
      <c r="R4080" s="216">
        <f t="shared" si="390"/>
        <v>0.14400000000000002</v>
      </c>
      <c r="S4080" s="217" t="str">
        <f t="shared" si="391"/>
        <v/>
      </c>
    </row>
    <row r="4081" spans="1:19" ht="26.25" hidden="1" thickBot="1" x14ac:dyDescent="0.3">
      <c r="A4081" s="257"/>
      <c r="B4081" s="260"/>
      <c r="C4081" s="35" t="s">
        <v>825</v>
      </c>
      <c r="D4081" s="35" t="s">
        <v>583</v>
      </c>
      <c r="E4081" s="36">
        <v>6.4000000000000001E-2</v>
      </c>
      <c r="F4081" s="53">
        <v>26.799499999999998</v>
      </c>
      <c r="G4081" s="53">
        <f t="shared" si="392"/>
        <v>1.715168</v>
      </c>
      <c r="H4081" s="72"/>
      <c r="I4081" s="73"/>
      <c r="J4081" s="152">
        <v>0</v>
      </c>
      <c r="L4081" s="215">
        <v>6.4000000000000001E-2</v>
      </c>
      <c r="M4081" s="53">
        <v>22.940372</v>
      </c>
      <c r="N4081" s="53">
        <f t="shared" si="393"/>
        <v>1.468183808</v>
      </c>
      <c r="O4081" s="72"/>
      <c r="P4081" s="36" t="str">
        <f t="shared" si="388"/>
        <v/>
      </c>
      <c r="Q4081" s="216">
        <f t="shared" si="389"/>
        <v>0.14399999999999991</v>
      </c>
      <c r="R4081" s="216">
        <f t="shared" si="390"/>
        <v>0.14400000000000002</v>
      </c>
      <c r="S4081" s="217" t="str">
        <f t="shared" si="391"/>
        <v/>
      </c>
    </row>
    <row r="4082" spans="1:19" ht="15.75" hidden="1" thickBot="1" x14ac:dyDescent="0.3">
      <c r="A4082" s="258"/>
      <c r="B4082" s="261"/>
      <c r="C4082" s="54"/>
      <c r="D4082" s="54"/>
      <c r="E4082" s="65"/>
      <c r="F4082" s="75" t="s">
        <v>416</v>
      </c>
      <c r="G4082" s="75" t="str">
        <f t="shared" si="392"/>
        <v/>
      </c>
      <c r="H4082" s="76"/>
      <c r="I4082" s="73"/>
      <c r="J4082" s="152">
        <v>0</v>
      </c>
      <c r="L4082" s="222"/>
      <c r="M4082" s="75"/>
      <c r="N4082" s="75" t="str">
        <f t="shared" si="393"/>
        <v/>
      </c>
      <c r="O4082" s="76"/>
      <c r="P4082" s="36" t="str">
        <f t="shared" si="388"/>
        <v/>
      </c>
      <c r="Q4082" s="216" t="str">
        <f t="shared" si="389"/>
        <v/>
      </c>
      <c r="R4082" s="216" t="str">
        <f t="shared" si="390"/>
        <v/>
      </c>
      <c r="S4082" s="217" t="str">
        <f t="shared" si="391"/>
        <v/>
      </c>
    </row>
    <row r="4083" spans="1:19" ht="15.75" hidden="1" thickBot="1" x14ac:dyDescent="0.3">
      <c r="A4083" s="256" t="s">
        <v>1060</v>
      </c>
      <c r="B4083" s="259" t="str">
        <f>INDEX(Orçamentária!A:B,MATCH(Composições!A4083,Orçamentária!A:A,0),2)</f>
        <v>Tubo de cobre de 1 3/8”</v>
      </c>
      <c r="C4083" s="40"/>
      <c r="D4083" s="25" t="s">
        <v>69</v>
      </c>
      <c r="E4083" s="26"/>
      <c r="F4083" s="48" t="s">
        <v>416</v>
      </c>
      <c r="G4083" s="27" t="str">
        <f t="shared" si="392"/>
        <v/>
      </c>
      <c r="H4083" s="28"/>
      <c r="I4083" s="29"/>
      <c r="J4083" s="152">
        <v>0</v>
      </c>
      <c r="L4083" s="218"/>
      <c r="M4083" s="48"/>
      <c r="N4083" s="27" t="str">
        <f t="shared" si="393"/>
        <v/>
      </c>
      <c r="O4083" s="28"/>
      <c r="P4083" s="36" t="str">
        <f t="shared" si="388"/>
        <v/>
      </c>
      <c r="Q4083" s="216" t="str">
        <f t="shared" si="389"/>
        <v/>
      </c>
      <c r="R4083" s="216" t="str">
        <f t="shared" si="390"/>
        <v/>
      </c>
      <c r="S4083" s="217" t="str">
        <f t="shared" si="391"/>
        <v/>
      </c>
    </row>
    <row r="4084" spans="1:19" ht="15.75" hidden="1" thickBot="1" x14ac:dyDescent="0.3">
      <c r="A4084" s="257"/>
      <c r="B4084" s="260"/>
      <c r="C4084" s="31"/>
      <c r="D4084" s="31"/>
      <c r="E4084" s="32"/>
      <c r="F4084" s="53" t="s">
        <v>416</v>
      </c>
      <c r="G4084" s="53" t="str">
        <f t="shared" si="392"/>
        <v/>
      </c>
      <c r="H4084" s="72"/>
      <c r="I4084" s="73"/>
      <c r="J4084" s="152">
        <v>0</v>
      </c>
      <c r="L4084" s="219"/>
      <c r="M4084" s="53"/>
      <c r="N4084" s="53" t="str">
        <f t="shared" si="393"/>
        <v/>
      </c>
      <c r="O4084" s="72"/>
      <c r="P4084" s="36" t="str">
        <f t="shared" si="388"/>
        <v/>
      </c>
      <c r="Q4084" s="216" t="str">
        <f t="shared" si="389"/>
        <v/>
      </c>
      <c r="R4084" s="216" t="str">
        <f t="shared" si="390"/>
        <v/>
      </c>
      <c r="S4084" s="217" t="str">
        <f t="shared" si="391"/>
        <v/>
      </c>
    </row>
    <row r="4085" spans="1:19" ht="39" hidden="1" thickBot="1" x14ac:dyDescent="0.3">
      <c r="A4085" s="257"/>
      <c r="B4085" s="260"/>
      <c r="C4085" s="35" t="s">
        <v>1061</v>
      </c>
      <c r="D4085" s="35" t="s">
        <v>385</v>
      </c>
      <c r="E4085" s="36">
        <v>1.0210999999999999</v>
      </c>
      <c r="F4085" s="53">
        <v>156.97800000000001</v>
      </c>
      <c r="G4085" s="53">
        <f t="shared" si="392"/>
        <v>160.2902358</v>
      </c>
      <c r="H4085" s="38">
        <f>SUM(G4085:G4087)</f>
        <v>163.45595879999999</v>
      </c>
      <c r="I4085" s="39"/>
      <c r="J4085" s="152">
        <v>0</v>
      </c>
      <c r="L4085" s="215">
        <v>1.0210999999999999</v>
      </c>
      <c r="M4085" s="53">
        <v>134.37316800000002</v>
      </c>
      <c r="N4085" s="53">
        <f t="shared" si="393"/>
        <v>137.20844184480001</v>
      </c>
      <c r="O4085" s="38">
        <f>SUM(N4085:N4087)</f>
        <v>139.91830073280002</v>
      </c>
      <c r="P4085" s="36" t="str">
        <f t="shared" si="388"/>
        <v/>
      </c>
      <c r="Q4085" s="216">
        <f t="shared" si="389"/>
        <v>0.14399999999999991</v>
      </c>
      <c r="R4085" s="216">
        <f t="shared" si="390"/>
        <v>0.14400000000000002</v>
      </c>
      <c r="S4085" s="217">
        <f t="shared" si="391"/>
        <v>0.14399999999999979</v>
      </c>
    </row>
    <row r="4086" spans="1:19" ht="26.25" hidden="1" thickBot="1" x14ac:dyDescent="0.3">
      <c r="A4086" s="257"/>
      <c r="B4086" s="260"/>
      <c r="C4086" s="35" t="s">
        <v>824</v>
      </c>
      <c r="D4086" s="35" t="s">
        <v>583</v>
      </c>
      <c r="E4086" s="36">
        <v>6.6000000000000003E-2</v>
      </c>
      <c r="F4086" s="53">
        <v>21.166</v>
      </c>
      <c r="G4086" s="53">
        <f t="shared" si="392"/>
        <v>1.3969560000000001</v>
      </c>
      <c r="H4086" s="72"/>
      <c r="I4086" s="73"/>
      <c r="J4086" s="152">
        <v>0</v>
      </c>
      <c r="L4086" s="215">
        <v>6.6000000000000003E-2</v>
      </c>
      <c r="M4086" s="53">
        <v>18.118096000000001</v>
      </c>
      <c r="N4086" s="53">
        <f t="shared" si="393"/>
        <v>1.1957943360000001</v>
      </c>
      <c r="O4086" s="72"/>
      <c r="P4086" s="36" t="str">
        <f t="shared" si="388"/>
        <v/>
      </c>
      <c r="Q4086" s="216">
        <f t="shared" si="389"/>
        <v>0.14399999999999991</v>
      </c>
      <c r="R4086" s="216">
        <f t="shared" si="390"/>
        <v>0.14400000000000002</v>
      </c>
      <c r="S4086" s="217" t="str">
        <f t="shared" si="391"/>
        <v/>
      </c>
    </row>
    <row r="4087" spans="1:19" ht="26.25" hidden="1" thickBot="1" x14ac:dyDescent="0.3">
      <c r="A4087" s="257"/>
      <c r="B4087" s="260"/>
      <c r="C4087" s="35" t="s">
        <v>825</v>
      </c>
      <c r="D4087" s="35" t="s">
        <v>583</v>
      </c>
      <c r="E4087" s="36">
        <v>6.6000000000000003E-2</v>
      </c>
      <c r="F4087" s="53">
        <v>26.799499999999998</v>
      </c>
      <c r="G4087" s="53">
        <f t="shared" si="392"/>
        <v>1.768767</v>
      </c>
      <c r="H4087" s="72"/>
      <c r="I4087" s="73"/>
      <c r="J4087" s="152">
        <v>0</v>
      </c>
      <c r="L4087" s="215">
        <v>6.6000000000000003E-2</v>
      </c>
      <c r="M4087" s="53">
        <v>22.940372</v>
      </c>
      <c r="N4087" s="53">
        <f t="shared" si="393"/>
        <v>1.514064552</v>
      </c>
      <c r="O4087" s="72"/>
      <c r="P4087" s="36" t="str">
        <f t="shared" si="388"/>
        <v/>
      </c>
      <c r="Q4087" s="216">
        <f t="shared" si="389"/>
        <v>0.14399999999999991</v>
      </c>
      <c r="R4087" s="216">
        <f t="shared" si="390"/>
        <v>0.14400000000000002</v>
      </c>
      <c r="S4087" s="217" t="str">
        <f t="shared" si="391"/>
        <v/>
      </c>
    </row>
    <row r="4088" spans="1:19" ht="15.75" hidden="1" thickBot="1" x14ac:dyDescent="0.3">
      <c r="A4088" s="257"/>
      <c r="B4088" s="260"/>
      <c r="C4088" s="54"/>
      <c r="D4088" s="54"/>
      <c r="E4088" s="65"/>
      <c r="F4088" s="75" t="s">
        <v>416</v>
      </c>
      <c r="G4088" s="75" t="str">
        <f t="shared" si="392"/>
        <v/>
      </c>
      <c r="H4088" s="76"/>
      <c r="I4088" s="73"/>
      <c r="J4088" s="152">
        <v>0</v>
      </c>
      <c r="L4088" s="222"/>
      <c r="M4088" s="75"/>
      <c r="N4088" s="75" t="str">
        <f t="shared" si="393"/>
        <v/>
      </c>
      <c r="O4088" s="76"/>
      <c r="P4088" s="36" t="str">
        <f t="shared" si="388"/>
        <v/>
      </c>
      <c r="Q4088" s="216" t="str">
        <f t="shared" si="389"/>
        <v/>
      </c>
      <c r="R4088" s="216" t="str">
        <f t="shared" si="390"/>
        <v/>
      </c>
      <c r="S4088" s="217" t="str">
        <f t="shared" si="391"/>
        <v/>
      </c>
    </row>
    <row r="4089" spans="1:19" ht="15.75" hidden="1" thickBot="1" x14ac:dyDescent="0.3">
      <c r="A4089" s="256" t="s">
        <v>1062</v>
      </c>
      <c r="B4089" s="259" t="str">
        <f>INDEX(Orçamentária!A:B,MATCH(Composições!A4089,Orçamentária!A:A,0),2)</f>
        <v>Tubo de cobre de 1 5/8”</v>
      </c>
      <c r="C4089" s="40"/>
      <c r="D4089" s="25" t="s">
        <v>69</v>
      </c>
      <c r="E4089" s="26"/>
      <c r="F4089" s="48" t="s">
        <v>416</v>
      </c>
      <c r="G4089" s="27" t="str">
        <f t="shared" si="392"/>
        <v/>
      </c>
      <c r="H4089" s="28"/>
      <c r="I4089" s="29"/>
      <c r="J4089" s="152">
        <v>0</v>
      </c>
      <c r="L4089" s="218"/>
      <c r="M4089" s="48"/>
      <c r="N4089" s="27" t="str">
        <f t="shared" si="393"/>
        <v/>
      </c>
      <c r="O4089" s="28"/>
      <c r="P4089" s="36" t="str">
        <f t="shared" si="388"/>
        <v/>
      </c>
      <c r="Q4089" s="216" t="str">
        <f t="shared" si="389"/>
        <v/>
      </c>
      <c r="R4089" s="216" t="str">
        <f t="shared" si="390"/>
        <v/>
      </c>
      <c r="S4089" s="217" t="str">
        <f t="shared" si="391"/>
        <v/>
      </c>
    </row>
    <row r="4090" spans="1:19" ht="15.75" hidden="1" thickBot="1" x14ac:dyDescent="0.3">
      <c r="A4090" s="257"/>
      <c r="B4090" s="260"/>
      <c r="C4090" s="31"/>
      <c r="D4090" s="31"/>
      <c r="E4090" s="32"/>
      <c r="F4090" s="53" t="s">
        <v>416</v>
      </c>
      <c r="G4090" s="53" t="str">
        <f t="shared" si="392"/>
        <v/>
      </c>
      <c r="H4090" s="72"/>
      <c r="I4090" s="73"/>
      <c r="J4090" s="152">
        <v>0</v>
      </c>
      <c r="L4090" s="219"/>
      <c r="M4090" s="53"/>
      <c r="N4090" s="53" t="str">
        <f t="shared" si="393"/>
        <v/>
      </c>
      <c r="O4090" s="72"/>
      <c r="P4090" s="36" t="str">
        <f t="shared" si="388"/>
        <v/>
      </c>
      <c r="Q4090" s="216" t="str">
        <f t="shared" si="389"/>
        <v/>
      </c>
      <c r="R4090" s="216" t="str">
        <f t="shared" si="390"/>
        <v/>
      </c>
      <c r="S4090" s="217" t="str">
        <f t="shared" si="391"/>
        <v/>
      </c>
    </row>
    <row r="4091" spans="1:19" ht="39" hidden="1" thickBot="1" x14ac:dyDescent="0.3">
      <c r="A4091" s="257"/>
      <c r="B4091" s="260"/>
      <c r="C4091" s="35" t="s">
        <v>1063</v>
      </c>
      <c r="D4091" s="35" t="s">
        <v>385</v>
      </c>
      <c r="E4091" s="36">
        <v>1.0210999999999999</v>
      </c>
      <c r="F4091" s="53">
        <v>188.86949999999999</v>
      </c>
      <c r="G4091" s="53">
        <f t="shared" si="392"/>
        <v>192.85464644999996</v>
      </c>
      <c r="H4091" s="38">
        <f>SUM(G4091:G4093)</f>
        <v>196.50002444999998</v>
      </c>
      <c r="I4091" s="39"/>
      <c r="J4091" s="152">
        <v>0</v>
      </c>
      <c r="L4091" s="215">
        <v>1.0210999999999999</v>
      </c>
      <c r="M4091" s="53">
        <v>161.672292</v>
      </c>
      <c r="N4091" s="53">
        <f t="shared" si="393"/>
        <v>165.08357736119999</v>
      </c>
      <c r="O4091" s="38">
        <f>SUM(N4091:N4093)</f>
        <v>168.2040209292</v>
      </c>
      <c r="P4091" s="36" t="str">
        <f t="shared" si="388"/>
        <v/>
      </c>
      <c r="Q4091" s="216">
        <f t="shared" si="389"/>
        <v>0.14399999999999991</v>
      </c>
      <c r="R4091" s="216">
        <f t="shared" si="390"/>
        <v>0.14399999999999991</v>
      </c>
      <c r="S4091" s="217">
        <f t="shared" si="391"/>
        <v>0.14399999999999991</v>
      </c>
    </row>
    <row r="4092" spans="1:19" ht="26.25" hidden="1" thickBot="1" x14ac:dyDescent="0.3">
      <c r="A4092" s="257"/>
      <c r="B4092" s="260"/>
      <c r="C4092" s="35" t="s">
        <v>824</v>
      </c>
      <c r="D4092" s="35" t="s">
        <v>583</v>
      </c>
      <c r="E4092" s="36">
        <v>7.5999999999999998E-2</v>
      </c>
      <c r="F4092" s="53">
        <v>21.166</v>
      </c>
      <c r="G4092" s="53">
        <f t="shared" si="392"/>
        <v>1.608616</v>
      </c>
      <c r="H4092" s="72"/>
      <c r="I4092" s="73"/>
      <c r="J4092" s="152">
        <v>0</v>
      </c>
      <c r="L4092" s="215">
        <v>7.5999999999999998E-2</v>
      </c>
      <c r="M4092" s="53">
        <v>18.118096000000001</v>
      </c>
      <c r="N4092" s="53">
        <f t="shared" si="393"/>
        <v>1.3769752960000001</v>
      </c>
      <c r="O4092" s="72"/>
      <c r="P4092" s="36" t="str">
        <f t="shared" si="388"/>
        <v/>
      </c>
      <c r="Q4092" s="216">
        <f t="shared" si="389"/>
        <v>0.14399999999999991</v>
      </c>
      <c r="R4092" s="216">
        <f t="shared" si="390"/>
        <v>0.14399999999999991</v>
      </c>
      <c r="S4092" s="217" t="str">
        <f t="shared" si="391"/>
        <v/>
      </c>
    </row>
    <row r="4093" spans="1:19" ht="26.25" hidden="1" thickBot="1" x14ac:dyDescent="0.3">
      <c r="A4093" s="257"/>
      <c r="B4093" s="260"/>
      <c r="C4093" s="35" t="s">
        <v>825</v>
      </c>
      <c r="D4093" s="35" t="s">
        <v>583</v>
      </c>
      <c r="E4093" s="36">
        <v>7.5999999999999998E-2</v>
      </c>
      <c r="F4093" s="53">
        <v>26.799499999999998</v>
      </c>
      <c r="G4093" s="53">
        <f t="shared" si="392"/>
        <v>2.036762</v>
      </c>
      <c r="H4093" s="72"/>
      <c r="I4093" s="73"/>
      <c r="J4093" s="152">
        <v>0</v>
      </c>
      <c r="L4093" s="215">
        <v>7.5999999999999998E-2</v>
      </c>
      <c r="M4093" s="53">
        <v>22.940372</v>
      </c>
      <c r="N4093" s="53">
        <f t="shared" si="393"/>
        <v>1.7434682719999999</v>
      </c>
      <c r="O4093" s="72"/>
      <c r="P4093" s="36" t="str">
        <f t="shared" si="388"/>
        <v/>
      </c>
      <c r="Q4093" s="216">
        <f t="shared" si="389"/>
        <v>0.14399999999999991</v>
      </c>
      <c r="R4093" s="216">
        <f t="shared" si="390"/>
        <v>0.14400000000000002</v>
      </c>
      <c r="S4093" s="217" t="str">
        <f t="shared" si="391"/>
        <v/>
      </c>
    </row>
    <row r="4094" spans="1:19" ht="15.75" hidden="1" thickBot="1" x14ac:dyDescent="0.3">
      <c r="A4094" s="257"/>
      <c r="B4094" s="260"/>
      <c r="C4094" s="54"/>
      <c r="D4094" s="54"/>
      <c r="E4094" s="65"/>
      <c r="F4094" s="75" t="s">
        <v>416</v>
      </c>
      <c r="G4094" s="75" t="str">
        <f t="shared" si="392"/>
        <v/>
      </c>
      <c r="H4094" s="76"/>
      <c r="I4094" s="73"/>
      <c r="J4094" s="152">
        <v>0</v>
      </c>
      <c r="L4094" s="222"/>
      <c r="M4094" s="75"/>
      <c r="N4094" s="75" t="str">
        <f t="shared" si="393"/>
        <v/>
      </c>
      <c r="O4094" s="76"/>
      <c r="P4094" s="36" t="str">
        <f t="shared" si="388"/>
        <v/>
      </c>
      <c r="Q4094" s="216" t="str">
        <f t="shared" si="389"/>
        <v/>
      </c>
      <c r="R4094" s="216" t="str">
        <f t="shared" si="390"/>
        <v/>
      </c>
      <c r="S4094" s="217" t="str">
        <f t="shared" si="391"/>
        <v/>
      </c>
    </row>
    <row r="4095" spans="1:19" ht="15.75" thickBot="1" x14ac:dyDescent="0.3">
      <c r="A4095" s="256" t="s">
        <v>1064</v>
      </c>
      <c r="B4095" s="259" t="str">
        <f>INDEX(Orçamentária!A:B,MATCH(Composições!A4095,Orçamentária!A:A,0),2)</f>
        <v>Eletroduto flexível metálico com capa de PVC 1 1/2"</v>
      </c>
      <c r="C4095" s="40"/>
      <c r="D4095" s="25" t="s">
        <v>69</v>
      </c>
      <c r="E4095" s="26"/>
      <c r="F4095" s="48" t="s">
        <v>416</v>
      </c>
      <c r="G4095" s="27" t="str">
        <f t="shared" si="392"/>
        <v/>
      </c>
      <c r="H4095" s="28"/>
      <c r="I4095" s="29"/>
      <c r="J4095" s="152">
        <v>4</v>
      </c>
      <c r="L4095" s="218"/>
      <c r="M4095" s="48"/>
      <c r="N4095" s="27" t="str">
        <f t="shared" si="393"/>
        <v/>
      </c>
      <c r="O4095" s="28"/>
      <c r="P4095" s="36" t="str">
        <f t="shared" si="388"/>
        <v/>
      </c>
      <c r="Q4095" s="216" t="str">
        <f t="shared" si="389"/>
        <v/>
      </c>
      <c r="R4095" s="216" t="str">
        <f t="shared" si="390"/>
        <v/>
      </c>
      <c r="S4095" s="217" t="str">
        <f t="shared" si="391"/>
        <v/>
      </c>
    </row>
    <row r="4096" spans="1:19" x14ac:dyDescent="0.25">
      <c r="A4096" s="257"/>
      <c r="B4096" s="260"/>
      <c r="C4096" s="31"/>
      <c r="D4096" s="31"/>
      <c r="E4096" s="32"/>
      <c r="F4096" s="53" t="s">
        <v>416</v>
      </c>
      <c r="G4096" s="53" t="str">
        <f t="shared" si="392"/>
        <v/>
      </c>
      <c r="H4096" s="72"/>
      <c r="I4096" s="73"/>
      <c r="J4096" s="152">
        <v>4</v>
      </c>
      <c r="L4096" s="219"/>
      <c r="M4096" s="53"/>
      <c r="N4096" s="53" t="str">
        <f t="shared" si="393"/>
        <v/>
      </c>
      <c r="O4096" s="72"/>
      <c r="P4096" s="36" t="str">
        <f t="shared" si="388"/>
        <v/>
      </c>
      <c r="Q4096" s="216" t="str">
        <f t="shared" si="389"/>
        <v/>
      </c>
      <c r="R4096" s="216" t="str">
        <f t="shared" si="390"/>
        <v/>
      </c>
      <c r="S4096" s="217" t="str">
        <f t="shared" si="391"/>
        <v/>
      </c>
    </row>
    <row r="4097" spans="1:19" ht="38.25" x14ac:dyDescent="0.25">
      <c r="A4097" s="257"/>
      <c r="B4097" s="260"/>
      <c r="C4097" s="35" t="s">
        <v>1065</v>
      </c>
      <c r="D4097" s="35" t="s">
        <v>385</v>
      </c>
      <c r="E4097" s="36">
        <v>1.1000000000000001</v>
      </c>
      <c r="F4097" s="53">
        <v>26.847000000000001</v>
      </c>
      <c r="G4097" s="53">
        <f t="shared" si="392"/>
        <v>29.531700000000004</v>
      </c>
      <c r="H4097" s="38">
        <f>SUM(G4097:G4100)</f>
        <v>36.053986750000007</v>
      </c>
      <c r="I4097" s="39"/>
      <c r="J4097" s="152">
        <v>4</v>
      </c>
      <c r="L4097" s="215">
        <v>1.1000000000000001</v>
      </c>
      <c r="M4097" s="53">
        <v>22.981032000000003</v>
      </c>
      <c r="N4097" s="53">
        <f t="shared" si="393"/>
        <v>25.279135200000006</v>
      </c>
      <c r="O4097" s="38">
        <f>SUM(N4097:N4100)</f>
        <v>30.862212658000004</v>
      </c>
      <c r="P4097" s="36" t="str">
        <f t="shared" si="388"/>
        <v/>
      </c>
      <c r="Q4097" s="216">
        <f t="shared" si="389"/>
        <v>0.14399999999999991</v>
      </c>
      <c r="R4097" s="216">
        <f t="shared" si="390"/>
        <v>0.14399999999999991</v>
      </c>
      <c r="S4097" s="217">
        <f t="shared" si="391"/>
        <v>0.14400000000000002</v>
      </c>
    </row>
    <row r="4098" spans="1:19" ht="25.5" x14ac:dyDescent="0.25">
      <c r="A4098" s="257"/>
      <c r="B4098" s="260"/>
      <c r="C4098" s="35" t="s">
        <v>3060</v>
      </c>
      <c r="D4098" s="35" t="s">
        <v>773</v>
      </c>
      <c r="E4098" s="36">
        <v>2.3E-3</v>
      </c>
      <c r="F4098" s="53">
        <v>21.042499999999997</v>
      </c>
      <c r="G4098" s="53">
        <f t="shared" si="392"/>
        <v>4.8397749999999989E-2</v>
      </c>
      <c r="H4098" s="72"/>
      <c r="I4098" s="73"/>
      <c r="J4098" s="152">
        <v>4</v>
      </c>
      <c r="L4098" s="215">
        <v>2.3E-3</v>
      </c>
      <c r="M4098" s="53">
        <v>18.012379999999997</v>
      </c>
      <c r="N4098" s="53">
        <f t="shared" si="393"/>
        <v>4.1428473999999993E-2</v>
      </c>
      <c r="O4098" s="72"/>
      <c r="P4098" s="36" t="str">
        <f t="shared" si="388"/>
        <v/>
      </c>
      <c r="Q4098" s="216">
        <f t="shared" si="389"/>
        <v>0.14400000000000002</v>
      </c>
      <c r="R4098" s="216">
        <f t="shared" si="390"/>
        <v>0.14399999999999991</v>
      </c>
      <c r="S4098" s="217" t="str">
        <f t="shared" si="391"/>
        <v/>
      </c>
    </row>
    <row r="4099" spans="1:19" x14ac:dyDescent="0.25">
      <c r="A4099" s="257"/>
      <c r="B4099" s="260"/>
      <c r="C4099" s="35" t="s">
        <v>1017</v>
      </c>
      <c r="D4099" s="35" t="s">
        <v>583</v>
      </c>
      <c r="E4099" s="36">
        <v>0.13100000000000001</v>
      </c>
      <c r="F4099" s="53">
        <v>21.584</v>
      </c>
      <c r="G4099" s="53">
        <f t="shared" si="392"/>
        <v>2.8275040000000002</v>
      </c>
      <c r="H4099" s="72"/>
      <c r="I4099" s="73"/>
      <c r="J4099" s="152">
        <v>4</v>
      </c>
      <c r="L4099" s="215">
        <v>0.13100000000000001</v>
      </c>
      <c r="M4099" s="53">
        <v>18.475904</v>
      </c>
      <c r="N4099" s="53">
        <f t="shared" si="393"/>
        <v>2.4203434239999999</v>
      </c>
      <c r="O4099" s="72"/>
      <c r="P4099" s="36" t="str">
        <f t="shared" si="388"/>
        <v/>
      </c>
      <c r="Q4099" s="216">
        <f t="shared" si="389"/>
        <v>0.14400000000000002</v>
      </c>
      <c r="R4099" s="216">
        <f t="shared" si="390"/>
        <v>0.14400000000000013</v>
      </c>
      <c r="S4099" s="217" t="str">
        <f t="shared" si="391"/>
        <v/>
      </c>
    </row>
    <row r="4100" spans="1:19" x14ac:dyDescent="0.25">
      <c r="A4100" s="257"/>
      <c r="B4100" s="260"/>
      <c r="C4100" s="35" t="s">
        <v>1018</v>
      </c>
      <c r="D4100" s="35" t="s">
        <v>583</v>
      </c>
      <c r="E4100" s="36">
        <v>0.13100000000000001</v>
      </c>
      <c r="F4100" s="53">
        <v>27.835000000000001</v>
      </c>
      <c r="G4100" s="53">
        <f t="shared" si="392"/>
        <v>3.6463850000000004</v>
      </c>
      <c r="H4100" s="72"/>
      <c r="I4100" s="73"/>
      <c r="J4100" s="152">
        <v>4</v>
      </c>
      <c r="L4100" s="215">
        <v>0.13100000000000001</v>
      </c>
      <c r="M4100" s="53">
        <v>23.82676</v>
      </c>
      <c r="N4100" s="53">
        <f t="shared" si="393"/>
        <v>3.1213055600000001</v>
      </c>
      <c r="O4100" s="72"/>
      <c r="P4100" s="36" t="str">
        <f t="shared" si="388"/>
        <v/>
      </c>
      <c r="Q4100" s="216">
        <f t="shared" si="389"/>
        <v>0.14400000000000002</v>
      </c>
      <c r="R4100" s="216">
        <f t="shared" si="390"/>
        <v>0.14400000000000002</v>
      </c>
      <c r="S4100" s="217" t="str">
        <f t="shared" si="391"/>
        <v/>
      </c>
    </row>
    <row r="4101" spans="1:19" ht="15.75" thickBot="1" x14ac:dyDescent="0.3">
      <c r="A4101" s="257"/>
      <c r="B4101" s="260"/>
      <c r="C4101" s="54"/>
      <c r="D4101" s="54"/>
      <c r="E4101" s="65"/>
      <c r="F4101" s="75" t="s">
        <v>416</v>
      </c>
      <c r="G4101" s="75" t="str">
        <f t="shared" si="392"/>
        <v/>
      </c>
      <c r="H4101" s="76"/>
      <c r="I4101" s="73"/>
      <c r="J4101" s="152">
        <v>4</v>
      </c>
      <c r="L4101" s="222"/>
      <c r="M4101" s="75"/>
      <c r="N4101" s="75" t="str">
        <f t="shared" si="393"/>
        <v/>
      </c>
      <c r="O4101" s="76"/>
      <c r="P4101" s="36" t="str">
        <f t="shared" si="388"/>
        <v/>
      </c>
      <c r="Q4101" s="216" t="str">
        <f t="shared" si="389"/>
        <v/>
      </c>
      <c r="R4101" s="216" t="str">
        <f t="shared" si="390"/>
        <v/>
      </c>
      <c r="S4101" s="217" t="str">
        <f t="shared" si="391"/>
        <v/>
      </c>
    </row>
    <row r="4102" spans="1:19" ht="15.75" hidden="1" thickBot="1" x14ac:dyDescent="0.3">
      <c r="A4102" s="256" t="s">
        <v>1066</v>
      </c>
      <c r="B4102" s="259" t="str">
        <f>INDEX(Orçamentária!A:B,MATCH(Composições!A4102,Orçamentária!A:A,0),2)</f>
        <v>Técnico(a) em Edificações - Planejamento de Manutenção</v>
      </c>
      <c r="C4102" s="40"/>
      <c r="D4102" s="25" t="s">
        <v>2177</v>
      </c>
      <c r="E4102" s="26"/>
      <c r="F4102" s="48" t="s">
        <v>416</v>
      </c>
      <c r="G4102" s="27" t="str">
        <f t="shared" si="392"/>
        <v/>
      </c>
      <c r="H4102" s="28"/>
      <c r="I4102" s="29"/>
      <c r="J4102" s="152">
        <v>0</v>
      </c>
      <c r="L4102" s="218"/>
      <c r="M4102" s="48"/>
      <c r="N4102" s="27" t="str">
        <f t="shared" si="393"/>
        <v/>
      </c>
      <c r="O4102" s="28"/>
      <c r="P4102" s="36" t="str">
        <f t="shared" si="388"/>
        <v/>
      </c>
      <c r="Q4102" s="216" t="str">
        <f t="shared" si="389"/>
        <v/>
      </c>
      <c r="R4102" s="216" t="str">
        <f t="shared" si="390"/>
        <v/>
      </c>
      <c r="S4102" s="217" t="str">
        <f t="shared" si="391"/>
        <v/>
      </c>
    </row>
    <row r="4103" spans="1:19" ht="15.75" hidden="1" thickBot="1" x14ac:dyDescent="0.3">
      <c r="A4103" s="257"/>
      <c r="B4103" s="260"/>
      <c r="C4103" s="31"/>
      <c r="D4103" s="31"/>
      <c r="E4103" s="32"/>
      <c r="F4103" s="53" t="s">
        <v>416</v>
      </c>
      <c r="G4103" s="53" t="str">
        <f t="shared" si="392"/>
        <v/>
      </c>
      <c r="H4103" s="72"/>
      <c r="I4103" s="73"/>
      <c r="J4103" s="152">
        <v>0</v>
      </c>
      <c r="L4103" s="219"/>
      <c r="M4103" s="53"/>
      <c r="N4103" s="53" t="str">
        <f t="shared" si="393"/>
        <v/>
      </c>
      <c r="O4103" s="72"/>
      <c r="P4103" s="36" t="str">
        <f t="shared" si="388"/>
        <v/>
      </c>
      <c r="Q4103" s="216" t="str">
        <f t="shared" si="389"/>
        <v/>
      </c>
      <c r="R4103" s="216" t="str">
        <f t="shared" si="390"/>
        <v/>
      </c>
      <c r="S4103" s="217" t="str">
        <f t="shared" si="391"/>
        <v/>
      </c>
    </row>
    <row r="4104" spans="1:19" ht="15.75" hidden="1" thickBot="1" x14ac:dyDescent="0.3">
      <c r="A4104" s="257"/>
      <c r="B4104" s="260"/>
      <c r="C4104" s="35" t="s">
        <v>1067</v>
      </c>
      <c r="D4104" s="35" t="s">
        <v>93</v>
      </c>
      <c r="E4104" s="36">
        <f>ROUND(1/(1+70.03%),2)</f>
        <v>0.59</v>
      </c>
      <c r="F4104" s="53">
        <v>3089.0484999999999</v>
      </c>
      <c r="G4104" s="53">
        <f t="shared" si="392"/>
        <v>1822.5386149999999</v>
      </c>
      <c r="H4104" s="38">
        <f>SUM(G4104:G4104)</f>
        <v>1822.5386149999999</v>
      </c>
      <c r="I4104" s="39"/>
      <c r="J4104" s="152">
        <v>0</v>
      </c>
      <c r="L4104" s="215">
        <v>0.59</v>
      </c>
      <c r="M4104" s="53">
        <v>2644.225516</v>
      </c>
      <c r="N4104" s="53">
        <f t="shared" si="393"/>
        <v>1560.0930544399998</v>
      </c>
      <c r="O4104" s="38">
        <f>SUM(N4104:N4104)</f>
        <v>1560.0930544399998</v>
      </c>
      <c r="P4104" s="36" t="str">
        <f t="shared" ref="P4104:P4167" si="394">IF(ISBLANK(L4104),"",IF($E4104&lt;&gt;L4104,"SIM",""))</f>
        <v/>
      </c>
      <c r="Q4104" s="216">
        <f t="shared" ref="Q4104:Q4167" si="395">IF(M4104="","",1-M4104/$F4104)</f>
        <v>0.14400000000000002</v>
      </c>
      <c r="R4104" s="216">
        <f t="shared" ref="R4104:R4167" si="396">IF(N4104="","",1-N4104/$G4104)</f>
        <v>0.14400000000000002</v>
      </c>
      <c r="S4104" s="217">
        <f t="shared" ref="S4104:S4167" si="397">IF(O4104="","",1-O4104/$H4104)</f>
        <v>0.14400000000000002</v>
      </c>
    </row>
    <row r="4105" spans="1:19" ht="15.75" hidden="1" thickBot="1" x14ac:dyDescent="0.3">
      <c r="A4105" s="257"/>
      <c r="B4105" s="260"/>
      <c r="C4105" s="35"/>
      <c r="D4105" s="46"/>
      <c r="E4105" s="36"/>
      <c r="F4105" s="53" t="s">
        <v>416</v>
      </c>
      <c r="G4105" s="53" t="str">
        <f t="shared" si="392"/>
        <v/>
      </c>
      <c r="H4105" s="72"/>
      <c r="I4105" s="73"/>
      <c r="J4105" s="152">
        <v>0</v>
      </c>
      <c r="L4105" s="215"/>
      <c r="M4105" s="53"/>
      <c r="N4105" s="53" t="str">
        <f t="shared" si="393"/>
        <v/>
      </c>
      <c r="O4105" s="72"/>
      <c r="P4105" s="36" t="str">
        <f t="shared" si="394"/>
        <v/>
      </c>
      <c r="Q4105" s="216" t="str">
        <f t="shared" si="395"/>
        <v/>
      </c>
      <c r="R4105" s="216" t="str">
        <f t="shared" si="396"/>
        <v/>
      </c>
      <c r="S4105" s="217" t="str">
        <f t="shared" si="397"/>
        <v/>
      </c>
    </row>
    <row r="4106" spans="1:19" ht="26.25" hidden="1" thickBot="1" x14ac:dyDescent="0.3">
      <c r="A4106" s="257"/>
      <c r="B4106" s="260"/>
      <c r="C4106" s="47" t="s">
        <v>655</v>
      </c>
      <c r="D4106" s="46"/>
      <c r="E4106" s="36"/>
      <c r="F4106" s="53" t="s">
        <v>416</v>
      </c>
      <c r="G4106" s="53" t="str">
        <f t="shared" si="392"/>
        <v/>
      </c>
      <c r="H4106" s="72"/>
      <c r="I4106" s="73"/>
      <c r="J4106" s="152">
        <v>0</v>
      </c>
      <c r="L4106" s="215"/>
      <c r="M4106" s="53"/>
      <c r="N4106" s="53" t="str">
        <f t="shared" si="393"/>
        <v/>
      </c>
      <c r="O4106" s="72"/>
      <c r="P4106" s="36" t="str">
        <f t="shared" si="394"/>
        <v/>
      </c>
      <c r="Q4106" s="216" t="str">
        <f t="shared" si="395"/>
        <v/>
      </c>
      <c r="R4106" s="216" t="str">
        <f t="shared" si="396"/>
        <v/>
      </c>
      <c r="S4106" s="217" t="str">
        <f t="shared" si="397"/>
        <v/>
      </c>
    </row>
    <row r="4107" spans="1:19" ht="15.75" hidden="1" thickBot="1" x14ac:dyDescent="0.3">
      <c r="A4107" s="257"/>
      <c r="B4107" s="260"/>
      <c r="C4107" s="54"/>
      <c r="D4107" s="54"/>
      <c r="E4107" s="65"/>
      <c r="F4107" s="75" t="s">
        <v>416</v>
      </c>
      <c r="G4107" s="75" t="str">
        <f t="shared" si="392"/>
        <v/>
      </c>
      <c r="H4107" s="76"/>
      <c r="I4107" s="73"/>
      <c r="J4107" s="152">
        <v>0</v>
      </c>
      <c r="L4107" s="222"/>
      <c r="M4107" s="75"/>
      <c r="N4107" s="75" t="str">
        <f t="shared" si="393"/>
        <v/>
      </c>
      <c r="O4107" s="76"/>
      <c r="P4107" s="36" t="str">
        <f t="shared" si="394"/>
        <v/>
      </c>
      <c r="Q4107" s="216" t="str">
        <f t="shared" si="395"/>
        <v/>
      </c>
      <c r="R4107" s="216" t="str">
        <f t="shared" si="396"/>
        <v/>
      </c>
      <c r="S4107" s="217" t="str">
        <f t="shared" si="397"/>
        <v/>
      </c>
    </row>
    <row r="4108" spans="1:19" ht="15.75" hidden="1" thickBot="1" x14ac:dyDescent="0.3">
      <c r="A4108" s="256" t="s">
        <v>1068</v>
      </c>
      <c r="B4108" s="259" t="str">
        <f>INDEX(Orçamentária!A:B,MATCH(Composições!A4108,Orçamentária!A:A,0),2)</f>
        <v>Projeto de Impermeabilização</v>
      </c>
      <c r="C4108" s="40"/>
      <c r="D4108" s="25" t="s">
        <v>70</v>
      </c>
      <c r="E4108" s="26"/>
      <c r="F4108" s="48" t="s">
        <v>416</v>
      </c>
      <c r="G4108" s="27" t="str">
        <f t="shared" si="392"/>
        <v/>
      </c>
      <c r="H4108" s="28"/>
      <c r="I4108" s="29"/>
      <c r="J4108" s="152">
        <v>0</v>
      </c>
      <c r="L4108" s="218"/>
      <c r="M4108" s="48"/>
      <c r="N4108" s="27" t="str">
        <f t="shared" si="393"/>
        <v/>
      </c>
      <c r="O4108" s="28"/>
      <c r="P4108" s="36" t="str">
        <f t="shared" si="394"/>
        <v/>
      </c>
      <c r="Q4108" s="216" t="str">
        <f t="shared" si="395"/>
        <v/>
      </c>
      <c r="R4108" s="216" t="str">
        <f t="shared" si="396"/>
        <v/>
      </c>
      <c r="S4108" s="217" t="str">
        <f t="shared" si="397"/>
        <v/>
      </c>
    </row>
    <row r="4109" spans="1:19" ht="15.75" hidden="1" thickBot="1" x14ac:dyDescent="0.3">
      <c r="A4109" s="257"/>
      <c r="B4109" s="260"/>
      <c r="C4109" s="31"/>
      <c r="D4109" s="31"/>
      <c r="E4109" s="32"/>
      <c r="F4109" s="53" t="s">
        <v>416</v>
      </c>
      <c r="G4109" s="53" t="str">
        <f t="shared" si="392"/>
        <v/>
      </c>
      <c r="H4109" s="72"/>
      <c r="I4109" s="73"/>
      <c r="J4109" s="152">
        <v>0</v>
      </c>
      <c r="L4109" s="219"/>
      <c r="M4109" s="53"/>
      <c r="N4109" s="53" t="str">
        <f t="shared" si="393"/>
        <v/>
      </c>
      <c r="O4109" s="72"/>
      <c r="P4109" s="36" t="str">
        <f t="shared" si="394"/>
        <v/>
      </c>
      <c r="Q4109" s="216" t="str">
        <f t="shared" si="395"/>
        <v/>
      </c>
      <c r="R4109" s="216" t="str">
        <f t="shared" si="396"/>
        <v/>
      </c>
      <c r="S4109" s="217" t="str">
        <f t="shared" si="397"/>
        <v/>
      </c>
    </row>
    <row r="4110" spans="1:19" ht="15.75" hidden="1" thickBot="1" x14ac:dyDescent="0.3">
      <c r="A4110" s="257"/>
      <c r="B4110" s="260"/>
      <c r="C4110" s="35" t="s">
        <v>1069</v>
      </c>
      <c r="D4110" s="35" t="s">
        <v>583</v>
      </c>
      <c r="E4110" s="36">
        <f>ROUND(1/10,4)</f>
        <v>0.1</v>
      </c>
      <c r="F4110" s="53">
        <v>118.465</v>
      </c>
      <c r="G4110" s="53">
        <f t="shared" si="392"/>
        <v>11.846500000000001</v>
      </c>
      <c r="H4110" s="38">
        <f>SUM(G4110:G4110)</f>
        <v>11.846500000000001</v>
      </c>
      <c r="I4110" s="39"/>
      <c r="J4110" s="152">
        <v>0</v>
      </c>
      <c r="L4110" s="215">
        <v>0.1</v>
      </c>
      <c r="M4110" s="53">
        <v>101.40604</v>
      </c>
      <c r="N4110" s="53">
        <f t="shared" si="393"/>
        <v>10.140604000000002</v>
      </c>
      <c r="O4110" s="38">
        <f>SUM(N4110:N4110)</f>
        <v>10.140604000000002</v>
      </c>
      <c r="P4110" s="36" t="str">
        <f t="shared" si="394"/>
        <v/>
      </c>
      <c r="Q4110" s="216">
        <f t="shared" si="395"/>
        <v>0.14400000000000002</v>
      </c>
      <c r="R4110" s="216">
        <f t="shared" si="396"/>
        <v>0.14399999999999991</v>
      </c>
      <c r="S4110" s="217">
        <f t="shared" si="397"/>
        <v>0.14399999999999991</v>
      </c>
    </row>
    <row r="4111" spans="1:19" ht="15.75" hidden="1" thickBot="1" x14ac:dyDescent="0.3">
      <c r="A4111" s="257"/>
      <c r="B4111" s="260"/>
      <c r="C4111" s="35"/>
      <c r="D4111" s="46"/>
      <c r="E4111" s="36"/>
      <c r="F4111" s="53" t="s">
        <v>416</v>
      </c>
      <c r="G4111" s="53" t="str">
        <f t="shared" si="392"/>
        <v/>
      </c>
      <c r="H4111" s="72"/>
      <c r="I4111" s="73"/>
      <c r="J4111" s="152">
        <v>0</v>
      </c>
      <c r="L4111" s="215"/>
      <c r="M4111" s="53"/>
      <c r="N4111" s="53" t="str">
        <f t="shared" si="393"/>
        <v/>
      </c>
      <c r="O4111" s="72"/>
      <c r="P4111" s="36" t="str">
        <f t="shared" si="394"/>
        <v/>
      </c>
      <c r="Q4111" s="216" t="str">
        <f t="shared" si="395"/>
        <v/>
      </c>
      <c r="R4111" s="216" t="str">
        <f t="shared" si="396"/>
        <v/>
      </c>
      <c r="S4111" s="217" t="str">
        <f t="shared" si="397"/>
        <v/>
      </c>
    </row>
    <row r="4112" spans="1:19" ht="15.75" hidden="1" thickBot="1" x14ac:dyDescent="0.3">
      <c r="A4112" s="256" t="s">
        <v>1070</v>
      </c>
      <c r="B4112" s="259" t="str">
        <f>INDEX(Orçamentária!A:B,MATCH(Composições!A4112,Orçamentária!A:A,0),2)</f>
        <v>Laminado decorativo de alta pressão (LDAP)</v>
      </c>
      <c r="C4112" s="40"/>
      <c r="D4112" s="25" t="s">
        <v>70</v>
      </c>
      <c r="E4112" s="26"/>
      <c r="F4112" s="48" t="s">
        <v>416</v>
      </c>
      <c r="G4112" s="27" t="str">
        <f t="shared" si="392"/>
        <v/>
      </c>
      <c r="H4112" s="28"/>
      <c r="I4112" s="29"/>
      <c r="J4112" s="152">
        <v>0</v>
      </c>
      <c r="L4112" s="218"/>
      <c r="M4112" s="48"/>
      <c r="N4112" s="27" t="str">
        <f t="shared" si="393"/>
        <v/>
      </c>
      <c r="O4112" s="28"/>
      <c r="P4112" s="36" t="str">
        <f t="shared" si="394"/>
        <v/>
      </c>
      <c r="Q4112" s="216" t="str">
        <f t="shared" si="395"/>
        <v/>
      </c>
      <c r="R4112" s="216" t="str">
        <f t="shared" si="396"/>
        <v/>
      </c>
      <c r="S4112" s="217" t="str">
        <f t="shared" si="397"/>
        <v/>
      </c>
    </row>
    <row r="4113" spans="1:19" ht="15.75" hidden="1" thickBot="1" x14ac:dyDescent="0.3">
      <c r="A4113" s="257"/>
      <c r="B4113" s="260"/>
      <c r="C4113" s="31"/>
      <c r="D4113" s="31"/>
      <c r="E4113" s="32"/>
      <c r="F4113" s="53" t="s">
        <v>416</v>
      </c>
      <c r="G4113" s="53" t="str">
        <f t="shared" si="392"/>
        <v/>
      </c>
      <c r="H4113" s="72"/>
      <c r="I4113" s="73"/>
      <c r="J4113" s="152">
        <v>0</v>
      </c>
      <c r="L4113" s="219"/>
      <c r="M4113" s="53"/>
      <c r="N4113" s="53" t="str">
        <f t="shared" si="393"/>
        <v/>
      </c>
      <c r="O4113" s="72"/>
      <c r="P4113" s="36" t="str">
        <f t="shared" si="394"/>
        <v/>
      </c>
      <c r="Q4113" s="216" t="str">
        <f t="shared" si="395"/>
        <v/>
      </c>
      <c r="R4113" s="216" t="str">
        <f t="shared" si="396"/>
        <v/>
      </c>
      <c r="S4113" s="217" t="str">
        <f t="shared" si="397"/>
        <v/>
      </c>
    </row>
    <row r="4114" spans="1:19" ht="15.75" hidden="1" thickBot="1" x14ac:dyDescent="0.3">
      <c r="A4114" s="257"/>
      <c r="B4114" s="260"/>
      <c r="C4114" s="35" t="s">
        <v>584</v>
      </c>
      <c r="D4114" s="35" t="s">
        <v>583</v>
      </c>
      <c r="E4114" s="36">
        <v>0.18</v>
      </c>
      <c r="F4114" s="53">
        <v>20.225499999999997</v>
      </c>
      <c r="G4114" s="53">
        <f t="shared" si="392"/>
        <v>3.6405899999999991</v>
      </c>
      <c r="H4114" s="38">
        <f>SUM(G4114:G4117)</f>
        <v>54.38655</v>
      </c>
      <c r="I4114" s="39"/>
      <c r="J4114" s="152">
        <v>0</v>
      </c>
      <c r="L4114" s="215">
        <v>0.18</v>
      </c>
      <c r="M4114" s="53">
        <v>17.313027999999996</v>
      </c>
      <c r="N4114" s="53">
        <f t="shared" si="393"/>
        <v>3.1163450399999992</v>
      </c>
      <c r="O4114" s="38">
        <f>SUM(N4114:N4117)</f>
        <v>46.554886799999998</v>
      </c>
      <c r="P4114" s="36" t="str">
        <f t="shared" si="394"/>
        <v/>
      </c>
      <c r="Q4114" s="216">
        <f t="shared" si="395"/>
        <v>0.14400000000000013</v>
      </c>
      <c r="R4114" s="216">
        <f t="shared" si="396"/>
        <v>0.14400000000000002</v>
      </c>
      <c r="S4114" s="217">
        <f t="shared" si="397"/>
        <v>0.14400000000000002</v>
      </c>
    </row>
    <row r="4115" spans="1:19" ht="15.75" hidden="1" thickBot="1" x14ac:dyDescent="0.3">
      <c r="A4115" s="257"/>
      <c r="B4115" s="260"/>
      <c r="C4115" s="35" t="s">
        <v>1071</v>
      </c>
      <c r="D4115" s="35" t="s">
        <v>583</v>
      </c>
      <c r="E4115" s="36">
        <v>0.18</v>
      </c>
      <c r="F4115" s="53">
        <v>26.799499999999998</v>
      </c>
      <c r="G4115" s="53">
        <f t="shared" si="392"/>
        <v>4.8239099999999997</v>
      </c>
      <c r="H4115" s="72"/>
      <c r="I4115" s="73"/>
      <c r="J4115" s="152">
        <v>0</v>
      </c>
      <c r="L4115" s="215">
        <v>0.18</v>
      </c>
      <c r="M4115" s="53">
        <v>22.940372</v>
      </c>
      <c r="N4115" s="53">
        <f t="shared" si="393"/>
        <v>4.1292669599999998</v>
      </c>
      <c r="O4115" s="72"/>
      <c r="P4115" s="36" t="str">
        <f t="shared" si="394"/>
        <v/>
      </c>
      <c r="Q4115" s="216">
        <f t="shared" si="395"/>
        <v>0.14399999999999991</v>
      </c>
      <c r="R4115" s="216">
        <f t="shared" si="396"/>
        <v>0.14400000000000002</v>
      </c>
      <c r="S4115" s="217" t="str">
        <f t="shared" si="397"/>
        <v/>
      </c>
    </row>
    <row r="4116" spans="1:19" ht="26.25" hidden="1" thickBot="1" x14ac:dyDescent="0.3">
      <c r="A4116" s="257"/>
      <c r="B4116" s="260"/>
      <c r="C4116" s="35" t="s">
        <v>8066</v>
      </c>
      <c r="D4116" s="35" t="s">
        <v>773</v>
      </c>
      <c r="E4116" s="36">
        <v>0.9</v>
      </c>
      <c r="F4116" s="53">
        <v>51.024499999999996</v>
      </c>
      <c r="G4116" s="53">
        <f t="shared" si="392"/>
        <v>45.922049999999999</v>
      </c>
      <c r="H4116" s="72"/>
      <c r="I4116" s="73"/>
      <c r="J4116" s="152">
        <v>0</v>
      </c>
      <c r="L4116" s="215">
        <v>0.9</v>
      </c>
      <c r="M4116" s="53">
        <v>43.676971999999999</v>
      </c>
      <c r="N4116" s="53">
        <f t="shared" si="393"/>
        <v>39.309274799999997</v>
      </c>
      <c r="O4116" s="72"/>
      <c r="P4116" s="36" t="str">
        <f t="shared" si="394"/>
        <v/>
      </c>
      <c r="Q4116" s="216">
        <f t="shared" si="395"/>
        <v>0.14399999999999991</v>
      </c>
      <c r="R4116" s="216">
        <f t="shared" si="396"/>
        <v>0.14400000000000002</v>
      </c>
      <c r="S4116" s="217" t="str">
        <f t="shared" si="397"/>
        <v/>
      </c>
    </row>
    <row r="4117" spans="1:19" ht="15.75" hidden="1" thickBot="1" x14ac:dyDescent="0.3">
      <c r="A4117" s="257"/>
      <c r="B4117" s="260"/>
      <c r="C4117" s="35" t="s">
        <v>1072</v>
      </c>
      <c r="D4117" s="35" t="s">
        <v>70</v>
      </c>
      <c r="E4117" s="36">
        <v>1.05</v>
      </c>
      <c r="F4117" s="53">
        <v>0</v>
      </c>
      <c r="G4117" s="53">
        <f t="shared" si="392"/>
        <v>0</v>
      </c>
      <c r="H4117" s="72"/>
      <c r="I4117" s="73"/>
      <c r="J4117" s="152">
        <v>0</v>
      </c>
      <c r="L4117" s="215">
        <v>1.05</v>
      </c>
      <c r="M4117" s="53">
        <v>0</v>
      </c>
      <c r="N4117" s="53">
        <f t="shared" si="393"/>
        <v>0</v>
      </c>
      <c r="O4117" s="72"/>
      <c r="P4117" s="36" t="str">
        <f t="shared" si="394"/>
        <v/>
      </c>
      <c r="Q4117" s="216" t="e">
        <f t="shared" si="395"/>
        <v>#DIV/0!</v>
      </c>
      <c r="R4117" s="216" t="e">
        <f t="shared" si="396"/>
        <v>#DIV/0!</v>
      </c>
      <c r="S4117" s="217" t="str">
        <f t="shared" si="397"/>
        <v/>
      </c>
    </row>
    <row r="4118" spans="1:19" ht="15.75" hidden="1" thickBot="1" x14ac:dyDescent="0.3">
      <c r="A4118" s="257"/>
      <c r="B4118" s="260"/>
      <c r="C4118" s="54"/>
      <c r="D4118" s="54"/>
      <c r="E4118" s="65"/>
      <c r="F4118" s="75" t="s">
        <v>416</v>
      </c>
      <c r="G4118" s="75" t="str">
        <f t="shared" si="392"/>
        <v/>
      </c>
      <c r="H4118" s="76"/>
      <c r="I4118" s="73"/>
      <c r="J4118" s="152">
        <v>0</v>
      </c>
      <c r="L4118" s="222"/>
      <c r="M4118" s="75"/>
      <c r="N4118" s="75" t="str">
        <f t="shared" si="393"/>
        <v/>
      </c>
      <c r="O4118" s="76"/>
      <c r="P4118" s="36" t="str">
        <f t="shared" si="394"/>
        <v/>
      </c>
      <c r="Q4118" s="216" t="str">
        <f t="shared" si="395"/>
        <v/>
      </c>
      <c r="R4118" s="216" t="str">
        <f t="shared" si="396"/>
        <v/>
      </c>
      <c r="S4118" s="217" t="str">
        <f t="shared" si="397"/>
        <v/>
      </c>
    </row>
    <row r="4119" spans="1:19" ht="15.75" hidden="1" thickBot="1" x14ac:dyDescent="0.3">
      <c r="A4119" s="256" t="s">
        <v>1073</v>
      </c>
      <c r="B4119" s="259" t="str">
        <f>INDEX(Orçamentária!A:B,MATCH(Composições!A4119,Orçamentária!A:A,0),2)</f>
        <v>Granito Preto Absoluto para revestimento de superfícies internas e externas – Linha Administrativa</v>
      </c>
      <c r="C4119" s="40"/>
      <c r="D4119" s="25" t="s">
        <v>70</v>
      </c>
      <c r="E4119" s="26"/>
      <c r="F4119" s="41" t="s">
        <v>416</v>
      </c>
      <c r="G4119" s="27" t="str">
        <f t="shared" si="392"/>
        <v/>
      </c>
      <c r="H4119" s="28"/>
      <c r="I4119" s="29"/>
      <c r="J4119" s="152">
        <v>0</v>
      </c>
      <c r="L4119" s="218"/>
      <c r="M4119" s="41"/>
      <c r="N4119" s="27" t="str">
        <f t="shared" si="393"/>
        <v/>
      </c>
      <c r="O4119" s="28"/>
      <c r="P4119" s="36" t="str">
        <f t="shared" si="394"/>
        <v/>
      </c>
      <c r="Q4119" s="216" t="str">
        <f t="shared" si="395"/>
        <v/>
      </c>
      <c r="R4119" s="216" t="str">
        <f t="shared" si="396"/>
        <v/>
      </c>
      <c r="S4119" s="217" t="str">
        <f t="shared" si="397"/>
        <v/>
      </c>
    </row>
    <row r="4120" spans="1:19" ht="15.75" hidden="1" thickBot="1" x14ac:dyDescent="0.3">
      <c r="A4120" s="262"/>
      <c r="B4120" s="260"/>
      <c r="C4120" s="31"/>
      <c r="D4120" s="31"/>
      <c r="E4120" s="32"/>
      <c r="F4120" s="42" t="s">
        <v>416</v>
      </c>
      <c r="G4120" s="30" t="str">
        <f t="shared" si="392"/>
        <v/>
      </c>
      <c r="H4120" s="34"/>
      <c r="I4120" s="30"/>
      <c r="J4120" s="152">
        <v>0</v>
      </c>
      <c r="L4120" s="219"/>
      <c r="M4120" s="42"/>
      <c r="N4120" s="30" t="str">
        <f t="shared" si="393"/>
        <v/>
      </c>
      <c r="O4120" s="34"/>
      <c r="P4120" s="36" t="str">
        <f t="shared" si="394"/>
        <v/>
      </c>
      <c r="Q4120" s="216" t="str">
        <f t="shared" si="395"/>
        <v/>
      </c>
      <c r="R4120" s="216" t="str">
        <f t="shared" si="396"/>
        <v/>
      </c>
      <c r="S4120" s="217" t="str">
        <f t="shared" si="397"/>
        <v/>
      </c>
    </row>
    <row r="4121" spans="1:19" ht="15.75" hidden="1" thickBot="1" x14ac:dyDescent="0.3">
      <c r="A4121" s="262"/>
      <c r="B4121" s="260"/>
      <c r="C4121" s="35" t="s">
        <v>7987</v>
      </c>
      <c r="D4121" s="35" t="s">
        <v>773</v>
      </c>
      <c r="E4121" s="36">
        <v>8.6199999999999992</v>
      </c>
      <c r="F4121" s="33">
        <v>1.8049999999999999</v>
      </c>
      <c r="G4121" s="33">
        <f t="shared" si="392"/>
        <v>15.559099999999997</v>
      </c>
      <c r="H4121" s="38">
        <f>SUM(G4121:G4125)</f>
        <v>60.177122999999987</v>
      </c>
      <c r="I4121" s="39"/>
      <c r="J4121" s="152">
        <v>0</v>
      </c>
      <c r="L4121" s="215">
        <v>8.6199999999999992</v>
      </c>
      <c r="M4121" s="33">
        <v>1.54508</v>
      </c>
      <c r="N4121" s="33">
        <f t="shared" si="393"/>
        <v>13.318589599999999</v>
      </c>
      <c r="O4121" s="38">
        <f>SUM(N4121:N4125)</f>
        <v>51.511617287999989</v>
      </c>
      <c r="P4121" s="36" t="str">
        <f t="shared" si="394"/>
        <v/>
      </c>
      <c r="Q4121" s="216">
        <f t="shared" si="395"/>
        <v>0.14400000000000002</v>
      </c>
      <c r="R4121" s="216">
        <f t="shared" si="396"/>
        <v>0.14399999999999991</v>
      </c>
      <c r="S4121" s="217">
        <f t="shared" si="397"/>
        <v>0.14400000000000002</v>
      </c>
    </row>
    <row r="4122" spans="1:19" ht="15.75" hidden="1" thickBot="1" x14ac:dyDescent="0.3">
      <c r="A4122" s="262"/>
      <c r="B4122" s="260"/>
      <c r="C4122" s="35" t="s">
        <v>2906</v>
      </c>
      <c r="D4122" s="35" t="s">
        <v>583</v>
      </c>
      <c r="E4122" s="36">
        <v>1.1879999999999999</v>
      </c>
      <c r="F4122" s="30">
        <v>27.036999999999999</v>
      </c>
      <c r="G4122" s="33">
        <f t="shared" si="392"/>
        <v>32.119955999999995</v>
      </c>
      <c r="H4122" s="34"/>
      <c r="I4122" s="30"/>
      <c r="J4122" s="152">
        <v>0</v>
      </c>
      <c r="L4122" s="215">
        <v>1.1879999999999999</v>
      </c>
      <c r="M4122" s="30">
        <v>23.143671999999999</v>
      </c>
      <c r="N4122" s="33">
        <f t="shared" si="393"/>
        <v>27.494682335999997</v>
      </c>
      <c r="O4122" s="34"/>
      <c r="P4122" s="36" t="str">
        <f t="shared" si="394"/>
        <v/>
      </c>
      <c r="Q4122" s="216">
        <f t="shared" si="395"/>
        <v>0.14400000000000002</v>
      </c>
      <c r="R4122" s="216">
        <f t="shared" si="396"/>
        <v>0.14400000000000002</v>
      </c>
      <c r="S4122" s="217" t="str">
        <f t="shared" si="397"/>
        <v/>
      </c>
    </row>
    <row r="4123" spans="1:19" ht="15.75" hidden="1" thickBot="1" x14ac:dyDescent="0.3">
      <c r="A4123" s="262"/>
      <c r="B4123" s="260"/>
      <c r="C4123" s="35" t="s">
        <v>584</v>
      </c>
      <c r="D4123" s="35" t="s">
        <v>583</v>
      </c>
      <c r="E4123" s="36">
        <v>0.59399999999999997</v>
      </c>
      <c r="F4123" s="30">
        <v>20.225499999999997</v>
      </c>
      <c r="G4123" s="33">
        <f t="shared" si="392"/>
        <v>12.013946999999998</v>
      </c>
      <c r="H4123" s="34"/>
      <c r="I4123" s="30"/>
      <c r="J4123" s="152">
        <v>0</v>
      </c>
      <c r="L4123" s="215">
        <v>0.59399999999999997</v>
      </c>
      <c r="M4123" s="30">
        <v>17.313027999999996</v>
      </c>
      <c r="N4123" s="33">
        <f t="shared" si="393"/>
        <v>10.283938631999996</v>
      </c>
      <c r="O4123" s="34"/>
      <c r="P4123" s="36" t="str">
        <f t="shared" si="394"/>
        <v/>
      </c>
      <c r="Q4123" s="216">
        <f t="shared" si="395"/>
        <v>0.14400000000000013</v>
      </c>
      <c r="R4123" s="216">
        <f t="shared" si="396"/>
        <v>0.14400000000000013</v>
      </c>
      <c r="S4123" s="217" t="str">
        <f t="shared" si="397"/>
        <v/>
      </c>
    </row>
    <row r="4124" spans="1:19" ht="15.75" hidden="1" thickBot="1" x14ac:dyDescent="0.3">
      <c r="A4124" s="262"/>
      <c r="B4124" s="260"/>
      <c r="C4124" s="35" t="s">
        <v>8367</v>
      </c>
      <c r="D4124" s="35" t="s">
        <v>773</v>
      </c>
      <c r="E4124" s="36">
        <v>0.14000000000000001</v>
      </c>
      <c r="F4124" s="33">
        <v>3.4579999999999997</v>
      </c>
      <c r="G4124" s="33">
        <f t="shared" si="392"/>
        <v>0.48411999999999999</v>
      </c>
      <c r="H4124" s="34"/>
      <c r="I4124" s="30"/>
      <c r="J4124" s="152">
        <v>0</v>
      </c>
      <c r="L4124" s="215">
        <v>0.14000000000000001</v>
      </c>
      <c r="M4124" s="33">
        <v>2.9600479999999996</v>
      </c>
      <c r="N4124" s="33">
        <f t="shared" si="393"/>
        <v>0.41440672000000001</v>
      </c>
      <c r="O4124" s="34"/>
      <c r="P4124" s="36" t="str">
        <f t="shared" si="394"/>
        <v/>
      </c>
      <c r="Q4124" s="216">
        <f t="shared" si="395"/>
        <v>0.14400000000000002</v>
      </c>
      <c r="R4124" s="216">
        <f t="shared" si="396"/>
        <v>0.14400000000000002</v>
      </c>
      <c r="S4124" s="217" t="str">
        <f t="shared" si="397"/>
        <v/>
      </c>
    </row>
    <row r="4125" spans="1:19" ht="15.75" hidden="1" thickBot="1" x14ac:dyDescent="0.3">
      <c r="A4125" s="262"/>
      <c r="B4125" s="260"/>
      <c r="C4125" s="35" t="s">
        <v>1074</v>
      </c>
      <c r="D4125" s="35" t="s">
        <v>70</v>
      </c>
      <c r="E4125" s="36">
        <v>1.1599999999999999</v>
      </c>
      <c r="F4125" s="33" t="s">
        <v>416</v>
      </c>
      <c r="G4125" s="53" t="str">
        <f t="shared" si="392"/>
        <v/>
      </c>
      <c r="H4125" s="34"/>
      <c r="I4125" s="30"/>
      <c r="J4125" s="152">
        <v>0</v>
      </c>
      <c r="L4125" s="215">
        <v>1.1599999999999999</v>
      </c>
      <c r="M4125" s="33"/>
      <c r="N4125" s="53" t="str">
        <f t="shared" si="393"/>
        <v/>
      </c>
      <c r="O4125" s="34"/>
      <c r="P4125" s="36" t="str">
        <f t="shared" si="394"/>
        <v/>
      </c>
      <c r="Q4125" s="216" t="str">
        <f t="shared" si="395"/>
        <v/>
      </c>
      <c r="R4125" s="216" t="str">
        <f t="shared" si="396"/>
        <v/>
      </c>
      <c r="S4125" s="217" t="str">
        <f t="shared" si="397"/>
        <v/>
      </c>
    </row>
    <row r="4126" spans="1:19" ht="15.75" hidden="1" thickBot="1" x14ac:dyDescent="0.3">
      <c r="A4126" s="263"/>
      <c r="B4126" s="261"/>
      <c r="C4126" s="35"/>
      <c r="D4126" s="35"/>
      <c r="E4126" s="36"/>
      <c r="F4126" s="30" t="s">
        <v>416</v>
      </c>
      <c r="G4126" s="30" t="str">
        <f t="shared" si="392"/>
        <v/>
      </c>
      <c r="H4126" s="34"/>
      <c r="I4126" s="30"/>
      <c r="J4126" s="152">
        <v>0</v>
      </c>
      <c r="L4126" s="215"/>
      <c r="M4126" s="30"/>
      <c r="N4126" s="30" t="str">
        <f t="shared" si="393"/>
        <v/>
      </c>
      <c r="O4126" s="34"/>
      <c r="P4126" s="36" t="str">
        <f t="shared" si="394"/>
        <v/>
      </c>
      <c r="Q4126" s="216" t="str">
        <f t="shared" si="395"/>
        <v/>
      </c>
      <c r="R4126" s="216" t="str">
        <f t="shared" si="396"/>
        <v/>
      </c>
      <c r="S4126" s="217" t="str">
        <f t="shared" si="397"/>
        <v/>
      </c>
    </row>
    <row r="4127" spans="1:19" ht="15.75" hidden="1" thickBot="1" x14ac:dyDescent="0.3">
      <c r="A4127" s="256" t="s">
        <v>1075</v>
      </c>
      <c r="B4127" s="259" t="str">
        <f>INDEX(Orçamentária!A:B,MATCH(Composições!A4127,Orçamentária!A:A,0),2)</f>
        <v>Granito Arabesco para revestimento de superfícies internas e externas – Linha Administrativa</v>
      </c>
      <c r="C4127" s="40"/>
      <c r="D4127" s="25" t="s">
        <v>70</v>
      </c>
      <c r="E4127" s="26"/>
      <c r="F4127" s="41" t="s">
        <v>416</v>
      </c>
      <c r="G4127" s="27" t="str">
        <f t="shared" si="392"/>
        <v/>
      </c>
      <c r="H4127" s="28"/>
      <c r="I4127" s="29"/>
      <c r="J4127" s="152">
        <v>0</v>
      </c>
      <c r="L4127" s="218"/>
      <c r="M4127" s="41"/>
      <c r="N4127" s="27" t="str">
        <f t="shared" si="393"/>
        <v/>
      </c>
      <c r="O4127" s="28"/>
      <c r="P4127" s="36" t="str">
        <f t="shared" si="394"/>
        <v/>
      </c>
      <c r="Q4127" s="216" t="str">
        <f t="shared" si="395"/>
        <v/>
      </c>
      <c r="R4127" s="216" t="str">
        <f t="shared" si="396"/>
        <v/>
      </c>
      <c r="S4127" s="217" t="str">
        <f t="shared" si="397"/>
        <v/>
      </c>
    </row>
    <row r="4128" spans="1:19" ht="15.75" hidden="1" thickBot="1" x14ac:dyDescent="0.3">
      <c r="A4128" s="262"/>
      <c r="B4128" s="260"/>
      <c r="C4128" s="31"/>
      <c r="D4128" s="31"/>
      <c r="E4128" s="32"/>
      <c r="F4128" s="42" t="s">
        <v>416</v>
      </c>
      <c r="G4128" s="30" t="str">
        <f t="shared" si="392"/>
        <v/>
      </c>
      <c r="H4128" s="34"/>
      <c r="I4128" s="30"/>
      <c r="J4128" s="152">
        <v>0</v>
      </c>
      <c r="L4128" s="219"/>
      <c r="M4128" s="42"/>
      <c r="N4128" s="30" t="str">
        <f t="shared" si="393"/>
        <v/>
      </c>
      <c r="O4128" s="34"/>
      <c r="P4128" s="36" t="str">
        <f t="shared" si="394"/>
        <v/>
      </c>
      <c r="Q4128" s="216" t="str">
        <f t="shared" si="395"/>
        <v/>
      </c>
      <c r="R4128" s="216" t="str">
        <f t="shared" si="396"/>
        <v/>
      </c>
      <c r="S4128" s="217" t="str">
        <f t="shared" si="397"/>
        <v/>
      </c>
    </row>
    <row r="4129" spans="1:19" ht="15.75" hidden="1" thickBot="1" x14ac:dyDescent="0.3">
      <c r="A4129" s="262"/>
      <c r="B4129" s="260"/>
      <c r="C4129" s="35" t="s">
        <v>7987</v>
      </c>
      <c r="D4129" s="35" t="s">
        <v>773</v>
      </c>
      <c r="E4129" s="36">
        <v>8.6199999999999992</v>
      </c>
      <c r="F4129" s="33">
        <v>1.8049999999999999</v>
      </c>
      <c r="G4129" s="33">
        <f t="shared" si="392"/>
        <v>15.559099999999997</v>
      </c>
      <c r="H4129" s="38">
        <f>SUM(G4129:G4133)</f>
        <v>60.177122999999987</v>
      </c>
      <c r="I4129" s="39"/>
      <c r="J4129" s="152">
        <v>0</v>
      </c>
      <c r="L4129" s="215">
        <v>8.6199999999999992</v>
      </c>
      <c r="M4129" s="33">
        <v>1.54508</v>
      </c>
      <c r="N4129" s="33">
        <f t="shared" si="393"/>
        <v>13.318589599999999</v>
      </c>
      <c r="O4129" s="38">
        <f>SUM(N4129:N4133)</f>
        <v>51.511617287999989</v>
      </c>
      <c r="P4129" s="36" t="str">
        <f t="shared" si="394"/>
        <v/>
      </c>
      <c r="Q4129" s="216">
        <f t="shared" si="395"/>
        <v>0.14400000000000002</v>
      </c>
      <c r="R4129" s="216">
        <f t="shared" si="396"/>
        <v>0.14399999999999991</v>
      </c>
      <c r="S4129" s="217">
        <f t="shared" si="397"/>
        <v>0.14400000000000002</v>
      </c>
    </row>
    <row r="4130" spans="1:19" ht="15.75" hidden="1" thickBot="1" x14ac:dyDescent="0.3">
      <c r="A4130" s="262"/>
      <c r="B4130" s="260"/>
      <c r="C4130" s="35" t="s">
        <v>2906</v>
      </c>
      <c r="D4130" s="35" t="s">
        <v>583</v>
      </c>
      <c r="E4130" s="36">
        <v>1.1879999999999999</v>
      </c>
      <c r="F4130" s="30">
        <v>27.036999999999999</v>
      </c>
      <c r="G4130" s="33">
        <f t="shared" si="392"/>
        <v>32.119955999999995</v>
      </c>
      <c r="H4130" s="34"/>
      <c r="I4130" s="30"/>
      <c r="J4130" s="152">
        <v>0</v>
      </c>
      <c r="L4130" s="215">
        <v>1.1879999999999999</v>
      </c>
      <c r="M4130" s="30">
        <v>23.143671999999999</v>
      </c>
      <c r="N4130" s="33">
        <f t="shared" si="393"/>
        <v>27.494682335999997</v>
      </c>
      <c r="O4130" s="34"/>
      <c r="P4130" s="36" t="str">
        <f t="shared" si="394"/>
        <v/>
      </c>
      <c r="Q4130" s="216">
        <f t="shared" si="395"/>
        <v>0.14400000000000002</v>
      </c>
      <c r="R4130" s="216">
        <f t="shared" si="396"/>
        <v>0.14400000000000002</v>
      </c>
      <c r="S4130" s="217" t="str">
        <f t="shared" si="397"/>
        <v/>
      </c>
    </row>
    <row r="4131" spans="1:19" ht="15.75" hidden="1" thickBot="1" x14ac:dyDescent="0.3">
      <c r="A4131" s="262"/>
      <c r="B4131" s="260"/>
      <c r="C4131" s="35" t="s">
        <v>584</v>
      </c>
      <c r="D4131" s="35" t="s">
        <v>583</v>
      </c>
      <c r="E4131" s="36">
        <v>0.59399999999999997</v>
      </c>
      <c r="F4131" s="30">
        <v>20.225499999999997</v>
      </c>
      <c r="G4131" s="33">
        <f t="shared" si="392"/>
        <v>12.013946999999998</v>
      </c>
      <c r="H4131" s="34"/>
      <c r="I4131" s="30"/>
      <c r="J4131" s="152">
        <v>0</v>
      </c>
      <c r="L4131" s="215">
        <v>0.59399999999999997</v>
      </c>
      <c r="M4131" s="30">
        <v>17.313027999999996</v>
      </c>
      <c r="N4131" s="33">
        <f t="shared" si="393"/>
        <v>10.283938631999996</v>
      </c>
      <c r="O4131" s="34"/>
      <c r="P4131" s="36" t="str">
        <f t="shared" si="394"/>
        <v/>
      </c>
      <c r="Q4131" s="216">
        <f t="shared" si="395"/>
        <v>0.14400000000000013</v>
      </c>
      <c r="R4131" s="216">
        <f t="shared" si="396"/>
        <v>0.14400000000000013</v>
      </c>
      <c r="S4131" s="217" t="str">
        <f t="shared" si="397"/>
        <v/>
      </c>
    </row>
    <row r="4132" spans="1:19" ht="15.75" hidden="1" thickBot="1" x14ac:dyDescent="0.3">
      <c r="A4132" s="262"/>
      <c r="B4132" s="260"/>
      <c r="C4132" s="35" t="s">
        <v>8367</v>
      </c>
      <c r="D4132" s="35" t="s">
        <v>773</v>
      </c>
      <c r="E4132" s="36">
        <v>0.14000000000000001</v>
      </c>
      <c r="F4132" s="33">
        <v>3.4579999999999997</v>
      </c>
      <c r="G4132" s="33">
        <f t="shared" si="392"/>
        <v>0.48411999999999999</v>
      </c>
      <c r="H4132" s="34"/>
      <c r="I4132" s="30"/>
      <c r="J4132" s="152">
        <v>0</v>
      </c>
      <c r="L4132" s="215">
        <v>0.14000000000000001</v>
      </c>
      <c r="M4132" s="33">
        <v>2.9600479999999996</v>
      </c>
      <c r="N4132" s="33">
        <f t="shared" si="393"/>
        <v>0.41440672000000001</v>
      </c>
      <c r="O4132" s="34"/>
      <c r="P4132" s="36" t="str">
        <f t="shared" si="394"/>
        <v/>
      </c>
      <c r="Q4132" s="216">
        <f t="shared" si="395"/>
        <v>0.14400000000000002</v>
      </c>
      <c r="R4132" s="216">
        <f t="shared" si="396"/>
        <v>0.14400000000000002</v>
      </c>
      <c r="S4132" s="217" t="str">
        <f t="shared" si="397"/>
        <v/>
      </c>
    </row>
    <row r="4133" spans="1:19" ht="15.75" hidden="1" thickBot="1" x14ac:dyDescent="0.3">
      <c r="A4133" s="262"/>
      <c r="B4133" s="260"/>
      <c r="C4133" s="35" t="s">
        <v>1076</v>
      </c>
      <c r="D4133" s="35" t="s">
        <v>70</v>
      </c>
      <c r="E4133" s="36">
        <v>1.1599999999999999</v>
      </c>
      <c r="F4133" s="33" t="s">
        <v>416</v>
      </c>
      <c r="G4133" s="53" t="str">
        <f t="shared" si="392"/>
        <v/>
      </c>
      <c r="H4133" s="34"/>
      <c r="I4133" s="30"/>
      <c r="J4133" s="152">
        <v>0</v>
      </c>
      <c r="L4133" s="215">
        <v>1.1599999999999999</v>
      </c>
      <c r="M4133" s="33"/>
      <c r="N4133" s="53" t="str">
        <f t="shared" si="393"/>
        <v/>
      </c>
      <c r="O4133" s="34"/>
      <c r="P4133" s="36" t="str">
        <f t="shared" si="394"/>
        <v/>
      </c>
      <c r="Q4133" s="216" t="str">
        <f t="shared" si="395"/>
        <v/>
      </c>
      <c r="R4133" s="216" t="str">
        <f t="shared" si="396"/>
        <v/>
      </c>
      <c r="S4133" s="217" t="str">
        <f t="shared" si="397"/>
        <v/>
      </c>
    </row>
    <row r="4134" spans="1:19" ht="15.75" hidden="1" thickBot="1" x14ac:dyDescent="0.3">
      <c r="A4134" s="263"/>
      <c r="B4134" s="261"/>
      <c r="C4134" s="35"/>
      <c r="D4134" s="35"/>
      <c r="E4134" s="36"/>
      <c r="F4134" s="30" t="s">
        <v>416</v>
      </c>
      <c r="G4134" s="30" t="str">
        <f t="shared" si="392"/>
        <v/>
      </c>
      <c r="H4134" s="34"/>
      <c r="I4134" s="30"/>
      <c r="J4134" s="152">
        <v>0</v>
      </c>
      <c r="L4134" s="215"/>
      <c r="M4134" s="30"/>
      <c r="N4134" s="30" t="str">
        <f t="shared" si="393"/>
        <v/>
      </c>
      <c r="O4134" s="34"/>
      <c r="P4134" s="36" t="str">
        <f t="shared" si="394"/>
        <v/>
      </c>
      <c r="Q4134" s="216" t="str">
        <f t="shared" si="395"/>
        <v/>
      </c>
      <c r="R4134" s="216" t="str">
        <f t="shared" si="396"/>
        <v/>
      </c>
      <c r="S4134" s="217" t="str">
        <f t="shared" si="397"/>
        <v/>
      </c>
    </row>
    <row r="4135" spans="1:19" ht="15.75" hidden="1" thickBot="1" x14ac:dyDescent="0.3">
      <c r="A4135" s="256" t="s">
        <v>1077</v>
      </c>
      <c r="B4135" s="259" t="str">
        <f>INDEX(Orçamentária!A:B,MATCH(Composições!A4135,Orçamentária!A:A,0),2)</f>
        <v>Porcelanato para revestimento de superfícies internas e externas – Linha Residencial</v>
      </c>
      <c r="C4135" s="40"/>
      <c r="D4135" s="25" t="s">
        <v>70</v>
      </c>
      <c r="E4135" s="26"/>
      <c r="F4135" s="48" t="s">
        <v>416</v>
      </c>
      <c r="G4135" s="27" t="str">
        <f t="shared" si="392"/>
        <v/>
      </c>
      <c r="H4135" s="28"/>
      <c r="I4135" s="29"/>
      <c r="J4135" s="152">
        <v>0</v>
      </c>
      <c r="L4135" s="218"/>
      <c r="M4135" s="48"/>
      <c r="N4135" s="27" t="str">
        <f t="shared" si="393"/>
        <v/>
      </c>
      <c r="O4135" s="28"/>
      <c r="P4135" s="36" t="str">
        <f t="shared" si="394"/>
        <v/>
      </c>
      <c r="Q4135" s="216" t="str">
        <f t="shared" si="395"/>
        <v/>
      </c>
      <c r="R4135" s="216" t="str">
        <f t="shared" si="396"/>
        <v/>
      </c>
      <c r="S4135" s="217" t="str">
        <f t="shared" si="397"/>
        <v/>
      </c>
    </row>
    <row r="4136" spans="1:19" ht="15.75" hidden="1" thickBot="1" x14ac:dyDescent="0.3">
      <c r="A4136" s="257"/>
      <c r="B4136" s="260"/>
      <c r="C4136" s="31"/>
      <c r="D4136" s="31"/>
      <c r="E4136" s="32"/>
      <c r="F4136" s="53" t="s">
        <v>416</v>
      </c>
      <c r="G4136" s="53" t="str">
        <f t="shared" si="392"/>
        <v/>
      </c>
      <c r="H4136" s="72"/>
      <c r="I4136" s="73"/>
      <c r="J4136" s="152">
        <v>0</v>
      </c>
      <c r="L4136" s="219"/>
      <c r="M4136" s="53"/>
      <c r="N4136" s="53" t="str">
        <f t="shared" si="393"/>
        <v/>
      </c>
      <c r="O4136" s="72"/>
      <c r="P4136" s="36" t="str">
        <f t="shared" si="394"/>
        <v/>
      </c>
      <c r="Q4136" s="216" t="str">
        <f t="shared" si="395"/>
        <v/>
      </c>
      <c r="R4136" s="216" t="str">
        <f t="shared" si="396"/>
        <v/>
      </c>
      <c r="S4136" s="217" t="str">
        <f t="shared" si="397"/>
        <v/>
      </c>
    </row>
    <row r="4137" spans="1:19" ht="26.25" hidden="1" thickBot="1" x14ac:dyDescent="0.3">
      <c r="A4137" s="257"/>
      <c r="B4137" s="260"/>
      <c r="C4137" s="35" t="s">
        <v>1078</v>
      </c>
      <c r="D4137" s="35" t="s">
        <v>861</v>
      </c>
      <c r="E4137" s="36">
        <v>1.07</v>
      </c>
      <c r="F4137" s="53">
        <v>75.885999999999996</v>
      </c>
      <c r="G4137" s="53">
        <f t="shared" si="392"/>
        <v>81.19802</v>
      </c>
      <c r="H4137" s="38">
        <f>SUM(G4137:G4141)</f>
        <v>119.13598500000001</v>
      </c>
      <c r="I4137" s="39"/>
      <c r="J4137" s="152">
        <v>0</v>
      </c>
      <c r="L4137" s="215">
        <v>1.07</v>
      </c>
      <c r="M4137" s="53">
        <v>64.958416</v>
      </c>
      <c r="N4137" s="53">
        <f t="shared" si="393"/>
        <v>69.505505120000009</v>
      </c>
      <c r="O4137" s="38">
        <f>SUM(N4137:N4141)</f>
        <v>101.98040315999999</v>
      </c>
      <c r="P4137" s="36" t="str">
        <f t="shared" si="394"/>
        <v/>
      </c>
      <c r="Q4137" s="216">
        <f t="shared" si="395"/>
        <v>0.14399999999999991</v>
      </c>
      <c r="R4137" s="216">
        <f t="shared" si="396"/>
        <v>0.14399999999999991</v>
      </c>
      <c r="S4137" s="217">
        <f t="shared" si="397"/>
        <v>0.14400000000000013</v>
      </c>
    </row>
    <row r="4138" spans="1:19" ht="15.75" hidden="1" thickBot="1" x14ac:dyDescent="0.3">
      <c r="A4138" s="257"/>
      <c r="B4138" s="260"/>
      <c r="C4138" s="35" t="s">
        <v>8367</v>
      </c>
      <c r="D4138" s="35" t="s">
        <v>773</v>
      </c>
      <c r="E4138" s="36">
        <v>0.24</v>
      </c>
      <c r="F4138" s="53">
        <v>3.4579999999999997</v>
      </c>
      <c r="G4138" s="53">
        <f t="shared" si="392"/>
        <v>0.82991999999999988</v>
      </c>
      <c r="H4138" s="72"/>
      <c r="I4138" s="73"/>
      <c r="J4138" s="152">
        <v>0</v>
      </c>
      <c r="L4138" s="215">
        <v>0.24</v>
      </c>
      <c r="M4138" s="53">
        <v>2.9600479999999996</v>
      </c>
      <c r="N4138" s="53">
        <f t="shared" si="393"/>
        <v>0.71041151999999985</v>
      </c>
      <c r="O4138" s="72"/>
      <c r="P4138" s="36" t="str">
        <f t="shared" si="394"/>
        <v/>
      </c>
      <c r="Q4138" s="216">
        <f t="shared" si="395"/>
        <v>0.14400000000000002</v>
      </c>
      <c r="R4138" s="216">
        <f t="shared" si="396"/>
        <v>0.14400000000000002</v>
      </c>
      <c r="S4138" s="217" t="str">
        <f t="shared" si="397"/>
        <v/>
      </c>
    </row>
    <row r="4139" spans="1:19" ht="15.75" hidden="1" thickBot="1" x14ac:dyDescent="0.3">
      <c r="A4139" s="257"/>
      <c r="B4139" s="260"/>
      <c r="C4139" s="35" t="s">
        <v>7987</v>
      </c>
      <c r="D4139" s="35" t="s">
        <v>773</v>
      </c>
      <c r="E4139" s="36">
        <v>8.6199999999999992</v>
      </c>
      <c r="F4139" s="53">
        <v>1.8049999999999999</v>
      </c>
      <c r="G4139" s="53">
        <f t="shared" si="392"/>
        <v>15.559099999999997</v>
      </c>
      <c r="H4139" s="72"/>
      <c r="I4139" s="73"/>
      <c r="J4139" s="152">
        <v>0</v>
      </c>
      <c r="L4139" s="215">
        <v>8.6199999999999992</v>
      </c>
      <c r="M4139" s="53">
        <v>1.54508</v>
      </c>
      <c r="N4139" s="53">
        <f t="shared" si="393"/>
        <v>13.318589599999999</v>
      </c>
      <c r="O4139" s="72"/>
      <c r="P4139" s="36" t="str">
        <f t="shared" si="394"/>
        <v/>
      </c>
      <c r="Q4139" s="216">
        <f t="shared" si="395"/>
        <v>0.14400000000000002</v>
      </c>
      <c r="R4139" s="216">
        <f t="shared" si="396"/>
        <v>0.14399999999999991</v>
      </c>
      <c r="S4139" s="217" t="str">
        <f t="shared" si="397"/>
        <v/>
      </c>
    </row>
    <row r="4140" spans="1:19" ht="15.75" hidden="1" thickBot="1" x14ac:dyDescent="0.3">
      <c r="A4140" s="257"/>
      <c r="B4140" s="260"/>
      <c r="C4140" s="35" t="s">
        <v>1079</v>
      </c>
      <c r="D4140" s="35" t="s">
        <v>583</v>
      </c>
      <c r="E4140" s="36">
        <v>0.61</v>
      </c>
      <c r="F4140" s="53">
        <v>27.036999999999999</v>
      </c>
      <c r="G4140" s="53">
        <f t="shared" ref="G4140:G4161" si="398">IF(ISNUMBER(F4140),E4140*F4140,"")</f>
        <v>16.492570000000001</v>
      </c>
      <c r="H4140" s="72"/>
      <c r="I4140" s="73"/>
      <c r="J4140" s="152">
        <v>0</v>
      </c>
      <c r="L4140" s="215">
        <v>0.61</v>
      </c>
      <c r="M4140" s="53">
        <v>23.143671999999999</v>
      </c>
      <c r="N4140" s="53">
        <f t="shared" ref="N4140:N4161" si="399">IF(ISNUMBER(M4140),L4140*M4140,"")</f>
        <v>14.117639919999998</v>
      </c>
      <c r="O4140" s="72"/>
      <c r="P4140" s="36" t="str">
        <f t="shared" si="394"/>
        <v/>
      </c>
      <c r="Q4140" s="216">
        <f t="shared" si="395"/>
        <v>0.14400000000000002</v>
      </c>
      <c r="R4140" s="216">
        <f t="shared" si="396"/>
        <v>0.14400000000000013</v>
      </c>
      <c r="S4140" s="217" t="str">
        <f t="shared" si="397"/>
        <v/>
      </c>
    </row>
    <row r="4141" spans="1:19" ht="15.75" hidden="1" thickBot="1" x14ac:dyDescent="0.3">
      <c r="A4141" s="257"/>
      <c r="B4141" s="260"/>
      <c r="C4141" s="35" t="s">
        <v>584</v>
      </c>
      <c r="D4141" s="35" t="s">
        <v>583</v>
      </c>
      <c r="E4141" s="36">
        <v>0.25</v>
      </c>
      <c r="F4141" s="53">
        <v>20.225499999999997</v>
      </c>
      <c r="G4141" s="53">
        <f t="shared" si="398"/>
        <v>5.0563749999999992</v>
      </c>
      <c r="H4141" s="72"/>
      <c r="I4141" s="73"/>
      <c r="J4141" s="152">
        <v>0</v>
      </c>
      <c r="L4141" s="215">
        <v>0.25</v>
      </c>
      <c r="M4141" s="53">
        <v>17.313027999999996</v>
      </c>
      <c r="N4141" s="53">
        <f t="shared" si="399"/>
        <v>4.3282569999999989</v>
      </c>
      <c r="O4141" s="72"/>
      <c r="P4141" s="36" t="str">
        <f t="shared" si="394"/>
        <v/>
      </c>
      <c r="Q4141" s="216">
        <f t="shared" si="395"/>
        <v>0.14400000000000013</v>
      </c>
      <c r="R4141" s="216">
        <f t="shared" si="396"/>
        <v>0.14400000000000013</v>
      </c>
      <c r="S4141" s="217" t="str">
        <f t="shared" si="397"/>
        <v/>
      </c>
    </row>
    <row r="4142" spans="1:19" ht="15.75" hidden="1" thickBot="1" x14ac:dyDescent="0.3">
      <c r="A4142" s="257"/>
      <c r="B4142" s="260"/>
      <c r="C4142" s="35"/>
      <c r="D4142" s="46"/>
      <c r="E4142" s="36"/>
      <c r="F4142" s="53" t="s">
        <v>416</v>
      </c>
      <c r="G4142" s="53" t="str">
        <f t="shared" si="398"/>
        <v/>
      </c>
      <c r="H4142" s="72"/>
      <c r="I4142" s="73"/>
      <c r="J4142" s="152">
        <v>0</v>
      </c>
      <c r="L4142" s="215"/>
      <c r="M4142" s="53"/>
      <c r="N4142" s="53" t="str">
        <f t="shared" si="399"/>
        <v/>
      </c>
      <c r="O4142" s="72"/>
      <c r="P4142" s="36" t="str">
        <f t="shared" si="394"/>
        <v/>
      </c>
      <c r="Q4142" s="216" t="str">
        <f t="shared" si="395"/>
        <v/>
      </c>
      <c r="R4142" s="216" t="str">
        <f t="shared" si="396"/>
        <v/>
      </c>
      <c r="S4142" s="217" t="str">
        <f t="shared" si="397"/>
        <v/>
      </c>
    </row>
    <row r="4143" spans="1:19" ht="15.75" hidden="1" thickBot="1" x14ac:dyDescent="0.3">
      <c r="A4143" s="256" t="s">
        <v>1080</v>
      </c>
      <c r="B4143" s="259" t="str">
        <f>INDEX(Orçamentária!A:B,MATCH(Composições!A4143,Orçamentária!A:A,0),2)</f>
        <v>Granitina para revestimento de pisos</v>
      </c>
      <c r="C4143" s="40"/>
      <c r="D4143" s="25" t="s">
        <v>70</v>
      </c>
      <c r="E4143" s="26"/>
      <c r="F4143" s="48" t="s">
        <v>416</v>
      </c>
      <c r="G4143" s="27" t="str">
        <f t="shared" si="398"/>
        <v/>
      </c>
      <c r="H4143" s="28"/>
      <c r="I4143" s="29"/>
      <c r="J4143" s="152">
        <v>0</v>
      </c>
      <c r="L4143" s="218"/>
      <c r="M4143" s="48"/>
      <c r="N4143" s="27" t="str">
        <f t="shared" si="399"/>
        <v/>
      </c>
      <c r="O4143" s="28"/>
      <c r="P4143" s="36" t="str">
        <f t="shared" si="394"/>
        <v/>
      </c>
      <c r="Q4143" s="216" t="str">
        <f t="shared" si="395"/>
        <v/>
      </c>
      <c r="R4143" s="216" t="str">
        <f t="shared" si="396"/>
        <v/>
      </c>
      <c r="S4143" s="217" t="str">
        <f t="shared" si="397"/>
        <v/>
      </c>
    </row>
    <row r="4144" spans="1:19" ht="15.75" hidden="1" thickBot="1" x14ac:dyDescent="0.3">
      <c r="A4144" s="257"/>
      <c r="B4144" s="260"/>
      <c r="C4144" s="31"/>
      <c r="D4144" s="31"/>
      <c r="E4144" s="32"/>
      <c r="F4144" s="53" t="s">
        <v>416</v>
      </c>
      <c r="G4144" s="53" t="str">
        <f t="shared" si="398"/>
        <v/>
      </c>
      <c r="H4144" s="72"/>
      <c r="I4144" s="73"/>
      <c r="J4144" s="152">
        <v>0</v>
      </c>
      <c r="L4144" s="219"/>
      <c r="M4144" s="53"/>
      <c r="N4144" s="53" t="str">
        <f t="shared" si="399"/>
        <v/>
      </c>
      <c r="O4144" s="72"/>
      <c r="P4144" s="36" t="str">
        <f t="shared" si="394"/>
        <v/>
      </c>
      <c r="Q4144" s="216" t="str">
        <f t="shared" si="395"/>
        <v/>
      </c>
      <c r="R4144" s="216" t="str">
        <f t="shared" si="396"/>
        <v/>
      </c>
      <c r="S4144" s="217" t="str">
        <f t="shared" si="397"/>
        <v/>
      </c>
    </row>
    <row r="4145" spans="1:19" ht="26.25" hidden="1" thickBot="1" x14ac:dyDescent="0.3">
      <c r="A4145" s="257"/>
      <c r="B4145" s="260"/>
      <c r="C4145" s="35" t="s">
        <v>8529</v>
      </c>
      <c r="D4145" s="35" t="s">
        <v>861</v>
      </c>
      <c r="E4145" s="36">
        <v>1</v>
      </c>
      <c r="F4145" s="53">
        <v>103.07499999999999</v>
      </c>
      <c r="G4145" s="53">
        <f t="shared" si="398"/>
        <v>103.07499999999999</v>
      </c>
      <c r="H4145" s="38">
        <f>SUM(G4145:G4145)</f>
        <v>103.07499999999999</v>
      </c>
      <c r="I4145" s="39"/>
      <c r="J4145" s="152">
        <v>0</v>
      </c>
      <c r="L4145" s="215">
        <v>1</v>
      </c>
      <c r="M4145" s="53">
        <v>88.232199999999992</v>
      </c>
      <c r="N4145" s="53">
        <f t="shared" si="399"/>
        <v>88.232199999999992</v>
      </c>
      <c r="O4145" s="38">
        <f>SUM(N4145:N4145)</f>
        <v>88.232199999999992</v>
      </c>
      <c r="P4145" s="36" t="str">
        <f t="shared" si="394"/>
        <v/>
      </c>
      <c r="Q4145" s="216">
        <f t="shared" si="395"/>
        <v>0.14400000000000002</v>
      </c>
      <c r="R4145" s="216">
        <f t="shared" si="396"/>
        <v>0.14400000000000002</v>
      </c>
      <c r="S4145" s="217">
        <f t="shared" si="397"/>
        <v>0.14400000000000002</v>
      </c>
    </row>
    <row r="4146" spans="1:19" ht="15.75" hidden="1" thickBot="1" x14ac:dyDescent="0.3">
      <c r="A4146" s="257"/>
      <c r="B4146" s="260"/>
      <c r="C4146" s="35"/>
      <c r="D4146" s="46"/>
      <c r="E4146" s="36"/>
      <c r="F4146" s="53" t="s">
        <v>416</v>
      </c>
      <c r="G4146" s="53" t="str">
        <f t="shared" si="398"/>
        <v/>
      </c>
      <c r="H4146" s="72"/>
      <c r="I4146" s="73"/>
      <c r="J4146" s="152">
        <v>0</v>
      </c>
      <c r="L4146" s="215"/>
      <c r="M4146" s="53"/>
      <c r="N4146" s="53" t="str">
        <f t="shared" si="399"/>
        <v/>
      </c>
      <c r="O4146" s="72"/>
      <c r="P4146" s="36" t="str">
        <f t="shared" si="394"/>
        <v/>
      </c>
      <c r="Q4146" s="216" t="str">
        <f t="shared" si="395"/>
        <v/>
      </c>
      <c r="R4146" s="216" t="str">
        <f t="shared" si="396"/>
        <v/>
      </c>
      <c r="S4146" s="217" t="str">
        <f t="shared" si="397"/>
        <v/>
      </c>
    </row>
    <row r="4147" spans="1:19" ht="15.75" hidden="1" thickBot="1" x14ac:dyDescent="0.3">
      <c r="A4147" s="256" t="s">
        <v>1081</v>
      </c>
      <c r="B4147" s="259" t="str">
        <f>INDEX(Orçamentária!A:B,MATCH(Composições!A4147,Orçamentária!A:A,0),2)</f>
        <v>Piso vinílico flexível em manta</v>
      </c>
      <c r="C4147" s="40"/>
      <c r="D4147" s="25" t="s">
        <v>70</v>
      </c>
      <c r="E4147" s="26"/>
      <c r="F4147" s="48" t="s">
        <v>416</v>
      </c>
      <c r="G4147" s="27" t="str">
        <f t="shared" si="398"/>
        <v/>
      </c>
      <c r="H4147" s="28"/>
      <c r="I4147" s="29"/>
      <c r="J4147" s="152">
        <v>0</v>
      </c>
      <c r="L4147" s="218"/>
      <c r="M4147" s="48"/>
      <c r="N4147" s="27" t="str">
        <f t="shared" si="399"/>
        <v/>
      </c>
      <c r="O4147" s="28"/>
      <c r="P4147" s="36" t="str">
        <f t="shared" si="394"/>
        <v/>
      </c>
      <c r="Q4147" s="216" t="str">
        <f t="shared" si="395"/>
        <v/>
      </c>
      <c r="R4147" s="216" t="str">
        <f t="shared" si="396"/>
        <v/>
      </c>
      <c r="S4147" s="217" t="str">
        <f t="shared" si="397"/>
        <v/>
      </c>
    </row>
    <row r="4148" spans="1:19" ht="15.75" hidden="1" thickBot="1" x14ac:dyDescent="0.3">
      <c r="A4148" s="257"/>
      <c r="B4148" s="260"/>
      <c r="C4148" s="31"/>
      <c r="D4148" s="31"/>
      <c r="E4148" s="32"/>
      <c r="F4148" s="53" t="s">
        <v>416</v>
      </c>
      <c r="G4148" s="53" t="str">
        <f t="shared" si="398"/>
        <v/>
      </c>
      <c r="H4148" s="72"/>
      <c r="I4148" s="73"/>
      <c r="J4148" s="152">
        <v>0</v>
      </c>
      <c r="L4148" s="219"/>
      <c r="M4148" s="53"/>
      <c r="N4148" s="53" t="str">
        <f t="shared" si="399"/>
        <v/>
      </c>
      <c r="O4148" s="72"/>
      <c r="P4148" s="36" t="str">
        <f t="shared" si="394"/>
        <v/>
      </c>
      <c r="Q4148" s="216" t="str">
        <f t="shared" si="395"/>
        <v/>
      </c>
      <c r="R4148" s="216" t="str">
        <f t="shared" si="396"/>
        <v/>
      </c>
      <c r="S4148" s="217" t="str">
        <f t="shared" si="397"/>
        <v/>
      </c>
    </row>
    <row r="4149" spans="1:19" ht="15.75" hidden="1" thickBot="1" x14ac:dyDescent="0.3">
      <c r="A4149" s="257"/>
      <c r="B4149" s="260"/>
      <c r="C4149" s="35" t="s">
        <v>1082</v>
      </c>
      <c r="D4149" s="46" t="s">
        <v>70</v>
      </c>
      <c r="E4149" s="36">
        <v>1.05</v>
      </c>
      <c r="F4149" s="53" t="s">
        <v>416</v>
      </c>
      <c r="G4149" s="53" t="str">
        <f t="shared" si="398"/>
        <v/>
      </c>
      <c r="H4149" s="38">
        <f>SUM(G4149:G4153)</f>
        <v>27.727174999999995</v>
      </c>
      <c r="I4149" s="39"/>
      <c r="J4149" s="152">
        <v>0</v>
      </c>
      <c r="L4149" s="215">
        <v>1.05</v>
      </c>
      <c r="M4149" s="53"/>
      <c r="N4149" s="53" t="str">
        <f t="shared" si="399"/>
        <v/>
      </c>
      <c r="O4149" s="38">
        <f>SUM(N4149:N4153)</f>
        <v>23.734461799999998</v>
      </c>
      <c r="P4149" s="36" t="str">
        <f t="shared" si="394"/>
        <v/>
      </c>
      <c r="Q4149" s="216" t="str">
        <f t="shared" si="395"/>
        <v/>
      </c>
      <c r="R4149" s="216" t="str">
        <f t="shared" si="396"/>
        <v/>
      </c>
      <c r="S4149" s="217">
        <f t="shared" si="397"/>
        <v>0.14399999999999991</v>
      </c>
    </row>
    <row r="4150" spans="1:19" ht="15.75" hidden="1" thickBot="1" x14ac:dyDescent="0.3">
      <c r="A4150" s="257"/>
      <c r="B4150" s="260"/>
      <c r="C4150" s="35" t="s">
        <v>6970</v>
      </c>
      <c r="D4150" s="46" t="s">
        <v>28</v>
      </c>
      <c r="E4150" s="36">
        <v>1.7</v>
      </c>
      <c r="F4150" s="53" t="s">
        <v>416</v>
      </c>
      <c r="G4150" s="53" t="str">
        <f t="shared" si="398"/>
        <v/>
      </c>
      <c r="H4150" s="72"/>
      <c r="I4150" s="73"/>
      <c r="J4150" s="152">
        <v>0</v>
      </c>
      <c r="L4150" s="215">
        <v>1.7</v>
      </c>
      <c r="M4150" s="53"/>
      <c r="N4150" s="53" t="str">
        <f t="shared" si="399"/>
        <v/>
      </c>
      <c r="O4150" s="72"/>
      <c r="P4150" s="36" t="str">
        <f t="shared" si="394"/>
        <v/>
      </c>
      <c r="Q4150" s="216" t="str">
        <f t="shared" si="395"/>
        <v/>
      </c>
      <c r="R4150" s="216" t="str">
        <f t="shared" si="396"/>
        <v/>
      </c>
      <c r="S4150" s="217" t="str">
        <f t="shared" si="397"/>
        <v/>
      </c>
    </row>
    <row r="4151" spans="1:19" ht="15.75" hidden="1" thickBot="1" x14ac:dyDescent="0.3">
      <c r="A4151" s="257"/>
      <c r="B4151" s="260"/>
      <c r="C4151" s="35" t="s">
        <v>7974</v>
      </c>
      <c r="D4151" s="35" t="s">
        <v>773</v>
      </c>
      <c r="E4151" s="36">
        <v>0.35</v>
      </c>
      <c r="F4151" s="53">
        <v>47.271999999999998</v>
      </c>
      <c r="G4151" s="53">
        <f t="shared" si="398"/>
        <v>16.545199999999998</v>
      </c>
      <c r="H4151" s="72"/>
      <c r="I4151" s="73"/>
      <c r="J4151" s="152">
        <v>0</v>
      </c>
      <c r="L4151" s="215">
        <v>0.35</v>
      </c>
      <c r="M4151" s="53">
        <v>40.464832000000001</v>
      </c>
      <c r="N4151" s="53">
        <f t="shared" si="399"/>
        <v>14.162691199999999</v>
      </c>
      <c r="O4151" s="72"/>
      <c r="P4151" s="36" t="str">
        <f t="shared" si="394"/>
        <v/>
      </c>
      <c r="Q4151" s="216">
        <f t="shared" si="395"/>
        <v>0.14399999999999991</v>
      </c>
      <c r="R4151" s="216">
        <f t="shared" si="396"/>
        <v>0.14399999999999991</v>
      </c>
      <c r="S4151" s="217" t="str">
        <f t="shared" si="397"/>
        <v/>
      </c>
    </row>
    <row r="4152" spans="1:19" ht="15.75" hidden="1" thickBot="1" x14ac:dyDescent="0.3">
      <c r="A4152" s="257"/>
      <c r="B4152" s="260"/>
      <c r="C4152" s="35" t="s">
        <v>591</v>
      </c>
      <c r="D4152" s="35" t="s">
        <v>583</v>
      </c>
      <c r="E4152" s="36">
        <f>0.15*2</f>
        <v>0.3</v>
      </c>
      <c r="F4152" s="53">
        <v>27.160499999999999</v>
      </c>
      <c r="G4152" s="53">
        <f t="shared" si="398"/>
        <v>8.1481499999999993</v>
      </c>
      <c r="H4152" s="72"/>
      <c r="I4152" s="73"/>
      <c r="J4152" s="152">
        <v>0</v>
      </c>
      <c r="L4152" s="215">
        <v>0.3</v>
      </c>
      <c r="M4152" s="53">
        <v>23.249388</v>
      </c>
      <c r="N4152" s="53">
        <f t="shared" si="399"/>
        <v>6.9748163999999999</v>
      </c>
      <c r="O4152" s="72"/>
      <c r="P4152" s="36" t="str">
        <f t="shared" si="394"/>
        <v/>
      </c>
      <c r="Q4152" s="216">
        <f t="shared" si="395"/>
        <v>0.14400000000000002</v>
      </c>
      <c r="R4152" s="216">
        <f t="shared" si="396"/>
        <v>0.14399999999999991</v>
      </c>
      <c r="S4152" s="217" t="str">
        <f t="shared" si="397"/>
        <v/>
      </c>
    </row>
    <row r="4153" spans="1:19" ht="15.75" hidden="1" thickBot="1" x14ac:dyDescent="0.3">
      <c r="A4153" s="257"/>
      <c r="B4153" s="260"/>
      <c r="C4153" s="35" t="s">
        <v>584</v>
      </c>
      <c r="D4153" s="35" t="s">
        <v>583</v>
      </c>
      <c r="E4153" s="36">
        <v>0.15</v>
      </c>
      <c r="F4153" s="53">
        <v>20.225499999999997</v>
      </c>
      <c r="G4153" s="53">
        <f t="shared" si="398"/>
        <v>3.0338249999999993</v>
      </c>
      <c r="H4153" s="72"/>
      <c r="I4153" s="73"/>
      <c r="J4153" s="152">
        <v>0</v>
      </c>
      <c r="L4153" s="215">
        <v>0.15</v>
      </c>
      <c r="M4153" s="53">
        <v>17.313027999999996</v>
      </c>
      <c r="N4153" s="53">
        <f t="shared" si="399"/>
        <v>2.5969541999999994</v>
      </c>
      <c r="O4153" s="72"/>
      <c r="P4153" s="36" t="str">
        <f t="shared" si="394"/>
        <v/>
      </c>
      <c r="Q4153" s="216">
        <f t="shared" si="395"/>
        <v>0.14400000000000013</v>
      </c>
      <c r="R4153" s="216">
        <f t="shared" si="396"/>
        <v>0.14400000000000002</v>
      </c>
      <c r="S4153" s="217" t="str">
        <f t="shared" si="397"/>
        <v/>
      </c>
    </row>
    <row r="4154" spans="1:19" ht="15.75" hidden="1" thickBot="1" x14ac:dyDescent="0.3">
      <c r="A4154" s="257"/>
      <c r="B4154" s="260"/>
      <c r="C4154" s="54"/>
      <c r="D4154" s="54"/>
      <c r="E4154" s="65"/>
      <c r="F4154" s="75" t="s">
        <v>416</v>
      </c>
      <c r="G4154" s="75" t="str">
        <f t="shared" si="398"/>
        <v/>
      </c>
      <c r="H4154" s="76"/>
      <c r="I4154" s="73"/>
      <c r="J4154" s="152">
        <v>0</v>
      </c>
      <c r="L4154" s="222"/>
      <c r="M4154" s="75"/>
      <c r="N4154" s="75" t="str">
        <f t="shared" si="399"/>
        <v/>
      </c>
      <c r="O4154" s="76"/>
      <c r="P4154" s="36" t="str">
        <f t="shared" si="394"/>
        <v/>
      </c>
      <c r="Q4154" s="216" t="str">
        <f t="shared" si="395"/>
        <v/>
      </c>
      <c r="R4154" s="216" t="str">
        <f t="shared" si="396"/>
        <v/>
      </c>
      <c r="S4154" s="217" t="str">
        <f t="shared" si="397"/>
        <v/>
      </c>
    </row>
    <row r="4155" spans="1:19" ht="15.75" hidden="1" thickBot="1" x14ac:dyDescent="0.3">
      <c r="A4155" s="256" t="s">
        <v>1083</v>
      </c>
      <c r="B4155" s="259" t="str">
        <f>INDEX(Orçamentária!A:B,MATCH(Composições!A4155,Orçamentária!A:A,0),2)</f>
        <v>Tratamento de juntas de dilatação ou movimentação</v>
      </c>
      <c r="C4155" s="40"/>
      <c r="D4155" s="25" t="s">
        <v>69</v>
      </c>
      <c r="E4155" s="26"/>
      <c r="F4155" s="48" t="s">
        <v>416</v>
      </c>
      <c r="G4155" s="27" t="str">
        <f t="shared" si="398"/>
        <v/>
      </c>
      <c r="H4155" s="28"/>
      <c r="I4155" s="29"/>
      <c r="J4155" s="152">
        <v>0</v>
      </c>
      <c r="L4155" s="218"/>
      <c r="M4155" s="48"/>
      <c r="N4155" s="27" t="str">
        <f t="shared" si="399"/>
        <v/>
      </c>
      <c r="O4155" s="28"/>
      <c r="P4155" s="36" t="str">
        <f t="shared" si="394"/>
        <v/>
      </c>
      <c r="Q4155" s="216" t="str">
        <f t="shared" si="395"/>
        <v/>
      </c>
      <c r="R4155" s="216" t="str">
        <f t="shared" si="396"/>
        <v/>
      </c>
      <c r="S4155" s="217" t="str">
        <f t="shared" si="397"/>
        <v/>
      </c>
    </row>
    <row r="4156" spans="1:19" ht="15.75" hidden="1" thickBot="1" x14ac:dyDescent="0.3">
      <c r="A4156" s="257"/>
      <c r="B4156" s="260"/>
      <c r="C4156" s="31"/>
      <c r="D4156" s="31"/>
      <c r="E4156" s="32"/>
      <c r="F4156" s="53" t="s">
        <v>416</v>
      </c>
      <c r="G4156" s="53" t="str">
        <f t="shared" si="398"/>
        <v/>
      </c>
      <c r="H4156" s="72"/>
      <c r="I4156" s="73"/>
      <c r="J4156" s="152">
        <v>0</v>
      </c>
      <c r="L4156" s="219"/>
      <c r="M4156" s="53"/>
      <c r="N4156" s="53" t="str">
        <f t="shared" si="399"/>
        <v/>
      </c>
      <c r="O4156" s="72"/>
      <c r="P4156" s="36" t="str">
        <f t="shared" si="394"/>
        <v/>
      </c>
      <c r="Q4156" s="216" t="str">
        <f t="shared" si="395"/>
        <v/>
      </c>
      <c r="R4156" s="216" t="str">
        <f t="shared" si="396"/>
        <v/>
      </c>
      <c r="S4156" s="217" t="str">
        <f t="shared" si="397"/>
        <v/>
      </c>
    </row>
    <row r="4157" spans="1:19" ht="15.75" hidden="1" thickBot="1" x14ac:dyDescent="0.3">
      <c r="A4157" s="257"/>
      <c r="B4157" s="260"/>
      <c r="C4157" s="35" t="s">
        <v>591</v>
      </c>
      <c r="D4157" s="35" t="s">
        <v>583</v>
      </c>
      <c r="E4157" s="36">
        <v>0.35</v>
      </c>
      <c r="F4157" s="53">
        <v>27.160499999999999</v>
      </c>
      <c r="G4157" s="53">
        <f t="shared" si="398"/>
        <v>9.5061749999999989</v>
      </c>
      <c r="H4157" s="38">
        <f>SUM(G4157:G4161)</f>
        <v>72.275620000000004</v>
      </c>
      <c r="I4157" s="39"/>
      <c r="J4157" s="152">
        <v>0</v>
      </c>
      <c r="L4157" s="215">
        <v>0.35</v>
      </c>
      <c r="M4157" s="53">
        <v>23.249388</v>
      </c>
      <c r="N4157" s="53">
        <f t="shared" si="399"/>
        <v>8.137285799999999</v>
      </c>
      <c r="O4157" s="38">
        <f>SUM(N4157:N4161)</f>
        <v>61.867930719999997</v>
      </c>
      <c r="P4157" s="36" t="str">
        <f t="shared" si="394"/>
        <v/>
      </c>
      <c r="Q4157" s="216">
        <f t="shared" si="395"/>
        <v>0.14400000000000002</v>
      </c>
      <c r="R4157" s="216">
        <f t="shared" si="396"/>
        <v>0.14400000000000002</v>
      </c>
      <c r="S4157" s="217">
        <f t="shared" si="397"/>
        <v>0.14400000000000013</v>
      </c>
    </row>
    <row r="4158" spans="1:19" ht="15.75" hidden="1" thickBot="1" x14ac:dyDescent="0.3">
      <c r="A4158" s="257"/>
      <c r="B4158" s="260"/>
      <c r="C4158" s="35" t="s">
        <v>584</v>
      </c>
      <c r="D4158" s="35" t="s">
        <v>583</v>
      </c>
      <c r="E4158" s="36">
        <v>0.35</v>
      </c>
      <c r="F4158" s="53">
        <v>20.225499999999997</v>
      </c>
      <c r="G4158" s="53">
        <f t="shared" si="398"/>
        <v>7.0789249999999981</v>
      </c>
      <c r="H4158" s="72"/>
      <c r="I4158" s="73"/>
      <c r="J4158" s="152">
        <v>0</v>
      </c>
      <c r="L4158" s="215">
        <v>0.35</v>
      </c>
      <c r="M4158" s="53">
        <v>17.313027999999996</v>
      </c>
      <c r="N4158" s="53">
        <f t="shared" si="399"/>
        <v>6.0595597999999979</v>
      </c>
      <c r="O4158" s="72"/>
      <c r="P4158" s="36" t="str">
        <f t="shared" si="394"/>
        <v/>
      </c>
      <c r="Q4158" s="216">
        <f t="shared" si="395"/>
        <v>0.14400000000000013</v>
      </c>
      <c r="R4158" s="216">
        <f t="shared" si="396"/>
        <v>0.14400000000000002</v>
      </c>
      <c r="S4158" s="217" t="str">
        <f t="shared" si="397"/>
        <v/>
      </c>
    </row>
    <row r="4159" spans="1:19" ht="26.25" hidden="1" thickBot="1" x14ac:dyDescent="0.3">
      <c r="A4159" s="257"/>
      <c r="B4159" s="260"/>
      <c r="C4159" s="35" t="s">
        <v>1084</v>
      </c>
      <c r="D4159" s="35" t="s">
        <v>75</v>
      </c>
      <c r="E4159" s="36">
        <v>0.2</v>
      </c>
      <c r="F4159" s="53">
        <v>179.63550000000001</v>
      </c>
      <c r="G4159" s="53">
        <f t="shared" si="398"/>
        <v>35.927100000000003</v>
      </c>
      <c r="H4159" s="72"/>
      <c r="I4159" s="73"/>
      <c r="J4159" s="152">
        <v>0</v>
      </c>
      <c r="L4159" s="215">
        <v>0.2</v>
      </c>
      <c r="M4159" s="53">
        <v>153.767988</v>
      </c>
      <c r="N4159" s="53">
        <f t="shared" si="399"/>
        <v>30.753597600000003</v>
      </c>
      <c r="O4159" s="72"/>
      <c r="P4159" s="36" t="str">
        <f t="shared" si="394"/>
        <v/>
      </c>
      <c r="Q4159" s="216">
        <f t="shared" si="395"/>
        <v>0.14400000000000002</v>
      </c>
      <c r="R4159" s="216">
        <f t="shared" si="396"/>
        <v>0.14400000000000002</v>
      </c>
      <c r="S4159" s="217" t="str">
        <f t="shared" si="397"/>
        <v/>
      </c>
    </row>
    <row r="4160" spans="1:19" ht="15.75" hidden="1" thickBot="1" x14ac:dyDescent="0.3">
      <c r="A4160" s="257"/>
      <c r="B4160" s="260"/>
      <c r="C4160" s="35" t="s">
        <v>927</v>
      </c>
      <c r="D4160" s="35" t="s">
        <v>69</v>
      </c>
      <c r="E4160" s="36">
        <v>1</v>
      </c>
      <c r="F4160" s="53">
        <v>0.95</v>
      </c>
      <c r="G4160" s="53">
        <f t="shared" si="398"/>
        <v>0.95</v>
      </c>
      <c r="H4160" s="72"/>
      <c r="I4160" s="73"/>
      <c r="J4160" s="152">
        <v>0</v>
      </c>
      <c r="L4160" s="215">
        <v>1</v>
      </c>
      <c r="M4160" s="53">
        <v>0.81319999999999992</v>
      </c>
      <c r="N4160" s="53">
        <f t="shared" si="399"/>
        <v>0.81319999999999992</v>
      </c>
      <c r="O4160" s="72"/>
      <c r="P4160" s="36" t="str">
        <f t="shared" si="394"/>
        <v/>
      </c>
      <c r="Q4160" s="216">
        <f t="shared" si="395"/>
        <v>0.14400000000000002</v>
      </c>
      <c r="R4160" s="216">
        <f t="shared" si="396"/>
        <v>0.14400000000000002</v>
      </c>
      <c r="S4160" s="217" t="str">
        <f t="shared" si="397"/>
        <v/>
      </c>
    </row>
    <row r="4161" spans="1:19" ht="26.25" hidden="1" thickBot="1" x14ac:dyDescent="0.3">
      <c r="A4161" s="257"/>
      <c r="B4161" s="260"/>
      <c r="C4161" s="35" t="s">
        <v>650</v>
      </c>
      <c r="D4161" s="35" t="s">
        <v>773</v>
      </c>
      <c r="E4161" s="36">
        <f>1.8*1*(0.01+0.01)*10</f>
        <v>0.36000000000000004</v>
      </c>
      <c r="F4161" s="53">
        <v>52.259499999999996</v>
      </c>
      <c r="G4161" s="53">
        <f t="shared" si="398"/>
        <v>18.813420000000001</v>
      </c>
      <c r="H4161" s="72"/>
      <c r="I4161" s="73"/>
      <c r="J4161" s="152">
        <v>0</v>
      </c>
      <c r="L4161" s="215">
        <v>0.36000000000000004</v>
      </c>
      <c r="M4161" s="53">
        <v>44.734131999999995</v>
      </c>
      <c r="N4161" s="53">
        <f t="shared" si="399"/>
        <v>16.10428752</v>
      </c>
      <c r="O4161" s="72"/>
      <c r="P4161" s="36" t="str">
        <f t="shared" si="394"/>
        <v/>
      </c>
      <c r="Q4161" s="216">
        <f t="shared" si="395"/>
        <v>0.14400000000000002</v>
      </c>
      <c r="R4161" s="216">
        <f t="shared" si="396"/>
        <v>0.14400000000000002</v>
      </c>
      <c r="S4161" s="217" t="str">
        <f t="shared" si="397"/>
        <v/>
      </c>
    </row>
    <row r="4162" spans="1:19" ht="15.75" hidden="1" thickBot="1" x14ac:dyDescent="0.3">
      <c r="A4162" s="257"/>
      <c r="B4162" s="260"/>
      <c r="C4162" s="35"/>
      <c r="D4162" s="35"/>
      <c r="E4162" s="36"/>
      <c r="F4162" s="53" t="s">
        <v>416</v>
      </c>
      <c r="G4162" s="53"/>
      <c r="H4162" s="72"/>
      <c r="I4162" s="73"/>
      <c r="J4162" s="152">
        <v>0</v>
      </c>
      <c r="L4162" s="215"/>
      <c r="M4162" s="53"/>
      <c r="N4162" s="53"/>
      <c r="O4162" s="72"/>
      <c r="P4162" s="36" t="str">
        <f t="shared" si="394"/>
        <v/>
      </c>
      <c r="Q4162" s="216" t="str">
        <f t="shared" si="395"/>
        <v/>
      </c>
      <c r="R4162" s="216" t="str">
        <f t="shared" si="396"/>
        <v/>
      </c>
      <c r="S4162" s="217" t="str">
        <f t="shared" si="397"/>
        <v/>
      </c>
    </row>
    <row r="4163" spans="1:19" ht="26.25" hidden="1" thickBot="1" x14ac:dyDescent="0.3">
      <c r="A4163" s="257"/>
      <c r="B4163" s="260"/>
      <c r="C4163" s="47" t="s">
        <v>3082</v>
      </c>
      <c r="D4163" s="35"/>
      <c r="E4163" s="36"/>
      <c r="F4163" s="53" t="s">
        <v>416</v>
      </c>
      <c r="G4163" s="53"/>
      <c r="H4163" s="72"/>
      <c r="I4163" s="73"/>
      <c r="J4163" s="152">
        <v>0</v>
      </c>
      <c r="L4163" s="215"/>
      <c r="M4163" s="53"/>
      <c r="N4163" s="53"/>
      <c r="O4163" s="72"/>
      <c r="P4163" s="36" t="str">
        <f t="shared" si="394"/>
        <v/>
      </c>
      <c r="Q4163" s="216" t="str">
        <f t="shared" si="395"/>
        <v/>
      </c>
      <c r="R4163" s="216" t="str">
        <f t="shared" si="396"/>
        <v/>
      </c>
      <c r="S4163" s="217" t="str">
        <f t="shared" si="397"/>
        <v/>
      </c>
    </row>
    <row r="4164" spans="1:19" ht="15.75" hidden="1" thickBot="1" x14ac:dyDescent="0.3">
      <c r="A4164" s="257"/>
      <c r="B4164" s="260"/>
      <c r="C4164" s="47" t="s">
        <v>3083</v>
      </c>
      <c r="D4164" s="35"/>
      <c r="E4164" s="36"/>
      <c r="F4164" s="53" t="s">
        <v>416</v>
      </c>
      <c r="G4164" s="53"/>
      <c r="H4164" s="72"/>
      <c r="I4164" s="73"/>
      <c r="J4164" s="152">
        <v>0</v>
      </c>
      <c r="L4164" s="215"/>
      <c r="M4164" s="53"/>
      <c r="N4164" s="53"/>
      <c r="O4164" s="72"/>
      <c r="P4164" s="36" t="str">
        <f t="shared" si="394"/>
        <v/>
      </c>
      <c r="Q4164" s="216" t="str">
        <f t="shared" si="395"/>
        <v/>
      </c>
      <c r="R4164" s="216" t="str">
        <f t="shared" si="396"/>
        <v/>
      </c>
      <c r="S4164" s="217" t="str">
        <f t="shared" si="397"/>
        <v/>
      </c>
    </row>
    <row r="4165" spans="1:19" ht="15.75" hidden="1" thickBot="1" x14ac:dyDescent="0.3">
      <c r="A4165" s="258"/>
      <c r="B4165" s="261"/>
      <c r="C4165" s="54"/>
      <c r="D4165" s="54"/>
      <c r="E4165" s="65"/>
      <c r="F4165" s="75" t="s">
        <v>416</v>
      </c>
      <c r="G4165" s="75" t="str">
        <f t="shared" ref="G4165:G4228" si="400">IF(ISNUMBER(F4165),E4165*F4165,"")</f>
        <v/>
      </c>
      <c r="H4165" s="76"/>
      <c r="I4165" s="73"/>
      <c r="J4165" s="152">
        <v>0</v>
      </c>
      <c r="L4165" s="222"/>
      <c r="M4165" s="75"/>
      <c r="N4165" s="75" t="str">
        <f t="shared" ref="N4165:N4228" si="401">IF(ISNUMBER(M4165),L4165*M4165,"")</f>
        <v/>
      </c>
      <c r="O4165" s="76"/>
      <c r="P4165" s="36" t="str">
        <f t="shared" si="394"/>
        <v/>
      </c>
      <c r="Q4165" s="216" t="str">
        <f t="shared" si="395"/>
        <v/>
      </c>
      <c r="R4165" s="216" t="str">
        <f t="shared" si="396"/>
        <v/>
      </c>
      <c r="S4165" s="217" t="str">
        <f t="shared" si="397"/>
        <v/>
      </c>
    </row>
    <row r="4166" spans="1:19" ht="15.75" hidden="1" thickBot="1" x14ac:dyDescent="0.3">
      <c r="A4166" s="256" t="s">
        <v>1085</v>
      </c>
      <c r="B4166" s="259" t="str">
        <f>INDEX(Orçamentária!A:B,MATCH(Composições!A4166,Orçamentária!A:A,0),2)</f>
        <v>Recuperação superficial de preparação para pintura epóxi de alto desempenho</v>
      </c>
      <c r="C4166" s="40"/>
      <c r="D4166" s="25" t="s">
        <v>70</v>
      </c>
      <c r="E4166" s="26"/>
      <c r="F4166" s="48" t="s">
        <v>416</v>
      </c>
      <c r="G4166" s="27" t="str">
        <f t="shared" si="400"/>
        <v/>
      </c>
      <c r="H4166" s="28"/>
      <c r="I4166" s="29"/>
      <c r="J4166" s="152">
        <v>0</v>
      </c>
      <c r="L4166" s="218"/>
      <c r="M4166" s="48"/>
      <c r="N4166" s="27" t="str">
        <f t="shared" si="401"/>
        <v/>
      </c>
      <c r="O4166" s="28"/>
      <c r="P4166" s="36" t="str">
        <f t="shared" si="394"/>
        <v/>
      </c>
      <c r="Q4166" s="216" t="str">
        <f t="shared" si="395"/>
        <v/>
      </c>
      <c r="R4166" s="216" t="str">
        <f t="shared" si="396"/>
        <v/>
      </c>
      <c r="S4166" s="217" t="str">
        <f t="shared" si="397"/>
        <v/>
      </c>
    </row>
    <row r="4167" spans="1:19" ht="15.75" hidden="1" thickBot="1" x14ac:dyDescent="0.3">
      <c r="A4167" s="257"/>
      <c r="B4167" s="260"/>
      <c r="C4167" s="31"/>
      <c r="D4167" s="31"/>
      <c r="E4167" s="32"/>
      <c r="F4167" s="53" t="s">
        <v>416</v>
      </c>
      <c r="G4167" s="53" t="str">
        <f t="shared" si="400"/>
        <v/>
      </c>
      <c r="H4167" s="72"/>
      <c r="I4167" s="73"/>
      <c r="J4167" s="152">
        <v>0</v>
      </c>
      <c r="L4167" s="219"/>
      <c r="M4167" s="53"/>
      <c r="N4167" s="53" t="str">
        <f t="shared" si="401"/>
        <v/>
      </c>
      <c r="O4167" s="72"/>
      <c r="P4167" s="36" t="str">
        <f t="shared" si="394"/>
        <v/>
      </c>
      <c r="Q4167" s="216" t="str">
        <f t="shared" si="395"/>
        <v/>
      </c>
      <c r="R4167" s="216" t="str">
        <f t="shared" si="396"/>
        <v/>
      </c>
      <c r="S4167" s="217" t="str">
        <f t="shared" si="397"/>
        <v/>
      </c>
    </row>
    <row r="4168" spans="1:19" ht="15.75" hidden="1" thickBot="1" x14ac:dyDescent="0.3">
      <c r="A4168" s="257"/>
      <c r="B4168" s="260"/>
      <c r="C4168" s="35" t="s">
        <v>591</v>
      </c>
      <c r="D4168" s="35" t="s">
        <v>583</v>
      </c>
      <c r="E4168" s="36">
        <v>0.3</v>
      </c>
      <c r="F4168" s="53">
        <v>27.160499999999999</v>
      </c>
      <c r="G4168" s="53">
        <f t="shared" si="400"/>
        <v>8.1481499999999993</v>
      </c>
      <c r="H4168" s="38">
        <f>SUM(G4168:G4173)</f>
        <v>19.272174999999997</v>
      </c>
      <c r="I4168" s="39"/>
      <c r="J4168" s="152">
        <v>0</v>
      </c>
      <c r="L4168" s="215">
        <v>0.3</v>
      </c>
      <c r="M4168" s="53">
        <v>23.249388</v>
      </c>
      <c r="N4168" s="53">
        <f t="shared" si="401"/>
        <v>6.9748163999999999</v>
      </c>
      <c r="O4168" s="38">
        <f>SUM(N4168:N4173)</f>
        <v>16.4969818</v>
      </c>
      <c r="P4168" s="36" t="str">
        <f t="shared" ref="P4168:P4231" si="402">IF(ISBLANK(L4168),"",IF($E4168&lt;&gt;L4168,"SIM",""))</f>
        <v/>
      </c>
      <c r="Q4168" s="216">
        <f t="shared" ref="Q4168:Q4231" si="403">IF(M4168="","",1-M4168/$F4168)</f>
        <v>0.14400000000000002</v>
      </c>
      <c r="R4168" s="216">
        <f t="shared" ref="R4168:R4231" si="404">IF(N4168="","",1-N4168/$G4168)</f>
        <v>0.14399999999999991</v>
      </c>
      <c r="S4168" s="217">
        <f t="shared" ref="S4168:S4231" si="405">IF(O4168="","",1-O4168/$H4168)</f>
        <v>0.14399999999999991</v>
      </c>
    </row>
    <row r="4169" spans="1:19" ht="15.75" hidden="1" thickBot="1" x14ac:dyDescent="0.3">
      <c r="A4169" s="257"/>
      <c r="B4169" s="260"/>
      <c r="C4169" s="35" t="s">
        <v>584</v>
      </c>
      <c r="D4169" s="35" t="s">
        <v>583</v>
      </c>
      <c r="E4169" s="36">
        <f>0.3+0.25</f>
        <v>0.55000000000000004</v>
      </c>
      <c r="F4169" s="53">
        <v>20.225499999999997</v>
      </c>
      <c r="G4169" s="53">
        <f t="shared" si="400"/>
        <v>11.124025</v>
      </c>
      <c r="H4169" s="72"/>
      <c r="I4169" s="73"/>
      <c r="J4169" s="152">
        <v>0</v>
      </c>
      <c r="L4169" s="215">
        <v>0.55000000000000004</v>
      </c>
      <c r="M4169" s="53">
        <v>17.313027999999996</v>
      </c>
      <c r="N4169" s="53">
        <f t="shared" si="401"/>
        <v>9.5221653999999987</v>
      </c>
      <c r="O4169" s="72"/>
      <c r="P4169" s="36" t="str">
        <f t="shared" si="402"/>
        <v/>
      </c>
      <c r="Q4169" s="216">
        <f t="shared" si="403"/>
        <v>0.14400000000000013</v>
      </c>
      <c r="R4169" s="216">
        <f t="shared" si="404"/>
        <v>0.14400000000000013</v>
      </c>
      <c r="S4169" s="217" t="str">
        <f t="shared" si="405"/>
        <v/>
      </c>
    </row>
    <row r="4170" spans="1:19" ht="15.75" hidden="1" thickBot="1" x14ac:dyDescent="0.3">
      <c r="A4170" s="257"/>
      <c r="B4170" s="260"/>
      <c r="C4170" s="35" t="s">
        <v>3076</v>
      </c>
      <c r="D4170" s="35" t="s">
        <v>28</v>
      </c>
      <c r="E4170" s="36">
        <v>5</v>
      </c>
      <c r="F4170" s="53" t="s">
        <v>416</v>
      </c>
      <c r="G4170" s="53" t="str">
        <f t="shared" si="400"/>
        <v/>
      </c>
      <c r="H4170" s="72"/>
      <c r="I4170" s="73"/>
      <c r="J4170" s="152">
        <v>0</v>
      </c>
      <c r="L4170" s="215">
        <v>5</v>
      </c>
      <c r="M4170" s="53"/>
      <c r="N4170" s="53" t="str">
        <f t="shared" si="401"/>
        <v/>
      </c>
      <c r="O4170" s="72"/>
      <c r="P4170" s="36" t="str">
        <f t="shared" si="402"/>
        <v/>
      </c>
      <c r="Q4170" s="216" t="str">
        <f t="shared" si="403"/>
        <v/>
      </c>
      <c r="R4170" s="216" t="str">
        <f t="shared" si="404"/>
        <v/>
      </c>
      <c r="S4170" s="217" t="str">
        <f t="shared" si="405"/>
        <v/>
      </c>
    </row>
    <row r="4171" spans="1:19" ht="15.75" hidden="1" thickBot="1" x14ac:dyDescent="0.3">
      <c r="A4171" s="257"/>
      <c r="B4171" s="260"/>
      <c r="C4171" s="35" t="s">
        <v>3077</v>
      </c>
      <c r="D4171" s="35" t="s">
        <v>28</v>
      </c>
      <c r="E4171" s="36">
        <v>0.5</v>
      </c>
      <c r="F4171" s="53" t="s">
        <v>416</v>
      </c>
      <c r="G4171" s="53" t="str">
        <f t="shared" si="400"/>
        <v/>
      </c>
      <c r="H4171" s="72"/>
      <c r="I4171" s="73"/>
      <c r="J4171" s="152">
        <v>0</v>
      </c>
      <c r="L4171" s="215">
        <v>0.5</v>
      </c>
      <c r="M4171" s="53"/>
      <c r="N4171" s="53" t="str">
        <f t="shared" si="401"/>
        <v/>
      </c>
      <c r="O4171" s="72"/>
      <c r="P4171" s="36" t="str">
        <f t="shared" si="402"/>
        <v/>
      </c>
      <c r="Q4171" s="216" t="str">
        <f t="shared" si="403"/>
        <v/>
      </c>
      <c r="R4171" s="216" t="str">
        <f t="shared" si="404"/>
        <v/>
      </c>
      <c r="S4171" s="217" t="str">
        <f t="shared" si="405"/>
        <v/>
      </c>
    </row>
    <row r="4172" spans="1:19" ht="15.75" hidden="1" thickBot="1" x14ac:dyDescent="0.3">
      <c r="A4172" s="257"/>
      <c r="B4172" s="260"/>
      <c r="C4172" s="35" t="s">
        <v>3078</v>
      </c>
      <c r="D4172" s="35" t="s">
        <v>28</v>
      </c>
      <c r="E4172" s="36">
        <v>0.1</v>
      </c>
      <c r="F4172" s="53" t="s">
        <v>416</v>
      </c>
      <c r="G4172" s="53" t="str">
        <f t="shared" si="400"/>
        <v/>
      </c>
      <c r="H4172" s="72"/>
      <c r="I4172" s="73"/>
      <c r="J4172" s="152">
        <v>0</v>
      </c>
      <c r="L4172" s="215">
        <v>0.1</v>
      </c>
      <c r="M4172" s="53"/>
      <c r="N4172" s="53" t="str">
        <f t="shared" si="401"/>
        <v/>
      </c>
      <c r="O4172" s="72"/>
      <c r="P4172" s="36" t="str">
        <f t="shared" si="402"/>
        <v/>
      </c>
      <c r="Q4172" s="216" t="str">
        <f t="shared" si="403"/>
        <v/>
      </c>
      <c r="R4172" s="216" t="str">
        <f t="shared" si="404"/>
        <v/>
      </c>
      <c r="S4172" s="217" t="str">
        <f t="shared" si="405"/>
        <v/>
      </c>
    </row>
    <row r="4173" spans="1:19" ht="15.75" hidden="1" thickBot="1" x14ac:dyDescent="0.3">
      <c r="A4173" s="257"/>
      <c r="B4173" s="260"/>
      <c r="C4173" s="35" t="s">
        <v>1086</v>
      </c>
      <c r="D4173" s="35" t="s">
        <v>213</v>
      </c>
      <c r="E4173" s="36">
        <v>0.5</v>
      </c>
      <c r="F4173" s="53">
        <v>0</v>
      </c>
      <c r="G4173" s="53">
        <f t="shared" si="400"/>
        <v>0</v>
      </c>
      <c r="H4173" s="72"/>
      <c r="I4173" s="73"/>
      <c r="J4173" s="152">
        <v>0</v>
      </c>
      <c r="L4173" s="215">
        <v>0.5</v>
      </c>
      <c r="M4173" s="53">
        <v>0</v>
      </c>
      <c r="N4173" s="53">
        <f t="shared" si="401"/>
        <v>0</v>
      </c>
      <c r="O4173" s="72"/>
      <c r="P4173" s="36" t="str">
        <f t="shared" si="402"/>
        <v/>
      </c>
      <c r="Q4173" s="216" t="e">
        <f t="shared" si="403"/>
        <v>#DIV/0!</v>
      </c>
      <c r="R4173" s="216" t="e">
        <f t="shared" si="404"/>
        <v>#DIV/0!</v>
      </c>
      <c r="S4173" s="217" t="str">
        <f t="shared" si="405"/>
        <v/>
      </c>
    </row>
    <row r="4174" spans="1:19" ht="15.75" hidden="1" thickBot="1" x14ac:dyDescent="0.3">
      <c r="A4174" s="257"/>
      <c r="B4174" s="260"/>
      <c r="C4174" s="35"/>
      <c r="D4174" s="35"/>
      <c r="E4174" s="36"/>
      <c r="F4174" s="53" t="s">
        <v>416</v>
      </c>
      <c r="G4174" s="53" t="str">
        <f t="shared" si="400"/>
        <v/>
      </c>
      <c r="H4174" s="72"/>
      <c r="I4174" s="73"/>
      <c r="J4174" s="152">
        <v>0</v>
      </c>
      <c r="L4174" s="215"/>
      <c r="M4174" s="53"/>
      <c r="N4174" s="53" t="str">
        <f t="shared" si="401"/>
        <v/>
      </c>
      <c r="O4174" s="72"/>
      <c r="P4174" s="36" t="str">
        <f t="shared" si="402"/>
        <v/>
      </c>
      <c r="Q4174" s="216" t="str">
        <f t="shared" si="403"/>
        <v/>
      </c>
      <c r="R4174" s="216" t="str">
        <f t="shared" si="404"/>
        <v/>
      </c>
      <c r="S4174" s="217" t="str">
        <f t="shared" si="405"/>
        <v/>
      </c>
    </row>
    <row r="4175" spans="1:19" ht="15.75" hidden="1" thickBot="1" x14ac:dyDescent="0.3">
      <c r="A4175" s="257"/>
      <c r="B4175" s="260"/>
      <c r="C4175" s="47" t="s">
        <v>1087</v>
      </c>
      <c r="D4175" s="35"/>
      <c r="E4175" s="36"/>
      <c r="F4175" s="53" t="s">
        <v>416</v>
      </c>
      <c r="G4175" s="53" t="str">
        <f t="shared" si="400"/>
        <v/>
      </c>
      <c r="H4175" s="72"/>
      <c r="I4175" s="73"/>
      <c r="J4175" s="152">
        <v>0</v>
      </c>
      <c r="L4175" s="215"/>
      <c r="M4175" s="53"/>
      <c r="N4175" s="53" t="str">
        <f t="shared" si="401"/>
        <v/>
      </c>
      <c r="O4175" s="72"/>
      <c r="P4175" s="36" t="str">
        <f t="shared" si="402"/>
        <v/>
      </c>
      <c r="Q4175" s="216" t="str">
        <f t="shared" si="403"/>
        <v/>
      </c>
      <c r="R4175" s="216" t="str">
        <f t="shared" si="404"/>
        <v/>
      </c>
      <c r="S4175" s="217" t="str">
        <f t="shared" si="405"/>
        <v/>
      </c>
    </row>
    <row r="4176" spans="1:19" ht="15.75" hidden="1" thickBot="1" x14ac:dyDescent="0.3">
      <c r="A4176" s="258"/>
      <c r="B4176" s="261"/>
      <c r="C4176" s="54"/>
      <c r="D4176" s="54"/>
      <c r="E4176" s="65"/>
      <c r="F4176" s="53" t="s">
        <v>416</v>
      </c>
      <c r="G4176" s="53" t="str">
        <f t="shared" si="400"/>
        <v/>
      </c>
      <c r="H4176" s="76"/>
      <c r="I4176" s="73"/>
      <c r="J4176" s="152">
        <v>0</v>
      </c>
      <c r="L4176" s="222"/>
      <c r="M4176" s="53"/>
      <c r="N4176" s="53" t="str">
        <f t="shared" si="401"/>
        <v/>
      </c>
      <c r="O4176" s="76"/>
      <c r="P4176" s="36" t="str">
        <f t="shared" si="402"/>
        <v/>
      </c>
      <c r="Q4176" s="216" t="str">
        <f t="shared" si="403"/>
        <v/>
      </c>
      <c r="R4176" s="216" t="str">
        <f t="shared" si="404"/>
        <v/>
      </c>
      <c r="S4176" s="217" t="str">
        <f t="shared" si="405"/>
        <v/>
      </c>
    </row>
    <row r="4177" spans="1:19" ht="15.75" hidden="1" thickBot="1" x14ac:dyDescent="0.3">
      <c r="A4177" s="256" t="s">
        <v>1088</v>
      </c>
      <c r="B4177" s="259" t="str">
        <f>INDEX(Orçamentária!A:B,MATCH(Composições!A4177,Orçamentária!A:A,0),2)</f>
        <v>Lixamento, calafetação e aplicação de sinteco em piso de madeira – Linha Residencial</v>
      </c>
      <c r="C4177" s="40"/>
      <c r="D4177" s="25" t="s">
        <v>70</v>
      </c>
      <c r="E4177" s="26"/>
      <c r="F4177" s="48" t="s">
        <v>416</v>
      </c>
      <c r="G4177" s="27" t="str">
        <f t="shared" si="400"/>
        <v/>
      </c>
      <c r="H4177" s="28"/>
      <c r="I4177" s="29"/>
      <c r="J4177" s="152">
        <v>0</v>
      </c>
      <c r="L4177" s="218"/>
      <c r="M4177" s="48"/>
      <c r="N4177" s="27" t="str">
        <f t="shared" si="401"/>
        <v/>
      </c>
      <c r="O4177" s="28"/>
      <c r="P4177" s="36" t="str">
        <f t="shared" si="402"/>
        <v/>
      </c>
      <c r="Q4177" s="216" t="str">
        <f t="shared" si="403"/>
        <v/>
      </c>
      <c r="R4177" s="216" t="str">
        <f t="shared" si="404"/>
        <v/>
      </c>
      <c r="S4177" s="217" t="str">
        <f t="shared" si="405"/>
        <v/>
      </c>
    </row>
    <row r="4178" spans="1:19" ht="15.75" hidden="1" thickBot="1" x14ac:dyDescent="0.3">
      <c r="A4178" s="257"/>
      <c r="B4178" s="260"/>
      <c r="C4178" s="31"/>
      <c r="D4178" s="31"/>
      <c r="E4178" s="32"/>
      <c r="F4178" s="53" t="s">
        <v>416</v>
      </c>
      <c r="G4178" s="53" t="str">
        <f t="shared" si="400"/>
        <v/>
      </c>
      <c r="H4178" s="72"/>
      <c r="I4178" s="73"/>
      <c r="J4178" s="152">
        <v>0</v>
      </c>
      <c r="L4178" s="219"/>
      <c r="M4178" s="53"/>
      <c r="N4178" s="53" t="str">
        <f t="shared" si="401"/>
        <v/>
      </c>
      <c r="O4178" s="72"/>
      <c r="P4178" s="36" t="str">
        <f t="shared" si="402"/>
        <v/>
      </c>
      <c r="Q4178" s="216" t="str">
        <f t="shared" si="403"/>
        <v/>
      </c>
      <c r="R4178" s="216" t="str">
        <f t="shared" si="404"/>
        <v/>
      </c>
      <c r="S4178" s="217" t="str">
        <f t="shared" si="405"/>
        <v/>
      </c>
    </row>
    <row r="4179" spans="1:19" ht="26.25" hidden="1" thickBot="1" x14ac:dyDescent="0.3">
      <c r="A4179" s="257"/>
      <c r="B4179" s="260"/>
      <c r="C4179" s="35" t="s">
        <v>1089</v>
      </c>
      <c r="D4179" s="35" t="s">
        <v>70</v>
      </c>
      <c r="E4179" s="36">
        <v>1</v>
      </c>
      <c r="F4179" s="53">
        <v>0</v>
      </c>
      <c r="G4179" s="53">
        <f t="shared" si="400"/>
        <v>0</v>
      </c>
      <c r="H4179" s="38">
        <f>SUM(G4179:G4179)</f>
        <v>0</v>
      </c>
      <c r="I4179" s="39"/>
      <c r="J4179" s="152">
        <v>0</v>
      </c>
      <c r="L4179" s="215">
        <v>1</v>
      </c>
      <c r="M4179" s="53">
        <v>0</v>
      </c>
      <c r="N4179" s="53">
        <f t="shared" si="401"/>
        <v>0</v>
      </c>
      <c r="O4179" s="38">
        <f>SUM(N4179:N4179)</f>
        <v>0</v>
      </c>
      <c r="P4179" s="36" t="str">
        <f t="shared" si="402"/>
        <v/>
      </c>
      <c r="Q4179" s="216" t="e">
        <f t="shared" si="403"/>
        <v>#DIV/0!</v>
      </c>
      <c r="R4179" s="216" t="e">
        <f t="shared" si="404"/>
        <v>#DIV/0!</v>
      </c>
      <c r="S4179" s="217" t="e">
        <f t="shared" si="405"/>
        <v>#DIV/0!</v>
      </c>
    </row>
    <row r="4180" spans="1:19" ht="15.75" hidden="1" thickBot="1" x14ac:dyDescent="0.3">
      <c r="A4180" s="258"/>
      <c r="B4180" s="261"/>
      <c r="C4180" s="54"/>
      <c r="D4180" s="54"/>
      <c r="E4180" s="65"/>
      <c r="F4180" s="75" t="s">
        <v>416</v>
      </c>
      <c r="G4180" s="75" t="str">
        <f t="shared" si="400"/>
        <v/>
      </c>
      <c r="H4180" s="76"/>
      <c r="I4180" s="73"/>
      <c r="J4180" s="152">
        <v>0</v>
      </c>
      <c r="L4180" s="222"/>
      <c r="M4180" s="75"/>
      <c r="N4180" s="75" t="str">
        <f t="shared" si="401"/>
        <v/>
      </c>
      <c r="O4180" s="76"/>
      <c r="P4180" s="36" t="str">
        <f t="shared" si="402"/>
        <v/>
      </c>
      <c r="Q4180" s="216" t="str">
        <f t="shared" si="403"/>
        <v/>
      </c>
      <c r="R4180" s="216" t="str">
        <f t="shared" si="404"/>
        <v/>
      </c>
      <c r="S4180" s="217" t="str">
        <f t="shared" si="405"/>
        <v/>
      </c>
    </row>
    <row r="4181" spans="1:19" ht="15.75" hidden="1" thickBot="1" x14ac:dyDescent="0.3">
      <c r="A4181" s="256" t="s">
        <v>1090</v>
      </c>
      <c r="B4181" s="259" t="str">
        <f>INDEX(Orçamentária!A:B,MATCH(Composições!A4181,Orçamentária!A:A,0),2)</f>
        <v>Piso em taco de madeira – Linha Residencial</v>
      </c>
      <c r="C4181" s="40"/>
      <c r="D4181" s="25" t="s">
        <v>70</v>
      </c>
      <c r="E4181" s="26"/>
      <c r="F4181" s="48" t="s">
        <v>416</v>
      </c>
      <c r="G4181" s="27" t="str">
        <f t="shared" si="400"/>
        <v/>
      </c>
      <c r="H4181" s="28"/>
      <c r="I4181" s="29"/>
      <c r="J4181" s="152">
        <v>0</v>
      </c>
      <c r="L4181" s="218"/>
      <c r="M4181" s="48"/>
      <c r="N4181" s="27" t="str">
        <f t="shared" si="401"/>
        <v/>
      </c>
      <c r="O4181" s="28"/>
      <c r="P4181" s="36" t="str">
        <f t="shared" si="402"/>
        <v/>
      </c>
      <c r="Q4181" s="216" t="str">
        <f t="shared" si="403"/>
        <v/>
      </c>
      <c r="R4181" s="216" t="str">
        <f t="shared" si="404"/>
        <v/>
      </c>
      <c r="S4181" s="217" t="str">
        <f t="shared" si="405"/>
        <v/>
      </c>
    </row>
    <row r="4182" spans="1:19" ht="15.75" hidden="1" thickBot="1" x14ac:dyDescent="0.3">
      <c r="A4182" s="257"/>
      <c r="B4182" s="260"/>
      <c r="C4182" s="31"/>
      <c r="D4182" s="31"/>
      <c r="E4182" s="32"/>
      <c r="F4182" s="53" t="s">
        <v>416</v>
      </c>
      <c r="G4182" s="53" t="str">
        <f t="shared" si="400"/>
        <v/>
      </c>
      <c r="H4182" s="72"/>
      <c r="I4182" s="73"/>
      <c r="J4182" s="152">
        <v>0</v>
      </c>
      <c r="L4182" s="219"/>
      <c r="M4182" s="53"/>
      <c r="N4182" s="53" t="str">
        <f t="shared" si="401"/>
        <v/>
      </c>
      <c r="O4182" s="72"/>
      <c r="P4182" s="36" t="str">
        <f t="shared" si="402"/>
        <v/>
      </c>
      <c r="Q4182" s="216" t="str">
        <f t="shared" si="403"/>
        <v/>
      </c>
      <c r="R4182" s="216" t="str">
        <f t="shared" si="404"/>
        <v/>
      </c>
      <c r="S4182" s="217" t="str">
        <f t="shared" si="405"/>
        <v/>
      </c>
    </row>
    <row r="4183" spans="1:19" ht="26.25" hidden="1" thickBot="1" x14ac:dyDescent="0.3">
      <c r="A4183" s="257"/>
      <c r="B4183" s="260"/>
      <c r="C4183" s="35" t="s">
        <v>1091</v>
      </c>
      <c r="D4183" s="35" t="s">
        <v>861</v>
      </c>
      <c r="E4183" s="36">
        <v>1.05</v>
      </c>
      <c r="F4183" s="53">
        <v>176.44349999999997</v>
      </c>
      <c r="G4183" s="53">
        <f t="shared" si="400"/>
        <v>185.26567499999999</v>
      </c>
      <c r="H4183" s="38">
        <f>SUM(G4183:G4186)</f>
        <v>230.12192949999999</v>
      </c>
      <c r="I4183" s="39"/>
      <c r="J4183" s="152">
        <v>0</v>
      </c>
      <c r="L4183" s="215">
        <v>1.05</v>
      </c>
      <c r="M4183" s="53">
        <v>151.03563599999998</v>
      </c>
      <c r="N4183" s="53">
        <f t="shared" si="401"/>
        <v>158.5874178</v>
      </c>
      <c r="O4183" s="38">
        <f>SUM(N4183:N4186)</f>
        <v>196.98437165199999</v>
      </c>
      <c r="P4183" s="36" t="str">
        <f t="shared" si="402"/>
        <v/>
      </c>
      <c r="Q4183" s="216">
        <f t="shared" si="403"/>
        <v>0.14400000000000002</v>
      </c>
      <c r="R4183" s="216">
        <f t="shared" si="404"/>
        <v>0.14399999999999991</v>
      </c>
      <c r="S4183" s="217">
        <f t="shared" si="405"/>
        <v>0.14400000000000002</v>
      </c>
    </row>
    <row r="4184" spans="1:19" ht="15.75" hidden="1" thickBot="1" x14ac:dyDescent="0.3">
      <c r="A4184" s="257"/>
      <c r="B4184" s="260"/>
      <c r="C4184" s="35" t="s">
        <v>1092</v>
      </c>
      <c r="D4184" s="35" t="s">
        <v>773</v>
      </c>
      <c r="E4184" s="36">
        <v>0.57499999999999996</v>
      </c>
      <c r="F4184" s="53">
        <v>42.730999999999995</v>
      </c>
      <c r="G4184" s="53">
        <f t="shared" si="400"/>
        <v>24.570324999999993</v>
      </c>
      <c r="H4184" s="72"/>
      <c r="I4184" s="73"/>
      <c r="J4184" s="152">
        <v>0</v>
      </c>
      <c r="L4184" s="215">
        <v>0.57499999999999996</v>
      </c>
      <c r="M4184" s="53">
        <v>36.577735999999994</v>
      </c>
      <c r="N4184" s="53">
        <f t="shared" si="401"/>
        <v>21.032198199999996</v>
      </c>
      <c r="O4184" s="72"/>
      <c r="P4184" s="36" t="str">
        <f t="shared" si="402"/>
        <v/>
      </c>
      <c r="Q4184" s="216">
        <f t="shared" si="403"/>
        <v>0.14400000000000002</v>
      </c>
      <c r="R4184" s="216">
        <f t="shared" si="404"/>
        <v>0.14399999999999991</v>
      </c>
      <c r="S4184" s="217" t="str">
        <f t="shared" si="405"/>
        <v/>
      </c>
    </row>
    <row r="4185" spans="1:19" ht="15.75" hidden="1" thickBot="1" x14ac:dyDescent="0.3">
      <c r="A4185" s="257"/>
      <c r="B4185" s="260"/>
      <c r="C4185" s="35" t="s">
        <v>584</v>
      </c>
      <c r="D4185" s="35" t="s">
        <v>583</v>
      </c>
      <c r="E4185" s="36">
        <v>0.2399</v>
      </c>
      <c r="F4185" s="53">
        <v>20.225499999999997</v>
      </c>
      <c r="G4185" s="53">
        <f t="shared" si="400"/>
        <v>4.8520974499999996</v>
      </c>
      <c r="H4185" s="72"/>
      <c r="I4185" s="73"/>
      <c r="J4185" s="152">
        <v>0</v>
      </c>
      <c r="L4185" s="215">
        <v>0.2399</v>
      </c>
      <c r="M4185" s="53">
        <v>17.313027999999996</v>
      </c>
      <c r="N4185" s="53">
        <f t="shared" si="401"/>
        <v>4.1533954171999987</v>
      </c>
      <c r="O4185" s="72"/>
      <c r="P4185" s="36" t="str">
        <f t="shared" si="402"/>
        <v/>
      </c>
      <c r="Q4185" s="216">
        <f t="shared" si="403"/>
        <v>0.14400000000000013</v>
      </c>
      <c r="R4185" s="216">
        <f t="shared" si="404"/>
        <v>0.14400000000000024</v>
      </c>
      <c r="S4185" s="217" t="str">
        <f t="shared" si="405"/>
        <v/>
      </c>
    </row>
    <row r="4186" spans="1:19" ht="15.75" hidden="1" thickBot="1" x14ac:dyDescent="0.3">
      <c r="A4186" s="257"/>
      <c r="B4186" s="260"/>
      <c r="C4186" s="35" t="s">
        <v>1071</v>
      </c>
      <c r="D4186" s="35" t="s">
        <v>583</v>
      </c>
      <c r="E4186" s="36">
        <v>0.57589999999999997</v>
      </c>
      <c r="F4186" s="53">
        <v>26.799499999999998</v>
      </c>
      <c r="G4186" s="53">
        <f t="shared" si="400"/>
        <v>15.433832049999998</v>
      </c>
      <c r="H4186" s="72"/>
      <c r="I4186" s="73"/>
      <c r="J4186" s="152">
        <v>0</v>
      </c>
      <c r="L4186" s="215">
        <v>0.57589999999999997</v>
      </c>
      <c r="M4186" s="53">
        <v>22.940372</v>
      </c>
      <c r="N4186" s="53">
        <f t="shared" si="401"/>
        <v>13.211360234799999</v>
      </c>
      <c r="O4186" s="72"/>
      <c r="P4186" s="36" t="str">
        <f t="shared" si="402"/>
        <v/>
      </c>
      <c r="Q4186" s="216">
        <f t="shared" si="403"/>
        <v>0.14399999999999991</v>
      </c>
      <c r="R4186" s="216">
        <f t="shared" si="404"/>
        <v>0.14399999999999991</v>
      </c>
      <c r="S4186" s="217" t="str">
        <f t="shared" si="405"/>
        <v/>
      </c>
    </row>
    <row r="4187" spans="1:19" ht="15.75" hidden="1" thickBot="1" x14ac:dyDescent="0.3">
      <c r="A4187" s="257"/>
      <c r="B4187" s="260"/>
      <c r="C4187" s="54"/>
      <c r="D4187" s="54"/>
      <c r="E4187" s="65"/>
      <c r="F4187" s="75" t="s">
        <v>416</v>
      </c>
      <c r="G4187" s="75" t="str">
        <f t="shared" si="400"/>
        <v/>
      </c>
      <c r="H4187" s="76"/>
      <c r="I4187" s="73"/>
      <c r="J4187" s="152">
        <v>0</v>
      </c>
      <c r="L4187" s="222"/>
      <c r="M4187" s="75"/>
      <c r="N4187" s="75" t="str">
        <f t="shared" si="401"/>
        <v/>
      </c>
      <c r="O4187" s="76"/>
      <c r="P4187" s="36" t="str">
        <f t="shared" si="402"/>
        <v/>
      </c>
      <c r="Q4187" s="216" t="str">
        <f t="shared" si="403"/>
        <v/>
      </c>
      <c r="R4187" s="216" t="str">
        <f t="shared" si="404"/>
        <v/>
      </c>
      <c r="S4187" s="217" t="str">
        <f t="shared" si="405"/>
        <v/>
      </c>
    </row>
    <row r="4188" spans="1:19" ht="15.75" hidden="1" thickBot="1" x14ac:dyDescent="0.3">
      <c r="A4188" s="256" t="s">
        <v>1093</v>
      </c>
      <c r="B4188" s="259" t="str">
        <f>INDEX(Orçamentária!A:B,MATCH(Composições!A4188,Orçamentária!A:A,0),2)</f>
        <v>Piso de borracha antiderrapante tipo moeda</v>
      </c>
      <c r="C4188" s="40"/>
      <c r="D4188" s="25" t="s">
        <v>70</v>
      </c>
      <c r="E4188" s="26"/>
      <c r="F4188" s="48" t="s">
        <v>416</v>
      </c>
      <c r="G4188" s="27" t="str">
        <f t="shared" si="400"/>
        <v/>
      </c>
      <c r="H4188" s="28"/>
      <c r="I4188" s="29"/>
      <c r="J4188" s="152">
        <v>0</v>
      </c>
      <c r="L4188" s="218"/>
      <c r="M4188" s="48"/>
      <c r="N4188" s="27" t="str">
        <f t="shared" si="401"/>
        <v/>
      </c>
      <c r="O4188" s="28"/>
      <c r="P4188" s="36" t="str">
        <f t="shared" si="402"/>
        <v/>
      </c>
      <c r="Q4188" s="216" t="str">
        <f t="shared" si="403"/>
        <v/>
      </c>
      <c r="R4188" s="216" t="str">
        <f t="shared" si="404"/>
        <v/>
      </c>
      <c r="S4188" s="217" t="str">
        <f t="shared" si="405"/>
        <v/>
      </c>
    </row>
    <row r="4189" spans="1:19" ht="15.75" hidden="1" thickBot="1" x14ac:dyDescent="0.3">
      <c r="A4189" s="257"/>
      <c r="B4189" s="260"/>
      <c r="C4189" s="31"/>
      <c r="D4189" s="31"/>
      <c r="E4189" s="32"/>
      <c r="F4189" s="53" t="s">
        <v>416</v>
      </c>
      <c r="G4189" s="53" t="str">
        <f t="shared" si="400"/>
        <v/>
      </c>
      <c r="H4189" s="72"/>
      <c r="I4189" s="73"/>
      <c r="J4189" s="152">
        <v>0</v>
      </c>
      <c r="L4189" s="219"/>
      <c r="M4189" s="53"/>
      <c r="N4189" s="53" t="str">
        <f t="shared" si="401"/>
        <v/>
      </c>
      <c r="O4189" s="72"/>
      <c r="P4189" s="36" t="str">
        <f t="shared" si="402"/>
        <v/>
      </c>
      <c r="Q4189" s="216" t="str">
        <f t="shared" si="403"/>
        <v/>
      </c>
      <c r="R4189" s="216" t="str">
        <f t="shared" si="404"/>
        <v/>
      </c>
      <c r="S4189" s="217" t="str">
        <f t="shared" si="405"/>
        <v/>
      </c>
    </row>
    <row r="4190" spans="1:19" ht="15.75" hidden="1" thickBot="1" x14ac:dyDescent="0.3">
      <c r="A4190" s="257"/>
      <c r="B4190" s="260"/>
      <c r="C4190" s="35" t="s">
        <v>7974</v>
      </c>
      <c r="D4190" s="35" t="s">
        <v>773</v>
      </c>
      <c r="E4190" s="36">
        <v>0.56369999999999998</v>
      </c>
      <c r="F4190" s="53">
        <v>47.271999999999998</v>
      </c>
      <c r="G4190" s="53">
        <f t="shared" si="400"/>
        <v>26.647226399999997</v>
      </c>
      <c r="H4190" s="38">
        <f>SUM(G4190:G4193)</f>
        <v>89.444372450000003</v>
      </c>
      <c r="I4190" s="39"/>
      <c r="J4190" s="152">
        <v>0</v>
      </c>
      <c r="L4190" s="215">
        <v>0.56369999999999998</v>
      </c>
      <c r="M4190" s="53">
        <v>40.464832000000001</v>
      </c>
      <c r="N4190" s="53">
        <f t="shared" si="401"/>
        <v>22.810025798399998</v>
      </c>
      <c r="O4190" s="38">
        <f>SUM(N4190:N4193)</f>
        <v>76.564382817199998</v>
      </c>
      <c r="P4190" s="36" t="str">
        <f t="shared" si="402"/>
        <v/>
      </c>
      <c r="Q4190" s="216">
        <f t="shared" si="403"/>
        <v>0.14399999999999991</v>
      </c>
      <c r="R4190" s="216">
        <f t="shared" si="404"/>
        <v>0.14400000000000002</v>
      </c>
      <c r="S4190" s="217">
        <f t="shared" si="405"/>
        <v>0.14400000000000002</v>
      </c>
    </row>
    <row r="4191" spans="1:19" ht="26.25" hidden="1" thickBot="1" x14ac:dyDescent="0.3">
      <c r="A4191" s="257"/>
      <c r="B4191" s="260"/>
      <c r="C4191" s="35" t="s">
        <v>2935</v>
      </c>
      <c r="D4191" s="35" t="s">
        <v>861</v>
      </c>
      <c r="E4191" s="36">
        <v>1.06</v>
      </c>
      <c r="F4191" s="53">
        <v>43.006500000000003</v>
      </c>
      <c r="G4191" s="53">
        <f t="shared" si="400"/>
        <v>45.586890000000004</v>
      </c>
      <c r="H4191" s="72"/>
      <c r="I4191" s="73"/>
      <c r="J4191" s="152">
        <v>0</v>
      </c>
      <c r="L4191" s="215">
        <v>1.06</v>
      </c>
      <c r="M4191" s="53">
        <v>36.813564</v>
      </c>
      <c r="N4191" s="53">
        <f t="shared" si="401"/>
        <v>39.022377840000004</v>
      </c>
      <c r="O4191" s="72"/>
      <c r="P4191" s="36" t="str">
        <f t="shared" si="402"/>
        <v/>
      </c>
      <c r="Q4191" s="216">
        <f t="shared" si="403"/>
        <v>0.14400000000000002</v>
      </c>
      <c r="R4191" s="216">
        <f t="shared" si="404"/>
        <v>0.14400000000000002</v>
      </c>
      <c r="S4191" s="217" t="str">
        <f t="shared" si="405"/>
        <v/>
      </c>
    </row>
    <row r="4192" spans="1:19" ht="15.75" hidden="1" thickBot="1" x14ac:dyDescent="0.3">
      <c r="A4192" s="257"/>
      <c r="B4192" s="260"/>
      <c r="C4192" s="35" t="s">
        <v>591</v>
      </c>
      <c r="D4192" s="35" t="s">
        <v>583</v>
      </c>
      <c r="E4192" s="36">
        <v>0.48359999999999997</v>
      </c>
      <c r="F4192" s="53">
        <v>27.160499999999999</v>
      </c>
      <c r="G4192" s="53">
        <f t="shared" si="400"/>
        <v>13.134817799999999</v>
      </c>
      <c r="H4192" s="72"/>
      <c r="I4192" s="73"/>
      <c r="J4192" s="152">
        <v>0</v>
      </c>
      <c r="L4192" s="215">
        <v>0.48359999999999997</v>
      </c>
      <c r="M4192" s="53">
        <v>23.249388</v>
      </c>
      <c r="N4192" s="53">
        <f t="shared" si="401"/>
        <v>11.243404036799999</v>
      </c>
      <c r="O4192" s="72"/>
      <c r="P4192" s="36" t="str">
        <f t="shared" si="402"/>
        <v/>
      </c>
      <c r="Q4192" s="216">
        <f t="shared" si="403"/>
        <v>0.14400000000000002</v>
      </c>
      <c r="R4192" s="216">
        <f t="shared" si="404"/>
        <v>0.14399999999999991</v>
      </c>
      <c r="S4192" s="217" t="str">
        <f t="shared" si="405"/>
        <v/>
      </c>
    </row>
    <row r="4193" spans="1:19" ht="15.75" hidden="1" thickBot="1" x14ac:dyDescent="0.3">
      <c r="A4193" s="257"/>
      <c r="B4193" s="260"/>
      <c r="C4193" s="35" t="s">
        <v>584</v>
      </c>
      <c r="D4193" s="35" t="s">
        <v>583</v>
      </c>
      <c r="E4193" s="36">
        <v>0.20150000000000001</v>
      </c>
      <c r="F4193" s="53">
        <v>20.225499999999997</v>
      </c>
      <c r="G4193" s="53">
        <f t="shared" si="400"/>
        <v>4.0754382499999995</v>
      </c>
      <c r="H4193" s="72"/>
      <c r="I4193" s="73"/>
      <c r="J4193" s="152">
        <v>0</v>
      </c>
      <c r="L4193" s="215">
        <v>0.20150000000000001</v>
      </c>
      <c r="M4193" s="53">
        <v>17.313027999999996</v>
      </c>
      <c r="N4193" s="53">
        <f t="shared" si="401"/>
        <v>3.4885751419999993</v>
      </c>
      <c r="O4193" s="72"/>
      <c r="P4193" s="36" t="str">
        <f t="shared" si="402"/>
        <v/>
      </c>
      <c r="Q4193" s="216">
        <f t="shared" si="403"/>
        <v>0.14400000000000013</v>
      </c>
      <c r="R4193" s="216">
        <f t="shared" si="404"/>
        <v>0.14400000000000002</v>
      </c>
      <c r="S4193" s="217" t="str">
        <f t="shared" si="405"/>
        <v/>
      </c>
    </row>
    <row r="4194" spans="1:19" ht="15.75" hidden="1" thickBot="1" x14ac:dyDescent="0.3">
      <c r="A4194" s="257"/>
      <c r="B4194" s="260"/>
      <c r="C4194" s="54"/>
      <c r="D4194" s="54"/>
      <c r="E4194" s="65"/>
      <c r="F4194" s="75" t="s">
        <v>416</v>
      </c>
      <c r="G4194" s="75" t="str">
        <f t="shared" si="400"/>
        <v/>
      </c>
      <c r="H4194" s="76"/>
      <c r="I4194" s="73"/>
      <c r="J4194" s="152">
        <v>0</v>
      </c>
      <c r="L4194" s="222"/>
      <c r="M4194" s="75"/>
      <c r="N4194" s="75" t="str">
        <f t="shared" si="401"/>
        <v/>
      </c>
      <c r="O4194" s="76"/>
      <c r="P4194" s="36" t="str">
        <f t="shared" si="402"/>
        <v/>
      </c>
      <c r="Q4194" s="216" t="str">
        <f t="shared" si="403"/>
        <v/>
      </c>
      <c r="R4194" s="216" t="str">
        <f t="shared" si="404"/>
        <v/>
      </c>
      <c r="S4194" s="217" t="str">
        <f t="shared" si="405"/>
        <v/>
      </c>
    </row>
    <row r="4195" spans="1:19" ht="15.75" hidden="1" thickBot="1" x14ac:dyDescent="0.3">
      <c r="A4195" s="256" t="s">
        <v>1094</v>
      </c>
      <c r="B4195" s="259" t="str">
        <f>INDEX(Orçamentária!A:B,MATCH(Composições!A4195,Orçamentária!A:A,0),2)</f>
        <v>Piso sintético flutuante – Linha Residencial</v>
      </c>
      <c r="C4195" s="40"/>
      <c r="D4195" s="25" t="s">
        <v>70</v>
      </c>
      <c r="E4195" s="26"/>
      <c r="F4195" s="48" t="s">
        <v>416</v>
      </c>
      <c r="G4195" s="27" t="str">
        <f t="shared" si="400"/>
        <v/>
      </c>
      <c r="H4195" s="28"/>
      <c r="I4195" s="29"/>
      <c r="J4195" s="152">
        <v>0</v>
      </c>
      <c r="L4195" s="218"/>
      <c r="M4195" s="48"/>
      <c r="N4195" s="27" t="str">
        <f t="shared" si="401"/>
        <v/>
      </c>
      <c r="O4195" s="28"/>
      <c r="P4195" s="36" t="str">
        <f t="shared" si="402"/>
        <v/>
      </c>
      <c r="Q4195" s="216" t="str">
        <f t="shared" si="403"/>
        <v/>
      </c>
      <c r="R4195" s="216" t="str">
        <f t="shared" si="404"/>
        <v/>
      </c>
      <c r="S4195" s="217" t="str">
        <f t="shared" si="405"/>
        <v/>
      </c>
    </row>
    <row r="4196" spans="1:19" ht="15.75" hidden="1" thickBot="1" x14ac:dyDescent="0.3">
      <c r="A4196" s="257"/>
      <c r="B4196" s="260"/>
      <c r="C4196" s="31"/>
      <c r="D4196" s="31"/>
      <c r="E4196" s="32"/>
      <c r="F4196" s="53" t="s">
        <v>416</v>
      </c>
      <c r="G4196" s="53" t="str">
        <f t="shared" si="400"/>
        <v/>
      </c>
      <c r="H4196" s="72"/>
      <c r="I4196" s="73"/>
      <c r="J4196" s="152">
        <v>0</v>
      </c>
      <c r="L4196" s="219"/>
      <c r="M4196" s="53"/>
      <c r="N4196" s="53" t="str">
        <f t="shared" si="401"/>
        <v/>
      </c>
      <c r="O4196" s="72"/>
      <c r="P4196" s="36" t="str">
        <f t="shared" si="402"/>
        <v/>
      </c>
      <c r="Q4196" s="216" t="str">
        <f t="shared" si="403"/>
        <v/>
      </c>
      <c r="R4196" s="216" t="str">
        <f t="shared" si="404"/>
        <v/>
      </c>
      <c r="S4196" s="217" t="str">
        <f t="shared" si="405"/>
        <v/>
      </c>
    </row>
    <row r="4197" spans="1:19" ht="39" hidden="1" thickBot="1" x14ac:dyDescent="0.3">
      <c r="A4197" s="257"/>
      <c r="B4197" s="260"/>
      <c r="C4197" s="35" t="s">
        <v>1095</v>
      </c>
      <c r="D4197" s="46" t="s">
        <v>861</v>
      </c>
      <c r="E4197" s="36">
        <v>1.05</v>
      </c>
      <c r="F4197" s="53" t="s">
        <v>416</v>
      </c>
      <c r="G4197" s="53" t="str">
        <f t="shared" si="400"/>
        <v/>
      </c>
      <c r="H4197" s="38">
        <f>SUM(G4197:G4199)</f>
        <v>15.655779884999998</v>
      </c>
      <c r="I4197" s="39"/>
      <c r="J4197" s="152">
        <v>0</v>
      </c>
      <c r="L4197" s="215">
        <v>1.05</v>
      </c>
      <c r="M4197" s="53"/>
      <c r="N4197" s="53" t="str">
        <f t="shared" si="401"/>
        <v/>
      </c>
      <c r="O4197" s="38">
        <f>SUM(N4197:N4199)</f>
        <v>13.401347581559998</v>
      </c>
      <c r="P4197" s="36" t="str">
        <f t="shared" si="402"/>
        <v/>
      </c>
      <c r="Q4197" s="216" t="str">
        <f t="shared" si="403"/>
        <v/>
      </c>
      <c r="R4197" s="216" t="str">
        <f t="shared" si="404"/>
        <v/>
      </c>
      <c r="S4197" s="217">
        <f t="shared" si="405"/>
        <v>0.14400000000000002</v>
      </c>
    </row>
    <row r="4198" spans="1:19" ht="15.75" hidden="1" thickBot="1" x14ac:dyDescent="0.3">
      <c r="A4198" s="257"/>
      <c r="B4198" s="260"/>
      <c r="C4198" s="35" t="s">
        <v>584</v>
      </c>
      <c r="D4198" s="35" t="s">
        <v>583</v>
      </c>
      <c r="E4198" s="36">
        <v>0.2399</v>
      </c>
      <c r="F4198" s="53">
        <v>20.225499999999997</v>
      </c>
      <c r="G4198" s="53">
        <f t="shared" si="400"/>
        <v>4.8520974499999996</v>
      </c>
      <c r="H4198" s="72"/>
      <c r="I4198" s="73"/>
      <c r="J4198" s="152">
        <v>0</v>
      </c>
      <c r="L4198" s="215">
        <v>0.2399</v>
      </c>
      <c r="M4198" s="53">
        <v>17.313027999999996</v>
      </c>
      <c r="N4198" s="53">
        <f t="shared" si="401"/>
        <v>4.1533954171999987</v>
      </c>
      <c r="O4198" s="72"/>
      <c r="P4198" s="36" t="str">
        <f t="shared" si="402"/>
        <v/>
      </c>
      <c r="Q4198" s="216">
        <f t="shared" si="403"/>
        <v>0.14400000000000013</v>
      </c>
      <c r="R4198" s="216">
        <f t="shared" si="404"/>
        <v>0.14400000000000024</v>
      </c>
      <c r="S4198" s="217" t="str">
        <f t="shared" si="405"/>
        <v/>
      </c>
    </row>
    <row r="4199" spans="1:19" ht="15.75" hidden="1" thickBot="1" x14ac:dyDescent="0.3">
      <c r="A4199" s="257"/>
      <c r="B4199" s="260"/>
      <c r="C4199" s="35" t="s">
        <v>1071</v>
      </c>
      <c r="D4199" s="35" t="s">
        <v>583</v>
      </c>
      <c r="E4199" s="36">
        <f>0.5759*0.7</f>
        <v>0.40312999999999993</v>
      </c>
      <c r="F4199" s="53">
        <v>26.799499999999998</v>
      </c>
      <c r="G4199" s="53">
        <f t="shared" si="400"/>
        <v>10.803682434999997</v>
      </c>
      <c r="H4199" s="72"/>
      <c r="I4199" s="73"/>
      <c r="J4199" s="152">
        <v>0</v>
      </c>
      <c r="L4199" s="215">
        <v>0.40312999999999993</v>
      </c>
      <c r="M4199" s="53">
        <v>22.940372</v>
      </c>
      <c r="N4199" s="53">
        <f t="shared" si="401"/>
        <v>9.2479521643599991</v>
      </c>
      <c r="O4199" s="72"/>
      <c r="P4199" s="36" t="str">
        <f t="shared" si="402"/>
        <v/>
      </c>
      <c r="Q4199" s="216">
        <f t="shared" si="403"/>
        <v>0.14399999999999991</v>
      </c>
      <c r="R4199" s="216">
        <f t="shared" si="404"/>
        <v>0.14399999999999991</v>
      </c>
      <c r="S4199" s="217" t="str">
        <f t="shared" si="405"/>
        <v/>
      </c>
    </row>
    <row r="4200" spans="1:19" ht="15.75" hidden="1" thickBot="1" x14ac:dyDescent="0.3">
      <c r="A4200" s="257"/>
      <c r="B4200" s="260"/>
      <c r="C4200" s="54"/>
      <c r="D4200" s="54"/>
      <c r="E4200" s="65"/>
      <c r="F4200" s="75" t="s">
        <v>416</v>
      </c>
      <c r="G4200" s="75" t="str">
        <f t="shared" si="400"/>
        <v/>
      </c>
      <c r="H4200" s="76"/>
      <c r="I4200" s="73"/>
      <c r="J4200" s="152">
        <v>0</v>
      </c>
      <c r="L4200" s="222"/>
      <c r="M4200" s="75"/>
      <c r="N4200" s="75" t="str">
        <f t="shared" si="401"/>
        <v/>
      </c>
      <c r="O4200" s="76"/>
      <c r="P4200" s="36" t="str">
        <f t="shared" si="402"/>
        <v/>
      </c>
      <c r="Q4200" s="216" t="str">
        <f t="shared" si="403"/>
        <v/>
      </c>
      <c r="R4200" s="216" t="str">
        <f t="shared" si="404"/>
        <v/>
      </c>
      <c r="S4200" s="217" t="str">
        <f t="shared" si="405"/>
        <v/>
      </c>
    </row>
    <row r="4201" spans="1:19" ht="15.75" hidden="1" thickBot="1" x14ac:dyDescent="0.3">
      <c r="A4201" s="256" t="s">
        <v>1096</v>
      </c>
      <c r="B4201" s="259" t="str">
        <f>INDEX(Orçamentária!A:B,MATCH(Composições!A4201,Orçamentária!A:A,0),2)</f>
        <v>Revestimento acústico perfilado – Linha Administrativa</v>
      </c>
      <c r="C4201" s="40"/>
      <c r="D4201" s="25" t="s">
        <v>70</v>
      </c>
      <c r="E4201" s="26"/>
      <c r="F4201" s="48" t="s">
        <v>416</v>
      </c>
      <c r="G4201" s="27" t="str">
        <f t="shared" si="400"/>
        <v/>
      </c>
      <c r="H4201" s="28"/>
      <c r="I4201" s="29"/>
      <c r="J4201" s="152">
        <v>0</v>
      </c>
      <c r="L4201" s="218"/>
      <c r="M4201" s="48"/>
      <c r="N4201" s="27" t="str">
        <f t="shared" si="401"/>
        <v/>
      </c>
      <c r="O4201" s="28"/>
      <c r="P4201" s="36" t="str">
        <f t="shared" si="402"/>
        <v/>
      </c>
      <c r="Q4201" s="216" t="str">
        <f t="shared" si="403"/>
        <v/>
      </c>
      <c r="R4201" s="216" t="str">
        <f t="shared" si="404"/>
        <v/>
      </c>
      <c r="S4201" s="217" t="str">
        <f t="shared" si="405"/>
        <v/>
      </c>
    </row>
    <row r="4202" spans="1:19" ht="15.75" hidden="1" thickBot="1" x14ac:dyDescent="0.3">
      <c r="A4202" s="257"/>
      <c r="B4202" s="260"/>
      <c r="C4202" s="31"/>
      <c r="D4202" s="31"/>
      <c r="E4202" s="32"/>
      <c r="F4202" s="53" t="s">
        <v>416</v>
      </c>
      <c r="G4202" s="53" t="str">
        <f t="shared" si="400"/>
        <v/>
      </c>
      <c r="H4202" s="72"/>
      <c r="I4202" s="73"/>
      <c r="J4202" s="152">
        <v>0</v>
      </c>
      <c r="L4202" s="219"/>
      <c r="M4202" s="53"/>
      <c r="N4202" s="53" t="str">
        <f t="shared" si="401"/>
        <v/>
      </c>
      <c r="O4202" s="72"/>
      <c r="P4202" s="36" t="str">
        <f t="shared" si="402"/>
        <v/>
      </c>
      <c r="Q4202" s="216" t="str">
        <f t="shared" si="403"/>
        <v/>
      </c>
      <c r="R4202" s="216" t="str">
        <f t="shared" si="404"/>
        <v/>
      </c>
      <c r="S4202" s="217" t="str">
        <f t="shared" si="405"/>
        <v/>
      </c>
    </row>
    <row r="4203" spans="1:19" ht="26.25" hidden="1" thickBot="1" x14ac:dyDescent="0.3">
      <c r="A4203" s="257"/>
      <c r="B4203" s="260"/>
      <c r="C4203" s="35" t="s">
        <v>1097</v>
      </c>
      <c r="D4203" s="35" t="s">
        <v>70</v>
      </c>
      <c r="E4203" s="36">
        <v>1.05</v>
      </c>
      <c r="F4203" s="53" t="s">
        <v>416</v>
      </c>
      <c r="G4203" s="53" t="str">
        <f t="shared" si="400"/>
        <v/>
      </c>
      <c r="H4203" s="38">
        <f>SUM(G4203:G4205)</f>
        <v>12.056165</v>
      </c>
      <c r="I4203" s="39"/>
      <c r="J4203" s="152">
        <v>0</v>
      </c>
      <c r="L4203" s="215">
        <v>1.05</v>
      </c>
      <c r="M4203" s="53"/>
      <c r="N4203" s="53" t="str">
        <f t="shared" si="401"/>
        <v/>
      </c>
      <c r="O4203" s="38">
        <f>SUM(N4203:N4205)</f>
        <v>10.32007724</v>
      </c>
      <c r="P4203" s="36" t="str">
        <f t="shared" si="402"/>
        <v/>
      </c>
      <c r="Q4203" s="216" t="str">
        <f t="shared" si="403"/>
        <v/>
      </c>
      <c r="R4203" s="216" t="str">
        <f t="shared" si="404"/>
        <v/>
      </c>
      <c r="S4203" s="217">
        <f t="shared" si="405"/>
        <v>0.14400000000000002</v>
      </c>
    </row>
    <row r="4204" spans="1:19" ht="15.75" hidden="1" thickBot="1" x14ac:dyDescent="0.3">
      <c r="A4204" s="257"/>
      <c r="B4204" s="260"/>
      <c r="C4204" s="35" t="s">
        <v>1071</v>
      </c>
      <c r="D4204" s="35" t="s">
        <v>583</v>
      </c>
      <c r="E4204" s="36">
        <v>0.15</v>
      </c>
      <c r="F4204" s="53">
        <v>26.799499999999998</v>
      </c>
      <c r="G4204" s="53">
        <f t="shared" si="400"/>
        <v>4.0199249999999997</v>
      </c>
      <c r="H4204" s="72"/>
      <c r="I4204" s="73"/>
      <c r="J4204" s="152">
        <v>0</v>
      </c>
      <c r="L4204" s="215">
        <v>0.15</v>
      </c>
      <c r="M4204" s="53">
        <v>22.940372</v>
      </c>
      <c r="N4204" s="53">
        <f t="shared" si="401"/>
        <v>3.4410558</v>
      </c>
      <c r="O4204" s="72"/>
      <c r="P4204" s="36" t="str">
        <f t="shared" si="402"/>
        <v/>
      </c>
      <c r="Q4204" s="216">
        <f t="shared" si="403"/>
        <v>0.14399999999999991</v>
      </c>
      <c r="R4204" s="216">
        <f t="shared" si="404"/>
        <v>0.14399999999999991</v>
      </c>
      <c r="S4204" s="217" t="str">
        <f t="shared" si="405"/>
        <v/>
      </c>
    </row>
    <row r="4205" spans="1:19" ht="15.75" hidden="1" thickBot="1" x14ac:dyDescent="0.3">
      <c r="A4205" s="257"/>
      <c r="B4205" s="260"/>
      <c r="C4205" s="35" t="s">
        <v>7974</v>
      </c>
      <c r="D4205" s="35" t="s">
        <v>773</v>
      </c>
      <c r="E4205" s="36">
        <v>0.17</v>
      </c>
      <c r="F4205" s="53">
        <v>47.271999999999998</v>
      </c>
      <c r="G4205" s="53">
        <f t="shared" si="400"/>
        <v>8.0362400000000012</v>
      </c>
      <c r="H4205" s="72"/>
      <c r="I4205" s="73"/>
      <c r="J4205" s="152">
        <v>0</v>
      </c>
      <c r="L4205" s="215">
        <v>0.17</v>
      </c>
      <c r="M4205" s="53">
        <v>40.464832000000001</v>
      </c>
      <c r="N4205" s="53">
        <f t="shared" si="401"/>
        <v>6.8790214400000007</v>
      </c>
      <c r="O4205" s="72"/>
      <c r="P4205" s="36" t="str">
        <f t="shared" si="402"/>
        <v/>
      </c>
      <c r="Q4205" s="216">
        <f t="shared" si="403"/>
        <v>0.14399999999999991</v>
      </c>
      <c r="R4205" s="216">
        <f t="shared" si="404"/>
        <v>0.14400000000000002</v>
      </c>
      <c r="S4205" s="217" t="str">
        <f t="shared" si="405"/>
        <v/>
      </c>
    </row>
    <row r="4206" spans="1:19" ht="15.75" hidden="1" thickBot="1" x14ac:dyDescent="0.3">
      <c r="A4206" s="257"/>
      <c r="B4206" s="260"/>
      <c r="C4206" s="54"/>
      <c r="D4206" s="54"/>
      <c r="E4206" s="65"/>
      <c r="F4206" s="75" t="s">
        <v>416</v>
      </c>
      <c r="G4206" s="75" t="str">
        <f t="shared" si="400"/>
        <v/>
      </c>
      <c r="H4206" s="76"/>
      <c r="I4206" s="73"/>
      <c r="J4206" s="152">
        <v>0</v>
      </c>
      <c r="L4206" s="222"/>
      <c r="M4206" s="75"/>
      <c r="N4206" s="75" t="str">
        <f t="shared" si="401"/>
        <v/>
      </c>
      <c r="O4206" s="76"/>
      <c r="P4206" s="36" t="str">
        <f t="shared" si="402"/>
        <v/>
      </c>
      <c r="Q4206" s="216" t="str">
        <f t="shared" si="403"/>
        <v/>
      </c>
      <c r="R4206" s="216" t="str">
        <f t="shared" si="404"/>
        <v/>
      </c>
      <c r="S4206" s="217" t="str">
        <f t="shared" si="405"/>
        <v/>
      </c>
    </row>
    <row r="4207" spans="1:19" ht="15.75" hidden="1" thickBot="1" x14ac:dyDescent="0.3">
      <c r="A4207" s="256" t="s">
        <v>1098</v>
      </c>
      <c r="B4207" s="259" t="str">
        <f>INDEX(Orçamentária!A:B,MATCH(Composições!A4207,Orçamentária!A:A,0),2)</f>
        <v>Revestimento acústico plano – Linha Administrativa</v>
      </c>
      <c r="C4207" s="40"/>
      <c r="D4207" s="25" t="s">
        <v>70</v>
      </c>
      <c r="E4207" s="26"/>
      <c r="F4207" s="48" t="s">
        <v>416</v>
      </c>
      <c r="G4207" s="27" t="str">
        <f t="shared" si="400"/>
        <v/>
      </c>
      <c r="H4207" s="28"/>
      <c r="I4207" s="29"/>
      <c r="J4207" s="152">
        <v>0</v>
      </c>
      <c r="L4207" s="218"/>
      <c r="M4207" s="48"/>
      <c r="N4207" s="27" t="str">
        <f t="shared" si="401"/>
        <v/>
      </c>
      <c r="O4207" s="28"/>
      <c r="P4207" s="36" t="str">
        <f t="shared" si="402"/>
        <v/>
      </c>
      <c r="Q4207" s="216" t="str">
        <f t="shared" si="403"/>
        <v/>
      </c>
      <c r="R4207" s="216" t="str">
        <f t="shared" si="404"/>
        <v/>
      </c>
      <c r="S4207" s="217" t="str">
        <f t="shared" si="405"/>
        <v/>
      </c>
    </row>
    <row r="4208" spans="1:19" ht="15.75" hidden="1" thickBot="1" x14ac:dyDescent="0.3">
      <c r="A4208" s="257"/>
      <c r="B4208" s="260"/>
      <c r="C4208" s="31"/>
      <c r="D4208" s="31"/>
      <c r="E4208" s="32"/>
      <c r="F4208" s="53" t="s">
        <v>416</v>
      </c>
      <c r="G4208" s="53" t="str">
        <f t="shared" si="400"/>
        <v/>
      </c>
      <c r="H4208" s="72"/>
      <c r="I4208" s="73"/>
      <c r="J4208" s="152">
        <v>0</v>
      </c>
      <c r="L4208" s="219"/>
      <c r="M4208" s="53"/>
      <c r="N4208" s="53" t="str">
        <f t="shared" si="401"/>
        <v/>
      </c>
      <c r="O4208" s="72"/>
      <c r="P4208" s="36" t="str">
        <f t="shared" si="402"/>
        <v/>
      </c>
      <c r="Q4208" s="216" t="str">
        <f t="shared" si="403"/>
        <v/>
      </c>
      <c r="R4208" s="216" t="str">
        <f t="shared" si="404"/>
        <v/>
      </c>
      <c r="S4208" s="217" t="str">
        <f t="shared" si="405"/>
        <v/>
      </c>
    </row>
    <row r="4209" spans="1:19" ht="26.25" hidden="1" thickBot="1" x14ac:dyDescent="0.3">
      <c r="A4209" s="257"/>
      <c r="B4209" s="260"/>
      <c r="C4209" s="35" t="s">
        <v>1099</v>
      </c>
      <c r="D4209" s="35" t="s">
        <v>70</v>
      </c>
      <c r="E4209" s="36">
        <v>1.05</v>
      </c>
      <c r="F4209" s="53" t="s">
        <v>416</v>
      </c>
      <c r="G4209" s="53" t="str">
        <f t="shared" si="400"/>
        <v/>
      </c>
      <c r="H4209" s="38">
        <f>SUM(G4209:G4211)</f>
        <v>12.056165</v>
      </c>
      <c r="I4209" s="39"/>
      <c r="J4209" s="152">
        <v>0</v>
      </c>
      <c r="L4209" s="215">
        <v>1.05</v>
      </c>
      <c r="M4209" s="53"/>
      <c r="N4209" s="53" t="str">
        <f t="shared" si="401"/>
        <v/>
      </c>
      <c r="O4209" s="38">
        <f>SUM(N4209:N4211)</f>
        <v>10.32007724</v>
      </c>
      <c r="P4209" s="36" t="str">
        <f t="shared" si="402"/>
        <v/>
      </c>
      <c r="Q4209" s="216" t="str">
        <f t="shared" si="403"/>
        <v/>
      </c>
      <c r="R4209" s="216" t="str">
        <f t="shared" si="404"/>
        <v/>
      </c>
      <c r="S4209" s="217">
        <f t="shared" si="405"/>
        <v>0.14400000000000002</v>
      </c>
    </row>
    <row r="4210" spans="1:19" ht="15.75" hidden="1" thickBot="1" x14ac:dyDescent="0.3">
      <c r="A4210" s="257"/>
      <c r="B4210" s="260"/>
      <c r="C4210" s="35" t="s">
        <v>1071</v>
      </c>
      <c r="D4210" s="35" t="s">
        <v>583</v>
      </c>
      <c r="E4210" s="36">
        <v>0.15</v>
      </c>
      <c r="F4210" s="53">
        <v>26.799499999999998</v>
      </c>
      <c r="G4210" s="53">
        <f t="shared" si="400"/>
        <v>4.0199249999999997</v>
      </c>
      <c r="H4210" s="72"/>
      <c r="I4210" s="73"/>
      <c r="J4210" s="152">
        <v>0</v>
      </c>
      <c r="L4210" s="215">
        <v>0.15</v>
      </c>
      <c r="M4210" s="53">
        <v>22.940372</v>
      </c>
      <c r="N4210" s="53">
        <f t="shared" si="401"/>
        <v>3.4410558</v>
      </c>
      <c r="O4210" s="72"/>
      <c r="P4210" s="36" t="str">
        <f t="shared" si="402"/>
        <v/>
      </c>
      <c r="Q4210" s="216">
        <f t="shared" si="403"/>
        <v>0.14399999999999991</v>
      </c>
      <c r="R4210" s="216">
        <f t="shared" si="404"/>
        <v>0.14399999999999991</v>
      </c>
      <c r="S4210" s="217" t="str">
        <f t="shared" si="405"/>
        <v/>
      </c>
    </row>
    <row r="4211" spans="1:19" ht="15.75" hidden="1" thickBot="1" x14ac:dyDescent="0.3">
      <c r="A4211" s="257"/>
      <c r="B4211" s="260"/>
      <c r="C4211" s="35" t="s">
        <v>7974</v>
      </c>
      <c r="D4211" s="35" t="s">
        <v>773</v>
      </c>
      <c r="E4211" s="36">
        <v>0.17</v>
      </c>
      <c r="F4211" s="53">
        <v>47.271999999999998</v>
      </c>
      <c r="G4211" s="53">
        <f t="shared" si="400"/>
        <v>8.0362400000000012</v>
      </c>
      <c r="H4211" s="72"/>
      <c r="I4211" s="73"/>
      <c r="J4211" s="152">
        <v>0</v>
      </c>
      <c r="L4211" s="215">
        <v>0.17</v>
      </c>
      <c r="M4211" s="53">
        <v>40.464832000000001</v>
      </c>
      <c r="N4211" s="53">
        <f t="shared" si="401"/>
        <v>6.8790214400000007</v>
      </c>
      <c r="O4211" s="72"/>
      <c r="P4211" s="36" t="str">
        <f t="shared" si="402"/>
        <v/>
      </c>
      <c r="Q4211" s="216">
        <f t="shared" si="403"/>
        <v>0.14399999999999991</v>
      </c>
      <c r="R4211" s="216">
        <f t="shared" si="404"/>
        <v>0.14400000000000002</v>
      </c>
      <c r="S4211" s="217" t="str">
        <f t="shared" si="405"/>
        <v/>
      </c>
    </row>
    <row r="4212" spans="1:19" ht="15.75" hidden="1" thickBot="1" x14ac:dyDescent="0.3">
      <c r="A4212" s="257"/>
      <c r="B4212" s="260"/>
      <c r="C4212" s="54"/>
      <c r="D4212" s="54"/>
      <c r="E4212" s="65"/>
      <c r="F4212" s="75" t="s">
        <v>416</v>
      </c>
      <c r="G4212" s="75" t="str">
        <f t="shared" si="400"/>
        <v/>
      </c>
      <c r="H4212" s="76"/>
      <c r="I4212" s="73"/>
      <c r="J4212" s="152">
        <v>0</v>
      </c>
      <c r="L4212" s="222"/>
      <c r="M4212" s="75"/>
      <c r="N4212" s="75" t="str">
        <f t="shared" si="401"/>
        <v/>
      </c>
      <c r="O4212" s="76"/>
      <c r="P4212" s="36" t="str">
        <f t="shared" si="402"/>
        <v/>
      </c>
      <c r="Q4212" s="216" t="str">
        <f t="shared" si="403"/>
        <v/>
      </c>
      <c r="R4212" s="216" t="str">
        <f t="shared" si="404"/>
        <v/>
      </c>
      <c r="S4212" s="217" t="str">
        <f t="shared" si="405"/>
        <v/>
      </c>
    </row>
    <row r="4213" spans="1:19" ht="15.75" hidden="1" thickBot="1" x14ac:dyDescent="0.3">
      <c r="A4213" s="256" t="s">
        <v>1100</v>
      </c>
      <c r="B4213" s="259" t="str">
        <f>INDEX(Orçamentária!A:B,MATCH(Composições!A4213,Orçamentária!A:A,0),2)</f>
        <v>Forro monolítico de gesso em placas</v>
      </c>
      <c r="C4213" s="40"/>
      <c r="D4213" s="25" t="s">
        <v>70</v>
      </c>
      <c r="E4213" s="26"/>
      <c r="F4213" s="48" t="s">
        <v>416</v>
      </c>
      <c r="G4213" s="27" t="str">
        <f t="shared" si="400"/>
        <v/>
      </c>
      <c r="H4213" s="28"/>
      <c r="I4213" s="29"/>
      <c r="J4213" s="152">
        <v>0</v>
      </c>
      <c r="L4213" s="218"/>
      <c r="M4213" s="48"/>
      <c r="N4213" s="27" t="str">
        <f t="shared" si="401"/>
        <v/>
      </c>
      <c r="O4213" s="28"/>
      <c r="P4213" s="36" t="str">
        <f t="shared" si="402"/>
        <v/>
      </c>
      <c r="Q4213" s="216" t="str">
        <f t="shared" si="403"/>
        <v/>
      </c>
      <c r="R4213" s="216" t="str">
        <f t="shared" si="404"/>
        <v/>
      </c>
      <c r="S4213" s="217" t="str">
        <f t="shared" si="405"/>
        <v/>
      </c>
    </row>
    <row r="4214" spans="1:19" ht="15.75" hidden="1" thickBot="1" x14ac:dyDescent="0.3">
      <c r="A4214" s="257"/>
      <c r="B4214" s="260"/>
      <c r="C4214" s="31"/>
      <c r="D4214" s="31"/>
      <c r="E4214" s="32"/>
      <c r="F4214" s="53" t="s">
        <v>416</v>
      </c>
      <c r="G4214" s="53" t="str">
        <f t="shared" si="400"/>
        <v/>
      </c>
      <c r="H4214" s="72"/>
      <c r="I4214" s="73"/>
      <c r="J4214" s="152">
        <v>0</v>
      </c>
      <c r="L4214" s="219"/>
      <c r="M4214" s="53"/>
      <c r="N4214" s="53" t="str">
        <f t="shared" si="401"/>
        <v/>
      </c>
      <c r="O4214" s="72"/>
      <c r="P4214" s="36" t="str">
        <f t="shared" si="402"/>
        <v/>
      </c>
      <c r="Q4214" s="216" t="str">
        <f t="shared" si="403"/>
        <v/>
      </c>
      <c r="R4214" s="216" t="str">
        <f t="shared" si="404"/>
        <v/>
      </c>
      <c r="S4214" s="217" t="str">
        <f t="shared" si="405"/>
        <v/>
      </c>
    </row>
    <row r="4215" spans="1:19" ht="15.75" hidden="1" thickBot="1" x14ac:dyDescent="0.3">
      <c r="A4215" s="257"/>
      <c r="B4215" s="260"/>
      <c r="C4215" s="35" t="s">
        <v>1101</v>
      </c>
      <c r="D4215" s="35" t="s">
        <v>773</v>
      </c>
      <c r="E4215" s="36">
        <v>2.5000000000000001E-2</v>
      </c>
      <c r="F4215" s="53">
        <v>30.010499999999997</v>
      </c>
      <c r="G4215" s="53">
        <f t="shared" si="400"/>
        <v>0.75026249999999994</v>
      </c>
      <c r="H4215" s="38">
        <f>SUM(G4215:G4221)</f>
        <v>42.045458149999988</v>
      </c>
      <c r="I4215" s="39"/>
      <c r="J4215" s="152">
        <v>0</v>
      </c>
      <c r="L4215" s="215">
        <v>2.5000000000000001E-2</v>
      </c>
      <c r="M4215" s="53">
        <v>25.688987999999998</v>
      </c>
      <c r="N4215" s="53">
        <f t="shared" si="401"/>
        <v>0.64222469999999998</v>
      </c>
      <c r="O4215" s="38">
        <f>SUM(N4215:N4221)</f>
        <v>35.990912176400002</v>
      </c>
      <c r="P4215" s="36" t="str">
        <f t="shared" si="402"/>
        <v/>
      </c>
      <c r="Q4215" s="216">
        <f t="shared" si="403"/>
        <v>0.14400000000000002</v>
      </c>
      <c r="R4215" s="216">
        <f t="shared" si="404"/>
        <v>0.14399999999999991</v>
      </c>
      <c r="S4215" s="217">
        <f t="shared" si="405"/>
        <v>0.14399999999999968</v>
      </c>
    </row>
    <row r="4216" spans="1:19" ht="26.25" hidden="1" thickBot="1" x14ac:dyDescent="0.3">
      <c r="A4216" s="257"/>
      <c r="B4216" s="260"/>
      <c r="C4216" s="35" t="s">
        <v>3227</v>
      </c>
      <c r="D4216" s="35" t="s">
        <v>773</v>
      </c>
      <c r="E4216" s="36">
        <v>0.99639999999999995</v>
      </c>
      <c r="F4216" s="53">
        <v>0.69350000000000001</v>
      </c>
      <c r="G4216" s="53">
        <f t="shared" si="400"/>
        <v>0.69100339999999993</v>
      </c>
      <c r="H4216" s="72"/>
      <c r="I4216" s="73"/>
      <c r="J4216" s="152">
        <v>0</v>
      </c>
      <c r="L4216" s="215">
        <v>0.99639999999999995</v>
      </c>
      <c r="M4216" s="53">
        <v>0.59363600000000005</v>
      </c>
      <c r="N4216" s="53">
        <f t="shared" si="401"/>
        <v>0.59149891040000002</v>
      </c>
      <c r="O4216" s="72"/>
      <c r="P4216" s="36" t="str">
        <f t="shared" si="402"/>
        <v/>
      </c>
      <c r="Q4216" s="216">
        <f t="shared" si="403"/>
        <v>0.14399999999999991</v>
      </c>
      <c r="R4216" s="216">
        <f t="shared" si="404"/>
        <v>0.14399999999999991</v>
      </c>
      <c r="S4216" s="217" t="str">
        <f t="shared" si="405"/>
        <v/>
      </c>
    </row>
    <row r="4217" spans="1:19" ht="26.25" hidden="1" thickBot="1" x14ac:dyDescent="0.3">
      <c r="A4217" s="257"/>
      <c r="B4217" s="260"/>
      <c r="C4217" s="35" t="s">
        <v>3232</v>
      </c>
      <c r="D4217" s="35" t="s">
        <v>861</v>
      </c>
      <c r="E4217" s="36">
        <v>1.0293000000000001</v>
      </c>
      <c r="F4217" s="53">
        <v>9.7469999999999999</v>
      </c>
      <c r="G4217" s="53">
        <f t="shared" si="400"/>
        <v>10.032587100000001</v>
      </c>
      <c r="H4217" s="72"/>
      <c r="I4217" s="73"/>
      <c r="J4217" s="152">
        <v>0</v>
      </c>
      <c r="L4217" s="215">
        <v>1.0293000000000001</v>
      </c>
      <c r="M4217" s="53">
        <v>8.343432</v>
      </c>
      <c r="N4217" s="53">
        <f t="shared" si="401"/>
        <v>8.5878945576000003</v>
      </c>
      <c r="O4217" s="72"/>
      <c r="P4217" s="36" t="str">
        <f t="shared" si="402"/>
        <v/>
      </c>
      <c r="Q4217" s="216">
        <f t="shared" si="403"/>
        <v>0.14400000000000002</v>
      </c>
      <c r="R4217" s="216">
        <f t="shared" si="404"/>
        <v>0.14400000000000002</v>
      </c>
      <c r="S4217" s="217" t="str">
        <f t="shared" si="405"/>
        <v/>
      </c>
    </row>
    <row r="4218" spans="1:19" ht="15.75" hidden="1" thickBot="1" x14ac:dyDescent="0.3">
      <c r="A4218" s="257"/>
      <c r="B4218" s="260"/>
      <c r="C4218" s="35" t="s">
        <v>8374</v>
      </c>
      <c r="D4218" s="35" t="s">
        <v>773</v>
      </c>
      <c r="E4218" s="36">
        <v>7.7999999999999996E-3</v>
      </c>
      <c r="F4218" s="53">
        <v>19</v>
      </c>
      <c r="G4218" s="53">
        <f t="shared" si="400"/>
        <v>0.1482</v>
      </c>
      <c r="H4218" s="72"/>
      <c r="I4218" s="73"/>
      <c r="J4218" s="152">
        <v>0</v>
      </c>
      <c r="L4218" s="215">
        <v>7.7999999999999996E-3</v>
      </c>
      <c r="M4218" s="53">
        <v>16.263999999999999</v>
      </c>
      <c r="N4218" s="53">
        <f t="shared" si="401"/>
        <v>0.12685919999999998</v>
      </c>
      <c r="O4218" s="72"/>
      <c r="P4218" s="36" t="str">
        <f t="shared" si="402"/>
        <v/>
      </c>
      <c r="Q4218" s="216">
        <f t="shared" si="403"/>
        <v>0.14400000000000002</v>
      </c>
      <c r="R4218" s="216">
        <f t="shared" si="404"/>
        <v>0.14400000000000013</v>
      </c>
      <c r="S4218" s="217" t="str">
        <f t="shared" si="405"/>
        <v/>
      </c>
    </row>
    <row r="4219" spans="1:19" ht="26.25" hidden="1" thickBot="1" x14ac:dyDescent="0.3">
      <c r="A4219" s="257"/>
      <c r="B4219" s="260"/>
      <c r="C4219" s="35" t="s">
        <v>200</v>
      </c>
      <c r="D4219" s="35" t="s">
        <v>1102</v>
      </c>
      <c r="E4219" s="36">
        <v>3.0800000000000001E-2</v>
      </c>
      <c r="F4219" s="53">
        <v>27.701999999999998</v>
      </c>
      <c r="G4219" s="53">
        <f t="shared" si="400"/>
        <v>0.85322160000000002</v>
      </c>
      <c r="H4219" s="72"/>
      <c r="I4219" s="73"/>
      <c r="J4219" s="152">
        <v>0</v>
      </c>
      <c r="L4219" s="215">
        <v>3.0800000000000001E-2</v>
      </c>
      <c r="M4219" s="53">
        <v>23.712911999999999</v>
      </c>
      <c r="N4219" s="53">
        <f t="shared" si="401"/>
        <v>0.73035768960000003</v>
      </c>
      <c r="O4219" s="72"/>
      <c r="P4219" s="36" t="str">
        <f t="shared" si="402"/>
        <v/>
      </c>
      <c r="Q4219" s="216">
        <f t="shared" si="403"/>
        <v>0.14400000000000002</v>
      </c>
      <c r="R4219" s="216">
        <f t="shared" si="404"/>
        <v>0.14400000000000002</v>
      </c>
      <c r="S4219" s="217" t="str">
        <f t="shared" si="405"/>
        <v/>
      </c>
    </row>
    <row r="4220" spans="1:19" ht="15.75" hidden="1" thickBot="1" x14ac:dyDescent="0.3">
      <c r="A4220" s="257"/>
      <c r="B4220" s="260"/>
      <c r="C4220" s="35" t="s">
        <v>1103</v>
      </c>
      <c r="D4220" s="35" t="s">
        <v>583</v>
      </c>
      <c r="E4220" s="36">
        <v>0.7974</v>
      </c>
      <c r="F4220" s="53">
        <v>26.970499999999998</v>
      </c>
      <c r="G4220" s="53">
        <f t="shared" si="400"/>
        <v>21.506276699999997</v>
      </c>
      <c r="H4220" s="72"/>
      <c r="I4220" s="73"/>
      <c r="J4220" s="152">
        <v>0</v>
      </c>
      <c r="L4220" s="215">
        <v>0.7974</v>
      </c>
      <c r="M4220" s="53">
        <v>23.086748</v>
      </c>
      <c r="N4220" s="53">
        <f t="shared" si="401"/>
        <v>18.409372855200001</v>
      </c>
      <c r="O4220" s="72"/>
      <c r="P4220" s="36" t="str">
        <f t="shared" si="402"/>
        <v/>
      </c>
      <c r="Q4220" s="216">
        <f t="shared" si="403"/>
        <v>0.14399999999999991</v>
      </c>
      <c r="R4220" s="216">
        <f t="shared" si="404"/>
        <v>0.14399999999999979</v>
      </c>
      <c r="S4220" s="217" t="str">
        <f t="shared" si="405"/>
        <v/>
      </c>
    </row>
    <row r="4221" spans="1:19" ht="15.75" hidden="1" thickBot="1" x14ac:dyDescent="0.3">
      <c r="A4221" s="257"/>
      <c r="B4221" s="260"/>
      <c r="C4221" s="35" t="s">
        <v>584</v>
      </c>
      <c r="D4221" s="35" t="s">
        <v>583</v>
      </c>
      <c r="E4221" s="36">
        <v>0.3987</v>
      </c>
      <c r="F4221" s="53">
        <v>20.225499999999997</v>
      </c>
      <c r="G4221" s="53">
        <f t="shared" si="400"/>
        <v>8.0639068499999986</v>
      </c>
      <c r="H4221" s="72"/>
      <c r="I4221" s="73"/>
      <c r="J4221" s="152">
        <v>0</v>
      </c>
      <c r="L4221" s="215">
        <v>0.3987</v>
      </c>
      <c r="M4221" s="53">
        <v>17.313027999999996</v>
      </c>
      <c r="N4221" s="53">
        <f t="shared" si="401"/>
        <v>6.9027042635999987</v>
      </c>
      <c r="O4221" s="72"/>
      <c r="P4221" s="36" t="str">
        <f t="shared" si="402"/>
        <v/>
      </c>
      <c r="Q4221" s="216">
        <f t="shared" si="403"/>
        <v>0.14400000000000013</v>
      </c>
      <c r="R4221" s="216">
        <f t="shared" si="404"/>
        <v>0.14400000000000002</v>
      </c>
      <c r="S4221" s="217" t="str">
        <f t="shared" si="405"/>
        <v/>
      </c>
    </row>
    <row r="4222" spans="1:19" ht="15.75" hidden="1" thickBot="1" x14ac:dyDescent="0.3">
      <c r="A4222" s="257"/>
      <c r="B4222" s="260"/>
      <c r="C4222" s="54"/>
      <c r="D4222" s="54"/>
      <c r="E4222" s="65"/>
      <c r="F4222" s="75" t="s">
        <v>416</v>
      </c>
      <c r="G4222" s="75" t="str">
        <f t="shared" si="400"/>
        <v/>
      </c>
      <c r="H4222" s="76"/>
      <c r="I4222" s="73"/>
      <c r="J4222" s="152">
        <v>0</v>
      </c>
      <c r="L4222" s="222"/>
      <c r="M4222" s="75"/>
      <c r="N4222" s="75" t="str">
        <f t="shared" si="401"/>
        <v/>
      </c>
      <c r="O4222" s="76"/>
      <c r="P4222" s="36" t="str">
        <f t="shared" si="402"/>
        <v/>
      </c>
      <c r="Q4222" s="216" t="str">
        <f t="shared" si="403"/>
        <v/>
      </c>
      <c r="R4222" s="216" t="str">
        <f t="shared" si="404"/>
        <v/>
      </c>
      <c r="S4222" s="217" t="str">
        <f t="shared" si="405"/>
        <v/>
      </c>
    </row>
    <row r="4223" spans="1:19" ht="15.75" hidden="1" thickBot="1" x14ac:dyDescent="0.3">
      <c r="A4223" s="256" t="s">
        <v>1104</v>
      </c>
      <c r="B4223" s="259" t="str">
        <f>INDEX(Orçamentária!A:B,MATCH(Composições!A4223,Orçamentária!A:A,0),2)</f>
        <v>Textura acrílica – Linha Administrativa</v>
      </c>
      <c r="C4223" s="40"/>
      <c r="D4223" s="25" t="s">
        <v>70</v>
      </c>
      <c r="E4223" s="26"/>
      <c r="F4223" s="48" t="s">
        <v>416</v>
      </c>
      <c r="G4223" s="27" t="str">
        <f t="shared" si="400"/>
        <v/>
      </c>
      <c r="H4223" s="28"/>
      <c r="I4223" s="29"/>
      <c r="J4223" s="152">
        <v>0</v>
      </c>
      <c r="L4223" s="218"/>
      <c r="M4223" s="48"/>
      <c r="N4223" s="27" t="str">
        <f t="shared" si="401"/>
        <v/>
      </c>
      <c r="O4223" s="28"/>
      <c r="P4223" s="36" t="str">
        <f t="shared" si="402"/>
        <v/>
      </c>
      <c r="Q4223" s="216" t="str">
        <f t="shared" si="403"/>
        <v/>
      </c>
      <c r="R4223" s="216" t="str">
        <f t="shared" si="404"/>
        <v/>
      </c>
      <c r="S4223" s="217" t="str">
        <f t="shared" si="405"/>
        <v/>
      </c>
    </row>
    <row r="4224" spans="1:19" ht="15.75" hidden="1" thickBot="1" x14ac:dyDescent="0.3">
      <c r="A4224" s="257"/>
      <c r="B4224" s="260"/>
      <c r="C4224" s="31"/>
      <c r="D4224" s="31"/>
      <c r="E4224" s="32"/>
      <c r="F4224" s="53" t="s">
        <v>416</v>
      </c>
      <c r="G4224" s="53" t="str">
        <f t="shared" si="400"/>
        <v/>
      </c>
      <c r="H4224" s="72"/>
      <c r="I4224" s="73"/>
      <c r="J4224" s="152">
        <v>0</v>
      </c>
      <c r="L4224" s="219"/>
      <c r="M4224" s="53"/>
      <c r="N4224" s="53" t="str">
        <f t="shared" si="401"/>
        <v/>
      </c>
      <c r="O4224" s="72"/>
      <c r="P4224" s="36" t="str">
        <f t="shared" si="402"/>
        <v/>
      </c>
      <c r="Q4224" s="216" t="str">
        <f t="shared" si="403"/>
        <v/>
      </c>
      <c r="R4224" s="216" t="str">
        <f t="shared" si="404"/>
        <v/>
      </c>
      <c r="S4224" s="217" t="str">
        <f t="shared" si="405"/>
        <v/>
      </c>
    </row>
    <row r="4225" spans="1:19" ht="26.25" hidden="1" thickBot="1" x14ac:dyDescent="0.3">
      <c r="A4225" s="257"/>
      <c r="B4225" s="260"/>
      <c r="C4225" s="35" t="s">
        <v>8291</v>
      </c>
      <c r="D4225" s="35" t="s">
        <v>773</v>
      </c>
      <c r="E4225" s="36">
        <v>1.1399999999999999</v>
      </c>
      <c r="F4225" s="53">
        <v>6.5359999999999996</v>
      </c>
      <c r="G4225" s="53">
        <f t="shared" si="400"/>
        <v>7.451039999999999</v>
      </c>
      <c r="H4225" s="38">
        <f>SUM(G4225:G4227)</f>
        <v>14.234961499999999</v>
      </c>
      <c r="I4225" s="39"/>
      <c r="J4225" s="152">
        <v>0</v>
      </c>
      <c r="L4225" s="215">
        <v>1.1399999999999999</v>
      </c>
      <c r="M4225" s="53">
        <v>5.5948159999999998</v>
      </c>
      <c r="N4225" s="53">
        <f t="shared" si="401"/>
        <v>6.3780902399999988</v>
      </c>
      <c r="O4225" s="38">
        <f>SUM(N4225:N4227)</f>
        <v>12.185127044</v>
      </c>
      <c r="P4225" s="36" t="str">
        <f t="shared" si="402"/>
        <v/>
      </c>
      <c r="Q4225" s="216">
        <f t="shared" si="403"/>
        <v>0.14400000000000002</v>
      </c>
      <c r="R4225" s="216">
        <f t="shared" si="404"/>
        <v>0.14400000000000002</v>
      </c>
      <c r="S4225" s="217">
        <f t="shared" si="405"/>
        <v>0.14399999999999991</v>
      </c>
    </row>
    <row r="4226" spans="1:19" ht="15.75" hidden="1" thickBot="1" x14ac:dyDescent="0.3">
      <c r="A4226" s="257"/>
      <c r="B4226" s="260"/>
      <c r="C4226" s="35" t="s">
        <v>956</v>
      </c>
      <c r="D4226" s="35" t="s">
        <v>583</v>
      </c>
      <c r="E4226" s="36">
        <v>0.188</v>
      </c>
      <c r="F4226" s="53">
        <v>28.6615</v>
      </c>
      <c r="G4226" s="53">
        <f t="shared" si="400"/>
        <v>5.3883619999999999</v>
      </c>
      <c r="H4226" s="72"/>
      <c r="I4226" s="73"/>
      <c r="J4226" s="152">
        <v>0</v>
      </c>
      <c r="L4226" s="215">
        <v>0.188</v>
      </c>
      <c r="M4226" s="53">
        <v>24.534244000000001</v>
      </c>
      <c r="N4226" s="53">
        <f t="shared" si="401"/>
        <v>4.6124378720000001</v>
      </c>
      <c r="O4226" s="72"/>
      <c r="P4226" s="36" t="str">
        <f t="shared" si="402"/>
        <v/>
      </c>
      <c r="Q4226" s="216">
        <f t="shared" si="403"/>
        <v>0.14400000000000002</v>
      </c>
      <c r="R4226" s="216">
        <f t="shared" si="404"/>
        <v>0.14399999999999991</v>
      </c>
      <c r="S4226" s="217" t="str">
        <f t="shared" si="405"/>
        <v/>
      </c>
    </row>
    <row r="4227" spans="1:19" ht="15.75" hidden="1" thickBot="1" x14ac:dyDescent="0.3">
      <c r="A4227" s="257"/>
      <c r="B4227" s="260"/>
      <c r="C4227" s="35" t="s">
        <v>584</v>
      </c>
      <c r="D4227" s="35" t="s">
        <v>583</v>
      </c>
      <c r="E4227" s="36">
        <v>6.9000000000000006E-2</v>
      </c>
      <c r="F4227" s="53">
        <v>20.225499999999997</v>
      </c>
      <c r="G4227" s="53">
        <f t="shared" si="400"/>
        <v>1.3955594999999998</v>
      </c>
      <c r="H4227" s="72"/>
      <c r="I4227" s="73"/>
      <c r="J4227" s="152">
        <v>0</v>
      </c>
      <c r="L4227" s="215">
        <v>6.9000000000000006E-2</v>
      </c>
      <c r="M4227" s="53">
        <v>17.313027999999996</v>
      </c>
      <c r="N4227" s="53">
        <f t="shared" si="401"/>
        <v>1.1945989319999999</v>
      </c>
      <c r="O4227" s="72"/>
      <c r="P4227" s="36" t="str">
        <f t="shared" si="402"/>
        <v/>
      </c>
      <c r="Q4227" s="216">
        <f t="shared" si="403"/>
        <v>0.14400000000000013</v>
      </c>
      <c r="R4227" s="216">
        <f t="shared" si="404"/>
        <v>0.14400000000000002</v>
      </c>
      <c r="S4227" s="217" t="str">
        <f t="shared" si="405"/>
        <v/>
      </c>
    </row>
    <row r="4228" spans="1:19" ht="15.75" hidden="1" thickBot="1" x14ac:dyDescent="0.3">
      <c r="A4228" s="257"/>
      <c r="B4228" s="260"/>
      <c r="C4228" s="54"/>
      <c r="D4228" s="54"/>
      <c r="E4228" s="65"/>
      <c r="F4228" s="75" t="s">
        <v>416</v>
      </c>
      <c r="G4228" s="75" t="str">
        <f t="shared" si="400"/>
        <v/>
      </c>
      <c r="H4228" s="76"/>
      <c r="I4228" s="73"/>
      <c r="J4228" s="152">
        <v>0</v>
      </c>
      <c r="L4228" s="222"/>
      <c r="M4228" s="75"/>
      <c r="N4228" s="75" t="str">
        <f t="shared" si="401"/>
        <v/>
      </c>
      <c r="O4228" s="76"/>
      <c r="P4228" s="36" t="str">
        <f t="shared" si="402"/>
        <v/>
      </c>
      <c r="Q4228" s="216" t="str">
        <f t="shared" si="403"/>
        <v/>
      </c>
      <c r="R4228" s="216" t="str">
        <f t="shared" si="404"/>
        <v/>
      </c>
      <c r="S4228" s="217" t="str">
        <f t="shared" si="405"/>
        <v/>
      </c>
    </row>
    <row r="4229" spans="1:19" ht="15.75" hidden="1" thickBot="1" x14ac:dyDescent="0.3">
      <c r="A4229" s="256" t="s">
        <v>1105</v>
      </c>
      <c r="B4229" s="259" t="str">
        <f>INDEX(Orçamentária!A:B,MATCH(Composições!A4229,Orçamentária!A:A,0),2)</f>
        <v>Pintura com tinta látex acrílica Premium – cores especiais (sistema tintométrico)</v>
      </c>
      <c r="C4229" s="40"/>
      <c r="D4229" s="25" t="s">
        <v>70</v>
      </c>
      <c r="E4229" s="26"/>
      <c r="F4229" s="48" t="s">
        <v>416</v>
      </c>
      <c r="G4229" s="27" t="str">
        <f t="shared" ref="G4229:G4292" si="406">IF(ISNUMBER(F4229),E4229*F4229,"")</f>
        <v/>
      </c>
      <c r="H4229" s="28"/>
      <c r="I4229" s="29"/>
      <c r="J4229" s="152">
        <v>0</v>
      </c>
      <c r="L4229" s="218"/>
      <c r="M4229" s="48"/>
      <c r="N4229" s="27" t="str">
        <f t="shared" ref="N4229:N4292" si="407">IF(ISNUMBER(M4229),L4229*M4229,"")</f>
        <v/>
      </c>
      <c r="O4229" s="28"/>
      <c r="P4229" s="36" t="str">
        <f t="shared" si="402"/>
        <v/>
      </c>
      <c r="Q4229" s="216" t="str">
        <f t="shared" si="403"/>
        <v/>
      </c>
      <c r="R4229" s="216" t="str">
        <f t="shared" si="404"/>
        <v/>
      </c>
      <c r="S4229" s="217" t="str">
        <f t="shared" si="405"/>
        <v/>
      </c>
    </row>
    <row r="4230" spans="1:19" ht="15.75" hidden="1" thickBot="1" x14ac:dyDescent="0.3">
      <c r="A4230" s="257"/>
      <c r="B4230" s="260"/>
      <c r="C4230" s="31"/>
      <c r="D4230" s="31"/>
      <c r="E4230" s="32"/>
      <c r="F4230" s="53" t="s">
        <v>416</v>
      </c>
      <c r="G4230" s="53" t="str">
        <f t="shared" si="406"/>
        <v/>
      </c>
      <c r="H4230" s="72"/>
      <c r="I4230" s="73"/>
      <c r="J4230" s="152">
        <v>0</v>
      </c>
      <c r="L4230" s="219"/>
      <c r="M4230" s="53"/>
      <c r="N4230" s="53" t="str">
        <f t="shared" si="407"/>
        <v/>
      </c>
      <c r="O4230" s="72"/>
      <c r="P4230" s="36" t="str">
        <f t="shared" si="402"/>
        <v/>
      </c>
      <c r="Q4230" s="216" t="str">
        <f t="shared" si="403"/>
        <v/>
      </c>
      <c r="R4230" s="216" t="str">
        <f t="shared" si="404"/>
        <v/>
      </c>
      <c r="S4230" s="217" t="str">
        <f t="shared" si="405"/>
        <v/>
      </c>
    </row>
    <row r="4231" spans="1:19" ht="15.75" hidden="1" thickBot="1" x14ac:dyDescent="0.3">
      <c r="A4231" s="257"/>
      <c r="B4231" s="260"/>
      <c r="C4231" s="35" t="s">
        <v>8442</v>
      </c>
      <c r="D4231" s="35" t="s">
        <v>75</v>
      </c>
      <c r="E4231" s="36">
        <f>ROUND(0.33*1.15,4)</f>
        <v>0.3795</v>
      </c>
      <c r="F4231" s="53">
        <v>27.388499999999997</v>
      </c>
      <c r="G4231" s="53">
        <f t="shared" si="406"/>
        <v>10.393935749999999</v>
      </c>
      <c r="H4231" s="38">
        <f>SUM(G4231:G4233)</f>
        <v>17.149195750000001</v>
      </c>
      <c r="I4231" s="39"/>
      <c r="J4231" s="152">
        <v>0</v>
      </c>
      <c r="L4231" s="215">
        <v>0.3795</v>
      </c>
      <c r="M4231" s="53">
        <v>23.444555999999999</v>
      </c>
      <c r="N4231" s="53">
        <f t="shared" si="407"/>
        <v>8.8972090020000003</v>
      </c>
      <c r="O4231" s="38">
        <f>SUM(N4231:N4233)</f>
        <v>14.679711562</v>
      </c>
      <c r="P4231" s="36" t="str">
        <f t="shared" si="402"/>
        <v/>
      </c>
      <c r="Q4231" s="216">
        <f t="shared" si="403"/>
        <v>0.14399999999999991</v>
      </c>
      <c r="R4231" s="216">
        <f t="shared" si="404"/>
        <v>0.14399999999999991</v>
      </c>
      <c r="S4231" s="217">
        <f t="shared" si="405"/>
        <v>0.14400000000000002</v>
      </c>
    </row>
    <row r="4232" spans="1:19" ht="15.75" hidden="1" thickBot="1" x14ac:dyDescent="0.3">
      <c r="A4232" s="257"/>
      <c r="B4232" s="260"/>
      <c r="C4232" s="35" t="s">
        <v>956</v>
      </c>
      <c r="D4232" s="35" t="s">
        <v>583</v>
      </c>
      <c r="E4232" s="36">
        <v>0.187</v>
      </c>
      <c r="F4232" s="53">
        <v>28.6615</v>
      </c>
      <c r="G4232" s="53">
        <f t="shared" si="406"/>
        <v>5.3597004999999998</v>
      </c>
      <c r="H4232" s="72"/>
      <c r="I4232" s="73"/>
      <c r="J4232" s="152">
        <v>0</v>
      </c>
      <c r="L4232" s="215">
        <v>0.187</v>
      </c>
      <c r="M4232" s="53">
        <v>24.534244000000001</v>
      </c>
      <c r="N4232" s="53">
        <f t="shared" si="407"/>
        <v>4.5879036280000003</v>
      </c>
      <c r="O4232" s="72"/>
      <c r="P4232" s="36" t="str">
        <f t="shared" ref="P4232:P4295" si="408">IF(ISBLANK(L4232),"",IF($E4232&lt;&gt;L4232,"SIM",""))</f>
        <v/>
      </c>
      <c r="Q4232" s="216">
        <f t="shared" ref="Q4232:Q4295" si="409">IF(M4232="","",1-M4232/$F4232)</f>
        <v>0.14400000000000002</v>
      </c>
      <c r="R4232" s="216">
        <f t="shared" ref="R4232:R4295" si="410">IF(N4232="","",1-N4232/$G4232)</f>
        <v>0.14399999999999991</v>
      </c>
      <c r="S4232" s="217" t="str">
        <f t="shared" ref="S4232:S4295" si="411">IF(O4232="","",1-O4232/$H4232)</f>
        <v/>
      </c>
    </row>
    <row r="4233" spans="1:19" ht="15.75" hidden="1" thickBot="1" x14ac:dyDescent="0.3">
      <c r="A4233" s="257"/>
      <c r="B4233" s="260"/>
      <c r="C4233" s="35" t="s">
        <v>584</v>
      </c>
      <c r="D4233" s="35" t="s">
        <v>583</v>
      </c>
      <c r="E4233" s="36">
        <v>6.9000000000000006E-2</v>
      </c>
      <c r="F4233" s="53">
        <v>20.225499999999997</v>
      </c>
      <c r="G4233" s="53">
        <f t="shared" si="406"/>
        <v>1.3955594999999998</v>
      </c>
      <c r="H4233" s="72"/>
      <c r="I4233" s="73"/>
      <c r="J4233" s="152">
        <v>0</v>
      </c>
      <c r="L4233" s="215">
        <v>6.9000000000000006E-2</v>
      </c>
      <c r="M4233" s="53">
        <v>17.313027999999996</v>
      </c>
      <c r="N4233" s="53">
        <f t="shared" si="407"/>
        <v>1.1945989319999999</v>
      </c>
      <c r="O4233" s="72"/>
      <c r="P4233" s="36" t="str">
        <f t="shared" si="408"/>
        <v/>
      </c>
      <c r="Q4233" s="216">
        <f t="shared" si="409"/>
        <v>0.14400000000000013</v>
      </c>
      <c r="R4233" s="216">
        <f t="shared" si="410"/>
        <v>0.14400000000000002</v>
      </c>
      <c r="S4233" s="217" t="str">
        <f t="shared" si="411"/>
        <v/>
      </c>
    </row>
    <row r="4234" spans="1:19" ht="15.75" hidden="1" thickBot="1" x14ac:dyDescent="0.3">
      <c r="A4234" s="257"/>
      <c r="B4234" s="260"/>
      <c r="C4234" s="35"/>
      <c r="D4234" s="35"/>
      <c r="E4234" s="36"/>
      <c r="F4234" s="53" t="s">
        <v>416</v>
      </c>
      <c r="G4234" s="53" t="str">
        <f t="shared" si="406"/>
        <v/>
      </c>
      <c r="H4234" s="72"/>
      <c r="I4234" s="73"/>
      <c r="J4234" s="152">
        <v>0</v>
      </c>
      <c r="L4234" s="215"/>
      <c r="M4234" s="53"/>
      <c r="N4234" s="53" t="str">
        <f t="shared" si="407"/>
        <v/>
      </c>
      <c r="O4234" s="72"/>
      <c r="P4234" s="36" t="str">
        <f t="shared" si="408"/>
        <v/>
      </c>
      <c r="Q4234" s="216" t="str">
        <f t="shared" si="409"/>
        <v/>
      </c>
      <c r="R4234" s="216" t="str">
        <f t="shared" si="410"/>
        <v/>
      </c>
      <c r="S4234" s="217" t="str">
        <f t="shared" si="411"/>
        <v/>
      </c>
    </row>
    <row r="4235" spans="1:19" ht="26.25" hidden="1" thickBot="1" x14ac:dyDescent="0.3">
      <c r="A4235" s="257"/>
      <c r="B4235" s="260"/>
      <c r="C4235" s="35" t="s">
        <v>1106</v>
      </c>
      <c r="D4235" s="35"/>
      <c r="E4235" s="36"/>
      <c r="F4235" s="53" t="s">
        <v>416</v>
      </c>
      <c r="G4235" s="53" t="str">
        <f t="shared" si="406"/>
        <v/>
      </c>
      <c r="H4235" s="72"/>
      <c r="I4235" s="73"/>
      <c r="J4235" s="152">
        <v>0</v>
      </c>
      <c r="L4235" s="215"/>
      <c r="M4235" s="53"/>
      <c r="N4235" s="53" t="str">
        <f t="shared" si="407"/>
        <v/>
      </c>
      <c r="O4235" s="72"/>
      <c r="P4235" s="36" t="str">
        <f t="shared" si="408"/>
        <v/>
      </c>
      <c r="Q4235" s="216" t="str">
        <f t="shared" si="409"/>
        <v/>
      </c>
      <c r="R4235" s="216" t="str">
        <f t="shared" si="410"/>
        <v/>
      </c>
      <c r="S4235" s="217" t="str">
        <f t="shared" si="411"/>
        <v/>
      </c>
    </row>
    <row r="4236" spans="1:19" ht="15.75" hidden="1" thickBot="1" x14ac:dyDescent="0.3">
      <c r="A4236" s="257"/>
      <c r="B4236" s="260"/>
      <c r="C4236" s="54"/>
      <c r="D4236" s="54"/>
      <c r="E4236" s="65"/>
      <c r="F4236" s="75" t="s">
        <v>416</v>
      </c>
      <c r="G4236" s="75" t="str">
        <f t="shared" si="406"/>
        <v/>
      </c>
      <c r="H4236" s="76"/>
      <c r="I4236" s="73"/>
      <c r="J4236" s="152">
        <v>0</v>
      </c>
      <c r="L4236" s="222"/>
      <c r="M4236" s="75"/>
      <c r="N4236" s="75" t="str">
        <f t="shared" si="407"/>
        <v/>
      </c>
      <c r="O4236" s="76"/>
      <c r="P4236" s="36" t="str">
        <f t="shared" si="408"/>
        <v/>
      </c>
      <c r="Q4236" s="216" t="str">
        <f t="shared" si="409"/>
        <v/>
      </c>
      <c r="R4236" s="216" t="str">
        <f t="shared" si="410"/>
        <v/>
      </c>
      <c r="S4236" s="217" t="str">
        <f t="shared" si="411"/>
        <v/>
      </c>
    </row>
    <row r="4237" spans="1:19" ht="15.75" hidden="1" thickBot="1" x14ac:dyDescent="0.3">
      <c r="A4237" s="256" t="s">
        <v>1108</v>
      </c>
      <c r="B4237" s="259" t="str">
        <f>INDEX(Orçamentária!A:B,MATCH(Composições!A4237,Orçamentária!A:A,0),2)</f>
        <v>Pintura com tinta acrílica (pisos)</v>
      </c>
      <c r="C4237" s="40"/>
      <c r="D4237" s="25" t="s">
        <v>70</v>
      </c>
      <c r="E4237" s="26"/>
      <c r="F4237" s="48" t="s">
        <v>416</v>
      </c>
      <c r="G4237" s="27" t="str">
        <f t="shared" si="406"/>
        <v/>
      </c>
      <c r="H4237" s="28"/>
      <c r="I4237" s="29"/>
      <c r="J4237" s="152">
        <v>0</v>
      </c>
      <c r="L4237" s="218"/>
      <c r="M4237" s="48"/>
      <c r="N4237" s="27" t="str">
        <f t="shared" si="407"/>
        <v/>
      </c>
      <c r="O4237" s="28"/>
      <c r="P4237" s="36" t="str">
        <f t="shared" si="408"/>
        <v/>
      </c>
      <c r="Q4237" s="216" t="str">
        <f t="shared" si="409"/>
        <v/>
      </c>
      <c r="R4237" s="216" t="str">
        <f t="shared" si="410"/>
        <v/>
      </c>
      <c r="S4237" s="217" t="str">
        <f t="shared" si="411"/>
        <v/>
      </c>
    </row>
    <row r="4238" spans="1:19" ht="15.75" hidden="1" thickBot="1" x14ac:dyDescent="0.3">
      <c r="A4238" s="257"/>
      <c r="B4238" s="260"/>
      <c r="C4238" s="31"/>
      <c r="D4238" s="31"/>
      <c r="E4238" s="32"/>
      <c r="F4238" s="53" t="s">
        <v>416</v>
      </c>
      <c r="G4238" s="53" t="str">
        <f t="shared" si="406"/>
        <v/>
      </c>
      <c r="H4238" s="72"/>
      <c r="I4238" s="73"/>
      <c r="J4238" s="152">
        <v>0</v>
      </c>
      <c r="L4238" s="219"/>
      <c r="M4238" s="53"/>
      <c r="N4238" s="53" t="str">
        <f t="shared" si="407"/>
        <v/>
      </c>
      <c r="O4238" s="72"/>
      <c r="P4238" s="36" t="str">
        <f t="shared" si="408"/>
        <v/>
      </c>
      <c r="Q4238" s="216" t="str">
        <f t="shared" si="409"/>
        <v/>
      </c>
      <c r="R4238" s="216" t="str">
        <f t="shared" si="410"/>
        <v/>
      </c>
      <c r="S4238" s="217" t="str">
        <f t="shared" si="411"/>
        <v/>
      </c>
    </row>
    <row r="4239" spans="1:19" ht="15.75" hidden="1" thickBot="1" x14ac:dyDescent="0.3">
      <c r="A4239" s="257"/>
      <c r="B4239" s="260"/>
      <c r="C4239" s="35" t="s">
        <v>8369</v>
      </c>
      <c r="D4239" s="35" t="s">
        <v>75</v>
      </c>
      <c r="E4239" s="36">
        <v>0.16</v>
      </c>
      <c r="F4239" s="53">
        <v>10.9725</v>
      </c>
      <c r="G4239" s="53">
        <f t="shared" si="406"/>
        <v>1.7556</v>
      </c>
      <c r="H4239" s="38">
        <f>SUM(G4239:G4243)</f>
        <v>19.891489499999999</v>
      </c>
      <c r="I4239" s="39"/>
      <c r="J4239" s="152">
        <v>0</v>
      </c>
      <c r="L4239" s="215">
        <v>0.16</v>
      </c>
      <c r="M4239" s="53">
        <v>9.3924599999999998</v>
      </c>
      <c r="N4239" s="53">
        <f t="shared" si="407"/>
        <v>1.5027936</v>
      </c>
      <c r="O4239" s="38">
        <f>SUM(N4239:N4243)</f>
        <v>17.027115011999999</v>
      </c>
      <c r="P4239" s="36" t="str">
        <f t="shared" si="408"/>
        <v/>
      </c>
      <c r="Q4239" s="216">
        <f t="shared" si="409"/>
        <v>0.14400000000000002</v>
      </c>
      <c r="R4239" s="216">
        <f t="shared" si="410"/>
        <v>0.14400000000000002</v>
      </c>
      <c r="S4239" s="217">
        <f t="shared" si="411"/>
        <v>0.14400000000000002</v>
      </c>
    </row>
    <row r="4240" spans="1:19" ht="15.75" hidden="1" thickBot="1" x14ac:dyDescent="0.3">
      <c r="A4240" s="257"/>
      <c r="B4240" s="260"/>
      <c r="C4240" s="35" t="s">
        <v>955</v>
      </c>
      <c r="D4240" s="35" t="s">
        <v>75</v>
      </c>
      <c r="E4240" s="36">
        <v>0.42699999999999999</v>
      </c>
      <c r="F4240" s="53">
        <v>18.363499999999998</v>
      </c>
      <c r="G4240" s="53">
        <f t="shared" si="406"/>
        <v>7.8412144999999995</v>
      </c>
      <c r="H4240" s="72"/>
      <c r="I4240" s="73"/>
      <c r="J4240" s="152">
        <v>0</v>
      </c>
      <c r="L4240" s="215">
        <v>0.42699999999999999</v>
      </c>
      <c r="M4240" s="53">
        <v>15.719155999999998</v>
      </c>
      <c r="N4240" s="53">
        <f t="shared" si="407"/>
        <v>6.7120796119999993</v>
      </c>
      <c r="O4240" s="72"/>
      <c r="P4240" s="36" t="str">
        <f t="shared" si="408"/>
        <v/>
      </c>
      <c r="Q4240" s="216">
        <f t="shared" si="409"/>
        <v>0.14400000000000002</v>
      </c>
      <c r="R4240" s="216">
        <f t="shared" si="410"/>
        <v>0.14400000000000002</v>
      </c>
      <c r="S4240" s="217" t="str">
        <f t="shared" si="411"/>
        <v/>
      </c>
    </row>
    <row r="4241" spans="1:19" ht="15.75" hidden="1" thickBot="1" x14ac:dyDescent="0.3">
      <c r="A4241" s="257"/>
      <c r="B4241" s="260"/>
      <c r="C4241" s="35" t="s">
        <v>8166</v>
      </c>
      <c r="D4241" s="35" t="s">
        <v>213</v>
      </c>
      <c r="E4241" s="36">
        <v>0.01</v>
      </c>
      <c r="F4241" s="53">
        <v>8.6829999999999998</v>
      </c>
      <c r="G4241" s="53">
        <f t="shared" si="406"/>
        <v>8.6830000000000004E-2</v>
      </c>
      <c r="H4241" s="72"/>
      <c r="I4241" s="73"/>
      <c r="J4241" s="152">
        <v>0</v>
      </c>
      <c r="L4241" s="215">
        <v>0.01</v>
      </c>
      <c r="M4241" s="53">
        <v>7.4326480000000004</v>
      </c>
      <c r="N4241" s="53">
        <f t="shared" si="407"/>
        <v>7.432648E-2</v>
      </c>
      <c r="O4241" s="72"/>
      <c r="P4241" s="36" t="str">
        <f t="shared" si="408"/>
        <v/>
      </c>
      <c r="Q4241" s="216">
        <f t="shared" si="409"/>
        <v>0.14399999999999991</v>
      </c>
      <c r="R4241" s="216">
        <f t="shared" si="410"/>
        <v>0.14400000000000002</v>
      </c>
      <c r="S4241" s="217" t="str">
        <f t="shared" si="411"/>
        <v/>
      </c>
    </row>
    <row r="4242" spans="1:19" ht="15.75" hidden="1" thickBot="1" x14ac:dyDescent="0.3">
      <c r="A4242" s="257"/>
      <c r="B4242" s="260"/>
      <c r="C4242" s="35" t="s">
        <v>956</v>
      </c>
      <c r="D4242" s="35" t="s">
        <v>583</v>
      </c>
      <c r="E4242" s="36">
        <v>0.27500000000000002</v>
      </c>
      <c r="F4242" s="53">
        <v>28.6615</v>
      </c>
      <c r="G4242" s="53">
        <f t="shared" si="406"/>
        <v>7.8819125000000003</v>
      </c>
      <c r="H4242" s="72"/>
      <c r="I4242" s="73"/>
      <c r="J4242" s="152">
        <v>0</v>
      </c>
      <c r="L4242" s="215">
        <v>0.27500000000000002</v>
      </c>
      <c r="M4242" s="53">
        <v>24.534244000000001</v>
      </c>
      <c r="N4242" s="53">
        <f t="shared" si="407"/>
        <v>6.746917100000001</v>
      </c>
      <c r="O4242" s="72"/>
      <c r="P4242" s="36" t="str">
        <f t="shared" si="408"/>
        <v/>
      </c>
      <c r="Q4242" s="216">
        <f t="shared" si="409"/>
        <v>0.14400000000000002</v>
      </c>
      <c r="R4242" s="216">
        <f t="shared" si="410"/>
        <v>0.14399999999999991</v>
      </c>
      <c r="S4242" s="217" t="str">
        <f t="shared" si="411"/>
        <v/>
      </c>
    </row>
    <row r="4243" spans="1:19" ht="15.75" hidden="1" thickBot="1" x14ac:dyDescent="0.3">
      <c r="A4243" s="257"/>
      <c r="B4243" s="260"/>
      <c r="C4243" s="35" t="s">
        <v>584</v>
      </c>
      <c r="D4243" s="35" t="s">
        <v>583</v>
      </c>
      <c r="E4243" s="36">
        <v>0.115</v>
      </c>
      <c r="F4243" s="53">
        <v>20.225499999999997</v>
      </c>
      <c r="G4243" s="53">
        <f t="shared" si="406"/>
        <v>2.3259324999999995</v>
      </c>
      <c r="H4243" s="72"/>
      <c r="I4243" s="73"/>
      <c r="J4243" s="152">
        <v>0</v>
      </c>
      <c r="L4243" s="215">
        <v>0.115</v>
      </c>
      <c r="M4243" s="53">
        <v>17.313027999999996</v>
      </c>
      <c r="N4243" s="53">
        <f t="shared" si="407"/>
        <v>1.9909982199999996</v>
      </c>
      <c r="O4243" s="72"/>
      <c r="P4243" s="36" t="str">
        <f t="shared" si="408"/>
        <v/>
      </c>
      <c r="Q4243" s="216">
        <f t="shared" si="409"/>
        <v>0.14400000000000013</v>
      </c>
      <c r="R4243" s="216">
        <f t="shared" si="410"/>
        <v>0.14400000000000002</v>
      </c>
      <c r="S4243" s="217" t="str">
        <f t="shared" si="411"/>
        <v/>
      </c>
    </row>
    <row r="4244" spans="1:19" ht="15.75" hidden="1" thickBot="1" x14ac:dyDescent="0.3">
      <c r="A4244" s="257"/>
      <c r="B4244" s="260"/>
      <c r="C4244" s="54"/>
      <c r="D4244" s="54"/>
      <c r="E4244" s="65"/>
      <c r="F4244" s="75" t="s">
        <v>416</v>
      </c>
      <c r="G4244" s="75" t="str">
        <f t="shared" si="406"/>
        <v/>
      </c>
      <c r="H4244" s="76"/>
      <c r="I4244" s="73"/>
      <c r="J4244" s="152">
        <v>0</v>
      </c>
      <c r="L4244" s="222"/>
      <c r="M4244" s="75"/>
      <c r="N4244" s="75" t="str">
        <f t="shared" si="407"/>
        <v/>
      </c>
      <c r="O4244" s="76"/>
      <c r="P4244" s="36" t="str">
        <f t="shared" si="408"/>
        <v/>
      </c>
      <c r="Q4244" s="216" t="str">
        <f t="shared" si="409"/>
        <v/>
      </c>
      <c r="R4244" s="216" t="str">
        <f t="shared" si="410"/>
        <v/>
      </c>
      <c r="S4244" s="217" t="str">
        <f t="shared" si="411"/>
        <v/>
      </c>
    </row>
    <row r="4245" spans="1:19" ht="15.75" hidden="1" thickBot="1" x14ac:dyDescent="0.3">
      <c r="A4245" s="256" t="s">
        <v>1109</v>
      </c>
      <c r="B4245" s="259" t="str">
        <f>INDEX(Orçamentária!A:B,MATCH(Composições!A4245,Orçamentária!A:A,0),2)</f>
        <v>Pintura com tinta epóxi de alto desempenho (pisos)</v>
      </c>
      <c r="C4245" s="40"/>
      <c r="D4245" s="25" t="s">
        <v>70</v>
      </c>
      <c r="E4245" s="26"/>
      <c r="F4245" s="48" t="s">
        <v>416</v>
      </c>
      <c r="G4245" s="27" t="str">
        <f t="shared" si="406"/>
        <v/>
      </c>
      <c r="H4245" s="28"/>
      <c r="I4245" s="29"/>
      <c r="J4245" s="152">
        <v>0</v>
      </c>
      <c r="L4245" s="218"/>
      <c r="M4245" s="48"/>
      <c r="N4245" s="27" t="str">
        <f t="shared" si="407"/>
        <v/>
      </c>
      <c r="O4245" s="28"/>
      <c r="P4245" s="36" t="str">
        <f t="shared" si="408"/>
        <v/>
      </c>
      <c r="Q4245" s="216" t="str">
        <f t="shared" si="409"/>
        <v/>
      </c>
      <c r="R4245" s="216" t="str">
        <f t="shared" si="410"/>
        <v/>
      </c>
      <c r="S4245" s="217" t="str">
        <f t="shared" si="411"/>
        <v/>
      </c>
    </row>
    <row r="4246" spans="1:19" ht="15.75" hidden="1" thickBot="1" x14ac:dyDescent="0.3">
      <c r="A4246" s="257"/>
      <c r="B4246" s="260"/>
      <c r="C4246" s="31"/>
      <c r="D4246" s="31"/>
      <c r="E4246" s="32"/>
      <c r="F4246" s="53" t="s">
        <v>416</v>
      </c>
      <c r="G4246" s="53" t="str">
        <f t="shared" si="406"/>
        <v/>
      </c>
      <c r="H4246" s="72"/>
      <c r="I4246" s="73"/>
      <c r="J4246" s="152">
        <v>0</v>
      </c>
      <c r="L4246" s="219"/>
      <c r="M4246" s="53"/>
      <c r="N4246" s="53" t="str">
        <f t="shared" si="407"/>
        <v/>
      </c>
      <c r="O4246" s="72"/>
      <c r="P4246" s="36" t="str">
        <f t="shared" si="408"/>
        <v/>
      </c>
      <c r="Q4246" s="216" t="str">
        <f t="shared" si="409"/>
        <v/>
      </c>
      <c r="R4246" s="216" t="str">
        <f t="shared" si="410"/>
        <v/>
      </c>
      <c r="S4246" s="217" t="str">
        <f t="shared" si="411"/>
        <v/>
      </c>
    </row>
    <row r="4247" spans="1:19" ht="15.75" hidden="1" thickBot="1" x14ac:dyDescent="0.3">
      <c r="A4247" s="257"/>
      <c r="B4247" s="260"/>
      <c r="C4247" s="35" t="s">
        <v>8137</v>
      </c>
      <c r="D4247" s="35" t="s">
        <v>75</v>
      </c>
      <c r="E4247" s="36">
        <v>6.4000000000000001E-2</v>
      </c>
      <c r="F4247" s="53">
        <v>40.336999999999996</v>
      </c>
      <c r="G4247" s="53">
        <f t="shared" si="406"/>
        <v>2.5815679999999999</v>
      </c>
      <c r="H4247" s="38">
        <f>SUM(G4247:G4252)</f>
        <v>60.518625199999995</v>
      </c>
      <c r="I4247" s="39"/>
      <c r="J4247" s="152">
        <v>0</v>
      </c>
      <c r="L4247" s="215">
        <v>6.4000000000000001E-2</v>
      </c>
      <c r="M4247" s="53">
        <v>34.528471999999994</v>
      </c>
      <c r="N4247" s="53">
        <f t="shared" si="407"/>
        <v>2.2098222079999998</v>
      </c>
      <c r="O4247" s="38">
        <f>SUM(N4247:N4252)</f>
        <v>51.803943171199997</v>
      </c>
      <c r="P4247" s="36" t="str">
        <f t="shared" si="408"/>
        <v/>
      </c>
      <c r="Q4247" s="216">
        <f t="shared" si="409"/>
        <v>0.14400000000000013</v>
      </c>
      <c r="R4247" s="216">
        <f t="shared" si="410"/>
        <v>0.14400000000000002</v>
      </c>
      <c r="S4247" s="217">
        <f t="shared" si="411"/>
        <v>0.14400000000000002</v>
      </c>
    </row>
    <row r="4248" spans="1:19" ht="15.75" hidden="1" thickBot="1" x14ac:dyDescent="0.3">
      <c r="A4248" s="257"/>
      <c r="B4248" s="260"/>
      <c r="C4248" s="35" t="s">
        <v>8441</v>
      </c>
      <c r="D4248" s="35" t="s">
        <v>75</v>
      </c>
      <c r="E4248" s="36">
        <v>0.32200000000000001</v>
      </c>
      <c r="F4248" s="53">
        <v>76.161500000000004</v>
      </c>
      <c r="G4248" s="53">
        <f t="shared" si="406"/>
        <v>24.524003</v>
      </c>
      <c r="H4248" s="72"/>
      <c r="I4248" s="73"/>
      <c r="J4248" s="152">
        <v>0</v>
      </c>
      <c r="L4248" s="215">
        <v>0.32200000000000001</v>
      </c>
      <c r="M4248" s="53">
        <v>65.194243999999998</v>
      </c>
      <c r="N4248" s="53">
        <f t="shared" si="407"/>
        <v>20.992546567999998</v>
      </c>
      <c r="O4248" s="72"/>
      <c r="P4248" s="36" t="str">
        <f t="shared" si="408"/>
        <v/>
      </c>
      <c r="Q4248" s="216">
        <f t="shared" si="409"/>
        <v>0.14400000000000013</v>
      </c>
      <c r="R4248" s="216">
        <f t="shared" si="410"/>
        <v>0.14400000000000013</v>
      </c>
      <c r="S4248" s="217" t="str">
        <f t="shared" si="411"/>
        <v/>
      </c>
    </row>
    <row r="4249" spans="1:19" ht="15.75" hidden="1" thickBot="1" x14ac:dyDescent="0.3">
      <c r="A4249" s="257"/>
      <c r="B4249" s="260"/>
      <c r="C4249" s="35" t="s">
        <v>8166</v>
      </c>
      <c r="D4249" s="35" t="s">
        <v>213</v>
      </c>
      <c r="E4249" s="36">
        <v>0.01</v>
      </c>
      <c r="F4249" s="53">
        <v>8.6829999999999998</v>
      </c>
      <c r="G4249" s="53">
        <f t="shared" si="406"/>
        <v>8.6830000000000004E-2</v>
      </c>
      <c r="H4249" s="72"/>
      <c r="I4249" s="73"/>
      <c r="J4249" s="152">
        <v>0</v>
      </c>
      <c r="L4249" s="215">
        <v>0.01</v>
      </c>
      <c r="M4249" s="53">
        <v>7.4326480000000004</v>
      </c>
      <c r="N4249" s="53">
        <f t="shared" si="407"/>
        <v>7.432648E-2</v>
      </c>
      <c r="O4249" s="72"/>
      <c r="P4249" s="36" t="str">
        <f t="shared" si="408"/>
        <v/>
      </c>
      <c r="Q4249" s="216">
        <f t="shared" si="409"/>
        <v>0.14399999999999991</v>
      </c>
      <c r="R4249" s="216">
        <f t="shared" si="410"/>
        <v>0.14400000000000002</v>
      </c>
      <c r="S4249" s="217" t="str">
        <f t="shared" si="411"/>
        <v/>
      </c>
    </row>
    <row r="4250" spans="1:19" ht="15.75" hidden="1" thickBot="1" x14ac:dyDescent="0.3">
      <c r="A4250" s="257"/>
      <c r="B4250" s="260"/>
      <c r="C4250" s="35" t="s">
        <v>8340</v>
      </c>
      <c r="D4250" s="35" t="s">
        <v>75</v>
      </c>
      <c r="E4250" s="36">
        <v>0.2016</v>
      </c>
      <c r="F4250" s="53">
        <v>114.67449999999999</v>
      </c>
      <c r="G4250" s="53">
        <f t="shared" si="406"/>
        <v>23.1183792</v>
      </c>
      <c r="H4250" s="72"/>
      <c r="I4250" s="73"/>
      <c r="J4250" s="152">
        <v>0</v>
      </c>
      <c r="L4250" s="215">
        <v>0.2016</v>
      </c>
      <c r="M4250" s="53">
        <v>98.161372</v>
      </c>
      <c r="N4250" s="53">
        <f t="shared" si="407"/>
        <v>19.789332595200001</v>
      </c>
      <c r="O4250" s="72"/>
      <c r="P4250" s="36" t="str">
        <f t="shared" si="408"/>
        <v/>
      </c>
      <c r="Q4250" s="216">
        <f t="shared" si="409"/>
        <v>0.14399999999999991</v>
      </c>
      <c r="R4250" s="216">
        <f t="shared" si="410"/>
        <v>0.14399999999999991</v>
      </c>
      <c r="S4250" s="217" t="str">
        <f t="shared" si="411"/>
        <v/>
      </c>
    </row>
    <row r="4251" spans="1:19" ht="15.75" hidden="1" thickBot="1" x14ac:dyDescent="0.3">
      <c r="A4251" s="257"/>
      <c r="B4251" s="260"/>
      <c r="C4251" s="35" t="s">
        <v>956</v>
      </c>
      <c r="D4251" s="35" t="s">
        <v>583</v>
      </c>
      <c r="E4251" s="36">
        <v>0.27500000000000002</v>
      </c>
      <c r="F4251" s="53">
        <v>28.6615</v>
      </c>
      <c r="G4251" s="53">
        <f t="shared" si="406"/>
        <v>7.8819125000000003</v>
      </c>
      <c r="H4251" s="72"/>
      <c r="I4251" s="73"/>
      <c r="J4251" s="152">
        <v>0</v>
      </c>
      <c r="L4251" s="215">
        <v>0.27500000000000002</v>
      </c>
      <c r="M4251" s="53">
        <v>24.534244000000001</v>
      </c>
      <c r="N4251" s="53">
        <f t="shared" si="407"/>
        <v>6.746917100000001</v>
      </c>
      <c r="O4251" s="72"/>
      <c r="P4251" s="36" t="str">
        <f t="shared" si="408"/>
        <v/>
      </c>
      <c r="Q4251" s="216">
        <f t="shared" si="409"/>
        <v>0.14400000000000002</v>
      </c>
      <c r="R4251" s="216">
        <f t="shared" si="410"/>
        <v>0.14399999999999991</v>
      </c>
      <c r="S4251" s="217" t="str">
        <f t="shared" si="411"/>
        <v/>
      </c>
    </row>
    <row r="4252" spans="1:19" ht="15.75" hidden="1" thickBot="1" x14ac:dyDescent="0.3">
      <c r="A4252" s="257"/>
      <c r="B4252" s="260"/>
      <c r="C4252" s="35" t="s">
        <v>584</v>
      </c>
      <c r="D4252" s="35" t="s">
        <v>583</v>
      </c>
      <c r="E4252" s="36">
        <v>0.115</v>
      </c>
      <c r="F4252" s="53">
        <v>20.225499999999997</v>
      </c>
      <c r="G4252" s="53">
        <f t="shared" si="406"/>
        <v>2.3259324999999995</v>
      </c>
      <c r="H4252" s="72"/>
      <c r="I4252" s="73"/>
      <c r="J4252" s="152">
        <v>0</v>
      </c>
      <c r="L4252" s="215">
        <v>0.115</v>
      </c>
      <c r="M4252" s="53">
        <v>17.313027999999996</v>
      </c>
      <c r="N4252" s="53">
        <f t="shared" si="407"/>
        <v>1.9909982199999996</v>
      </c>
      <c r="O4252" s="72"/>
      <c r="P4252" s="36" t="str">
        <f t="shared" si="408"/>
        <v/>
      </c>
      <c r="Q4252" s="216">
        <f t="shared" si="409"/>
        <v>0.14400000000000013</v>
      </c>
      <c r="R4252" s="216">
        <f t="shared" si="410"/>
        <v>0.14400000000000002</v>
      </c>
      <c r="S4252" s="217" t="str">
        <f t="shared" si="411"/>
        <v/>
      </c>
    </row>
    <row r="4253" spans="1:19" ht="15.75" hidden="1" thickBot="1" x14ac:dyDescent="0.3">
      <c r="A4253" s="257"/>
      <c r="B4253" s="260"/>
      <c r="C4253" s="54"/>
      <c r="D4253" s="54"/>
      <c r="E4253" s="65"/>
      <c r="F4253" s="75" t="s">
        <v>416</v>
      </c>
      <c r="G4253" s="75" t="str">
        <f t="shared" si="406"/>
        <v/>
      </c>
      <c r="H4253" s="76"/>
      <c r="I4253" s="73"/>
      <c r="J4253" s="152">
        <v>0</v>
      </c>
      <c r="L4253" s="222"/>
      <c r="M4253" s="75"/>
      <c r="N4253" s="75" t="str">
        <f t="shared" si="407"/>
        <v/>
      </c>
      <c r="O4253" s="76"/>
      <c r="P4253" s="36" t="str">
        <f t="shared" si="408"/>
        <v/>
      </c>
      <c r="Q4253" s="216" t="str">
        <f t="shared" si="409"/>
        <v/>
      </c>
      <c r="R4253" s="216" t="str">
        <f t="shared" si="410"/>
        <v/>
      </c>
      <c r="S4253" s="217" t="str">
        <f t="shared" si="411"/>
        <v/>
      </c>
    </row>
    <row r="4254" spans="1:19" ht="15.75" hidden="1" thickBot="1" x14ac:dyDescent="0.3">
      <c r="A4254" s="256" t="s">
        <v>1110</v>
      </c>
      <c r="B4254" s="259" t="str">
        <f>INDEX(Orçamentária!A:B,MATCH(Composições!A4254,Orçamentária!A:A,0),2)</f>
        <v>Verniz de poliuretano sobre pintura epóxi de alto desempenho</v>
      </c>
      <c r="C4254" s="40"/>
      <c r="D4254" s="25" t="s">
        <v>70</v>
      </c>
      <c r="E4254" s="26"/>
      <c r="F4254" s="48" t="s">
        <v>416</v>
      </c>
      <c r="G4254" s="27" t="str">
        <f t="shared" si="406"/>
        <v/>
      </c>
      <c r="H4254" s="28"/>
      <c r="I4254" s="29"/>
      <c r="J4254" s="152">
        <v>0</v>
      </c>
      <c r="L4254" s="218"/>
      <c r="M4254" s="48"/>
      <c r="N4254" s="27" t="str">
        <f t="shared" si="407"/>
        <v/>
      </c>
      <c r="O4254" s="28"/>
      <c r="P4254" s="36" t="str">
        <f t="shared" si="408"/>
        <v/>
      </c>
      <c r="Q4254" s="216" t="str">
        <f t="shared" si="409"/>
        <v/>
      </c>
      <c r="R4254" s="216" t="str">
        <f t="shared" si="410"/>
        <v/>
      </c>
      <c r="S4254" s="217" t="str">
        <f t="shared" si="411"/>
        <v/>
      </c>
    </row>
    <row r="4255" spans="1:19" ht="15.75" hidden="1" thickBot="1" x14ac:dyDescent="0.3">
      <c r="A4255" s="257"/>
      <c r="B4255" s="260"/>
      <c r="C4255" s="31"/>
      <c r="D4255" s="31"/>
      <c r="E4255" s="32"/>
      <c r="F4255" s="53" t="s">
        <v>416</v>
      </c>
      <c r="G4255" s="53" t="str">
        <f t="shared" si="406"/>
        <v/>
      </c>
      <c r="H4255" s="72"/>
      <c r="I4255" s="73"/>
      <c r="J4255" s="152">
        <v>0</v>
      </c>
      <c r="L4255" s="219"/>
      <c r="M4255" s="53"/>
      <c r="N4255" s="53" t="str">
        <f t="shared" si="407"/>
        <v/>
      </c>
      <c r="O4255" s="72"/>
      <c r="P4255" s="36" t="str">
        <f t="shared" si="408"/>
        <v/>
      </c>
      <c r="Q4255" s="216" t="str">
        <f t="shared" si="409"/>
        <v/>
      </c>
      <c r="R4255" s="216" t="str">
        <f t="shared" si="410"/>
        <v/>
      </c>
      <c r="S4255" s="217" t="str">
        <f t="shared" si="411"/>
        <v/>
      </c>
    </row>
    <row r="4256" spans="1:19" ht="15.75" hidden="1" thickBot="1" x14ac:dyDescent="0.3">
      <c r="A4256" s="257"/>
      <c r="B4256" s="260"/>
      <c r="C4256" s="35" t="s">
        <v>5546</v>
      </c>
      <c r="D4256" s="35" t="s">
        <v>75</v>
      </c>
      <c r="E4256" s="36">
        <v>0.04</v>
      </c>
      <c r="F4256" s="53">
        <v>0</v>
      </c>
      <c r="G4256" s="53">
        <f t="shared" si="406"/>
        <v>0</v>
      </c>
      <c r="H4256" s="38">
        <f>SUM(G4256:G4259)</f>
        <v>23.366199999999999</v>
      </c>
      <c r="I4256" s="39"/>
      <c r="J4256" s="152">
        <v>0</v>
      </c>
      <c r="L4256" s="215">
        <v>0.04</v>
      </c>
      <c r="M4256" s="53">
        <v>0</v>
      </c>
      <c r="N4256" s="53">
        <f t="shared" si="407"/>
        <v>0</v>
      </c>
      <c r="O4256" s="38">
        <f>SUM(N4256:N4259)</f>
        <v>20.0014672</v>
      </c>
      <c r="P4256" s="36" t="str">
        <f t="shared" si="408"/>
        <v/>
      </c>
      <c r="Q4256" s="216" t="e">
        <f t="shared" si="409"/>
        <v>#DIV/0!</v>
      </c>
      <c r="R4256" s="216" t="e">
        <f t="shared" si="410"/>
        <v>#DIV/0!</v>
      </c>
      <c r="S4256" s="217">
        <f t="shared" si="411"/>
        <v>0.14399999999999991</v>
      </c>
    </row>
    <row r="4257" spans="1:19" ht="15.75" hidden="1" thickBot="1" x14ac:dyDescent="0.3">
      <c r="A4257" s="257"/>
      <c r="B4257" s="260"/>
      <c r="C4257" s="35" t="s">
        <v>5547</v>
      </c>
      <c r="D4257" s="35" t="s">
        <v>773</v>
      </c>
      <c r="E4257" s="36">
        <v>0.36</v>
      </c>
      <c r="F4257" s="53">
        <v>0</v>
      </c>
      <c r="G4257" s="53">
        <f t="shared" si="406"/>
        <v>0</v>
      </c>
      <c r="H4257" s="72"/>
      <c r="I4257" s="73"/>
      <c r="J4257" s="152">
        <v>0</v>
      </c>
      <c r="L4257" s="215">
        <v>0.36</v>
      </c>
      <c r="M4257" s="53">
        <v>0</v>
      </c>
      <c r="N4257" s="53">
        <f t="shared" si="407"/>
        <v>0</v>
      </c>
      <c r="O4257" s="72"/>
      <c r="P4257" s="36" t="str">
        <f t="shared" si="408"/>
        <v/>
      </c>
      <c r="Q4257" s="216" t="e">
        <f t="shared" si="409"/>
        <v>#DIV/0!</v>
      </c>
      <c r="R4257" s="216" t="e">
        <f t="shared" si="410"/>
        <v>#DIV/0!</v>
      </c>
      <c r="S4257" s="217" t="str">
        <f t="shared" si="411"/>
        <v/>
      </c>
    </row>
    <row r="4258" spans="1:19" ht="15.75" hidden="1" thickBot="1" x14ac:dyDescent="0.3">
      <c r="A4258" s="257"/>
      <c r="B4258" s="260"/>
      <c r="C4258" s="35" t="s">
        <v>956</v>
      </c>
      <c r="D4258" s="35" t="s">
        <v>583</v>
      </c>
      <c r="E4258" s="36">
        <v>0.66</v>
      </c>
      <c r="F4258" s="53">
        <v>28.6615</v>
      </c>
      <c r="G4258" s="53">
        <f t="shared" si="406"/>
        <v>18.916589999999999</v>
      </c>
      <c r="H4258" s="72"/>
      <c r="I4258" s="73"/>
      <c r="J4258" s="152">
        <v>0</v>
      </c>
      <c r="L4258" s="215">
        <v>0.66</v>
      </c>
      <c r="M4258" s="53">
        <v>24.534244000000001</v>
      </c>
      <c r="N4258" s="53">
        <f t="shared" si="407"/>
        <v>16.192601040000003</v>
      </c>
      <c r="O4258" s="72"/>
      <c r="P4258" s="36" t="str">
        <f t="shared" si="408"/>
        <v/>
      </c>
      <c r="Q4258" s="216">
        <f t="shared" si="409"/>
        <v>0.14400000000000002</v>
      </c>
      <c r="R4258" s="216">
        <f t="shared" si="410"/>
        <v>0.14399999999999979</v>
      </c>
      <c r="S4258" s="217" t="str">
        <f t="shared" si="411"/>
        <v/>
      </c>
    </row>
    <row r="4259" spans="1:19" ht="15.75" hidden="1" thickBot="1" x14ac:dyDescent="0.3">
      <c r="A4259" s="257"/>
      <c r="B4259" s="260"/>
      <c r="C4259" s="35" t="s">
        <v>584</v>
      </c>
      <c r="D4259" s="35" t="s">
        <v>583</v>
      </c>
      <c r="E4259" s="36">
        <v>0.22</v>
      </c>
      <c r="F4259" s="53">
        <v>20.225499999999997</v>
      </c>
      <c r="G4259" s="53">
        <f t="shared" si="406"/>
        <v>4.449609999999999</v>
      </c>
      <c r="H4259" s="72"/>
      <c r="I4259" s="73"/>
      <c r="J4259" s="152">
        <v>0</v>
      </c>
      <c r="L4259" s="215">
        <v>0.22</v>
      </c>
      <c r="M4259" s="53">
        <v>17.313027999999996</v>
      </c>
      <c r="N4259" s="53">
        <f t="shared" si="407"/>
        <v>3.8088661599999991</v>
      </c>
      <c r="O4259" s="72"/>
      <c r="P4259" s="36" t="str">
        <f t="shared" si="408"/>
        <v/>
      </c>
      <c r="Q4259" s="216">
        <f t="shared" si="409"/>
        <v>0.14400000000000013</v>
      </c>
      <c r="R4259" s="216">
        <f t="shared" si="410"/>
        <v>0.14400000000000002</v>
      </c>
      <c r="S4259" s="217" t="str">
        <f t="shared" si="411"/>
        <v/>
      </c>
    </row>
    <row r="4260" spans="1:19" ht="15.75" hidden="1" thickBot="1" x14ac:dyDescent="0.3">
      <c r="A4260" s="258"/>
      <c r="B4260" s="261"/>
      <c r="C4260" s="54"/>
      <c r="D4260" s="54"/>
      <c r="E4260" s="65"/>
      <c r="F4260" s="75" t="s">
        <v>416</v>
      </c>
      <c r="G4260" s="75" t="str">
        <f t="shared" si="406"/>
        <v/>
      </c>
      <c r="H4260" s="76"/>
      <c r="I4260" s="73"/>
      <c r="J4260" s="152">
        <v>0</v>
      </c>
      <c r="L4260" s="222"/>
      <c r="M4260" s="75"/>
      <c r="N4260" s="75" t="str">
        <f t="shared" si="407"/>
        <v/>
      </c>
      <c r="O4260" s="76"/>
      <c r="P4260" s="36" t="str">
        <f t="shared" si="408"/>
        <v/>
      </c>
      <c r="Q4260" s="216" t="str">
        <f t="shared" si="409"/>
        <v/>
      </c>
      <c r="R4260" s="216" t="str">
        <f t="shared" si="410"/>
        <v/>
      </c>
      <c r="S4260" s="217" t="str">
        <f t="shared" si="411"/>
        <v/>
      </c>
    </row>
    <row r="4261" spans="1:19" ht="15.75" hidden="1" thickBot="1" x14ac:dyDescent="0.3">
      <c r="A4261" s="256" t="s">
        <v>1111</v>
      </c>
      <c r="B4261" s="259" t="str">
        <f>INDEX(Orçamentária!A:B,MATCH(Composições!A4261,Orçamentária!A:A,0),2)</f>
        <v>Tratamento antiderrapante em verniz de poliuretano sobre pintura epóxi</v>
      </c>
      <c r="C4261" s="40"/>
      <c r="D4261" s="25" t="s">
        <v>70</v>
      </c>
      <c r="E4261" s="26"/>
      <c r="F4261" s="48" t="s">
        <v>416</v>
      </c>
      <c r="G4261" s="27" t="str">
        <f t="shared" si="406"/>
        <v/>
      </c>
      <c r="H4261" s="28"/>
      <c r="I4261" s="29"/>
      <c r="J4261" s="152">
        <v>0</v>
      </c>
      <c r="L4261" s="218"/>
      <c r="M4261" s="48"/>
      <c r="N4261" s="27" t="str">
        <f t="shared" si="407"/>
        <v/>
      </c>
      <c r="O4261" s="28"/>
      <c r="P4261" s="36" t="str">
        <f t="shared" si="408"/>
        <v/>
      </c>
      <c r="Q4261" s="216" t="str">
        <f t="shared" si="409"/>
        <v/>
      </c>
      <c r="R4261" s="216" t="str">
        <f t="shared" si="410"/>
        <v/>
      </c>
      <c r="S4261" s="217" t="str">
        <f t="shared" si="411"/>
        <v/>
      </c>
    </row>
    <row r="4262" spans="1:19" ht="15.75" hidden="1" thickBot="1" x14ac:dyDescent="0.3">
      <c r="A4262" s="257"/>
      <c r="B4262" s="260"/>
      <c r="C4262" s="31"/>
      <c r="D4262" s="31"/>
      <c r="E4262" s="32"/>
      <c r="F4262" s="53" t="s">
        <v>416</v>
      </c>
      <c r="G4262" s="53" t="str">
        <f t="shared" si="406"/>
        <v/>
      </c>
      <c r="H4262" s="72"/>
      <c r="I4262" s="73"/>
      <c r="J4262" s="152">
        <v>0</v>
      </c>
      <c r="L4262" s="219"/>
      <c r="M4262" s="53"/>
      <c r="N4262" s="53" t="str">
        <f t="shared" si="407"/>
        <v/>
      </c>
      <c r="O4262" s="72"/>
      <c r="P4262" s="36" t="str">
        <f t="shared" si="408"/>
        <v/>
      </c>
      <c r="Q4262" s="216" t="str">
        <f t="shared" si="409"/>
        <v/>
      </c>
      <c r="R4262" s="216" t="str">
        <f t="shared" si="410"/>
        <v/>
      </c>
      <c r="S4262" s="217" t="str">
        <f t="shared" si="411"/>
        <v/>
      </c>
    </row>
    <row r="4263" spans="1:19" ht="26.25" hidden="1" thickBot="1" x14ac:dyDescent="0.3">
      <c r="A4263" s="257"/>
      <c r="B4263" s="260"/>
      <c r="C4263" s="35" t="s">
        <v>1112</v>
      </c>
      <c r="D4263" s="35" t="s">
        <v>773</v>
      </c>
      <c r="E4263" s="36">
        <v>2</v>
      </c>
      <c r="F4263" s="53" t="s">
        <v>416</v>
      </c>
      <c r="G4263" s="53" t="str">
        <f t="shared" si="406"/>
        <v/>
      </c>
      <c r="H4263" s="38">
        <f>SUM(G4263:G4264)</f>
        <v>1.3955594999999998</v>
      </c>
      <c r="I4263" s="39"/>
      <c r="J4263" s="152">
        <v>0</v>
      </c>
      <c r="L4263" s="215">
        <v>2</v>
      </c>
      <c r="M4263" s="53"/>
      <c r="N4263" s="53" t="str">
        <f t="shared" si="407"/>
        <v/>
      </c>
      <c r="O4263" s="38">
        <f>SUM(N4263:N4264)</f>
        <v>1.1945989319999999</v>
      </c>
      <c r="P4263" s="36" t="str">
        <f t="shared" si="408"/>
        <v/>
      </c>
      <c r="Q4263" s="216" t="str">
        <f t="shared" si="409"/>
        <v/>
      </c>
      <c r="R4263" s="216" t="str">
        <f t="shared" si="410"/>
        <v/>
      </c>
      <c r="S4263" s="217">
        <f t="shared" si="411"/>
        <v>0.14400000000000002</v>
      </c>
    </row>
    <row r="4264" spans="1:19" ht="15.75" hidden="1" thickBot="1" x14ac:dyDescent="0.3">
      <c r="A4264" s="257"/>
      <c r="B4264" s="260"/>
      <c r="C4264" s="35" t="s">
        <v>584</v>
      </c>
      <c r="D4264" s="35" t="s">
        <v>583</v>
      </c>
      <c r="E4264" s="36">
        <v>6.9000000000000006E-2</v>
      </c>
      <c r="F4264" s="53">
        <v>20.225499999999997</v>
      </c>
      <c r="G4264" s="53">
        <f t="shared" si="406"/>
        <v>1.3955594999999998</v>
      </c>
      <c r="H4264" s="72"/>
      <c r="I4264" s="73"/>
      <c r="J4264" s="152">
        <v>0</v>
      </c>
      <c r="L4264" s="215">
        <v>6.9000000000000006E-2</v>
      </c>
      <c r="M4264" s="53">
        <v>17.313027999999996</v>
      </c>
      <c r="N4264" s="53">
        <f t="shared" si="407"/>
        <v>1.1945989319999999</v>
      </c>
      <c r="O4264" s="72"/>
      <c r="P4264" s="36" t="str">
        <f t="shared" si="408"/>
        <v/>
      </c>
      <c r="Q4264" s="216">
        <f t="shared" si="409"/>
        <v>0.14400000000000013</v>
      </c>
      <c r="R4264" s="216">
        <f t="shared" si="410"/>
        <v>0.14400000000000002</v>
      </c>
      <c r="S4264" s="217" t="str">
        <f t="shared" si="411"/>
        <v/>
      </c>
    </row>
    <row r="4265" spans="1:19" ht="15.75" hidden="1" thickBot="1" x14ac:dyDescent="0.3">
      <c r="A4265" s="257"/>
      <c r="B4265" s="260"/>
      <c r="C4265" s="54"/>
      <c r="D4265" s="54"/>
      <c r="E4265" s="65"/>
      <c r="F4265" s="75" t="s">
        <v>416</v>
      </c>
      <c r="G4265" s="75" t="str">
        <f t="shared" si="406"/>
        <v/>
      </c>
      <c r="H4265" s="76"/>
      <c r="I4265" s="73"/>
      <c r="J4265" s="152">
        <v>0</v>
      </c>
      <c r="L4265" s="222"/>
      <c r="M4265" s="75"/>
      <c r="N4265" s="75" t="str">
        <f t="shared" si="407"/>
        <v/>
      </c>
      <c r="O4265" s="76"/>
      <c r="P4265" s="36" t="str">
        <f t="shared" si="408"/>
        <v/>
      </c>
      <c r="Q4265" s="216" t="str">
        <f t="shared" si="409"/>
        <v/>
      </c>
      <c r="R4265" s="216" t="str">
        <f t="shared" si="410"/>
        <v/>
      </c>
      <c r="S4265" s="217" t="str">
        <f t="shared" si="411"/>
        <v/>
      </c>
    </row>
    <row r="4266" spans="1:19" ht="15.75" hidden="1" thickBot="1" x14ac:dyDescent="0.3">
      <c r="A4266" s="256" t="s">
        <v>1113</v>
      </c>
      <c r="B4266" s="259" t="str">
        <f>INDEX(Orçamentária!A:B,MATCH(Composições!A4266,Orçamentária!A:A,0),2)</f>
        <v>Pintura para superfícies galvanizadas</v>
      </c>
      <c r="C4266" s="40"/>
      <c r="D4266" s="25" t="s">
        <v>70</v>
      </c>
      <c r="E4266" s="26"/>
      <c r="F4266" s="48" t="s">
        <v>416</v>
      </c>
      <c r="G4266" s="27" t="str">
        <f t="shared" si="406"/>
        <v/>
      </c>
      <c r="H4266" s="28"/>
      <c r="I4266" s="29"/>
      <c r="J4266" s="152">
        <v>0</v>
      </c>
      <c r="L4266" s="218"/>
      <c r="M4266" s="48"/>
      <c r="N4266" s="27" t="str">
        <f t="shared" si="407"/>
        <v/>
      </c>
      <c r="O4266" s="28"/>
      <c r="P4266" s="36" t="str">
        <f t="shared" si="408"/>
        <v/>
      </c>
      <c r="Q4266" s="216" t="str">
        <f t="shared" si="409"/>
        <v/>
      </c>
      <c r="R4266" s="216" t="str">
        <f t="shared" si="410"/>
        <v/>
      </c>
      <c r="S4266" s="217" t="str">
        <f t="shared" si="411"/>
        <v/>
      </c>
    </row>
    <row r="4267" spans="1:19" ht="15.75" hidden="1" thickBot="1" x14ac:dyDescent="0.3">
      <c r="A4267" s="257"/>
      <c r="B4267" s="260"/>
      <c r="C4267" s="31"/>
      <c r="D4267" s="31"/>
      <c r="E4267" s="32"/>
      <c r="F4267" s="53" t="s">
        <v>416</v>
      </c>
      <c r="G4267" s="53" t="str">
        <f t="shared" si="406"/>
        <v/>
      </c>
      <c r="H4267" s="72"/>
      <c r="I4267" s="73"/>
      <c r="J4267" s="152">
        <v>0</v>
      </c>
      <c r="L4267" s="219"/>
      <c r="M4267" s="53"/>
      <c r="N4267" s="53" t="str">
        <f t="shared" si="407"/>
        <v/>
      </c>
      <c r="O4267" s="72"/>
      <c r="P4267" s="36" t="str">
        <f t="shared" si="408"/>
        <v/>
      </c>
      <c r="Q4267" s="216" t="str">
        <f t="shared" si="409"/>
        <v/>
      </c>
      <c r="R4267" s="216" t="str">
        <f t="shared" si="410"/>
        <v/>
      </c>
      <c r="S4267" s="217" t="str">
        <f t="shared" si="411"/>
        <v/>
      </c>
    </row>
    <row r="4268" spans="1:19" ht="15.75" hidden="1" thickBot="1" x14ac:dyDescent="0.3">
      <c r="A4268" s="257"/>
      <c r="B4268" s="260"/>
      <c r="C4268" s="35" t="s">
        <v>8136</v>
      </c>
      <c r="D4268" s="35" t="s">
        <v>75</v>
      </c>
      <c r="E4268" s="36">
        <v>6.1899999999999997E-2</v>
      </c>
      <c r="F4268" s="53">
        <v>17.698499999999999</v>
      </c>
      <c r="G4268" s="53">
        <f t="shared" si="406"/>
        <v>1.09553715</v>
      </c>
      <c r="H4268" s="38">
        <f>SUM(G4268:G4272)</f>
        <v>34.151408449999998</v>
      </c>
      <c r="I4268" s="39"/>
      <c r="J4268" s="152">
        <v>0</v>
      </c>
      <c r="L4268" s="215">
        <v>6.1899999999999997E-2</v>
      </c>
      <c r="M4268" s="53">
        <v>15.149915999999999</v>
      </c>
      <c r="N4268" s="53">
        <f t="shared" si="407"/>
        <v>0.93777980039999986</v>
      </c>
      <c r="O4268" s="38">
        <f>SUM(N4268:N4272)</f>
        <v>29.2336056332</v>
      </c>
      <c r="P4268" s="36" t="str">
        <f t="shared" si="408"/>
        <v/>
      </c>
      <c r="Q4268" s="216">
        <f t="shared" si="409"/>
        <v>0.14400000000000002</v>
      </c>
      <c r="R4268" s="216">
        <f t="shared" si="410"/>
        <v>0.14400000000000013</v>
      </c>
      <c r="S4268" s="217">
        <f t="shared" si="411"/>
        <v>0.14399999999999991</v>
      </c>
    </row>
    <row r="4269" spans="1:19" ht="15.75" hidden="1" thickBot="1" x14ac:dyDescent="0.3">
      <c r="A4269" s="257"/>
      <c r="B4269" s="260"/>
      <c r="C4269" s="35" t="s">
        <v>1184</v>
      </c>
      <c r="D4269" s="35" t="s">
        <v>75</v>
      </c>
      <c r="E4269" s="36">
        <v>0.20699999999999999</v>
      </c>
      <c r="F4269" s="53">
        <v>39.814499999999995</v>
      </c>
      <c r="G4269" s="53">
        <f t="shared" si="406"/>
        <v>8.241601499999998</v>
      </c>
      <c r="H4269" s="72"/>
      <c r="I4269" s="73"/>
      <c r="J4269" s="152">
        <v>0</v>
      </c>
      <c r="L4269" s="215">
        <v>0.20699999999999999</v>
      </c>
      <c r="M4269" s="53">
        <v>34.081211999999994</v>
      </c>
      <c r="N4269" s="53">
        <f t="shared" si="407"/>
        <v>7.0548108839999983</v>
      </c>
      <c r="O4269" s="72"/>
      <c r="P4269" s="36" t="str">
        <f t="shared" si="408"/>
        <v/>
      </c>
      <c r="Q4269" s="216">
        <f t="shared" si="409"/>
        <v>0.14400000000000002</v>
      </c>
      <c r="R4269" s="216">
        <f t="shared" si="410"/>
        <v>0.14400000000000002</v>
      </c>
      <c r="S4269" s="217" t="str">
        <f t="shared" si="411"/>
        <v/>
      </c>
    </row>
    <row r="4270" spans="1:19" ht="15.75" hidden="1" thickBot="1" x14ac:dyDescent="0.3">
      <c r="A4270" s="257"/>
      <c r="B4270" s="260"/>
      <c r="C4270" s="35" t="s">
        <v>956</v>
      </c>
      <c r="D4270" s="35" t="s">
        <v>583</v>
      </c>
      <c r="E4270" s="36">
        <v>0.52659999999999996</v>
      </c>
      <c r="F4270" s="53">
        <v>28.6615</v>
      </c>
      <c r="G4270" s="53">
        <f t="shared" si="406"/>
        <v>15.0931459</v>
      </c>
      <c r="H4270" s="72"/>
      <c r="I4270" s="73"/>
      <c r="J4270" s="152">
        <v>0</v>
      </c>
      <c r="L4270" s="215">
        <v>0.52659999999999996</v>
      </c>
      <c r="M4270" s="53">
        <v>24.534244000000001</v>
      </c>
      <c r="N4270" s="53">
        <f t="shared" si="407"/>
        <v>12.919732890399999</v>
      </c>
      <c r="O4270" s="72"/>
      <c r="P4270" s="36" t="str">
        <f t="shared" si="408"/>
        <v/>
      </c>
      <c r="Q4270" s="216">
        <f t="shared" si="409"/>
        <v>0.14400000000000002</v>
      </c>
      <c r="R4270" s="216">
        <f t="shared" si="410"/>
        <v>0.14400000000000002</v>
      </c>
      <c r="S4270" s="217" t="str">
        <f t="shared" si="411"/>
        <v/>
      </c>
    </row>
    <row r="4271" spans="1:19" ht="15.75" hidden="1" thickBot="1" x14ac:dyDescent="0.3">
      <c r="A4271" s="257"/>
      <c r="B4271" s="260"/>
      <c r="C4271" s="35" t="s">
        <v>1114</v>
      </c>
      <c r="D4271" s="35" t="s">
        <v>213</v>
      </c>
      <c r="E4271" s="36">
        <v>0.3</v>
      </c>
      <c r="F4271" s="53">
        <v>3.8759999999999999</v>
      </c>
      <c r="G4271" s="53">
        <f t="shared" si="406"/>
        <v>1.1627999999999998</v>
      </c>
      <c r="H4271" s="72"/>
      <c r="I4271" s="73"/>
      <c r="J4271" s="152">
        <v>0</v>
      </c>
      <c r="L4271" s="215">
        <v>0.3</v>
      </c>
      <c r="M4271" s="53">
        <v>3.3178559999999999</v>
      </c>
      <c r="N4271" s="53">
        <f t="shared" si="407"/>
        <v>0.99535679999999993</v>
      </c>
      <c r="O4271" s="72"/>
      <c r="P4271" s="36" t="str">
        <f t="shared" si="408"/>
        <v/>
      </c>
      <c r="Q4271" s="216">
        <f t="shared" si="409"/>
        <v>0.14400000000000002</v>
      </c>
      <c r="R4271" s="216">
        <f t="shared" si="410"/>
        <v>0.14399999999999991</v>
      </c>
      <c r="S4271" s="217" t="str">
        <f t="shared" si="411"/>
        <v/>
      </c>
    </row>
    <row r="4272" spans="1:19" ht="15.75" hidden="1" thickBot="1" x14ac:dyDescent="0.3">
      <c r="A4272" s="257"/>
      <c r="B4272" s="260"/>
      <c r="C4272" s="35" t="s">
        <v>956</v>
      </c>
      <c r="D4272" s="35" t="s">
        <v>583</v>
      </c>
      <c r="E4272" s="36">
        <v>0.29859999999999998</v>
      </c>
      <c r="F4272" s="53">
        <v>28.6615</v>
      </c>
      <c r="G4272" s="53">
        <f t="shared" si="406"/>
        <v>8.5583238999999995</v>
      </c>
      <c r="H4272" s="72"/>
      <c r="I4272" s="73"/>
      <c r="J4272" s="152">
        <v>0</v>
      </c>
      <c r="L4272" s="215">
        <v>0.29859999999999998</v>
      </c>
      <c r="M4272" s="53">
        <v>24.534244000000001</v>
      </c>
      <c r="N4272" s="53">
        <f t="shared" si="407"/>
        <v>7.3259252583999999</v>
      </c>
      <c r="O4272" s="72"/>
      <c r="P4272" s="36" t="str">
        <f t="shared" si="408"/>
        <v/>
      </c>
      <c r="Q4272" s="216">
        <f t="shared" si="409"/>
        <v>0.14400000000000002</v>
      </c>
      <c r="R4272" s="216">
        <f t="shared" si="410"/>
        <v>0.14400000000000002</v>
      </c>
      <c r="S4272" s="217" t="str">
        <f t="shared" si="411"/>
        <v/>
      </c>
    </row>
    <row r="4273" spans="1:19" ht="15.75" hidden="1" thickBot="1" x14ac:dyDescent="0.3">
      <c r="A4273" s="258"/>
      <c r="B4273" s="261"/>
      <c r="C4273" s="54"/>
      <c r="D4273" s="54"/>
      <c r="E4273" s="65"/>
      <c r="F4273" s="75" t="s">
        <v>416</v>
      </c>
      <c r="G4273" s="75" t="str">
        <f t="shared" si="406"/>
        <v/>
      </c>
      <c r="H4273" s="76"/>
      <c r="I4273" s="73"/>
      <c r="J4273" s="152">
        <v>0</v>
      </c>
      <c r="L4273" s="222"/>
      <c r="M4273" s="75"/>
      <c r="N4273" s="75" t="str">
        <f t="shared" si="407"/>
        <v/>
      </c>
      <c r="O4273" s="76"/>
      <c r="P4273" s="36" t="str">
        <f t="shared" si="408"/>
        <v/>
      </c>
      <c r="Q4273" s="216" t="str">
        <f t="shared" si="409"/>
        <v/>
      </c>
      <c r="R4273" s="216" t="str">
        <f t="shared" si="410"/>
        <v/>
      </c>
      <c r="S4273" s="217" t="str">
        <f t="shared" si="411"/>
        <v/>
      </c>
    </row>
    <row r="4274" spans="1:19" ht="15.75" hidden="1" thickBot="1" x14ac:dyDescent="0.3">
      <c r="A4274" s="256" t="s">
        <v>1115</v>
      </c>
      <c r="B4274" s="259" t="str">
        <f>INDEX(Orçamentária!A:B,MATCH(Composições!A4274,Orçamentária!A:A,0),2)</f>
        <v>Selagem ou resselagem de juntas em pavimentação de concreto armado</v>
      </c>
      <c r="C4274" s="40"/>
      <c r="D4274" s="25" t="s">
        <v>69</v>
      </c>
      <c r="E4274" s="26"/>
      <c r="F4274" s="48" t="s">
        <v>416</v>
      </c>
      <c r="G4274" s="27" t="str">
        <f t="shared" si="406"/>
        <v/>
      </c>
      <c r="H4274" s="28"/>
      <c r="I4274" s="29"/>
      <c r="J4274" s="152">
        <v>0</v>
      </c>
      <c r="L4274" s="218"/>
      <c r="M4274" s="48"/>
      <c r="N4274" s="27" t="str">
        <f t="shared" si="407"/>
        <v/>
      </c>
      <c r="O4274" s="28"/>
      <c r="P4274" s="36" t="str">
        <f t="shared" si="408"/>
        <v/>
      </c>
      <c r="Q4274" s="216" t="str">
        <f t="shared" si="409"/>
        <v/>
      </c>
      <c r="R4274" s="216" t="str">
        <f t="shared" si="410"/>
        <v/>
      </c>
      <c r="S4274" s="217" t="str">
        <f t="shared" si="411"/>
        <v/>
      </c>
    </row>
    <row r="4275" spans="1:19" ht="15.75" hidden="1" thickBot="1" x14ac:dyDescent="0.3">
      <c r="A4275" s="257"/>
      <c r="B4275" s="260"/>
      <c r="C4275" s="31"/>
      <c r="D4275" s="31"/>
      <c r="E4275" s="32"/>
      <c r="F4275" s="53" t="s">
        <v>416</v>
      </c>
      <c r="G4275" s="53" t="str">
        <f t="shared" si="406"/>
        <v/>
      </c>
      <c r="H4275" s="72"/>
      <c r="I4275" s="73"/>
      <c r="J4275" s="152">
        <v>0</v>
      </c>
      <c r="L4275" s="219"/>
      <c r="M4275" s="53"/>
      <c r="N4275" s="53" t="str">
        <f t="shared" si="407"/>
        <v/>
      </c>
      <c r="O4275" s="72"/>
      <c r="P4275" s="36" t="str">
        <f t="shared" si="408"/>
        <v/>
      </c>
      <c r="Q4275" s="216" t="str">
        <f t="shared" si="409"/>
        <v/>
      </c>
      <c r="R4275" s="216" t="str">
        <f t="shared" si="410"/>
        <v/>
      </c>
      <c r="S4275" s="217" t="str">
        <f t="shared" si="411"/>
        <v/>
      </c>
    </row>
    <row r="4276" spans="1:19" ht="15.75" hidden="1" thickBot="1" x14ac:dyDescent="0.3">
      <c r="A4276" s="257"/>
      <c r="B4276" s="260"/>
      <c r="C4276" s="35" t="s">
        <v>584</v>
      </c>
      <c r="D4276" s="35" t="s">
        <v>583</v>
      </c>
      <c r="E4276" s="36">
        <f>ROUND(4/74.7,4)</f>
        <v>5.3499999999999999E-2</v>
      </c>
      <c r="F4276" s="53">
        <v>20.225499999999997</v>
      </c>
      <c r="G4276" s="53">
        <f t="shared" si="406"/>
        <v>1.0820642499999997</v>
      </c>
      <c r="H4276" s="38">
        <f>SUM(G4276:G4281)</f>
        <v>10.979907149999999</v>
      </c>
      <c r="I4276" s="39"/>
      <c r="J4276" s="152">
        <v>0</v>
      </c>
      <c r="L4276" s="215">
        <v>5.3499999999999999E-2</v>
      </c>
      <c r="M4276" s="53">
        <v>17.313027999999996</v>
      </c>
      <c r="N4276" s="53">
        <f t="shared" si="407"/>
        <v>0.92624699799999977</v>
      </c>
      <c r="O4276" s="38">
        <f>SUM(N4276:N4281)</f>
        <v>9.3988005204</v>
      </c>
      <c r="P4276" s="36" t="str">
        <f t="shared" si="408"/>
        <v/>
      </c>
      <c r="Q4276" s="216">
        <f t="shared" si="409"/>
        <v>0.14400000000000013</v>
      </c>
      <c r="R4276" s="216">
        <f t="shared" si="410"/>
        <v>0.14400000000000002</v>
      </c>
      <c r="S4276" s="217">
        <f t="shared" si="411"/>
        <v>0.14399999999999991</v>
      </c>
    </row>
    <row r="4277" spans="1:19" ht="15.75" hidden="1" thickBot="1" x14ac:dyDescent="0.3">
      <c r="A4277" s="257"/>
      <c r="B4277" s="260"/>
      <c r="C4277" s="35" t="s">
        <v>1116</v>
      </c>
      <c r="D4277" s="35" t="s">
        <v>813</v>
      </c>
      <c r="E4277" s="36">
        <f>ROUND(1/74.7,4)</f>
        <v>1.34E-2</v>
      </c>
      <c r="F4277" s="53">
        <v>0</v>
      </c>
      <c r="G4277" s="53">
        <f t="shared" si="406"/>
        <v>0</v>
      </c>
      <c r="H4277" s="72"/>
      <c r="I4277" s="73"/>
      <c r="J4277" s="152">
        <v>0</v>
      </c>
      <c r="L4277" s="215">
        <v>1.34E-2</v>
      </c>
      <c r="M4277" s="53">
        <v>0</v>
      </c>
      <c r="N4277" s="53">
        <f t="shared" si="407"/>
        <v>0</v>
      </c>
      <c r="O4277" s="72"/>
      <c r="P4277" s="36" t="str">
        <f t="shared" si="408"/>
        <v/>
      </c>
      <c r="Q4277" s="216" t="e">
        <f t="shared" si="409"/>
        <v>#DIV/0!</v>
      </c>
      <c r="R4277" s="216" t="e">
        <f t="shared" si="410"/>
        <v>#DIV/0!</v>
      </c>
      <c r="S4277" s="217" t="str">
        <f t="shared" si="411"/>
        <v/>
      </c>
    </row>
    <row r="4278" spans="1:19" ht="15.75" hidden="1" thickBot="1" x14ac:dyDescent="0.3">
      <c r="A4278" s="257"/>
      <c r="B4278" s="260"/>
      <c r="C4278" s="35" t="s">
        <v>1117</v>
      </c>
      <c r="D4278" s="35" t="s">
        <v>813</v>
      </c>
      <c r="E4278" s="36">
        <f>ROUND(1/74.7,4)</f>
        <v>1.34E-2</v>
      </c>
      <c r="F4278" s="53">
        <v>0</v>
      </c>
      <c r="G4278" s="53">
        <f t="shared" si="406"/>
        <v>0</v>
      </c>
      <c r="H4278" s="72"/>
      <c r="I4278" s="73"/>
      <c r="J4278" s="152">
        <v>0</v>
      </c>
      <c r="L4278" s="215">
        <v>1.34E-2</v>
      </c>
      <c r="M4278" s="53">
        <v>0</v>
      </c>
      <c r="N4278" s="53">
        <f t="shared" si="407"/>
        <v>0</v>
      </c>
      <c r="O4278" s="72"/>
      <c r="P4278" s="36" t="str">
        <f t="shared" si="408"/>
        <v/>
      </c>
      <c r="Q4278" s="216" t="e">
        <f t="shared" si="409"/>
        <v>#DIV/0!</v>
      </c>
      <c r="R4278" s="216" t="e">
        <f t="shared" si="410"/>
        <v>#DIV/0!</v>
      </c>
      <c r="S4278" s="217" t="str">
        <f t="shared" si="411"/>
        <v/>
      </c>
    </row>
    <row r="4279" spans="1:19" ht="15.75" hidden="1" thickBot="1" x14ac:dyDescent="0.3">
      <c r="A4279" s="257"/>
      <c r="B4279" s="260"/>
      <c r="C4279" s="35" t="s">
        <v>1118</v>
      </c>
      <c r="D4279" s="35" t="s">
        <v>69</v>
      </c>
      <c r="E4279" s="36">
        <v>1</v>
      </c>
      <c r="F4279" s="53">
        <v>0</v>
      </c>
      <c r="G4279" s="53">
        <f t="shared" si="406"/>
        <v>0</v>
      </c>
      <c r="H4279" s="72"/>
      <c r="I4279" s="73"/>
      <c r="J4279" s="152">
        <v>0</v>
      </c>
      <c r="L4279" s="215">
        <v>1</v>
      </c>
      <c r="M4279" s="53">
        <v>0</v>
      </c>
      <c r="N4279" s="53">
        <f t="shared" si="407"/>
        <v>0</v>
      </c>
      <c r="O4279" s="72"/>
      <c r="P4279" s="36" t="str">
        <f t="shared" si="408"/>
        <v/>
      </c>
      <c r="Q4279" s="216" t="e">
        <f t="shared" si="409"/>
        <v>#DIV/0!</v>
      </c>
      <c r="R4279" s="216" t="e">
        <f t="shared" si="410"/>
        <v>#DIV/0!</v>
      </c>
      <c r="S4279" s="217" t="str">
        <f t="shared" si="411"/>
        <v/>
      </c>
    </row>
    <row r="4280" spans="1:19" ht="15.75" hidden="1" thickBot="1" x14ac:dyDescent="0.3">
      <c r="A4280" s="257"/>
      <c r="B4280" s="260"/>
      <c r="C4280" s="35" t="s">
        <v>1119</v>
      </c>
      <c r="D4280" s="35" t="s">
        <v>213</v>
      </c>
      <c r="E4280" s="36">
        <v>3.3E-3</v>
      </c>
      <c r="F4280" s="53">
        <v>0</v>
      </c>
      <c r="G4280" s="53">
        <f t="shared" si="406"/>
        <v>0</v>
      </c>
      <c r="H4280" s="72"/>
      <c r="I4280" s="73"/>
      <c r="J4280" s="152">
        <v>0</v>
      </c>
      <c r="L4280" s="215">
        <v>3.3E-3</v>
      </c>
      <c r="M4280" s="53">
        <v>0</v>
      </c>
      <c r="N4280" s="53">
        <f t="shared" si="407"/>
        <v>0</v>
      </c>
      <c r="O4280" s="72"/>
      <c r="P4280" s="36" t="str">
        <f t="shared" si="408"/>
        <v/>
      </c>
      <c r="Q4280" s="216" t="e">
        <f t="shared" si="409"/>
        <v>#DIV/0!</v>
      </c>
      <c r="R4280" s="216" t="e">
        <f t="shared" si="410"/>
        <v>#DIV/0!</v>
      </c>
      <c r="S4280" s="217" t="str">
        <f t="shared" si="411"/>
        <v/>
      </c>
    </row>
    <row r="4281" spans="1:19" ht="26.25" hidden="1" thickBot="1" x14ac:dyDescent="0.3">
      <c r="A4281" s="257"/>
      <c r="B4281" s="260"/>
      <c r="C4281" s="35" t="s">
        <v>1120</v>
      </c>
      <c r="D4281" s="35" t="s">
        <v>773</v>
      </c>
      <c r="E4281" s="36">
        <v>0.1181</v>
      </c>
      <c r="F4281" s="53">
        <v>83.808999999999997</v>
      </c>
      <c r="G4281" s="53">
        <f t="shared" si="406"/>
        <v>9.8978428999999988</v>
      </c>
      <c r="H4281" s="72"/>
      <c r="I4281" s="73"/>
      <c r="J4281" s="152">
        <v>0</v>
      </c>
      <c r="L4281" s="215">
        <v>0.1181</v>
      </c>
      <c r="M4281" s="53">
        <v>71.740504000000001</v>
      </c>
      <c r="N4281" s="53">
        <f t="shared" si="407"/>
        <v>8.4725535224000001</v>
      </c>
      <c r="O4281" s="72"/>
      <c r="P4281" s="36" t="str">
        <f t="shared" si="408"/>
        <v/>
      </c>
      <c r="Q4281" s="216">
        <f t="shared" si="409"/>
        <v>0.14399999999999991</v>
      </c>
      <c r="R4281" s="216">
        <f t="shared" si="410"/>
        <v>0.14399999999999991</v>
      </c>
      <c r="S4281" s="217" t="str">
        <f t="shared" si="411"/>
        <v/>
      </c>
    </row>
    <row r="4282" spans="1:19" ht="15.75" hidden="1" thickBot="1" x14ac:dyDescent="0.3">
      <c r="A4282" s="258"/>
      <c r="B4282" s="261"/>
      <c r="C4282" s="54"/>
      <c r="D4282" s="54"/>
      <c r="E4282" s="65"/>
      <c r="F4282" s="75" t="s">
        <v>416</v>
      </c>
      <c r="G4282" s="75" t="str">
        <f t="shared" si="406"/>
        <v/>
      </c>
      <c r="H4282" s="76"/>
      <c r="I4282" s="73"/>
      <c r="J4282" s="152">
        <v>0</v>
      </c>
      <c r="L4282" s="222"/>
      <c r="M4282" s="75"/>
      <c r="N4282" s="75" t="str">
        <f t="shared" si="407"/>
        <v/>
      </c>
      <c r="O4282" s="76"/>
      <c r="P4282" s="36" t="str">
        <f t="shared" si="408"/>
        <v/>
      </c>
      <c r="Q4282" s="216" t="str">
        <f t="shared" si="409"/>
        <v/>
      </c>
      <c r="R4282" s="216" t="str">
        <f t="shared" si="410"/>
        <v/>
      </c>
      <c r="S4282" s="217" t="str">
        <f t="shared" si="411"/>
        <v/>
      </c>
    </row>
    <row r="4283" spans="1:19" ht="15.75" hidden="1" thickBot="1" x14ac:dyDescent="0.3">
      <c r="A4283" s="256" t="s">
        <v>1121</v>
      </c>
      <c r="B4283" s="259" t="str">
        <f>INDEX(Orçamentária!A:B,MATCH(Composições!A4283,Orçamentária!A:A,0),2)</f>
        <v>Pavimentação em elementos intertravados de concreto</v>
      </c>
      <c r="C4283" s="40"/>
      <c r="D4283" s="25" t="s">
        <v>70</v>
      </c>
      <c r="E4283" s="26"/>
      <c r="F4283" s="48" t="s">
        <v>416</v>
      </c>
      <c r="G4283" s="27" t="str">
        <f t="shared" si="406"/>
        <v/>
      </c>
      <c r="H4283" s="28"/>
      <c r="I4283" s="29"/>
      <c r="J4283" s="152">
        <v>0</v>
      </c>
      <c r="L4283" s="218"/>
      <c r="M4283" s="48"/>
      <c r="N4283" s="27" t="str">
        <f t="shared" si="407"/>
        <v/>
      </c>
      <c r="O4283" s="28"/>
      <c r="P4283" s="36" t="str">
        <f t="shared" si="408"/>
        <v/>
      </c>
      <c r="Q4283" s="216" t="str">
        <f t="shared" si="409"/>
        <v/>
      </c>
      <c r="R4283" s="216" t="str">
        <f t="shared" si="410"/>
        <v/>
      </c>
      <c r="S4283" s="217" t="str">
        <f t="shared" si="411"/>
        <v/>
      </c>
    </row>
    <row r="4284" spans="1:19" ht="15.75" hidden="1" thickBot="1" x14ac:dyDescent="0.3">
      <c r="A4284" s="257"/>
      <c r="B4284" s="260"/>
      <c r="C4284" s="31"/>
      <c r="D4284" s="31"/>
      <c r="E4284" s="32"/>
      <c r="F4284" s="53" t="s">
        <v>416</v>
      </c>
      <c r="G4284" s="53" t="str">
        <f t="shared" si="406"/>
        <v/>
      </c>
      <c r="H4284" s="72"/>
      <c r="I4284" s="73"/>
      <c r="J4284" s="152">
        <v>0</v>
      </c>
      <c r="L4284" s="219"/>
      <c r="M4284" s="53"/>
      <c r="N4284" s="53" t="str">
        <f t="shared" si="407"/>
        <v/>
      </c>
      <c r="O4284" s="72"/>
      <c r="P4284" s="36" t="str">
        <f t="shared" si="408"/>
        <v/>
      </c>
      <c r="Q4284" s="216" t="str">
        <f t="shared" si="409"/>
        <v/>
      </c>
      <c r="R4284" s="216" t="str">
        <f t="shared" si="410"/>
        <v/>
      </c>
      <c r="S4284" s="217" t="str">
        <f t="shared" si="411"/>
        <v/>
      </c>
    </row>
    <row r="4285" spans="1:19" ht="26.25" hidden="1" thickBot="1" x14ac:dyDescent="0.3">
      <c r="A4285" s="257"/>
      <c r="B4285" s="260"/>
      <c r="C4285" s="35" t="s">
        <v>7985</v>
      </c>
      <c r="D4285" s="35" t="s">
        <v>87</v>
      </c>
      <c r="E4285" s="36">
        <v>5.6800000000000003E-2</v>
      </c>
      <c r="F4285" s="53">
        <v>202.33099999999999</v>
      </c>
      <c r="G4285" s="53">
        <f t="shared" si="406"/>
        <v>11.4924008</v>
      </c>
      <c r="H4285" s="38">
        <f>SUM(G4285:G4295)</f>
        <v>77.667134831120009</v>
      </c>
      <c r="I4285" s="39"/>
      <c r="J4285" s="152">
        <v>0</v>
      </c>
      <c r="L4285" s="215">
        <v>5.6800000000000003E-2</v>
      </c>
      <c r="M4285" s="53">
        <v>173.195336</v>
      </c>
      <c r="N4285" s="53">
        <f t="shared" si="407"/>
        <v>9.8374950848000005</v>
      </c>
      <c r="O4285" s="38">
        <f>SUM(N4285:N4295)</f>
        <v>66.483067415438725</v>
      </c>
      <c r="P4285" s="36" t="str">
        <f t="shared" si="408"/>
        <v/>
      </c>
      <c r="Q4285" s="216">
        <f t="shared" si="409"/>
        <v>0.14400000000000002</v>
      </c>
      <c r="R4285" s="216">
        <f t="shared" si="410"/>
        <v>0.14400000000000002</v>
      </c>
      <c r="S4285" s="217">
        <f t="shared" si="411"/>
        <v>0.14400000000000002</v>
      </c>
    </row>
    <row r="4286" spans="1:19" ht="15.75" hidden="1" thickBot="1" x14ac:dyDescent="0.3">
      <c r="A4286" s="257"/>
      <c r="B4286" s="260"/>
      <c r="C4286" s="35" t="s">
        <v>1122</v>
      </c>
      <c r="D4286" s="35" t="s">
        <v>87</v>
      </c>
      <c r="E4286" s="36">
        <v>3.5999999999999999E-3</v>
      </c>
      <c r="F4286" s="53">
        <v>166.67749999999998</v>
      </c>
      <c r="G4286" s="53">
        <f t="shared" si="406"/>
        <v>0.60003899999999988</v>
      </c>
      <c r="H4286" s="72"/>
      <c r="I4286" s="73"/>
      <c r="J4286" s="152">
        <v>0</v>
      </c>
      <c r="L4286" s="215">
        <v>3.5999999999999999E-3</v>
      </c>
      <c r="M4286" s="53">
        <v>142.67594</v>
      </c>
      <c r="N4286" s="53">
        <f t="shared" si="407"/>
        <v>0.51363338400000003</v>
      </c>
      <c r="O4286" s="72"/>
      <c r="P4286" s="36" t="str">
        <f t="shared" si="408"/>
        <v/>
      </c>
      <c r="Q4286" s="216">
        <f t="shared" si="409"/>
        <v>0.14399999999999991</v>
      </c>
      <c r="R4286" s="216">
        <f t="shared" si="410"/>
        <v>0.14399999999999979</v>
      </c>
      <c r="S4286" s="217" t="str">
        <f t="shared" si="411"/>
        <v/>
      </c>
    </row>
    <row r="4287" spans="1:19" ht="39" hidden="1" thickBot="1" x14ac:dyDescent="0.3">
      <c r="A4287" s="257"/>
      <c r="B4287" s="260"/>
      <c r="C4287" s="35" t="s">
        <v>1123</v>
      </c>
      <c r="D4287" s="35" t="s">
        <v>861</v>
      </c>
      <c r="E4287" s="36">
        <v>1.0042</v>
      </c>
      <c r="F4287" s="53">
        <v>57.1235</v>
      </c>
      <c r="G4287" s="53">
        <f t="shared" si="406"/>
        <v>57.363418699999997</v>
      </c>
      <c r="H4287" s="72"/>
      <c r="I4287" s="73"/>
      <c r="J4287" s="152">
        <v>0</v>
      </c>
      <c r="L4287" s="215">
        <v>1.0042</v>
      </c>
      <c r="M4287" s="53">
        <v>48.897716000000003</v>
      </c>
      <c r="N4287" s="53">
        <f t="shared" si="407"/>
        <v>49.103086407200003</v>
      </c>
      <c r="O4287" s="72"/>
      <c r="P4287" s="36" t="str">
        <f t="shared" si="408"/>
        <v/>
      </c>
      <c r="Q4287" s="216">
        <f t="shared" si="409"/>
        <v>0.14399999999999991</v>
      </c>
      <c r="R4287" s="216">
        <f t="shared" si="410"/>
        <v>0.14399999999999991</v>
      </c>
      <c r="S4287" s="217" t="str">
        <f t="shared" si="411"/>
        <v/>
      </c>
    </row>
    <row r="4288" spans="1:19" ht="15.75" hidden="1" thickBot="1" x14ac:dyDescent="0.3">
      <c r="A4288" s="257"/>
      <c r="B4288" s="260"/>
      <c r="C4288" s="35" t="s">
        <v>1124</v>
      </c>
      <c r="D4288" s="35" t="s">
        <v>583</v>
      </c>
      <c r="E4288" s="36">
        <v>9.7000000000000003E-2</v>
      </c>
      <c r="F4288" s="53">
        <v>25.127499999999998</v>
      </c>
      <c r="G4288" s="53">
        <f t="shared" si="406"/>
        <v>2.4373674999999997</v>
      </c>
      <c r="H4288" s="72"/>
      <c r="I4288" s="73"/>
      <c r="J4288" s="152">
        <v>0</v>
      </c>
      <c r="L4288" s="215">
        <v>9.7000000000000003E-2</v>
      </c>
      <c r="M4288" s="53">
        <v>21.509139999999999</v>
      </c>
      <c r="N4288" s="53">
        <f t="shared" si="407"/>
        <v>2.0863865800000001</v>
      </c>
      <c r="O4288" s="72"/>
      <c r="P4288" s="36" t="str">
        <f t="shared" si="408"/>
        <v/>
      </c>
      <c r="Q4288" s="216">
        <f t="shared" si="409"/>
        <v>0.14400000000000002</v>
      </c>
      <c r="R4288" s="216">
        <f t="shared" si="410"/>
        <v>0.14399999999999979</v>
      </c>
      <c r="S4288" s="217" t="str">
        <f t="shared" si="411"/>
        <v/>
      </c>
    </row>
    <row r="4289" spans="1:19" ht="15.75" hidden="1" thickBot="1" x14ac:dyDescent="0.3">
      <c r="A4289" s="257"/>
      <c r="B4289" s="260"/>
      <c r="C4289" s="35" t="s">
        <v>584</v>
      </c>
      <c r="D4289" s="35" t="s">
        <v>583</v>
      </c>
      <c r="E4289" s="36">
        <v>9.7000000000000003E-2</v>
      </c>
      <c r="F4289" s="53">
        <v>20.225499999999997</v>
      </c>
      <c r="G4289" s="53">
        <f t="shared" si="406"/>
        <v>1.9618734999999998</v>
      </c>
      <c r="H4289" s="72"/>
      <c r="I4289" s="73"/>
      <c r="J4289" s="152">
        <v>0</v>
      </c>
      <c r="L4289" s="215">
        <v>9.7000000000000003E-2</v>
      </c>
      <c r="M4289" s="53">
        <v>17.313027999999996</v>
      </c>
      <c r="N4289" s="53">
        <f t="shared" si="407"/>
        <v>1.6793637159999997</v>
      </c>
      <c r="O4289" s="72"/>
      <c r="P4289" s="36" t="str">
        <f t="shared" si="408"/>
        <v/>
      </c>
      <c r="Q4289" s="216">
        <f t="shared" si="409"/>
        <v>0.14400000000000013</v>
      </c>
      <c r="R4289" s="216">
        <f t="shared" si="410"/>
        <v>0.14400000000000013</v>
      </c>
      <c r="S4289" s="217" t="str">
        <f t="shared" si="411"/>
        <v/>
      </c>
    </row>
    <row r="4290" spans="1:19" ht="39" hidden="1" thickBot="1" x14ac:dyDescent="0.3">
      <c r="A4290" s="257"/>
      <c r="B4290" s="260"/>
      <c r="C4290" s="35" t="s">
        <v>963</v>
      </c>
      <c r="D4290" s="35" t="s">
        <v>813</v>
      </c>
      <c r="E4290" s="36">
        <v>4.1000000000000003E-3</v>
      </c>
      <c r="F4290" s="53">
        <v>7.6094999999999997</v>
      </c>
      <c r="G4290" s="53">
        <f t="shared" si="406"/>
        <v>3.1198950000000003E-2</v>
      </c>
      <c r="H4290" s="72"/>
      <c r="I4290" s="73"/>
      <c r="J4290" s="152">
        <v>0</v>
      </c>
      <c r="L4290" s="215">
        <v>4.1000000000000003E-3</v>
      </c>
      <c r="M4290" s="53">
        <v>6.5137320000000001</v>
      </c>
      <c r="N4290" s="53">
        <f t="shared" si="407"/>
        <v>2.6706301200000001E-2</v>
      </c>
      <c r="O4290" s="72"/>
      <c r="P4290" s="36" t="str">
        <f t="shared" si="408"/>
        <v/>
      </c>
      <c r="Q4290" s="216">
        <f t="shared" si="409"/>
        <v>0.14399999999999991</v>
      </c>
      <c r="R4290" s="216">
        <f t="shared" si="410"/>
        <v>0.14400000000000002</v>
      </c>
      <c r="S4290" s="217" t="str">
        <f t="shared" si="411"/>
        <v/>
      </c>
    </row>
    <row r="4291" spans="1:19" ht="39" hidden="1" thickBot="1" x14ac:dyDescent="0.3">
      <c r="A4291" s="257"/>
      <c r="B4291" s="260"/>
      <c r="C4291" s="35" t="s">
        <v>1125</v>
      </c>
      <c r="D4291" s="35" t="s">
        <v>815</v>
      </c>
      <c r="E4291" s="36">
        <v>4.4400000000000002E-2</v>
      </c>
      <c r="F4291" s="53">
        <v>0.54149999999999998</v>
      </c>
      <c r="G4291" s="53">
        <f t="shared" si="406"/>
        <v>2.4042600000000001E-2</v>
      </c>
      <c r="H4291" s="72"/>
      <c r="I4291" s="73"/>
      <c r="J4291" s="152">
        <v>0</v>
      </c>
      <c r="L4291" s="215">
        <v>4.4400000000000002E-2</v>
      </c>
      <c r="M4291" s="53">
        <v>0.46352399999999999</v>
      </c>
      <c r="N4291" s="53">
        <f t="shared" si="407"/>
        <v>2.05804656E-2</v>
      </c>
      <c r="O4291" s="72"/>
      <c r="P4291" s="36" t="str">
        <f t="shared" si="408"/>
        <v/>
      </c>
      <c r="Q4291" s="216">
        <f t="shared" si="409"/>
        <v>0.14400000000000002</v>
      </c>
      <c r="R4291" s="216">
        <f t="shared" si="410"/>
        <v>0.14400000000000002</v>
      </c>
      <c r="S4291" s="217" t="str">
        <f t="shared" si="411"/>
        <v/>
      </c>
    </row>
    <row r="4292" spans="1:19" ht="51.75" hidden="1" thickBot="1" x14ac:dyDescent="0.3">
      <c r="A4292" s="257"/>
      <c r="B4292" s="260"/>
      <c r="C4292" s="35" t="s">
        <v>1126</v>
      </c>
      <c r="D4292" s="35" t="s">
        <v>813</v>
      </c>
      <c r="E4292" s="36">
        <v>3.7000000000000002E-3</v>
      </c>
      <c r="F4292" s="53">
        <v>8.2744999999999997</v>
      </c>
      <c r="G4292" s="53">
        <f t="shared" si="406"/>
        <v>3.0615650000000001E-2</v>
      </c>
      <c r="H4292" s="72"/>
      <c r="I4292" s="73"/>
      <c r="J4292" s="152">
        <v>0</v>
      </c>
      <c r="L4292" s="215">
        <v>3.7000000000000002E-3</v>
      </c>
      <c r="M4292" s="53">
        <v>7.0829719999999998</v>
      </c>
      <c r="N4292" s="53">
        <f t="shared" si="407"/>
        <v>2.6206996400000002E-2</v>
      </c>
      <c r="O4292" s="72"/>
      <c r="P4292" s="36" t="str">
        <f t="shared" si="408"/>
        <v/>
      </c>
      <c r="Q4292" s="216">
        <f t="shared" si="409"/>
        <v>0.14400000000000002</v>
      </c>
      <c r="R4292" s="216">
        <f t="shared" si="410"/>
        <v>0.14400000000000002</v>
      </c>
      <c r="S4292" s="217" t="str">
        <f t="shared" si="411"/>
        <v/>
      </c>
    </row>
    <row r="4293" spans="1:19" ht="51.75" hidden="1" thickBot="1" x14ac:dyDescent="0.3">
      <c r="A4293" s="257"/>
      <c r="B4293" s="260"/>
      <c r="C4293" s="35" t="s">
        <v>1127</v>
      </c>
      <c r="D4293" s="35" t="s">
        <v>815</v>
      </c>
      <c r="E4293" s="36">
        <v>4.48E-2</v>
      </c>
      <c r="F4293" s="53">
        <v>0.82650000000000001</v>
      </c>
      <c r="G4293" s="53">
        <f t="shared" ref="G4293:G4356" si="412">IF(ISNUMBER(F4293),E4293*F4293,"")</f>
        <v>3.7027200000000003E-2</v>
      </c>
      <c r="H4293" s="72"/>
      <c r="I4293" s="73"/>
      <c r="J4293" s="152">
        <v>0</v>
      </c>
      <c r="L4293" s="215">
        <v>4.48E-2</v>
      </c>
      <c r="M4293" s="53">
        <v>0.707484</v>
      </c>
      <c r="N4293" s="53">
        <f t="shared" ref="N4293:N4356" si="413">IF(ISNUMBER(M4293),L4293*M4293,"")</f>
        <v>3.16952832E-2</v>
      </c>
      <c r="O4293" s="72"/>
      <c r="P4293" s="36" t="str">
        <f t="shared" si="408"/>
        <v/>
      </c>
      <c r="Q4293" s="216">
        <f t="shared" si="409"/>
        <v>0.14400000000000002</v>
      </c>
      <c r="R4293" s="216">
        <f t="shared" si="410"/>
        <v>0.14400000000000002</v>
      </c>
      <c r="S4293" s="217" t="str">
        <f t="shared" si="411"/>
        <v/>
      </c>
    </row>
    <row r="4294" spans="1:19" ht="51.75" hidden="1" thickBot="1" x14ac:dyDescent="0.3">
      <c r="A4294" s="257"/>
      <c r="B4294" s="260"/>
      <c r="C4294" s="35" t="s">
        <v>3071</v>
      </c>
      <c r="D4294" s="35" t="s">
        <v>80</v>
      </c>
      <c r="E4294" s="36">
        <f>1*(E4285+E4286)</f>
        <v>6.0400000000000002E-2</v>
      </c>
      <c r="F4294" s="33">
        <v>7.9257587999999988</v>
      </c>
      <c r="G4294" s="33">
        <f t="shared" si="412"/>
        <v>0.47871583151999997</v>
      </c>
      <c r="H4294" s="34"/>
      <c r="I4294" s="30"/>
      <c r="J4294" s="152">
        <v>0</v>
      </c>
      <c r="L4294" s="215">
        <v>6.0400000000000002E-2</v>
      </c>
      <c r="M4294" s="33">
        <v>6.7844495327999992</v>
      </c>
      <c r="N4294" s="33">
        <f t="shared" si="413"/>
        <v>0.40978075178111995</v>
      </c>
      <c r="O4294" s="34"/>
      <c r="P4294" s="36" t="str">
        <f t="shared" si="408"/>
        <v/>
      </c>
      <c r="Q4294" s="216">
        <f t="shared" si="409"/>
        <v>0.14400000000000002</v>
      </c>
      <c r="R4294" s="216">
        <f t="shared" si="410"/>
        <v>0.14400000000000002</v>
      </c>
      <c r="S4294" s="217" t="str">
        <f t="shared" si="411"/>
        <v/>
      </c>
    </row>
    <row r="4295" spans="1:19" ht="39" hidden="1" thickBot="1" x14ac:dyDescent="0.3">
      <c r="A4295" s="257"/>
      <c r="B4295" s="260"/>
      <c r="C4295" s="35" t="s">
        <v>88</v>
      </c>
      <c r="D4295" s="35" t="s">
        <v>89</v>
      </c>
      <c r="E4295" s="36">
        <f>20*(E4285+E4286)</f>
        <v>1.208</v>
      </c>
      <c r="F4295" s="53">
        <v>2.6576449499999995</v>
      </c>
      <c r="G4295" s="53">
        <f t="shared" si="412"/>
        <v>3.2104350995999993</v>
      </c>
      <c r="H4295" s="72"/>
      <c r="I4295" s="73"/>
      <c r="J4295" s="152">
        <v>0</v>
      </c>
      <c r="L4295" s="215">
        <v>1.208</v>
      </c>
      <c r="M4295" s="53">
        <v>2.2749440771999998</v>
      </c>
      <c r="N4295" s="53">
        <f t="shared" si="413"/>
        <v>2.7481324452575997</v>
      </c>
      <c r="O4295" s="72"/>
      <c r="P4295" s="36" t="str">
        <f t="shared" si="408"/>
        <v/>
      </c>
      <c r="Q4295" s="216">
        <f t="shared" si="409"/>
        <v>0.14399999999999991</v>
      </c>
      <c r="R4295" s="216">
        <f t="shared" si="410"/>
        <v>0.14399999999999991</v>
      </c>
      <c r="S4295" s="217" t="str">
        <f t="shared" si="411"/>
        <v/>
      </c>
    </row>
    <row r="4296" spans="1:19" ht="15.75" hidden="1" thickBot="1" x14ac:dyDescent="0.3">
      <c r="A4296" s="257"/>
      <c r="B4296" s="260"/>
      <c r="C4296" s="35"/>
      <c r="D4296" s="35"/>
      <c r="E4296" s="36"/>
      <c r="F4296" s="53" t="s">
        <v>416</v>
      </c>
      <c r="G4296" s="53" t="str">
        <f t="shared" si="412"/>
        <v/>
      </c>
      <c r="H4296" s="72"/>
      <c r="I4296" s="73"/>
      <c r="J4296" s="152">
        <v>0</v>
      </c>
      <c r="L4296" s="215"/>
      <c r="M4296" s="53"/>
      <c r="N4296" s="53" t="str">
        <f t="shared" si="413"/>
        <v/>
      </c>
      <c r="O4296" s="72"/>
      <c r="P4296" s="36" t="str">
        <f t="shared" ref="P4296:P4359" si="414">IF(ISBLANK(L4296),"",IF($E4296&lt;&gt;L4296,"SIM",""))</f>
        <v/>
      </c>
      <c r="Q4296" s="216" t="str">
        <f t="shared" ref="Q4296:Q4359" si="415">IF(M4296="","",1-M4296/$F4296)</f>
        <v/>
      </c>
      <c r="R4296" s="216" t="str">
        <f t="shared" ref="R4296:R4359" si="416">IF(N4296="","",1-N4296/$G4296)</f>
        <v/>
      </c>
      <c r="S4296" s="217" t="str">
        <f t="shared" ref="S4296:S4359" si="417">IF(O4296="","",1-O4296/$H4296)</f>
        <v/>
      </c>
    </row>
    <row r="4297" spans="1:19" ht="26.25" hidden="1" thickBot="1" x14ac:dyDescent="0.3">
      <c r="A4297" s="257"/>
      <c r="B4297" s="260"/>
      <c r="C4297" s="47" t="s">
        <v>1128</v>
      </c>
      <c r="D4297" s="35"/>
      <c r="E4297" s="36"/>
      <c r="F4297" s="53" t="s">
        <v>416</v>
      </c>
      <c r="G4297" s="53" t="str">
        <f t="shared" si="412"/>
        <v/>
      </c>
      <c r="H4297" s="72"/>
      <c r="I4297" s="73"/>
      <c r="J4297" s="152">
        <v>0</v>
      </c>
      <c r="L4297" s="215"/>
      <c r="M4297" s="53"/>
      <c r="N4297" s="53" t="str">
        <f t="shared" si="413"/>
        <v/>
      </c>
      <c r="O4297" s="72"/>
      <c r="P4297" s="36" t="str">
        <f t="shared" si="414"/>
        <v/>
      </c>
      <c r="Q4297" s="216" t="str">
        <f t="shared" si="415"/>
        <v/>
      </c>
      <c r="R4297" s="216" t="str">
        <f t="shared" si="416"/>
        <v/>
      </c>
      <c r="S4297" s="217" t="str">
        <f t="shared" si="417"/>
        <v/>
      </c>
    </row>
    <row r="4298" spans="1:19" ht="15.75" hidden="1" thickBot="1" x14ac:dyDescent="0.3">
      <c r="A4298" s="258"/>
      <c r="B4298" s="261"/>
      <c r="C4298" s="54"/>
      <c r="D4298" s="54"/>
      <c r="E4298" s="65"/>
      <c r="F4298" s="75" t="s">
        <v>416</v>
      </c>
      <c r="G4298" s="75" t="str">
        <f t="shared" si="412"/>
        <v/>
      </c>
      <c r="H4298" s="76"/>
      <c r="I4298" s="73"/>
      <c r="J4298" s="152">
        <v>0</v>
      </c>
      <c r="L4298" s="222"/>
      <c r="M4298" s="75"/>
      <c r="N4298" s="75" t="str">
        <f t="shared" si="413"/>
        <v/>
      </c>
      <c r="O4298" s="76"/>
      <c r="P4298" s="36" t="str">
        <f t="shared" si="414"/>
        <v/>
      </c>
      <c r="Q4298" s="216" t="str">
        <f t="shared" si="415"/>
        <v/>
      </c>
      <c r="R4298" s="216" t="str">
        <f t="shared" si="416"/>
        <v/>
      </c>
      <c r="S4298" s="217" t="str">
        <f t="shared" si="417"/>
        <v/>
      </c>
    </row>
    <row r="4299" spans="1:19" ht="15.75" hidden="1" thickBot="1" x14ac:dyDescent="0.3">
      <c r="A4299" s="256" t="s">
        <v>1129</v>
      </c>
      <c r="B4299" s="259" t="str">
        <f>INDEX(Orçamentária!A:B,MATCH(Composições!A4299,Orçamentária!A:A,0),2)</f>
        <v>Pavimentação com Asfalto Pré-Misturado a Frio (PMF)</v>
      </c>
      <c r="C4299" s="40"/>
      <c r="D4299" s="25" t="s">
        <v>80</v>
      </c>
      <c r="E4299" s="26"/>
      <c r="F4299" s="48" t="s">
        <v>416</v>
      </c>
      <c r="G4299" s="27" t="str">
        <f t="shared" si="412"/>
        <v/>
      </c>
      <c r="H4299" s="28"/>
      <c r="I4299" s="29"/>
      <c r="J4299" s="152">
        <v>0</v>
      </c>
      <c r="L4299" s="218"/>
      <c r="M4299" s="48"/>
      <c r="N4299" s="27" t="str">
        <f t="shared" si="413"/>
        <v/>
      </c>
      <c r="O4299" s="28"/>
      <c r="P4299" s="36" t="str">
        <f t="shared" si="414"/>
        <v/>
      </c>
      <c r="Q4299" s="216" t="str">
        <f t="shared" si="415"/>
        <v/>
      </c>
      <c r="R4299" s="216" t="str">
        <f t="shared" si="416"/>
        <v/>
      </c>
      <c r="S4299" s="217" t="str">
        <f t="shared" si="417"/>
        <v/>
      </c>
    </row>
    <row r="4300" spans="1:19" ht="15.75" hidden="1" thickBot="1" x14ac:dyDescent="0.3">
      <c r="A4300" s="257"/>
      <c r="B4300" s="260"/>
      <c r="C4300" s="31"/>
      <c r="D4300" s="31"/>
      <c r="E4300" s="32"/>
      <c r="F4300" s="53" t="s">
        <v>416</v>
      </c>
      <c r="G4300" s="53" t="str">
        <f t="shared" si="412"/>
        <v/>
      </c>
      <c r="H4300" s="72"/>
      <c r="I4300" s="73"/>
      <c r="J4300" s="152">
        <v>0</v>
      </c>
      <c r="L4300" s="219"/>
      <c r="M4300" s="53"/>
      <c r="N4300" s="53" t="str">
        <f t="shared" si="413"/>
        <v/>
      </c>
      <c r="O4300" s="72"/>
      <c r="P4300" s="36" t="str">
        <f t="shared" si="414"/>
        <v/>
      </c>
      <c r="Q4300" s="216" t="str">
        <f t="shared" si="415"/>
        <v/>
      </c>
      <c r="R4300" s="216" t="str">
        <f t="shared" si="416"/>
        <v/>
      </c>
      <c r="S4300" s="217" t="str">
        <f t="shared" si="417"/>
        <v/>
      </c>
    </row>
    <row r="4301" spans="1:19" ht="15.75" hidden="1" thickBot="1" x14ac:dyDescent="0.3">
      <c r="A4301" s="257"/>
      <c r="B4301" s="260"/>
      <c r="C4301" s="35" t="s">
        <v>584</v>
      </c>
      <c r="D4301" s="35" t="s">
        <v>583</v>
      </c>
      <c r="E4301" s="36">
        <v>0.4</v>
      </c>
      <c r="F4301" s="53">
        <v>20.225499999999997</v>
      </c>
      <c r="G4301" s="53">
        <f t="shared" si="412"/>
        <v>8.0901999999999994</v>
      </c>
      <c r="H4301" s="38">
        <f>SUM(G4301:G4322)</f>
        <v>466.60016038200001</v>
      </c>
      <c r="I4301" s="39"/>
      <c r="J4301" s="152">
        <v>0</v>
      </c>
      <c r="L4301" s="215">
        <v>0.4</v>
      </c>
      <c r="M4301" s="53">
        <v>17.313027999999996</v>
      </c>
      <c r="N4301" s="53">
        <f t="shared" si="413"/>
        <v>6.9252111999999988</v>
      </c>
      <c r="O4301" s="38">
        <f>SUM(N4301:N4322)</f>
        <v>399.40973728699203</v>
      </c>
      <c r="P4301" s="36" t="str">
        <f t="shared" si="414"/>
        <v/>
      </c>
      <c r="Q4301" s="216">
        <f t="shared" si="415"/>
        <v>0.14400000000000013</v>
      </c>
      <c r="R4301" s="216">
        <f t="shared" si="416"/>
        <v>0.14400000000000013</v>
      </c>
      <c r="S4301" s="217">
        <f t="shared" si="417"/>
        <v>0.14400000000000002</v>
      </c>
    </row>
    <row r="4302" spans="1:19" ht="39" hidden="1" thickBot="1" x14ac:dyDescent="0.3">
      <c r="A4302" s="257"/>
      <c r="B4302" s="260"/>
      <c r="C4302" s="35" t="s">
        <v>1130</v>
      </c>
      <c r="D4302" s="35" t="s">
        <v>815</v>
      </c>
      <c r="E4302" s="36">
        <v>6.0000000000000001E-3</v>
      </c>
      <c r="F4302" s="53">
        <v>79.382000000000005</v>
      </c>
      <c r="G4302" s="53">
        <f t="shared" si="412"/>
        <v>0.47629200000000005</v>
      </c>
      <c r="H4302" s="72"/>
      <c r="I4302" s="73"/>
      <c r="J4302" s="152">
        <v>0</v>
      </c>
      <c r="L4302" s="215">
        <v>6.0000000000000001E-3</v>
      </c>
      <c r="M4302" s="53">
        <v>67.950991999999999</v>
      </c>
      <c r="N4302" s="53">
        <f t="shared" si="413"/>
        <v>0.40770595199999998</v>
      </c>
      <c r="O4302" s="72"/>
      <c r="P4302" s="36" t="str">
        <f t="shared" si="414"/>
        <v/>
      </c>
      <c r="Q4302" s="216">
        <f t="shared" si="415"/>
        <v>0.14400000000000002</v>
      </c>
      <c r="R4302" s="216">
        <f t="shared" si="416"/>
        <v>0.14400000000000013</v>
      </c>
      <c r="S4302" s="217" t="str">
        <f t="shared" si="417"/>
        <v/>
      </c>
    </row>
    <row r="4303" spans="1:19" ht="39" hidden="1" thickBot="1" x14ac:dyDescent="0.3">
      <c r="A4303" s="257"/>
      <c r="B4303" s="260"/>
      <c r="C4303" s="35" t="s">
        <v>1131</v>
      </c>
      <c r="D4303" s="35" t="s">
        <v>813</v>
      </c>
      <c r="E4303" s="36">
        <v>1.0699999999999999E-2</v>
      </c>
      <c r="F4303" s="53">
        <v>204.40199999999999</v>
      </c>
      <c r="G4303" s="53">
        <f t="shared" si="412"/>
        <v>2.1871013999999995</v>
      </c>
      <c r="H4303" s="72"/>
      <c r="I4303" s="73"/>
      <c r="J4303" s="152">
        <v>0</v>
      </c>
      <c r="L4303" s="215">
        <v>1.0699999999999999E-2</v>
      </c>
      <c r="M4303" s="53">
        <v>174.96811199999999</v>
      </c>
      <c r="N4303" s="53">
        <f t="shared" si="413"/>
        <v>1.8721587983999999</v>
      </c>
      <c r="O4303" s="72"/>
      <c r="P4303" s="36" t="str">
        <f t="shared" si="414"/>
        <v/>
      </c>
      <c r="Q4303" s="216">
        <f t="shared" si="415"/>
        <v>0.14400000000000002</v>
      </c>
      <c r="R4303" s="216">
        <f t="shared" si="416"/>
        <v>0.14399999999999991</v>
      </c>
      <c r="S4303" s="217" t="str">
        <f t="shared" si="417"/>
        <v/>
      </c>
    </row>
    <row r="4304" spans="1:19" ht="39" hidden="1" thickBot="1" x14ac:dyDescent="0.3">
      <c r="A4304" s="257"/>
      <c r="B4304" s="260"/>
      <c r="C4304" s="35" t="s">
        <v>1132</v>
      </c>
      <c r="D4304" s="35" t="s">
        <v>813</v>
      </c>
      <c r="E4304" s="36">
        <v>6.1999999999999998E-3</v>
      </c>
      <c r="F4304" s="53">
        <v>216.73299999999998</v>
      </c>
      <c r="G4304" s="53">
        <f t="shared" si="412"/>
        <v>1.3437445999999997</v>
      </c>
      <c r="H4304" s="72"/>
      <c r="I4304" s="73"/>
      <c r="J4304" s="152">
        <v>0</v>
      </c>
      <c r="L4304" s="215">
        <v>6.1999999999999998E-3</v>
      </c>
      <c r="M4304" s="53">
        <v>185.52344799999997</v>
      </c>
      <c r="N4304" s="53">
        <f t="shared" si="413"/>
        <v>1.1502453775999999</v>
      </c>
      <c r="O4304" s="72"/>
      <c r="P4304" s="36" t="str">
        <f t="shared" si="414"/>
        <v/>
      </c>
      <c r="Q4304" s="216">
        <f t="shared" si="415"/>
        <v>0.14400000000000002</v>
      </c>
      <c r="R4304" s="216">
        <f t="shared" si="416"/>
        <v>0.14399999999999991</v>
      </c>
      <c r="S4304" s="217" t="str">
        <f t="shared" si="417"/>
        <v/>
      </c>
    </row>
    <row r="4305" spans="1:19" ht="39" hidden="1" thickBot="1" x14ac:dyDescent="0.3">
      <c r="A4305" s="257"/>
      <c r="B4305" s="260"/>
      <c r="C4305" s="35" t="s">
        <v>1133</v>
      </c>
      <c r="D4305" s="35" t="s">
        <v>815</v>
      </c>
      <c r="E4305" s="36">
        <v>1.0500000000000001E-2</v>
      </c>
      <c r="F4305" s="53">
        <v>73.662999999999997</v>
      </c>
      <c r="G4305" s="53">
        <f t="shared" si="412"/>
        <v>0.77346150000000002</v>
      </c>
      <c r="H4305" s="72"/>
      <c r="I4305" s="73"/>
      <c r="J4305" s="152">
        <v>0</v>
      </c>
      <c r="L4305" s="215">
        <v>1.0500000000000001E-2</v>
      </c>
      <c r="M4305" s="53">
        <v>63.055527999999995</v>
      </c>
      <c r="N4305" s="53">
        <f t="shared" si="413"/>
        <v>0.66208304399999995</v>
      </c>
      <c r="O4305" s="72"/>
      <c r="P4305" s="36" t="str">
        <f t="shared" si="414"/>
        <v/>
      </c>
      <c r="Q4305" s="216">
        <f t="shared" si="415"/>
        <v>0.14400000000000002</v>
      </c>
      <c r="R4305" s="216">
        <f t="shared" si="416"/>
        <v>0.14400000000000013</v>
      </c>
      <c r="S4305" s="217" t="str">
        <f t="shared" si="417"/>
        <v/>
      </c>
    </row>
    <row r="4306" spans="1:19" ht="26.25" hidden="1" thickBot="1" x14ac:dyDescent="0.3">
      <c r="A4306" s="257"/>
      <c r="B4306" s="260"/>
      <c r="C4306" s="35" t="s">
        <v>1134</v>
      </c>
      <c r="D4306" s="35" t="s">
        <v>815</v>
      </c>
      <c r="E4306" s="36">
        <v>1.2200000000000001E-2</v>
      </c>
      <c r="F4306" s="53">
        <v>36.841000000000001</v>
      </c>
      <c r="G4306" s="53">
        <f t="shared" si="412"/>
        <v>0.44946020000000003</v>
      </c>
      <c r="H4306" s="72"/>
      <c r="I4306" s="73"/>
      <c r="J4306" s="152">
        <v>0</v>
      </c>
      <c r="L4306" s="215">
        <v>1.2200000000000001E-2</v>
      </c>
      <c r="M4306" s="53">
        <v>31.535896000000001</v>
      </c>
      <c r="N4306" s="53">
        <f t="shared" si="413"/>
        <v>0.38473793120000005</v>
      </c>
      <c r="O4306" s="72"/>
      <c r="P4306" s="36" t="str">
        <f t="shared" si="414"/>
        <v/>
      </c>
      <c r="Q4306" s="216">
        <f t="shared" si="415"/>
        <v>0.14400000000000002</v>
      </c>
      <c r="R4306" s="216">
        <f t="shared" si="416"/>
        <v>0.14399999999999991</v>
      </c>
      <c r="S4306" s="217" t="str">
        <f t="shared" si="417"/>
        <v/>
      </c>
    </row>
    <row r="4307" spans="1:19" ht="26.25" hidden="1" thickBot="1" x14ac:dyDescent="0.3">
      <c r="A4307" s="257"/>
      <c r="B4307" s="260"/>
      <c r="C4307" s="35" t="s">
        <v>1135</v>
      </c>
      <c r="D4307" s="35" t="s">
        <v>813</v>
      </c>
      <c r="E4307" s="36">
        <v>4.4999999999999997E-3</v>
      </c>
      <c r="F4307" s="53">
        <v>116.39399999999999</v>
      </c>
      <c r="G4307" s="53">
        <f t="shared" si="412"/>
        <v>0.52377299999999993</v>
      </c>
      <c r="H4307" s="72"/>
      <c r="I4307" s="73"/>
      <c r="J4307" s="152">
        <v>0</v>
      </c>
      <c r="L4307" s="215">
        <v>4.4999999999999997E-3</v>
      </c>
      <c r="M4307" s="53">
        <v>99.633263999999997</v>
      </c>
      <c r="N4307" s="53">
        <f t="shared" si="413"/>
        <v>0.44834968799999997</v>
      </c>
      <c r="O4307" s="72"/>
      <c r="P4307" s="36" t="str">
        <f t="shared" si="414"/>
        <v/>
      </c>
      <c r="Q4307" s="216">
        <f t="shared" si="415"/>
        <v>0.14400000000000002</v>
      </c>
      <c r="R4307" s="216">
        <f t="shared" si="416"/>
        <v>0.14399999999999991</v>
      </c>
      <c r="S4307" s="217" t="str">
        <f t="shared" si="417"/>
        <v/>
      </c>
    </row>
    <row r="4308" spans="1:19" ht="26.25" hidden="1" thickBot="1" x14ac:dyDescent="0.3">
      <c r="A4308" s="257"/>
      <c r="B4308" s="260"/>
      <c r="C4308" s="35" t="s">
        <v>1136</v>
      </c>
      <c r="D4308" s="35" t="s">
        <v>815</v>
      </c>
      <c r="E4308" s="36">
        <v>1.2200000000000001E-2</v>
      </c>
      <c r="F4308" s="53">
        <v>4.8734999999999999</v>
      </c>
      <c r="G4308" s="53">
        <f t="shared" si="412"/>
        <v>5.9456700000000001E-2</v>
      </c>
      <c r="H4308" s="72"/>
      <c r="I4308" s="73"/>
      <c r="J4308" s="152">
        <v>0</v>
      </c>
      <c r="L4308" s="215">
        <v>1.2200000000000001E-2</v>
      </c>
      <c r="M4308" s="53">
        <v>4.171716</v>
      </c>
      <c r="N4308" s="53">
        <f t="shared" si="413"/>
        <v>5.0894935200000005E-2</v>
      </c>
      <c r="O4308" s="72"/>
      <c r="P4308" s="36" t="str">
        <f t="shared" si="414"/>
        <v/>
      </c>
      <c r="Q4308" s="216">
        <f t="shared" si="415"/>
        <v>0.14400000000000002</v>
      </c>
      <c r="R4308" s="216">
        <f t="shared" si="416"/>
        <v>0.14399999999999991</v>
      </c>
      <c r="S4308" s="217" t="str">
        <f t="shared" si="417"/>
        <v/>
      </c>
    </row>
    <row r="4309" spans="1:19" ht="39" hidden="1" thickBot="1" x14ac:dyDescent="0.3">
      <c r="A4309" s="257"/>
      <c r="B4309" s="260"/>
      <c r="C4309" s="35" t="s">
        <v>1137</v>
      </c>
      <c r="D4309" s="35" t="s">
        <v>813</v>
      </c>
      <c r="E4309" s="36">
        <v>4.4999999999999997E-3</v>
      </c>
      <c r="F4309" s="53">
        <v>10.241</v>
      </c>
      <c r="G4309" s="53">
        <f t="shared" si="412"/>
        <v>4.6084499999999994E-2</v>
      </c>
      <c r="H4309" s="72"/>
      <c r="I4309" s="73"/>
      <c r="J4309" s="152">
        <v>0</v>
      </c>
      <c r="L4309" s="215">
        <v>4.4999999999999997E-3</v>
      </c>
      <c r="M4309" s="53">
        <v>8.7662960000000005</v>
      </c>
      <c r="N4309" s="53">
        <f t="shared" si="413"/>
        <v>3.9448332000000003E-2</v>
      </c>
      <c r="O4309" s="72"/>
      <c r="P4309" s="36" t="str">
        <f t="shared" si="414"/>
        <v/>
      </c>
      <c r="Q4309" s="216">
        <f t="shared" si="415"/>
        <v>0.14399999999999991</v>
      </c>
      <c r="R4309" s="216">
        <f t="shared" si="416"/>
        <v>0.14399999999999979</v>
      </c>
      <c r="S4309" s="217" t="str">
        <f t="shared" si="417"/>
        <v/>
      </c>
    </row>
    <row r="4310" spans="1:19" ht="39" hidden="1" thickBot="1" x14ac:dyDescent="0.3">
      <c r="A4310" s="257"/>
      <c r="B4310" s="260"/>
      <c r="C4310" s="35" t="s">
        <v>1138</v>
      </c>
      <c r="D4310" s="35" t="s">
        <v>813</v>
      </c>
      <c r="E4310" s="36">
        <v>1.67E-2</v>
      </c>
      <c r="F4310" s="53">
        <v>377.55849999999998</v>
      </c>
      <c r="G4310" s="53">
        <f t="shared" si="412"/>
        <v>6.3052269499999998</v>
      </c>
      <c r="H4310" s="72"/>
      <c r="I4310" s="73"/>
      <c r="J4310" s="152">
        <v>0</v>
      </c>
      <c r="L4310" s="215">
        <v>1.67E-2</v>
      </c>
      <c r="M4310" s="53">
        <v>323.19007599999998</v>
      </c>
      <c r="N4310" s="53">
        <f t="shared" si="413"/>
        <v>5.3972742691999995</v>
      </c>
      <c r="O4310" s="72"/>
      <c r="P4310" s="36" t="str">
        <f t="shared" si="414"/>
        <v/>
      </c>
      <c r="Q4310" s="216">
        <f t="shared" si="415"/>
        <v>0.14400000000000002</v>
      </c>
      <c r="R4310" s="216">
        <f t="shared" si="416"/>
        <v>0.14400000000000002</v>
      </c>
      <c r="S4310" s="217" t="str">
        <f t="shared" si="417"/>
        <v/>
      </c>
    </row>
    <row r="4311" spans="1:19" ht="39" hidden="1" thickBot="1" x14ac:dyDescent="0.3">
      <c r="A4311" s="257"/>
      <c r="B4311" s="260"/>
      <c r="C4311" s="35" t="s">
        <v>1139</v>
      </c>
      <c r="D4311" s="35" t="s">
        <v>813</v>
      </c>
      <c r="E4311" s="36">
        <v>2.7199999999999998E-2</v>
      </c>
      <c r="F4311" s="53">
        <v>254.09650000000002</v>
      </c>
      <c r="G4311" s="53">
        <f t="shared" si="412"/>
        <v>6.9114247999999998</v>
      </c>
      <c r="H4311" s="72"/>
      <c r="I4311" s="73"/>
      <c r="J4311" s="152">
        <v>0</v>
      </c>
      <c r="L4311" s="215">
        <v>2.7199999999999998E-2</v>
      </c>
      <c r="M4311" s="53">
        <v>217.50660400000001</v>
      </c>
      <c r="N4311" s="53">
        <f t="shared" si="413"/>
        <v>5.9161796288000001</v>
      </c>
      <c r="O4311" s="72"/>
      <c r="P4311" s="36" t="str">
        <f t="shared" si="414"/>
        <v/>
      </c>
      <c r="Q4311" s="216">
        <f t="shared" si="415"/>
        <v>0.14400000000000002</v>
      </c>
      <c r="R4311" s="216">
        <f t="shared" si="416"/>
        <v>0.14399999999999991</v>
      </c>
      <c r="S4311" s="217" t="str">
        <f t="shared" si="417"/>
        <v/>
      </c>
    </row>
    <row r="4312" spans="1:19" ht="15.75" hidden="1" thickBot="1" x14ac:dyDescent="0.3">
      <c r="A4312" s="257"/>
      <c r="B4312" s="260"/>
      <c r="C4312" s="35" t="s">
        <v>584</v>
      </c>
      <c r="D4312" s="35" t="s">
        <v>583</v>
      </c>
      <c r="E4312" s="36">
        <v>0.3</v>
      </c>
      <c r="F4312" s="53">
        <v>20.225499999999997</v>
      </c>
      <c r="G4312" s="53">
        <f t="shared" si="412"/>
        <v>6.0676499999999987</v>
      </c>
      <c r="H4312" s="72"/>
      <c r="I4312" s="73"/>
      <c r="J4312" s="152">
        <v>0</v>
      </c>
      <c r="L4312" s="215">
        <v>0.3</v>
      </c>
      <c r="M4312" s="53">
        <v>17.313027999999996</v>
      </c>
      <c r="N4312" s="53">
        <f t="shared" si="413"/>
        <v>5.1939083999999989</v>
      </c>
      <c r="O4312" s="72"/>
      <c r="P4312" s="36" t="str">
        <f t="shared" si="414"/>
        <v/>
      </c>
      <c r="Q4312" s="216">
        <f t="shared" si="415"/>
        <v>0.14400000000000013</v>
      </c>
      <c r="R4312" s="216">
        <f t="shared" si="416"/>
        <v>0.14400000000000002</v>
      </c>
      <c r="S4312" s="217" t="str">
        <f t="shared" si="417"/>
        <v/>
      </c>
    </row>
    <row r="4313" spans="1:19" ht="26.25" hidden="1" thickBot="1" x14ac:dyDescent="0.3">
      <c r="A4313" s="257"/>
      <c r="B4313" s="260"/>
      <c r="C4313" s="35" t="s">
        <v>1140</v>
      </c>
      <c r="D4313" s="35" t="s">
        <v>87</v>
      </c>
      <c r="E4313" s="36">
        <v>0.18</v>
      </c>
      <c r="F4313" s="53">
        <v>204.97199999999998</v>
      </c>
      <c r="G4313" s="53">
        <f t="shared" si="412"/>
        <v>36.894959999999998</v>
      </c>
      <c r="H4313" s="72"/>
      <c r="I4313" s="73"/>
      <c r="J4313" s="152">
        <v>0</v>
      </c>
      <c r="L4313" s="215">
        <v>0.18</v>
      </c>
      <c r="M4313" s="53">
        <v>175.45603199999999</v>
      </c>
      <c r="N4313" s="53">
        <f t="shared" si="413"/>
        <v>31.582085759999998</v>
      </c>
      <c r="O4313" s="72"/>
      <c r="P4313" s="36" t="str">
        <f t="shared" si="414"/>
        <v/>
      </c>
      <c r="Q4313" s="216">
        <f t="shared" si="415"/>
        <v>0.14399999999999991</v>
      </c>
      <c r="R4313" s="216">
        <f t="shared" si="416"/>
        <v>0.14400000000000002</v>
      </c>
      <c r="S4313" s="217" t="str">
        <f t="shared" si="417"/>
        <v/>
      </c>
    </row>
    <row r="4314" spans="1:19" ht="26.25" hidden="1" thickBot="1" x14ac:dyDescent="0.3">
      <c r="A4314" s="257"/>
      <c r="B4314" s="260"/>
      <c r="C4314" s="35" t="s">
        <v>633</v>
      </c>
      <c r="D4314" s="35" t="s">
        <v>87</v>
      </c>
      <c r="E4314" s="36">
        <v>1.26</v>
      </c>
      <c r="F4314" s="53">
        <v>203.71799999999999</v>
      </c>
      <c r="G4314" s="53">
        <f t="shared" si="412"/>
        <v>256.68468000000001</v>
      </c>
      <c r="H4314" s="72"/>
      <c r="I4314" s="73"/>
      <c r="J4314" s="152">
        <v>0</v>
      </c>
      <c r="L4314" s="215">
        <v>1.26</v>
      </c>
      <c r="M4314" s="53">
        <v>174.382608</v>
      </c>
      <c r="N4314" s="53">
        <f t="shared" si="413"/>
        <v>219.72208608</v>
      </c>
      <c r="O4314" s="72"/>
      <c r="P4314" s="36" t="str">
        <f t="shared" si="414"/>
        <v/>
      </c>
      <c r="Q4314" s="216">
        <f t="shared" si="415"/>
        <v>0.14399999999999991</v>
      </c>
      <c r="R4314" s="216">
        <f t="shared" si="416"/>
        <v>0.14400000000000002</v>
      </c>
      <c r="S4314" s="217" t="str">
        <f t="shared" si="417"/>
        <v/>
      </c>
    </row>
    <row r="4315" spans="1:19" ht="15.75" hidden="1" thickBot="1" x14ac:dyDescent="0.3">
      <c r="A4315" s="257"/>
      <c r="B4315" s="260"/>
      <c r="C4315" s="35" t="s">
        <v>7082</v>
      </c>
      <c r="D4315" s="35" t="s">
        <v>1141</v>
      </c>
      <c r="E4315" s="36">
        <v>0.14000000000000001</v>
      </c>
      <c r="F4315" s="53">
        <v>0</v>
      </c>
      <c r="G4315" s="53">
        <f t="shared" si="412"/>
        <v>0</v>
      </c>
      <c r="H4315" s="72"/>
      <c r="I4315" s="73"/>
      <c r="J4315" s="152">
        <v>0</v>
      </c>
      <c r="L4315" s="215">
        <v>0.14000000000000001</v>
      </c>
      <c r="M4315" s="53">
        <v>0</v>
      </c>
      <c r="N4315" s="53">
        <f t="shared" si="413"/>
        <v>0</v>
      </c>
      <c r="O4315" s="72"/>
      <c r="P4315" s="36" t="str">
        <f t="shared" si="414"/>
        <v/>
      </c>
      <c r="Q4315" s="216" t="e">
        <f t="shared" si="415"/>
        <v>#DIV/0!</v>
      </c>
      <c r="R4315" s="216" t="e">
        <f t="shared" si="416"/>
        <v>#DIV/0!</v>
      </c>
      <c r="S4315" s="217" t="str">
        <f t="shared" si="417"/>
        <v/>
      </c>
    </row>
    <row r="4316" spans="1:19" ht="26.25" hidden="1" thickBot="1" x14ac:dyDescent="0.3">
      <c r="A4316" s="257"/>
      <c r="B4316" s="260"/>
      <c r="C4316" s="35" t="s">
        <v>1142</v>
      </c>
      <c r="D4316" s="35" t="s">
        <v>813</v>
      </c>
      <c r="E4316" s="36">
        <v>0.05</v>
      </c>
      <c r="F4316" s="53">
        <v>165.8415</v>
      </c>
      <c r="G4316" s="53">
        <f t="shared" si="412"/>
        <v>8.2920750000000005</v>
      </c>
      <c r="H4316" s="72"/>
      <c r="I4316" s="73"/>
      <c r="J4316" s="152">
        <v>0</v>
      </c>
      <c r="L4316" s="215">
        <v>0.05</v>
      </c>
      <c r="M4316" s="53">
        <v>141.96032400000001</v>
      </c>
      <c r="N4316" s="53">
        <f t="shared" si="413"/>
        <v>7.0980162000000009</v>
      </c>
      <c r="O4316" s="72"/>
      <c r="P4316" s="36" t="str">
        <f t="shared" si="414"/>
        <v/>
      </c>
      <c r="Q4316" s="216">
        <f t="shared" si="415"/>
        <v>0.14399999999999991</v>
      </c>
      <c r="R4316" s="216">
        <f t="shared" si="416"/>
        <v>0.14399999999999991</v>
      </c>
      <c r="S4316" s="217" t="str">
        <f t="shared" si="417"/>
        <v/>
      </c>
    </row>
    <row r="4317" spans="1:19" ht="39" hidden="1" thickBot="1" x14ac:dyDescent="0.3">
      <c r="A4317" s="257"/>
      <c r="B4317" s="260"/>
      <c r="C4317" s="35" t="s">
        <v>1143</v>
      </c>
      <c r="D4317" s="35" t="s">
        <v>813</v>
      </c>
      <c r="E4317" s="36">
        <v>2.1000000000000001E-2</v>
      </c>
      <c r="F4317" s="53">
        <v>207.61299999999997</v>
      </c>
      <c r="G4317" s="53">
        <f t="shared" si="412"/>
        <v>4.3598729999999994</v>
      </c>
      <c r="H4317" s="72"/>
      <c r="I4317" s="73"/>
      <c r="J4317" s="152">
        <v>0</v>
      </c>
      <c r="L4317" s="215">
        <v>2.1000000000000001E-2</v>
      </c>
      <c r="M4317" s="53">
        <v>177.71672799999999</v>
      </c>
      <c r="N4317" s="53">
        <f t="shared" si="413"/>
        <v>3.7320512880000001</v>
      </c>
      <c r="O4317" s="72"/>
      <c r="P4317" s="36" t="str">
        <f t="shared" si="414"/>
        <v/>
      </c>
      <c r="Q4317" s="216">
        <f t="shared" si="415"/>
        <v>0.14399999999999991</v>
      </c>
      <c r="R4317" s="216">
        <f t="shared" si="416"/>
        <v>0.14399999999999991</v>
      </c>
      <c r="S4317" s="217" t="str">
        <f t="shared" si="417"/>
        <v/>
      </c>
    </row>
    <row r="4318" spans="1:19" ht="39" hidden="1" thickBot="1" x14ac:dyDescent="0.3">
      <c r="A4318" s="257"/>
      <c r="B4318" s="260"/>
      <c r="C4318" s="35" t="s">
        <v>1144</v>
      </c>
      <c r="D4318" s="35" t="s">
        <v>815</v>
      </c>
      <c r="E4318" s="36">
        <v>2.9000000000000001E-2</v>
      </c>
      <c r="F4318" s="53">
        <v>78.935500000000005</v>
      </c>
      <c r="G4318" s="53">
        <f t="shared" si="412"/>
        <v>2.2891295</v>
      </c>
      <c r="H4318" s="72"/>
      <c r="I4318" s="73"/>
      <c r="J4318" s="152">
        <v>0</v>
      </c>
      <c r="L4318" s="215">
        <v>2.9000000000000001E-2</v>
      </c>
      <c r="M4318" s="53">
        <v>67.568788000000012</v>
      </c>
      <c r="N4318" s="53">
        <f t="shared" si="413"/>
        <v>1.9594948520000004</v>
      </c>
      <c r="O4318" s="72"/>
      <c r="P4318" s="36" t="str">
        <f t="shared" si="414"/>
        <v/>
      </c>
      <c r="Q4318" s="216">
        <f t="shared" si="415"/>
        <v>0.14399999999999991</v>
      </c>
      <c r="R4318" s="216">
        <f t="shared" si="416"/>
        <v>0.14399999999999979</v>
      </c>
      <c r="S4318" s="217" t="str">
        <f t="shared" si="417"/>
        <v/>
      </c>
    </row>
    <row r="4319" spans="1:19" ht="26.25" hidden="1" thickBot="1" x14ac:dyDescent="0.3">
      <c r="A4319" s="257"/>
      <c r="B4319" s="260"/>
      <c r="C4319" s="35" t="s">
        <v>1145</v>
      </c>
      <c r="D4319" s="35" t="s">
        <v>813</v>
      </c>
      <c r="E4319" s="36">
        <v>0.05</v>
      </c>
      <c r="F4319" s="53">
        <v>225.89099999999999</v>
      </c>
      <c r="G4319" s="53">
        <f t="shared" si="412"/>
        <v>11.294550000000001</v>
      </c>
      <c r="H4319" s="72"/>
      <c r="I4319" s="73"/>
      <c r="J4319" s="152">
        <v>0</v>
      </c>
      <c r="L4319" s="215">
        <v>0.05</v>
      </c>
      <c r="M4319" s="53">
        <v>193.362696</v>
      </c>
      <c r="N4319" s="53">
        <f t="shared" si="413"/>
        <v>9.6681348000000007</v>
      </c>
      <c r="O4319" s="72"/>
      <c r="P4319" s="36" t="str">
        <f t="shared" si="414"/>
        <v/>
      </c>
      <c r="Q4319" s="216">
        <f t="shared" si="415"/>
        <v>0.14400000000000002</v>
      </c>
      <c r="R4319" s="216">
        <f t="shared" si="416"/>
        <v>0.14400000000000002</v>
      </c>
      <c r="S4319" s="217" t="str">
        <f t="shared" si="417"/>
        <v/>
      </c>
    </row>
    <row r="4320" spans="1:19" ht="26.25" hidden="1" thickBot="1" x14ac:dyDescent="0.3">
      <c r="A4320" s="257"/>
      <c r="B4320" s="260"/>
      <c r="C4320" s="35" t="s">
        <v>1146</v>
      </c>
      <c r="D4320" s="35" t="s">
        <v>813</v>
      </c>
      <c r="E4320" s="36">
        <v>0.1</v>
      </c>
      <c r="F4320" s="53">
        <v>255.97749999999996</v>
      </c>
      <c r="G4320" s="53">
        <f t="shared" si="412"/>
        <v>25.597749999999998</v>
      </c>
      <c r="H4320" s="72"/>
      <c r="I4320" s="73"/>
      <c r="J4320" s="152">
        <v>0</v>
      </c>
      <c r="L4320" s="215">
        <v>0.1</v>
      </c>
      <c r="M4320" s="53">
        <v>219.11673999999996</v>
      </c>
      <c r="N4320" s="53">
        <f t="shared" si="413"/>
        <v>21.911673999999998</v>
      </c>
      <c r="O4320" s="72"/>
      <c r="P4320" s="36" t="str">
        <f t="shared" si="414"/>
        <v/>
      </c>
      <c r="Q4320" s="216">
        <f t="shared" si="415"/>
        <v>0.14400000000000002</v>
      </c>
      <c r="R4320" s="216">
        <f t="shared" si="416"/>
        <v>0.14400000000000002</v>
      </c>
      <c r="S4320" s="217" t="str">
        <f t="shared" si="417"/>
        <v/>
      </c>
    </row>
    <row r="4321" spans="1:19" ht="51.75" hidden="1" thickBot="1" x14ac:dyDescent="0.3">
      <c r="A4321" s="257"/>
      <c r="B4321" s="260"/>
      <c r="C4321" s="35" t="s">
        <v>3071</v>
      </c>
      <c r="D4321" s="35" t="s">
        <v>80</v>
      </c>
      <c r="E4321" s="36">
        <f>1*(E4313+E4314)</f>
        <v>1.44</v>
      </c>
      <c r="F4321" s="33">
        <v>7.9257587999999988</v>
      </c>
      <c r="G4321" s="33">
        <f t="shared" si="412"/>
        <v>11.413092671999998</v>
      </c>
      <c r="H4321" s="34"/>
      <c r="I4321" s="30"/>
      <c r="J4321" s="152">
        <v>0</v>
      </c>
      <c r="L4321" s="215">
        <v>1.44</v>
      </c>
      <c r="M4321" s="33">
        <v>6.7844495327999992</v>
      </c>
      <c r="N4321" s="33">
        <f t="shared" si="413"/>
        <v>9.7696073272319985</v>
      </c>
      <c r="O4321" s="34"/>
      <c r="P4321" s="36" t="str">
        <f t="shared" si="414"/>
        <v/>
      </c>
      <c r="Q4321" s="216">
        <f t="shared" si="415"/>
        <v>0.14400000000000002</v>
      </c>
      <c r="R4321" s="216">
        <f t="shared" si="416"/>
        <v>0.14399999999999991</v>
      </c>
      <c r="S4321" s="217" t="str">
        <f t="shared" si="417"/>
        <v/>
      </c>
    </row>
    <row r="4322" spans="1:19" ht="39" hidden="1" thickBot="1" x14ac:dyDescent="0.3">
      <c r="A4322" s="257"/>
      <c r="B4322" s="260"/>
      <c r="C4322" s="35" t="s">
        <v>88</v>
      </c>
      <c r="D4322" s="35" t="s">
        <v>89</v>
      </c>
      <c r="E4322" s="36">
        <f>20*(E4314+E4313)</f>
        <v>28.799999999999997</v>
      </c>
      <c r="F4322" s="53">
        <v>2.6576449499999995</v>
      </c>
      <c r="G4322" s="53">
        <f t="shared" si="412"/>
        <v>76.540174559999983</v>
      </c>
      <c r="H4322" s="72"/>
      <c r="I4322" s="73"/>
      <c r="J4322" s="152">
        <v>0</v>
      </c>
      <c r="L4322" s="215">
        <v>28.799999999999997</v>
      </c>
      <c r="M4322" s="53">
        <v>2.2749440771999998</v>
      </c>
      <c r="N4322" s="53">
        <f t="shared" si="413"/>
        <v>65.518389423359991</v>
      </c>
      <c r="O4322" s="72"/>
      <c r="P4322" s="36" t="str">
        <f t="shared" si="414"/>
        <v/>
      </c>
      <c r="Q4322" s="216">
        <f t="shared" si="415"/>
        <v>0.14399999999999991</v>
      </c>
      <c r="R4322" s="216">
        <f t="shared" si="416"/>
        <v>0.14399999999999991</v>
      </c>
      <c r="S4322" s="217" t="str">
        <f t="shared" si="417"/>
        <v/>
      </c>
    </row>
    <row r="4323" spans="1:19" ht="15.75" hidden="1" thickBot="1" x14ac:dyDescent="0.3">
      <c r="A4323" s="257"/>
      <c r="B4323" s="260"/>
      <c r="C4323" s="35"/>
      <c r="D4323" s="35"/>
      <c r="E4323" s="36"/>
      <c r="F4323" s="53" t="s">
        <v>416</v>
      </c>
      <c r="G4323" s="53" t="str">
        <f t="shared" si="412"/>
        <v/>
      </c>
      <c r="H4323" s="72"/>
      <c r="I4323" s="73"/>
      <c r="J4323" s="152">
        <v>0</v>
      </c>
      <c r="L4323" s="215"/>
      <c r="M4323" s="53"/>
      <c r="N4323" s="53" t="str">
        <f t="shared" si="413"/>
        <v/>
      </c>
      <c r="O4323" s="72"/>
      <c r="P4323" s="36" t="str">
        <f t="shared" si="414"/>
        <v/>
      </c>
      <c r="Q4323" s="216" t="str">
        <f t="shared" si="415"/>
        <v/>
      </c>
      <c r="R4323" s="216" t="str">
        <f t="shared" si="416"/>
        <v/>
      </c>
      <c r="S4323" s="217" t="str">
        <f t="shared" si="417"/>
        <v/>
      </c>
    </row>
    <row r="4324" spans="1:19" ht="26.25" hidden="1" thickBot="1" x14ac:dyDescent="0.3">
      <c r="A4324" s="257"/>
      <c r="B4324" s="260"/>
      <c r="C4324" s="47" t="s">
        <v>1128</v>
      </c>
      <c r="D4324" s="35"/>
      <c r="E4324" s="36"/>
      <c r="F4324" s="53" t="s">
        <v>416</v>
      </c>
      <c r="G4324" s="53" t="str">
        <f t="shared" si="412"/>
        <v/>
      </c>
      <c r="H4324" s="72"/>
      <c r="I4324" s="73"/>
      <c r="J4324" s="152">
        <v>0</v>
      </c>
      <c r="L4324" s="215"/>
      <c r="M4324" s="53"/>
      <c r="N4324" s="53" t="str">
        <f t="shared" si="413"/>
        <v/>
      </c>
      <c r="O4324" s="72"/>
      <c r="P4324" s="36" t="str">
        <f t="shared" si="414"/>
        <v/>
      </c>
      <c r="Q4324" s="216" t="str">
        <f t="shared" si="415"/>
        <v/>
      </c>
      <c r="R4324" s="216" t="str">
        <f t="shared" si="416"/>
        <v/>
      </c>
      <c r="S4324" s="217" t="str">
        <f t="shared" si="417"/>
        <v/>
      </c>
    </row>
    <row r="4325" spans="1:19" ht="15.75" hidden="1" thickBot="1" x14ac:dyDescent="0.3">
      <c r="A4325" s="258"/>
      <c r="B4325" s="261"/>
      <c r="C4325" s="54"/>
      <c r="D4325" s="54"/>
      <c r="E4325" s="65"/>
      <c r="F4325" s="75" t="s">
        <v>416</v>
      </c>
      <c r="G4325" s="75" t="str">
        <f t="shared" si="412"/>
        <v/>
      </c>
      <c r="H4325" s="76"/>
      <c r="I4325" s="73"/>
      <c r="J4325" s="152">
        <v>0</v>
      </c>
      <c r="L4325" s="222"/>
      <c r="M4325" s="75"/>
      <c r="N4325" s="75" t="str">
        <f t="shared" si="413"/>
        <v/>
      </c>
      <c r="O4325" s="76"/>
      <c r="P4325" s="36" t="str">
        <f t="shared" si="414"/>
        <v/>
      </c>
      <c r="Q4325" s="216" t="str">
        <f t="shared" si="415"/>
        <v/>
      </c>
      <c r="R4325" s="216" t="str">
        <f t="shared" si="416"/>
        <v/>
      </c>
      <c r="S4325" s="217" t="str">
        <f t="shared" si="417"/>
        <v/>
      </c>
    </row>
    <row r="4326" spans="1:19" ht="15.75" hidden="1" thickBot="1" x14ac:dyDescent="0.3">
      <c r="A4326" s="256" t="s">
        <v>1147</v>
      </c>
      <c r="B4326" s="259" t="str">
        <f>INDEX(Orçamentária!A:B,MATCH(Composições!A4326,Orçamentária!A:A,0),2)</f>
        <v>Pavimentação asfáltica com CBUQ para aplicação a frio (remendo)</v>
      </c>
      <c r="C4326" s="40"/>
      <c r="D4326" s="25" t="s">
        <v>80</v>
      </c>
      <c r="E4326" s="26"/>
      <c r="F4326" s="48" t="s">
        <v>416</v>
      </c>
      <c r="G4326" s="27" t="str">
        <f t="shared" si="412"/>
        <v/>
      </c>
      <c r="H4326" s="28"/>
      <c r="I4326" s="29"/>
      <c r="J4326" s="152">
        <v>0</v>
      </c>
      <c r="L4326" s="218"/>
      <c r="M4326" s="48"/>
      <c r="N4326" s="27" t="str">
        <f t="shared" si="413"/>
        <v/>
      </c>
      <c r="O4326" s="28"/>
      <c r="P4326" s="36" t="str">
        <f t="shared" si="414"/>
        <v/>
      </c>
      <c r="Q4326" s="216" t="str">
        <f t="shared" si="415"/>
        <v/>
      </c>
      <c r="R4326" s="216" t="str">
        <f t="shared" si="416"/>
        <v/>
      </c>
      <c r="S4326" s="217" t="str">
        <f t="shared" si="417"/>
        <v/>
      </c>
    </row>
    <row r="4327" spans="1:19" ht="15.75" hidden="1" thickBot="1" x14ac:dyDescent="0.3">
      <c r="A4327" s="257"/>
      <c r="B4327" s="260"/>
      <c r="C4327" s="31"/>
      <c r="D4327" s="31"/>
      <c r="E4327" s="32"/>
      <c r="F4327" s="53" t="s">
        <v>416</v>
      </c>
      <c r="G4327" s="53" t="str">
        <f t="shared" si="412"/>
        <v/>
      </c>
      <c r="H4327" s="72"/>
      <c r="I4327" s="73"/>
      <c r="J4327" s="152">
        <v>0</v>
      </c>
      <c r="L4327" s="219"/>
      <c r="M4327" s="53"/>
      <c r="N4327" s="53" t="str">
        <f t="shared" si="413"/>
        <v/>
      </c>
      <c r="O4327" s="72"/>
      <c r="P4327" s="36" t="str">
        <f t="shared" si="414"/>
        <v/>
      </c>
      <c r="Q4327" s="216" t="str">
        <f t="shared" si="415"/>
        <v/>
      </c>
      <c r="R4327" s="216" t="str">
        <f t="shared" si="416"/>
        <v/>
      </c>
      <c r="S4327" s="217" t="str">
        <f t="shared" si="417"/>
        <v/>
      </c>
    </row>
    <row r="4328" spans="1:19" ht="15.75" hidden="1" thickBot="1" x14ac:dyDescent="0.3">
      <c r="A4328" s="257"/>
      <c r="B4328" s="260"/>
      <c r="C4328" s="35" t="s">
        <v>584</v>
      </c>
      <c r="D4328" s="35" t="s">
        <v>583</v>
      </c>
      <c r="E4328" s="36">
        <f>6/0.5</f>
        <v>12</v>
      </c>
      <c r="F4328" s="53">
        <v>20.225499999999997</v>
      </c>
      <c r="G4328" s="53">
        <f t="shared" si="412"/>
        <v>242.70599999999996</v>
      </c>
      <c r="H4328" s="38">
        <f>SUM(G4328:G4331)</f>
        <v>242.70599999999996</v>
      </c>
      <c r="I4328" s="39"/>
      <c r="J4328" s="152">
        <v>0</v>
      </c>
      <c r="L4328" s="215">
        <v>12</v>
      </c>
      <c r="M4328" s="53">
        <v>17.313027999999996</v>
      </c>
      <c r="N4328" s="53">
        <f t="shared" si="413"/>
        <v>207.75633599999995</v>
      </c>
      <c r="O4328" s="38">
        <f>SUM(N4328:N4331)</f>
        <v>207.75633599999995</v>
      </c>
      <c r="P4328" s="36" t="str">
        <f t="shared" si="414"/>
        <v/>
      </c>
      <c r="Q4328" s="216">
        <f t="shared" si="415"/>
        <v>0.14400000000000013</v>
      </c>
      <c r="R4328" s="216">
        <f t="shared" si="416"/>
        <v>0.14400000000000013</v>
      </c>
      <c r="S4328" s="217">
        <f t="shared" si="417"/>
        <v>0.14400000000000013</v>
      </c>
    </row>
    <row r="4329" spans="1:19" ht="15.75" hidden="1" thickBot="1" x14ac:dyDescent="0.3">
      <c r="A4329" s="257"/>
      <c r="B4329" s="260"/>
      <c r="C4329" s="35" t="s">
        <v>1148</v>
      </c>
      <c r="D4329" s="35" t="s">
        <v>813</v>
      </c>
      <c r="E4329" s="36">
        <f>0.2/0.5</f>
        <v>0.4</v>
      </c>
      <c r="F4329" s="53">
        <v>0</v>
      </c>
      <c r="G4329" s="53">
        <f t="shared" si="412"/>
        <v>0</v>
      </c>
      <c r="H4329" s="72"/>
      <c r="I4329" s="73"/>
      <c r="J4329" s="152">
        <v>0</v>
      </c>
      <c r="L4329" s="215">
        <v>0.4</v>
      </c>
      <c r="M4329" s="53">
        <v>0</v>
      </c>
      <c r="N4329" s="53">
        <f t="shared" si="413"/>
        <v>0</v>
      </c>
      <c r="O4329" s="72"/>
      <c r="P4329" s="36" t="str">
        <f t="shared" si="414"/>
        <v/>
      </c>
      <c r="Q4329" s="216" t="e">
        <f t="shared" si="415"/>
        <v>#DIV/0!</v>
      </c>
      <c r="R4329" s="216" t="e">
        <f t="shared" si="416"/>
        <v>#DIV/0!</v>
      </c>
      <c r="S4329" s="217" t="str">
        <f t="shared" si="417"/>
        <v/>
      </c>
    </row>
    <row r="4330" spans="1:19" ht="15.75" hidden="1" thickBot="1" x14ac:dyDescent="0.3">
      <c r="A4330" s="257"/>
      <c r="B4330" s="260"/>
      <c r="C4330" s="35" t="s">
        <v>1149</v>
      </c>
      <c r="D4330" s="35" t="s">
        <v>815</v>
      </c>
      <c r="E4330" s="36">
        <f>0.8/0.5</f>
        <v>1.6</v>
      </c>
      <c r="F4330" s="53">
        <v>0</v>
      </c>
      <c r="G4330" s="53">
        <f t="shared" si="412"/>
        <v>0</v>
      </c>
      <c r="H4330" s="72"/>
      <c r="I4330" s="73"/>
      <c r="J4330" s="152">
        <v>0</v>
      </c>
      <c r="L4330" s="215">
        <v>1.6</v>
      </c>
      <c r="M4330" s="53">
        <v>0</v>
      </c>
      <c r="N4330" s="53">
        <f t="shared" si="413"/>
        <v>0</v>
      </c>
      <c r="O4330" s="72"/>
      <c r="P4330" s="36" t="str">
        <f t="shared" si="414"/>
        <v/>
      </c>
      <c r="Q4330" s="216" t="e">
        <f t="shared" si="415"/>
        <v>#DIV/0!</v>
      </c>
      <c r="R4330" s="216" t="e">
        <f t="shared" si="416"/>
        <v>#DIV/0!</v>
      </c>
      <c r="S4330" s="217" t="str">
        <f t="shared" si="417"/>
        <v/>
      </c>
    </row>
    <row r="4331" spans="1:19" ht="15.75" hidden="1" thickBot="1" x14ac:dyDescent="0.3">
      <c r="A4331" s="257"/>
      <c r="B4331" s="260"/>
      <c r="C4331" s="35" t="s">
        <v>1150</v>
      </c>
      <c r="D4331" s="35" t="s">
        <v>28</v>
      </c>
      <c r="E4331" s="36">
        <v>2500</v>
      </c>
      <c r="F4331" s="53" t="s">
        <v>416</v>
      </c>
      <c r="G4331" s="53" t="str">
        <f t="shared" si="412"/>
        <v/>
      </c>
      <c r="H4331" s="72"/>
      <c r="I4331" s="73"/>
      <c r="J4331" s="152">
        <v>0</v>
      </c>
      <c r="L4331" s="215">
        <v>2500</v>
      </c>
      <c r="M4331" s="53"/>
      <c r="N4331" s="53" t="str">
        <f t="shared" si="413"/>
        <v/>
      </c>
      <c r="O4331" s="72"/>
      <c r="P4331" s="36" t="str">
        <f t="shared" si="414"/>
        <v/>
      </c>
      <c r="Q4331" s="216" t="str">
        <f t="shared" si="415"/>
        <v/>
      </c>
      <c r="R4331" s="216" t="str">
        <f t="shared" si="416"/>
        <v/>
      </c>
      <c r="S4331" s="217" t="str">
        <f t="shared" si="417"/>
        <v/>
      </c>
    </row>
    <row r="4332" spans="1:19" ht="15.75" hidden="1" thickBot="1" x14ac:dyDescent="0.3">
      <c r="A4332" s="258"/>
      <c r="B4332" s="261"/>
      <c r="C4332" s="54"/>
      <c r="D4332" s="54"/>
      <c r="E4332" s="65"/>
      <c r="F4332" s="75" t="s">
        <v>416</v>
      </c>
      <c r="G4332" s="75" t="str">
        <f t="shared" si="412"/>
        <v/>
      </c>
      <c r="H4332" s="76"/>
      <c r="I4332" s="73"/>
      <c r="J4332" s="152">
        <v>0</v>
      </c>
      <c r="L4332" s="222"/>
      <c r="M4332" s="75"/>
      <c r="N4332" s="75" t="str">
        <f t="shared" si="413"/>
        <v/>
      </c>
      <c r="O4332" s="76"/>
      <c r="P4332" s="36" t="str">
        <f t="shared" si="414"/>
        <v/>
      </c>
      <c r="Q4332" s="216" t="str">
        <f t="shared" si="415"/>
        <v/>
      </c>
      <c r="R4332" s="216" t="str">
        <f t="shared" si="416"/>
        <v/>
      </c>
      <c r="S4332" s="217" t="str">
        <f t="shared" si="417"/>
        <v/>
      </c>
    </row>
    <row r="4333" spans="1:19" ht="15.75" hidden="1" thickBot="1" x14ac:dyDescent="0.3">
      <c r="A4333" s="256" t="s">
        <v>1151</v>
      </c>
      <c r="B4333" s="259" t="str">
        <f>INDEX(Orçamentária!A:B,MATCH(Composições!A4333,Orçamentária!A:A,0),2)</f>
        <v>Pintura para sinalização e demarcação viária horizontal</v>
      </c>
      <c r="C4333" s="40"/>
      <c r="D4333" s="25" t="s">
        <v>69</v>
      </c>
      <c r="E4333" s="26"/>
      <c r="F4333" s="48" t="s">
        <v>416</v>
      </c>
      <c r="G4333" s="27" t="str">
        <f t="shared" si="412"/>
        <v/>
      </c>
      <c r="H4333" s="28"/>
      <c r="I4333" s="29"/>
      <c r="J4333" s="152">
        <v>0</v>
      </c>
      <c r="L4333" s="218"/>
      <c r="M4333" s="48"/>
      <c r="N4333" s="27" t="str">
        <f t="shared" si="413"/>
        <v/>
      </c>
      <c r="O4333" s="28"/>
      <c r="P4333" s="36" t="str">
        <f t="shared" si="414"/>
        <v/>
      </c>
      <c r="Q4333" s="216" t="str">
        <f t="shared" si="415"/>
        <v/>
      </c>
      <c r="R4333" s="216" t="str">
        <f t="shared" si="416"/>
        <v/>
      </c>
      <c r="S4333" s="217" t="str">
        <f t="shared" si="417"/>
        <v/>
      </c>
    </row>
    <row r="4334" spans="1:19" ht="15.75" hidden="1" thickBot="1" x14ac:dyDescent="0.3">
      <c r="A4334" s="257"/>
      <c r="B4334" s="260"/>
      <c r="C4334" s="31"/>
      <c r="D4334" s="31"/>
      <c r="E4334" s="32"/>
      <c r="F4334" s="53" t="s">
        <v>416</v>
      </c>
      <c r="G4334" s="53" t="str">
        <f t="shared" si="412"/>
        <v/>
      </c>
      <c r="H4334" s="72"/>
      <c r="I4334" s="73"/>
      <c r="J4334" s="152">
        <v>0</v>
      </c>
      <c r="L4334" s="219"/>
      <c r="M4334" s="53"/>
      <c r="N4334" s="53" t="str">
        <f t="shared" si="413"/>
        <v/>
      </c>
      <c r="O4334" s="72"/>
      <c r="P4334" s="36" t="str">
        <f t="shared" si="414"/>
        <v/>
      </c>
      <c r="Q4334" s="216" t="str">
        <f t="shared" si="415"/>
        <v/>
      </c>
      <c r="R4334" s="216" t="str">
        <f t="shared" si="416"/>
        <v/>
      </c>
      <c r="S4334" s="217" t="str">
        <f t="shared" si="417"/>
        <v/>
      </c>
    </row>
    <row r="4335" spans="1:19" ht="15.75" hidden="1" thickBot="1" x14ac:dyDescent="0.3">
      <c r="A4335" s="257"/>
      <c r="B4335" s="260"/>
      <c r="C4335" s="35" t="s">
        <v>8136</v>
      </c>
      <c r="D4335" s="35" t="s">
        <v>75</v>
      </c>
      <c r="E4335" s="36">
        <v>2E-3</v>
      </c>
      <c r="F4335" s="53">
        <v>17.698499999999999</v>
      </c>
      <c r="G4335" s="53">
        <f t="shared" si="412"/>
        <v>3.5396999999999998E-2</v>
      </c>
      <c r="H4335" s="38">
        <f>SUM(G4335:G4342)</f>
        <v>4.7718918000000006</v>
      </c>
      <c r="I4335" s="39"/>
      <c r="J4335" s="152">
        <v>0</v>
      </c>
      <c r="L4335" s="215">
        <v>2E-3</v>
      </c>
      <c r="M4335" s="53">
        <v>15.149915999999999</v>
      </c>
      <c r="N4335" s="53">
        <f t="shared" si="413"/>
        <v>3.0299831999999999E-2</v>
      </c>
      <c r="O4335" s="38">
        <f>SUM(N4335:N4342)</f>
        <v>4.0847393808000003</v>
      </c>
      <c r="P4335" s="36" t="str">
        <f t="shared" si="414"/>
        <v/>
      </c>
      <c r="Q4335" s="216">
        <f t="shared" si="415"/>
        <v>0.14400000000000002</v>
      </c>
      <c r="R4335" s="216">
        <f t="shared" si="416"/>
        <v>0.14400000000000002</v>
      </c>
      <c r="S4335" s="217">
        <f t="shared" si="417"/>
        <v>0.14400000000000002</v>
      </c>
    </row>
    <row r="4336" spans="1:19" ht="26.25" hidden="1" thickBot="1" x14ac:dyDescent="0.3">
      <c r="A4336" s="257"/>
      <c r="B4336" s="260"/>
      <c r="C4336" s="35" t="s">
        <v>8440</v>
      </c>
      <c r="D4336" s="35" t="s">
        <v>75</v>
      </c>
      <c r="E4336" s="36">
        <v>4.2999999999999997E-2</v>
      </c>
      <c r="F4336" s="53">
        <v>17.926500000000001</v>
      </c>
      <c r="G4336" s="53">
        <f t="shared" si="412"/>
        <v>0.77083950000000001</v>
      </c>
      <c r="H4336" s="72"/>
      <c r="I4336" s="73"/>
      <c r="J4336" s="152">
        <v>0</v>
      </c>
      <c r="L4336" s="215">
        <v>4.2999999999999997E-2</v>
      </c>
      <c r="M4336" s="53">
        <v>15.345084</v>
      </c>
      <c r="N4336" s="53">
        <f t="shared" si="413"/>
        <v>0.65983861199999994</v>
      </c>
      <c r="O4336" s="72"/>
      <c r="P4336" s="36" t="str">
        <f t="shared" si="414"/>
        <v/>
      </c>
      <c r="Q4336" s="216">
        <f t="shared" si="415"/>
        <v>0.14400000000000002</v>
      </c>
      <c r="R4336" s="216">
        <f t="shared" si="416"/>
        <v>0.14400000000000013</v>
      </c>
      <c r="S4336" s="217" t="str">
        <f t="shared" si="417"/>
        <v/>
      </c>
    </row>
    <row r="4337" spans="1:19" ht="26.25" hidden="1" thickBot="1" x14ac:dyDescent="0.3">
      <c r="A4337" s="257"/>
      <c r="B4337" s="260"/>
      <c r="C4337" s="35" t="s">
        <v>1152</v>
      </c>
      <c r="D4337" s="35" t="s">
        <v>773</v>
      </c>
      <c r="E4337" s="36">
        <v>1.0999999999999999E-2</v>
      </c>
      <c r="F4337" s="53">
        <v>5.8045</v>
      </c>
      <c r="G4337" s="53">
        <f t="shared" si="412"/>
        <v>6.384949999999999E-2</v>
      </c>
      <c r="H4337" s="72"/>
      <c r="I4337" s="73"/>
      <c r="J4337" s="152">
        <v>0</v>
      </c>
      <c r="L4337" s="215">
        <v>1.0999999999999999E-2</v>
      </c>
      <c r="M4337" s="53">
        <v>4.9686520000000005</v>
      </c>
      <c r="N4337" s="53">
        <f t="shared" si="413"/>
        <v>5.4655172000000002E-2</v>
      </c>
      <c r="O4337" s="72"/>
      <c r="P4337" s="36" t="str">
        <f t="shared" si="414"/>
        <v/>
      </c>
      <c r="Q4337" s="216">
        <f t="shared" si="415"/>
        <v>0.14399999999999991</v>
      </c>
      <c r="R4337" s="216">
        <f t="shared" si="416"/>
        <v>0.14399999999999979</v>
      </c>
      <c r="S4337" s="217" t="str">
        <f t="shared" si="417"/>
        <v/>
      </c>
    </row>
    <row r="4338" spans="1:19" ht="26.25" hidden="1" thickBot="1" x14ac:dyDescent="0.3">
      <c r="A4338" s="257"/>
      <c r="B4338" s="260"/>
      <c r="C4338" s="35" t="s">
        <v>8530</v>
      </c>
      <c r="D4338" s="35" t="s">
        <v>773</v>
      </c>
      <c r="E4338" s="36">
        <v>2.5000000000000001E-2</v>
      </c>
      <c r="F4338" s="53">
        <v>5.8045</v>
      </c>
      <c r="G4338" s="53">
        <f t="shared" si="412"/>
        <v>0.14511250000000001</v>
      </c>
      <c r="H4338" s="72"/>
      <c r="I4338" s="73"/>
      <c r="J4338" s="152">
        <v>0</v>
      </c>
      <c r="L4338" s="215">
        <v>2.5000000000000001E-2</v>
      </c>
      <c r="M4338" s="53">
        <v>4.9686520000000005</v>
      </c>
      <c r="N4338" s="53">
        <f t="shared" si="413"/>
        <v>0.12421630000000002</v>
      </c>
      <c r="O4338" s="72"/>
      <c r="P4338" s="36" t="str">
        <f t="shared" si="414"/>
        <v/>
      </c>
      <c r="Q4338" s="216">
        <f t="shared" si="415"/>
        <v>0.14399999999999991</v>
      </c>
      <c r="R4338" s="216">
        <f t="shared" si="416"/>
        <v>0.14399999999999991</v>
      </c>
      <c r="S4338" s="217" t="str">
        <f t="shared" si="417"/>
        <v/>
      </c>
    </row>
    <row r="4339" spans="1:19" ht="15.75" hidden="1" thickBot="1" x14ac:dyDescent="0.3">
      <c r="A4339" s="257"/>
      <c r="B4339" s="260"/>
      <c r="C4339" s="35" t="s">
        <v>956</v>
      </c>
      <c r="D4339" s="35" t="s">
        <v>583</v>
      </c>
      <c r="E4339" s="36">
        <v>3.4000000000000002E-2</v>
      </c>
      <c r="F4339" s="53">
        <v>28.6615</v>
      </c>
      <c r="G4339" s="53">
        <f t="shared" si="412"/>
        <v>0.97449100000000011</v>
      </c>
      <c r="H4339" s="72"/>
      <c r="I4339" s="73"/>
      <c r="J4339" s="152">
        <v>0</v>
      </c>
      <c r="L4339" s="215">
        <v>3.4000000000000002E-2</v>
      </c>
      <c r="M4339" s="53">
        <v>24.534244000000001</v>
      </c>
      <c r="N4339" s="53">
        <f t="shared" si="413"/>
        <v>0.83416429600000008</v>
      </c>
      <c r="O4339" s="72"/>
      <c r="P4339" s="36" t="str">
        <f t="shared" si="414"/>
        <v/>
      </c>
      <c r="Q4339" s="216">
        <f t="shared" si="415"/>
        <v>0.14400000000000002</v>
      </c>
      <c r="R4339" s="216">
        <f t="shared" si="416"/>
        <v>0.14400000000000002</v>
      </c>
      <c r="S4339" s="217" t="str">
        <f t="shared" si="417"/>
        <v/>
      </c>
    </row>
    <row r="4340" spans="1:19" ht="15.75" hidden="1" thickBot="1" x14ac:dyDescent="0.3">
      <c r="A4340" s="257"/>
      <c r="B4340" s="260"/>
      <c r="C4340" s="35" t="s">
        <v>584</v>
      </c>
      <c r="D4340" s="35" t="s">
        <v>583</v>
      </c>
      <c r="E4340" s="36">
        <v>1.4E-2</v>
      </c>
      <c r="F4340" s="53">
        <v>20.225499999999997</v>
      </c>
      <c r="G4340" s="53">
        <f t="shared" si="412"/>
        <v>0.28315699999999994</v>
      </c>
      <c r="H4340" s="72"/>
      <c r="I4340" s="73"/>
      <c r="J4340" s="152">
        <v>0</v>
      </c>
      <c r="L4340" s="215">
        <v>1.4E-2</v>
      </c>
      <c r="M4340" s="53">
        <v>17.313027999999996</v>
      </c>
      <c r="N4340" s="53">
        <f t="shared" si="413"/>
        <v>0.24238239199999995</v>
      </c>
      <c r="O4340" s="72"/>
      <c r="P4340" s="36" t="str">
        <f t="shared" si="414"/>
        <v/>
      </c>
      <c r="Q4340" s="216">
        <f t="shared" si="415"/>
        <v>0.14400000000000013</v>
      </c>
      <c r="R4340" s="216">
        <f t="shared" si="416"/>
        <v>0.14400000000000002</v>
      </c>
      <c r="S4340" s="217" t="str">
        <f t="shared" si="417"/>
        <v/>
      </c>
    </row>
    <row r="4341" spans="1:19" ht="26.25" hidden="1" thickBot="1" x14ac:dyDescent="0.3">
      <c r="A4341" s="257"/>
      <c r="B4341" s="260"/>
      <c r="C4341" s="35" t="s">
        <v>1153</v>
      </c>
      <c r="D4341" s="35" t="s">
        <v>813</v>
      </c>
      <c r="E4341" s="36">
        <v>2.9999999999999997E-4</v>
      </c>
      <c r="F4341" s="53">
        <v>153.32999999999998</v>
      </c>
      <c r="G4341" s="53">
        <f t="shared" si="412"/>
        <v>4.5998999999999991E-2</v>
      </c>
      <c r="H4341" s="72"/>
      <c r="I4341" s="73"/>
      <c r="J4341" s="152">
        <v>0</v>
      </c>
      <c r="L4341" s="215">
        <v>2.9999999999999997E-4</v>
      </c>
      <c r="M4341" s="53">
        <v>131.25047999999998</v>
      </c>
      <c r="N4341" s="53">
        <f t="shared" si="413"/>
        <v>3.9375143999999994E-2</v>
      </c>
      <c r="O4341" s="72"/>
      <c r="P4341" s="36" t="str">
        <f t="shared" si="414"/>
        <v/>
      </c>
      <c r="Q4341" s="216">
        <f t="shared" si="415"/>
        <v>0.14400000000000002</v>
      </c>
      <c r="R4341" s="216">
        <f t="shared" si="416"/>
        <v>0.14400000000000002</v>
      </c>
      <c r="S4341" s="217" t="str">
        <f t="shared" si="417"/>
        <v/>
      </c>
    </row>
    <row r="4342" spans="1:19" ht="26.25" hidden="1" thickBot="1" x14ac:dyDescent="0.3">
      <c r="A4342" s="257"/>
      <c r="B4342" s="260"/>
      <c r="C4342" s="35" t="s">
        <v>2876</v>
      </c>
      <c r="D4342" s="35" t="s">
        <v>815</v>
      </c>
      <c r="E4342" s="36">
        <v>3.3399999999999999E-2</v>
      </c>
      <c r="F4342" s="53">
        <v>73.444500000000005</v>
      </c>
      <c r="G4342" s="53">
        <f t="shared" si="412"/>
        <v>2.4530463</v>
      </c>
      <c r="H4342" s="72"/>
      <c r="I4342" s="73"/>
      <c r="J4342" s="152">
        <v>0</v>
      </c>
      <c r="L4342" s="215">
        <v>3.3399999999999999E-2</v>
      </c>
      <c r="M4342" s="53">
        <v>62.868492000000003</v>
      </c>
      <c r="N4342" s="53">
        <f t="shared" si="413"/>
        <v>2.0998076328000002</v>
      </c>
      <c r="O4342" s="72"/>
      <c r="P4342" s="36" t="str">
        <f t="shared" si="414"/>
        <v/>
      </c>
      <c r="Q4342" s="216">
        <f t="shared" si="415"/>
        <v>0.14400000000000002</v>
      </c>
      <c r="R4342" s="216">
        <f t="shared" si="416"/>
        <v>0.14399999999999991</v>
      </c>
      <c r="S4342" s="217" t="str">
        <f t="shared" si="417"/>
        <v/>
      </c>
    </row>
    <row r="4343" spans="1:19" ht="15.75" hidden="1" thickBot="1" x14ac:dyDescent="0.3">
      <c r="A4343" s="258"/>
      <c r="B4343" s="261"/>
      <c r="C4343" s="54"/>
      <c r="D4343" s="54"/>
      <c r="E4343" s="65"/>
      <c r="F4343" s="75" t="s">
        <v>416</v>
      </c>
      <c r="G4343" s="75" t="str">
        <f t="shared" si="412"/>
        <v/>
      </c>
      <c r="H4343" s="76"/>
      <c r="I4343" s="73"/>
      <c r="J4343" s="152">
        <v>0</v>
      </c>
      <c r="L4343" s="222"/>
      <c r="M4343" s="75"/>
      <c r="N4343" s="75" t="str">
        <f t="shared" si="413"/>
        <v/>
      </c>
      <c r="O4343" s="76"/>
      <c r="P4343" s="36" t="str">
        <f t="shared" si="414"/>
        <v/>
      </c>
      <c r="Q4343" s="216" t="str">
        <f t="shared" si="415"/>
        <v/>
      </c>
      <c r="R4343" s="216" t="str">
        <f t="shared" si="416"/>
        <v/>
      </c>
      <c r="S4343" s="217" t="str">
        <f t="shared" si="417"/>
        <v/>
      </c>
    </row>
    <row r="4344" spans="1:19" ht="15.75" hidden="1" thickBot="1" x14ac:dyDescent="0.3">
      <c r="A4344" s="256" t="s">
        <v>1154</v>
      </c>
      <c r="B4344" s="259" t="str">
        <f>INDEX(Orçamentária!A:B,MATCH(Composições!A4344,Orçamentária!A:A,0),2)</f>
        <v>Telha metálica trapezoidal galvanizada - GR-40</v>
      </c>
      <c r="C4344" s="40"/>
      <c r="D4344" s="25" t="s">
        <v>70</v>
      </c>
      <c r="E4344" s="26"/>
      <c r="F4344" s="48" t="s">
        <v>416</v>
      </c>
      <c r="G4344" s="27" t="str">
        <f t="shared" si="412"/>
        <v/>
      </c>
      <c r="H4344" s="28"/>
      <c r="I4344" s="29"/>
      <c r="J4344" s="152">
        <v>0</v>
      </c>
      <c r="L4344" s="218"/>
      <c r="M4344" s="48"/>
      <c r="N4344" s="27" t="str">
        <f t="shared" si="413"/>
        <v/>
      </c>
      <c r="O4344" s="28"/>
      <c r="P4344" s="36" t="str">
        <f t="shared" si="414"/>
        <v/>
      </c>
      <c r="Q4344" s="216" t="str">
        <f t="shared" si="415"/>
        <v/>
      </c>
      <c r="R4344" s="216" t="str">
        <f t="shared" si="416"/>
        <v/>
      </c>
      <c r="S4344" s="217" t="str">
        <f t="shared" si="417"/>
        <v/>
      </c>
    </row>
    <row r="4345" spans="1:19" ht="15.75" hidden="1" thickBot="1" x14ac:dyDescent="0.3">
      <c r="A4345" s="257"/>
      <c r="B4345" s="260"/>
      <c r="C4345" s="31"/>
      <c r="D4345" s="31"/>
      <c r="E4345" s="32"/>
      <c r="F4345" s="53" t="s">
        <v>416</v>
      </c>
      <c r="G4345" s="53" t="str">
        <f t="shared" si="412"/>
        <v/>
      </c>
      <c r="H4345" s="72"/>
      <c r="I4345" s="73"/>
      <c r="J4345" s="152">
        <v>0</v>
      </c>
      <c r="L4345" s="219"/>
      <c r="M4345" s="53"/>
      <c r="N4345" s="53" t="str">
        <f t="shared" si="413"/>
        <v/>
      </c>
      <c r="O4345" s="72"/>
      <c r="P4345" s="36" t="str">
        <f t="shared" si="414"/>
        <v/>
      </c>
      <c r="Q4345" s="216" t="str">
        <f t="shared" si="415"/>
        <v/>
      </c>
      <c r="R4345" s="216" t="str">
        <f t="shared" si="416"/>
        <v/>
      </c>
      <c r="S4345" s="217" t="str">
        <f t="shared" si="417"/>
        <v/>
      </c>
    </row>
    <row r="4346" spans="1:19" ht="39" hidden="1" thickBot="1" x14ac:dyDescent="0.3">
      <c r="A4346" s="257"/>
      <c r="B4346" s="260"/>
      <c r="C4346" s="35" t="s">
        <v>2946</v>
      </c>
      <c r="D4346" s="35" t="s">
        <v>861</v>
      </c>
      <c r="E4346" s="36">
        <v>1.1659999999999999</v>
      </c>
      <c r="F4346" s="53">
        <v>58.320499999999996</v>
      </c>
      <c r="G4346" s="53">
        <f t="shared" si="412"/>
        <v>68.001702999999992</v>
      </c>
      <c r="H4346" s="38">
        <f>SUM(G4346:G4351)</f>
        <v>81.889960099999982</v>
      </c>
      <c r="I4346" s="39"/>
      <c r="J4346" s="152">
        <v>0</v>
      </c>
      <c r="L4346" s="215">
        <v>1.1659999999999999</v>
      </c>
      <c r="M4346" s="53">
        <v>49.922348</v>
      </c>
      <c r="N4346" s="53">
        <f t="shared" si="413"/>
        <v>58.209457767999993</v>
      </c>
      <c r="O4346" s="38">
        <f>SUM(N4346:N4351)</f>
        <v>70.097805845599993</v>
      </c>
      <c r="P4346" s="36" t="str">
        <f t="shared" si="414"/>
        <v/>
      </c>
      <c r="Q4346" s="216">
        <f t="shared" si="415"/>
        <v>0.14399999999999991</v>
      </c>
      <c r="R4346" s="216">
        <f t="shared" si="416"/>
        <v>0.14400000000000002</v>
      </c>
      <c r="S4346" s="217">
        <f t="shared" si="417"/>
        <v>0.14399999999999991</v>
      </c>
    </row>
    <row r="4347" spans="1:19" ht="39" hidden="1" thickBot="1" x14ac:dyDescent="0.3">
      <c r="A4347" s="257"/>
      <c r="B4347" s="260"/>
      <c r="C4347" s="35" t="s">
        <v>1155</v>
      </c>
      <c r="D4347" s="35" t="s">
        <v>619</v>
      </c>
      <c r="E4347" s="36">
        <v>4.1500000000000004</v>
      </c>
      <c r="F4347" s="53">
        <v>2.2799999999999998</v>
      </c>
      <c r="G4347" s="53">
        <f t="shared" si="412"/>
        <v>9.4619999999999997</v>
      </c>
      <c r="H4347" s="72"/>
      <c r="I4347" s="73"/>
      <c r="J4347" s="152">
        <v>0</v>
      </c>
      <c r="L4347" s="215">
        <v>4.1500000000000004</v>
      </c>
      <c r="M4347" s="53">
        <v>1.9516799999999999</v>
      </c>
      <c r="N4347" s="53">
        <f t="shared" si="413"/>
        <v>8.0994720000000004</v>
      </c>
      <c r="O4347" s="72"/>
      <c r="P4347" s="36" t="str">
        <f t="shared" si="414"/>
        <v/>
      </c>
      <c r="Q4347" s="216">
        <f t="shared" si="415"/>
        <v>0.14400000000000002</v>
      </c>
      <c r="R4347" s="216">
        <f t="shared" si="416"/>
        <v>0.14399999999999991</v>
      </c>
      <c r="S4347" s="217" t="str">
        <f t="shared" si="417"/>
        <v/>
      </c>
    </row>
    <row r="4348" spans="1:19" ht="15.75" hidden="1" thickBot="1" x14ac:dyDescent="0.3">
      <c r="A4348" s="257"/>
      <c r="B4348" s="260"/>
      <c r="C4348" s="35" t="s">
        <v>584</v>
      </c>
      <c r="D4348" s="35" t="s">
        <v>583</v>
      </c>
      <c r="E4348" s="36">
        <v>9.7000000000000003E-2</v>
      </c>
      <c r="F4348" s="53">
        <v>20.225499999999997</v>
      </c>
      <c r="G4348" s="53">
        <f t="shared" si="412"/>
        <v>1.9618734999999998</v>
      </c>
      <c r="H4348" s="72"/>
      <c r="I4348" s="73"/>
      <c r="J4348" s="152">
        <v>0</v>
      </c>
      <c r="L4348" s="215">
        <v>9.7000000000000003E-2</v>
      </c>
      <c r="M4348" s="53">
        <v>17.313027999999996</v>
      </c>
      <c r="N4348" s="53">
        <f t="shared" si="413"/>
        <v>1.6793637159999997</v>
      </c>
      <c r="O4348" s="72"/>
      <c r="P4348" s="36" t="str">
        <f t="shared" si="414"/>
        <v/>
      </c>
      <c r="Q4348" s="216">
        <f t="shared" si="415"/>
        <v>0.14400000000000013</v>
      </c>
      <c r="R4348" s="216">
        <f t="shared" si="416"/>
        <v>0.14400000000000013</v>
      </c>
      <c r="S4348" s="217" t="str">
        <f t="shared" si="417"/>
        <v/>
      </c>
    </row>
    <row r="4349" spans="1:19" ht="15.75" hidden="1" thickBot="1" x14ac:dyDescent="0.3">
      <c r="A4349" s="257"/>
      <c r="B4349" s="260"/>
      <c r="C4349" s="35" t="s">
        <v>1156</v>
      </c>
      <c r="D4349" s="35" t="s">
        <v>583</v>
      </c>
      <c r="E4349" s="36">
        <v>9.0999999999999998E-2</v>
      </c>
      <c r="F4349" s="53">
        <v>26.552499999999998</v>
      </c>
      <c r="G4349" s="53">
        <f t="shared" si="412"/>
        <v>2.4162774999999996</v>
      </c>
      <c r="H4349" s="72"/>
      <c r="I4349" s="73"/>
      <c r="J4349" s="152">
        <v>0</v>
      </c>
      <c r="L4349" s="215">
        <v>9.0999999999999998E-2</v>
      </c>
      <c r="M4349" s="53">
        <v>22.728939999999998</v>
      </c>
      <c r="N4349" s="53">
        <f t="shared" si="413"/>
        <v>2.0683335399999998</v>
      </c>
      <c r="O4349" s="72"/>
      <c r="P4349" s="36" t="str">
        <f t="shared" si="414"/>
        <v/>
      </c>
      <c r="Q4349" s="216">
        <f t="shared" si="415"/>
        <v>0.14400000000000002</v>
      </c>
      <c r="R4349" s="216">
        <f t="shared" si="416"/>
        <v>0.14399999999999991</v>
      </c>
      <c r="S4349" s="217" t="str">
        <f t="shared" si="417"/>
        <v/>
      </c>
    </row>
    <row r="4350" spans="1:19" ht="26.25" hidden="1" thickBot="1" x14ac:dyDescent="0.3">
      <c r="A4350" s="257"/>
      <c r="B4350" s="260"/>
      <c r="C4350" s="35" t="s">
        <v>1157</v>
      </c>
      <c r="D4350" s="35" t="s">
        <v>813</v>
      </c>
      <c r="E4350" s="36">
        <v>8.9999999999999998E-4</v>
      </c>
      <c r="F4350" s="53">
        <v>22.315499999999997</v>
      </c>
      <c r="G4350" s="53">
        <f t="shared" si="412"/>
        <v>2.0083949999999996E-2</v>
      </c>
      <c r="H4350" s="72"/>
      <c r="I4350" s="73"/>
      <c r="J4350" s="152">
        <v>0</v>
      </c>
      <c r="L4350" s="215">
        <v>8.9999999999999998E-4</v>
      </c>
      <c r="M4350" s="53">
        <v>19.102067999999996</v>
      </c>
      <c r="N4350" s="53">
        <f t="shared" si="413"/>
        <v>1.7191861199999995E-2</v>
      </c>
      <c r="O4350" s="72"/>
      <c r="P4350" s="36" t="str">
        <f t="shared" si="414"/>
        <v/>
      </c>
      <c r="Q4350" s="216">
        <f t="shared" si="415"/>
        <v>0.14400000000000002</v>
      </c>
      <c r="R4350" s="216">
        <f t="shared" si="416"/>
        <v>0.14400000000000013</v>
      </c>
      <c r="S4350" s="217" t="str">
        <f t="shared" si="417"/>
        <v/>
      </c>
    </row>
    <row r="4351" spans="1:19" ht="26.25" hidden="1" thickBot="1" x14ac:dyDescent="0.3">
      <c r="A4351" s="257"/>
      <c r="B4351" s="260"/>
      <c r="C4351" s="35" t="s">
        <v>1158</v>
      </c>
      <c r="D4351" s="35" t="s">
        <v>815</v>
      </c>
      <c r="E4351" s="36">
        <v>1.2999999999999999E-3</v>
      </c>
      <c r="F4351" s="53">
        <v>21.555499999999999</v>
      </c>
      <c r="G4351" s="53">
        <f t="shared" si="412"/>
        <v>2.8022149999999996E-2</v>
      </c>
      <c r="H4351" s="72"/>
      <c r="I4351" s="73"/>
      <c r="J4351" s="152">
        <v>0</v>
      </c>
      <c r="L4351" s="215">
        <v>1.2999999999999999E-3</v>
      </c>
      <c r="M4351" s="53">
        <v>18.451508</v>
      </c>
      <c r="N4351" s="53">
        <f t="shared" si="413"/>
        <v>2.39869604E-2</v>
      </c>
      <c r="O4351" s="72"/>
      <c r="P4351" s="36" t="str">
        <f t="shared" si="414"/>
        <v/>
      </c>
      <c r="Q4351" s="216">
        <f t="shared" si="415"/>
        <v>0.14399999999999991</v>
      </c>
      <c r="R4351" s="216">
        <f t="shared" si="416"/>
        <v>0.14399999999999991</v>
      </c>
      <c r="S4351" s="217" t="str">
        <f t="shared" si="417"/>
        <v/>
      </c>
    </row>
    <row r="4352" spans="1:19" ht="15.75" hidden="1" thickBot="1" x14ac:dyDescent="0.3">
      <c r="A4352" s="258"/>
      <c r="B4352" s="261"/>
      <c r="C4352" s="54"/>
      <c r="D4352" s="54"/>
      <c r="E4352" s="65"/>
      <c r="F4352" s="75" t="s">
        <v>416</v>
      </c>
      <c r="G4352" s="75" t="str">
        <f t="shared" si="412"/>
        <v/>
      </c>
      <c r="H4352" s="76"/>
      <c r="I4352" s="73"/>
      <c r="J4352" s="152">
        <v>0</v>
      </c>
      <c r="L4352" s="222"/>
      <c r="M4352" s="75"/>
      <c r="N4352" s="75" t="str">
        <f t="shared" si="413"/>
        <v/>
      </c>
      <c r="O4352" s="76"/>
      <c r="P4352" s="36" t="str">
        <f t="shared" si="414"/>
        <v/>
      </c>
      <c r="Q4352" s="216" t="str">
        <f t="shared" si="415"/>
        <v/>
      </c>
      <c r="R4352" s="216" t="str">
        <f t="shared" si="416"/>
        <v/>
      </c>
      <c r="S4352" s="217" t="str">
        <f t="shared" si="417"/>
        <v/>
      </c>
    </row>
    <row r="4353" spans="1:19" ht="15.75" hidden="1" thickBot="1" x14ac:dyDescent="0.3">
      <c r="A4353" s="256" t="s">
        <v>1159</v>
      </c>
      <c r="B4353" s="259" t="str">
        <f>INDEX(Orçamentária!A:B,MATCH(Composições!A4353,Orçamentária!A:A,0),2)</f>
        <v>Cumeeira para telha metálica trapezoidal galvanizada - GR-40</v>
      </c>
      <c r="C4353" s="40"/>
      <c r="D4353" s="25" t="s">
        <v>69</v>
      </c>
      <c r="E4353" s="26"/>
      <c r="F4353" s="48" t="s">
        <v>416</v>
      </c>
      <c r="G4353" s="27" t="str">
        <f t="shared" si="412"/>
        <v/>
      </c>
      <c r="H4353" s="28"/>
      <c r="I4353" s="29"/>
      <c r="J4353" s="152">
        <v>0</v>
      </c>
      <c r="L4353" s="218"/>
      <c r="M4353" s="48"/>
      <c r="N4353" s="27" t="str">
        <f t="shared" si="413"/>
        <v/>
      </c>
      <c r="O4353" s="28"/>
      <c r="P4353" s="36" t="str">
        <f t="shared" si="414"/>
        <v/>
      </c>
      <c r="Q4353" s="216" t="str">
        <f t="shared" si="415"/>
        <v/>
      </c>
      <c r="R4353" s="216" t="str">
        <f t="shared" si="416"/>
        <v/>
      </c>
      <c r="S4353" s="217" t="str">
        <f t="shared" si="417"/>
        <v/>
      </c>
    </row>
    <row r="4354" spans="1:19" ht="15.75" hidden="1" thickBot="1" x14ac:dyDescent="0.3">
      <c r="A4354" s="257"/>
      <c r="B4354" s="260"/>
      <c r="C4354" s="31"/>
      <c r="D4354" s="31"/>
      <c r="E4354" s="32"/>
      <c r="F4354" s="53" t="s">
        <v>416</v>
      </c>
      <c r="G4354" s="53" t="str">
        <f t="shared" si="412"/>
        <v/>
      </c>
      <c r="H4354" s="72"/>
      <c r="I4354" s="73"/>
      <c r="J4354" s="152">
        <v>0</v>
      </c>
      <c r="L4354" s="219"/>
      <c r="M4354" s="53"/>
      <c r="N4354" s="53" t="str">
        <f t="shared" si="413"/>
        <v/>
      </c>
      <c r="O4354" s="72"/>
      <c r="P4354" s="36" t="str">
        <f t="shared" si="414"/>
        <v/>
      </c>
      <c r="Q4354" s="216" t="str">
        <f t="shared" si="415"/>
        <v/>
      </c>
      <c r="R4354" s="216" t="str">
        <f t="shared" si="416"/>
        <v/>
      </c>
      <c r="S4354" s="217" t="str">
        <f t="shared" si="417"/>
        <v/>
      </c>
    </row>
    <row r="4355" spans="1:19" ht="39" hidden="1" thickBot="1" x14ac:dyDescent="0.3">
      <c r="A4355" s="257"/>
      <c r="B4355" s="260"/>
      <c r="C4355" s="35" t="s">
        <v>1155</v>
      </c>
      <c r="D4355" s="35" t="s">
        <v>619</v>
      </c>
      <c r="E4355" s="36">
        <v>4.1500000000000004</v>
      </c>
      <c r="F4355" s="53">
        <v>2.2799999999999998</v>
      </c>
      <c r="G4355" s="53">
        <f t="shared" si="412"/>
        <v>9.4619999999999997</v>
      </c>
      <c r="H4355" s="38">
        <f>SUM(G4355:G4360)</f>
        <v>12.627823699999999</v>
      </c>
      <c r="I4355" s="39"/>
      <c r="J4355" s="152">
        <v>0</v>
      </c>
      <c r="L4355" s="215">
        <v>4.1500000000000004</v>
      </c>
      <c r="M4355" s="53">
        <v>1.9516799999999999</v>
      </c>
      <c r="N4355" s="53">
        <f t="shared" si="413"/>
        <v>8.0994720000000004</v>
      </c>
      <c r="O4355" s="38">
        <f>SUM(N4355:N4360)</f>
        <v>10.8094170872</v>
      </c>
      <c r="P4355" s="36" t="str">
        <f t="shared" si="414"/>
        <v/>
      </c>
      <c r="Q4355" s="216">
        <f t="shared" si="415"/>
        <v>0.14400000000000002</v>
      </c>
      <c r="R4355" s="216">
        <f t="shared" si="416"/>
        <v>0.14399999999999991</v>
      </c>
      <c r="S4355" s="217">
        <f t="shared" si="417"/>
        <v>0.14399999999999991</v>
      </c>
    </row>
    <row r="4356" spans="1:19" ht="15.75" hidden="1" thickBot="1" x14ac:dyDescent="0.3">
      <c r="A4356" s="257"/>
      <c r="B4356" s="260"/>
      <c r="C4356" s="35" t="s">
        <v>3080</v>
      </c>
      <c r="D4356" s="35" t="s">
        <v>69</v>
      </c>
      <c r="E4356" s="36">
        <v>1.0289999999999999</v>
      </c>
      <c r="F4356" s="53" t="s">
        <v>416</v>
      </c>
      <c r="G4356" s="53" t="str">
        <f t="shared" si="412"/>
        <v/>
      </c>
      <c r="H4356" s="72"/>
      <c r="I4356" s="73"/>
      <c r="J4356" s="152">
        <v>0</v>
      </c>
      <c r="L4356" s="215">
        <v>1.0289999999999999</v>
      </c>
      <c r="M4356" s="53"/>
      <c r="N4356" s="53" t="str">
        <f t="shared" si="413"/>
        <v/>
      </c>
      <c r="O4356" s="72"/>
      <c r="P4356" s="36" t="str">
        <f t="shared" si="414"/>
        <v/>
      </c>
      <c r="Q4356" s="216" t="str">
        <f t="shared" si="415"/>
        <v/>
      </c>
      <c r="R4356" s="216" t="str">
        <f t="shared" si="416"/>
        <v/>
      </c>
      <c r="S4356" s="217" t="str">
        <f t="shared" si="417"/>
        <v/>
      </c>
    </row>
    <row r="4357" spans="1:19" ht="15.75" hidden="1" thickBot="1" x14ac:dyDescent="0.3">
      <c r="A4357" s="257"/>
      <c r="B4357" s="260"/>
      <c r="C4357" s="35" t="s">
        <v>584</v>
      </c>
      <c r="D4357" s="35" t="s">
        <v>583</v>
      </c>
      <c r="E4357" s="36">
        <v>7.2999999999999995E-2</v>
      </c>
      <c r="F4357" s="53">
        <v>20.225499999999997</v>
      </c>
      <c r="G4357" s="53">
        <f t="shared" ref="G4357:G4420" si="418">IF(ISNUMBER(F4357),E4357*F4357,"")</f>
        <v>1.4764614999999996</v>
      </c>
      <c r="H4357" s="72"/>
      <c r="I4357" s="73"/>
      <c r="J4357" s="152">
        <v>0</v>
      </c>
      <c r="L4357" s="215">
        <v>7.2999999999999995E-2</v>
      </c>
      <c r="M4357" s="53">
        <v>17.313027999999996</v>
      </c>
      <c r="N4357" s="53">
        <f t="shared" ref="N4357:N4420" si="419">IF(ISNUMBER(M4357),L4357*M4357,"")</f>
        <v>1.2638510439999997</v>
      </c>
      <c r="O4357" s="72"/>
      <c r="P4357" s="36" t="str">
        <f t="shared" si="414"/>
        <v/>
      </c>
      <c r="Q4357" s="216">
        <f t="shared" si="415"/>
        <v>0.14400000000000013</v>
      </c>
      <c r="R4357" s="216">
        <f t="shared" si="416"/>
        <v>0.14400000000000002</v>
      </c>
      <c r="S4357" s="217" t="str">
        <f t="shared" si="417"/>
        <v/>
      </c>
    </row>
    <row r="4358" spans="1:19" ht="15.75" hidden="1" thickBot="1" x14ac:dyDescent="0.3">
      <c r="A4358" s="257"/>
      <c r="B4358" s="260"/>
      <c r="C4358" s="35" t="s">
        <v>1156</v>
      </c>
      <c r="D4358" s="35" t="s">
        <v>583</v>
      </c>
      <c r="E4358" s="36">
        <v>0.06</v>
      </c>
      <c r="F4358" s="53">
        <v>26.552499999999998</v>
      </c>
      <c r="G4358" s="53">
        <f t="shared" si="418"/>
        <v>1.5931499999999998</v>
      </c>
      <c r="H4358" s="72"/>
      <c r="I4358" s="73"/>
      <c r="J4358" s="152">
        <v>0</v>
      </c>
      <c r="L4358" s="215">
        <v>0.06</v>
      </c>
      <c r="M4358" s="53">
        <v>22.728939999999998</v>
      </c>
      <c r="N4358" s="53">
        <f t="shared" si="419"/>
        <v>1.3637363999999998</v>
      </c>
      <c r="O4358" s="72"/>
      <c r="P4358" s="36" t="str">
        <f t="shared" si="414"/>
        <v/>
      </c>
      <c r="Q4358" s="216">
        <f t="shared" si="415"/>
        <v>0.14400000000000002</v>
      </c>
      <c r="R4358" s="216">
        <f t="shared" si="416"/>
        <v>0.14400000000000002</v>
      </c>
      <c r="S4358" s="217" t="str">
        <f t="shared" si="417"/>
        <v/>
      </c>
    </row>
    <row r="4359" spans="1:19" ht="26.25" hidden="1" thickBot="1" x14ac:dyDescent="0.3">
      <c r="A4359" s="257"/>
      <c r="B4359" s="260"/>
      <c r="C4359" s="35" t="s">
        <v>1157</v>
      </c>
      <c r="D4359" s="35" t="s">
        <v>813</v>
      </c>
      <c r="E4359" s="36">
        <v>1.8E-3</v>
      </c>
      <c r="F4359" s="53">
        <v>22.315499999999997</v>
      </c>
      <c r="G4359" s="53">
        <f t="shared" si="418"/>
        <v>4.0167899999999992E-2</v>
      </c>
      <c r="H4359" s="72"/>
      <c r="I4359" s="73"/>
      <c r="J4359" s="152">
        <v>0</v>
      </c>
      <c r="L4359" s="215">
        <v>1.8E-3</v>
      </c>
      <c r="M4359" s="53">
        <v>19.102067999999996</v>
      </c>
      <c r="N4359" s="53">
        <f t="shared" si="419"/>
        <v>3.438372239999999E-2</v>
      </c>
      <c r="O4359" s="72"/>
      <c r="P4359" s="36" t="str">
        <f t="shared" si="414"/>
        <v/>
      </c>
      <c r="Q4359" s="216">
        <f t="shared" si="415"/>
        <v>0.14400000000000002</v>
      </c>
      <c r="R4359" s="216">
        <f t="shared" si="416"/>
        <v>0.14400000000000013</v>
      </c>
      <c r="S4359" s="217" t="str">
        <f t="shared" si="417"/>
        <v/>
      </c>
    </row>
    <row r="4360" spans="1:19" ht="26.25" hidden="1" thickBot="1" x14ac:dyDescent="0.3">
      <c r="A4360" s="257"/>
      <c r="B4360" s="260"/>
      <c r="C4360" s="35" t="s">
        <v>1158</v>
      </c>
      <c r="D4360" s="35" t="s">
        <v>815</v>
      </c>
      <c r="E4360" s="36">
        <v>2.5999999999999999E-3</v>
      </c>
      <c r="F4360" s="53">
        <v>21.555499999999999</v>
      </c>
      <c r="G4360" s="53">
        <f t="shared" si="418"/>
        <v>5.6044299999999991E-2</v>
      </c>
      <c r="H4360" s="72"/>
      <c r="I4360" s="73"/>
      <c r="J4360" s="152">
        <v>0</v>
      </c>
      <c r="L4360" s="215">
        <v>2.5999999999999999E-3</v>
      </c>
      <c r="M4360" s="53">
        <v>18.451508</v>
      </c>
      <c r="N4360" s="53">
        <f t="shared" si="419"/>
        <v>4.79739208E-2</v>
      </c>
      <c r="O4360" s="72"/>
      <c r="P4360" s="36" t="str">
        <f t="shared" ref="P4360:P4423" si="420">IF(ISBLANK(L4360),"",IF($E4360&lt;&gt;L4360,"SIM",""))</f>
        <v/>
      </c>
      <c r="Q4360" s="216">
        <f t="shared" ref="Q4360:Q4423" si="421">IF(M4360="","",1-M4360/$F4360)</f>
        <v>0.14399999999999991</v>
      </c>
      <c r="R4360" s="216">
        <f t="shared" ref="R4360:R4423" si="422">IF(N4360="","",1-N4360/$G4360)</f>
        <v>0.14399999999999991</v>
      </c>
      <c r="S4360" s="217" t="str">
        <f t="shared" ref="S4360:S4423" si="423">IF(O4360="","",1-O4360/$H4360)</f>
        <v/>
      </c>
    </row>
    <row r="4361" spans="1:19" ht="15.75" hidden="1" thickBot="1" x14ac:dyDescent="0.3">
      <c r="A4361" s="258"/>
      <c r="B4361" s="261"/>
      <c r="C4361" s="54"/>
      <c r="D4361" s="54"/>
      <c r="E4361" s="65"/>
      <c r="F4361" s="75" t="s">
        <v>416</v>
      </c>
      <c r="G4361" s="75" t="str">
        <f t="shared" si="418"/>
        <v/>
      </c>
      <c r="H4361" s="76"/>
      <c r="I4361" s="73"/>
      <c r="J4361" s="152">
        <v>0</v>
      </c>
      <c r="L4361" s="222"/>
      <c r="M4361" s="75"/>
      <c r="N4361" s="75" t="str">
        <f t="shared" si="419"/>
        <v/>
      </c>
      <c r="O4361" s="76"/>
      <c r="P4361" s="36" t="str">
        <f t="shared" si="420"/>
        <v/>
      </c>
      <c r="Q4361" s="216" t="str">
        <f t="shared" si="421"/>
        <v/>
      </c>
      <c r="R4361" s="216" t="str">
        <f t="shared" si="422"/>
        <v/>
      </c>
      <c r="S4361" s="217" t="str">
        <f t="shared" si="423"/>
        <v/>
      </c>
    </row>
    <row r="4362" spans="1:19" ht="15.75" hidden="1" thickBot="1" x14ac:dyDescent="0.3">
      <c r="A4362" s="256" t="s">
        <v>1160</v>
      </c>
      <c r="B4362" s="259" t="str">
        <f>INDEX(Orçamentária!A:B,MATCH(Composições!A4362,Orçamentária!A:A,0),2)</f>
        <v>Telha metálica trapezoidal galvanizada - GR-25</v>
      </c>
      <c r="C4362" s="40"/>
      <c r="D4362" s="25" t="s">
        <v>70</v>
      </c>
      <c r="E4362" s="26"/>
      <c r="F4362" s="48" t="s">
        <v>416</v>
      </c>
      <c r="G4362" s="27" t="str">
        <f t="shared" si="418"/>
        <v/>
      </c>
      <c r="H4362" s="28"/>
      <c r="I4362" s="29"/>
      <c r="J4362" s="152">
        <v>0</v>
      </c>
      <c r="L4362" s="218"/>
      <c r="M4362" s="48"/>
      <c r="N4362" s="27" t="str">
        <f t="shared" si="419"/>
        <v/>
      </c>
      <c r="O4362" s="28"/>
      <c r="P4362" s="36" t="str">
        <f t="shared" si="420"/>
        <v/>
      </c>
      <c r="Q4362" s="216" t="str">
        <f t="shared" si="421"/>
        <v/>
      </c>
      <c r="R4362" s="216" t="str">
        <f t="shared" si="422"/>
        <v/>
      </c>
      <c r="S4362" s="217" t="str">
        <f t="shared" si="423"/>
        <v/>
      </c>
    </row>
    <row r="4363" spans="1:19" ht="15.75" hidden="1" thickBot="1" x14ac:dyDescent="0.3">
      <c r="A4363" s="257"/>
      <c r="B4363" s="260"/>
      <c r="C4363" s="31"/>
      <c r="D4363" s="31"/>
      <c r="E4363" s="32"/>
      <c r="F4363" s="53" t="s">
        <v>416</v>
      </c>
      <c r="G4363" s="53" t="str">
        <f t="shared" si="418"/>
        <v/>
      </c>
      <c r="H4363" s="72"/>
      <c r="I4363" s="73"/>
      <c r="J4363" s="152">
        <v>0</v>
      </c>
      <c r="L4363" s="219"/>
      <c r="M4363" s="53"/>
      <c r="N4363" s="53" t="str">
        <f t="shared" si="419"/>
        <v/>
      </c>
      <c r="O4363" s="72"/>
      <c r="P4363" s="36" t="str">
        <f t="shared" si="420"/>
        <v/>
      </c>
      <c r="Q4363" s="216" t="str">
        <f t="shared" si="421"/>
        <v/>
      </c>
      <c r="R4363" s="216" t="str">
        <f t="shared" si="422"/>
        <v/>
      </c>
      <c r="S4363" s="217" t="str">
        <f t="shared" si="423"/>
        <v/>
      </c>
    </row>
    <row r="4364" spans="1:19" ht="26.25" hidden="1" thickBot="1" x14ac:dyDescent="0.3">
      <c r="A4364" s="257"/>
      <c r="B4364" s="260"/>
      <c r="C4364" s="35" t="s">
        <v>1161</v>
      </c>
      <c r="D4364" s="46" t="s">
        <v>861</v>
      </c>
      <c r="E4364" s="36">
        <v>1.1659999999999999</v>
      </c>
      <c r="F4364" s="53" t="s">
        <v>416</v>
      </c>
      <c r="G4364" s="53" t="str">
        <f t="shared" si="418"/>
        <v/>
      </c>
      <c r="H4364" s="38">
        <f>SUM(G4364:G4369)</f>
        <v>13.888257099999999</v>
      </c>
      <c r="I4364" s="39"/>
      <c r="J4364" s="152">
        <v>0</v>
      </c>
      <c r="L4364" s="215">
        <v>1.1659999999999999</v>
      </c>
      <c r="M4364" s="53"/>
      <c r="N4364" s="53" t="str">
        <f t="shared" si="419"/>
        <v/>
      </c>
      <c r="O4364" s="38">
        <f>SUM(N4364:N4369)</f>
        <v>11.8883480776</v>
      </c>
      <c r="P4364" s="36" t="str">
        <f t="shared" si="420"/>
        <v/>
      </c>
      <c r="Q4364" s="216" t="str">
        <f t="shared" si="421"/>
        <v/>
      </c>
      <c r="R4364" s="216" t="str">
        <f t="shared" si="422"/>
        <v/>
      </c>
      <c r="S4364" s="217">
        <f t="shared" si="423"/>
        <v>0.14399999999999991</v>
      </c>
    </row>
    <row r="4365" spans="1:19" ht="39" hidden="1" thickBot="1" x14ac:dyDescent="0.3">
      <c r="A4365" s="257"/>
      <c r="B4365" s="260"/>
      <c r="C4365" s="35" t="s">
        <v>1155</v>
      </c>
      <c r="D4365" s="35" t="s">
        <v>619</v>
      </c>
      <c r="E4365" s="36">
        <v>4.1500000000000004</v>
      </c>
      <c r="F4365" s="53">
        <v>2.2799999999999998</v>
      </c>
      <c r="G4365" s="53">
        <f t="shared" si="418"/>
        <v>9.4619999999999997</v>
      </c>
      <c r="H4365" s="72"/>
      <c r="I4365" s="73"/>
      <c r="J4365" s="152">
        <v>0</v>
      </c>
      <c r="L4365" s="215">
        <v>4.1500000000000004</v>
      </c>
      <c r="M4365" s="53">
        <v>1.9516799999999999</v>
      </c>
      <c r="N4365" s="53">
        <f t="shared" si="419"/>
        <v>8.0994720000000004</v>
      </c>
      <c r="O4365" s="72"/>
      <c r="P4365" s="36" t="str">
        <f t="shared" si="420"/>
        <v/>
      </c>
      <c r="Q4365" s="216">
        <f t="shared" si="421"/>
        <v>0.14400000000000002</v>
      </c>
      <c r="R4365" s="216">
        <f t="shared" si="422"/>
        <v>0.14399999999999991</v>
      </c>
      <c r="S4365" s="217" t="str">
        <f t="shared" si="423"/>
        <v/>
      </c>
    </row>
    <row r="4366" spans="1:19" ht="15.75" hidden="1" thickBot="1" x14ac:dyDescent="0.3">
      <c r="A4366" s="257"/>
      <c r="B4366" s="260"/>
      <c r="C4366" s="35" t="s">
        <v>584</v>
      </c>
      <c r="D4366" s="35" t="s">
        <v>583</v>
      </c>
      <c r="E4366" s="36">
        <v>9.7000000000000003E-2</v>
      </c>
      <c r="F4366" s="53">
        <v>20.225499999999997</v>
      </c>
      <c r="G4366" s="53">
        <f t="shared" si="418"/>
        <v>1.9618734999999998</v>
      </c>
      <c r="H4366" s="72"/>
      <c r="I4366" s="73"/>
      <c r="J4366" s="152">
        <v>0</v>
      </c>
      <c r="L4366" s="215">
        <v>9.7000000000000003E-2</v>
      </c>
      <c r="M4366" s="53">
        <v>17.313027999999996</v>
      </c>
      <c r="N4366" s="53">
        <f t="shared" si="419"/>
        <v>1.6793637159999997</v>
      </c>
      <c r="O4366" s="72"/>
      <c r="P4366" s="36" t="str">
        <f t="shared" si="420"/>
        <v/>
      </c>
      <c r="Q4366" s="216">
        <f t="shared" si="421"/>
        <v>0.14400000000000013</v>
      </c>
      <c r="R4366" s="216">
        <f t="shared" si="422"/>
        <v>0.14400000000000013</v>
      </c>
      <c r="S4366" s="217" t="str">
        <f t="shared" si="423"/>
        <v/>
      </c>
    </row>
    <row r="4367" spans="1:19" ht="15.75" hidden="1" thickBot="1" x14ac:dyDescent="0.3">
      <c r="A4367" s="257"/>
      <c r="B4367" s="260"/>
      <c r="C4367" s="35" t="s">
        <v>1156</v>
      </c>
      <c r="D4367" s="35" t="s">
        <v>583</v>
      </c>
      <c r="E4367" s="36">
        <v>9.0999999999999998E-2</v>
      </c>
      <c r="F4367" s="53">
        <v>26.552499999999998</v>
      </c>
      <c r="G4367" s="53">
        <f t="shared" si="418"/>
        <v>2.4162774999999996</v>
      </c>
      <c r="H4367" s="72"/>
      <c r="I4367" s="73"/>
      <c r="J4367" s="152">
        <v>0</v>
      </c>
      <c r="L4367" s="215">
        <v>9.0999999999999998E-2</v>
      </c>
      <c r="M4367" s="53">
        <v>22.728939999999998</v>
      </c>
      <c r="N4367" s="53">
        <f t="shared" si="419"/>
        <v>2.0683335399999998</v>
      </c>
      <c r="O4367" s="72"/>
      <c r="P4367" s="36" t="str">
        <f t="shared" si="420"/>
        <v/>
      </c>
      <c r="Q4367" s="216">
        <f t="shared" si="421"/>
        <v>0.14400000000000002</v>
      </c>
      <c r="R4367" s="216">
        <f t="shared" si="422"/>
        <v>0.14399999999999991</v>
      </c>
      <c r="S4367" s="217" t="str">
        <f t="shared" si="423"/>
        <v/>
      </c>
    </row>
    <row r="4368" spans="1:19" ht="26.25" hidden="1" thickBot="1" x14ac:dyDescent="0.3">
      <c r="A4368" s="257"/>
      <c r="B4368" s="260"/>
      <c r="C4368" s="35" t="s">
        <v>1157</v>
      </c>
      <c r="D4368" s="35" t="s">
        <v>813</v>
      </c>
      <c r="E4368" s="36">
        <v>8.9999999999999998E-4</v>
      </c>
      <c r="F4368" s="53">
        <v>22.315499999999997</v>
      </c>
      <c r="G4368" s="53">
        <f t="shared" si="418"/>
        <v>2.0083949999999996E-2</v>
      </c>
      <c r="H4368" s="72"/>
      <c r="I4368" s="73"/>
      <c r="J4368" s="152">
        <v>0</v>
      </c>
      <c r="L4368" s="215">
        <v>8.9999999999999998E-4</v>
      </c>
      <c r="M4368" s="53">
        <v>19.102067999999996</v>
      </c>
      <c r="N4368" s="53">
        <f t="shared" si="419"/>
        <v>1.7191861199999995E-2</v>
      </c>
      <c r="O4368" s="72"/>
      <c r="P4368" s="36" t="str">
        <f t="shared" si="420"/>
        <v/>
      </c>
      <c r="Q4368" s="216">
        <f t="shared" si="421"/>
        <v>0.14400000000000002</v>
      </c>
      <c r="R4368" s="216">
        <f t="shared" si="422"/>
        <v>0.14400000000000013</v>
      </c>
      <c r="S4368" s="217" t="str">
        <f t="shared" si="423"/>
        <v/>
      </c>
    </row>
    <row r="4369" spans="1:19" ht="26.25" hidden="1" thickBot="1" x14ac:dyDescent="0.3">
      <c r="A4369" s="257"/>
      <c r="B4369" s="260"/>
      <c r="C4369" s="35" t="s">
        <v>1158</v>
      </c>
      <c r="D4369" s="35" t="s">
        <v>815</v>
      </c>
      <c r="E4369" s="36">
        <v>1.2999999999999999E-3</v>
      </c>
      <c r="F4369" s="53">
        <v>21.555499999999999</v>
      </c>
      <c r="G4369" s="53">
        <f t="shared" si="418"/>
        <v>2.8022149999999996E-2</v>
      </c>
      <c r="H4369" s="72"/>
      <c r="I4369" s="73"/>
      <c r="J4369" s="152">
        <v>0</v>
      </c>
      <c r="L4369" s="215">
        <v>1.2999999999999999E-3</v>
      </c>
      <c r="M4369" s="53">
        <v>18.451508</v>
      </c>
      <c r="N4369" s="53">
        <f t="shared" si="419"/>
        <v>2.39869604E-2</v>
      </c>
      <c r="O4369" s="72"/>
      <c r="P4369" s="36" t="str">
        <f t="shared" si="420"/>
        <v/>
      </c>
      <c r="Q4369" s="216">
        <f t="shared" si="421"/>
        <v>0.14399999999999991</v>
      </c>
      <c r="R4369" s="216">
        <f t="shared" si="422"/>
        <v>0.14399999999999991</v>
      </c>
      <c r="S4369" s="217" t="str">
        <f t="shared" si="423"/>
        <v/>
      </c>
    </row>
    <row r="4370" spans="1:19" ht="15.75" hidden="1" thickBot="1" x14ac:dyDescent="0.3">
      <c r="A4370" s="258"/>
      <c r="B4370" s="261"/>
      <c r="C4370" s="54"/>
      <c r="D4370" s="54"/>
      <c r="E4370" s="65"/>
      <c r="F4370" s="75" t="s">
        <v>416</v>
      </c>
      <c r="G4370" s="75" t="str">
        <f t="shared" si="418"/>
        <v/>
      </c>
      <c r="H4370" s="76"/>
      <c r="I4370" s="73"/>
      <c r="J4370" s="152">
        <v>0</v>
      </c>
      <c r="L4370" s="222"/>
      <c r="M4370" s="75"/>
      <c r="N4370" s="75" t="str">
        <f t="shared" si="419"/>
        <v/>
      </c>
      <c r="O4370" s="76"/>
      <c r="P4370" s="36" t="str">
        <f t="shared" si="420"/>
        <v/>
      </c>
      <c r="Q4370" s="216" t="str">
        <f t="shared" si="421"/>
        <v/>
      </c>
      <c r="R4370" s="216" t="str">
        <f t="shared" si="422"/>
        <v/>
      </c>
      <c r="S4370" s="217" t="str">
        <f t="shared" si="423"/>
        <v/>
      </c>
    </row>
    <row r="4371" spans="1:19" ht="15.75" hidden="1" thickBot="1" x14ac:dyDescent="0.3">
      <c r="A4371" s="256" t="s">
        <v>1162</v>
      </c>
      <c r="B4371" s="259" t="str">
        <f>INDEX(Orçamentária!A:B,MATCH(Composições!A4371,Orçamentária!A:A,0),2)</f>
        <v>Cumeeira para telha metálica trapezoidal galvanizada - GR-25</v>
      </c>
      <c r="C4371" s="40"/>
      <c r="D4371" s="25" t="s">
        <v>69</v>
      </c>
      <c r="E4371" s="26"/>
      <c r="F4371" s="48" t="s">
        <v>416</v>
      </c>
      <c r="G4371" s="27" t="str">
        <f t="shared" si="418"/>
        <v/>
      </c>
      <c r="H4371" s="28"/>
      <c r="I4371" s="29"/>
      <c r="J4371" s="152">
        <v>0</v>
      </c>
      <c r="L4371" s="218"/>
      <c r="M4371" s="48"/>
      <c r="N4371" s="27" t="str">
        <f t="shared" si="419"/>
        <v/>
      </c>
      <c r="O4371" s="28"/>
      <c r="P4371" s="36" t="str">
        <f t="shared" si="420"/>
        <v/>
      </c>
      <c r="Q4371" s="216" t="str">
        <f t="shared" si="421"/>
        <v/>
      </c>
      <c r="R4371" s="216" t="str">
        <f t="shared" si="422"/>
        <v/>
      </c>
      <c r="S4371" s="217" t="str">
        <f t="shared" si="423"/>
        <v/>
      </c>
    </row>
    <row r="4372" spans="1:19" ht="15.75" hidden="1" thickBot="1" x14ac:dyDescent="0.3">
      <c r="A4372" s="257"/>
      <c r="B4372" s="260"/>
      <c r="C4372" s="31"/>
      <c r="D4372" s="31"/>
      <c r="E4372" s="32"/>
      <c r="F4372" s="53" t="s">
        <v>416</v>
      </c>
      <c r="G4372" s="53" t="str">
        <f t="shared" si="418"/>
        <v/>
      </c>
      <c r="H4372" s="72"/>
      <c r="I4372" s="73"/>
      <c r="J4372" s="152">
        <v>0</v>
      </c>
      <c r="L4372" s="219"/>
      <c r="M4372" s="53"/>
      <c r="N4372" s="53" t="str">
        <f t="shared" si="419"/>
        <v/>
      </c>
      <c r="O4372" s="72"/>
      <c r="P4372" s="36" t="str">
        <f t="shared" si="420"/>
        <v/>
      </c>
      <c r="Q4372" s="216" t="str">
        <f t="shared" si="421"/>
        <v/>
      </c>
      <c r="R4372" s="216" t="str">
        <f t="shared" si="422"/>
        <v/>
      </c>
      <c r="S4372" s="217" t="str">
        <f t="shared" si="423"/>
        <v/>
      </c>
    </row>
    <row r="4373" spans="1:19" ht="39" hidden="1" thickBot="1" x14ac:dyDescent="0.3">
      <c r="A4373" s="257"/>
      <c r="B4373" s="260"/>
      <c r="C4373" s="35" t="s">
        <v>1155</v>
      </c>
      <c r="D4373" s="35" t="s">
        <v>619</v>
      </c>
      <c r="E4373" s="36">
        <v>4.1500000000000004</v>
      </c>
      <c r="F4373" s="53">
        <v>2.2799999999999998</v>
      </c>
      <c r="G4373" s="53">
        <f t="shared" si="418"/>
        <v>9.4619999999999997</v>
      </c>
      <c r="H4373" s="38">
        <f>SUM(G4373:G4378)</f>
        <v>12.627823699999999</v>
      </c>
      <c r="I4373" s="39"/>
      <c r="J4373" s="152">
        <v>0</v>
      </c>
      <c r="L4373" s="215">
        <v>4.1500000000000004</v>
      </c>
      <c r="M4373" s="53">
        <v>1.9516799999999999</v>
      </c>
      <c r="N4373" s="53">
        <f t="shared" si="419"/>
        <v>8.0994720000000004</v>
      </c>
      <c r="O4373" s="38">
        <f>SUM(N4373:N4378)</f>
        <v>10.8094170872</v>
      </c>
      <c r="P4373" s="36" t="str">
        <f t="shared" si="420"/>
        <v/>
      </c>
      <c r="Q4373" s="216">
        <f t="shared" si="421"/>
        <v>0.14400000000000002</v>
      </c>
      <c r="R4373" s="216">
        <f t="shared" si="422"/>
        <v>0.14399999999999991</v>
      </c>
      <c r="S4373" s="217">
        <f t="shared" si="423"/>
        <v>0.14399999999999991</v>
      </c>
    </row>
    <row r="4374" spans="1:19" ht="15.75" hidden="1" thickBot="1" x14ac:dyDescent="0.3">
      <c r="A4374" s="257"/>
      <c r="B4374" s="260"/>
      <c r="C4374" s="35" t="s">
        <v>3079</v>
      </c>
      <c r="D4374" s="35" t="s">
        <v>69</v>
      </c>
      <c r="E4374" s="36">
        <v>1.0289999999999999</v>
      </c>
      <c r="F4374" s="53" t="s">
        <v>416</v>
      </c>
      <c r="G4374" s="53" t="str">
        <f t="shared" si="418"/>
        <v/>
      </c>
      <c r="H4374" s="72"/>
      <c r="I4374" s="73"/>
      <c r="J4374" s="152">
        <v>0</v>
      </c>
      <c r="L4374" s="215">
        <v>1.0289999999999999</v>
      </c>
      <c r="M4374" s="53"/>
      <c r="N4374" s="53" t="str">
        <f t="shared" si="419"/>
        <v/>
      </c>
      <c r="O4374" s="72"/>
      <c r="P4374" s="36" t="str">
        <f t="shared" si="420"/>
        <v/>
      </c>
      <c r="Q4374" s="216" t="str">
        <f t="shared" si="421"/>
        <v/>
      </c>
      <c r="R4374" s="216" t="str">
        <f t="shared" si="422"/>
        <v/>
      </c>
      <c r="S4374" s="217" t="str">
        <f t="shared" si="423"/>
        <v/>
      </c>
    </row>
    <row r="4375" spans="1:19" ht="15.75" hidden="1" thickBot="1" x14ac:dyDescent="0.3">
      <c r="A4375" s="257"/>
      <c r="B4375" s="260"/>
      <c r="C4375" s="35" t="s">
        <v>584</v>
      </c>
      <c r="D4375" s="35" t="s">
        <v>583</v>
      </c>
      <c r="E4375" s="36">
        <v>7.2999999999999995E-2</v>
      </c>
      <c r="F4375" s="53">
        <v>20.225499999999997</v>
      </c>
      <c r="G4375" s="53">
        <f t="shared" si="418"/>
        <v>1.4764614999999996</v>
      </c>
      <c r="H4375" s="72"/>
      <c r="I4375" s="73"/>
      <c r="J4375" s="152">
        <v>0</v>
      </c>
      <c r="L4375" s="215">
        <v>7.2999999999999995E-2</v>
      </c>
      <c r="M4375" s="53">
        <v>17.313027999999996</v>
      </c>
      <c r="N4375" s="53">
        <f t="shared" si="419"/>
        <v>1.2638510439999997</v>
      </c>
      <c r="O4375" s="72"/>
      <c r="P4375" s="36" t="str">
        <f t="shared" si="420"/>
        <v/>
      </c>
      <c r="Q4375" s="216">
        <f t="shared" si="421"/>
        <v>0.14400000000000013</v>
      </c>
      <c r="R4375" s="216">
        <f t="shared" si="422"/>
        <v>0.14400000000000002</v>
      </c>
      <c r="S4375" s="217" t="str">
        <f t="shared" si="423"/>
        <v/>
      </c>
    </row>
    <row r="4376" spans="1:19" ht="15.75" hidden="1" thickBot="1" x14ac:dyDescent="0.3">
      <c r="A4376" s="257"/>
      <c r="B4376" s="260"/>
      <c r="C4376" s="35" t="s">
        <v>1156</v>
      </c>
      <c r="D4376" s="35" t="s">
        <v>583</v>
      </c>
      <c r="E4376" s="36">
        <v>0.06</v>
      </c>
      <c r="F4376" s="53">
        <v>26.552499999999998</v>
      </c>
      <c r="G4376" s="53">
        <f t="shared" si="418"/>
        <v>1.5931499999999998</v>
      </c>
      <c r="H4376" s="72"/>
      <c r="I4376" s="73"/>
      <c r="J4376" s="152">
        <v>0</v>
      </c>
      <c r="L4376" s="215">
        <v>0.06</v>
      </c>
      <c r="M4376" s="53">
        <v>22.728939999999998</v>
      </c>
      <c r="N4376" s="53">
        <f t="shared" si="419"/>
        <v>1.3637363999999998</v>
      </c>
      <c r="O4376" s="72"/>
      <c r="P4376" s="36" t="str">
        <f t="shared" si="420"/>
        <v/>
      </c>
      <c r="Q4376" s="216">
        <f t="shared" si="421"/>
        <v>0.14400000000000002</v>
      </c>
      <c r="R4376" s="216">
        <f t="shared" si="422"/>
        <v>0.14400000000000002</v>
      </c>
      <c r="S4376" s="217" t="str">
        <f t="shared" si="423"/>
        <v/>
      </c>
    </row>
    <row r="4377" spans="1:19" ht="26.25" hidden="1" thickBot="1" x14ac:dyDescent="0.3">
      <c r="A4377" s="257"/>
      <c r="B4377" s="260"/>
      <c r="C4377" s="35" t="s">
        <v>1157</v>
      </c>
      <c r="D4377" s="35" t="s">
        <v>813</v>
      </c>
      <c r="E4377" s="36">
        <v>1.8E-3</v>
      </c>
      <c r="F4377" s="53">
        <v>22.315499999999997</v>
      </c>
      <c r="G4377" s="53">
        <f t="shared" si="418"/>
        <v>4.0167899999999992E-2</v>
      </c>
      <c r="H4377" s="72"/>
      <c r="I4377" s="73"/>
      <c r="J4377" s="152">
        <v>0</v>
      </c>
      <c r="L4377" s="215">
        <v>1.8E-3</v>
      </c>
      <c r="M4377" s="53">
        <v>19.102067999999996</v>
      </c>
      <c r="N4377" s="53">
        <f t="shared" si="419"/>
        <v>3.438372239999999E-2</v>
      </c>
      <c r="O4377" s="72"/>
      <c r="P4377" s="36" t="str">
        <f t="shared" si="420"/>
        <v/>
      </c>
      <c r="Q4377" s="216">
        <f t="shared" si="421"/>
        <v>0.14400000000000002</v>
      </c>
      <c r="R4377" s="216">
        <f t="shared" si="422"/>
        <v>0.14400000000000013</v>
      </c>
      <c r="S4377" s="217" t="str">
        <f t="shared" si="423"/>
        <v/>
      </c>
    </row>
    <row r="4378" spans="1:19" ht="26.25" hidden="1" thickBot="1" x14ac:dyDescent="0.3">
      <c r="A4378" s="257"/>
      <c r="B4378" s="260"/>
      <c r="C4378" s="35" t="s">
        <v>1158</v>
      </c>
      <c r="D4378" s="35" t="s">
        <v>815</v>
      </c>
      <c r="E4378" s="36">
        <v>2.5999999999999999E-3</v>
      </c>
      <c r="F4378" s="53">
        <v>21.555499999999999</v>
      </c>
      <c r="G4378" s="53">
        <f t="shared" si="418"/>
        <v>5.6044299999999991E-2</v>
      </c>
      <c r="H4378" s="72"/>
      <c r="I4378" s="73"/>
      <c r="J4378" s="152">
        <v>0</v>
      </c>
      <c r="L4378" s="215">
        <v>2.5999999999999999E-3</v>
      </c>
      <c r="M4378" s="53">
        <v>18.451508</v>
      </c>
      <c r="N4378" s="53">
        <f t="shared" si="419"/>
        <v>4.79739208E-2</v>
      </c>
      <c r="O4378" s="72"/>
      <c r="P4378" s="36" t="str">
        <f t="shared" si="420"/>
        <v/>
      </c>
      <c r="Q4378" s="216">
        <f t="shared" si="421"/>
        <v>0.14399999999999991</v>
      </c>
      <c r="R4378" s="216">
        <f t="shared" si="422"/>
        <v>0.14399999999999991</v>
      </c>
      <c r="S4378" s="217" t="str">
        <f t="shared" si="423"/>
        <v/>
      </c>
    </row>
    <row r="4379" spans="1:19" ht="15.75" hidden="1" thickBot="1" x14ac:dyDescent="0.3">
      <c r="A4379" s="258"/>
      <c r="B4379" s="261"/>
      <c r="C4379" s="54"/>
      <c r="D4379" s="54"/>
      <c r="E4379" s="65"/>
      <c r="F4379" s="75" t="s">
        <v>416</v>
      </c>
      <c r="G4379" s="75" t="str">
        <f t="shared" si="418"/>
        <v/>
      </c>
      <c r="H4379" s="76"/>
      <c r="I4379" s="73"/>
      <c r="J4379" s="152">
        <v>0</v>
      </c>
      <c r="L4379" s="222"/>
      <c r="M4379" s="75"/>
      <c r="N4379" s="75" t="str">
        <f t="shared" si="419"/>
        <v/>
      </c>
      <c r="O4379" s="76"/>
      <c r="P4379" s="36" t="str">
        <f t="shared" si="420"/>
        <v/>
      </c>
      <c r="Q4379" s="216" t="str">
        <f t="shared" si="421"/>
        <v/>
      </c>
      <c r="R4379" s="216" t="str">
        <f t="shared" si="422"/>
        <v/>
      </c>
      <c r="S4379" s="217" t="str">
        <f t="shared" si="423"/>
        <v/>
      </c>
    </row>
    <row r="4380" spans="1:19" ht="15.75" hidden="1" thickBot="1" x14ac:dyDescent="0.3">
      <c r="A4380" s="256" t="s">
        <v>1163</v>
      </c>
      <c r="B4380" s="259" t="str">
        <f>INDEX(Orçamentária!A:B,MATCH(Composições!A4380,Orçamentária!A:A,0),2)</f>
        <v>Telha de fibrocimento modulada - espessura 8 mm</v>
      </c>
      <c r="C4380" s="40"/>
      <c r="D4380" s="25" t="s">
        <v>70</v>
      </c>
      <c r="E4380" s="26"/>
      <c r="F4380" s="48" t="s">
        <v>416</v>
      </c>
      <c r="G4380" s="27" t="str">
        <f t="shared" si="418"/>
        <v/>
      </c>
      <c r="H4380" s="28"/>
      <c r="I4380" s="29"/>
      <c r="J4380" s="152">
        <v>0</v>
      </c>
      <c r="L4380" s="218"/>
      <c r="M4380" s="48"/>
      <c r="N4380" s="27" t="str">
        <f t="shared" si="419"/>
        <v/>
      </c>
      <c r="O4380" s="28"/>
      <c r="P4380" s="36" t="str">
        <f t="shared" si="420"/>
        <v/>
      </c>
      <c r="Q4380" s="216" t="str">
        <f t="shared" si="421"/>
        <v/>
      </c>
      <c r="R4380" s="216" t="str">
        <f t="shared" si="422"/>
        <v/>
      </c>
      <c r="S4380" s="217" t="str">
        <f t="shared" si="423"/>
        <v/>
      </c>
    </row>
    <row r="4381" spans="1:19" ht="15.75" hidden="1" thickBot="1" x14ac:dyDescent="0.3">
      <c r="A4381" s="257"/>
      <c r="B4381" s="260"/>
      <c r="C4381" s="31"/>
      <c r="D4381" s="31"/>
      <c r="E4381" s="32"/>
      <c r="F4381" s="53" t="s">
        <v>416</v>
      </c>
      <c r="G4381" s="53" t="str">
        <f t="shared" si="418"/>
        <v/>
      </c>
      <c r="H4381" s="72"/>
      <c r="I4381" s="73"/>
      <c r="J4381" s="152">
        <v>0</v>
      </c>
      <c r="L4381" s="219"/>
      <c r="M4381" s="53"/>
      <c r="N4381" s="53" t="str">
        <f t="shared" si="419"/>
        <v/>
      </c>
      <c r="O4381" s="72"/>
      <c r="P4381" s="36" t="str">
        <f t="shared" si="420"/>
        <v/>
      </c>
      <c r="Q4381" s="216" t="str">
        <f t="shared" si="421"/>
        <v/>
      </c>
      <c r="R4381" s="216" t="str">
        <f t="shared" si="422"/>
        <v/>
      </c>
      <c r="S4381" s="217" t="str">
        <f t="shared" si="423"/>
        <v/>
      </c>
    </row>
    <row r="4382" spans="1:19" ht="15.75" hidden="1" thickBot="1" x14ac:dyDescent="0.3">
      <c r="A4382" s="257"/>
      <c r="B4382" s="260"/>
      <c r="C4382" s="35" t="s">
        <v>1156</v>
      </c>
      <c r="D4382" s="35" t="s">
        <v>583</v>
      </c>
      <c r="E4382" s="36">
        <v>0.3</v>
      </c>
      <c r="F4382" s="53">
        <v>26.552499999999998</v>
      </c>
      <c r="G4382" s="53">
        <f t="shared" si="418"/>
        <v>7.965749999999999</v>
      </c>
      <c r="H4382" s="38">
        <f>SUM(G4382:G4388)</f>
        <v>20.101049999999997</v>
      </c>
      <c r="I4382" s="39"/>
      <c r="J4382" s="152">
        <v>0</v>
      </c>
      <c r="L4382" s="215">
        <v>0.3</v>
      </c>
      <c r="M4382" s="53">
        <v>22.728939999999998</v>
      </c>
      <c r="N4382" s="53">
        <f t="shared" si="419"/>
        <v>6.818681999999999</v>
      </c>
      <c r="O4382" s="38">
        <f>SUM(N4382:N4388)</f>
        <v>17.206498799999999</v>
      </c>
      <c r="P4382" s="36" t="str">
        <f t="shared" si="420"/>
        <v/>
      </c>
      <c r="Q4382" s="216">
        <f t="shared" si="421"/>
        <v>0.14400000000000002</v>
      </c>
      <c r="R4382" s="216">
        <f t="shared" si="422"/>
        <v>0.14400000000000002</v>
      </c>
      <c r="S4382" s="217">
        <f t="shared" si="423"/>
        <v>0.14399999999999991</v>
      </c>
    </row>
    <row r="4383" spans="1:19" ht="15.75" hidden="1" thickBot="1" x14ac:dyDescent="0.3">
      <c r="A4383" s="257"/>
      <c r="B4383" s="260"/>
      <c r="C4383" s="35" t="s">
        <v>584</v>
      </c>
      <c r="D4383" s="35" t="s">
        <v>583</v>
      </c>
      <c r="E4383" s="36">
        <v>0.6</v>
      </c>
      <c r="F4383" s="53">
        <v>20.225499999999997</v>
      </c>
      <c r="G4383" s="53">
        <f t="shared" si="418"/>
        <v>12.135299999999997</v>
      </c>
      <c r="H4383" s="72"/>
      <c r="I4383" s="73"/>
      <c r="J4383" s="152">
        <v>0</v>
      </c>
      <c r="L4383" s="215">
        <v>0.6</v>
      </c>
      <c r="M4383" s="53">
        <v>17.313027999999996</v>
      </c>
      <c r="N4383" s="53">
        <f t="shared" si="419"/>
        <v>10.387816799999998</v>
      </c>
      <c r="O4383" s="72"/>
      <c r="P4383" s="36" t="str">
        <f t="shared" si="420"/>
        <v/>
      </c>
      <c r="Q4383" s="216">
        <f t="shared" si="421"/>
        <v>0.14400000000000013</v>
      </c>
      <c r="R4383" s="216">
        <f t="shared" si="422"/>
        <v>0.14400000000000002</v>
      </c>
      <c r="S4383" s="217" t="str">
        <f t="shared" si="423"/>
        <v/>
      </c>
    </row>
    <row r="4384" spans="1:19" ht="15.75" hidden="1" thickBot="1" x14ac:dyDescent="0.3">
      <c r="A4384" s="257"/>
      <c r="B4384" s="260"/>
      <c r="C4384" s="35" t="s">
        <v>1164</v>
      </c>
      <c r="D4384" s="35" t="s">
        <v>213</v>
      </c>
      <c r="E4384" s="36">
        <v>1.1100000000000001</v>
      </c>
      <c r="F4384" s="53">
        <v>0</v>
      </c>
      <c r="G4384" s="53">
        <f t="shared" si="418"/>
        <v>0</v>
      </c>
      <c r="H4384" s="72"/>
      <c r="I4384" s="73"/>
      <c r="J4384" s="152">
        <v>0</v>
      </c>
      <c r="L4384" s="215">
        <v>1.1100000000000001</v>
      </c>
      <c r="M4384" s="53">
        <v>0</v>
      </c>
      <c r="N4384" s="53">
        <f t="shared" si="419"/>
        <v>0</v>
      </c>
      <c r="O4384" s="72"/>
      <c r="P4384" s="36" t="str">
        <f t="shared" si="420"/>
        <v/>
      </c>
      <c r="Q4384" s="216" t="e">
        <f t="shared" si="421"/>
        <v>#DIV/0!</v>
      </c>
      <c r="R4384" s="216" t="e">
        <f t="shared" si="422"/>
        <v>#DIV/0!</v>
      </c>
      <c r="S4384" s="217" t="str">
        <f t="shared" si="423"/>
        <v/>
      </c>
    </row>
    <row r="4385" spans="1:19" ht="15.75" hidden="1" thickBot="1" x14ac:dyDescent="0.3">
      <c r="A4385" s="257"/>
      <c r="B4385" s="260"/>
      <c r="C4385" s="35" t="s">
        <v>1165</v>
      </c>
      <c r="D4385" s="35" t="s">
        <v>70</v>
      </c>
      <c r="E4385" s="36">
        <v>1.24</v>
      </c>
      <c r="F4385" s="53">
        <v>0</v>
      </c>
      <c r="G4385" s="53">
        <f t="shared" si="418"/>
        <v>0</v>
      </c>
      <c r="H4385" s="72"/>
      <c r="I4385" s="73"/>
      <c r="J4385" s="152">
        <v>0</v>
      </c>
      <c r="L4385" s="215">
        <v>1.24</v>
      </c>
      <c r="M4385" s="53">
        <v>0</v>
      </c>
      <c r="N4385" s="53">
        <f t="shared" si="419"/>
        <v>0</v>
      </c>
      <c r="O4385" s="72"/>
      <c r="P4385" s="36" t="str">
        <f t="shared" si="420"/>
        <v/>
      </c>
      <c r="Q4385" s="216" t="e">
        <f t="shared" si="421"/>
        <v>#DIV/0!</v>
      </c>
      <c r="R4385" s="216" t="e">
        <f t="shared" si="422"/>
        <v>#DIV/0!</v>
      </c>
      <c r="S4385" s="217" t="str">
        <f t="shared" si="423"/>
        <v/>
      </c>
    </row>
    <row r="4386" spans="1:19" ht="26.25" hidden="1" thickBot="1" x14ac:dyDescent="0.3">
      <c r="A4386" s="257"/>
      <c r="B4386" s="260"/>
      <c r="C4386" s="35" t="s">
        <v>1166</v>
      </c>
      <c r="D4386" s="35" t="s">
        <v>213</v>
      </c>
      <c r="E4386" s="36">
        <v>1.1100000000000001</v>
      </c>
      <c r="F4386" s="53">
        <v>0</v>
      </c>
      <c r="G4386" s="53">
        <f t="shared" si="418"/>
        <v>0</v>
      </c>
      <c r="H4386" s="72"/>
      <c r="I4386" s="73"/>
      <c r="J4386" s="152">
        <v>0</v>
      </c>
      <c r="L4386" s="215">
        <v>1.1100000000000001</v>
      </c>
      <c r="M4386" s="53">
        <v>0</v>
      </c>
      <c r="N4386" s="53">
        <f t="shared" si="419"/>
        <v>0</v>
      </c>
      <c r="O4386" s="72"/>
      <c r="P4386" s="36" t="str">
        <f t="shared" si="420"/>
        <v/>
      </c>
      <c r="Q4386" s="216" t="e">
        <f t="shared" si="421"/>
        <v>#DIV/0!</v>
      </c>
      <c r="R4386" s="216" t="e">
        <f t="shared" si="422"/>
        <v>#DIV/0!</v>
      </c>
      <c r="S4386" s="217" t="str">
        <f t="shared" si="423"/>
        <v/>
      </c>
    </row>
    <row r="4387" spans="1:19" ht="15.75" hidden="1" thickBot="1" x14ac:dyDescent="0.3">
      <c r="A4387" s="257"/>
      <c r="B4387" s="260"/>
      <c r="C4387" s="35" t="s">
        <v>1167</v>
      </c>
      <c r="D4387" s="35" t="s">
        <v>213</v>
      </c>
      <c r="E4387" s="36">
        <v>1</v>
      </c>
      <c r="F4387" s="53">
        <v>0</v>
      </c>
      <c r="G4387" s="53">
        <f t="shared" si="418"/>
        <v>0</v>
      </c>
      <c r="H4387" s="72"/>
      <c r="I4387" s="73"/>
      <c r="J4387" s="152">
        <v>0</v>
      </c>
      <c r="L4387" s="215">
        <v>1</v>
      </c>
      <c r="M4387" s="53">
        <v>0</v>
      </c>
      <c r="N4387" s="53">
        <f t="shared" si="419"/>
        <v>0</v>
      </c>
      <c r="O4387" s="72"/>
      <c r="P4387" s="36" t="str">
        <f t="shared" si="420"/>
        <v/>
      </c>
      <c r="Q4387" s="216" t="e">
        <f t="shared" si="421"/>
        <v>#DIV/0!</v>
      </c>
      <c r="R4387" s="216" t="e">
        <f t="shared" si="422"/>
        <v>#DIV/0!</v>
      </c>
      <c r="S4387" s="217" t="str">
        <f t="shared" si="423"/>
        <v/>
      </c>
    </row>
    <row r="4388" spans="1:19" ht="15.75" hidden="1" thickBot="1" x14ac:dyDescent="0.3">
      <c r="A4388" s="257"/>
      <c r="B4388" s="260"/>
      <c r="C4388" s="35" t="s">
        <v>1168</v>
      </c>
      <c r="D4388" s="35" t="s">
        <v>213</v>
      </c>
      <c r="E4388" s="36">
        <v>1.1100000000000001</v>
      </c>
      <c r="F4388" s="53">
        <v>0</v>
      </c>
      <c r="G4388" s="53">
        <f t="shared" si="418"/>
        <v>0</v>
      </c>
      <c r="H4388" s="72"/>
      <c r="I4388" s="73"/>
      <c r="J4388" s="152">
        <v>0</v>
      </c>
      <c r="L4388" s="215">
        <v>1.1100000000000001</v>
      </c>
      <c r="M4388" s="53">
        <v>0</v>
      </c>
      <c r="N4388" s="53">
        <f t="shared" si="419"/>
        <v>0</v>
      </c>
      <c r="O4388" s="72"/>
      <c r="P4388" s="36" t="str">
        <f t="shared" si="420"/>
        <v/>
      </c>
      <c r="Q4388" s="216" t="e">
        <f t="shared" si="421"/>
        <v>#DIV/0!</v>
      </c>
      <c r="R4388" s="216" t="e">
        <f t="shared" si="422"/>
        <v>#DIV/0!</v>
      </c>
      <c r="S4388" s="217" t="str">
        <f t="shared" si="423"/>
        <v/>
      </c>
    </row>
    <row r="4389" spans="1:19" ht="15.75" hidden="1" thickBot="1" x14ac:dyDescent="0.3">
      <c r="A4389" s="258"/>
      <c r="B4389" s="261"/>
      <c r="C4389" s="54"/>
      <c r="D4389" s="54"/>
      <c r="E4389" s="65"/>
      <c r="F4389" s="75" t="s">
        <v>416</v>
      </c>
      <c r="G4389" s="75" t="str">
        <f t="shared" si="418"/>
        <v/>
      </c>
      <c r="H4389" s="76"/>
      <c r="I4389" s="73"/>
      <c r="J4389" s="152">
        <v>0</v>
      </c>
      <c r="L4389" s="222"/>
      <c r="M4389" s="75"/>
      <c r="N4389" s="75" t="str">
        <f t="shared" si="419"/>
        <v/>
      </c>
      <c r="O4389" s="76"/>
      <c r="P4389" s="36" t="str">
        <f t="shared" si="420"/>
        <v/>
      </c>
      <c r="Q4389" s="216" t="str">
        <f t="shared" si="421"/>
        <v/>
      </c>
      <c r="R4389" s="216" t="str">
        <f t="shared" si="422"/>
        <v/>
      </c>
      <c r="S4389" s="217" t="str">
        <f t="shared" si="423"/>
        <v/>
      </c>
    </row>
    <row r="4390" spans="1:19" ht="15.75" hidden="1" thickBot="1" x14ac:dyDescent="0.3">
      <c r="A4390" s="256" t="s">
        <v>1169</v>
      </c>
      <c r="B4390" s="259" t="str">
        <f>INDEX(Orçamentária!A:B,MATCH(Composições!A4390,Orçamentária!A:A,0),2)</f>
        <v>Cumeeira articulada ABA SUPERIOR de fibrocimento para telha modulada - espessura 6 mm</v>
      </c>
      <c r="C4390" s="40"/>
      <c r="D4390" s="25" t="s">
        <v>69</v>
      </c>
      <c r="E4390" s="26"/>
      <c r="F4390" s="48" t="s">
        <v>416</v>
      </c>
      <c r="G4390" s="27" t="str">
        <f t="shared" si="418"/>
        <v/>
      </c>
      <c r="H4390" s="28"/>
      <c r="I4390" s="29"/>
      <c r="J4390" s="152">
        <v>0</v>
      </c>
      <c r="L4390" s="218"/>
      <c r="M4390" s="48"/>
      <c r="N4390" s="27" t="str">
        <f t="shared" si="419"/>
        <v/>
      </c>
      <c r="O4390" s="28"/>
      <c r="P4390" s="36" t="str">
        <f t="shared" si="420"/>
        <v/>
      </c>
      <c r="Q4390" s="216" t="str">
        <f t="shared" si="421"/>
        <v/>
      </c>
      <c r="R4390" s="216" t="str">
        <f t="shared" si="422"/>
        <v/>
      </c>
      <c r="S4390" s="217" t="str">
        <f t="shared" si="423"/>
        <v/>
      </c>
    </row>
    <row r="4391" spans="1:19" ht="15.75" hidden="1" thickBot="1" x14ac:dyDescent="0.3">
      <c r="A4391" s="257"/>
      <c r="B4391" s="260"/>
      <c r="C4391" s="31"/>
      <c r="D4391" s="31"/>
      <c r="E4391" s="32"/>
      <c r="F4391" s="53" t="s">
        <v>416</v>
      </c>
      <c r="G4391" s="53" t="str">
        <f t="shared" si="418"/>
        <v/>
      </c>
      <c r="H4391" s="72"/>
      <c r="I4391" s="73"/>
      <c r="J4391" s="152">
        <v>0</v>
      </c>
      <c r="L4391" s="219"/>
      <c r="M4391" s="53"/>
      <c r="N4391" s="53" t="str">
        <f t="shared" si="419"/>
        <v/>
      </c>
      <c r="O4391" s="72"/>
      <c r="P4391" s="36" t="str">
        <f t="shared" si="420"/>
        <v/>
      </c>
      <c r="Q4391" s="216" t="str">
        <f t="shared" si="421"/>
        <v/>
      </c>
      <c r="R4391" s="216" t="str">
        <f t="shared" si="422"/>
        <v/>
      </c>
      <c r="S4391" s="217" t="str">
        <f t="shared" si="423"/>
        <v/>
      </c>
    </row>
    <row r="4392" spans="1:19" ht="15.75" hidden="1" thickBot="1" x14ac:dyDescent="0.3">
      <c r="A4392" s="257"/>
      <c r="B4392" s="260"/>
      <c r="C4392" s="35" t="s">
        <v>1156</v>
      </c>
      <c r="D4392" s="35" t="s">
        <v>583</v>
      </c>
      <c r="E4392" s="36">
        <f>0.12/2</f>
        <v>0.06</v>
      </c>
      <c r="F4392" s="53">
        <v>26.552499999999998</v>
      </c>
      <c r="G4392" s="53">
        <f t="shared" si="418"/>
        <v>1.5931499999999998</v>
      </c>
      <c r="H4392" s="38">
        <f>SUM(G4392:G4396)</f>
        <v>2.8066799999999996</v>
      </c>
      <c r="I4392" s="39"/>
      <c r="J4392" s="152">
        <v>0</v>
      </c>
      <c r="L4392" s="215">
        <v>0.06</v>
      </c>
      <c r="M4392" s="53">
        <v>22.728939999999998</v>
      </c>
      <c r="N4392" s="53">
        <f t="shared" si="419"/>
        <v>1.3637363999999998</v>
      </c>
      <c r="O4392" s="38">
        <f>SUM(N4392:N4396)</f>
        <v>2.4025180799999992</v>
      </c>
      <c r="P4392" s="36" t="str">
        <f t="shared" si="420"/>
        <v/>
      </c>
      <c r="Q4392" s="216">
        <f t="shared" si="421"/>
        <v>0.14400000000000002</v>
      </c>
      <c r="R4392" s="216">
        <f t="shared" si="422"/>
        <v>0.14400000000000002</v>
      </c>
      <c r="S4392" s="217">
        <f t="shared" si="423"/>
        <v>0.14400000000000013</v>
      </c>
    </row>
    <row r="4393" spans="1:19" ht="15.75" hidden="1" thickBot="1" x14ac:dyDescent="0.3">
      <c r="A4393" s="257"/>
      <c r="B4393" s="260"/>
      <c r="C4393" s="35" t="s">
        <v>584</v>
      </c>
      <c r="D4393" s="35" t="s">
        <v>583</v>
      </c>
      <c r="E4393" s="36">
        <f>0.12/2</f>
        <v>0.06</v>
      </c>
      <c r="F4393" s="53">
        <v>20.225499999999997</v>
      </c>
      <c r="G4393" s="53">
        <f t="shared" si="418"/>
        <v>1.2135299999999998</v>
      </c>
      <c r="H4393" s="72"/>
      <c r="I4393" s="73"/>
      <c r="J4393" s="152">
        <v>0</v>
      </c>
      <c r="L4393" s="215">
        <v>0.06</v>
      </c>
      <c r="M4393" s="53">
        <v>17.313027999999996</v>
      </c>
      <c r="N4393" s="53">
        <f t="shared" si="419"/>
        <v>1.0387816799999996</v>
      </c>
      <c r="O4393" s="72"/>
      <c r="P4393" s="36" t="str">
        <f t="shared" si="420"/>
        <v/>
      </c>
      <c r="Q4393" s="216">
        <f t="shared" si="421"/>
        <v>0.14400000000000013</v>
      </c>
      <c r="R4393" s="216">
        <f t="shared" si="422"/>
        <v>0.14400000000000013</v>
      </c>
      <c r="S4393" s="217" t="str">
        <f t="shared" si="423"/>
        <v/>
      </c>
    </row>
    <row r="4394" spans="1:19" ht="15.75" hidden="1" thickBot="1" x14ac:dyDescent="0.3">
      <c r="A4394" s="257"/>
      <c r="B4394" s="260"/>
      <c r="C4394" s="35" t="s">
        <v>1164</v>
      </c>
      <c r="D4394" s="35" t="s">
        <v>213</v>
      </c>
      <c r="E4394" s="36">
        <f>4.12/2</f>
        <v>2.06</v>
      </c>
      <c r="F4394" s="53">
        <v>0</v>
      </c>
      <c r="G4394" s="53">
        <f t="shared" si="418"/>
        <v>0</v>
      </c>
      <c r="H4394" s="72"/>
      <c r="I4394" s="73"/>
      <c r="J4394" s="152">
        <v>0</v>
      </c>
      <c r="L4394" s="215">
        <v>2.06</v>
      </c>
      <c r="M4394" s="53">
        <v>0</v>
      </c>
      <c r="N4394" s="53">
        <f t="shared" si="419"/>
        <v>0</v>
      </c>
      <c r="O4394" s="72"/>
      <c r="P4394" s="36" t="str">
        <f t="shared" si="420"/>
        <v/>
      </c>
      <c r="Q4394" s="216" t="e">
        <f t="shared" si="421"/>
        <v>#DIV/0!</v>
      </c>
      <c r="R4394" s="216" t="e">
        <f t="shared" si="422"/>
        <v>#DIV/0!</v>
      </c>
      <c r="S4394" s="217" t="str">
        <f t="shared" si="423"/>
        <v/>
      </c>
    </row>
    <row r="4395" spans="1:19" ht="26.25" hidden="1" thickBot="1" x14ac:dyDescent="0.3">
      <c r="A4395" s="257"/>
      <c r="B4395" s="260"/>
      <c r="C4395" s="35" t="s">
        <v>1170</v>
      </c>
      <c r="D4395" s="35" t="s">
        <v>213</v>
      </c>
      <c r="E4395" s="36">
        <v>2.06</v>
      </c>
      <c r="F4395" s="53">
        <v>0</v>
      </c>
      <c r="G4395" s="53">
        <f t="shared" si="418"/>
        <v>0</v>
      </c>
      <c r="H4395" s="72"/>
      <c r="I4395" s="73"/>
      <c r="J4395" s="152">
        <v>0</v>
      </c>
      <c r="L4395" s="215">
        <v>2.06</v>
      </c>
      <c r="M4395" s="53">
        <v>0</v>
      </c>
      <c r="N4395" s="53">
        <f t="shared" si="419"/>
        <v>0</v>
      </c>
      <c r="O4395" s="72"/>
      <c r="P4395" s="36" t="str">
        <f t="shared" si="420"/>
        <v/>
      </c>
      <c r="Q4395" s="216" t="e">
        <f t="shared" si="421"/>
        <v>#DIV/0!</v>
      </c>
      <c r="R4395" s="216" t="e">
        <f t="shared" si="422"/>
        <v>#DIV/0!</v>
      </c>
      <c r="S4395" s="217" t="str">
        <f t="shared" si="423"/>
        <v/>
      </c>
    </row>
    <row r="4396" spans="1:19" ht="15.75" hidden="1" thickBot="1" x14ac:dyDescent="0.3">
      <c r="A4396" s="257"/>
      <c r="B4396" s="260"/>
      <c r="C4396" s="35" t="s">
        <v>1168</v>
      </c>
      <c r="D4396" s="35" t="s">
        <v>213</v>
      </c>
      <c r="E4396" s="36">
        <f>4.12/2</f>
        <v>2.06</v>
      </c>
      <c r="F4396" s="53">
        <v>0</v>
      </c>
      <c r="G4396" s="53">
        <f t="shared" si="418"/>
        <v>0</v>
      </c>
      <c r="H4396" s="72"/>
      <c r="I4396" s="73"/>
      <c r="J4396" s="152">
        <v>0</v>
      </c>
      <c r="L4396" s="215">
        <v>2.06</v>
      </c>
      <c r="M4396" s="53">
        <v>0</v>
      </c>
      <c r="N4396" s="53">
        <f t="shared" si="419"/>
        <v>0</v>
      </c>
      <c r="O4396" s="72"/>
      <c r="P4396" s="36" t="str">
        <f t="shared" si="420"/>
        <v/>
      </c>
      <c r="Q4396" s="216" t="e">
        <f t="shared" si="421"/>
        <v>#DIV/0!</v>
      </c>
      <c r="R4396" s="216" t="e">
        <f t="shared" si="422"/>
        <v>#DIV/0!</v>
      </c>
      <c r="S4396" s="217" t="str">
        <f t="shared" si="423"/>
        <v/>
      </c>
    </row>
    <row r="4397" spans="1:19" ht="15.75" hidden="1" thickBot="1" x14ac:dyDescent="0.3">
      <c r="A4397" s="258"/>
      <c r="B4397" s="261"/>
      <c r="C4397" s="54"/>
      <c r="D4397" s="54"/>
      <c r="E4397" s="65"/>
      <c r="F4397" s="75" t="s">
        <v>416</v>
      </c>
      <c r="G4397" s="75" t="str">
        <f t="shared" si="418"/>
        <v/>
      </c>
      <c r="H4397" s="76"/>
      <c r="I4397" s="73"/>
      <c r="J4397" s="152">
        <v>0</v>
      </c>
      <c r="L4397" s="222"/>
      <c r="M4397" s="75"/>
      <c r="N4397" s="75" t="str">
        <f t="shared" si="419"/>
        <v/>
      </c>
      <c r="O4397" s="76"/>
      <c r="P4397" s="36" t="str">
        <f t="shared" si="420"/>
        <v/>
      </c>
      <c r="Q4397" s="216" t="str">
        <f t="shared" si="421"/>
        <v/>
      </c>
      <c r="R4397" s="216" t="str">
        <f t="shared" si="422"/>
        <v/>
      </c>
      <c r="S4397" s="217" t="str">
        <f t="shared" si="423"/>
        <v/>
      </c>
    </row>
    <row r="4398" spans="1:19" ht="15.75" hidden="1" thickBot="1" x14ac:dyDescent="0.3">
      <c r="A4398" s="256" t="s">
        <v>1171</v>
      </c>
      <c r="B4398" s="259" t="str">
        <f>INDEX(Orçamentária!A:B,MATCH(Composições!A4398,Orçamentária!A:A,0),2)</f>
        <v>Cumeeira articulada ABA INFERIOR de fibrocimento para telha modulada - espessura 6 mm</v>
      </c>
      <c r="C4398" s="40"/>
      <c r="D4398" s="25" t="s">
        <v>69</v>
      </c>
      <c r="E4398" s="26"/>
      <c r="F4398" s="48" t="s">
        <v>416</v>
      </c>
      <c r="G4398" s="27" t="str">
        <f t="shared" si="418"/>
        <v/>
      </c>
      <c r="H4398" s="28"/>
      <c r="I4398" s="29"/>
      <c r="J4398" s="152">
        <v>0</v>
      </c>
      <c r="L4398" s="218"/>
      <c r="M4398" s="48"/>
      <c r="N4398" s="27" t="str">
        <f t="shared" si="419"/>
        <v/>
      </c>
      <c r="O4398" s="28"/>
      <c r="P4398" s="36" t="str">
        <f t="shared" si="420"/>
        <v/>
      </c>
      <c r="Q4398" s="216" t="str">
        <f t="shared" si="421"/>
        <v/>
      </c>
      <c r="R4398" s="216" t="str">
        <f t="shared" si="422"/>
        <v/>
      </c>
      <c r="S4398" s="217" t="str">
        <f t="shared" si="423"/>
        <v/>
      </c>
    </row>
    <row r="4399" spans="1:19" ht="15.75" hidden="1" thickBot="1" x14ac:dyDescent="0.3">
      <c r="A4399" s="257"/>
      <c r="B4399" s="260"/>
      <c r="C4399" s="31"/>
      <c r="D4399" s="31"/>
      <c r="E4399" s="32"/>
      <c r="F4399" s="53" t="s">
        <v>416</v>
      </c>
      <c r="G4399" s="53" t="str">
        <f t="shared" si="418"/>
        <v/>
      </c>
      <c r="H4399" s="72"/>
      <c r="I4399" s="73"/>
      <c r="J4399" s="152">
        <v>0</v>
      </c>
      <c r="L4399" s="219"/>
      <c r="M4399" s="53"/>
      <c r="N4399" s="53" t="str">
        <f t="shared" si="419"/>
        <v/>
      </c>
      <c r="O4399" s="72"/>
      <c r="P4399" s="36" t="str">
        <f t="shared" si="420"/>
        <v/>
      </c>
      <c r="Q4399" s="216" t="str">
        <f t="shared" si="421"/>
        <v/>
      </c>
      <c r="R4399" s="216" t="str">
        <f t="shared" si="422"/>
        <v/>
      </c>
      <c r="S4399" s="217" t="str">
        <f t="shared" si="423"/>
        <v/>
      </c>
    </row>
    <row r="4400" spans="1:19" ht="15.75" hidden="1" thickBot="1" x14ac:dyDescent="0.3">
      <c r="A4400" s="257"/>
      <c r="B4400" s="260"/>
      <c r="C4400" s="35" t="s">
        <v>1156</v>
      </c>
      <c r="D4400" s="35" t="s">
        <v>583</v>
      </c>
      <c r="E4400" s="36">
        <f>0.12/2</f>
        <v>0.06</v>
      </c>
      <c r="F4400" s="53">
        <v>26.552499999999998</v>
      </c>
      <c r="G4400" s="53">
        <f t="shared" si="418"/>
        <v>1.5931499999999998</v>
      </c>
      <c r="H4400" s="38">
        <f>SUM(G4400:G4404)</f>
        <v>2.8066799999999996</v>
      </c>
      <c r="I4400" s="39"/>
      <c r="J4400" s="152">
        <v>0</v>
      </c>
      <c r="L4400" s="215">
        <v>0.06</v>
      </c>
      <c r="M4400" s="53">
        <v>22.728939999999998</v>
      </c>
      <c r="N4400" s="53">
        <f t="shared" si="419"/>
        <v>1.3637363999999998</v>
      </c>
      <c r="O4400" s="38">
        <f>SUM(N4400:N4404)</f>
        <v>2.4025180799999992</v>
      </c>
      <c r="P4400" s="36" t="str">
        <f t="shared" si="420"/>
        <v/>
      </c>
      <c r="Q4400" s="216">
        <f t="shared" si="421"/>
        <v>0.14400000000000002</v>
      </c>
      <c r="R4400" s="216">
        <f t="shared" si="422"/>
        <v>0.14400000000000002</v>
      </c>
      <c r="S4400" s="217">
        <f t="shared" si="423"/>
        <v>0.14400000000000013</v>
      </c>
    </row>
    <row r="4401" spans="1:19" ht="15.75" hidden="1" thickBot="1" x14ac:dyDescent="0.3">
      <c r="A4401" s="257"/>
      <c r="B4401" s="260"/>
      <c r="C4401" s="35" t="s">
        <v>584</v>
      </c>
      <c r="D4401" s="35" t="s">
        <v>583</v>
      </c>
      <c r="E4401" s="36">
        <f>0.12/2</f>
        <v>0.06</v>
      </c>
      <c r="F4401" s="53">
        <v>20.225499999999997</v>
      </c>
      <c r="G4401" s="53">
        <f t="shared" si="418"/>
        <v>1.2135299999999998</v>
      </c>
      <c r="H4401" s="72"/>
      <c r="I4401" s="73"/>
      <c r="J4401" s="152">
        <v>0</v>
      </c>
      <c r="L4401" s="215">
        <v>0.06</v>
      </c>
      <c r="M4401" s="53">
        <v>17.313027999999996</v>
      </c>
      <c r="N4401" s="53">
        <f t="shared" si="419"/>
        <v>1.0387816799999996</v>
      </c>
      <c r="O4401" s="72"/>
      <c r="P4401" s="36" t="str">
        <f t="shared" si="420"/>
        <v/>
      </c>
      <c r="Q4401" s="216">
        <f t="shared" si="421"/>
        <v>0.14400000000000013</v>
      </c>
      <c r="R4401" s="216">
        <f t="shared" si="422"/>
        <v>0.14400000000000013</v>
      </c>
      <c r="S4401" s="217" t="str">
        <f t="shared" si="423"/>
        <v/>
      </c>
    </row>
    <row r="4402" spans="1:19" ht="15.75" hidden="1" thickBot="1" x14ac:dyDescent="0.3">
      <c r="A4402" s="257"/>
      <c r="B4402" s="260"/>
      <c r="C4402" s="35" t="s">
        <v>1164</v>
      </c>
      <c r="D4402" s="35" t="s">
        <v>213</v>
      </c>
      <c r="E4402" s="36">
        <f>4.12/2</f>
        <v>2.06</v>
      </c>
      <c r="F4402" s="53">
        <v>0</v>
      </c>
      <c r="G4402" s="53">
        <f t="shared" si="418"/>
        <v>0</v>
      </c>
      <c r="H4402" s="72"/>
      <c r="I4402" s="73"/>
      <c r="J4402" s="152">
        <v>0</v>
      </c>
      <c r="L4402" s="215">
        <v>2.06</v>
      </c>
      <c r="M4402" s="53">
        <v>0</v>
      </c>
      <c r="N4402" s="53">
        <f t="shared" si="419"/>
        <v>0</v>
      </c>
      <c r="O4402" s="72"/>
      <c r="P4402" s="36" t="str">
        <f t="shared" si="420"/>
        <v/>
      </c>
      <c r="Q4402" s="216" t="e">
        <f t="shared" si="421"/>
        <v>#DIV/0!</v>
      </c>
      <c r="R4402" s="216" t="e">
        <f t="shared" si="422"/>
        <v>#DIV/0!</v>
      </c>
      <c r="S4402" s="217" t="str">
        <f t="shared" si="423"/>
        <v/>
      </c>
    </row>
    <row r="4403" spans="1:19" ht="26.25" hidden="1" thickBot="1" x14ac:dyDescent="0.3">
      <c r="A4403" s="257"/>
      <c r="B4403" s="260"/>
      <c r="C4403" s="35" t="s">
        <v>1172</v>
      </c>
      <c r="D4403" s="35" t="s">
        <v>213</v>
      </c>
      <c r="E4403" s="36">
        <v>2.06</v>
      </c>
      <c r="F4403" s="53">
        <v>0</v>
      </c>
      <c r="G4403" s="53">
        <f t="shared" si="418"/>
        <v>0</v>
      </c>
      <c r="H4403" s="72"/>
      <c r="I4403" s="73"/>
      <c r="J4403" s="152">
        <v>0</v>
      </c>
      <c r="L4403" s="215">
        <v>2.06</v>
      </c>
      <c r="M4403" s="53">
        <v>0</v>
      </c>
      <c r="N4403" s="53">
        <f t="shared" si="419"/>
        <v>0</v>
      </c>
      <c r="O4403" s="72"/>
      <c r="P4403" s="36" t="str">
        <f t="shared" si="420"/>
        <v/>
      </c>
      <c r="Q4403" s="216" t="e">
        <f t="shared" si="421"/>
        <v>#DIV/0!</v>
      </c>
      <c r="R4403" s="216" t="e">
        <f t="shared" si="422"/>
        <v>#DIV/0!</v>
      </c>
      <c r="S4403" s="217" t="str">
        <f t="shared" si="423"/>
        <v/>
      </c>
    </row>
    <row r="4404" spans="1:19" ht="15.75" hidden="1" thickBot="1" x14ac:dyDescent="0.3">
      <c r="A4404" s="257"/>
      <c r="B4404" s="260"/>
      <c r="C4404" s="35" t="s">
        <v>1168</v>
      </c>
      <c r="D4404" s="35" t="s">
        <v>213</v>
      </c>
      <c r="E4404" s="36">
        <f>4.12/2</f>
        <v>2.06</v>
      </c>
      <c r="F4404" s="53">
        <v>0</v>
      </c>
      <c r="G4404" s="53">
        <f t="shared" si="418"/>
        <v>0</v>
      </c>
      <c r="H4404" s="72"/>
      <c r="I4404" s="73"/>
      <c r="J4404" s="152">
        <v>0</v>
      </c>
      <c r="L4404" s="215">
        <v>2.06</v>
      </c>
      <c r="M4404" s="53">
        <v>0</v>
      </c>
      <c r="N4404" s="53">
        <f t="shared" si="419"/>
        <v>0</v>
      </c>
      <c r="O4404" s="72"/>
      <c r="P4404" s="36" t="str">
        <f t="shared" si="420"/>
        <v/>
      </c>
      <c r="Q4404" s="216" t="e">
        <f t="shared" si="421"/>
        <v>#DIV/0!</v>
      </c>
      <c r="R4404" s="216" t="e">
        <f t="shared" si="422"/>
        <v>#DIV/0!</v>
      </c>
      <c r="S4404" s="217" t="str">
        <f t="shared" si="423"/>
        <v/>
      </c>
    </row>
    <row r="4405" spans="1:19" ht="15.75" hidden="1" thickBot="1" x14ac:dyDescent="0.3">
      <c r="A4405" s="258"/>
      <c r="B4405" s="261"/>
      <c r="C4405" s="54"/>
      <c r="D4405" s="54"/>
      <c r="E4405" s="65"/>
      <c r="F4405" s="75" t="s">
        <v>416</v>
      </c>
      <c r="G4405" s="75" t="str">
        <f t="shared" si="418"/>
        <v/>
      </c>
      <c r="H4405" s="76"/>
      <c r="I4405" s="73"/>
      <c r="J4405" s="152">
        <v>0</v>
      </c>
      <c r="L4405" s="222"/>
      <c r="M4405" s="75"/>
      <c r="N4405" s="75" t="str">
        <f t="shared" si="419"/>
        <v/>
      </c>
      <c r="O4405" s="76"/>
      <c r="P4405" s="36" t="str">
        <f t="shared" si="420"/>
        <v/>
      </c>
      <c r="Q4405" s="216" t="str">
        <f t="shared" si="421"/>
        <v/>
      </c>
      <c r="R4405" s="216" t="str">
        <f t="shared" si="422"/>
        <v/>
      </c>
      <c r="S4405" s="217" t="str">
        <f t="shared" si="423"/>
        <v/>
      </c>
    </row>
    <row r="4406" spans="1:19" ht="15.75" hidden="1" thickBot="1" x14ac:dyDescent="0.3">
      <c r="A4406" s="256" t="s">
        <v>1173</v>
      </c>
      <c r="B4406" s="259" t="str">
        <f>INDEX(Orçamentária!A:B,MATCH(Composições!A4406,Orçamentária!A:A,0),2)</f>
        <v>Telha de fibrocimento ondulada - espessura 6 mm</v>
      </c>
      <c r="C4406" s="40"/>
      <c r="D4406" s="25" t="s">
        <v>70</v>
      </c>
      <c r="E4406" s="26"/>
      <c r="F4406" s="48" t="s">
        <v>416</v>
      </c>
      <c r="G4406" s="27" t="str">
        <f t="shared" si="418"/>
        <v/>
      </c>
      <c r="H4406" s="28"/>
      <c r="I4406" s="29"/>
      <c r="J4406" s="152">
        <v>0</v>
      </c>
      <c r="L4406" s="218"/>
      <c r="M4406" s="48"/>
      <c r="N4406" s="27" t="str">
        <f t="shared" si="419"/>
        <v/>
      </c>
      <c r="O4406" s="28"/>
      <c r="P4406" s="36" t="str">
        <f t="shared" si="420"/>
        <v/>
      </c>
      <c r="Q4406" s="216" t="str">
        <f t="shared" si="421"/>
        <v/>
      </c>
      <c r="R4406" s="216" t="str">
        <f t="shared" si="422"/>
        <v/>
      </c>
      <c r="S4406" s="217" t="str">
        <f t="shared" si="423"/>
        <v/>
      </c>
    </row>
    <row r="4407" spans="1:19" ht="15.75" hidden="1" thickBot="1" x14ac:dyDescent="0.3">
      <c r="A4407" s="257"/>
      <c r="B4407" s="260"/>
      <c r="C4407" s="31"/>
      <c r="D4407" s="31"/>
      <c r="E4407" s="32"/>
      <c r="F4407" s="53" t="s">
        <v>416</v>
      </c>
      <c r="G4407" s="53" t="str">
        <f t="shared" si="418"/>
        <v/>
      </c>
      <c r="H4407" s="72"/>
      <c r="I4407" s="73"/>
      <c r="J4407" s="152">
        <v>0</v>
      </c>
      <c r="L4407" s="219"/>
      <c r="M4407" s="53"/>
      <c r="N4407" s="53" t="str">
        <f t="shared" si="419"/>
        <v/>
      </c>
      <c r="O4407" s="72"/>
      <c r="P4407" s="36" t="str">
        <f t="shared" si="420"/>
        <v/>
      </c>
      <c r="Q4407" s="216" t="str">
        <f t="shared" si="421"/>
        <v/>
      </c>
      <c r="R4407" s="216" t="str">
        <f t="shared" si="422"/>
        <v/>
      </c>
      <c r="S4407" s="217" t="str">
        <f t="shared" si="423"/>
        <v/>
      </c>
    </row>
    <row r="4408" spans="1:19" ht="39" hidden="1" thickBot="1" x14ac:dyDescent="0.3">
      <c r="A4408" s="257"/>
      <c r="B4408" s="260"/>
      <c r="C4408" s="35" t="s">
        <v>1174</v>
      </c>
      <c r="D4408" s="35" t="s">
        <v>619</v>
      </c>
      <c r="E4408" s="36">
        <v>1.27</v>
      </c>
      <c r="F4408" s="53">
        <v>0.30399999999999999</v>
      </c>
      <c r="G4408" s="53">
        <f t="shared" si="418"/>
        <v>0.38607999999999998</v>
      </c>
      <c r="H4408" s="38">
        <f>SUM(G4408:G4414)</f>
        <v>43.242015449999997</v>
      </c>
      <c r="I4408" s="39"/>
      <c r="J4408" s="152">
        <v>0</v>
      </c>
      <c r="L4408" s="215">
        <v>1.27</v>
      </c>
      <c r="M4408" s="53">
        <v>0.26022400000000001</v>
      </c>
      <c r="N4408" s="53">
        <f t="shared" si="419"/>
        <v>0.33048448000000002</v>
      </c>
      <c r="O4408" s="38">
        <f>SUM(N4408:N4414)</f>
        <v>37.015165225199993</v>
      </c>
      <c r="P4408" s="36" t="str">
        <f t="shared" si="420"/>
        <v/>
      </c>
      <c r="Q4408" s="216">
        <f t="shared" si="421"/>
        <v>0.14399999999999991</v>
      </c>
      <c r="R4408" s="216">
        <f t="shared" si="422"/>
        <v>0.14399999999999991</v>
      </c>
      <c r="S4408" s="217">
        <f t="shared" si="423"/>
        <v>0.14400000000000013</v>
      </c>
    </row>
    <row r="4409" spans="1:19" ht="26.25" hidden="1" thickBot="1" x14ac:dyDescent="0.3">
      <c r="A4409" s="257"/>
      <c r="B4409" s="260"/>
      <c r="C4409" s="35" t="s">
        <v>1175</v>
      </c>
      <c r="D4409" s="35" t="s">
        <v>213</v>
      </c>
      <c r="E4409" s="36">
        <v>1.27</v>
      </c>
      <c r="F4409" s="53">
        <v>4.607499999999999</v>
      </c>
      <c r="G4409" s="53">
        <f t="shared" si="418"/>
        <v>5.8515249999999988</v>
      </c>
      <c r="H4409" s="72"/>
      <c r="I4409" s="73"/>
      <c r="J4409" s="152">
        <v>0</v>
      </c>
      <c r="L4409" s="215">
        <v>1.27</v>
      </c>
      <c r="M4409" s="53">
        <v>3.9440199999999992</v>
      </c>
      <c r="N4409" s="53">
        <f t="shared" si="419"/>
        <v>5.0089053999999988</v>
      </c>
      <c r="O4409" s="72"/>
      <c r="P4409" s="36" t="str">
        <f t="shared" si="420"/>
        <v/>
      </c>
      <c r="Q4409" s="216">
        <f t="shared" si="421"/>
        <v>0.14400000000000002</v>
      </c>
      <c r="R4409" s="216">
        <f t="shared" si="422"/>
        <v>0.14400000000000002</v>
      </c>
      <c r="S4409" s="217" t="str">
        <f t="shared" si="423"/>
        <v/>
      </c>
    </row>
    <row r="4410" spans="1:19" ht="26.25" hidden="1" thickBot="1" x14ac:dyDescent="0.3">
      <c r="A4410" s="257"/>
      <c r="B4410" s="260"/>
      <c r="C4410" s="35" t="s">
        <v>1176</v>
      </c>
      <c r="D4410" s="35" t="s">
        <v>861</v>
      </c>
      <c r="E4410" s="36">
        <v>1.2749999999999999</v>
      </c>
      <c r="F4410" s="53">
        <v>24.044499999999999</v>
      </c>
      <c r="G4410" s="53">
        <f t="shared" si="418"/>
        <v>30.656737499999998</v>
      </c>
      <c r="H4410" s="72"/>
      <c r="I4410" s="73"/>
      <c r="J4410" s="152">
        <v>0</v>
      </c>
      <c r="L4410" s="215">
        <v>1.2749999999999999</v>
      </c>
      <c r="M4410" s="53">
        <v>20.582091999999999</v>
      </c>
      <c r="N4410" s="53">
        <f t="shared" si="419"/>
        <v>26.242167299999998</v>
      </c>
      <c r="O4410" s="72"/>
      <c r="P4410" s="36" t="str">
        <f t="shared" si="420"/>
        <v/>
      </c>
      <c r="Q4410" s="216">
        <f t="shared" si="421"/>
        <v>0.14400000000000002</v>
      </c>
      <c r="R4410" s="216">
        <f t="shared" si="422"/>
        <v>0.14400000000000002</v>
      </c>
      <c r="S4410" s="217" t="str">
        <f t="shared" si="423"/>
        <v/>
      </c>
    </row>
    <row r="4411" spans="1:19" ht="15.75" hidden="1" thickBot="1" x14ac:dyDescent="0.3">
      <c r="A4411" s="257"/>
      <c r="B4411" s="260"/>
      <c r="C4411" s="35" t="s">
        <v>584</v>
      </c>
      <c r="D4411" s="35" t="s">
        <v>583</v>
      </c>
      <c r="E4411" s="36">
        <v>0.15</v>
      </c>
      <c r="F4411" s="53">
        <v>20.225499999999997</v>
      </c>
      <c r="G4411" s="53">
        <f t="shared" si="418"/>
        <v>3.0338249999999993</v>
      </c>
      <c r="H4411" s="72"/>
      <c r="I4411" s="73"/>
      <c r="J4411" s="152">
        <v>0</v>
      </c>
      <c r="L4411" s="215">
        <v>0.15</v>
      </c>
      <c r="M4411" s="53">
        <v>17.313027999999996</v>
      </c>
      <c r="N4411" s="53">
        <f t="shared" si="419"/>
        <v>2.5969541999999994</v>
      </c>
      <c r="O4411" s="72"/>
      <c r="P4411" s="36" t="str">
        <f t="shared" si="420"/>
        <v/>
      </c>
      <c r="Q4411" s="216">
        <f t="shared" si="421"/>
        <v>0.14400000000000013</v>
      </c>
      <c r="R4411" s="216">
        <f t="shared" si="422"/>
        <v>0.14400000000000002</v>
      </c>
      <c r="S4411" s="217" t="str">
        <f t="shared" si="423"/>
        <v/>
      </c>
    </row>
    <row r="4412" spans="1:19" ht="15.75" hidden="1" thickBot="1" x14ac:dyDescent="0.3">
      <c r="A4412" s="257"/>
      <c r="B4412" s="260"/>
      <c r="C4412" s="35" t="s">
        <v>1156</v>
      </c>
      <c r="D4412" s="35" t="s">
        <v>583</v>
      </c>
      <c r="E4412" s="36">
        <v>0.115</v>
      </c>
      <c r="F4412" s="53">
        <v>26.552499999999998</v>
      </c>
      <c r="G4412" s="53">
        <f t="shared" si="418"/>
        <v>3.0535375</v>
      </c>
      <c r="H4412" s="72"/>
      <c r="I4412" s="73"/>
      <c r="J4412" s="152">
        <v>0</v>
      </c>
      <c r="L4412" s="215">
        <v>0.115</v>
      </c>
      <c r="M4412" s="53">
        <v>22.728939999999998</v>
      </c>
      <c r="N4412" s="53">
        <f t="shared" si="419"/>
        <v>2.6138280999999997</v>
      </c>
      <c r="O4412" s="72"/>
      <c r="P4412" s="36" t="str">
        <f t="shared" si="420"/>
        <v/>
      </c>
      <c r="Q4412" s="216">
        <f t="shared" si="421"/>
        <v>0.14400000000000002</v>
      </c>
      <c r="R4412" s="216">
        <f t="shared" si="422"/>
        <v>0.14400000000000013</v>
      </c>
      <c r="S4412" s="217" t="str">
        <f t="shared" si="423"/>
        <v/>
      </c>
    </row>
    <row r="4413" spans="1:19" ht="26.25" hidden="1" thickBot="1" x14ac:dyDescent="0.3">
      <c r="A4413" s="257"/>
      <c r="B4413" s="260"/>
      <c r="C4413" s="35" t="s">
        <v>1157</v>
      </c>
      <c r="D4413" s="35" t="s">
        <v>813</v>
      </c>
      <c r="E4413" s="36">
        <v>5.0000000000000001E-3</v>
      </c>
      <c r="F4413" s="53">
        <v>22.315499999999997</v>
      </c>
      <c r="G4413" s="53">
        <f t="shared" si="418"/>
        <v>0.11157749999999998</v>
      </c>
      <c r="H4413" s="72"/>
      <c r="I4413" s="73"/>
      <c r="J4413" s="152">
        <v>0</v>
      </c>
      <c r="L4413" s="215">
        <v>5.0000000000000001E-3</v>
      </c>
      <c r="M4413" s="53">
        <v>19.102067999999996</v>
      </c>
      <c r="N4413" s="53">
        <f t="shared" si="419"/>
        <v>9.5510339999999985E-2</v>
      </c>
      <c r="O4413" s="72"/>
      <c r="P4413" s="36" t="str">
        <f t="shared" si="420"/>
        <v/>
      </c>
      <c r="Q4413" s="216">
        <f t="shared" si="421"/>
        <v>0.14400000000000002</v>
      </c>
      <c r="R4413" s="216">
        <f t="shared" si="422"/>
        <v>0.14400000000000002</v>
      </c>
      <c r="S4413" s="217" t="str">
        <f t="shared" si="423"/>
        <v/>
      </c>
    </row>
    <row r="4414" spans="1:19" ht="26.25" hidden="1" thickBot="1" x14ac:dyDescent="0.3">
      <c r="A4414" s="257"/>
      <c r="B4414" s="260"/>
      <c r="C4414" s="35" t="s">
        <v>1158</v>
      </c>
      <c r="D4414" s="35" t="s">
        <v>815</v>
      </c>
      <c r="E4414" s="36">
        <v>6.8999999999999999E-3</v>
      </c>
      <c r="F4414" s="53">
        <v>21.555499999999999</v>
      </c>
      <c r="G4414" s="53">
        <f t="shared" si="418"/>
        <v>0.14873294999999997</v>
      </c>
      <c r="H4414" s="72"/>
      <c r="I4414" s="73"/>
      <c r="J4414" s="152">
        <v>0</v>
      </c>
      <c r="L4414" s="215">
        <v>6.8999999999999999E-3</v>
      </c>
      <c r="M4414" s="53">
        <v>18.451508</v>
      </c>
      <c r="N4414" s="53">
        <f t="shared" si="419"/>
        <v>0.12731540520000001</v>
      </c>
      <c r="O4414" s="72"/>
      <c r="P4414" s="36" t="str">
        <f t="shared" si="420"/>
        <v/>
      </c>
      <c r="Q4414" s="216">
        <f t="shared" si="421"/>
        <v>0.14399999999999991</v>
      </c>
      <c r="R4414" s="216">
        <f t="shared" si="422"/>
        <v>0.14399999999999979</v>
      </c>
      <c r="S4414" s="217" t="str">
        <f t="shared" si="423"/>
        <v/>
      </c>
    </row>
    <row r="4415" spans="1:19" ht="15.75" hidden="1" thickBot="1" x14ac:dyDescent="0.3">
      <c r="A4415" s="258"/>
      <c r="B4415" s="261"/>
      <c r="C4415" s="54"/>
      <c r="D4415" s="54"/>
      <c r="E4415" s="65"/>
      <c r="F4415" s="75" t="s">
        <v>416</v>
      </c>
      <c r="G4415" s="75" t="str">
        <f t="shared" si="418"/>
        <v/>
      </c>
      <c r="H4415" s="76"/>
      <c r="I4415" s="73"/>
      <c r="J4415" s="152">
        <v>0</v>
      </c>
      <c r="L4415" s="222"/>
      <c r="M4415" s="75"/>
      <c r="N4415" s="75" t="str">
        <f t="shared" si="419"/>
        <v/>
      </c>
      <c r="O4415" s="76"/>
      <c r="P4415" s="36" t="str">
        <f t="shared" si="420"/>
        <v/>
      </c>
      <c r="Q4415" s="216" t="str">
        <f t="shared" si="421"/>
        <v/>
      </c>
      <c r="R4415" s="216" t="str">
        <f t="shared" si="422"/>
        <v/>
      </c>
      <c r="S4415" s="217" t="str">
        <f t="shared" si="423"/>
        <v/>
      </c>
    </row>
    <row r="4416" spans="1:19" ht="15.75" hidden="1" thickBot="1" x14ac:dyDescent="0.3">
      <c r="A4416" s="256" t="s">
        <v>1177</v>
      </c>
      <c r="B4416" s="259" t="str">
        <f>INDEX(Orçamentária!A:B,MATCH(Composições!A4416,Orçamentária!A:A,0),2)</f>
        <v>Cumeeira UNIVERSAL para telha de fibrocimento ondulada - espessura 6 mm</v>
      </c>
      <c r="C4416" s="40"/>
      <c r="D4416" s="25" t="s">
        <v>69</v>
      </c>
      <c r="E4416" s="26"/>
      <c r="F4416" s="48" t="s">
        <v>416</v>
      </c>
      <c r="G4416" s="27" t="str">
        <f t="shared" si="418"/>
        <v/>
      </c>
      <c r="H4416" s="28"/>
      <c r="I4416" s="29"/>
      <c r="J4416" s="152">
        <v>0</v>
      </c>
      <c r="L4416" s="218"/>
      <c r="M4416" s="48"/>
      <c r="N4416" s="27" t="str">
        <f t="shared" si="419"/>
        <v/>
      </c>
      <c r="O4416" s="28"/>
      <c r="P4416" s="36" t="str">
        <f t="shared" si="420"/>
        <v/>
      </c>
      <c r="Q4416" s="216" t="str">
        <f t="shared" si="421"/>
        <v/>
      </c>
      <c r="R4416" s="216" t="str">
        <f t="shared" si="422"/>
        <v/>
      </c>
      <c r="S4416" s="217" t="str">
        <f t="shared" si="423"/>
        <v/>
      </c>
    </row>
    <row r="4417" spans="1:19" ht="15.75" hidden="1" thickBot="1" x14ac:dyDescent="0.3">
      <c r="A4417" s="257"/>
      <c r="B4417" s="260"/>
      <c r="C4417" s="31"/>
      <c r="D4417" s="31"/>
      <c r="E4417" s="32"/>
      <c r="F4417" s="53" t="s">
        <v>416</v>
      </c>
      <c r="G4417" s="53" t="str">
        <f t="shared" si="418"/>
        <v/>
      </c>
      <c r="H4417" s="72"/>
      <c r="I4417" s="73"/>
      <c r="J4417" s="152">
        <v>0</v>
      </c>
      <c r="L4417" s="219"/>
      <c r="M4417" s="53"/>
      <c r="N4417" s="53" t="str">
        <f t="shared" si="419"/>
        <v/>
      </c>
      <c r="O4417" s="72"/>
      <c r="P4417" s="36" t="str">
        <f t="shared" si="420"/>
        <v/>
      </c>
      <c r="Q4417" s="216" t="str">
        <f t="shared" si="421"/>
        <v/>
      </c>
      <c r="R4417" s="216" t="str">
        <f t="shared" si="422"/>
        <v/>
      </c>
      <c r="S4417" s="217" t="str">
        <f t="shared" si="423"/>
        <v/>
      </c>
    </row>
    <row r="4418" spans="1:19" ht="39" hidden="1" thickBot="1" x14ac:dyDescent="0.3">
      <c r="A4418" s="257"/>
      <c r="B4418" s="260"/>
      <c r="C4418" s="35" t="s">
        <v>1174</v>
      </c>
      <c r="D4418" s="35" t="s">
        <v>619</v>
      </c>
      <c r="E4418" s="36">
        <v>4.2</v>
      </c>
      <c r="F4418" s="53">
        <v>0.30399999999999999</v>
      </c>
      <c r="G4418" s="53">
        <f t="shared" si="418"/>
        <v>1.2767999999999999</v>
      </c>
      <c r="H4418" s="38">
        <f>SUM(G4418:G4424)</f>
        <v>76.132150699999983</v>
      </c>
      <c r="I4418" s="39"/>
      <c r="J4418" s="152">
        <v>0</v>
      </c>
      <c r="L4418" s="215">
        <v>4.2</v>
      </c>
      <c r="M4418" s="53">
        <v>0.26022400000000001</v>
      </c>
      <c r="N4418" s="53">
        <f t="shared" si="419"/>
        <v>1.0929408</v>
      </c>
      <c r="O4418" s="38">
        <f>SUM(N4418:N4424)</f>
        <v>65.16912099919999</v>
      </c>
      <c r="P4418" s="36" t="str">
        <f t="shared" si="420"/>
        <v/>
      </c>
      <c r="Q4418" s="216">
        <f t="shared" si="421"/>
        <v>0.14399999999999991</v>
      </c>
      <c r="R4418" s="216">
        <f t="shared" si="422"/>
        <v>0.14399999999999991</v>
      </c>
      <c r="S4418" s="217">
        <f t="shared" si="423"/>
        <v>0.14399999999999991</v>
      </c>
    </row>
    <row r="4419" spans="1:19" ht="26.25" hidden="1" thickBot="1" x14ac:dyDescent="0.3">
      <c r="A4419" s="257"/>
      <c r="B4419" s="260"/>
      <c r="C4419" s="35" t="s">
        <v>1175</v>
      </c>
      <c r="D4419" s="35" t="s">
        <v>213</v>
      </c>
      <c r="E4419" s="36">
        <v>4.2</v>
      </c>
      <c r="F4419" s="53">
        <v>4.607499999999999</v>
      </c>
      <c r="G4419" s="53">
        <f t="shared" si="418"/>
        <v>19.351499999999998</v>
      </c>
      <c r="H4419" s="72"/>
      <c r="I4419" s="73"/>
      <c r="J4419" s="152">
        <v>0</v>
      </c>
      <c r="L4419" s="215">
        <v>4.2</v>
      </c>
      <c r="M4419" s="53">
        <v>3.9440199999999992</v>
      </c>
      <c r="N4419" s="53">
        <f t="shared" si="419"/>
        <v>16.564883999999996</v>
      </c>
      <c r="O4419" s="72"/>
      <c r="P4419" s="36" t="str">
        <f t="shared" si="420"/>
        <v/>
      </c>
      <c r="Q4419" s="216">
        <f t="shared" si="421"/>
        <v>0.14400000000000002</v>
      </c>
      <c r="R4419" s="216">
        <f t="shared" si="422"/>
        <v>0.14400000000000013</v>
      </c>
      <c r="S4419" s="217" t="str">
        <f t="shared" si="423"/>
        <v/>
      </c>
    </row>
    <row r="4420" spans="1:19" ht="26.25" hidden="1" thickBot="1" x14ac:dyDescent="0.3">
      <c r="A4420" s="257"/>
      <c r="B4420" s="260"/>
      <c r="C4420" s="35" t="s">
        <v>1178</v>
      </c>
      <c r="D4420" s="35" t="s">
        <v>213</v>
      </c>
      <c r="E4420" s="36">
        <v>1.0289999999999999</v>
      </c>
      <c r="F4420" s="53">
        <v>50.863</v>
      </c>
      <c r="G4420" s="53">
        <f t="shared" si="418"/>
        <v>52.338026999999997</v>
      </c>
      <c r="H4420" s="72"/>
      <c r="I4420" s="73"/>
      <c r="J4420" s="152">
        <v>0</v>
      </c>
      <c r="L4420" s="215">
        <v>1.0289999999999999</v>
      </c>
      <c r="M4420" s="53">
        <v>43.538727999999999</v>
      </c>
      <c r="N4420" s="53">
        <f t="shared" si="419"/>
        <v>44.801351111999992</v>
      </c>
      <c r="O4420" s="72"/>
      <c r="P4420" s="36" t="str">
        <f t="shared" si="420"/>
        <v/>
      </c>
      <c r="Q4420" s="216">
        <f t="shared" si="421"/>
        <v>0.14400000000000002</v>
      </c>
      <c r="R4420" s="216">
        <f t="shared" si="422"/>
        <v>0.14400000000000013</v>
      </c>
      <c r="S4420" s="217" t="str">
        <f t="shared" si="423"/>
        <v/>
      </c>
    </row>
    <row r="4421" spans="1:19" ht="15.75" hidden="1" thickBot="1" x14ac:dyDescent="0.3">
      <c r="A4421" s="257"/>
      <c r="B4421" s="260"/>
      <c r="C4421" s="35" t="s">
        <v>584</v>
      </c>
      <c r="D4421" s="35" t="s">
        <v>583</v>
      </c>
      <c r="E4421" s="36">
        <v>7.2999999999999995E-2</v>
      </c>
      <c r="F4421" s="53">
        <v>20.225499999999997</v>
      </c>
      <c r="G4421" s="53">
        <f t="shared" ref="G4421:G4484" si="424">IF(ISNUMBER(F4421),E4421*F4421,"")</f>
        <v>1.4764614999999996</v>
      </c>
      <c r="H4421" s="72"/>
      <c r="I4421" s="73"/>
      <c r="J4421" s="152">
        <v>0</v>
      </c>
      <c r="L4421" s="215">
        <v>7.2999999999999995E-2</v>
      </c>
      <c r="M4421" s="53">
        <v>17.313027999999996</v>
      </c>
      <c r="N4421" s="53">
        <f t="shared" ref="N4421:N4484" si="425">IF(ISNUMBER(M4421),L4421*M4421,"")</f>
        <v>1.2638510439999997</v>
      </c>
      <c r="O4421" s="72"/>
      <c r="P4421" s="36" t="str">
        <f t="shared" si="420"/>
        <v/>
      </c>
      <c r="Q4421" s="216">
        <f t="shared" si="421"/>
        <v>0.14400000000000013</v>
      </c>
      <c r="R4421" s="216">
        <f t="shared" si="422"/>
        <v>0.14400000000000002</v>
      </c>
      <c r="S4421" s="217" t="str">
        <f t="shared" si="423"/>
        <v/>
      </c>
    </row>
    <row r="4422" spans="1:19" ht="15.75" hidden="1" thickBot="1" x14ac:dyDescent="0.3">
      <c r="A4422" s="257"/>
      <c r="B4422" s="260"/>
      <c r="C4422" s="35" t="s">
        <v>1156</v>
      </c>
      <c r="D4422" s="35" t="s">
        <v>583</v>
      </c>
      <c r="E4422" s="36">
        <v>0.06</v>
      </c>
      <c r="F4422" s="53">
        <v>26.552499999999998</v>
      </c>
      <c r="G4422" s="53">
        <f t="shared" si="424"/>
        <v>1.5931499999999998</v>
      </c>
      <c r="H4422" s="72"/>
      <c r="I4422" s="73"/>
      <c r="J4422" s="152">
        <v>0</v>
      </c>
      <c r="L4422" s="215">
        <v>0.06</v>
      </c>
      <c r="M4422" s="53">
        <v>22.728939999999998</v>
      </c>
      <c r="N4422" s="53">
        <f t="shared" si="425"/>
        <v>1.3637363999999998</v>
      </c>
      <c r="O4422" s="72"/>
      <c r="P4422" s="36" t="str">
        <f t="shared" si="420"/>
        <v/>
      </c>
      <c r="Q4422" s="216">
        <f t="shared" si="421"/>
        <v>0.14400000000000002</v>
      </c>
      <c r="R4422" s="216">
        <f t="shared" si="422"/>
        <v>0.14400000000000002</v>
      </c>
      <c r="S4422" s="217" t="str">
        <f t="shared" si="423"/>
        <v/>
      </c>
    </row>
    <row r="4423" spans="1:19" ht="26.25" hidden="1" thickBot="1" x14ac:dyDescent="0.3">
      <c r="A4423" s="257"/>
      <c r="B4423" s="260"/>
      <c r="C4423" s="35" t="s">
        <v>1157</v>
      </c>
      <c r="D4423" s="35" t="s">
        <v>813</v>
      </c>
      <c r="E4423" s="36">
        <v>1.8E-3</v>
      </c>
      <c r="F4423" s="53">
        <v>22.315499999999997</v>
      </c>
      <c r="G4423" s="53">
        <f t="shared" si="424"/>
        <v>4.0167899999999992E-2</v>
      </c>
      <c r="H4423" s="72"/>
      <c r="I4423" s="73"/>
      <c r="J4423" s="152">
        <v>0</v>
      </c>
      <c r="L4423" s="215">
        <v>1.8E-3</v>
      </c>
      <c r="M4423" s="53">
        <v>19.102067999999996</v>
      </c>
      <c r="N4423" s="53">
        <f t="shared" si="425"/>
        <v>3.438372239999999E-2</v>
      </c>
      <c r="O4423" s="72"/>
      <c r="P4423" s="36" t="str">
        <f t="shared" si="420"/>
        <v/>
      </c>
      <c r="Q4423" s="216">
        <f t="shared" si="421"/>
        <v>0.14400000000000002</v>
      </c>
      <c r="R4423" s="216">
        <f t="shared" si="422"/>
        <v>0.14400000000000013</v>
      </c>
      <c r="S4423" s="217" t="str">
        <f t="shared" si="423"/>
        <v/>
      </c>
    </row>
    <row r="4424" spans="1:19" ht="26.25" hidden="1" thickBot="1" x14ac:dyDescent="0.3">
      <c r="A4424" s="257"/>
      <c r="B4424" s="260"/>
      <c r="C4424" s="35" t="s">
        <v>1158</v>
      </c>
      <c r="D4424" s="35" t="s">
        <v>815</v>
      </c>
      <c r="E4424" s="36">
        <v>2.5999999999999999E-3</v>
      </c>
      <c r="F4424" s="53">
        <v>21.555499999999999</v>
      </c>
      <c r="G4424" s="53">
        <f t="shared" si="424"/>
        <v>5.6044299999999991E-2</v>
      </c>
      <c r="H4424" s="72"/>
      <c r="I4424" s="73"/>
      <c r="J4424" s="152">
        <v>0</v>
      </c>
      <c r="L4424" s="215">
        <v>2.5999999999999999E-3</v>
      </c>
      <c r="M4424" s="53">
        <v>18.451508</v>
      </c>
      <c r="N4424" s="53">
        <f t="shared" si="425"/>
        <v>4.79739208E-2</v>
      </c>
      <c r="O4424" s="72"/>
      <c r="P4424" s="36" t="str">
        <f t="shared" ref="P4424:P4487" si="426">IF(ISBLANK(L4424),"",IF($E4424&lt;&gt;L4424,"SIM",""))</f>
        <v/>
      </c>
      <c r="Q4424" s="216">
        <f t="shared" ref="Q4424:Q4487" si="427">IF(M4424="","",1-M4424/$F4424)</f>
        <v>0.14399999999999991</v>
      </c>
      <c r="R4424" s="216">
        <f t="shared" ref="R4424:R4487" si="428">IF(N4424="","",1-N4424/$G4424)</f>
        <v>0.14399999999999991</v>
      </c>
      <c r="S4424" s="217" t="str">
        <f t="shared" ref="S4424:S4487" si="429">IF(O4424="","",1-O4424/$H4424)</f>
        <v/>
      </c>
    </row>
    <row r="4425" spans="1:19" ht="15.75" hidden="1" thickBot="1" x14ac:dyDescent="0.3">
      <c r="A4425" s="258"/>
      <c r="B4425" s="261"/>
      <c r="C4425" s="54"/>
      <c r="D4425" s="54"/>
      <c r="E4425" s="65"/>
      <c r="F4425" s="75" t="s">
        <v>416</v>
      </c>
      <c r="G4425" s="75" t="str">
        <f t="shared" si="424"/>
        <v/>
      </c>
      <c r="H4425" s="76"/>
      <c r="I4425" s="73"/>
      <c r="J4425" s="152">
        <v>0</v>
      </c>
      <c r="L4425" s="222"/>
      <c r="M4425" s="75"/>
      <c r="N4425" s="75" t="str">
        <f t="shared" si="425"/>
        <v/>
      </c>
      <c r="O4425" s="76"/>
      <c r="P4425" s="36" t="str">
        <f t="shared" si="426"/>
        <v/>
      </c>
      <c r="Q4425" s="216" t="str">
        <f t="shared" si="427"/>
        <v/>
      </c>
      <c r="R4425" s="216" t="str">
        <f t="shared" si="428"/>
        <v/>
      </c>
      <c r="S4425" s="217" t="str">
        <f t="shared" si="429"/>
        <v/>
      </c>
    </row>
    <row r="4426" spans="1:19" ht="15.75" hidden="1" thickBot="1" x14ac:dyDescent="0.3">
      <c r="A4426" s="256" t="s">
        <v>1179</v>
      </c>
      <c r="B4426" s="259" t="str">
        <f>INDEX(Orçamentária!A:B,MATCH(Composições!A4426,Orçamentária!A:A,0),2)</f>
        <v>Cumeeira TIPO SHED para telha de fibrocimento ondulada - espessura 6 mm</v>
      </c>
      <c r="C4426" s="40"/>
      <c r="D4426" s="25" t="s">
        <v>69</v>
      </c>
      <c r="E4426" s="26"/>
      <c r="F4426" s="48" t="s">
        <v>416</v>
      </c>
      <c r="G4426" s="27" t="str">
        <f t="shared" si="424"/>
        <v/>
      </c>
      <c r="H4426" s="28"/>
      <c r="I4426" s="29"/>
      <c r="J4426" s="152">
        <v>0</v>
      </c>
      <c r="L4426" s="218"/>
      <c r="M4426" s="48"/>
      <c r="N4426" s="27" t="str">
        <f t="shared" si="425"/>
        <v/>
      </c>
      <c r="O4426" s="28"/>
      <c r="P4426" s="36" t="str">
        <f t="shared" si="426"/>
        <v/>
      </c>
      <c r="Q4426" s="216" t="str">
        <f t="shared" si="427"/>
        <v/>
      </c>
      <c r="R4426" s="216" t="str">
        <f t="shared" si="428"/>
        <v/>
      </c>
      <c r="S4426" s="217" t="str">
        <f t="shared" si="429"/>
        <v/>
      </c>
    </row>
    <row r="4427" spans="1:19" ht="15.75" hidden="1" thickBot="1" x14ac:dyDescent="0.3">
      <c r="A4427" s="257"/>
      <c r="B4427" s="260"/>
      <c r="C4427" s="31"/>
      <c r="D4427" s="31"/>
      <c r="E4427" s="32"/>
      <c r="F4427" s="53" t="s">
        <v>416</v>
      </c>
      <c r="G4427" s="53" t="str">
        <f t="shared" si="424"/>
        <v/>
      </c>
      <c r="H4427" s="72"/>
      <c r="I4427" s="73"/>
      <c r="J4427" s="152">
        <v>0</v>
      </c>
      <c r="L4427" s="219"/>
      <c r="M4427" s="53"/>
      <c r="N4427" s="53" t="str">
        <f t="shared" si="425"/>
        <v/>
      </c>
      <c r="O4427" s="72"/>
      <c r="P4427" s="36" t="str">
        <f t="shared" si="426"/>
        <v/>
      </c>
      <c r="Q4427" s="216" t="str">
        <f t="shared" si="427"/>
        <v/>
      </c>
      <c r="R4427" s="216" t="str">
        <f t="shared" si="428"/>
        <v/>
      </c>
      <c r="S4427" s="217" t="str">
        <f t="shared" si="429"/>
        <v/>
      </c>
    </row>
    <row r="4428" spans="1:19" ht="39" hidden="1" thickBot="1" x14ac:dyDescent="0.3">
      <c r="A4428" s="257"/>
      <c r="B4428" s="260"/>
      <c r="C4428" s="35" t="s">
        <v>1174</v>
      </c>
      <c r="D4428" s="35" t="s">
        <v>619</v>
      </c>
      <c r="E4428" s="36">
        <v>4.2</v>
      </c>
      <c r="F4428" s="53">
        <v>0.30399999999999999</v>
      </c>
      <c r="G4428" s="53">
        <f t="shared" si="424"/>
        <v>1.2767999999999999</v>
      </c>
      <c r="H4428" s="38">
        <f>SUM(G4428:G4434)</f>
        <v>81.930485199999993</v>
      </c>
      <c r="I4428" s="39"/>
      <c r="J4428" s="152">
        <v>0</v>
      </c>
      <c r="L4428" s="215">
        <v>4.2</v>
      </c>
      <c r="M4428" s="53">
        <v>0.26022400000000001</v>
      </c>
      <c r="N4428" s="53">
        <f t="shared" si="425"/>
        <v>1.0929408</v>
      </c>
      <c r="O4428" s="38">
        <f>SUM(N4428:N4434)</f>
        <v>70.132495331199976</v>
      </c>
      <c r="P4428" s="36" t="str">
        <f t="shared" si="426"/>
        <v/>
      </c>
      <c r="Q4428" s="216">
        <f t="shared" si="427"/>
        <v>0.14399999999999991</v>
      </c>
      <c r="R4428" s="216">
        <f t="shared" si="428"/>
        <v>0.14399999999999991</v>
      </c>
      <c r="S4428" s="217">
        <f t="shared" si="429"/>
        <v>0.14400000000000024</v>
      </c>
    </row>
    <row r="4429" spans="1:19" ht="26.25" hidden="1" thickBot="1" x14ac:dyDescent="0.3">
      <c r="A4429" s="257"/>
      <c r="B4429" s="260"/>
      <c r="C4429" s="35" t="s">
        <v>1175</v>
      </c>
      <c r="D4429" s="35" t="s">
        <v>213</v>
      </c>
      <c r="E4429" s="36">
        <v>4.2</v>
      </c>
      <c r="F4429" s="53">
        <v>4.607499999999999</v>
      </c>
      <c r="G4429" s="53">
        <f t="shared" si="424"/>
        <v>19.351499999999998</v>
      </c>
      <c r="H4429" s="72"/>
      <c r="I4429" s="73"/>
      <c r="J4429" s="152">
        <v>0</v>
      </c>
      <c r="L4429" s="215">
        <v>4.2</v>
      </c>
      <c r="M4429" s="53">
        <v>3.9440199999999992</v>
      </c>
      <c r="N4429" s="53">
        <f t="shared" si="425"/>
        <v>16.564883999999996</v>
      </c>
      <c r="O4429" s="72"/>
      <c r="P4429" s="36" t="str">
        <f t="shared" si="426"/>
        <v/>
      </c>
      <c r="Q4429" s="216">
        <f t="shared" si="427"/>
        <v>0.14400000000000002</v>
      </c>
      <c r="R4429" s="216">
        <f t="shared" si="428"/>
        <v>0.14400000000000013</v>
      </c>
      <c r="S4429" s="217" t="str">
        <f t="shared" si="429"/>
        <v/>
      </c>
    </row>
    <row r="4430" spans="1:19" ht="26.25" hidden="1" thickBot="1" x14ac:dyDescent="0.3">
      <c r="A4430" s="257"/>
      <c r="B4430" s="260"/>
      <c r="C4430" s="35" t="s">
        <v>1180</v>
      </c>
      <c r="D4430" s="35" t="s">
        <v>213</v>
      </c>
      <c r="E4430" s="36">
        <v>1.0289999999999999</v>
      </c>
      <c r="F4430" s="53">
        <v>57.341999999999999</v>
      </c>
      <c r="G4430" s="53">
        <f t="shared" si="424"/>
        <v>59.004917999999996</v>
      </c>
      <c r="H4430" s="72"/>
      <c r="I4430" s="73"/>
      <c r="J4430" s="152">
        <v>0</v>
      </c>
      <c r="L4430" s="215">
        <v>1.0289999999999999</v>
      </c>
      <c r="M4430" s="53">
        <v>49.084752000000002</v>
      </c>
      <c r="N4430" s="53">
        <f t="shared" si="425"/>
        <v>50.508209807999997</v>
      </c>
      <c r="O4430" s="72"/>
      <c r="P4430" s="36" t="str">
        <f t="shared" si="426"/>
        <v/>
      </c>
      <c r="Q4430" s="216">
        <f t="shared" si="427"/>
        <v>0.14399999999999991</v>
      </c>
      <c r="R4430" s="216">
        <f t="shared" si="428"/>
        <v>0.14400000000000002</v>
      </c>
      <c r="S4430" s="217" t="str">
        <f t="shared" si="429"/>
        <v/>
      </c>
    </row>
    <row r="4431" spans="1:19" ht="15.75" hidden="1" thickBot="1" x14ac:dyDescent="0.3">
      <c r="A4431" s="257"/>
      <c r="B4431" s="260"/>
      <c r="C4431" s="35" t="s">
        <v>584</v>
      </c>
      <c r="D4431" s="35" t="s">
        <v>583</v>
      </c>
      <c r="E4431" s="36">
        <v>5.5E-2</v>
      </c>
      <c r="F4431" s="53">
        <v>20.225499999999997</v>
      </c>
      <c r="G4431" s="53">
        <f t="shared" si="424"/>
        <v>1.1124024999999997</v>
      </c>
      <c r="H4431" s="72"/>
      <c r="I4431" s="73"/>
      <c r="J4431" s="152">
        <v>0</v>
      </c>
      <c r="L4431" s="215">
        <v>5.5E-2</v>
      </c>
      <c r="M4431" s="53">
        <v>17.313027999999996</v>
      </c>
      <c r="N4431" s="53">
        <f t="shared" si="425"/>
        <v>0.95221653999999978</v>
      </c>
      <c r="O4431" s="72"/>
      <c r="P4431" s="36" t="str">
        <f t="shared" si="426"/>
        <v/>
      </c>
      <c r="Q4431" s="216">
        <f t="shared" si="427"/>
        <v>0.14400000000000013</v>
      </c>
      <c r="R4431" s="216">
        <f t="shared" si="428"/>
        <v>0.14400000000000002</v>
      </c>
      <c r="S4431" s="217" t="str">
        <f t="shared" si="429"/>
        <v/>
      </c>
    </row>
    <row r="4432" spans="1:19" ht="15.75" hidden="1" thickBot="1" x14ac:dyDescent="0.3">
      <c r="A4432" s="257"/>
      <c r="B4432" s="260"/>
      <c r="C4432" s="35" t="s">
        <v>1156</v>
      </c>
      <c r="D4432" s="35" t="s">
        <v>583</v>
      </c>
      <c r="E4432" s="36">
        <v>4.1000000000000002E-2</v>
      </c>
      <c r="F4432" s="53">
        <v>26.552499999999998</v>
      </c>
      <c r="G4432" s="53">
        <f t="shared" si="424"/>
        <v>1.0886525</v>
      </c>
      <c r="H4432" s="72"/>
      <c r="I4432" s="73"/>
      <c r="J4432" s="152">
        <v>0</v>
      </c>
      <c r="L4432" s="215">
        <v>4.1000000000000002E-2</v>
      </c>
      <c r="M4432" s="53">
        <v>22.728939999999998</v>
      </c>
      <c r="N4432" s="53">
        <f t="shared" si="425"/>
        <v>0.93188653999999993</v>
      </c>
      <c r="O4432" s="72"/>
      <c r="P4432" s="36" t="str">
        <f t="shared" si="426"/>
        <v/>
      </c>
      <c r="Q4432" s="216">
        <f t="shared" si="427"/>
        <v>0.14400000000000002</v>
      </c>
      <c r="R4432" s="216">
        <f t="shared" si="428"/>
        <v>0.14400000000000013</v>
      </c>
      <c r="S4432" s="217" t="str">
        <f t="shared" si="429"/>
        <v/>
      </c>
    </row>
    <row r="4433" spans="1:19" ht="26.25" hidden="1" thickBot="1" x14ac:dyDescent="0.3">
      <c r="A4433" s="257"/>
      <c r="B4433" s="260"/>
      <c r="C4433" s="35" t="s">
        <v>1157</v>
      </c>
      <c r="D4433" s="35" t="s">
        <v>813</v>
      </c>
      <c r="E4433" s="36">
        <v>1.8E-3</v>
      </c>
      <c r="F4433" s="53">
        <v>22.315499999999997</v>
      </c>
      <c r="G4433" s="53">
        <f t="shared" si="424"/>
        <v>4.0167899999999992E-2</v>
      </c>
      <c r="H4433" s="72"/>
      <c r="I4433" s="73"/>
      <c r="J4433" s="152">
        <v>0</v>
      </c>
      <c r="L4433" s="215">
        <v>1.8E-3</v>
      </c>
      <c r="M4433" s="53">
        <v>19.102067999999996</v>
      </c>
      <c r="N4433" s="53">
        <f t="shared" si="425"/>
        <v>3.438372239999999E-2</v>
      </c>
      <c r="O4433" s="72"/>
      <c r="P4433" s="36" t="str">
        <f t="shared" si="426"/>
        <v/>
      </c>
      <c r="Q4433" s="216">
        <f t="shared" si="427"/>
        <v>0.14400000000000002</v>
      </c>
      <c r="R4433" s="216">
        <f t="shared" si="428"/>
        <v>0.14400000000000013</v>
      </c>
      <c r="S4433" s="217" t="str">
        <f t="shared" si="429"/>
        <v/>
      </c>
    </row>
    <row r="4434" spans="1:19" ht="26.25" hidden="1" thickBot="1" x14ac:dyDescent="0.3">
      <c r="A4434" s="257"/>
      <c r="B4434" s="260"/>
      <c r="C4434" s="35" t="s">
        <v>1158</v>
      </c>
      <c r="D4434" s="35" t="s">
        <v>815</v>
      </c>
      <c r="E4434" s="36">
        <v>2.5999999999999999E-3</v>
      </c>
      <c r="F4434" s="53">
        <v>21.555499999999999</v>
      </c>
      <c r="G4434" s="53">
        <f t="shared" si="424"/>
        <v>5.6044299999999991E-2</v>
      </c>
      <c r="H4434" s="72"/>
      <c r="I4434" s="73"/>
      <c r="J4434" s="152">
        <v>0</v>
      </c>
      <c r="L4434" s="215">
        <v>2.5999999999999999E-3</v>
      </c>
      <c r="M4434" s="53">
        <v>18.451508</v>
      </c>
      <c r="N4434" s="53">
        <f t="shared" si="425"/>
        <v>4.79739208E-2</v>
      </c>
      <c r="O4434" s="72"/>
      <c r="P4434" s="36" t="str">
        <f t="shared" si="426"/>
        <v/>
      </c>
      <c r="Q4434" s="216">
        <f t="shared" si="427"/>
        <v>0.14399999999999991</v>
      </c>
      <c r="R4434" s="216">
        <f t="shared" si="428"/>
        <v>0.14399999999999991</v>
      </c>
      <c r="S4434" s="217" t="str">
        <f t="shared" si="429"/>
        <v/>
      </c>
    </row>
    <row r="4435" spans="1:19" ht="15.75" hidden="1" thickBot="1" x14ac:dyDescent="0.3">
      <c r="A4435" s="258"/>
      <c r="B4435" s="261"/>
      <c r="C4435" s="54"/>
      <c r="D4435" s="54"/>
      <c r="E4435" s="65"/>
      <c r="F4435" s="75" t="s">
        <v>416</v>
      </c>
      <c r="G4435" s="75" t="str">
        <f t="shared" si="424"/>
        <v/>
      </c>
      <c r="H4435" s="76"/>
      <c r="I4435" s="73"/>
      <c r="J4435" s="152">
        <v>0</v>
      </c>
      <c r="L4435" s="222"/>
      <c r="M4435" s="75"/>
      <c r="N4435" s="75" t="str">
        <f t="shared" si="425"/>
        <v/>
      </c>
      <c r="O4435" s="76"/>
      <c r="P4435" s="36" t="str">
        <f t="shared" si="426"/>
        <v/>
      </c>
      <c r="Q4435" s="216" t="str">
        <f t="shared" si="427"/>
        <v/>
      </c>
      <c r="R4435" s="216" t="str">
        <f t="shared" si="428"/>
        <v/>
      </c>
      <c r="S4435" s="217" t="str">
        <f t="shared" si="429"/>
        <v/>
      </c>
    </row>
    <row r="4436" spans="1:19" ht="15.75" hidden="1" thickBot="1" x14ac:dyDescent="0.3">
      <c r="A4436" s="256" t="s">
        <v>1181</v>
      </c>
      <c r="B4436" s="259" t="str">
        <f>INDEX(Orçamentária!A:B,MATCH(Composições!A4436,Orçamentária!A:A,0),2)</f>
        <v>Telha de fibrocimento - Canalete 49 Eternit</v>
      </c>
      <c r="C4436" s="40"/>
      <c r="D4436" s="25" t="s">
        <v>70</v>
      </c>
      <c r="E4436" s="26"/>
      <c r="F4436" s="48" t="s">
        <v>416</v>
      </c>
      <c r="G4436" s="27" t="str">
        <f t="shared" si="424"/>
        <v/>
      </c>
      <c r="H4436" s="28"/>
      <c r="I4436" s="29"/>
      <c r="J4436" s="152">
        <v>0</v>
      </c>
      <c r="L4436" s="218"/>
      <c r="M4436" s="48"/>
      <c r="N4436" s="27" t="str">
        <f t="shared" si="425"/>
        <v/>
      </c>
      <c r="O4436" s="28"/>
      <c r="P4436" s="36" t="str">
        <f t="shared" si="426"/>
        <v/>
      </c>
      <c r="Q4436" s="216" t="str">
        <f t="shared" si="427"/>
        <v/>
      </c>
      <c r="R4436" s="216" t="str">
        <f t="shared" si="428"/>
        <v/>
      </c>
      <c r="S4436" s="217" t="str">
        <f t="shared" si="429"/>
        <v/>
      </c>
    </row>
    <row r="4437" spans="1:19" ht="15.75" hidden="1" thickBot="1" x14ac:dyDescent="0.3">
      <c r="A4437" s="257"/>
      <c r="B4437" s="260"/>
      <c r="C4437" s="31"/>
      <c r="D4437" s="31"/>
      <c r="E4437" s="32"/>
      <c r="F4437" s="53" t="s">
        <v>416</v>
      </c>
      <c r="G4437" s="53" t="str">
        <f t="shared" si="424"/>
        <v/>
      </c>
      <c r="H4437" s="72"/>
      <c r="I4437" s="73"/>
      <c r="J4437" s="152">
        <v>0</v>
      </c>
      <c r="L4437" s="219"/>
      <c r="M4437" s="53"/>
      <c r="N4437" s="53" t="str">
        <f t="shared" si="425"/>
        <v/>
      </c>
      <c r="O4437" s="72"/>
      <c r="P4437" s="36" t="str">
        <f t="shared" si="426"/>
        <v/>
      </c>
      <c r="Q4437" s="216" t="str">
        <f t="shared" si="427"/>
        <v/>
      </c>
      <c r="R4437" s="216" t="str">
        <f t="shared" si="428"/>
        <v/>
      </c>
      <c r="S4437" s="217" t="str">
        <f t="shared" si="429"/>
        <v/>
      </c>
    </row>
    <row r="4438" spans="1:19" ht="15.75" hidden="1" thickBot="1" x14ac:dyDescent="0.3">
      <c r="A4438" s="257"/>
      <c r="B4438" s="260"/>
      <c r="C4438" s="35" t="s">
        <v>1156</v>
      </c>
      <c r="D4438" s="35" t="s">
        <v>583</v>
      </c>
      <c r="E4438" s="36">
        <v>0.15</v>
      </c>
      <c r="F4438" s="53">
        <v>26.552499999999998</v>
      </c>
      <c r="G4438" s="53">
        <f t="shared" si="424"/>
        <v>3.9828749999999995</v>
      </c>
      <c r="H4438" s="38">
        <f>SUM(G4438:G4442)</f>
        <v>7.0166999999999984</v>
      </c>
      <c r="I4438" s="39"/>
      <c r="J4438" s="152">
        <v>0</v>
      </c>
      <c r="L4438" s="215">
        <v>0.15</v>
      </c>
      <c r="M4438" s="53">
        <v>22.728939999999998</v>
      </c>
      <c r="N4438" s="53">
        <f t="shared" si="425"/>
        <v>3.4093409999999995</v>
      </c>
      <c r="O4438" s="38">
        <f>SUM(N4438:N4442)</f>
        <v>6.0062951999999985</v>
      </c>
      <c r="P4438" s="36" t="str">
        <f t="shared" si="426"/>
        <v/>
      </c>
      <c r="Q4438" s="216">
        <f t="shared" si="427"/>
        <v>0.14400000000000002</v>
      </c>
      <c r="R4438" s="216">
        <f t="shared" si="428"/>
        <v>0.14400000000000002</v>
      </c>
      <c r="S4438" s="217">
        <f t="shared" si="429"/>
        <v>0.14400000000000002</v>
      </c>
    </row>
    <row r="4439" spans="1:19" ht="15.75" hidden="1" thickBot="1" x14ac:dyDescent="0.3">
      <c r="A4439" s="257"/>
      <c r="B4439" s="260"/>
      <c r="C4439" s="35" t="s">
        <v>584</v>
      </c>
      <c r="D4439" s="35" t="s">
        <v>583</v>
      </c>
      <c r="E4439" s="36">
        <v>0.15</v>
      </c>
      <c r="F4439" s="53">
        <v>20.225499999999997</v>
      </c>
      <c r="G4439" s="53">
        <f t="shared" si="424"/>
        <v>3.0338249999999993</v>
      </c>
      <c r="H4439" s="72"/>
      <c r="I4439" s="73"/>
      <c r="J4439" s="152">
        <v>0</v>
      </c>
      <c r="L4439" s="215">
        <v>0.15</v>
      </c>
      <c r="M4439" s="53">
        <v>17.313027999999996</v>
      </c>
      <c r="N4439" s="53">
        <f t="shared" si="425"/>
        <v>2.5969541999999994</v>
      </c>
      <c r="O4439" s="72"/>
      <c r="P4439" s="36" t="str">
        <f t="shared" si="426"/>
        <v/>
      </c>
      <c r="Q4439" s="216">
        <f t="shared" si="427"/>
        <v>0.14400000000000013</v>
      </c>
      <c r="R4439" s="216">
        <f t="shared" si="428"/>
        <v>0.14400000000000002</v>
      </c>
      <c r="S4439" s="217" t="str">
        <f t="shared" si="429"/>
        <v/>
      </c>
    </row>
    <row r="4440" spans="1:19" ht="15.75" hidden="1" thickBot="1" x14ac:dyDescent="0.3">
      <c r="A4440" s="257"/>
      <c r="B4440" s="260"/>
      <c r="C4440" s="35" t="s">
        <v>1164</v>
      </c>
      <c r="D4440" s="35" t="s">
        <v>213</v>
      </c>
      <c r="E4440" s="36">
        <v>4.12</v>
      </c>
      <c r="F4440" s="53">
        <v>0</v>
      </c>
      <c r="G4440" s="53">
        <f t="shared" si="424"/>
        <v>0</v>
      </c>
      <c r="H4440" s="72"/>
      <c r="I4440" s="73"/>
      <c r="J4440" s="152">
        <v>0</v>
      </c>
      <c r="L4440" s="215">
        <v>4.12</v>
      </c>
      <c r="M4440" s="53">
        <v>0</v>
      </c>
      <c r="N4440" s="53">
        <f t="shared" si="425"/>
        <v>0</v>
      </c>
      <c r="O4440" s="72"/>
      <c r="P4440" s="36" t="str">
        <f t="shared" si="426"/>
        <v/>
      </c>
      <c r="Q4440" s="216" t="e">
        <f t="shared" si="427"/>
        <v>#DIV/0!</v>
      </c>
      <c r="R4440" s="216" t="e">
        <f t="shared" si="428"/>
        <v>#DIV/0!</v>
      </c>
      <c r="S4440" s="217" t="str">
        <f t="shared" si="429"/>
        <v/>
      </c>
    </row>
    <row r="4441" spans="1:19" ht="15.75" hidden="1" thickBot="1" x14ac:dyDescent="0.3">
      <c r="A4441" s="257"/>
      <c r="B4441" s="260"/>
      <c r="C4441" s="35" t="s">
        <v>3075</v>
      </c>
      <c r="D4441" s="35" t="s">
        <v>70</v>
      </c>
      <c r="E4441" s="36">
        <v>1.06</v>
      </c>
      <c r="F4441" s="53">
        <v>0</v>
      </c>
      <c r="G4441" s="53">
        <f t="shared" si="424"/>
        <v>0</v>
      </c>
      <c r="H4441" s="72"/>
      <c r="I4441" s="73"/>
      <c r="J4441" s="152">
        <v>0</v>
      </c>
      <c r="L4441" s="215">
        <v>1.06</v>
      </c>
      <c r="M4441" s="53">
        <v>0</v>
      </c>
      <c r="N4441" s="53">
        <f t="shared" si="425"/>
        <v>0</v>
      </c>
      <c r="O4441" s="72"/>
      <c r="P4441" s="36" t="str">
        <f t="shared" si="426"/>
        <v/>
      </c>
      <c r="Q4441" s="216" t="e">
        <f t="shared" si="427"/>
        <v>#DIV/0!</v>
      </c>
      <c r="R4441" s="216" t="e">
        <f t="shared" si="428"/>
        <v>#DIV/0!</v>
      </c>
      <c r="S4441" s="217" t="str">
        <f t="shared" si="429"/>
        <v/>
      </c>
    </row>
    <row r="4442" spans="1:19" ht="15.75" hidden="1" thickBot="1" x14ac:dyDescent="0.3">
      <c r="A4442" s="257"/>
      <c r="B4442" s="260"/>
      <c r="C4442" s="35" t="s">
        <v>1182</v>
      </c>
      <c r="D4442" s="35" t="s">
        <v>213</v>
      </c>
      <c r="E4442" s="36">
        <v>4.12</v>
      </c>
      <c r="F4442" s="53">
        <v>0</v>
      </c>
      <c r="G4442" s="53">
        <f t="shared" si="424"/>
        <v>0</v>
      </c>
      <c r="H4442" s="72"/>
      <c r="I4442" s="73"/>
      <c r="J4442" s="152">
        <v>0</v>
      </c>
      <c r="L4442" s="215">
        <v>4.12</v>
      </c>
      <c r="M4442" s="53">
        <v>0</v>
      </c>
      <c r="N4442" s="53">
        <f t="shared" si="425"/>
        <v>0</v>
      </c>
      <c r="O4442" s="72"/>
      <c r="P4442" s="36" t="str">
        <f t="shared" si="426"/>
        <v/>
      </c>
      <c r="Q4442" s="216" t="e">
        <f t="shared" si="427"/>
        <v>#DIV/0!</v>
      </c>
      <c r="R4442" s="216" t="e">
        <f t="shared" si="428"/>
        <v>#DIV/0!</v>
      </c>
      <c r="S4442" s="217" t="str">
        <f t="shared" si="429"/>
        <v/>
      </c>
    </row>
    <row r="4443" spans="1:19" ht="15.75" hidden="1" thickBot="1" x14ac:dyDescent="0.3">
      <c r="A4443" s="258"/>
      <c r="B4443" s="261"/>
      <c r="C4443" s="54"/>
      <c r="D4443" s="54"/>
      <c r="E4443" s="65"/>
      <c r="F4443" s="75" t="s">
        <v>416</v>
      </c>
      <c r="G4443" s="75" t="str">
        <f t="shared" si="424"/>
        <v/>
      </c>
      <c r="H4443" s="76"/>
      <c r="I4443" s="73"/>
      <c r="J4443" s="152">
        <v>0</v>
      </c>
      <c r="L4443" s="222"/>
      <c r="M4443" s="75"/>
      <c r="N4443" s="75" t="str">
        <f t="shared" si="425"/>
        <v/>
      </c>
      <c r="O4443" s="76"/>
      <c r="P4443" s="36" t="str">
        <f t="shared" si="426"/>
        <v/>
      </c>
      <c r="Q4443" s="216" t="str">
        <f t="shared" si="427"/>
        <v/>
      </c>
      <c r="R4443" s="216" t="str">
        <f t="shared" si="428"/>
        <v/>
      </c>
      <c r="S4443" s="217" t="str">
        <f t="shared" si="429"/>
        <v/>
      </c>
    </row>
    <row r="4444" spans="1:19" ht="15.75" hidden="1" thickBot="1" x14ac:dyDescent="0.3">
      <c r="A4444" s="256" t="s">
        <v>1183</v>
      </c>
      <c r="B4444" s="259" t="str">
        <f>INDEX(Orçamentária!A:B,MATCH(Composições!A4444,Orçamentária!A:A,0),2)</f>
        <v>Escada tipo marinheiro COM proteção</v>
      </c>
      <c r="C4444" s="40"/>
      <c r="D4444" s="25" t="s">
        <v>69</v>
      </c>
      <c r="E4444" s="26"/>
      <c r="F4444" s="48" t="s">
        <v>416</v>
      </c>
      <c r="G4444" s="27" t="str">
        <f t="shared" si="424"/>
        <v/>
      </c>
      <c r="H4444" s="28"/>
      <c r="I4444" s="29"/>
      <c r="J4444" s="152">
        <v>0</v>
      </c>
      <c r="L4444" s="218"/>
      <c r="M4444" s="48"/>
      <c r="N4444" s="27" t="str">
        <f t="shared" si="425"/>
        <v/>
      </c>
      <c r="O4444" s="28"/>
      <c r="P4444" s="36" t="str">
        <f t="shared" si="426"/>
        <v/>
      </c>
      <c r="Q4444" s="216" t="str">
        <f t="shared" si="427"/>
        <v/>
      </c>
      <c r="R4444" s="216" t="str">
        <f t="shared" si="428"/>
        <v/>
      </c>
      <c r="S4444" s="217" t="str">
        <f t="shared" si="429"/>
        <v/>
      </c>
    </row>
    <row r="4445" spans="1:19" ht="15.75" hidden="1" thickBot="1" x14ac:dyDescent="0.3">
      <c r="A4445" s="257"/>
      <c r="B4445" s="260"/>
      <c r="C4445" s="31"/>
      <c r="D4445" s="31"/>
      <c r="E4445" s="32"/>
      <c r="F4445" s="53" t="s">
        <v>416</v>
      </c>
      <c r="G4445" s="53" t="str">
        <f t="shared" si="424"/>
        <v/>
      </c>
      <c r="H4445" s="72"/>
      <c r="I4445" s="73"/>
      <c r="J4445" s="152">
        <v>0</v>
      </c>
      <c r="L4445" s="219"/>
      <c r="M4445" s="53"/>
      <c r="N4445" s="53" t="str">
        <f t="shared" si="425"/>
        <v/>
      </c>
      <c r="O4445" s="72"/>
      <c r="P4445" s="36" t="str">
        <f t="shared" si="426"/>
        <v/>
      </c>
      <c r="Q4445" s="216" t="str">
        <f t="shared" si="427"/>
        <v/>
      </c>
      <c r="R4445" s="216" t="str">
        <f t="shared" si="428"/>
        <v/>
      </c>
      <c r="S4445" s="217" t="str">
        <f t="shared" si="429"/>
        <v/>
      </c>
    </row>
    <row r="4446" spans="1:19" ht="15.75" hidden="1" thickBot="1" x14ac:dyDescent="0.3">
      <c r="A4446" s="257"/>
      <c r="B4446" s="260"/>
      <c r="C4446" s="35" t="s">
        <v>7958</v>
      </c>
      <c r="D4446" s="35" t="s">
        <v>773</v>
      </c>
      <c r="E4446" s="36">
        <v>2.8</v>
      </c>
      <c r="F4446" s="53">
        <v>9.4334999999999987</v>
      </c>
      <c r="G4446" s="53">
        <f t="shared" si="424"/>
        <v>26.413799999999995</v>
      </c>
      <c r="H4446" s="38">
        <f>SUM(G4446:G4454)</f>
        <v>282.44836815955966</v>
      </c>
      <c r="I4446" s="39"/>
      <c r="J4446" s="152">
        <v>0</v>
      </c>
      <c r="L4446" s="215">
        <v>2.8</v>
      </c>
      <c r="M4446" s="53">
        <v>8.0750759999999993</v>
      </c>
      <c r="N4446" s="53">
        <f t="shared" si="425"/>
        <v>22.610212799999996</v>
      </c>
      <c r="O4446" s="38">
        <f>SUM(N4446:N4454)</f>
        <v>241.77580314458311</v>
      </c>
      <c r="P4446" s="36" t="str">
        <f t="shared" si="426"/>
        <v/>
      </c>
      <c r="Q4446" s="216">
        <f t="shared" si="427"/>
        <v>0.14399999999999991</v>
      </c>
      <c r="R4446" s="216">
        <f t="shared" si="428"/>
        <v>0.14400000000000002</v>
      </c>
      <c r="S4446" s="217">
        <f t="shared" si="429"/>
        <v>0.14399999999999991</v>
      </c>
    </row>
    <row r="4447" spans="1:19" ht="15.75" hidden="1" thickBot="1" x14ac:dyDescent="0.3">
      <c r="A4447" s="257"/>
      <c r="B4447" s="260"/>
      <c r="C4447" s="35" t="s">
        <v>1184</v>
      </c>
      <c r="D4447" s="35" t="s">
        <v>75</v>
      </c>
      <c r="E4447" s="36">
        <v>2.5000000000000001E-2</v>
      </c>
      <c r="F4447" s="53">
        <v>39.814499999999995</v>
      </c>
      <c r="G4447" s="53">
        <f t="shared" si="424"/>
        <v>0.99536249999999993</v>
      </c>
      <c r="H4447" s="72"/>
      <c r="I4447" s="73"/>
      <c r="J4447" s="152">
        <v>0</v>
      </c>
      <c r="L4447" s="215">
        <v>2.5000000000000001E-2</v>
      </c>
      <c r="M4447" s="53">
        <v>34.081211999999994</v>
      </c>
      <c r="N4447" s="53">
        <f t="shared" si="425"/>
        <v>0.85203029999999991</v>
      </c>
      <c r="O4447" s="72"/>
      <c r="P4447" s="36" t="str">
        <f t="shared" si="426"/>
        <v/>
      </c>
      <c r="Q4447" s="216">
        <f t="shared" si="427"/>
        <v>0.14400000000000002</v>
      </c>
      <c r="R4447" s="216">
        <f t="shared" si="428"/>
        <v>0.14400000000000002</v>
      </c>
      <c r="S4447" s="217" t="str">
        <f t="shared" si="429"/>
        <v/>
      </c>
    </row>
    <row r="4448" spans="1:19" ht="15.75" hidden="1" thickBot="1" x14ac:dyDescent="0.3">
      <c r="A4448" s="257"/>
      <c r="B4448" s="260"/>
      <c r="C4448" s="35" t="s">
        <v>776</v>
      </c>
      <c r="D4448" s="35" t="s">
        <v>583</v>
      </c>
      <c r="E4448" s="36">
        <v>0.35</v>
      </c>
      <c r="F4448" s="53">
        <v>26.970499999999998</v>
      </c>
      <c r="G4448" s="53">
        <f t="shared" si="424"/>
        <v>9.4396749999999994</v>
      </c>
      <c r="H4448" s="72"/>
      <c r="I4448" s="73"/>
      <c r="J4448" s="152">
        <v>0</v>
      </c>
      <c r="L4448" s="215">
        <v>0.35</v>
      </c>
      <c r="M4448" s="53">
        <v>23.086748</v>
      </c>
      <c r="N4448" s="53">
        <f t="shared" si="425"/>
        <v>8.0803618000000004</v>
      </c>
      <c r="O4448" s="72"/>
      <c r="P4448" s="36" t="str">
        <f t="shared" si="426"/>
        <v/>
      </c>
      <c r="Q4448" s="216">
        <f t="shared" si="427"/>
        <v>0.14399999999999991</v>
      </c>
      <c r="R4448" s="216">
        <f t="shared" si="428"/>
        <v>0.14399999999999991</v>
      </c>
      <c r="S4448" s="217" t="str">
        <f t="shared" si="429"/>
        <v/>
      </c>
    </row>
    <row r="4449" spans="1:19" ht="15.75" hidden="1" thickBot="1" x14ac:dyDescent="0.3">
      <c r="A4449" s="257"/>
      <c r="B4449" s="260"/>
      <c r="C4449" s="35" t="s">
        <v>591</v>
      </c>
      <c r="D4449" s="35" t="s">
        <v>583</v>
      </c>
      <c r="E4449" s="36">
        <v>1.1000000000000001</v>
      </c>
      <c r="F4449" s="53">
        <v>27.160499999999999</v>
      </c>
      <c r="G4449" s="53">
        <f t="shared" si="424"/>
        <v>29.876550000000002</v>
      </c>
      <c r="H4449" s="72"/>
      <c r="I4449" s="73"/>
      <c r="J4449" s="152">
        <v>0</v>
      </c>
      <c r="L4449" s="215">
        <v>1.1000000000000001</v>
      </c>
      <c r="M4449" s="53">
        <v>23.249388</v>
      </c>
      <c r="N4449" s="53">
        <f t="shared" si="425"/>
        <v>25.574326800000001</v>
      </c>
      <c r="O4449" s="72"/>
      <c r="P4449" s="36" t="str">
        <f t="shared" si="426"/>
        <v/>
      </c>
      <c r="Q4449" s="216">
        <f t="shared" si="427"/>
        <v>0.14400000000000002</v>
      </c>
      <c r="R4449" s="216">
        <f t="shared" si="428"/>
        <v>0.14400000000000002</v>
      </c>
      <c r="S4449" s="217" t="str">
        <f t="shared" si="429"/>
        <v/>
      </c>
    </row>
    <row r="4450" spans="1:19" ht="15.75" hidden="1" thickBot="1" x14ac:dyDescent="0.3">
      <c r="A4450" s="257"/>
      <c r="B4450" s="260"/>
      <c r="C4450" s="35" t="s">
        <v>584</v>
      </c>
      <c r="D4450" s="35" t="s">
        <v>583</v>
      </c>
      <c r="E4450" s="36">
        <v>1.1299999999999999</v>
      </c>
      <c r="F4450" s="53">
        <v>20.225499999999997</v>
      </c>
      <c r="G4450" s="53">
        <f t="shared" si="424"/>
        <v>22.854814999999995</v>
      </c>
      <c r="H4450" s="72"/>
      <c r="I4450" s="73"/>
      <c r="J4450" s="152">
        <v>0</v>
      </c>
      <c r="L4450" s="215">
        <v>1.1299999999999999</v>
      </c>
      <c r="M4450" s="53">
        <v>17.313027999999996</v>
      </c>
      <c r="N4450" s="53">
        <f t="shared" si="425"/>
        <v>19.563721639999994</v>
      </c>
      <c r="O4450" s="72"/>
      <c r="P4450" s="36" t="str">
        <f t="shared" si="426"/>
        <v/>
      </c>
      <c r="Q4450" s="216">
        <f t="shared" si="427"/>
        <v>0.14400000000000013</v>
      </c>
      <c r="R4450" s="216">
        <f t="shared" si="428"/>
        <v>0.14400000000000013</v>
      </c>
      <c r="S4450" s="217" t="str">
        <f t="shared" si="429"/>
        <v/>
      </c>
    </row>
    <row r="4451" spans="1:19" ht="26.25" hidden="1" thickBot="1" x14ac:dyDescent="0.3">
      <c r="A4451" s="257"/>
      <c r="B4451" s="260"/>
      <c r="C4451" s="35" t="s">
        <v>79</v>
      </c>
      <c r="D4451" s="35" t="s">
        <v>87</v>
      </c>
      <c r="E4451" s="36">
        <v>3.5000000000000001E-3</v>
      </c>
      <c r="F4451" s="53">
        <v>758.13304558849984</v>
      </c>
      <c r="G4451" s="53">
        <f t="shared" si="424"/>
        <v>2.6534656595597497</v>
      </c>
      <c r="H4451" s="72"/>
      <c r="I4451" s="73"/>
      <c r="J4451" s="152">
        <v>0</v>
      </c>
      <c r="L4451" s="215">
        <v>3.5000000000000001E-3</v>
      </c>
      <c r="M4451" s="53">
        <v>648.96188702375593</v>
      </c>
      <c r="N4451" s="53">
        <f t="shared" si="425"/>
        <v>2.2713666045831458</v>
      </c>
      <c r="O4451" s="72"/>
      <c r="P4451" s="36" t="str">
        <f t="shared" si="426"/>
        <v/>
      </c>
      <c r="Q4451" s="216">
        <f t="shared" si="427"/>
        <v>0.14399999999999991</v>
      </c>
      <c r="R4451" s="216">
        <f t="shared" si="428"/>
        <v>0.14400000000000002</v>
      </c>
      <c r="S4451" s="217" t="str">
        <f t="shared" si="429"/>
        <v/>
      </c>
    </row>
    <row r="4452" spans="1:19" ht="15.75" hidden="1" thickBot="1" x14ac:dyDescent="0.3">
      <c r="A4452" s="257"/>
      <c r="B4452" s="260"/>
      <c r="C4452" s="35" t="s">
        <v>7958</v>
      </c>
      <c r="D4452" s="35" t="s">
        <v>773</v>
      </c>
      <c r="E4452" s="36">
        <v>3</v>
      </c>
      <c r="F4452" s="53">
        <v>9.4334999999999987</v>
      </c>
      <c r="G4452" s="53">
        <f t="shared" si="424"/>
        <v>28.300499999999996</v>
      </c>
      <c r="H4452" s="72"/>
      <c r="I4452" s="73"/>
      <c r="J4452" s="152">
        <v>0</v>
      </c>
      <c r="L4452" s="215">
        <v>3</v>
      </c>
      <c r="M4452" s="53">
        <v>8.0750759999999993</v>
      </c>
      <c r="N4452" s="53">
        <f t="shared" si="425"/>
        <v>24.225227999999998</v>
      </c>
      <c r="O4452" s="72"/>
      <c r="P4452" s="36" t="str">
        <f t="shared" si="426"/>
        <v/>
      </c>
      <c r="Q4452" s="216">
        <f t="shared" si="427"/>
        <v>0.14399999999999991</v>
      </c>
      <c r="R4452" s="216">
        <f t="shared" si="428"/>
        <v>0.14399999999999991</v>
      </c>
      <c r="S4452" s="217" t="str">
        <f t="shared" si="429"/>
        <v/>
      </c>
    </row>
    <row r="4453" spans="1:19" ht="26.25" hidden="1" thickBot="1" x14ac:dyDescent="0.3">
      <c r="A4453" s="257"/>
      <c r="B4453" s="260"/>
      <c r="C4453" s="35" t="s">
        <v>95</v>
      </c>
      <c r="D4453" s="35" t="s">
        <v>773</v>
      </c>
      <c r="E4453" s="36">
        <v>15</v>
      </c>
      <c r="F4453" s="53">
        <v>10.069999999999999</v>
      </c>
      <c r="G4453" s="53">
        <f t="shared" si="424"/>
        <v>151.04999999999998</v>
      </c>
      <c r="H4453" s="72"/>
      <c r="I4453" s="73"/>
      <c r="J4453" s="152">
        <v>0</v>
      </c>
      <c r="L4453" s="215">
        <v>15</v>
      </c>
      <c r="M4453" s="53">
        <v>8.6199199999999987</v>
      </c>
      <c r="N4453" s="53">
        <f t="shared" si="425"/>
        <v>129.29879999999997</v>
      </c>
      <c r="O4453" s="72"/>
      <c r="P4453" s="36" t="str">
        <f t="shared" si="426"/>
        <v/>
      </c>
      <c r="Q4453" s="216">
        <f t="shared" si="427"/>
        <v>0.14400000000000002</v>
      </c>
      <c r="R4453" s="216">
        <f t="shared" si="428"/>
        <v>0.14400000000000013</v>
      </c>
      <c r="S4453" s="217" t="str">
        <f t="shared" si="429"/>
        <v/>
      </c>
    </row>
    <row r="4454" spans="1:19" ht="15.75" hidden="1" thickBot="1" x14ac:dyDescent="0.3">
      <c r="A4454" s="257"/>
      <c r="B4454" s="260"/>
      <c r="C4454" s="35" t="s">
        <v>591</v>
      </c>
      <c r="D4454" s="35" t="s">
        <v>583</v>
      </c>
      <c r="E4454" s="36">
        <v>0.4</v>
      </c>
      <c r="F4454" s="53">
        <v>27.160499999999999</v>
      </c>
      <c r="G4454" s="53">
        <f t="shared" si="424"/>
        <v>10.8642</v>
      </c>
      <c r="H4454" s="72"/>
      <c r="I4454" s="73"/>
      <c r="J4454" s="152">
        <v>0</v>
      </c>
      <c r="L4454" s="215">
        <v>0.4</v>
      </c>
      <c r="M4454" s="53">
        <v>23.249388</v>
      </c>
      <c r="N4454" s="53">
        <f t="shared" si="425"/>
        <v>9.2997551999999999</v>
      </c>
      <c r="O4454" s="72"/>
      <c r="P4454" s="36" t="str">
        <f t="shared" si="426"/>
        <v/>
      </c>
      <c r="Q4454" s="216">
        <f t="shared" si="427"/>
        <v>0.14400000000000002</v>
      </c>
      <c r="R4454" s="216">
        <f t="shared" si="428"/>
        <v>0.14400000000000002</v>
      </c>
      <c r="S4454" s="217" t="str">
        <f t="shared" si="429"/>
        <v/>
      </c>
    </row>
    <row r="4455" spans="1:19" ht="15.75" hidden="1" thickBot="1" x14ac:dyDescent="0.3">
      <c r="A4455" s="258"/>
      <c r="B4455" s="261"/>
      <c r="C4455" s="54"/>
      <c r="D4455" s="54"/>
      <c r="E4455" s="65"/>
      <c r="F4455" s="75" t="s">
        <v>416</v>
      </c>
      <c r="G4455" s="75" t="str">
        <f t="shared" si="424"/>
        <v/>
      </c>
      <c r="H4455" s="76"/>
      <c r="I4455" s="73"/>
      <c r="J4455" s="152">
        <v>0</v>
      </c>
      <c r="L4455" s="222"/>
      <c r="M4455" s="75"/>
      <c r="N4455" s="75" t="str">
        <f t="shared" si="425"/>
        <v/>
      </c>
      <c r="O4455" s="76"/>
      <c r="P4455" s="36" t="str">
        <f t="shared" si="426"/>
        <v/>
      </c>
      <c r="Q4455" s="216" t="str">
        <f t="shared" si="427"/>
        <v/>
      </c>
      <c r="R4455" s="216" t="str">
        <f t="shared" si="428"/>
        <v/>
      </c>
      <c r="S4455" s="217" t="str">
        <f t="shared" si="429"/>
        <v/>
      </c>
    </row>
    <row r="4456" spans="1:19" ht="15.75" hidden="1" thickBot="1" x14ac:dyDescent="0.3">
      <c r="A4456" s="256" t="s">
        <v>1185</v>
      </c>
      <c r="B4456" s="259" t="str">
        <f>INDEX(Orçamentária!A:B,MATCH(Composições!A4456,Orçamentária!A:A,0),2)</f>
        <v>Escada tipo marinheiro SEM proteção</v>
      </c>
      <c r="C4456" s="40"/>
      <c r="D4456" s="25" t="s">
        <v>69</v>
      </c>
      <c r="E4456" s="26"/>
      <c r="F4456" s="48" t="s">
        <v>416</v>
      </c>
      <c r="G4456" s="27" t="str">
        <f t="shared" si="424"/>
        <v/>
      </c>
      <c r="H4456" s="28"/>
      <c r="I4456" s="29"/>
      <c r="J4456" s="152">
        <v>0</v>
      </c>
      <c r="L4456" s="218"/>
      <c r="M4456" s="48"/>
      <c r="N4456" s="27" t="str">
        <f t="shared" si="425"/>
        <v/>
      </c>
      <c r="O4456" s="28"/>
      <c r="P4456" s="36" t="str">
        <f t="shared" si="426"/>
        <v/>
      </c>
      <c r="Q4456" s="216" t="str">
        <f t="shared" si="427"/>
        <v/>
      </c>
      <c r="R4456" s="216" t="str">
        <f t="shared" si="428"/>
        <v/>
      </c>
      <c r="S4456" s="217" t="str">
        <f t="shared" si="429"/>
        <v/>
      </c>
    </row>
    <row r="4457" spans="1:19" ht="15.75" hidden="1" thickBot="1" x14ac:dyDescent="0.3">
      <c r="A4457" s="257"/>
      <c r="B4457" s="260"/>
      <c r="C4457" s="31"/>
      <c r="D4457" s="31"/>
      <c r="E4457" s="32"/>
      <c r="F4457" s="53" t="s">
        <v>416</v>
      </c>
      <c r="G4457" s="53" t="str">
        <f t="shared" si="424"/>
        <v/>
      </c>
      <c r="H4457" s="72"/>
      <c r="I4457" s="73"/>
      <c r="J4457" s="152">
        <v>0</v>
      </c>
      <c r="L4457" s="219"/>
      <c r="M4457" s="53"/>
      <c r="N4457" s="53" t="str">
        <f t="shared" si="425"/>
        <v/>
      </c>
      <c r="O4457" s="72"/>
      <c r="P4457" s="36" t="str">
        <f t="shared" si="426"/>
        <v/>
      </c>
      <c r="Q4457" s="216" t="str">
        <f t="shared" si="427"/>
        <v/>
      </c>
      <c r="R4457" s="216" t="str">
        <f t="shared" si="428"/>
        <v/>
      </c>
      <c r="S4457" s="217" t="str">
        <f t="shared" si="429"/>
        <v/>
      </c>
    </row>
    <row r="4458" spans="1:19" ht="15.75" hidden="1" thickBot="1" x14ac:dyDescent="0.3">
      <c r="A4458" s="257"/>
      <c r="B4458" s="260"/>
      <c r="C4458" s="35" t="s">
        <v>7958</v>
      </c>
      <c r="D4458" s="35" t="s">
        <v>773</v>
      </c>
      <c r="E4458" s="36">
        <v>2.8</v>
      </c>
      <c r="F4458" s="53">
        <v>9.4334999999999987</v>
      </c>
      <c r="G4458" s="53">
        <f t="shared" si="424"/>
        <v>26.413799999999995</v>
      </c>
      <c r="H4458" s="38">
        <f>SUM(G4458:G4466)</f>
        <v>147.61849881911948</v>
      </c>
      <c r="I4458" s="39"/>
      <c r="J4458" s="152">
        <v>0</v>
      </c>
      <c r="L4458" s="215">
        <v>2.8</v>
      </c>
      <c r="M4458" s="53">
        <v>8.0750759999999993</v>
      </c>
      <c r="N4458" s="53">
        <f t="shared" si="425"/>
        <v>22.610212799999996</v>
      </c>
      <c r="O4458" s="38">
        <f>SUM(N4458:N4466)</f>
        <v>126.3614349891663</v>
      </c>
      <c r="P4458" s="36" t="str">
        <f t="shared" si="426"/>
        <v/>
      </c>
      <c r="Q4458" s="216">
        <f t="shared" si="427"/>
        <v>0.14399999999999991</v>
      </c>
      <c r="R4458" s="216">
        <f t="shared" si="428"/>
        <v>0.14400000000000002</v>
      </c>
      <c r="S4458" s="217">
        <f t="shared" si="429"/>
        <v>0.14399999999999979</v>
      </c>
    </row>
    <row r="4459" spans="1:19" ht="15.75" hidden="1" thickBot="1" x14ac:dyDescent="0.3">
      <c r="A4459" s="257"/>
      <c r="B4459" s="260"/>
      <c r="C4459" s="35" t="s">
        <v>1184</v>
      </c>
      <c r="D4459" s="35" t="s">
        <v>75</v>
      </c>
      <c r="E4459" s="36">
        <v>2.5000000000000001E-2</v>
      </c>
      <c r="F4459" s="53">
        <v>39.814499999999995</v>
      </c>
      <c r="G4459" s="53">
        <f t="shared" si="424"/>
        <v>0.99536249999999993</v>
      </c>
      <c r="H4459" s="72"/>
      <c r="I4459" s="73"/>
      <c r="J4459" s="152">
        <v>0</v>
      </c>
      <c r="L4459" s="215">
        <v>2.5000000000000001E-2</v>
      </c>
      <c r="M4459" s="53">
        <v>34.081211999999994</v>
      </c>
      <c r="N4459" s="53">
        <f t="shared" si="425"/>
        <v>0.85203029999999991</v>
      </c>
      <c r="O4459" s="72"/>
      <c r="P4459" s="36" t="str">
        <f t="shared" si="426"/>
        <v/>
      </c>
      <c r="Q4459" s="216">
        <f t="shared" si="427"/>
        <v>0.14400000000000002</v>
      </c>
      <c r="R4459" s="216">
        <f t="shared" si="428"/>
        <v>0.14400000000000002</v>
      </c>
      <c r="S4459" s="217" t="str">
        <f t="shared" si="429"/>
        <v/>
      </c>
    </row>
    <row r="4460" spans="1:19" ht="15.75" hidden="1" thickBot="1" x14ac:dyDescent="0.3">
      <c r="A4460" s="257"/>
      <c r="B4460" s="260"/>
      <c r="C4460" s="35" t="s">
        <v>776</v>
      </c>
      <c r="D4460" s="35" t="s">
        <v>583</v>
      </c>
      <c r="E4460" s="36">
        <v>0.35</v>
      </c>
      <c r="F4460" s="53">
        <v>26.970499999999998</v>
      </c>
      <c r="G4460" s="53">
        <f t="shared" si="424"/>
        <v>9.4396749999999994</v>
      </c>
      <c r="H4460" s="72"/>
      <c r="I4460" s="73"/>
      <c r="J4460" s="152">
        <v>0</v>
      </c>
      <c r="L4460" s="215">
        <v>0.35</v>
      </c>
      <c r="M4460" s="53">
        <v>23.086748</v>
      </c>
      <c r="N4460" s="53">
        <f t="shared" si="425"/>
        <v>8.0803618000000004</v>
      </c>
      <c r="O4460" s="72"/>
      <c r="P4460" s="36" t="str">
        <f t="shared" si="426"/>
        <v/>
      </c>
      <c r="Q4460" s="216">
        <f t="shared" si="427"/>
        <v>0.14399999999999991</v>
      </c>
      <c r="R4460" s="216">
        <f t="shared" si="428"/>
        <v>0.14399999999999991</v>
      </c>
      <c r="S4460" s="217" t="str">
        <f t="shared" si="429"/>
        <v/>
      </c>
    </row>
    <row r="4461" spans="1:19" ht="15.75" hidden="1" thickBot="1" x14ac:dyDescent="0.3">
      <c r="A4461" s="257"/>
      <c r="B4461" s="260"/>
      <c r="C4461" s="35" t="s">
        <v>591</v>
      </c>
      <c r="D4461" s="35" t="s">
        <v>583</v>
      </c>
      <c r="E4461" s="36">
        <v>1.1000000000000001</v>
      </c>
      <c r="F4461" s="53">
        <v>27.160499999999999</v>
      </c>
      <c r="G4461" s="53">
        <f t="shared" si="424"/>
        <v>29.876550000000002</v>
      </c>
      <c r="H4461" s="72"/>
      <c r="I4461" s="73"/>
      <c r="J4461" s="152">
        <v>0</v>
      </c>
      <c r="L4461" s="215">
        <v>1.1000000000000001</v>
      </c>
      <c r="M4461" s="53">
        <v>23.249388</v>
      </c>
      <c r="N4461" s="53">
        <f t="shared" si="425"/>
        <v>25.574326800000001</v>
      </c>
      <c r="O4461" s="72"/>
      <c r="P4461" s="36" t="str">
        <f t="shared" si="426"/>
        <v/>
      </c>
      <c r="Q4461" s="216">
        <f t="shared" si="427"/>
        <v>0.14400000000000002</v>
      </c>
      <c r="R4461" s="216">
        <f t="shared" si="428"/>
        <v>0.14400000000000002</v>
      </c>
      <c r="S4461" s="217" t="str">
        <f t="shared" si="429"/>
        <v/>
      </c>
    </row>
    <row r="4462" spans="1:19" ht="15.75" hidden="1" thickBot="1" x14ac:dyDescent="0.3">
      <c r="A4462" s="257"/>
      <c r="B4462" s="260"/>
      <c r="C4462" s="35" t="s">
        <v>584</v>
      </c>
      <c r="D4462" s="35" t="s">
        <v>583</v>
      </c>
      <c r="E4462" s="36">
        <v>1.1299999999999999</v>
      </c>
      <c r="F4462" s="53">
        <v>20.225499999999997</v>
      </c>
      <c r="G4462" s="53">
        <f t="shared" si="424"/>
        <v>22.854814999999995</v>
      </c>
      <c r="H4462" s="72"/>
      <c r="I4462" s="73"/>
      <c r="J4462" s="152">
        <v>0</v>
      </c>
      <c r="L4462" s="215">
        <v>1.1299999999999999</v>
      </c>
      <c r="M4462" s="53">
        <v>17.313027999999996</v>
      </c>
      <c r="N4462" s="53">
        <f t="shared" si="425"/>
        <v>19.563721639999994</v>
      </c>
      <c r="O4462" s="72"/>
      <c r="P4462" s="36" t="str">
        <f t="shared" si="426"/>
        <v/>
      </c>
      <c r="Q4462" s="216">
        <f t="shared" si="427"/>
        <v>0.14400000000000013</v>
      </c>
      <c r="R4462" s="216">
        <f t="shared" si="428"/>
        <v>0.14400000000000013</v>
      </c>
      <c r="S4462" s="217" t="str">
        <f t="shared" si="429"/>
        <v/>
      </c>
    </row>
    <row r="4463" spans="1:19" ht="26.25" hidden="1" thickBot="1" x14ac:dyDescent="0.3">
      <c r="A4463" s="257"/>
      <c r="B4463" s="260"/>
      <c r="C4463" s="35" t="s">
        <v>79</v>
      </c>
      <c r="D4463" s="35" t="s">
        <v>87</v>
      </c>
      <c r="E4463" s="36">
        <v>3.5000000000000001E-3</v>
      </c>
      <c r="F4463" s="53">
        <v>758.13304558849984</v>
      </c>
      <c r="G4463" s="53">
        <f t="shared" si="424"/>
        <v>2.6534656595597497</v>
      </c>
      <c r="H4463" s="72"/>
      <c r="I4463" s="73"/>
      <c r="J4463" s="152">
        <v>0</v>
      </c>
      <c r="L4463" s="215">
        <v>3.5000000000000001E-3</v>
      </c>
      <c r="M4463" s="53">
        <v>648.96188702375593</v>
      </c>
      <c r="N4463" s="53">
        <f t="shared" si="425"/>
        <v>2.2713666045831458</v>
      </c>
      <c r="O4463" s="72"/>
      <c r="P4463" s="36" t="str">
        <f t="shared" si="426"/>
        <v/>
      </c>
      <c r="Q4463" s="216">
        <f t="shared" si="427"/>
        <v>0.14399999999999991</v>
      </c>
      <c r="R4463" s="216">
        <f t="shared" si="428"/>
        <v>0.14400000000000002</v>
      </c>
      <c r="S4463" s="217" t="str">
        <f t="shared" si="429"/>
        <v/>
      </c>
    </row>
    <row r="4464" spans="1:19" ht="15.75" hidden="1" thickBot="1" x14ac:dyDescent="0.3">
      <c r="A4464" s="257"/>
      <c r="B4464" s="260"/>
      <c r="C4464" s="35" t="s">
        <v>591</v>
      </c>
      <c r="D4464" s="35" t="s">
        <v>583</v>
      </c>
      <c r="E4464" s="36">
        <v>1.1000000000000001</v>
      </c>
      <c r="F4464" s="53">
        <v>27.160499999999999</v>
      </c>
      <c r="G4464" s="53">
        <f t="shared" si="424"/>
        <v>29.876550000000002</v>
      </c>
      <c r="H4464" s="72"/>
      <c r="I4464" s="73"/>
      <c r="J4464" s="152">
        <v>0</v>
      </c>
      <c r="L4464" s="215">
        <v>1.1000000000000001</v>
      </c>
      <c r="M4464" s="53">
        <v>23.249388</v>
      </c>
      <c r="N4464" s="53">
        <f t="shared" si="425"/>
        <v>25.574326800000001</v>
      </c>
      <c r="O4464" s="72"/>
      <c r="P4464" s="36" t="str">
        <f t="shared" si="426"/>
        <v/>
      </c>
      <c r="Q4464" s="216">
        <f t="shared" si="427"/>
        <v>0.14400000000000002</v>
      </c>
      <c r="R4464" s="216">
        <f t="shared" si="428"/>
        <v>0.14400000000000002</v>
      </c>
      <c r="S4464" s="217" t="str">
        <f t="shared" si="429"/>
        <v/>
      </c>
    </row>
    <row r="4465" spans="1:19" ht="15.75" hidden="1" thickBot="1" x14ac:dyDescent="0.3">
      <c r="A4465" s="257"/>
      <c r="B4465" s="260"/>
      <c r="C4465" s="35" t="s">
        <v>584</v>
      </c>
      <c r="D4465" s="35" t="s">
        <v>583</v>
      </c>
      <c r="E4465" s="36">
        <v>1.1299999999999999</v>
      </c>
      <c r="F4465" s="53">
        <v>20.225499999999997</v>
      </c>
      <c r="G4465" s="53">
        <f t="shared" si="424"/>
        <v>22.854814999999995</v>
      </c>
      <c r="H4465" s="72"/>
      <c r="I4465" s="73"/>
      <c r="J4465" s="152">
        <v>0</v>
      </c>
      <c r="L4465" s="215">
        <v>1.1299999999999999</v>
      </c>
      <c r="M4465" s="53">
        <v>17.313027999999996</v>
      </c>
      <c r="N4465" s="53">
        <f t="shared" si="425"/>
        <v>19.563721639999994</v>
      </c>
      <c r="O4465" s="72"/>
      <c r="P4465" s="36" t="str">
        <f t="shared" si="426"/>
        <v/>
      </c>
      <c r="Q4465" s="216">
        <f t="shared" si="427"/>
        <v>0.14400000000000013</v>
      </c>
      <c r="R4465" s="216">
        <f t="shared" si="428"/>
        <v>0.14400000000000013</v>
      </c>
      <c r="S4465" s="217" t="str">
        <f t="shared" si="429"/>
        <v/>
      </c>
    </row>
    <row r="4466" spans="1:19" ht="26.25" hidden="1" thickBot="1" x14ac:dyDescent="0.3">
      <c r="A4466" s="257"/>
      <c r="B4466" s="260"/>
      <c r="C4466" s="35" t="s">
        <v>79</v>
      </c>
      <c r="D4466" s="35" t="s">
        <v>87</v>
      </c>
      <c r="E4466" s="36">
        <v>3.5000000000000001E-3</v>
      </c>
      <c r="F4466" s="53">
        <v>758.13304558849984</v>
      </c>
      <c r="G4466" s="53">
        <f t="shared" si="424"/>
        <v>2.6534656595597497</v>
      </c>
      <c r="H4466" s="72"/>
      <c r="I4466" s="73"/>
      <c r="J4466" s="152">
        <v>0</v>
      </c>
      <c r="L4466" s="215">
        <v>3.5000000000000001E-3</v>
      </c>
      <c r="M4466" s="53">
        <v>648.96188702375593</v>
      </c>
      <c r="N4466" s="53">
        <f t="shared" si="425"/>
        <v>2.2713666045831458</v>
      </c>
      <c r="O4466" s="72"/>
      <c r="P4466" s="36" t="str">
        <f t="shared" si="426"/>
        <v/>
      </c>
      <c r="Q4466" s="216">
        <f t="shared" si="427"/>
        <v>0.14399999999999991</v>
      </c>
      <c r="R4466" s="216">
        <f t="shared" si="428"/>
        <v>0.14400000000000002</v>
      </c>
      <c r="S4466" s="217" t="str">
        <f t="shared" si="429"/>
        <v/>
      </c>
    </row>
    <row r="4467" spans="1:19" ht="15.75" hidden="1" thickBot="1" x14ac:dyDescent="0.3">
      <c r="A4467" s="258"/>
      <c r="B4467" s="261"/>
      <c r="C4467" s="54"/>
      <c r="D4467" s="54"/>
      <c r="E4467" s="65"/>
      <c r="F4467" s="75" t="s">
        <v>416</v>
      </c>
      <c r="G4467" s="75" t="str">
        <f t="shared" si="424"/>
        <v/>
      </c>
      <c r="H4467" s="76"/>
      <c r="I4467" s="73"/>
      <c r="J4467" s="152">
        <v>0</v>
      </c>
      <c r="L4467" s="222"/>
      <c r="M4467" s="75"/>
      <c r="N4467" s="75" t="str">
        <f t="shared" si="425"/>
        <v/>
      </c>
      <c r="O4467" s="76"/>
      <c r="P4467" s="36" t="str">
        <f t="shared" si="426"/>
        <v/>
      </c>
      <c r="Q4467" s="216" t="str">
        <f t="shared" si="427"/>
        <v/>
      </c>
      <c r="R4467" s="216" t="str">
        <f t="shared" si="428"/>
        <v/>
      </c>
      <c r="S4467" s="217" t="str">
        <f t="shared" si="429"/>
        <v/>
      </c>
    </row>
    <row r="4468" spans="1:19" ht="15.75" hidden="1" thickBot="1" x14ac:dyDescent="0.3">
      <c r="A4468" s="256" t="s">
        <v>1186</v>
      </c>
      <c r="B4468" s="259" t="str">
        <f>INDEX(Orçamentária!A:B,MATCH(Composições!A4468,Orçamentária!A:A,0),2)</f>
        <v>Limpeza e Preparação do Substrato para Impermeabilização</v>
      </c>
      <c r="C4468" s="40"/>
      <c r="D4468" s="25" t="s">
        <v>70</v>
      </c>
      <c r="E4468" s="26"/>
      <c r="F4468" s="48" t="s">
        <v>416</v>
      </c>
      <c r="G4468" s="27" t="str">
        <f t="shared" si="424"/>
        <v/>
      </c>
      <c r="H4468" s="28"/>
      <c r="I4468" s="29"/>
      <c r="J4468" s="152">
        <v>0</v>
      </c>
      <c r="L4468" s="218"/>
      <c r="M4468" s="48"/>
      <c r="N4468" s="27" t="str">
        <f t="shared" si="425"/>
        <v/>
      </c>
      <c r="O4468" s="28"/>
      <c r="P4468" s="36" t="str">
        <f t="shared" si="426"/>
        <v/>
      </c>
      <c r="Q4468" s="216" t="str">
        <f t="shared" si="427"/>
        <v/>
      </c>
      <c r="R4468" s="216" t="str">
        <f t="shared" si="428"/>
        <v/>
      </c>
      <c r="S4468" s="217" t="str">
        <f t="shared" si="429"/>
        <v/>
      </c>
    </row>
    <row r="4469" spans="1:19" ht="15.75" hidden="1" thickBot="1" x14ac:dyDescent="0.3">
      <c r="A4469" s="257"/>
      <c r="B4469" s="260"/>
      <c r="C4469" s="31"/>
      <c r="D4469" s="31"/>
      <c r="E4469" s="32"/>
      <c r="F4469" s="53" t="s">
        <v>416</v>
      </c>
      <c r="G4469" s="53" t="str">
        <f t="shared" si="424"/>
        <v/>
      </c>
      <c r="H4469" s="72"/>
      <c r="I4469" s="73"/>
      <c r="J4469" s="152">
        <v>0</v>
      </c>
      <c r="L4469" s="219"/>
      <c r="M4469" s="53"/>
      <c r="N4469" s="53" t="str">
        <f t="shared" si="425"/>
        <v/>
      </c>
      <c r="O4469" s="72"/>
      <c r="P4469" s="36" t="str">
        <f t="shared" si="426"/>
        <v/>
      </c>
      <c r="Q4469" s="216" t="str">
        <f t="shared" si="427"/>
        <v/>
      </c>
      <c r="R4469" s="216" t="str">
        <f t="shared" si="428"/>
        <v/>
      </c>
      <c r="S4469" s="217" t="str">
        <f t="shared" si="429"/>
        <v/>
      </c>
    </row>
    <row r="4470" spans="1:19" ht="15.75" hidden="1" thickBot="1" x14ac:dyDescent="0.3">
      <c r="A4470" s="257"/>
      <c r="B4470" s="260"/>
      <c r="C4470" s="35" t="s">
        <v>584</v>
      </c>
      <c r="D4470" s="35" t="s">
        <v>583</v>
      </c>
      <c r="E4470" s="36">
        <v>0.11</v>
      </c>
      <c r="F4470" s="53">
        <v>20.225499999999997</v>
      </c>
      <c r="G4470" s="53">
        <f t="shared" si="424"/>
        <v>2.2248049999999995</v>
      </c>
      <c r="H4470" s="38">
        <f>SUM(G4470:G4472)</f>
        <v>2.2248049999999995</v>
      </c>
      <c r="I4470" s="39"/>
      <c r="J4470" s="152">
        <v>0</v>
      </c>
      <c r="L4470" s="215">
        <v>0.11</v>
      </c>
      <c r="M4470" s="53">
        <v>17.313027999999996</v>
      </c>
      <c r="N4470" s="53">
        <f t="shared" si="425"/>
        <v>1.9044330799999996</v>
      </c>
      <c r="O4470" s="38">
        <f>SUM(N4470:N4472)</f>
        <v>1.9044330799999996</v>
      </c>
      <c r="P4470" s="36" t="str">
        <f t="shared" si="426"/>
        <v/>
      </c>
      <c r="Q4470" s="216">
        <f t="shared" si="427"/>
        <v>0.14400000000000013</v>
      </c>
      <c r="R4470" s="216">
        <f t="shared" si="428"/>
        <v>0.14400000000000002</v>
      </c>
      <c r="S4470" s="217">
        <f t="shared" si="429"/>
        <v>0.14400000000000002</v>
      </c>
    </row>
    <row r="4471" spans="1:19" ht="15.75" hidden="1" thickBot="1" x14ac:dyDescent="0.3">
      <c r="A4471" s="257"/>
      <c r="B4471" s="260"/>
      <c r="C4471" s="35" t="s">
        <v>1187</v>
      </c>
      <c r="D4471" s="35" t="s">
        <v>1188</v>
      </c>
      <c r="E4471" s="36">
        <v>0.22</v>
      </c>
      <c r="F4471" s="53">
        <v>0</v>
      </c>
      <c r="G4471" s="53">
        <f t="shared" si="424"/>
        <v>0</v>
      </c>
      <c r="H4471" s="72"/>
      <c r="I4471" s="73"/>
      <c r="J4471" s="152">
        <v>0</v>
      </c>
      <c r="L4471" s="215">
        <v>0.22</v>
      </c>
      <c r="M4471" s="53">
        <v>0</v>
      </c>
      <c r="N4471" s="53">
        <f t="shared" si="425"/>
        <v>0</v>
      </c>
      <c r="O4471" s="72"/>
      <c r="P4471" s="36" t="str">
        <f t="shared" si="426"/>
        <v/>
      </c>
      <c r="Q4471" s="216" t="e">
        <f t="shared" si="427"/>
        <v>#DIV/0!</v>
      </c>
      <c r="R4471" s="216" t="e">
        <f t="shared" si="428"/>
        <v>#DIV/0!</v>
      </c>
      <c r="S4471" s="217" t="str">
        <f t="shared" si="429"/>
        <v/>
      </c>
    </row>
    <row r="4472" spans="1:19" ht="15.75" hidden="1" thickBot="1" x14ac:dyDescent="0.3">
      <c r="A4472" s="257"/>
      <c r="B4472" s="260"/>
      <c r="C4472" s="35" t="s">
        <v>1189</v>
      </c>
      <c r="D4472" s="35" t="s">
        <v>75</v>
      </c>
      <c r="E4472" s="36">
        <v>0.4</v>
      </c>
      <c r="F4472" s="53">
        <v>0</v>
      </c>
      <c r="G4472" s="53">
        <f t="shared" si="424"/>
        <v>0</v>
      </c>
      <c r="H4472" s="72"/>
      <c r="I4472" s="73"/>
      <c r="J4472" s="152">
        <v>0</v>
      </c>
      <c r="L4472" s="215">
        <v>0.4</v>
      </c>
      <c r="M4472" s="53">
        <v>0</v>
      </c>
      <c r="N4472" s="53">
        <f t="shared" si="425"/>
        <v>0</v>
      </c>
      <c r="O4472" s="72"/>
      <c r="P4472" s="36" t="str">
        <f t="shared" si="426"/>
        <v/>
      </c>
      <c r="Q4472" s="216" t="e">
        <f t="shared" si="427"/>
        <v>#DIV/0!</v>
      </c>
      <c r="R4472" s="216" t="e">
        <f t="shared" si="428"/>
        <v>#DIV/0!</v>
      </c>
      <c r="S4472" s="217" t="str">
        <f t="shared" si="429"/>
        <v/>
      </c>
    </row>
    <row r="4473" spans="1:19" ht="15.75" hidden="1" thickBot="1" x14ac:dyDescent="0.3">
      <c r="A4473" s="258"/>
      <c r="B4473" s="261"/>
      <c r="C4473" s="54"/>
      <c r="D4473" s="54"/>
      <c r="E4473" s="65"/>
      <c r="F4473" s="75" t="s">
        <v>416</v>
      </c>
      <c r="G4473" s="75" t="str">
        <f t="shared" si="424"/>
        <v/>
      </c>
      <c r="H4473" s="76"/>
      <c r="I4473" s="73"/>
      <c r="J4473" s="152">
        <v>0</v>
      </c>
      <c r="L4473" s="222"/>
      <c r="M4473" s="75"/>
      <c r="N4473" s="75" t="str">
        <f t="shared" si="425"/>
        <v/>
      </c>
      <c r="O4473" s="76"/>
      <c r="P4473" s="36" t="str">
        <f t="shared" si="426"/>
        <v/>
      </c>
      <c r="Q4473" s="216" t="str">
        <f t="shared" si="427"/>
        <v/>
      </c>
      <c r="R4473" s="216" t="str">
        <f t="shared" si="428"/>
        <v/>
      </c>
      <c r="S4473" s="217" t="str">
        <f t="shared" si="429"/>
        <v/>
      </c>
    </row>
    <row r="4474" spans="1:19" ht="15.75" hidden="1" thickBot="1" x14ac:dyDescent="0.3">
      <c r="A4474" s="256" t="s">
        <v>1190</v>
      </c>
      <c r="B4474" s="259" t="str">
        <f>INDEX(Orçamentária!A:B,MATCH(Composições!A4474,Orçamentária!A:A,0),2)</f>
        <v>Substituição de Coletores de Águas Pluviais</v>
      </c>
      <c r="C4474" s="40"/>
      <c r="D4474" s="25" t="s">
        <v>16</v>
      </c>
      <c r="E4474" s="26"/>
      <c r="F4474" s="48" t="s">
        <v>416</v>
      </c>
      <c r="G4474" s="27" t="str">
        <f t="shared" si="424"/>
        <v/>
      </c>
      <c r="H4474" s="28"/>
      <c r="I4474" s="29"/>
      <c r="J4474" s="152">
        <v>0</v>
      </c>
      <c r="L4474" s="218"/>
      <c r="M4474" s="48"/>
      <c r="N4474" s="27" t="str">
        <f t="shared" si="425"/>
        <v/>
      </c>
      <c r="O4474" s="28"/>
      <c r="P4474" s="36" t="str">
        <f t="shared" si="426"/>
        <v/>
      </c>
      <c r="Q4474" s="216" t="str">
        <f t="shared" si="427"/>
        <v/>
      </c>
      <c r="R4474" s="216" t="str">
        <f t="shared" si="428"/>
        <v/>
      </c>
      <c r="S4474" s="217" t="str">
        <f t="shared" si="429"/>
        <v/>
      </c>
    </row>
    <row r="4475" spans="1:19" ht="15.75" hidden="1" thickBot="1" x14ac:dyDescent="0.3">
      <c r="A4475" s="257"/>
      <c r="B4475" s="260"/>
      <c r="C4475" s="31"/>
      <c r="D4475" s="31"/>
      <c r="E4475" s="32"/>
      <c r="F4475" s="53" t="s">
        <v>416</v>
      </c>
      <c r="G4475" s="53" t="str">
        <f t="shared" si="424"/>
        <v/>
      </c>
      <c r="H4475" s="72"/>
      <c r="I4475" s="73"/>
      <c r="J4475" s="152">
        <v>0</v>
      </c>
      <c r="L4475" s="219"/>
      <c r="M4475" s="53"/>
      <c r="N4475" s="53" t="str">
        <f t="shared" si="425"/>
        <v/>
      </c>
      <c r="O4475" s="72"/>
      <c r="P4475" s="36" t="str">
        <f t="shared" si="426"/>
        <v/>
      </c>
      <c r="Q4475" s="216" t="str">
        <f t="shared" si="427"/>
        <v/>
      </c>
      <c r="R4475" s="216" t="str">
        <f t="shared" si="428"/>
        <v/>
      </c>
      <c r="S4475" s="217" t="str">
        <f t="shared" si="429"/>
        <v/>
      </c>
    </row>
    <row r="4476" spans="1:19" ht="26.25" hidden="1" thickBot="1" x14ac:dyDescent="0.3">
      <c r="A4476" s="257"/>
      <c r="B4476" s="260"/>
      <c r="C4476" s="35" t="s">
        <v>1191</v>
      </c>
      <c r="D4476" s="35" t="s">
        <v>213</v>
      </c>
      <c r="E4476" s="36">
        <v>1</v>
      </c>
      <c r="F4476" s="53">
        <v>11.571</v>
      </c>
      <c r="G4476" s="53">
        <f t="shared" si="424"/>
        <v>11.571</v>
      </c>
      <c r="H4476" s="38">
        <f>SUM(G4476:G4490)</f>
        <v>232.58292064999998</v>
      </c>
      <c r="I4476" s="39"/>
      <c r="J4476" s="152">
        <v>0</v>
      </c>
      <c r="L4476" s="215">
        <v>1</v>
      </c>
      <c r="M4476" s="53">
        <v>9.904776</v>
      </c>
      <c r="N4476" s="53">
        <f t="shared" si="425"/>
        <v>9.904776</v>
      </c>
      <c r="O4476" s="38">
        <f>SUM(N4476:N4490)</f>
        <v>199.09098007639994</v>
      </c>
      <c r="P4476" s="36" t="str">
        <f t="shared" si="426"/>
        <v/>
      </c>
      <c r="Q4476" s="216">
        <f t="shared" si="427"/>
        <v>0.14400000000000002</v>
      </c>
      <c r="R4476" s="216">
        <f t="shared" si="428"/>
        <v>0.14400000000000002</v>
      </c>
      <c r="S4476" s="217">
        <f t="shared" si="429"/>
        <v>0.14400000000000013</v>
      </c>
    </row>
    <row r="4477" spans="1:19" ht="26.25" hidden="1" thickBot="1" x14ac:dyDescent="0.3">
      <c r="A4477" s="257"/>
      <c r="B4477" s="260"/>
      <c r="C4477" s="35" t="s">
        <v>1192</v>
      </c>
      <c r="D4477" s="35" t="s">
        <v>213</v>
      </c>
      <c r="E4477" s="36">
        <v>1</v>
      </c>
      <c r="F4477" s="53">
        <v>54.301999999999992</v>
      </c>
      <c r="G4477" s="53">
        <f t="shared" si="424"/>
        <v>54.301999999999992</v>
      </c>
      <c r="H4477" s="72"/>
      <c r="I4477" s="73"/>
      <c r="J4477" s="152">
        <v>0</v>
      </c>
      <c r="L4477" s="215">
        <v>1</v>
      </c>
      <c r="M4477" s="53">
        <v>46.482511999999993</v>
      </c>
      <c r="N4477" s="53">
        <f t="shared" si="425"/>
        <v>46.482511999999993</v>
      </c>
      <c r="O4477" s="72"/>
      <c r="P4477" s="36" t="str">
        <f t="shared" si="426"/>
        <v/>
      </c>
      <c r="Q4477" s="216">
        <f t="shared" si="427"/>
        <v>0.14400000000000002</v>
      </c>
      <c r="R4477" s="216">
        <f t="shared" si="428"/>
        <v>0.14400000000000002</v>
      </c>
      <c r="S4477" s="217" t="str">
        <f t="shared" si="429"/>
        <v/>
      </c>
    </row>
    <row r="4478" spans="1:19" ht="39" hidden="1" thickBot="1" x14ac:dyDescent="0.3">
      <c r="A4478" s="257"/>
      <c r="B4478" s="260"/>
      <c r="C4478" s="35" t="s">
        <v>8310</v>
      </c>
      <c r="D4478" s="35" t="s">
        <v>213</v>
      </c>
      <c r="E4478" s="36">
        <v>7.0000000000000007E-2</v>
      </c>
      <c r="F4478" s="53">
        <v>27.388499999999997</v>
      </c>
      <c r="G4478" s="53">
        <f t="shared" si="424"/>
        <v>1.917195</v>
      </c>
      <c r="H4478" s="72"/>
      <c r="I4478" s="73"/>
      <c r="J4478" s="152">
        <v>0</v>
      </c>
      <c r="L4478" s="215">
        <v>7.0000000000000007E-2</v>
      </c>
      <c r="M4478" s="53">
        <v>23.444555999999999</v>
      </c>
      <c r="N4478" s="53">
        <f t="shared" si="425"/>
        <v>1.64111892</v>
      </c>
      <c r="O4478" s="72"/>
      <c r="P4478" s="36" t="str">
        <f t="shared" si="426"/>
        <v/>
      </c>
      <c r="Q4478" s="216">
        <f t="shared" si="427"/>
        <v>0.14399999999999991</v>
      </c>
      <c r="R4478" s="216">
        <f t="shared" si="428"/>
        <v>0.14400000000000002</v>
      </c>
      <c r="S4478" s="217" t="str">
        <f t="shared" si="429"/>
        <v/>
      </c>
    </row>
    <row r="4479" spans="1:19" ht="26.25" hidden="1" thickBot="1" x14ac:dyDescent="0.3">
      <c r="A4479" s="257"/>
      <c r="B4479" s="260"/>
      <c r="C4479" s="35" t="s">
        <v>824</v>
      </c>
      <c r="D4479" s="35" t="s">
        <v>583</v>
      </c>
      <c r="E4479" s="36">
        <v>0.11</v>
      </c>
      <c r="F4479" s="53">
        <v>21.166</v>
      </c>
      <c r="G4479" s="53">
        <f t="shared" si="424"/>
        <v>2.3282600000000002</v>
      </c>
      <c r="H4479" s="72"/>
      <c r="I4479" s="73"/>
      <c r="J4479" s="152">
        <v>0</v>
      </c>
      <c r="L4479" s="215">
        <v>0.11</v>
      </c>
      <c r="M4479" s="53">
        <v>18.118096000000001</v>
      </c>
      <c r="N4479" s="53">
        <f t="shared" si="425"/>
        <v>1.9929905600000002</v>
      </c>
      <c r="O4479" s="72"/>
      <c r="P4479" s="36" t="str">
        <f t="shared" si="426"/>
        <v/>
      </c>
      <c r="Q4479" s="216">
        <f t="shared" si="427"/>
        <v>0.14399999999999991</v>
      </c>
      <c r="R4479" s="216">
        <f t="shared" si="428"/>
        <v>0.14400000000000002</v>
      </c>
      <c r="S4479" s="217" t="str">
        <f t="shared" si="429"/>
        <v/>
      </c>
    </row>
    <row r="4480" spans="1:19" ht="26.25" hidden="1" thickBot="1" x14ac:dyDescent="0.3">
      <c r="A4480" s="257"/>
      <c r="B4480" s="260"/>
      <c r="C4480" s="35" t="s">
        <v>825</v>
      </c>
      <c r="D4480" s="35" t="s">
        <v>583</v>
      </c>
      <c r="E4480" s="36">
        <v>0.11</v>
      </c>
      <c r="F4480" s="53">
        <v>26.799499999999998</v>
      </c>
      <c r="G4480" s="53">
        <f t="shared" si="424"/>
        <v>2.9479449999999998</v>
      </c>
      <c r="H4480" s="72"/>
      <c r="I4480" s="73"/>
      <c r="J4480" s="152">
        <v>0</v>
      </c>
      <c r="L4480" s="215">
        <v>0.11</v>
      </c>
      <c r="M4480" s="53">
        <v>22.940372</v>
      </c>
      <c r="N4480" s="53">
        <f t="shared" si="425"/>
        <v>2.5234409200000001</v>
      </c>
      <c r="O4480" s="72"/>
      <c r="P4480" s="36" t="str">
        <f t="shared" si="426"/>
        <v/>
      </c>
      <c r="Q4480" s="216">
        <f t="shared" si="427"/>
        <v>0.14399999999999991</v>
      </c>
      <c r="R4480" s="216">
        <f t="shared" si="428"/>
        <v>0.14399999999999991</v>
      </c>
      <c r="S4480" s="217" t="str">
        <f t="shared" si="429"/>
        <v/>
      </c>
    </row>
    <row r="4481" spans="1:19" ht="15.75" hidden="1" thickBot="1" x14ac:dyDescent="0.3">
      <c r="A4481" s="257"/>
      <c r="B4481" s="260"/>
      <c r="C4481" s="35" t="s">
        <v>7975</v>
      </c>
      <c r="D4481" s="35" t="s">
        <v>213</v>
      </c>
      <c r="E4481" s="36">
        <v>6.1999999999999998E-3</v>
      </c>
      <c r="F4481" s="53">
        <v>66.36699999999999</v>
      </c>
      <c r="G4481" s="53">
        <f t="shared" si="424"/>
        <v>0.41147539999999994</v>
      </c>
      <c r="H4481" s="72"/>
      <c r="I4481" s="73"/>
      <c r="J4481" s="152">
        <v>0</v>
      </c>
      <c r="L4481" s="215">
        <v>6.1999999999999998E-3</v>
      </c>
      <c r="M4481" s="53">
        <v>56.810151999999988</v>
      </c>
      <c r="N4481" s="53">
        <f t="shared" si="425"/>
        <v>0.35222294239999991</v>
      </c>
      <c r="O4481" s="72"/>
      <c r="P4481" s="36" t="str">
        <f t="shared" si="426"/>
        <v/>
      </c>
      <c r="Q4481" s="216">
        <f t="shared" si="427"/>
        <v>0.14400000000000002</v>
      </c>
      <c r="R4481" s="216">
        <f t="shared" si="428"/>
        <v>0.14400000000000013</v>
      </c>
      <c r="S4481" s="217" t="str">
        <f t="shared" si="429"/>
        <v/>
      </c>
    </row>
    <row r="4482" spans="1:19" ht="26.25" hidden="1" thickBot="1" x14ac:dyDescent="0.3">
      <c r="A4482" s="257"/>
      <c r="B4482" s="260"/>
      <c r="C4482" s="35" t="s">
        <v>1193</v>
      </c>
      <c r="D4482" s="35" t="s">
        <v>385</v>
      </c>
      <c r="E4482" s="36">
        <f>1.04/2</f>
        <v>0.52</v>
      </c>
      <c r="F4482" s="53">
        <v>58.273000000000003</v>
      </c>
      <c r="G4482" s="53">
        <f t="shared" si="424"/>
        <v>30.301960000000001</v>
      </c>
      <c r="H4482" s="72"/>
      <c r="I4482" s="73"/>
      <c r="J4482" s="152">
        <v>0</v>
      </c>
      <c r="L4482" s="215">
        <v>0.52</v>
      </c>
      <c r="M4482" s="53">
        <v>49.881688000000004</v>
      </c>
      <c r="N4482" s="53">
        <f t="shared" si="425"/>
        <v>25.938477760000001</v>
      </c>
      <c r="O4482" s="72"/>
      <c r="P4482" s="36" t="str">
        <f t="shared" si="426"/>
        <v/>
      </c>
      <c r="Q4482" s="216">
        <f t="shared" si="427"/>
        <v>0.14400000000000002</v>
      </c>
      <c r="R4482" s="216">
        <f t="shared" si="428"/>
        <v>0.14400000000000002</v>
      </c>
      <c r="S4482" s="217" t="str">
        <f t="shared" si="429"/>
        <v/>
      </c>
    </row>
    <row r="4483" spans="1:19" ht="26.25" hidden="1" thickBot="1" x14ac:dyDescent="0.3">
      <c r="A4483" s="257"/>
      <c r="B4483" s="260"/>
      <c r="C4483" s="35" t="s">
        <v>8375</v>
      </c>
      <c r="D4483" s="35" t="s">
        <v>213</v>
      </c>
      <c r="E4483" s="36">
        <v>1.0200000000000001E-2</v>
      </c>
      <c r="F4483" s="53">
        <v>75.192499999999995</v>
      </c>
      <c r="G4483" s="53">
        <f t="shared" si="424"/>
        <v>0.76696350000000002</v>
      </c>
      <c r="H4483" s="72"/>
      <c r="I4483" s="73"/>
      <c r="J4483" s="152">
        <v>0</v>
      </c>
      <c r="L4483" s="215">
        <v>1.0200000000000001E-2</v>
      </c>
      <c r="M4483" s="53">
        <v>64.364779999999996</v>
      </c>
      <c r="N4483" s="53">
        <f t="shared" si="425"/>
        <v>0.65652075600000004</v>
      </c>
      <c r="O4483" s="72"/>
      <c r="P4483" s="36" t="str">
        <f t="shared" si="426"/>
        <v/>
      </c>
      <c r="Q4483" s="216">
        <f t="shared" si="427"/>
        <v>0.14400000000000002</v>
      </c>
      <c r="R4483" s="216">
        <f t="shared" si="428"/>
        <v>0.14400000000000002</v>
      </c>
      <c r="S4483" s="217" t="str">
        <f t="shared" si="429"/>
        <v/>
      </c>
    </row>
    <row r="4484" spans="1:19" ht="15.75" hidden="1" thickBot="1" x14ac:dyDescent="0.3">
      <c r="A4484" s="257"/>
      <c r="B4484" s="260"/>
      <c r="C4484" s="35" t="s">
        <v>8220</v>
      </c>
      <c r="D4484" s="35" t="s">
        <v>213</v>
      </c>
      <c r="E4484" s="36">
        <v>3.6999999999999998E-2</v>
      </c>
      <c r="F4484" s="53">
        <v>2.1185</v>
      </c>
      <c r="G4484" s="53">
        <f t="shared" si="424"/>
        <v>7.8384499999999996E-2</v>
      </c>
      <c r="H4484" s="72"/>
      <c r="I4484" s="73"/>
      <c r="J4484" s="152">
        <v>0</v>
      </c>
      <c r="L4484" s="215">
        <v>3.6999999999999998E-2</v>
      </c>
      <c r="M4484" s="53">
        <v>1.813436</v>
      </c>
      <c r="N4484" s="53">
        <f t="shared" si="425"/>
        <v>6.7097132000000004E-2</v>
      </c>
      <c r="O4484" s="72"/>
      <c r="P4484" s="36" t="str">
        <f t="shared" si="426"/>
        <v/>
      </c>
      <c r="Q4484" s="216">
        <f t="shared" si="427"/>
        <v>0.14400000000000002</v>
      </c>
      <c r="R4484" s="216">
        <f t="shared" si="428"/>
        <v>0.14399999999999991</v>
      </c>
      <c r="S4484" s="217" t="str">
        <f t="shared" si="429"/>
        <v/>
      </c>
    </row>
    <row r="4485" spans="1:19" ht="26.25" hidden="1" thickBot="1" x14ac:dyDescent="0.3">
      <c r="A4485" s="257"/>
      <c r="B4485" s="260"/>
      <c r="C4485" s="35" t="s">
        <v>824</v>
      </c>
      <c r="D4485" s="35" t="s">
        <v>583</v>
      </c>
      <c r="E4485" s="36">
        <v>0.18</v>
      </c>
      <c r="F4485" s="53">
        <v>21.166</v>
      </c>
      <c r="G4485" s="53">
        <f t="shared" ref="G4485:G4490" si="430">IF(ISNUMBER(F4485),E4485*F4485,"")</f>
        <v>3.8098799999999997</v>
      </c>
      <c r="H4485" s="72"/>
      <c r="I4485" s="73"/>
      <c r="J4485" s="152">
        <v>0</v>
      </c>
      <c r="L4485" s="215">
        <v>0.18</v>
      </c>
      <c r="M4485" s="53">
        <v>18.118096000000001</v>
      </c>
      <c r="N4485" s="53">
        <f t="shared" ref="N4485:N4490" si="431">IF(ISNUMBER(M4485),L4485*M4485,"")</f>
        <v>3.2612572800000001</v>
      </c>
      <c r="O4485" s="72"/>
      <c r="P4485" s="36" t="str">
        <f t="shared" si="426"/>
        <v/>
      </c>
      <c r="Q4485" s="216">
        <f t="shared" si="427"/>
        <v>0.14399999999999991</v>
      </c>
      <c r="R4485" s="216">
        <f t="shared" si="428"/>
        <v>0.14399999999999991</v>
      </c>
      <c r="S4485" s="217" t="str">
        <f t="shared" si="429"/>
        <v/>
      </c>
    </row>
    <row r="4486" spans="1:19" ht="26.25" hidden="1" thickBot="1" x14ac:dyDescent="0.3">
      <c r="A4486" s="257"/>
      <c r="B4486" s="260"/>
      <c r="C4486" s="35" t="s">
        <v>825</v>
      </c>
      <c r="D4486" s="35" t="s">
        <v>583</v>
      </c>
      <c r="E4486" s="36">
        <v>0.18</v>
      </c>
      <c r="F4486" s="53">
        <v>26.799499999999998</v>
      </c>
      <c r="G4486" s="53">
        <f t="shared" si="430"/>
        <v>4.8239099999999997</v>
      </c>
      <c r="H4486" s="72"/>
      <c r="I4486" s="73"/>
      <c r="J4486" s="152">
        <v>0</v>
      </c>
      <c r="L4486" s="215">
        <v>0.18</v>
      </c>
      <c r="M4486" s="53">
        <v>22.940372</v>
      </c>
      <c r="N4486" s="53">
        <f t="shared" si="431"/>
        <v>4.1292669599999998</v>
      </c>
      <c r="O4486" s="72"/>
      <c r="P4486" s="36" t="str">
        <f t="shared" si="426"/>
        <v/>
      </c>
      <c r="Q4486" s="216">
        <f t="shared" si="427"/>
        <v>0.14399999999999991</v>
      </c>
      <c r="R4486" s="216">
        <f t="shared" si="428"/>
        <v>0.14400000000000002</v>
      </c>
      <c r="S4486" s="217" t="str">
        <f t="shared" si="429"/>
        <v/>
      </c>
    </row>
    <row r="4487" spans="1:19" ht="15.75" hidden="1" thickBot="1" x14ac:dyDescent="0.3">
      <c r="A4487" s="257"/>
      <c r="B4487" s="260"/>
      <c r="C4487" s="35" t="s">
        <v>591</v>
      </c>
      <c r="D4487" s="35" t="s">
        <v>583</v>
      </c>
      <c r="E4487" s="36">
        <v>1</v>
      </c>
      <c r="F4487" s="53">
        <v>27.160499999999999</v>
      </c>
      <c r="G4487" s="53">
        <f t="shared" si="430"/>
        <v>27.160499999999999</v>
      </c>
      <c r="H4487" s="72"/>
      <c r="I4487" s="73"/>
      <c r="J4487" s="152">
        <v>0</v>
      </c>
      <c r="L4487" s="215">
        <v>1</v>
      </c>
      <c r="M4487" s="53">
        <v>23.249388</v>
      </c>
      <c r="N4487" s="53">
        <f t="shared" si="431"/>
        <v>23.249388</v>
      </c>
      <c r="O4487" s="72"/>
      <c r="P4487" s="36" t="str">
        <f t="shared" si="426"/>
        <v/>
      </c>
      <c r="Q4487" s="216">
        <f t="shared" si="427"/>
        <v>0.14400000000000002</v>
      </c>
      <c r="R4487" s="216">
        <f t="shared" si="428"/>
        <v>0.14400000000000002</v>
      </c>
      <c r="S4487" s="217" t="str">
        <f t="shared" si="429"/>
        <v/>
      </c>
    </row>
    <row r="4488" spans="1:19" ht="26.25" hidden="1" thickBot="1" x14ac:dyDescent="0.3">
      <c r="A4488" s="257"/>
      <c r="B4488" s="260"/>
      <c r="C4488" s="35" t="s">
        <v>650</v>
      </c>
      <c r="D4488" s="35" t="s">
        <v>773</v>
      </c>
      <c r="E4488" s="36">
        <f>ROUND(1.8*(PI()*(0.25-0.15)*0.1)*10,4)</f>
        <v>0.5655</v>
      </c>
      <c r="F4488" s="53">
        <v>52.259499999999996</v>
      </c>
      <c r="G4488" s="53">
        <f t="shared" si="430"/>
        <v>29.552747249999996</v>
      </c>
      <c r="H4488" s="72"/>
      <c r="I4488" s="73"/>
      <c r="J4488" s="152">
        <v>0</v>
      </c>
      <c r="L4488" s="215">
        <v>0.5655</v>
      </c>
      <c r="M4488" s="53">
        <v>44.734131999999995</v>
      </c>
      <c r="N4488" s="53">
        <f t="shared" si="431"/>
        <v>25.297151645999996</v>
      </c>
      <c r="O4488" s="72"/>
      <c r="P4488" s="36" t="str">
        <f t="shared" ref="P4488:P4551" si="432">IF(ISBLANK(L4488),"",IF($E4488&lt;&gt;L4488,"SIM",""))</f>
        <v/>
      </c>
      <c r="Q4488" s="216">
        <f t="shared" ref="Q4488:Q4551" si="433">IF(M4488="","",1-M4488/$F4488)</f>
        <v>0.14400000000000002</v>
      </c>
      <c r="R4488" s="216">
        <f t="shared" ref="R4488:R4551" si="434">IF(N4488="","",1-N4488/$G4488)</f>
        <v>0.14400000000000002</v>
      </c>
      <c r="S4488" s="217" t="str">
        <f t="shared" ref="S4488:S4551" si="435">IF(O4488="","",1-O4488/$H4488)</f>
        <v/>
      </c>
    </row>
    <row r="4489" spans="1:19" ht="26.25" hidden="1" thickBot="1" x14ac:dyDescent="0.3">
      <c r="A4489" s="257"/>
      <c r="B4489" s="260"/>
      <c r="C4489" s="35" t="s">
        <v>928</v>
      </c>
      <c r="D4489" s="35" t="s">
        <v>8526</v>
      </c>
      <c r="E4489" s="36">
        <v>0.2</v>
      </c>
      <c r="F4489" s="53">
        <v>39.548499999999997</v>
      </c>
      <c r="G4489" s="53">
        <f t="shared" si="430"/>
        <v>7.9097</v>
      </c>
      <c r="H4489" s="72"/>
      <c r="I4489" s="73"/>
      <c r="J4489" s="152">
        <v>0</v>
      </c>
      <c r="L4489" s="215">
        <v>0.2</v>
      </c>
      <c r="M4489" s="53">
        <v>33.853515999999999</v>
      </c>
      <c r="N4489" s="53">
        <f t="shared" si="431"/>
        <v>6.7707031999999998</v>
      </c>
      <c r="O4489" s="72"/>
      <c r="P4489" s="36" t="str">
        <f t="shared" si="432"/>
        <v/>
      </c>
      <c r="Q4489" s="216">
        <f t="shared" si="433"/>
        <v>0.14399999999999991</v>
      </c>
      <c r="R4489" s="216">
        <f t="shared" si="434"/>
        <v>0.14400000000000002</v>
      </c>
      <c r="S4489" s="217" t="str">
        <f t="shared" si="435"/>
        <v/>
      </c>
    </row>
    <row r="4490" spans="1:19" ht="15.75" hidden="1" thickBot="1" x14ac:dyDescent="0.3">
      <c r="A4490" s="257"/>
      <c r="B4490" s="260"/>
      <c r="C4490" s="35" t="s">
        <v>1194</v>
      </c>
      <c r="D4490" s="35" t="s">
        <v>213</v>
      </c>
      <c r="E4490" s="36">
        <v>1</v>
      </c>
      <c r="F4490" s="53">
        <v>54.700999999999993</v>
      </c>
      <c r="G4490" s="53">
        <f t="shared" si="430"/>
        <v>54.700999999999993</v>
      </c>
      <c r="H4490" s="72"/>
      <c r="I4490" s="73"/>
      <c r="J4490" s="152">
        <v>0</v>
      </c>
      <c r="L4490" s="215">
        <v>1</v>
      </c>
      <c r="M4490" s="53">
        <v>46.824055999999999</v>
      </c>
      <c r="N4490" s="53">
        <f t="shared" si="431"/>
        <v>46.824055999999999</v>
      </c>
      <c r="O4490" s="72"/>
      <c r="P4490" s="36" t="str">
        <f t="shared" si="432"/>
        <v/>
      </c>
      <c r="Q4490" s="216">
        <f t="shared" si="433"/>
        <v>0.14399999999999991</v>
      </c>
      <c r="R4490" s="216">
        <f t="shared" si="434"/>
        <v>0.14399999999999991</v>
      </c>
      <c r="S4490" s="217" t="str">
        <f t="shared" si="435"/>
        <v/>
      </c>
    </row>
    <row r="4491" spans="1:19" ht="15.75" hidden="1" thickBot="1" x14ac:dyDescent="0.3">
      <c r="A4491" s="257"/>
      <c r="B4491" s="260"/>
      <c r="C4491" s="35"/>
      <c r="D4491" s="35"/>
      <c r="E4491" s="36"/>
      <c r="F4491" s="53" t="s">
        <v>416</v>
      </c>
      <c r="G4491" s="53"/>
      <c r="H4491" s="72"/>
      <c r="I4491" s="73"/>
      <c r="J4491" s="152">
        <v>0</v>
      </c>
      <c r="L4491" s="215"/>
      <c r="M4491" s="53"/>
      <c r="N4491" s="53"/>
      <c r="O4491" s="72"/>
      <c r="P4491" s="36" t="str">
        <f t="shared" si="432"/>
        <v/>
      </c>
      <c r="Q4491" s="216" t="str">
        <f t="shared" si="433"/>
        <v/>
      </c>
      <c r="R4491" s="216" t="str">
        <f t="shared" si="434"/>
        <v/>
      </c>
      <c r="S4491" s="217" t="str">
        <f t="shared" si="435"/>
        <v/>
      </c>
    </row>
    <row r="4492" spans="1:19" ht="26.25" hidden="1" thickBot="1" x14ac:dyDescent="0.3">
      <c r="A4492" s="257"/>
      <c r="B4492" s="260"/>
      <c r="C4492" s="47" t="s">
        <v>3082</v>
      </c>
      <c r="D4492" s="35"/>
      <c r="E4492" s="36"/>
      <c r="F4492" s="53" t="s">
        <v>416</v>
      </c>
      <c r="G4492" s="53"/>
      <c r="H4492" s="72"/>
      <c r="I4492" s="73"/>
      <c r="J4492" s="152">
        <v>0</v>
      </c>
      <c r="L4492" s="215"/>
      <c r="M4492" s="53"/>
      <c r="N4492" s="53"/>
      <c r="O4492" s="72"/>
      <c r="P4492" s="36" t="str">
        <f t="shared" si="432"/>
        <v/>
      </c>
      <c r="Q4492" s="216" t="str">
        <f t="shared" si="433"/>
        <v/>
      </c>
      <c r="R4492" s="216" t="str">
        <f t="shared" si="434"/>
        <v/>
      </c>
      <c r="S4492" s="217" t="str">
        <f t="shared" si="435"/>
        <v/>
      </c>
    </row>
    <row r="4493" spans="1:19" ht="15.75" hidden="1" thickBot="1" x14ac:dyDescent="0.3">
      <c r="A4493" s="258"/>
      <c r="B4493" s="261"/>
      <c r="C4493" s="54"/>
      <c r="D4493" s="54"/>
      <c r="E4493" s="65"/>
      <c r="F4493" s="75" t="s">
        <v>416</v>
      </c>
      <c r="G4493" s="75" t="str">
        <f t="shared" ref="G4493:G4498" si="436">IF(ISNUMBER(F4493),E4493*F4493,"")</f>
        <v/>
      </c>
      <c r="H4493" s="76"/>
      <c r="I4493" s="73"/>
      <c r="J4493" s="152">
        <v>0</v>
      </c>
      <c r="L4493" s="222"/>
      <c r="M4493" s="75"/>
      <c r="N4493" s="75" t="str">
        <f t="shared" ref="N4493:N4498" si="437">IF(ISNUMBER(M4493),L4493*M4493,"")</f>
        <v/>
      </c>
      <c r="O4493" s="76"/>
      <c r="P4493" s="36" t="str">
        <f t="shared" si="432"/>
        <v/>
      </c>
      <c r="Q4493" s="216" t="str">
        <f t="shared" si="433"/>
        <v/>
      </c>
      <c r="R4493" s="216" t="str">
        <f t="shared" si="434"/>
        <v/>
      </c>
      <c r="S4493" s="217" t="str">
        <f t="shared" si="435"/>
        <v/>
      </c>
    </row>
    <row r="4494" spans="1:19" ht="15.75" hidden="1" thickBot="1" x14ac:dyDescent="0.3">
      <c r="A4494" s="256" t="s">
        <v>1195</v>
      </c>
      <c r="B4494" s="259" t="str">
        <f>INDEX(Orçamentária!A:B,MATCH(Composições!A4494,Orçamentária!A:A,0),2)</f>
        <v>Tratamento de Tubulação Passante para Impermeabilização</v>
      </c>
      <c r="C4494" s="40"/>
      <c r="D4494" s="25" t="s">
        <v>16</v>
      </c>
      <c r="E4494" s="26"/>
      <c r="F4494" s="48" t="s">
        <v>416</v>
      </c>
      <c r="G4494" s="27" t="str">
        <f t="shared" si="436"/>
        <v/>
      </c>
      <c r="H4494" s="28"/>
      <c r="I4494" s="29"/>
      <c r="J4494" s="152">
        <v>0</v>
      </c>
      <c r="L4494" s="218"/>
      <c r="M4494" s="48"/>
      <c r="N4494" s="27" t="str">
        <f t="shared" si="437"/>
        <v/>
      </c>
      <c r="O4494" s="28"/>
      <c r="P4494" s="36" t="str">
        <f t="shared" si="432"/>
        <v/>
      </c>
      <c r="Q4494" s="216" t="str">
        <f t="shared" si="433"/>
        <v/>
      </c>
      <c r="R4494" s="216" t="str">
        <f t="shared" si="434"/>
        <v/>
      </c>
      <c r="S4494" s="217" t="str">
        <f t="shared" si="435"/>
        <v/>
      </c>
    </row>
    <row r="4495" spans="1:19" ht="15.75" hidden="1" thickBot="1" x14ac:dyDescent="0.3">
      <c r="A4495" s="257"/>
      <c r="B4495" s="260"/>
      <c r="C4495" s="31"/>
      <c r="D4495" s="31"/>
      <c r="E4495" s="32"/>
      <c r="F4495" s="53" t="s">
        <v>416</v>
      </c>
      <c r="G4495" s="53" t="str">
        <f t="shared" si="436"/>
        <v/>
      </c>
      <c r="H4495" s="72"/>
      <c r="I4495" s="73"/>
      <c r="J4495" s="152">
        <v>0</v>
      </c>
      <c r="L4495" s="219"/>
      <c r="M4495" s="53"/>
      <c r="N4495" s="53" t="str">
        <f t="shared" si="437"/>
        <v/>
      </c>
      <c r="O4495" s="72"/>
      <c r="P4495" s="36" t="str">
        <f t="shared" si="432"/>
        <v/>
      </c>
      <c r="Q4495" s="216" t="str">
        <f t="shared" si="433"/>
        <v/>
      </c>
      <c r="R4495" s="216" t="str">
        <f t="shared" si="434"/>
        <v/>
      </c>
      <c r="S4495" s="217" t="str">
        <f t="shared" si="435"/>
        <v/>
      </c>
    </row>
    <row r="4496" spans="1:19" ht="15.75" hidden="1" thickBot="1" x14ac:dyDescent="0.3">
      <c r="A4496" s="257"/>
      <c r="B4496" s="260"/>
      <c r="C4496" s="35" t="s">
        <v>881</v>
      </c>
      <c r="D4496" s="35" t="s">
        <v>583</v>
      </c>
      <c r="E4496" s="36">
        <v>0.5</v>
      </c>
      <c r="F4496" s="53">
        <v>27.160499999999999</v>
      </c>
      <c r="G4496" s="53">
        <f t="shared" si="436"/>
        <v>13.580249999999999</v>
      </c>
      <c r="H4496" s="38">
        <f>SUM(G4496:G4498)</f>
        <v>51.042697249999996</v>
      </c>
      <c r="I4496" s="39"/>
      <c r="J4496" s="152">
        <v>0</v>
      </c>
      <c r="L4496" s="215">
        <v>0.5</v>
      </c>
      <c r="M4496" s="53">
        <v>23.249388</v>
      </c>
      <c r="N4496" s="53">
        <f t="shared" si="437"/>
        <v>11.624694</v>
      </c>
      <c r="O4496" s="38">
        <f>SUM(N4496:N4498)</f>
        <v>43.692548845999994</v>
      </c>
      <c r="P4496" s="36" t="str">
        <f t="shared" si="432"/>
        <v/>
      </c>
      <c r="Q4496" s="216">
        <f t="shared" si="433"/>
        <v>0.14400000000000002</v>
      </c>
      <c r="R4496" s="216">
        <f t="shared" si="434"/>
        <v>0.14400000000000002</v>
      </c>
      <c r="S4496" s="217">
        <f t="shared" si="435"/>
        <v>0.14400000000000002</v>
      </c>
    </row>
    <row r="4497" spans="1:19" ht="26.25" hidden="1" thickBot="1" x14ac:dyDescent="0.3">
      <c r="A4497" s="257"/>
      <c r="B4497" s="260"/>
      <c r="C4497" s="35" t="s">
        <v>650</v>
      </c>
      <c r="D4497" s="35" t="s">
        <v>773</v>
      </c>
      <c r="E4497" s="36">
        <f>ROUND(1.8*(PI()*(0.25-0.15)*0.1)*10,4)</f>
        <v>0.5655</v>
      </c>
      <c r="F4497" s="53">
        <v>52.259499999999996</v>
      </c>
      <c r="G4497" s="53">
        <f t="shared" si="436"/>
        <v>29.552747249999996</v>
      </c>
      <c r="H4497" s="72"/>
      <c r="I4497" s="73"/>
      <c r="J4497" s="152">
        <v>0</v>
      </c>
      <c r="L4497" s="215">
        <v>0.5655</v>
      </c>
      <c r="M4497" s="53">
        <v>44.734131999999995</v>
      </c>
      <c r="N4497" s="53">
        <f t="shared" si="437"/>
        <v>25.297151645999996</v>
      </c>
      <c r="O4497" s="72"/>
      <c r="P4497" s="36" t="str">
        <f t="shared" si="432"/>
        <v/>
      </c>
      <c r="Q4497" s="216">
        <f t="shared" si="433"/>
        <v>0.14400000000000002</v>
      </c>
      <c r="R4497" s="216">
        <f t="shared" si="434"/>
        <v>0.14400000000000002</v>
      </c>
      <c r="S4497" s="217" t="str">
        <f t="shared" si="435"/>
        <v/>
      </c>
    </row>
    <row r="4498" spans="1:19" ht="26.25" hidden="1" thickBot="1" x14ac:dyDescent="0.3">
      <c r="A4498" s="257"/>
      <c r="B4498" s="260"/>
      <c r="C4498" s="35" t="s">
        <v>928</v>
      </c>
      <c r="D4498" s="35" t="s">
        <v>8526</v>
      </c>
      <c r="E4498" s="36">
        <v>0.2</v>
      </c>
      <c r="F4498" s="53">
        <v>39.548499999999997</v>
      </c>
      <c r="G4498" s="53">
        <f t="shared" si="436"/>
        <v>7.9097</v>
      </c>
      <c r="H4498" s="72"/>
      <c r="I4498" s="73"/>
      <c r="J4498" s="152">
        <v>0</v>
      </c>
      <c r="L4498" s="215">
        <v>0.2</v>
      </c>
      <c r="M4498" s="53">
        <v>33.853515999999999</v>
      </c>
      <c r="N4498" s="53">
        <f t="shared" si="437"/>
        <v>6.7707031999999998</v>
      </c>
      <c r="O4498" s="72"/>
      <c r="P4498" s="36" t="str">
        <f t="shared" si="432"/>
        <v/>
      </c>
      <c r="Q4498" s="216">
        <f t="shared" si="433"/>
        <v>0.14399999999999991</v>
      </c>
      <c r="R4498" s="216">
        <f t="shared" si="434"/>
        <v>0.14400000000000002</v>
      </c>
      <c r="S4498" s="217" t="str">
        <f t="shared" si="435"/>
        <v/>
      </c>
    </row>
    <row r="4499" spans="1:19" ht="15.75" hidden="1" thickBot="1" x14ac:dyDescent="0.3">
      <c r="A4499" s="257"/>
      <c r="B4499" s="260"/>
      <c r="C4499" s="35"/>
      <c r="D4499" s="36"/>
      <c r="E4499" s="36"/>
      <c r="F4499" s="53" t="s">
        <v>416</v>
      </c>
      <c r="G4499" s="53"/>
      <c r="H4499" s="72"/>
      <c r="I4499" s="73"/>
      <c r="J4499" s="152">
        <v>0</v>
      </c>
      <c r="L4499" s="215"/>
      <c r="M4499" s="53"/>
      <c r="N4499" s="53"/>
      <c r="O4499" s="72"/>
      <c r="P4499" s="36" t="str">
        <f t="shared" si="432"/>
        <v/>
      </c>
      <c r="Q4499" s="216" t="str">
        <f t="shared" si="433"/>
        <v/>
      </c>
      <c r="R4499" s="216" t="str">
        <f t="shared" si="434"/>
        <v/>
      </c>
      <c r="S4499" s="217" t="str">
        <f t="shared" si="435"/>
        <v/>
      </c>
    </row>
    <row r="4500" spans="1:19" ht="26.25" hidden="1" thickBot="1" x14ac:dyDescent="0.3">
      <c r="A4500" s="257"/>
      <c r="B4500" s="260"/>
      <c r="C4500" s="47" t="s">
        <v>3082</v>
      </c>
      <c r="D4500" s="36"/>
      <c r="E4500" s="36"/>
      <c r="F4500" s="53" t="s">
        <v>416</v>
      </c>
      <c r="G4500" s="53"/>
      <c r="H4500" s="72"/>
      <c r="I4500" s="73"/>
      <c r="J4500" s="152">
        <v>0</v>
      </c>
      <c r="L4500" s="215"/>
      <c r="M4500" s="53"/>
      <c r="N4500" s="53"/>
      <c r="O4500" s="72"/>
      <c r="P4500" s="36" t="str">
        <f t="shared" si="432"/>
        <v/>
      </c>
      <c r="Q4500" s="216" t="str">
        <f t="shared" si="433"/>
        <v/>
      </c>
      <c r="R4500" s="216" t="str">
        <f t="shared" si="434"/>
        <v/>
      </c>
      <c r="S4500" s="217" t="str">
        <f t="shared" si="435"/>
        <v/>
      </c>
    </row>
    <row r="4501" spans="1:19" ht="15.75" hidden="1" thickBot="1" x14ac:dyDescent="0.3">
      <c r="A4501" s="258"/>
      <c r="B4501" s="261"/>
      <c r="C4501" s="54"/>
      <c r="D4501" s="54"/>
      <c r="E4501" s="65"/>
      <c r="F4501" s="75" t="s">
        <v>416</v>
      </c>
      <c r="G4501" s="75" t="str">
        <f t="shared" ref="G4501:G4564" si="438">IF(ISNUMBER(F4501),E4501*F4501,"")</f>
        <v/>
      </c>
      <c r="H4501" s="76"/>
      <c r="I4501" s="73"/>
      <c r="J4501" s="152">
        <v>0</v>
      </c>
      <c r="L4501" s="222"/>
      <c r="M4501" s="75"/>
      <c r="N4501" s="75" t="str">
        <f t="shared" ref="N4501:N4564" si="439">IF(ISNUMBER(M4501),L4501*M4501,"")</f>
        <v/>
      </c>
      <c r="O4501" s="76"/>
      <c r="P4501" s="36" t="str">
        <f t="shared" si="432"/>
        <v/>
      </c>
      <c r="Q4501" s="216" t="str">
        <f t="shared" si="433"/>
        <v/>
      </c>
      <c r="R4501" s="216" t="str">
        <f t="shared" si="434"/>
        <v/>
      </c>
      <c r="S4501" s="217" t="str">
        <f t="shared" si="435"/>
        <v/>
      </c>
    </row>
    <row r="4502" spans="1:19" ht="15.75" hidden="1" thickBot="1" x14ac:dyDescent="0.3">
      <c r="A4502" s="256" t="s">
        <v>1196</v>
      </c>
      <c r="B4502" s="259" t="str">
        <f>INDEX(Orçamentária!A:B,MATCH(Composições!A4502,Orçamentária!A:A,0),2)</f>
        <v>Regularização de substrato para Impermeabilização - 3 cm</v>
      </c>
      <c r="C4502" s="40"/>
      <c r="D4502" s="25" t="s">
        <v>70</v>
      </c>
      <c r="E4502" s="26"/>
      <c r="F4502" s="48" t="s">
        <v>416</v>
      </c>
      <c r="G4502" s="27" t="str">
        <f t="shared" si="438"/>
        <v/>
      </c>
      <c r="H4502" s="28"/>
      <c r="I4502" s="29"/>
      <c r="J4502" s="152">
        <v>0</v>
      </c>
      <c r="L4502" s="218"/>
      <c r="M4502" s="48"/>
      <c r="N4502" s="27" t="str">
        <f t="shared" si="439"/>
        <v/>
      </c>
      <c r="O4502" s="28"/>
      <c r="P4502" s="36" t="str">
        <f t="shared" si="432"/>
        <v/>
      </c>
      <c r="Q4502" s="216" t="str">
        <f t="shared" si="433"/>
        <v/>
      </c>
      <c r="R4502" s="216" t="str">
        <f t="shared" si="434"/>
        <v/>
      </c>
      <c r="S4502" s="217" t="str">
        <f t="shared" si="435"/>
        <v/>
      </c>
    </row>
    <row r="4503" spans="1:19" ht="15.75" hidden="1" thickBot="1" x14ac:dyDescent="0.3">
      <c r="A4503" s="257"/>
      <c r="B4503" s="260"/>
      <c r="C4503" s="31"/>
      <c r="D4503" s="31"/>
      <c r="E4503" s="32"/>
      <c r="F4503" s="53" t="s">
        <v>416</v>
      </c>
      <c r="G4503" s="53" t="str">
        <f t="shared" si="438"/>
        <v/>
      </c>
      <c r="H4503" s="72"/>
      <c r="I4503" s="73"/>
      <c r="J4503" s="152">
        <v>0</v>
      </c>
      <c r="L4503" s="219"/>
      <c r="M4503" s="53"/>
      <c r="N4503" s="53" t="str">
        <f t="shared" si="439"/>
        <v/>
      </c>
      <c r="O4503" s="72"/>
      <c r="P4503" s="36" t="str">
        <f t="shared" si="432"/>
        <v/>
      </c>
      <c r="Q4503" s="216" t="str">
        <f t="shared" si="433"/>
        <v/>
      </c>
      <c r="R4503" s="216" t="str">
        <f t="shared" si="434"/>
        <v/>
      </c>
      <c r="S4503" s="217" t="str">
        <f t="shared" si="435"/>
        <v/>
      </c>
    </row>
    <row r="4504" spans="1:19" ht="15.75" hidden="1" thickBot="1" x14ac:dyDescent="0.3">
      <c r="A4504" s="257"/>
      <c r="B4504" s="260"/>
      <c r="C4504" s="35" t="s">
        <v>8065</v>
      </c>
      <c r="D4504" s="35" t="s">
        <v>773</v>
      </c>
      <c r="E4504" s="36">
        <v>0.5</v>
      </c>
      <c r="F4504" s="53">
        <v>0.627</v>
      </c>
      <c r="G4504" s="53">
        <f t="shared" si="438"/>
        <v>0.3135</v>
      </c>
      <c r="H4504" s="38">
        <f>SUM(G4504:G4508)</f>
        <v>44.988025799738793</v>
      </c>
      <c r="I4504" s="39"/>
      <c r="J4504" s="152">
        <v>0</v>
      </c>
      <c r="L4504" s="215">
        <v>0.5</v>
      </c>
      <c r="M4504" s="53">
        <v>0.53671199999999997</v>
      </c>
      <c r="N4504" s="53">
        <f t="shared" si="439"/>
        <v>0.26835599999999998</v>
      </c>
      <c r="O4504" s="38">
        <f>SUM(N4504:N4508)</f>
        <v>38.509750084576403</v>
      </c>
      <c r="P4504" s="36" t="str">
        <f t="shared" si="432"/>
        <v/>
      </c>
      <c r="Q4504" s="216">
        <f t="shared" si="433"/>
        <v>0.14400000000000002</v>
      </c>
      <c r="R4504" s="216">
        <f t="shared" si="434"/>
        <v>0.14400000000000002</v>
      </c>
      <c r="S4504" s="217">
        <f t="shared" si="435"/>
        <v>0.14400000000000013</v>
      </c>
    </row>
    <row r="4505" spans="1:19" ht="26.25" hidden="1" thickBot="1" x14ac:dyDescent="0.3">
      <c r="A4505" s="257"/>
      <c r="B4505" s="260"/>
      <c r="C4505" s="35" t="s">
        <v>7976</v>
      </c>
      <c r="D4505" s="35" t="s">
        <v>75</v>
      </c>
      <c r="E4505" s="36">
        <v>0.21</v>
      </c>
      <c r="F4505" s="53">
        <v>15.560999999999998</v>
      </c>
      <c r="G4505" s="53">
        <f t="shared" si="438"/>
        <v>3.2678099999999994</v>
      </c>
      <c r="H4505" s="72"/>
      <c r="I4505" s="73"/>
      <c r="J4505" s="152">
        <v>0</v>
      </c>
      <c r="L4505" s="215">
        <v>0.21</v>
      </c>
      <c r="M4505" s="53">
        <v>13.320215999999999</v>
      </c>
      <c r="N4505" s="53">
        <f t="shared" si="439"/>
        <v>2.7972453599999998</v>
      </c>
      <c r="O4505" s="72"/>
      <c r="P4505" s="36" t="str">
        <f t="shared" si="432"/>
        <v/>
      </c>
      <c r="Q4505" s="216">
        <f t="shared" si="433"/>
        <v>0.14400000000000002</v>
      </c>
      <c r="R4505" s="216">
        <f t="shared" si="434"/>
        <v>0.14399999999999991</v>
      </c>
      <c r="S4505" s="217" t="str">
        <f t="shared" si="435"/>
        <v/>
      </c>
    </row>
    <row r="4506" spans="1:19" ht="39" hidden="1" thickBot="1" x14ac:dyDescent="0.3">
      <c r="A4506" s="257"/>
      <c r="B4506" s="260"/>
      <c r="C4506" s="35" t="s">
        <v>1197</v>
      </c>
      <c r="D4506" s="35" t="s">
        <v>87</v>
      </c>
      <c r="E4506" s="36">
        <v>4.3099999999999999E-2</v>
      </c>
      <c r="F4506" s="53">
        <v>748.59992574799992</v>
      </c>
      <c r="G4506" s="53">
        <f t="shared" si="438"/>
        <v>32.264656799738795</v>
      </c>
      <c r="H4506" s="72"/>
      <c r="I4506" s="73"/>
      <c r="J4506" s="152">
        <v>0</v>
      </c>
      <c r="L4506" s="215">
        <v>4.3099999999999999E-2</v>
      </c>
      <c r="M4506" s="53">
        <v>640.80153644028792</v>
      </c>
      <c r="N4506" s="53">
        <f t="shared" si="439"/>
        <v>27.618546220576409</v>
      </c>
      <c r="O4506" s="72"/>
      <c r="P4506" s="36" t="str">
        <f t="shared" si="432"/>
        <v/>
      </c>
      <c r="Q4506" s="216">
        <f t="shared" si="433"/>
        <v>0.14400000000000002</v>
      </c>
      <c r="R4506" s="216">
        <f t="shared" si="434"/>
        <v>0.14400000000000002</v>
      </c>
      <c r="S4506" s="217" t="str">
        <f t="shared" si="435"/>
        <v/>
      </c>
    </row>
    <row r="4507" spans="1:19" ht="15.75" hidden="1" thickBot="1" x14ac:dyDescent="0.3">
      <c r="A4507" s="257"/>
      <c r="B4507" s="260"/>
      <c r="C4507" s="35" t="s">
        <v>591</v>
      </c>
      <c r="D4507" s="35" t="s">
        <v>583</v>
      </c>
      <c r="E4507" s="36">
        <v>0.245</v>
      </c>
      <c r="F4507" s="53">
        <v>27.160499999999999</v>
      </c>
      <c r="G4507" s="53">
        <f t="shared" si="438"/>
        <v>6.6543224999999993</v>
      </c>
      <c r="H4507" s="72"/>
      <c r="I4507" s="73"/>
      <c r="J4507" s="152">
        <v>0</v>
      </c>
      <c r="L4507" s="215">
        <v>0.245</v>
      </c>
      <c r="M4507" s="53">
        <v>23.249388</v>
      </c>
      <c r="N4507" s="53">
        <f t="shared" si="439"/>
        <v>5.69610006</v>
      </c>
      <c r="O4507" s="72"/>
      <c r="P4507" s="36" t="str">
        <f t="shared" si="432"/>
        <v/>
      </c>
      <c r="Q4507" s="216">
        <f t="shared" si="433"/>
        <v>0.14400000000000002</v>
      </c>
      <c r="R4507" s="216">
        <f t="shared" si="434"/>
        <v>0.14399999999999991</v>
      </c>
      <c r="S4507" s="217" t="str">
        <f t="shared" si="435"/>
        <v/>
      </c>
    </row>
    <row r="4508" spans="1:19" ht="15.75" hidden="1" thickBot="1" x14ac:dyDescent="0.3">
      <c r="A4508" s="257"/>
      <c r="B4508" s="260"/>
      <c r="C4508" s="35" t="s">
        <v>584</v>
      </c>
      <c r="D4508" s="35" t="s">
        <v>583</v>
      </c>
      <c r="E4508" s="36">
        <v>0.123</v>
      </c>
      <c r="F4508" s="53">
        <v>20.225499999999997</v>
      </c>
      <c r="G4508" s="53">
        <f t="shared" si="438"/>
        <v>2.4877364999999996</v>
      </c>
      <c r="H4508" s="72"/>
      <c r="I4508" s="73"/>
      <c r="J4508" s="152">
        <v>0</v>
      </c>
      <c r="L4508" s="215">
        <v>0.123</v>
      </c>
      <c r="M4508" s="53">
        <v>17.313027999999996</v>
      </c>
      <c r="N4508" s="53">
        <f t="shared" si="439"/>
        <v>2.1295024439999994</v>
      </c>
      <c r="O4508" s="72"/>
      <c r="P4508" s="36" t="str">
        <f t="shared" si="432"/>
        <v/>
      </c>
      <c r="Q4508" s="216">
        <f t="shared" si="433"/>
        <v>0.14400000000000013</v>
      </c>
      <c r="R4508" s="216">
        <f t="shared" si="434"/>
        <v>0.14400000000000013</v>
      </c>
      <c r="S4508" s="217" t="str">
        <f t="shared" si="435"/>
        <v/>
      </c>
    </row>
    <row r="4509" spans="1:19" ht="15.75" hidden="1" thickBot="1" x14ac:dyDescent="0.3">
      <c r="A4509" s="257"/>
      <c r="B4509" s="260"/>
      <c r="C4509" s="35"/>
      <c r="D4509" s="35"/>
      <c r="E4509" s="36"/>
      <c r="F4509" s="53" t="s">
        <v>416</v>
      </c>
      <c r="G4509" s="53" t="str">
        <f t="shared" si="438"/>
        <v/>
      </c>
      <c r="H4509" s="72"/>
      <c r="I4509" s="73"/>
      <c r="J4509" s="152">
        <v>0</v>
      </c>
      <c r="L4509" s="215"/>
      <c r="M4509" s="53"/>
      <c r="N4509" s="53" t="str">
        <f t="shared" si="439"/>
        <v/>
      </c>
      <c r="O4509" s="72"/>
      <c r="P4509" s="36" t="str">
        <f t="shared" si="432"/>
        <v/>
      </c>
      <c r="Q4509" s="216" t="str">
        <f t="shared" si="433"/>
        <v/>
      </c>
      <c r="R4509" s="216" t="str">
        <f t="shared" si="434"/>
        <v/>
      </c>
      <c r="S4509" s="217" t="str">
        <f t="shared" si="435"/>
        <v/>
      </c>
    </row>
    <row r="4510" spans="1:19" ht="15.75" hidden="1" thickBot="1" x14ac:dyDescent="0.3">
      <c r="A4510" s="256" t="s">
        <v>1198</v>
      </c>
      <c r="B4510" s="259" t="str">
        <f>INDEX(Orçamentária!A:B,MATCH(Composições!A4510,Orçamentária!A:A,0),2)</f>
        <v>Regularização de substrato para Impermeabilização - 6 cm</v>
      </c>
      <c r="C4510" s="40"/>
      <c r="D4510" s="25" t="s">
        <v>70</v>
      </c>
      <c r="E4510" s="26"/>
      <c r="F4510" s="48" t="s">
        <v>416</v>
      </c>
      <c r="G4510" s="27" t="str">
        <f t="shared" si="438"/>
        <v/>
      </c>
      <c r="H4510" s="28"/>
      <c r="I4510" s="29"/>
      <c r="J4510" s="152">
        <v>0</v>
      </c>
      <c r="L4510" s="218"/>
      <c r="M4510" s="48"/>
      <c r="N4510" s="27" t="str">
        <f t="shared" si="439"/>
        <v/>
      </c>
      <c r="O4510" s="28"/>
      <c r="P4510" s="36" t="str">
        <f t="shared" si="432"/>
        <v/>
      </c>
      <c r="Q4510" s="216" t="str">
        <f t="shared" si="433"/>
        <v/>
      </c>
      <c r="R4510" s="216" t="str">
        <f t="shared" si="434"/>
        <v/>
      </c>
      <c r="S4510" s="217" t="str">
        <f t="shared" si="435"/>
        <v/>
      </c>
    </row>
    <row r="4511" spans="1:19" ht="15.75" hidden="1" thickBot="1" x14ac:dyDescent="0.3">
      <c r="A4511" s="257"/>
      <c r="B4511" s="260"/>
      <c r="C4511" s="31"/>
      <c r="D4511" s="31"/>
      <c r="E4511" s="32"/>
      <c r="F4511" s="53" t="s">
        <v>416</v>
      </c>
      <c r="G4511" s="53" t="str">
        <f t="shared" si="438"/>
        <v/>
      </c>
      <c r="H4511" s="72"/>
      <c r="I4511" s="73"/>
      <c r="J4511" s="152">
        <v>0</v>
      </c>
      <c r="L4511" s="219"/>
      <c r="M4511" s="53"/>
      <c r="N4511" s="53" t="str">
        <f t="shared" si="439"/>
        <v/>
      </c>
      <c r="O4511" s="72"/>
      <c r="P4511" s="36" t="str">
        <f t="shared" si="432"/>
        <v/>
      </c>
      <c r="Q4511" s="216" t="str">
        <f t="shared" si="433"/>
        <v/>
      </c>
      <c r="R4511" s="216" t="str">
        <f t="shared" si="434"/>
        <v/>
      </c>
      <c r="S4511" s="217" t="str">
        <f t="shared" si="435"/>
        <v/>
      </c>
    </row>
    <row r="4512" spans="1:19" ht="15.75" hidden="1" thickBot="1" x14ac:dyDescent="0.3">
      <c r="A4512" s="257"/>
      <c r="B4512" s="260"/>
      <c r="C4512" s="35" t="s">
        <v>591</v>
      </c>
      <c r="D4512" s="35" t="s">
        <v>583</v>
      </c>
      <c r="E4512" s="36">
        <v>0.29899999999999999</v>
      </c>
      <c r="F4512" s="53">
        <v>27.160499999999999</v>
      </c>
      <c r="G4512" s="53">
        <f t="shared" si="438"/>
        <v>8.1209894999999985</v>
      </c>
      <c r="H4512" s="38">
        <f>SUM(G4512:G4514)</f>
        <v>60.617044091942795</v>
      </c>
      <c r="I4512" s="39"/>
      <c r="J4512" s="152">
        <v>0</v>
      </c>
      <c r="L4512" s="215">
        <v>0.29899999999999999</v>
      </c>
      <c r="M4512" s="53">
        <v>23.249388</v>
      </c>
      <c r="N4512" s="53">
        <f t="shared" si="439"/>
        <v>6.9515670119999999</v>
      </c>
      <c r="O4512" s="38">
        <f>SUM(N4512:N4514)</f>
        <v>51.888189742703034</v>
      </c>
      <c r="P4512" s="36" t="str">
        <f t="shared" si="432"/>
        <v/>
      </c>
      <c r="Q4512" s="216">
        <f t="shared" si="433"/>
        <v>0.14400000000000002</v>
      </c>
      <c r="R4512" s="216">
        <f t="shared" si="434"/>
        <v>0.14399999999999991</v>
      </c>
      <c r="S4512" s="217">
        <f t="shared" si="435"/>
        <v>0.14400000000000002</v>
      </c>
    </row>
    <row r="4513" spans="1:19" ht="15.75" hidden="1" thickBot="1" x14ac:dyDescent="0.3">
      <c r="A4513" s="257"/>
      <c r="B4513" s="260"/>
      <c r="C4513" s="35" t="s">
        <v>584</v>
      </c>
      <c r="D4513" s="35" t="s">
        <v>583</v>
      </c>
      <c r="E4513" s="36">
        <v>0.14899999999999999</v>
      </c>
      <c r="F4513" s="53">
        <v>20.225499999999997</v>
      </c>
      <c r="G4513" s="53">
        <f t="shared" si="438"/>
        <v>3.0135994999999993</v>
      </c>
      <c r="H4513" s="72"/>
      <c r="I4513" s="73"/>
      <c r="J4513" s="152">
        <v>0</v>
      </c>
      <c r="L4513" s="215">
        <v>0.14899999999999999</v>
      </c>
      <c r="M4513" s="53">
        <v>17.313027999999996</v>
      </c>
      <c r="N4513" s="53">
        <f t="shared" si="439"/>
        <v>2.5796411719999992</v>
      </c>
      <c r="O4513" s="72"/>
      <c r="P4513" s="36" t="str">
        <f t="shared" si="432"/>
        <v/>
      </c>
      <c r="Q4513" s="216">
        <f t="shared" si="433"/>
        <v>0.14400000000000013</v>
      </c>
      <c r="R4513" s="216">
        <f t="shared" si="434"/>
        <v>0.14400000000000002</v>
      </c>
      <c r="S4513" s="217" t="str">
        <f t="shared" si="435"/>
        <v/>
      </c>
    </row>
    <row r="4514" spans="1:19" ht="39" hidden="1" thickBot="1" x14ac:dyDescent="0.3">
      <c r="A4514" s="257"/>
      <c r="B4514" s="260"/>
      <c r="C4514" s="35" t="s">
        <v>1197</v>
      </c>
      <c r="D4514" s="35" t="s">
        <v>87</v>
      </c>
      <c r="E4514" s="36">
        <v>6.6100000000000006E-2</v>
      </c>
      <c r="F4514" s="53">
        <v>748.59992574799992</v>
      </c>
      <c r="G4514" s="53">
        <f t="shared" si="438"/>
        <v>49.482455091942796</v>
      </c>
      <c r="H4514" s="72"/>
      <c r="I4514" s="73"/>
      <c r="J4514" s="152">
        <v>0</v>
      </c>
      <c r="L4514" s="215">
        <v>6.6100000000000006E-2</v>
      </c>
      <c r="M4514" s="53">
        <v>640.80153644028792</v>
      </c>
      <c r="N4514" s="53">
        <f t="shared" si="439"/>
        <v>42.356981558703033</v>
      </c>
      <c r="O4514" s="72"/>
      <c r="P4514" s="36" t="str">
        <f t="shared" si="432"/>
        <v/>
      </c>
      <c r="Q4514" s="216">
        <f t="shared" si="433"/>
        <v>0.14400000000000002</v>
      </c>
      <c r="R4514" s="216">
        <f t="shared" si="434"/>
        <v>0.14400000000000002</v>
      </c>
      <c r="S4514" s="217" t="str">
        <f t="shared" si="435"/>
        <v/>
      </c>
    </row>
    <row r="4515" spans="1:19" ht="15.75" hidden="1" thickBot="1" x14ac:dyDescent="0.3">
      <c r="A4515" s="258"/>
      <c r="B4515" s="261"/>
      <c r="C4515" s="54"/>
      <c r="D4515" s="54"/>
      <c r="E4515" s="65"/>
      <c r="F4515" s="75" t="s">
        <v>416</v>
      </c>
      <c r="G4515" s="75" t="str">
        <f t="shared" si="438"/>
        <v/>
      </c>
      <c r="H4515" s="76"/>
      <c r="I4515" s="73"/>
      <c r="J4515" s="152">
        <v>0</v>
      </c>
      <c r="L4515" s="222"/>
      <c r="M4515" s="75"/>
      <c r="N4515" s="75" t="str">
        <f t="shared" si="439"/>
        <v/>
      </c>
      <c r="O4515" s="76"/>
      <c r="P4515" s="36" t="str">
        <f t="shared" si="432"/>
        <v/>
      </c>
      <c r="Q4515" s="216" t="str">
        <f t="shared" si="433"/>
        <v/>
      </c>
      <c r="R4515" s="216" t="str">
        <f t="shared" si="434"/>
        <v/>
      </c>
      <c r="S4515" s="217" t="str">
        <f t="shared" si="435"/>
        <v/>
      </c>
    </row>
    <row r="4516" spans="1:19" ht="15.75" hidden="1" thickBot="1" x14ac:dyDescent="0.3">
      <c r="A4516" s="256" t="s">
        <v>1199</v>
      </c>
      <c r="B4516" s="259" t="str">
        <f>INDEX(Orçamentária!A:B,MATCH(Composições!A4516,Orçamentária!A:A,0),2)</f>
        <v>Camada Separadora para Impermeabilização</v>
      </c>
      <c r="C4516" s="40"/>
      <c r="D4516" s="25" t="s">
        <v>70</v>
      </c>
      <c r="E4516" s="26"/>
      <c r="F4516" s="48" t="s">
        <v>416</v>
      </c>
      <c r="G4516" s="27" t="str">
        <f t="shared" si="438"/>
        <v/>
      </c>
      <c r="H4516" s="28"/>
      <c r="I4516" s="29"/>
      <c r="J4516" s="152">
        <v>0</v>
      </c>
      <c r="L4516" s="218"/>
      <c r="M4516" s="48"/>
      <c r="N4516" s="27" t="str">
        <f t="shared" si="439"/>
        <v/>
      </c>
      <c r="O4516" s="28"/>
      <c r="P4516" s="36" t="str">
        <f t="shared" si="432"/>
        <v/>
      </c>
      <c r="Q4516" s="216" t="str">
        <f t="shared" si="433"/>
        <v/>
      </c>
      <c r="R4516" s="216" t="str">
        <f t="shared" si="434"/>
        <v/>
      </c>
      <c r="S4516" s="217" t="str">
        <f t="shared" si="435"/>
        <v/>
      </c>
    </row>
    <row r="4517" spans="1:19" ht="15.75" hidden="1" thickBot="1" x14ac:dyDescent="0.3">
      <c r="A4517" s="257"/>
      <c r="B4517" s="260"/>
      <c r="C4517" s="31"/>
      <c r="D4517" s="31"/>
      <c r="E4517" s="32"/>
      <c r="F4517" s="53" t="s">
        <v>416</v>
      </c>
      <c r="G4517" s="53" t="str">
        <f t="shared" si="438"/>
        <v/>
      </c>
      <c r="H4517" s="72"/>
      <c r="I4517" s="73"/>
      <c r="J4517" s="152">
        <v>0</v>
      </c>
      <c r="L4517" s="219"/>
      <c r="M4517" s="53"/>
      <c r="N4517" s="53" t="str">
        <f t="shared" si="439"/>
        <v/>
      </c>
      <c r="O4517" s="72"/>
      <c r="P4517" s="36" t="str">
        <f t="shared" si="432"/>
        <v/>
      </c>
      <c r="Q4517" s="216" t="str">
        <f t="shared" si="433"/>
        <v/>
      </c>
      <c r="R4517" s="216" t="str">
        <f t="shared" si="434"/>
        <v/>
      </c>
      <c r="S4517" s="217" t="str">
        <f t="shared" si="435"/>
        <v/>
      </c>
    </row>
    <row r="4518" spans="1:19" ht="15.75" hidden="1" thickBot="1" x14ac:dyDescent="0.3">
      <c r="A4518" s="257"/>
      <c r="B4518" s="260"/>
      <c r="C4518" s="35" t="s">
        <v>584</v>
      </c>
      <c r="D4518" s="35" t="s">
        <v>583</v>
      </c>
      <c r="E4518" s="36">
        <v>0.01</v>
      </c>
      <c r="F4518" s="53">
        <v>20.225499999999997</v>
      </c>
      <c r="G4518" s="53">
        <f t="shared" si="438"/>
        <v>0.20225499999999996</v>
      </c>
      <c r="H4518" s="38">
        <f>SUM(G4518:G4519)</f>
        <v>7.256005</v>
      </c>
      <c r="I4518" s="39"/>
      <c r="J4518" s="152">
        <v>0</v>
      </c>
      <c r="L4518" s="215">
        <v>0.01</v>
      </c>
      <c r="M4518" s="53">
        <v>17.313027999999996</v>
      </c>
      <c r="N4518" s="53">
        <f t="shared" si="439"/>
        <v>0.17313027999999997</v>
      </c>
      <c r="O4518" s="38">
        <f>SUM(N4518:N4519)</f>
        <v>6.2111402799999995</v>
      </c>
      <c r="P4518" s="36" t="str">
        <f t="shared" si="432"/>
        <v/>
      </c>
      <c r="Q4518" s="216">
        <f t="shared" si="433"/>
        <v>0.14400000000000013</v>
      </c>
      <c r="R4518" s="216">
        <f t="shared" si="434"/>
        <v>0.14400000000000002</v>
      </c>
      <c r="S4518" s="217">
        <f t="shared" si="435"/>
        <v>0.14400000000000002</v>
      </c>
    </row>
    <row r="4519" spans="1:19" ht="26.25" hidden="1" thickBot="1" x14ac:dyDescent="0.3">
      <c r="A4519" s="257"/>
      <c r="B4519" s="260"/>
      <c r="C4519" s="35" t="s">
        <v>1200</v>
      </c>
      <c r="D4519" s="35" t="s">
        <v>861</v>
      </c>
      <c r="E4519" s="36">
        <v>1.1000000000000001</v>
      </c>
      <c r="F4519" s="53">
        <v>6.4124999999999996</v>
      </c>
      <c r="G4519" s="53">
        <f t="shared" si="438"/>
        <v>7.05375</v>
      </c>
      <c r="H4519" s="72"/>
      <c r="I4519" s="73"/>
      <c r="J4519" s="152">
        <v>0</v>
      </c>
      <c r="L4519" s="215">
        <v>1.1000000000000001</v>
      </c>
      <c r="M4519" s="53">
        <v>5.4890999999999996</v>
      </c>
      <c r="N4519" s="53">
        <f t="shared" si="439"/>
        <v>6.0380099999999999</v>
      </c>
      <c r="O4519" s="72"/>
      <c r="P4519" s="36" t="str">
        <f t="shared" si="432"/>
        <v/>
      </c>
      <c r="Q4519" s="216">
        <f t="shared" si="433"/>
        <v>0.14400000000000002</v>
      </c>
      <c r="R4519" s="216">
        <f t="shared" si="434"/>
        <v>0.14400000000000002</v>
      </c>
      <c r="S4519" s="217" t="str">
        <f t="shared" si="435"/>
        <v/>
      </c>
    </row>
    <row r="4520" spans="1:19" ht="15.75" hidden="1" thickBot="1" x14ac:dyDescent="0.3">
      <c r="A4520" s="258"/>
      <c r="B4520" s="261"/>
      <c r="C4520" s="54"/>
      <c r="D4520" s="54"/>
      <c r="E4520" s="65"/>
      <c r="F4520" s="75" t="s">
        <v>416</v>
      </c>
      <c r="G4520" s="75" t="str">
        <f t="shared" si="438"/>
        <v/>
      </c>
      <c r="H4520" s="76"/>
      <c r="I4520" s="73"/>
      <c r="J4520" s="152">
        <v>0</v>
      </c>
      <c r="L4520" s="222"/>
      <c r="M4520" s="75"/>
      <c r="N4520" s="75" t="str">
        <f t="shared" si="439"/>
        <v/>
      </c>
      <c r="O4520" s="76"/>
      <c r="P4520" s="36" t="str">
        <f t="shared" si="432"/>
        <v/>
      </c>
      <c r="Q4520" s="216" t="str">
        <f t="shared" si="433"/>
        <v/>
      </c>
      <c r="R4520" s="216" t="str">
        <f t="shared" si="434"/>
        <v/>
      </c>
      <c r="S4520" s="217" t="str">
        <f t="shared" si="435"/>
        <v/>
      </c>
    </row>
    <row r="4521" spans="1:19" ht="15.75" hidden="1" thickBot="1" x14ac:dyDescent="0.3">
      <c r="A4521" s="256" t="s">
        <v>1201</v>
      </c>
      <c r="B4521" s="259" t="str">
        <f>INDEX(Orçamentária!A:B,MATCH(Composições!A4521,Orçamentária!A:A,0),2)</f>
        <v>Camada de Proteção Térmica para Impermeabilização</v>
      </c>
      <c r="C4521" s="40"/>
      <c r="D4521" s="25" t="s">
        <v>70</v>
      </c>
      <c r="E4521" s="26"/>
      <c r="F4521" s="48" t="s">
        <v>416</v>
      </c>
      <c r="G4521" s="27" t="str">
        <f t="shared" si="438"/>
        <v/>
      </c>
      <c r="H4521" s="28"/>
      <c r="I4521" s="29"/>
      <c r="J4521" s="152">
        <v>0</v>
      </c>
      <c r="L4521" s="218"/>
      <c r="M4521" s="48"/>
      <c r="N4521" s="27" t="str">
        <f t="shared" si="439"/>
        <v/>
      </c>
      <c r="O4521" s="28"/>
      <c r="P4521" s="36" t="str">
        <f t="shared" si="432"/>
        <v/>
      </c>
      <c r="Q4521" s="216" t="str">
        <f t="shared" si="433"/>
        <v/>
      </c>
      <c r="R4521" s="216" t="str">
        <f t="shared" si="434"/>
        <v/>
      </c>
      <c r="S4521" s="217" t="str">
        <f t="shared" si="435"/>
        <v/>
      </c>
    </row>
    <row r="4522" spans="1:19" ht="15.75" hidden="1" thickBot="1" x14ac:dyDescent="0.3">
      <c r="A4522" s="257"/>
      <c r="B4522" s="260"/>
      <c r="C4522" s="31"/>
      <c r="D4522" s="31"/>
      <c r="E4522" s="32"/>
      <c r="F4522" s="53" t="s">
        <v>416</v>
      </c>
      <c r="G4522" s="53" t="str">
        <f t="shared" si="438"/>
        <v/>
      </c>
      <c r="H4522" s="72"/>
      <c r="I4522" s="73"/>
      <c r="J4522" s="152">
        <v>0</v>
      </c>
      <c r="L4522" s="219"/>
      <c r="M4522" s="53"/>
      <c r="N4522" s="53" t="str">
        <f t="shared" si="439"/>
        <v/>
      </c>
      <c r="O4522" s="72"/>
      <c r="P4522" s="36" t="str">
        <f t="shared" si="432"/>
        <v/>
      </c>
      <c r="Q4522" s="216" t="str">
        <f t="shared" si="433"/>
        <v/>
      </c>
      <c r="R4522" s="216" t="str">
        <f t="shared" si="434"/>
        <v/>
      </c>
      <c r="S4522" s="217" t="str">
        <f t="shared" si="435"/>
        <v/>
      </c>
    </row>
    <row r="4523" spans="1:19" ht="15.75" hidden="1" thickBot="1" x14ac:dyDescent="0.3">
      <c r="A4523" s="257"/>
      <c r="B4523" s="260"/>
      <c r="C4523" s="35" t="s">
        <v>584</v>
      </c>
      <c r="D4523" s="35" t="s">
        <v>583</v>
      </c>
      <c r="E4523" s="36">
        <v>0.05</v>
      </c>
      <c r="F4523" s="53">
        <v>20.225499999999997</v>
      </c>
      <c r="G4523" s="53">
        <f t="shared" si="438"/>
        <v>1.0112749999999999</v>
      </c>
      <c r="H4523" s="38">
        <f>SUM(G4523:G4524)</f>
        <v>15.415174999999998</v>
      </c>
      <c r="I4523" s="39"/>
      <c r="J4523" s="152">
        <v>0</v>
      </c>
      <c r="L4523" s="215">
        <v>0.05</v>
      </c>
      <c r="M4523" s="53">
        <v>17.313027999999996</v>
      </c>
      <c r="N4523" s="53">
        <f t="shared" si="439"/>
        <v>0.86565139999999985</v>
      </c>
      <c r="O4523" s="38">
        <f>SUM(N4523:N4524)</f>
        <v>13.195389799999999</v>
      </c>
      <c r="P4523" s="36" t="str">
        <f t="shared" si="432"/>
        <v/>
      </c>
      <c r="Q4523" s="216">
        <f t="shared" si="433"/>
        <v>0.14400000000000013</v>
      </c>
      <c r="R4523" s="216">
        <f t="shared" si="434"/>
        <v>0.14400000000000013</v>
      </c>
      <c r="S4523" s="217">
        <f t="shared" si="435"/>
        <v>0.14399999999999991</v>
      </c>
    </row>
    <row r="4524" spans="1:19" ht="26.25" hidden="1" thickBot="1" x14ac:dyDescent="0.3">
      <c r="A4524" s="257"/>
      <c r="B4524" s="260"/>
      <c r="C4524" s="35" t="s">
        <v>1202</v>
      </c>
      <c r="D4524" s="35" t="s">
        <v>861</v>
      </c>
      <c r="E4524" s="36">
        <v>1.05</v>
      </c>
      <c r="F4524" s="53">
        <v>13.717999999999998</v>
      </c>
      <c r="G4524" s="53">
        <f t="shared" si="438"/>
        <v>14.403899999999998</v>
      </c>
      <c r="H4524" s="72"/>
      <c r="I4524" s="73"/>
      <c r="J4524" s="152">
        <v>0</v>
      </c>
      <c r="L4524" s="215">
        <v>1.05</v>
      </c>
      <c r="M4524" s="53">
        <v>11.742607999999999</v>
      </c>
      <c r="N4524" s="53">
        <f t="shared" si="439"/>
        <v>12.3297384</v>
      </c>
      <c r="O4524" s="72"/>
      <c r="P4524" s="36" t="str">
        <f t="shared" si="432"/>
        <v/>
      </c>
      <c r="Q4524" s="216">
        <f t="shared" si="433"/>
        <v>0.14400000000000002</v>
      </c>
      <c r="R4524" s="216">
        <f t="shared" si="434"/>
        <v>0.14399999999999991</v>
      </c>
      <c r="S4524" s="217" t="str">
        <f t="shared" si="435"/>
        <v/>
      </c>
    </row>
    <row r="4525" spans="1:19" ht="15.75" hidden="1" thickBot="1" x14ac:dyDescent="0.3">
      <c r="A4525" s="258"/>
      <c r="B4525" s="261"/>
      <c r="C4525" s="54"/>
      <c r="D4525" s="54"/>
      <c r="E4525" s="65"/>
      <c r="F4525" s="75" t="s">
        <v>416</v>
      </c>
      <c r="G4525" s="75" t="str">
        <f t="shared" si="438"/>
        <v/>
      </c>
      <c r="H4525" s="76"/>
      <c r="I4525" s="73"/>
      <c r="J4525" s="152">
        <v>0</v>
      </c>
      <c r="L4525" s="222"/>
      <c r="M4525" s="75"/>
      <c r="N4525" s="75" t="str">
        <f t="shared" si="439"/>
        <v/>
      </c>
      <c r="O4525" s="76"/>
      <c r="P4525" s="36" t="str">
        <f t="shared" si="432"/>
        <v/>
      </c>
      <c r="Q4525" s="216" t="str">
        <f t="shared" si="433"/>
        <v/>
      </c>
      <c r="R4525" s="216" t="str">
        <f t="shared" si="434"/>
        <v/>
      </c>
      <c r="S4525" s="217" t="str">
        <f t="shared" si="435"/>
        <v/>
      </c>
    </row>
    <row r="4526" spans="1:19" ht="15.75" hidden="1" thickBot="1" x14ac:dyDescent="0.3">
      <c r="A4526" s="256" t="s">
        <v>1203</v>
      </c>
      <c r="B4526" s="259" t="str">
        <f>INDEX(Orçamentária!A:B,MATCH(Composições!A4526,Orçamentária!A:A,0),2)</f>
        <v>Camada de Amortecimento para Impermeabilização</v>
      </c>
      <c r="C4526" s="40"/>
      <c r="D4526" s="25" t="s">
        <v>70</v>
      </c>
      <c r="E4526" s="26"/>
      <c r="F4526" s="48" t="s">
        <v>416</v>
      </c>
      <c r="G4526" s="27" t="str">
        <f t="shared" si="438"/>
        <v/>
      </c>
      <c r="H4526" s="28"/>
      <c r="I4526" s="29"/>
      <c r="J4526" s="152">
        <v>0</v>
      </c>
      <c r="L4526" s="218"/>
      <c r="M4526" s="48"/>
      <c r="N4526" s="27" t="str">
        <f t="shared" si="439"/>
        <v/>
      </c>
      <c r="O4526" s="28"/>
      <c r="P4526" s="36" t="str">
        <f t="shared" si="432"/>
        <v/>
      </c>
      <c r="Q4526" s="216" t="str">
        <f t="shared" si="433"/>
        <v/>
      </c>
      <c r="R4526" s="216" t="str">
        <f t="shared" si="434"/>
        <v/>
      </c>
      <c r="S4526" s="217" t="str">
        <f t="shared" si="435"/>
        <v/>
      </c>
    </row>
    <row r="4527" spans="1:19" ht="15.75" hidden="1" thickBot="1" x14ac:dyDescent="0.3">
      <c r="A4527" s="257"/>
      <c r="B4527" s="260"/>
      <c r="C4527" s="31"/>
      <c r="D4527" s="31"/>
      <c r="E4527" s="32"/>
      <c r="F4527" s="53" t="s">
        <v>416</v>
      </c>
      <c r="G4527" s="53" t="str">
        <f t="shared" si="438"/>
        <v/>
      </c>
      <c r="H4527" s="72"/>
      <c r="I4527" s="73"/>
      <c r="J4527" s="152">
        <v>0</v>
      </c>
      <c r="L4527" s="219"/>
      <c r="M4527" s="53"/>
      <c r="N4527" s="53" t="str">
        <f t="shared" si="439"/>
        <v/>
      </c>
      <c r="O4527" s="72"/>
      <c r="P4527" s="36" t="str">
        <f t="shared" si="432"/>
        <v/>
      </c>
      <c r="Q4527" s="216" t="str">
        <f t="shared" si="433"/>
        <v/>
      </c>
      <c r="R4527" s="216" t="str">
        <f t="shared" si="434"/>
        <v/>
      </c>
      <c r="S4527" s="217" t="str">
        <f t="shared" si="435"/>
        <v/>
      </c>
    </row>
    <row r="4528" spans="1:19" ht="15.75" hidden="1" thickBot="1" x14ac:dyDescent="0.3">
      <c r="A4528" s="257"/>
      <c r="B4528" s="260"/>
      <c r="C4528" s="35" t="s">
        <v>591</v>
      </c>
      <c r="D4528" s="35" t="s">
        <v>583</v>
      </c>
      <c r="E4528" s="36">
        <v>0.107</v>
      </c>
      <c r="F4528" s="53">
        <v>27.160499999999999</v>
      </c>
      <c r="G4528" s="53">
        <f t="shared" si="438"/>
        <v>2.9061735</v>
      </c>
      <c r="H4528" s="38">
        <f>SUM(G4528:G4532)</f>
        <v>33.592286509777992</v>
      </c>
      <c r="I4528" s="39"/>
      <c r="J4528" s="152">
        <v>0</v>
      </c>
      <c r="L4528" s="215">
        <v>0.107</v>
      </c>
      <c r="M4528" s="53">
        <v>23.249388</v>
      </c>
      <c r="N4528" s="53">
        <f t="shared" si="439"/>
        <v>2.4876845159999998</v>
      </c>
      <c r="O4528" s="38">
        <f>SUM(N4528:N4532)</f>
        <v>28.754997252369964</v>
      </c>
      <c r="P4528" s="36" t="str">
        <f t="shared" si="432"/>
        <v/>
      </c>
      <c r="Q4528" s="216">
        <f t="shared" si="433"/>
        <v>0.14400000000000002</v>
      </c>
      <c r="R4528" s="216">
        <f t="shared" si="434"/>
        <v>0.14400000000000002</v>
      </c>
      <c r="S4528" s="217">
        <f t="shared" si="435"/>
        <v>0.14399999999999991</v>
      </c>
    </row>
    <row r="4529" spans="1:19" ht="15.75" hidden="1" thickBot="1" x14ac:dyDescent="0.3">
      <c r="A4529" s="257"/>
      <c r="B4529" s="260"/>
      <c r="C4529" s="35" t="s">
        <v>584</v>
      </c>
      <c r="D4529" s="35" t="s">
        <v>583</v>
      </c>
      <c r="E4529" s="36">
        <v>0.214</v>
      </c>
      <c r="F4529" s="53">
        <v>20.225499999999997</v>
      </c>
      <c r="G4529" s="53">
        <f t="shared" si="438"/>
        <v>4.3282569999999989</v>
      </c>
      <c r="H4529" s="72"/>
      <c r="I4529" s="73"/>
      <c r="J4529" s="152">
        <v>0</v>
      </c>
      <c r="L4529" s="215">
        <v>0.214</v>
      </c>
      <c r="M4529" s="53">
        <v>17.313027999999996</v>
      </c>
      <c r="N4529" s="53">
        <f t="shared" si="439"/>
        <v>3.7049879919999991</v>
      </c>
      <c r="O4529" s="72"/>
      <c r="P4529" s="36" t="str">
        <f t="shared" si="432"/>
        <v/>
      </c>
      <c r="Q4529" s="216">
        <f t="shared" si="433"/>
        <v>0.14400000000000013</v>
      </c>
      <c r="R4529" s="216">
        <f t="shared" si="434"/>
        <v>0.14400000000000002</v>
      </c>
      <c r="S4529" s="217" t="str">
        <f t="shared" si="435"/>
        <v/>
      </c>
    </row>
    <row r="4530" spans="1:19" ht="15.75" hidden="1" thickBot="1" x14ac:dyDescent="0.3">
      <c r="A4530" s="257"/>
      <c r="B4530" s="260"/>
      <c r="C4530" s="35" t="s">
        <v>8065</v>
      </c>
      <c r="D4530" s="35" t="s">
        <v>773</v>
      </c>
      <c r="E4530" s="36">
        <v>0.5</v>
      </c>
      <c r="F4530" s="53">
        <v>0.627</v>
      </c>
      <c r="G4530" s="53">
        <f t="shared" si="438"/>
        <v>0.3135</v>
      </c>
      <c r="H4530" s="72"/>
      <c r="I4530" s="73"/>
      <c r="J4530" s="152">
        <v>0</v>
      </c>
      <c r="L4530" s="215">
        <v>0.5</v>
      </c>
      <c r="M4530" s="53">
        <v>0.53671199999999997</v>
      </c>
      <c r="N4530" s="53">
        <f t="shared" si="439"/>
        <v>0.26835599999999998</v>
      </c>
      <c r="O4530" s="72"/>
      <c r="P4530" s="36" t="str">
        <f t="shared" si="432"/>
        <v/>
      </c>
      <c r="Q4530" s="216">
        <f t="shared" si="433"/>
        <v>0.14400000000000002</v>
      </c>
      <c r="R4530" s="216">
        <f t="shared" si="434"/>
        <v>0.14400000000000002</v>
      </c>
      <c r="S4530" s="217" t="str">
        <f t="shared" si="435"/>
        <v/>
      </c>
    </row>
    <row r="4531" spans="1:19" ht="26.25" hidden="1" thickBot="1" x14ac:dyDescent="0.3">
      <c r="A4531" s="257"/>
      <c r="B4531" s="260"/>
      <c r="C4531" s="35" t="s">
        <v>7976</v>
      </c>
      <c r="D4531" s="35" t="s">
        <v>75</v>
      </c>
      <c r="E4531" s="36">
        <v>0.21</v>
      </c>
      <c r="F4531" s="53">
        <v>15.560999999999998</v>
      </c>
      <c r="G4531" s="53">
        <f t="shared" si="438"/>
        <v>3.2678099999999994</v>
      </c>
      <c r="H4531" s="72"/>
      <c r="I4531" s="73"/>
      <c r="J4531" s="152">
        <v>0</v>
      </c>
      <c r="L4531" s="215">
        <v>0.21</v>
      </c>
      <c r="M4531" s="53">
        <v>13.320215999999999</v>
      </c>
      <c r="N4531" s="53">
        <f t="shared" si="439"/>
        <v>2.7972453599999998</v>
      </c>
      <c r="O4531" s="72"/>
      <c r="P4531" s="36" t="str">
        <f t="shared" si="432"/>
        <v/>
      </c>
      <c r="Q4531" s="216">
        <f t="shared" si="433"/>
        <v>0.14400000000000002</v>
      </c>
      <c r="R4531" s="216">
        <f t="shared" si="434"/>
        <v>0.14399999999999991</v>
      </c>
      <c r="S4531" s="217" t="str">
        <f t="shared" si="435"/>
        <v/>
      </c>
    </row>
    <row r="4532" spans="1:19" ht="51.75" hidden="1" thickBot="1" x14ac:dyDescent="0.3">
      <c r="A4532" s="257"/>
      <c r="B4532" s="260"/>
      <c r="C4532" s="35" t="s">
        <v>110</v>
      </c>
      <c r="D4532" s="35" t="s">
        <v>87</v>
      </c>
      <c r="E4532" s="36">
        <v>3.1E-2</v>
      </c>
      <c r="F4532" s="53">
        <v>734.72729063799989</v>
      </c>
      <c r="G4532" s="53">
        <f t="shared" si="438"/>
        <v>22.776546009777995</v>
      </c>
      <c r="H4532" s="72"/>
      <c r="I4532" s="73"/>
      <c r="J4532" s="152">
        <v>0</v>
      </c>
      <c r="L4532" s="215">
        <v>3.1E-2</v>
      </c>
      <c r="M4532" s="53">
        <v>628.92656078612788</v>
      </c>
      <c r="N4532" s="53">
        <f t="shared" si="439"/>
        <v>19.496723384369965</v>
      </c>
      <c r="O4532" s="72"/>
      <c r="P4532" s="36" t="str">
        <f t="shared" si="432"/>
        <v/>
      </c>
      <c r="Q4532" s="216">
        <f t="shared" si="433"/>
        <v>0.14400000000000002</v>
      </c>
      <c r="R4532" s="216">
        <f t="shared" si="434"/>
        <v>0.14400000000000002</v>
      </c>
      <c r="S4532" s="217" t="str">
        <f t="shared" si="435"/>
        <v/>
      </c>
    </row>
    <row r="4533" spans="1:19" ht="15.75" hidden="1" thickBot="1" x14ac:dyDescent="0.3">
      <c r="A4533" s="258"/>
      <c r="B4533" s="261"/>
      <c r="C4533" s="54"/>
      <c r="D4533" s="54"/>
      <c r="E4533" s="65"/>
      <c r="F4533" s="75" t="s">
        <v>416</v>
      </c>
      <c r="G4533" s="75" t="str">
        <f t="shared" si="438"/>
        <v/>
      </c>
      <c r="H4533" s="76"/>
      <c r="I4533" s="73"/>
      <c r="J4533" s="152">
        <v>0</v>
      </c>
      <c r="L4533" s="222"/>
      <c r="M4533" s="75"/>
      <c r="N4533" s="75" t="str">
        <f t="shared" si="439"/>
        <v/>
      </c>
      <c r="O4533" s="76"/>
      <c r="P4533" s="36" t="str">
        <f t="shared" si="432"/>
        <v/>
      </c>
      <c r="Q4533" s="216" t="str">
        <f t="shared" si="433"/>
        <v/>
      </c>
      <c r="R4533" s="216" t="str">
        <f t="shared" si="434"/>
        <v/>
      </c>
      <c r="S4533" s="217" t="str">
        <f t="shared" si="435"/>
        <v/>
      </c>
    </row>
    <row r="4534" spans="1:19" ht="15.75" hidden="1" thickBot="1" x14ac:dyDescent="0.3">
      <c r="A4534" s="256" t="s">
        <v>1204</v>
      </c>
      <c r="B4534" s="259" t="str">
        <f>INDEX(Orçamentária!A:B,MATCH(Composições!A4534,Orçamentária!A:A,0),2)</f>
        <v>Camada de Proteção Mecânica em Placas de Impermeabilização</v>
      </c>
      <c r="C4534" s="40"/>
      <c r="D4534" s="25" t="s">
        <v>70</v>
      </c>
      <c r="E4534" s="26"/>
      <c r="F4534" s="48" t="s">
        <v>416</v>
      </c>
      <c r="G4534" s="27" t="str">
        <f t="shared" si="438"/>
        <v/>
      </c>
      <c r="H4534" s="28"/>
      <c r="I4534" s="29"/>
      <c r="J4534" s="152">
        <v>0</v>
      </c>
      <c r="L4534" s="218"/>
      <c r="M4534" s="48"/>
      <c r="N4534" s="27" t="str">
        <f t="shared" si="439"/>
        <v/>
      </c>
      <c r="O4534" s="28"/>
      <c r="P4534" s="36" t="str">
        <f t="shared" si="432"/>
        <v/>
      </c>
      <c r="Q4534" s="216" t="str">
        <f t="shared" si="433"/>
        <v/>
      </c>
      <c r="R4534" s="216" t="str">
        <f t="shared" si="434"/>
        <v/>
      </c>
      <c r="S4534" s="217" t="str">
        <f t="shared" si="435"/>
        <v/>
      </c>
    </row>
    <row r="4535" spans="1:19" ht="15.75" hidden="1" thickBot="1" x14ac:dyDescent="0.3">
      <c r="A4535" s="257"/>
      <c r="B4535" s="260"/>
      <c r="C4535" s="31"/>
      <c r="D4535" s="31"/>
      <c r="E4535" s="32"/>
      <c r="F4535" s="53" t="s">
        <v>416</v>
      </c>
      <c r="G4535" s="53" t="str">
        <f t="shared" si="438"/>
        <v/>
      </c>
      <c r="H4535" s="72"/>
      <c r="I4535" s="73"/>
      <c r="J4535" s="152">
        <v>0</v>
      </c>
      <c r="L4535" s="219"/>
      <c r="M4535" s="53"/>
      <c r="N4535" s="53" t="str">
        <f t="shared" si="439"/>
        <v/>
      </c>
      <c r="O4535" s="72"/>
      <c r="P4535" s="36" t="str">
        <f t="shared" si="432"/>
        <v/>
      </c>
      <c r="Q4535" s="216" t="str">
        <f t="shared" si="433"/>
        <v/>
      </c>
      <c r="R4535" s="216" t="str">
        <f t="shared" si="434"/>
        <v/>
      </c>
      <c r="S4535" s="217" t="str">
        <f t="shared" si="435"/>
        <v/>
      </c>
    </row>
    <row r="4536" spans="1:19" ht="15.75" hidden="1" thickBot="1" x14ac:dyDescent="0.3">
      <c r="A4536" s="257"/>
      <c r="B4536" s="260"/>
      <c r="C4536" s="35" t="s">
        <v>883</v>
      </c>
      <c r="D4536" s="35" t="s">
        <v>861</v>
      </c>
      <c r="E4536" s="36">
        <v>1.04</v>
      </c>
      <c r="F4536" s="53">
        <v>1.7575000000000001</v>
      </c>
      <c r="G4536" s="53">
        <f t="shared" si="438"/>
        <v>1.8278000000000001</v>
      </c>
      <c r="H4536" s="38">
        <f>SUM(G4536:G4540)</f>
        <v>91.946702750249997</v>
      </c>
      <c r="I4536" s="39"/>
      <c r="J4536" s="152">
        <v>0</v>
      </c>
      <c r="L4536" s="215">
        <v>1.04</v>
      </c>
      <c r="M4536" s="53">
        <v>1.5044200000000001</v>
      </c>
      <c r="N4536" s="53">
        <f t="shared" si="439"/>
        <v>1.5645968000000001</v>
      </c>
      <c r="O4536" s="38">
        <f>SUM(N4536:N4540)</f>
        <v>78.706377554213987</v>
      </c>
      <c r="P4536" s="36" t="str">
        <f t="shared" si="432"/>
        <v/>
      </c>
      <c r="Q4536" s="216">
        <f t="shared" si="433"/>
        <v>0.14400000000000002</v>
      </c>
      <c r="R4536" s="216">
        <f t="shared" si="434"/>
        <v>0.14400000000000002</v>
      </c>
      <c r="S4536" s="217">
        <f t="shared" si="435"/>
        <v>0.14400000000000013</v>
      </c>
    </row>
    <row r="4537" spans="1:19" ht="26.25" hidden="1" thickBot="1" x14ac:dyDescent="0.3">
      <c r="A4537" s="257"/>
      <c r="B4537" s="260"/>
      <c r="C4537" s="35" t="s">
        <v>884</v>
      </c>
      <c r="D4537" s="35" t="s">
        <v>87</v>
      </c>
      <c r="E4537" s="36">
        <v>4.3999999999999997E-2</v>
      </c>
      <c r="F4537" s="53">
        <v>918.41925568750003</v>
      </c>
      <c r="G4537" s="53">
        <f t="shared" si="438"/>
        <v>40.410447250250002</v>
      </c>
      <c r="H4537" s="72"/>
      <c r="I4537" s="73"/>
      <c r="J4537" s="152">
        <v>0</v>
      </c>
      <c r="L4537" s="215">
        <v>4.3999999999999997E-2</v>
      </c>
      <c r="M4537" s="53">
        <v>786.16688286850001</v>
      </c>
      <c r="N4537" s="53">
        <f t="shared" si="439"/>
        <v>34.591342846213998</v>
      </c>
      <c r="O4537" s="72"/>
      <c r="P4537" s="36" t="str">
        <f t="shared" si="432"/>
        <v/>
      </c>
      <c r="Q4537" s="216">
        <f t="shared" si="433"/>
        <v>0.14400000000000002</v>
      </c>
      <c r="R4537" s="216">
        <f t="shared" si="434"/>
        <v>0.14400000000000013</v>
      </c>
      <c r="S4537" s="217" t="str">
        <f t="shared" si="435"/>
        <v/>
      </c>
    </row>
    <row r="4538" spans="1:19" ht="15.75" hidden="1" thickBot="1" x14ac:dyDescent="0.3">
      <c r="A4538" s="257"/>
      <c r="B4538" s="260"/>
      <c r="C4538" s="35" t="s">
        <v>591</v>
      </c>
      <c r="D4538" s="35" t="s">
        <v>583</v>
      </c>
      <c r="E4538" s="36">
        <v>0.89900000000000002</v>
      </c>
      <c r="F4538" s="53">
        <v>27.160499999999999</v>
      </c>
      <c r="G4538" s="53">
        <f t="shared" si="438"/>
        <v>24.417289499999999</v>
      </c>
      <c r="H4538" s="72"/>
      <c r="I4538" s="73"/>
      <c r="J4538" s="152">
        <v>0</v>
      </c>
      <c r="L4538" s="215">
        <v>0.89900000000000002</v>
      </c>
      <c r="M4538" s="53">
        <v>23.249388</v>
      </c>
      <c r="N4538" s="53">
        <f t="shared" si="439"/>
        <v>20.901199812000002</v>
      </c>
      <c r="O4538" s="72"/>
      <c r="P4538" s="36" t="str">
        <f t="shared" si="432"/>
        <v/>
      </c>
      <c r="Q4538" s="216">
        <f t="shared" si="433"/>
        <v>0.14400000000000002</v>
      </c>
      <c r="R4538" s="216">
        <f t="shared" si="434"/>
        <v>0.14399999999999991</v>
      </c>
      <c r="S4538" s="217" t="str">
        <f t="shared" si="435"/>
        <v/>
      </c>
    </row>
    <row r="4539" spans="1:19" ht="15.75" hidden="1" thickBot="1" x14ac:dyDescent="0.3">
      <c r="A4539" s="257"/>
      <c r="B4539" s="260"/>
      <c r="C4539" s="35" t="s">
        <v>584</v>
      </c>
      <c r="D4539" s="35" t="s">
        <v>583</v>
      </c>
      <c r="E4539" s="36">
        <v>0.182</v>
      </c>
      <c r="F4539" s="53">
        <v>20.225499999999997</v>
      </c>
      <c r="G4539" s="53">
        <f t="shared" si="438"/>
        <v>3.6810409999999991</v>
      </c>
      <c r="H4539" s="72"/>
      <c r="I4539" s="73"/>
      <c r="J4539" s="152">
        <v>0</v>
      </c>
      <c r="L4539" s="215">
        <v>0.182</v>
      </c>
      <c r="M4539" s="53">
        <v>17.313027999999996</v>
      </c>
      <c r="N4539" s="53">
        <f t="shared" si="439"/>
        <v>3.1509710959999992</v>
      </c>
      <c r="O4539" s="72"/>
      <c r="P4539" s="36" t="str">
        <f t="shared" si="432"/>
        <v/>
      </c>
      <c r="Q4539" s="216">
        <f t="shared" si="433"/>
        <v>0.14400000000000013</v>
      </c>
      <c r="R4539" s="216">
        <f t="shared" si="434"/>
        <v>0.14400000000000002</v>
      </c>
      <c r="S4539" s="217" t="str">
        <f t="shared" si="435"/>
        <v/>
      </c>
    </row>
    <row r="4540" spans="1:19" ht="39" hidden="1" thickBot="1" x14ac:dyDescent="0.3">
      <c r="A4540" s="257"/>
      <c r="B4540" s="260"/>
      <c r="C4540" s="35" t="s">
        <v>880</v>
      </c>
      <c r="D4540" s="35" t="s">
        <v>773</v>
      </c>
      <c r="E4540" s="36">
        <f>0.15*2.5*(6/2)</f>
        <v>1.125</v>
      </c>
      <c r="F4540" s="53">
        <v>19.209</v>
      </c>
      <c r="G4540" s="53">
        <f t="shared" si="438"/>
        <v>21.610125</v>
      </c>
      <c r="H4540" s="72"/>
      <c r="I4540" s="73"/>
      <c r="J4540" s="152">
        <v>0</v>
      </c>
      <c r="L4540" s="215">
        <v>1.125</v>
      </c>
      <c r="M4540" s="53">
        <v>16.442903999999999</v>
      </c>
      <c r="N4540" s="53">
        <f t="shared" si="439"/>
        <v>18.498266999999998</v>
      </c>
      <c r="O4540" s="72"/>
      <c r="P4540" s="36" t="str">
        <f t="shared" si="432"/>
        <v/>
      </c>
      <c r="Q4540" s="216">
        <f t="shared" si="433"/>
        <v>0.14400000000000002</v>
      </c>
      <c r="R4540" s="216">
        <f t="shared" si="434"/>
        <v>0.14400000000000002</v>
      </c>
      <c r="S4540" s="217" t="str">
        <f t="shared" si="435"/>
        <v/>
      </c>
    </row>
    <row r="4541" spans="1:19" ht="15.75" hidden="1" thickBot="1" x14ac:dyDescent="0.3">
      <c r="A4541" s="257"/>
      <c r="B4541" s="260"/>
      <c r="C4541" s="35"/>
      <c r="D4541" s="35"/>
      <c r="E4541" s="36"/>
      <c r="F4541" s="53" t="s">
        <v>416</v>
      </c>
      <c r="G4541" s="53" t="str">
        <f t="shared" si="438"/>
        <v/>
      </c>
      <c r="H4541" s="72"/>
      <c r="I4541" s="73"/>
      <c r="J4541" s="152">
        <v>0</v>
      </c>
      <c r="L4541" s="215"/>
      <c r="M4541" s="53"/>
      <c r="N4541" s="53" t="str">
        <f t="shared" si="439"/>
        <v/>
      </c>
      <c r="O4541" s="72"/>
      <c r="P4541" s="36" t="str">
        <f t="shared" si="432"/>
        <v/>
      </c>
      <c r="Q4541" s="216" t="str">
        <f t="shared" si="433"/>
        <v/>
      </c>
      <c r="R4541" s="216" t="str">
        <f t="shared" si="434"/>
        <v/>
      </c>
      <c r="S4541" s="217" t="str">
        <f t="shared" si="435"/>
        <v/>
      </c>
    </row>
    <row r="4542" spans="1:19" ht="15.75" hidden="1" thickBot="1" x14ac:dyDescent="0.3">
      <c r="A4542" s="256" t="s">
        <v>1205</v>
      </c>
      <c r="B4542" s="259" t="str">
        <f>INDEX(Orçamentária!A:B,MATCH(Composições!A4542,Orçamentária!A:A,0),2)</f>
        <v>Pintura Inibidora de Raízes em Estrutura Impermeabilizada</v>
      </c>
      <c r="C4542" s="40"/>
      <c r="D4542" s="25" t="s">
        <v>70</v>
      </c>
      <c r="E4542" s="26"/>
      <c r="F4542" s="48" t="s">
        <v>416</v>
      </c>
      <c r="G4542" s="27" t="str">
        <f t="shared" si="438"/>
        <v/>
      </c>
      <c r="H4542" s="28"/>
      <c r="I4542" s="29"/>
      <c r="J4542" s="152">
        <v>0</v>
      </c>
      <c r="L4542" s="218"/>
      <c r="M4542" s="48"/>
      <c r="N4542" s="27" t="str">
        <f t="shared" si="439"/>
        <v/>
      </c>
      <c r="O4542" s="28"/>
      <c r="P4542" s="36" t="str">
        <f t="shared" si="432"/>
        <v/>
      </c>
      <c r="Q4542" s="216" t="str">
        <f t="shared" si="433"/>
        <v/>
      </c>
      <c r="R4542" s="216" t="str">
        <f t="shared" si="434"/>
        <v/>
      </c>
      <c r="S4542" s="217" t="str">
        <f t="shared" si="435"/>
        <v/>
      </c>
    </row>
    <row r="4543" spans="1:19" ht="15.75" hidden="1" thickBot="1" x14ac:dyDescent="0.3">
      <c r="A4543" s="257"/>
      <c r="B4543" s="260"/>
      <c r="C4543" s="31"/>
      <c r="D4543" s="31"/>
      <c r="E4543" s="32"/>
      <c r="F4543" s="53" t="s">
        <v>416</v>
      </c>
      <c r="G4543" s="53" t="str">
        <f t="shared" si="438"/>
        <v/>
      </c>
      <c r="H4543" s="72"/>
      <c r="I4543" s="73"/>
      <c r="J4543" s="152">
        <v>0</v>
      </c>
      <c r="L4543" s="219"/>
      <c r="M4543" s="53"/>
      <c r="N4543" s="53" t="str">
        <f t="shared" si="439"/>
        <v/>
      </c>
      <c r="O4543" s="72"/>
      <c r="P4543" s="36" t="str">
        <f t="shared" si="432"/>
        <v/>
      </c>
      <c r="Q4543" s="216" t="str">
        <f t="shared" si="433"/>
        <v/>
      </c>
      <c r="R4543" s="216" t="str">
        <f t="shared" si="434"/>
        <v/>
      </c>
      <c r="S4543" s="217" t="str">
        <f t="shared" si="435"/>
        <v/>
      </c>
    </row>
    <row r="4544" spans="1:19" ht="15.75" hidden="1" thickBot="1" x14ac:dyDescent="0.3">
      <c r="A4544" s="257"/>
      <c r="B4544" s="260"/>
      <c r="C4544" s="35" t="s">
        <v>1206</v>
      </c>
      <c r="D4544" s="35" t="s">
        <v>75</v>
      </c>
      <c r="E4544" s="36">
        <v>0.32569999999999999</v>
      </c>
      <c r="F4544" s="53" t="s">
        <v>416</v>
      </c>
      <c r="G4544" s="53" t="str">
        <f t="shared" si="438"/>
        <v/>
      </c>
      <c r="H4544" s="38">
        <f>SUM(G4544:G4545)</f>
        <v>12.980793350000001</v>
      </c>
      <c r="I4544" s="39"/>
      <c r="J4544" s="152">
        <v>0</v>
      </c>
      <c r="L4544" s="215">
        <v>0.32569999999999999</v>
      </c>
      <c r="M4544" s="53"/>
      <c r="N4544" s="53" t="str">
        <f t="shared" si="439"/>
        <v/>
      </c>
      <c r="O4544" s="38">
        <f>SUM(N4544:N4545)</f>
        <v>11.111559107600002</v>
      </c>
      <c r="P4544" s="36" t="str">
        <f t="shared" si="432"/>
        <v/>
      </c>
      <c r="Q4544" s="216" t="str">
        <f t="shared" si="433"/>
        <v/>
      </c>
      <c r="R4544" s="216" t="str">
        <f t="shared" si="434"/>
        <v/>
      </c>
      <c r="S4544" s="217">
        <f t="shared" si="435"/>
        <v>0.14399999999999991</v>
      </c>
    </row>
    <row r="4545" spans="1:19" ht="15.75" hidden="1" thickBot="1" x14ac:dyDescent="0.3">
      <c r="A4545" s="257"/>
      <c r="B4545" s="260"/>
      <c r="C4545" s="35" t="s">
        <v>956</v>
      </c>
      <c r="D4545" s="35" t="s">
        <v>583</v>
      </c>
      <c r="E4545" s="36">
        <v>0.45290000000000002</v>
      </c>
      <c r="F4545" s="53">
        <v>28.6615</v>
      </c>
      <c r="G4545" s="53">
        <f t="shared" si="438"/>
        <v>12.980793350000001</v>
      </c>
      <c r="H4545" s="72"/>
      <c r="I4545" s="73"/>
      <c r="J4545" s="152">
        <v>0</v>
      </c>
      <c r="L4545" s="215">
        <v>0.45290000000000002</v>
      </c>
      <c r="M4545" s="53">
        <v>24.534244000000001</v>
      </c>
      <c r="N4545" s="53">
        <f t="shared" si="439"/>
        <v>11.111559107600002</v>
      </c>
      <c r="O4545" s="72"/>
      <c r="P4545" s="36" t="str">
        <f t="shared" si="432"/>
        <v/>
      </c>
      <c r="Q4545" s="216">
        <f t="shared" si="433"/>
        <v>0.14400000000000002</v>
      </c>
      <c r="R4545" s="216">
        <f t="shared" si="434"/>
        <v>0.14399999999999991</v>
      </c>
      <c r="S4545" s="217" t="str">
        <f t="shared" si="435"/>
        <v/>
      </c>
    </row>
    <row r="4546" spans="1:19" ht="15.75" hidden="1" thickBot="1" x14ac:dyDescent="0.3">
      <c r="A4546" s="258"/>
      <c r="B4546" s="261"/>
      <c r="C4546" s="54"/>
      <c r="D4546" s="54"/>
      <c r="E4546" s="65"/>
      <c r="F4546" s="75" t="s">
        <v>416</v>
      </c>
      <c r="G4546" s="75" t="str">
        <f t="shared" si="438"/>
        <v/>
      </c>
      <c r="H4546" s="76"/>
      <c r="I4546" s="73"/>
      <c r="J4546" s="152">
        <v>0</v>
      </c>
      <c r="L4546" s="222"/>
      <c r="M4546" s="75"/>
      <c r="N4546" s="75" t="str">
        <f t="shared" si="439"/>
        <v/>
      </c>
      <c r="O4546" s="76"/>
      <c r="P4546" s="36" t="str">
        <f t="shared" si="432"/>
        <v/>
      </c>
      <c r="Q4546" s="216" t="str">
        <f t="shared" si="433"/>
        <v/>
      </c>
      <c r="R4546" s="216" t="str">
        <f t="shared" si="434"/>
        <v/>
      </c>
      <c r="S4546" s="217" t="str">
        <f t="shared" si="435"/>
        <v/>
      </c>
    </row>
    <row r="4547" spans="1:19" ht="15.75" hidden="1" thickBot="1" x14ac:dyDescent="0.3">
      <c r="A4547" s="256" t="s">
        <v>1207</v>
      </c>
      <c r="B4547" s="259" t="str">
        <f>INDEX(Orçamentária!A:B,MATCH(Composições!A4547,Orçamentária!A:A,0),2)</f>
        <v>Camada Drenante para Impermeabilização</v>
      </c>
      <c r="C4547" s="40"/>
      <c r="D4547" s="25" t="s">
        <v>70</v>
      </c>
      <c r="E4547" s="26"/>
      <c r="F4547" s="48" t="s">
        <v>416</v>
      </c>
      <c r="G4547" s="27" t="str">
        <f t="shared" si="438"/>
        <v/>
      </c>
      <c r="H4547" s="28"/>
      <c r="I4547" s="29"/>
      <c r="J4547" s="152">
        <v>0</v>
      </c>
      <c r="L4547" s="218"/>
      <c r="M4547" s="48"/>
      <c r="N4547" s="27" t="str">
        <f t="shared" si="439"/>
        <v/>
      </c>
      <c r="O4547" s="28"/>
      <c r="P4547" s="36" t="str">
        <f t="shared" si="432"/>
        <v/>
      </c>
      <c r="Q4547" s="216" t="str">
        <f t="shared" si="433"/>
        <v/>
      </c>
      <c r="R4547" s="216" t="str">
        <f t="shared" si="434"/>
        <v/>
      </c>
      <c r="S4547" s="217" t="str">
        <f t="shared" si="435"/>
        <v/>
      </c>
    </row>
    <row r="4548" spans="1:19" ht="15.75" hidden="1" thickBot="1" x14ac:dyDescent="0.3">
      <c r="A4548" s="257"/>
      <c r="B4548" s="260"/>
      <c r="C4548" s="31"/>
      <c r="D4548" s="31"/>
      <c r="E4548" s="32"/>
      <c r="F4548" s="53" t="s">
        <v>416</v>
      </c>
      <c r="G4548" s="53" t="str">
        <f t="shared" si="438"/>
        <v/>
      </c>
      <c r="H4548" s="72"/>
      <c r="I4548" s="73"/>
      <c r="J4548" s="152">
        <v>0</v>
      </c>
      <c r="L4548" s="219"/>
      <c r="M4548" s="53"/>
      <c r="N4548" s="53" t="str">
        <f t="shared" si="439"/>
        <v/>
      </c>
      <c r="O4548" s="72"/>
      <c r="P4548" s="36" t="str">
        <f t="shared" si="432"/>
        <v/>
      </c>
      <c r="Q4548" s="216" t="str">
        <f t="shared" si="433"/>
        <v/>
      </c>
      <c r="R4548" s="216" t="str">
        <f t="shared" si="434"/>
        <v/>
      </c>
      <c r="S4548" s="217" t="str">
        <f t="shared" si="435"/>
        <v/>
      </c>
    </row>
    <row r="4549" spans="1:19" ht="15.75" hidden="1" thickBot="1" x14ac:dyDescent="0.3">
      <c r="A4549" s="257"/>
      <c r="B4549" s="260"/>
      <c r="C4549" s="35" t="s">
        <v>584</v>
      </c>
      <c r="D4549" s="35" t="s">
        <v>583</v>
      </c>
      <c r="E4549" s="36">
        <v>0.02</v>
      </c>
      <c r="F4549" s="53">
        <v>20.225499999999997</v>
      </c>
      <c r="G4549" s="53">
        <f t="shared" si="438"/>
        <v>0.40450999999999993</v>
      </c>
      <c r="H4549" s="38">
        <f>SUM(G4549:G4551)</f>
        <v>7.4582600000000001</v>
      </c>
      <c r="I4549" s="39"/>
      <c r="J4549" s="152">
        <v>0</v>
      </c>
      <c r="L4549" s="215">
        <v>0.02</v>
      </c>
      <c r="M4549" s="53">
        <v>17.313027999999996</v>
      </c>
      <c r="N4549" s="53">
        <f t="shared" si="439"/>
        <v>0.34626055999999994</v>
      </c>
      <c r="O4549" s="38">
        <f>SUM(N4549:N4551)</f>
        <v>6.38427056</v>
      </c>
      <c r="P4549" s="36" t="str">
        <f t="shared" si="432"/>
        <v/>
      </c>
      <c r="Q4549" s="216">
        <f t="shared" si="433"/>
        <v>0.14400000000000013</v>
      </c>
      <c r="R4549" s="216">
        <f t="shared" si="434"/>
        <v>0.14400000000000002</v>
      </c>
      <c r="S4549" s="217">
        <f t="shared" si="435"/>
        <v>0.14400000000000002</v>
      </c>
    </row>
    <row r="4550" spans="1:19" ht="26.25" hidden="1" thickBot="1" x14ac:dyDescent="0.3">
      <c r="A4550" s="257"/>
      <c r="B4550" s="260"/>
      <c r="C4550" s="35" t="s">
        <v>1208</v>
      </c>
      <c r="D4550" s="35" t="s">
        <v>70</v>
      </c>
      <c r="E4550" s="36">
        <v>1.05</v>
      </c>
      <c r="F4550" s="53" t="s">
        <v>416</v>
      </c>
      <c r="G4550" s="53" t="str">
        <f t="shared" si="438"/>
        <v/>
      </c>
      <c r="H4550" s="72"/>
      <c r="I4550" s="73"/>
      <c r="J4550" s="152">
        <v>0</v>
      </c>
      <c r="L4550" s="215">
        <v>1.05</v>
      </c>
      <c r="M4550" s="53"/>
      <c r="N4550" s="53" t="str">
        <f t="shared" si="439"/>
        <v/>
      </c>
      <c r="O4550" s="72"/>
      <c r="P4550" s="36" t="str">
        <f t="shared" si="432"/>
        <v/>
      </c>
      <c r="Q4550" s="216" t="str">
        <f t="shared" si="433"/>
        <v/>
      </c>
      <c r="R4550" s="216" t="str">
        <f t="shared" si="434"/>
        <v/>
      </c>
      <c r="S4550" s="217" t="str">
        <f t="shared" si="435"/>
        <v/>
      </c>
    </row>
    <row r="4551" spans="1:19" ht="26.25" hidden="1" thickBot="1" x14ac:dyDescent="0.3">
      <c r="A4551" s="257"/>
      <c r="B4551" s="260"/>
      <c r="C4551" s="35" t="s">
        <v>1200</v>
      </c>
      <c r="D4551" s="35" t="s">
        <v>861</v>
      </c>
      <c r="E4551" s="36">
        <v>1.1000000000000001</v>
      </c>
      <c r="F4551" s="53">
        <v>6.4124999999999996</v>
      </c>
      <c r="G4551" s="53">
        <f t="shared" si="438"/>
        <v>7.05375</v>
      </c>
      <c r="H4551" s="72"/>
      <c r="I4551" s="73"/>
      <c r="J4551" s="152">
        <v>0</v>
      </c>
      <c r="L4551" s="215">
        <v>1.1000000000000001</v>
      </c>
      <c r="M4551" s="53">
        <v>5.4890999999999996</v>
      </c>
      <c r="N4551" s="53">
        <f t="shared" si="439"/>
        <v>6.0380099999999999</v>
      </c>
      <c r="O4551" s="72"/>
      <c r="P4551" s="36" t="str">
        <f t="shared" si="432"/>
        <v/>
      </c>
      <c r="Q4551" s="216">
        <f t="shared" si="433"/>
        <v>0.14400000000000002</v>
      </c>
      <c r="R4551" s="216">
        <f t="shared" si="434"/>
        <v>0.14400000000000002</v>
      </c>
      <c r="S4551" s="217" t="str">
        <f t="shared" si="435"/>
        <v/>
      </c>
    </row>
    <row r="4552" spans="1:19" ht="15.75" hidden="1" thickBot="1" x14ac:dyDescent="0.3">
      <c r="A4552" s="258"/>
      <c r="B4552" s="261"/>
      <c r="C4552" s="54"/>
      <c r="D4552" s="54"/>
      <c r="E4552" s="65"/>
      <c r="F4552" s="75" t="s">
        <v>416</v>
      </c>
      <c r="G4552" s="75" t="str">
        <f t="shared" si="438"/>
        <v/>
      </c>
      <c r="H4552" s="76"/>
      <c r="I4552" s="73"/>
      <c r="J4552" s="152">
        <v>0</v>
      </c>
      <c r="L4552" s="222"/>
      <c r="M4552" s="75"/>
      <c r="N4552" s="75" t="str">
        <f t="shared" si="439"/>
        <v/>
      </c>
      <c r="O4552" s="76"/>
      <c r="P4552" s="36" t="str">
        <f t="shared" ref="P4552:P4615" si="440">IF(ISBLANK(L4552),"",IF($E4552&lt;&gt;L4552,"SIM",""))</f>
        <v/>
      </c>
      <c r="Q4552" s="216" t="str">
        <f t="shared" ref="Q4552:Q4615" si="441">IF(M4552="","",1-M4552/$F4552)</f>
        <v/>
      </c>
      <c r="R4552" s="216" t="str">
        <f t="shared" ref="R4552:R4615" si="442">IF(N4552="","",1-N4552/$G4552)</f>
        <v/>
      </c>
      <c r="S4552" s="217" t="str">
        <f t="shared" ref="S4552:S4615" si="443">IF(O4552="","",1-O4552/$H4552)</f>
        <v/>
      </c>
    </row>
    <row r="4553" spans="1:19" ht="15.75" hidden="1" thickBot="1" x14ac:dyDescent="0.3">
      <c r="A4553" s="256" t="s">
        <v>1209</v>
      </c>
      <c r="B4553" s="259" t="str">
        <f>INDEX(Orçamentária!A:B,MATCH(Composições!A4553,Orçamentária!A:A,0),2)</f>
        <v>Calha em Chapa de Aço Galvanizado nº 24</v>
      </c>
      <c r="C4553" s="40"/>
      <c r="D4553" s="25" t="s">
        <v>70</v>
      </c>
      <c r="E4553" s="26"/>
      <c r="F4553" s="48" t="s">
        <v>416</v>
      </c>
      <c r="G4553" s="27" t="str">
        <f t="shared" si="438"/>
        <v/>
      </c>
      <c r="H4553" s="28"/>
      <c r="I4553" s="29"/>
      <c r="J4553" s="152">
        <v>0</v>
      </c>
      <c r="L4553" s="218"/>
      <c r="M4553" s="48"/>
      <c r="N4553" s="27" t="str">
        <f t="shared" si="439"/>
        <v/>
      </c>
      <c r="O4553" s="28"/>
      <c r="P4553" s="36" t="str">
        <f t="shared" si="440"/>
        <v/>
      </c>
      <c r="Q4553" s="216" t="str">
        <f t="shared" si="441"/>
        <v/>
      </c>
      <c r="R4553" s="216" t="str">
        <f t="shared" si="442"/>
        <v/>
      </c>
      <c r="S4553" s="217" t="str">
        <f t="shared" si="443"/>
        <v/>
      </c>
    </row>
    <row r="4554" spans="1:19" ht="15.75" hidden="1" thickBot="1" x14ac:dyDescent="0.3">
      <c r="A4554" s="257"/>
      <c r="B4554" s="260"/>
      <c r="C4554" s="31"/>
      <c r="D4554" s="31"/>
      <c r="E4554" s="32"/>
      <c r="F4554" s="53" t="s">
        <v>416</v>
      </c>
      <c r="G4554" s="53" t="str">
        <f t="shared" si="438"/>
        <v/>
      </c>
      <c r="H4554" s="72"/>
      <c r="I4554" s="73"/>
      <c r="J4554" s="152">
        <v>0</v>
      </c>
      <c r="L4554" s="219"/>
      <c r="M4554" s="53"/>
      <c r="N4554" s="53" t="str">
        <f t="shared" si="439"/>
        <v/>
      </c>
      <c r="O4554" s="72"/>
      <c r="P4554" s="36" t="str">
        <f t="shared" si="440"/>
        <v/>
      </c>
      <c r="Q4554" s="216" t="str">
        <f t="shared" si="441"/>
        <v/>
      </c>
      <c r="R4554" s="216" t="str">
        <f t="shared" si="442"/>
        <v/>
      </c>
      <c r="S4554" s="217" t="str">
        <f t="shared" si="443"/>
        <v/>
      </c>
    </row>
    <row r="4555" spans="1:19" ht="26.25" hidden="1" thickBot="1" x14ac:dyDescent="0.3">
      <c r="A4555" s="257"/>
      <c r="B4555" s="260"/>
      <c r="C4555" s="35" t="s">
        <v>928</v>
      </c>
      <c r="D4555" s="35" t="s">
        <v>8526</v>
      </c>
      <c r="E4555" s="36">
        <v>0.161</v>
      </c>
      <c r="F4555" s="53">
        <v>39.548499999999997</v>
      </c>
      <c r="G4555" s="53">
        <f t="shared" si="438"/>
        <v>6.3673085</v>
      </c>
      <c r="H4555" s="38">
        <f>SUM(G4555:G4563)</f>
        <v>184.40962145000003</v>
      </c>
      <c r="I4555" s="39"/>
      <c r="J4555" s="152">
        <v>0</v>
      </c>
      <c r="L4555" s="215">
        <v>0.161</v>
      </c>
      <c r="M4555" s="53">
        <v>33.853515999999999</v>
      </c>
      <c r="N4555" s="53">
        <f t="shared" si="439"/>
        <v>5.4504160759999998</v>
      </c>
      <c r="O4555" s="38">
        <f>SUM(N4555:N4563)</f>
        <v>157.85463596120002</v>
      </c>
      <c r="P4555" s="36" t="str">
        <f t="shared" si="440"/>
        <v/>
      </c>
      <c r="Q4555" s="216">
        <f t="shared" si="441"/>
        <v>0.14399999999999991</v>
      </c>
      <c r="R4555" s="216">
        <f t="shared" si="442"/>
        <v>0.14400000000000002</v>
      </c>
      <c r="S4555" s="217">
        <f t="shared" si="443"/>
        <v>0.14400000000000002</v>
      </c>
    </row>
    <row r="4556" spans="1:19" ht="15.75" hidden="1" thickBot="1" x14ac:dyDescent="0.3">
      <c r="A4556" s="257"/>
      <c r="B4556" s="260"/>
      <c r="C4556" s="35" t="s">
        <v>8339</v>
      </c>
      <c r="D4556" s="35" t="s">
        <v>773</v>
      </c>
      <c r="E4556" s="36">
        <v>2.5000000000000001E-2</v>
      </c>
      <c r="F4556" s="53">
        <v>21.232500000000002</v>
      </c>
      <c r="G4556" s="53">
        <f t="shared" si="438"/>
        <v>0.53081250000000002</v>
      </c>
      <c r="H4556" s="72"/>
      <c r="I4556" s="73"/>
      <c r="J4556" s="152">
        <v>0</v>
      </c>
      <c r="L4556" s="215">
        <v>2.5000000000000001E-2</v>
      </c>
      <c r="M4556" s="53">
        <v>18.175020000000004</v>
      </c>
      <c r="N4556" s="53">
        <f t="shared" si="439"/>
        <v>0.4543755000000001</v>
      </c>
      <c r="O4556" s="72"/>
      <c r="P4556" s="36" t="str">
        <f t="shared" si="440"/>
        <v/>
      </c>
      <c r="Q4556" s="216">
        <f t="shared" si="441"/>
        <v>0.14399999999999991</v>
      </c>
      <c r="R4556" s="216">
        <f t="shared" si="442"/>
        <v>0.14399999999999979</v>
      </c>
      <c r="S4556" s="217" t="str">
        <f t="shared" si="443"/>
        <v/>
      </c>
    </row>
    <row r="4557" spans="1:19" ht="26.25" hidden="1" thickBot="1" x14ac:dyDescent="0.3">
      <c r="A4557" s="257"/>
      <c r="B4557" s="260"/>
      <c r="C4557" s="35" t="s">
        <v>1210</v>
      </c>
      <c r="D4557" s="35" t="s">
        <v>773</v>
      </c>
      <c r="E4557" s="36">
        <v>4.8999999999999998E-3</v>
      </c>
      <c r="F4557" s="53">
        <v>63.688000000000002</v>
      </c>
      <c r="G4557" s="53">
        <f t="shared" si="438"/>
        <v>0.31207119999999999</v>
      </c>
      <c r="H4557" s="72"/>
      <c r="I4557" s="73"/>
      <c r="J4557" s="152">
        <v>0</v>
      </c>
      <c r="L4557" s="215">
        <v>4.8999999999999998E-3</v>
      </c>
      <c r="M4557" s="53">
        <v>54.516928000000007</v>
      </c>
      <c r="N4557" s="53">
        <f t="shared" si="439"/>
        <v>0.26713294720000003</v>
      </c>
      <c r="O4557" s="72"/>
      <c r="P4557" s="36" t="str">
        <f t="shared" si="440"/>
        <v/>
      </c>
      <c r="Q4557" s="216">
        <f t="shared" si="441"/>
        <v>0.14399999999999991</v>
      </c>
      <c r="R4557" s="216">
        <f t="shared" si="442"/>
        <v>0.14399999999999991</v>
      </c>
      <c r="S4557" s="217" t="str">
        <f t="shared" si="443"/>
        <v/>
      </c>
    </row>
    <row r="4558" spans="1:19" ht="15.75" hidden="1" thickBot="1" x14ac:dyDescent="0.3">
      <c r="A4558" s="257"/>
      <c r="B4558" s="260"/>
      <c r="C4558" s="35" t="s">
        <v>1211</v>
      </c>
      <c r="D4558" s="35" t="s">
        <v>773</v>
      </c>
      <c r="E4558" s="36">
        <v>0.18</v>
      </c>
      <c r="F4558" s="53">
        <v>184.92699999999999</v>
      </c>
      <c r="G4558" s="53">
        <f t="shared" si="438"/>
        <v>33.286859999999997</v>
      </c>
      <c r="H4558" s="72"/>
      <c r="I4558" s="73"/>
      <c r="J4558" s="152">
        <v>0</v>
      </c>
      <c r="L4558" s="215">
        <v>0.18</v>
      </c>
      <c r="M4558" s="53">
        <v>158.29751199999998</v>
      </c>
      <c r="N4558" s="53">
        <f t="shared" si="439"/>
        <v>28.493552159999997</v>
      </c>
      <c r="O4558" s="72"/>
      <c r="P4558" s="36" t="str">
        <f t="shared" si="440"/>
        <v/>
      </c>
      <c r="Q4558" s="216">
        <f t="shared" si="441"/>
        <v>0.14400000000000002</v>
      </c>
      <c r="R4558" s="216">
        <f t="shared" si="442"/>
        <v>0.14400000000000002</v>
      </c>
      <c r="S4558" s="217" t="str">
        <f t="shared" si="443"/>
        <v/>
      </c>
    </row>
    <row r="4559" spans="1:19" ht="26.25" hidden="1" thickBot="1" x14ac:dyDescent="0.3">
      <c r="A4559" s="257"/>
      <c r="B4559" s="260"/>
      <c r="C4559" s="35" t="s">
        <v>1212</v>
      </c>
      <c r="D4559" s="35" t="s">
        <v>385</v>
      </c>
      <c r="E4559" s="36">
        <v>1.05</v>
      </c>
      <c r="F4559" s="53">
        <v>110.58</v>
      </c>
      <c r="G4559" s="53">
        <f t="shared" si="438"/>
        <v>116.10900000000001</v>
      </c>
      <c r="H4559" s="72"/>
      <c r="I4559" s="73"/>
      <c r="J4559" s="152">
        <v>0</v>
      </c>
      <c r="L4559" s="215">
        <v>1.05</v>
      </c>
      <c r="M4559" s="53">
        <v>94.656480000000002</v>
      </c>
      <c r="N4559" s="53">
        <f t="shared" si="439"/>
        <v>99.38930400000001</v>
      </c>
      <c r="O4559" s="72"/>
      <c r="P4559" s="36" t="str">
        <f t="shared" si="440"/>
        <v/>
      </c>
      <c r="Q4559" s="216">
        <f t="shared" si="441"/>
        <v>0.14400000000000002</v>
      </c>
      <c r="R4559" s="216">
        <f t="shared" si="442"/>
        <v>0.14400000000000002</v>
      </c>
      <c r="S4559" s="217" t="str">
        <f t="shared" si="443"/>
        <v/>
      </c>
    </row>
    <row r="4560" spans="1:19" ht="15.75" hidden="1" thickBot="1" x14ac:dyDescent="0.3">
      <c r="A4560" s="257"/>
      <c r="B4560" s="260"/>
      <c r="C4560" s="35" t="s">
        <v>584</v>
      </c>
      <c r="D4560" s="35" t="s">
        <v>583</v>
      </c>
      <c r="E4560" s="36">
        <v>0.63300000000000001</v>
      </c>
      <c r="F4560" s="53">
        <v>20.225499999999997</v>
      </c>
      <c r="G4560" s="53">
        <f t="shared" si="438"/>
        <v>12.802741499999998</v>
      </c>
      <c r="H4560" s="72"/>
      <c r="I4560" s="73"/>
      <c r="J4560" s="152">
        <v>0</v>
      </c>
      <c r="L4560" s="215">
        <v>0.63300000000000001</v>
      </c>
      <c r="M4560" s="53">
        <v>17.313027999999996</v>
      </c>
      <c r="N4560" s="53">
        <f t="shared" si="439"/>
        <v>10.959146723999998</v>
      </c>
      <c r="O4560" s="72"/>
      <c r="P4560" s="36" t="str">
        <f t="shared" si="440"/>
        <v/>
      </c>
      <c r="Q4560" s="216">
        <f t="shared" si="441"/>
        <v>0.14400000000000013</v>
      </c>
      <c r="R4560" s="216">
        <f t="shared" si="442"/>
        <v>0.14400000000000002</v>
      </c>
      <c r="S4560" s="217" t="str">
        <f t="shared" si="443"/>
        <v/>
      </c>
    </row>
    <row r="4561" spans="1:19" ht="15.75" hidden="1" thickBot="1" x14ac:dyDescent="0.3">
      <c r="A4561" s="257"/>
      <c r="B4561" s="260"/>
      <c r="C4561" s="35" t="s">
        <v>1156</v>
      </c>
      <c r="D4561" s="35" t="s">
        <v>583</v>
      </c>
      <c r="E4561" s="36">
        <v>0.53900000000000003</v>
      </c>
      <c r="F4561" s="53">
        <v>26.552499999999998</v>
      </c>
      <c r="G4561" s="53">
        <f t="shared" si="438"/>
        <v>14.311797500000001</v>
      </c>
      <c r="H4561" s="72"/>
      <c r="I4561" s="73"/>
      <c r="J4561" s="152">
        <v>0</v>
      </c>
      <c r="L4561" s="215">
        <v>0.53900000000000003</v>
      </c>
      <c r="M4561" s="53">
        <v>22.728939999999998</v>
      </c>
      <c r="N4561" s="53">
        <f t="shared" si="439"/>
        <v>12.250898659999999</v>
      </c>
      <c r="O4561" s="72"/>
      <c r="P4561" s="36" t="str">
        <f t="shared" si="440"/>
        <v/>
      </c>
      <c r="Q4561" s="216">
        <f t="shared" si="441"/>
        <v>0.14400000000000002</v>
      </c>
      <c r="R4561" s="216">
        <f t="shared" si="442"/>
        <v>0.14400000000000013</v>
      </c>
      <c r="S4561" s="217" t="str">
        <f t="shared" si="443"/>
        <v/>
      </c>
    </row>
    <row r="4562" spans="1:19" ht="26.25" hidden="1" thickBot="1" x14ac:dyDescent="0.3">
      <c r="A4562" s="257"/>
      <c r="B4562" s="260"/>
      <c r="C4562" s="35" t="s">
        <v>1157</v>
      </c>
      <c r="D4562" s="35" t="s">
        <v>813</v>
      </c>
      <c r="E4562" s="36">
        <v>1.32E-2</v>
      </c>
      <c r="F4562" s="53">
        <v>22.315499999999997</v>
      </c>
      <c r="G4562" s="53">
        <f t="shared" si="438"/>
        <v>0.29456459999999995</v>
      </c>
      <c r="H4562" s="72"/>
      <c r="I4562" s="73"/>
      <c r="J4562" s="152">
        <v>0</v>
      </c>
      <c r="L4562" s="215">
        <v>1.32E-2</v>
      </c>
      <c r="M4562" s="53">
        <v>19.102067999999996</v>
      </c>
      <c r="N4562" s="53">
        <f t="shared" si="439"/>
        <v>0.25214729759999993</v>
      </c>
      <c r="O4562" s="72"/>
      <c r="P4562" s="36" t="str">
        <f t="shared" si="440"/>
        <v/>
      </c>
      <c r="Q4562" s="216">
        <f t="shared" si="441"/>
        <v>0.14400000000000002</v>
      </c>
      <c r="R4562" s="216">
        <f t="shared" si="442"/>
        <v>0.14400000000000013</v>
      </c>
      <c r="S4562" s="217" t="str">
        <f t="shared" si="443"/>
        <v/>
      </c>
    </row>
    <row r="4563" spans="1:19" ht="26.25" hidden="1" thickBot="1" x14ac:dyDescent="0.3">
      <c r="A4563" s="257"/>
      <c r="B4563" s="260"/>
      <c r="C4563" s="35" t="s">
        <v>1158</v>
      </c>
      <c r="D4563" s="35" t="s">
        <v>815</v>
      </c>
      <c r="E4563" s="36">
        <v>1.83E-2</v>
      </c>
      <c r="F4563" s="53">
        <v>21.555499999999999</v>
      </c>
      <c r="G4563" s="53">
        <f t="shared" si="438"/>
        <v>0.39446565</v>
      </c>
      <c r="H4563" s="72"/>
      <c r="I4563" s="73"/>
      <c r="J4563" s="152">
        <v>0</v>
      </c>
      <c r="L4563" s="215">
        <v>1.83E-2</v>
      </c>
      <c r="M4563" s="53">
        <v>18.451508</v>
      </c>
      <c r="N4563" s="53">
        <f t="shared" si="439"/>
        <v>0.33766259640000001</v>
      </c>
      <c r="O4563" s="72"/>
      <c r="P4563" s="36" t="str">
        <f t="shared" si="440"/>
        <v/>
      </c>
      <c r="Q4563" s="216">
        <f t="shared" si="441"/>
        <v>0.14399999999999991</v>
      </c>
      <c r="R4563" s="216">
        <f t="shared" si="442"/>
        <v>0.14400000000000002</v>
      </c>
      <c r="S4563" s="217" t="str">
        <f t="shared" si="443"/>
        <v/>
      </c>
    </row>
    <row r="4564" spans="1:19" ht="15.75" hidden="1" thickBot="1" x14ac:dyDescent="0.3">
      <c r="A4564" s="258"/>
      <c r="B4564" s="261"/>
      <c r="C4564" s="54"/>
      <c r="D4564" s="54"/>
      <c r="E4564" s="65"/>
      <c r="F4564" s="75" t="s">
        <v>416</v>
      </c>
      <c r="G4564" s="75" t="str">
        <f t="shared" si="438"/>
        <v/>
      </c>
      <c r="H4564" s="76"/>
      <c r="I4564" s="73"/>
      <c r="J4564" s="152">
        <v>0</v>
      </c>
      <c r="L4564" s="222"/>
      <c r="M4564" s="75"/>
      <c r="N4564" s="75" t="str">
        <f t="shared" si="439"/>
        <v/>
      </c>
      <c r="O4564" s="76"/>
      <c r="P4564" s="36" t="str">
        <f t="shared" si="440"/>
        <v/>
      </c>
      <c r="Q4564" s="216" t="str">
        <f t="shared" si="441"/>
        <v/>
      </c>
      <c r="R4564" s="216" t="str">
        <f t="shared" si="442"/>
        <v/>
      </c>
      <c r="S4564" s="217" t="str">
        <f t="shared" si="443"/>
        <v/>
      </c>
    </row>
    <row r="4565" spans="1:19" ht="15.75" hidden="1" thickBot="1" x14ac:dyDescent="0.3">
      <c r="A4565" s="256" t="s">
        <v>1213</v>
      </c>
      <c r="B4565" s="259" t="str">
        <f>INDEX(Orçamentária!A:B,MATCH(Composições!A4565,Orçamentária!A:A,0),2)</f>
        <v>Rufo em Chapa de Aço Galvanizado nº 24</v>
      </c>
      <c r="C4565" s="40"/>
      <c r="D4565" s="25" t="s">
        <v>70</v>
      </c>
      <c r="E4565" s="26"/>
      <c r="F4565" s="48" t="s">
        <v>416</v>
      </c>
      <c r="G4565" s="27" t="str">
        <f t="shared" ref="G4565:G4628" si="444">IF(ISNUMBER(F4565),E4565*F4565,"")</f>
        <v/>
      </c>
      <c r="H4565" s="28"/>
      <c r="I4565" s="29"/>
      <c r="J4565" s="152">
        <v>0</v>
      </c>
      <c r="L4565" s="218"/>
      <c r="M4565" s="48"/>
      <c r="N4565" s="27" t="str">
        <f t="shared" ref="N4565:N4628" si="445">IF(ISNUMBER(M4565),L4565*M4565,"")</f>
        <v/>
      </c>
      <c r="O4565" s="28"/>
      <c r="P4565" s="36" t="str">
        <f t="shared" si="440"/>
        <v/>
      </c>
      <c r="Q4565" s="216" t="str">
        <f t="shared" si="441"/>
        <v/>
      </c>
      <c r="R4565" s="216" t="str">
        <f t="shared" si="442"/>
        <v/>
      </c>
      <c r="S4565" s="217" t="str">
        <f t="shared" si="443"/>
        <v/>
      </c>
    </row>
    <row r="4566" spans="1:19" ht="15.75" hidden="1" thickBot="1" x14ac:dyDescent="0.3">
      <c r="A4566" s="257"/>
      <c r="B4566" s="260"/>
      <c r="C4566" s="31"/>
      <c r="D4566" s="31"/>
      <c r="E4566" s="32"/>
      <c r="F4566" s="53" t="s">
        <v>416</v>
      </c>
      <c r="G4566" s="53" t="str">
        <f t="shared" si="444"/>
        <v/>
      </c>
      <c r="H4566" s="72"/>
      <c r="I4566" s="73"/>
      <c r="J4566" s="152">
        <v>0</v>
      </c>
      <c r="L4566" s="219"/>
      <c r="M4566" s="53"/>
      <c r="N4566" s="53" t="str">
        <f t="shared" si="445"/>
        <v/>
      </c>
      <c r="O4566" s="72"/>
      <c r="P4566" s="36" t="str">
        <f t="shared" si="440"/>
        <v/>
      </c>
      <c r="Q4566" s="216" t="str">
        <f t="shared" si="441"/>
        <v/>
      </c>
      <c r="R4566" s="216" t="str">
        <f t="shared" si="442"/>
        <v/>
      </c>
      <c r="S4566" s="217" t="str">
        <f t="shared" si="443"/>
        <v/>
      </c>
    </row>
    <row r="4567" spans="1:19" ht="26.25" hidden="1" thickBot="1" x14ac:dyDescent="0.3">
      <c r="A4567" s="257"/>
      <c r="B4567" s="260"/>
      <c r="C4567" s="35" t="s">
        <v>928</v>
      </c>
      <c r="D4567" s="35" t="s">
        <v>8526</v>
      </c>
      <c r="E4567" s="36">
        <f>0.198*4</f>
        <v>0.79200000000000004</v>
      </c>
      <c r="F4567" s="53">
        <v>39.548499999999997</v>
      </c>
      <c r="G4567" s="53">
        <f t="shared" si="444"/>
        <v>31.322412</v>
      </c>
      <c r="H4567" s="38">
        <f>SUM(G4567:G4575)</f>
        <v>212.87353189999999</v>
      </c>
      <c r="I4567" s="39"/>
      <c r="J4567" s="152">
        <v>0</v>
      </c>
      <c r="L4567" s="215">
        <v>0.79200000000000004</v>
      </c>
      <c r="M4567" s="53">
        <v>33.853515999999999</v>
      </c>
      <c r="N4567" s="53">
        <f t="shared" si="445"/>
        <v>26.811984672000001</v>
      </c>
      <c r="O4567" s="38">
        <f>SUM(N4567:N4575)</f>
        <v>182.21974330640001</v>
      </c>
      <c r="P4567" s="36" t="str">
        <f t="shared" si="440"/>
        <v/>
      </c>
      <c r="Q4567" s="216">
        <f t="shared" si="441"/>
        <v>0.14399999999999991</v>
      </c>
      <c r="R4567" s="216">
        <f t="shared" si="442"/>
        <v>0.14399999999999991</v>
      </c>
      <c r="S4567" s="217">
        <f t="shared" si="443"/>
        <v>0.14399999999999991</v>
      </c>
    </row>
    <row r="4568" spans="1:19" ht="15.75" hidden="1" thickBot="1" x14ac:dyDescent="0.3">
      <c r="A4568" s="257"/>
      <c r="B4568" s="260"/>
      <c r="C4568" s="35" t="s">
        <v>8339</v>
      </c>
      <c r="D4568" s="35" t="s">
        <v>773</v>
      </c>
      <c r="E4568" s="36">
        <f>0.006*4</f>
        <v>2.4E-2</v>
      </c>
      <c r="F4568" s="53">
        <v>21.232500000000002</v>
      </c>
      <c r="G4568" s="53">
        <f t="shared" si="444"/>
        <v>0.50958000000000003</v>
      </c>
      <c r="H4568" s="72"/>
      <c r="I4568" s="73"/>
      <c r="J4568" s="152">
        <v>0</v>
      </c>
      <c r="L4568" s="215">
        <v>2.4E-2</v>
      </c>
      <c r="M4568" s="53">
        <v>18.175020000000004</v>
      </c>
      <c r="N4568" s="53">
        <f t="shared" si="445"/>
        <v>0.43620048000000011</v>
      </c>
      <c r="O4568" s="72"/>
      <c r="P4568" s="36" t="str">
        <f t="shared" si="440"/>
        <v/>
      </c>
      <c r="Q4568" s="216">
        <f t="shared" si="441"/>
        <v>0.14399999999999991</v>
      </c>
      <c r="R4568" s="216">
        <f t="shared" si="442"/>
        <v>0.14399999999999979</v>
      </c>
      <c r="S4568" s="217" t="str">
        <f t="shared" si="443"/>
        <v/>
      </c>
    </row>
    <row r="4569" spans="1:19" ht="26.25" hidden="1" thickBot="1" x14ac:dyDescent="0.3">
      <c r="A4569" s="257"/>
      <c r="B4569" s="260"/>
      <c r="C4569" s="35" t="s">
        <v>1210</v>
      </c>
      <c r="D4569" s="35" t="s">
        <v>773</v>
      </c>
      <c r="E4569" s="36">
        <f>0.0012*4</f>
        <v>4.7999999999999996E-3</v>
      </c>
      <c r="F4569" s="53">
        <v>63.688000000000002</v>
      </c>
      <c r="G4569" s="53">
        <f t="shared" si="444"/>
        <v>0.30570239999999999</v>
      </c>
      <c r="H4569" s="72"/>
      <c r="I4569" s="73"/>
      <c r="J4569" s="152">
        <v>0</v>
      </c>
      <c r="L4569" s="215">
        <v>4.7999999999999996E-3</v>
      </c>
      <c r="M4569" s="53">
        <v>54.516928000000007</v>
      </c>
      <c r="N4569" s="53">
        <f t="shared" si="445"/>
        <v>0.26168125440000001</v>
      </c>
      <c r="O4569" s="72"/>
      <c r="P4569" s="36" t="str">
        <f t="shared" si="440"/>
        <v/>
      </c>
      <c r="Q4569" s="216">
        <f t="shared" si="441"/>
        <v>0.14399999999999991</v>
      </c>
      <c r="R4569" s="216">
        <f t="shared" si="442"/>
        <v>0.14399999999999991</v>
      </c>
      <c r="S4569" s="217" t="str">
        <f t="shared" si="443"/>
        <v/>
      </c>
    </row>
    <row r="4570" spans="1:19" ht="15.75" hidden="1" thickBot="1" x14ac:dyDescent="0.3">
      <c r="A4570" s="257"/>
      <c r="B4570" s="260"/>
      <c r="C4570" s="35" t="s">
        <v>1211</v>
      </c>
      <c r="D4570" s="35" t="s">
        <v>773</v>
      </c>
      <c r="E4570" s="36">
        <f>0.045*4</f>
        <v>0.18</v>
      </c>
      <c r="F4570" s="53">
        <v>184.92699999999999</v>
      </c>
      <c r="G4570" s="53">
        <f t="shared" si="444"/>
        <v>33.286859999999997</v>
      </c>
      <c r="H4570" s="72"/>
      <c r="I4570" s="73"/>
      <c r="J4570" s="152">
        <v>0</v>
      </c>
      <c r="L4570" s="215">
        <v>0.18</v>
      </c>
      <c r="M4570" s="53">
        <v>158.29751199999998</v>
      </c>
      <c r="N4570" s="53">
        <f t="shared" si="445"/>
        <v>28.493552159999997</v>
      </c>
      <c r="O4570" s="72"/>
      <c r="P4570" s="36" t="str">
        <f t="shared" si="440"/>
        <v/>
      </c>
      <c r="Q4570" s="216">
        <f t="shared" si="441"/>
        <v>0.14400000000000002</v>
      </c>
      <c r="R4570" s="216">
        <f t="shared" si="442"/>
        <v>0.14400000000000002</v>
      </c>
      <c r="S4570" s="217" t="str">
        <f t="shared" si="443"/>
        <v/>
      </c>
    </row>
    <row r="4571" spans="1:19" ht="26.25" hidden="1" thickBot="1" x14ac:dyDescent="0.3">
      <c r="A4571" s="257"/>
      <c r="B4571" s="260"/>
      <c r="C4571" s="35" t="s">
        <v>1214</v>
      </c>
      <c r="D4571" s="35" t="s">
        <v>385</v>
      </c>
      <c r="E4571" s="36">
        <f>4*1.05</f>
        <v>4.2</v>
      </c>
      <c r="F4571" s="53">
        <v>31.369</v>
      </c>
      <c r="G4571" s="53">
        <f t="shared" si="444"/>
        <v>131.74979999999999</v>
      </c>
      <c r="H4571" s="72"/>
      <c r="I4571" s="73"/>
      <c r="J4571" s="152">
        <v>0</v>
      </c>
      <c r="L4571" s="215">
        <v>4.2</v>
      </c>
      <c r="M4571" s="53">
        <v>26.851863999999999</v>
      </c>
      <c r="N4571" s="53">
        <f t="shared" si="445"/>
        <v>112.77782879999999</v>
      </c>
      <c r="O4571" s="72"/>
      <c r="P4571" s="36" t="str">
        <f t="shared" si="440"/>
        <v/>
      </c>
      <c r="Q4571" s="216">
        <f t="shared" si="441"/>
        <v>0.14400000000000002</v>
      </c>
      <c r="R4571" s="216">
        <f t="shared" si="442"/>
        <v>0.14400000000000002</v>
      </c>
      <c r="S4571" s="217" t="str">
        <f t="shared" si="443"/>
        <v/>
      </c>
    </row>
    <row r="4572" spans="1:19" ht="15.75" hidden="1" thickBot="1" x14ac:dyDescent="0.3">
      <c r="A4572" s="257"/>
      <c r="B4572" s="260"/>
      <c r="C4572" s="35" t="s">
        <v>584</v>
      </c>
      <c r="D4572" s="35" t="s">
        <v>583</v>
      </c>
      <c r="E4572" s="36">
        <f>0.207*2</f>
        <v>0.41399999999999998</v>
      </c>
      <c r="F4572" s="53">
        <v>20.225499999999997</v>
      </c>
      <c r="G4572" s="53">
        <f t="shared" si="444"/>
        <v>8.3733569999999986</v>
      </c>
      <c r="H4572" s="72"/>
      <c r="I4572" s="73"/>
      <c r="J4572" s="152">
        <v>0</v>
      </c>
      <c r="L4572" s="215">
        <v>0.41399999999999998</v>
      </c>
      <c r="M4572" s="53">
        <v>17.313027999999996</v>
      </c>
      <c r="N4572" s="53">
        <f t="shared" si="445"/>
        <v>7.1675935919999976</v>
      </c>
      <c r="O4572" s="72"/>
      <c r="P4572" s="36" t="str">
        <f t="shared" si="440"/>
        <v/>
      </c>
      <c r="Q4572" s="216">
        <f t="shared" si="441"/>
        <v>0.14400000000000013</v>
      </c>
      <c r="R4572" s="216">
        <f t="shared" si="442"/>
        <v>0.14400000000000013</v>
      </c>
      <c r="S4572" s="217" t="str">
        <f t="shared" si="443"/>
        <v/>
      </c>
    </row>
    <row r="4573" spans="1:19" ht="15.75" hidden="1" thickBot="1" x14ac:dyDescent="0.3">
      <c r="A4573" s="257"/>
      <c r="B4573" s="260"/>
      <c r="C4573" s="35" t="s">
        <v>1156</v>
      </c>
      <c r="D4573" s="35" t="s">
        <v>583</v>
      </c>
      <c r="E4573" s="36">
        <f>0.112*2</f>
        <v>0.224</v>
      </c>
      <c r="F4573" s="53">
        <v>26.552499999999998</v>
      </c>
      <c r="G4573" s="53">
        <f t="shared" si="444"/>
        <v>5.9477599999999997</v>
      </c>
      <c r="H4573" s="72"/>
      <c r="I4573" s="73"/>
      <c r="J4573" s="152">
        <v>0</v>
      </c>
      <c r="L4573" s="215">
        <v>0.224</v>
      </c>
      <c r="M4573" s="53">
        <v>22.728939999999998</v>
      </c>
      <c r="N4573" s="53">
        <f t="shared" si="445"/>
        <v>5.0912825599999998</v>
      </c>
      <c r="O4573" s="72"/>
      <c r="P4573" s="36" t="str">
        <f t="shared" si="440"/>
        <v/>
      </c>
      <c r="Q4573" s="216">
        <f t="shared" si="441"/>
        <v>0.14400000000000002</v>
      </c>
      <c r="R4573" s="216">
        <f t="shared" si="442"/>
        <v>0.14400000000000002</v>
      </c>
      <c r="S4573" s="217" t="str">
        <f t="shared" si="443"/>
        <v/>
      </c>
    </row>
    <row r="4574" spans="1:19" ht="26.25" hidden="1" thickBot="1" x14ac:dyDescent="0.3">
      <c r="A4574" s="257"/>
      <c r="B4574" s="260"/>
      <c r="C4574" s="35" t="s">
        <v>1157</v>
      </c>
      <c r="D4574" s="35" t="s">
        <v>813</v>
      </c>
      <c r="E4574" s="36">
        <f>0.0132*2</f>
        <v>2.64E-2</v>
      </c>
      <c r="F4574" s="53">
        <v>22.315499999999997</v>
      </c>
      <c r="G4574" s="53">
        <f t="shared" si="444"/>
        <v>0.58912919999999991</v>
      </c>
      <c r="H4574" s="72"/>
      <c r="I4574" s="73"/>
      <c r="J4574" s="152">
        <v>0</v>
      </c>
      <c r="L4574" s="215">
        <v>2.64E-2</v>
      </c>
      <c r="M4574" s="53">
        <v>19.102067999999996</v>
      </c>
      <c r="N4574" s="53">
        <f t="shared" si="445"/>
        <v>0.50429459519999986</v>
      </c>
      <c r="O4574" s="72"/>
      <c r="P4574" s="36" t="str">
        <f t="shared" si="440"/>
        <v/>
      </c>
      <c r="Q4574" s="216">
        <f t="shared" si="441"/>
        <v>0.14400000000000002</v>
      </c>
      <c r="R4574" s="216">
        <f t="shared" si="442"/>
        <v>0.14400000000000013</v>
      </c>
      <c r="S4574" s="217" t="str">
        <f t="shared" si="443"/>
        <v/>
      </c>
    </row>
    <row r="4575" spans="1:19" ht="26.25" hidden="1" thickBot="1" x14ac:dyDescent="0.3">
      <c r="A4575" s="257"/>
      <c r="B4575" s="260"/>
      <c r="C4575" s="35" t="s">
        <v>1158</v>
      </c>
      <c r="D4575" s="35" t="s">
        <v>815</v>
      </c>
      <c r="E4575" s="36">
        <f>0.0183*2</f>
        <v>3.6600000000000001E-2</v>
      </c>
      <c r="F4575" s="53">
        <v>21.555499999999999</v>
      </c>
      <c r="G4575" s="53">
        <f t="shared" si="444"/>
        <v>0.7889313</v>
      </c>
      <c r="H4575" s="72"/>
      <c r="I4575" s="73"/>
      <c r="J4575" s="152">
        <v>0</v>
      </c>
      <c r="L4575" s="215">
        <v>3.6600000000000001E-2</v>
      </c>
      <c r="M4575" s="53">
        <v>18.451508</v>
      </c>
      <c r="N4575" s="53">
        <f t="shared" si="445"/>
        <v>0.67532519280000003</v>
      </c>
      <c r="O4575" s="72"/>
      <c r="P4575" s="36" t="str">
        <f t="shared" si="440"/>
        <v/>
      </c>
      <c r="Q4575" s="216">
        <f t="shared" si="441"/>
        <v>0.14399999999999991</v>
      </c>
      <c r="R4575" s="216">
        <f t="shared" si="442"/>
        <v>0.14400000000000002</v>
      </c>
      <c r="S4575" s="217" t="str">
        <f t="shared" si="443"/>
        <v/>
      </c>
    </row>
    <row r="4576" spans="1:19" ht="15.75" hidden="1" thickBot="1" x14ac:dyDescent="0.3">
      <c r="A4576" s="258"/>
      <c r="B4576" s="261"/>
      <c r="C4576" s="54"/>
      <c r="D4576" s="54"/>
      <c r="E4576" s="65"/>
      <c r="F4576" s="75" t="s">
        <v>416</v>
      </c>
      <c r="G4576" s="75" t="str">
        <f t="shared" si="444"/>
        <v/>
      </c>
      <c r="H4576" s="76"/>
      <c r="I4576" s="73"/>
      <c r="J4576" s="152">
        <v>0</v>
      </c>
      <c r="L4576" s="222"/>
      <c r="M4576" s="75"/>
      <c r="N4576" s="75" t="str">
        <f t="shared" si="445"/>
        <v/>
      </c>
      <c r="O4576" s="76"/>
      <c r="P4576" s="36" t="str">
        <f t="shared" si="440"/>
        <v/>
      </c>
      <c r="Q4576" s="216" t="str">
        <f t="shared" si="441"/>
        <v/>
      </c>
      <c r="R4576" s="216" t="str">
        <f t="shared" si="442"/>
        <v/>
      </c>
      <c r="S4576" s="217" t="str">
        <f t="shared" si="443"/>
        <v/>
      </c>
    </row>
    <row r="4577" spans="1:19" ht="15.75" hidden="1" thickBot="1" x14ac:dyDescent="0.3">
      <c r="A4577" s="256" t="s">
        <v>1215</v>
      </c>
      <c r="B4577" s="259" t="str">
        <f>INDEX(Orçamentária!A:B,MATCH(Composições!A4577,Orçamentária!A:A,0),2)</f>
        <v>Chapim Pré-Moldado de Concreto Aparente</v>
      </c>
      <c r="C4577" s="40"/>
      <c r="D4577" s="25" t="s">
        <v>69</v>
      </c>
      <c r="E4577" s="26"/>
      <c r="F4577" s="48" t="s">
        <v>416</v>
      </c>
      <c r="G4577" s="27" t="str">
        <f t="shared" si="444"/>
        <v/>
      </c>
      <c r="H4577" s="28"/>
      <c r="I4577" s="29"/>
      <c r="J4577" s="152">
        <v>0</v>
      </c>
      <c r="L4577" s="218"/>
      <c r="M4577" s="48"/>
      <c r="N4577" s="27" t="str">
        <f t="shared" si="445"/>
        <v/>
      </c>
      <c r="O4577" s="28"/>
      <c r="P4577" s="36" t="str">
        <f t="shared" si="440"/>
        <v/>
      </c>
      <c r="Q4577" s="216" t="str">
        <f t="shared" si="441"/>
        <v/>
      </c>
      <c r="R4577" s="216" t="str">
        <f t="shared" si="442"/>
        <v/>
      </c>
      <c r="S4577" s="217" t="str">
        <f t="shared" si="443"/>
        <v/>
      </c>
    </row>
    <row r="4578" spans="1:19" ht="15.75" hidden="1" thickBot="1" x14ac:dyDescent="0.3">
      <c r="A4578" s="257"/>
      <c r="B4578" s="260"/>
      <c r="C4578" s="31"/>
      <c r="D4578" s="31"/>
      <c r="E4578" s="32"/>
      <c r="F4578" s="53" t="s">
        <v>416</v>
      </c>
      <c r="G4578" s="53" t="str">
        <f t="shared" si="444"/>
        <v/>
      </c>
      <c r="H4578" s="72"/>
      <c r="I4578" s="73"/>
      <c r="J4578" s="152">
        <v>0</v>
      </c>
      <c r="L4578" s="219"/>
      <c r="M4578" s="53"/>
      <c r="N4578" s="53" t="str">
        <f t="shared" si="445"/>
        <v/>
      </c>
      <c r="O4578" s="72"/>
      <c r="P4578" s="36" t="str">
        <f t="shared" si="440"/>
        <v/>
      </c>
      <c r="Q4578" s="216" t="str">
        <f t="shared" si="441"/>
        <v/>
      </c>
      <c r="R4578" s="216" t="str">
        <f t="shared" si="442"/>
        <v/>
      </c>
      <c r="S4578" s="217" t="str">
        <f t="shared" si="443"/>
        <v/>
      </c>
    </row>
    <row r="4579" spans="1:19" ht="26.25" hidden="1" thickBot="1" x14ac:dyDescent="0.3">
      <c r="A4579" s="257"/>
      <c r="B4579" s="260"/>
      <c r="C4579" s="35" t="s">
        <v>3060</v>
      </c>
      <c r="D4579" s="35" t="s">
        <v>773</v>
      </c>
      <c r="E4579" s="36">
        <v>0.02</v>
      </c>
      <c r="F4579" s="53">
        <v>21.042499999999997</v>
      </c>
      <c r="G4579" s="53">
        <f t="shared" si="444"/>
        <v>0.42084999999999995</v>
      </c>
      <c r="H4579" s="38">
        <f>SUM(G4579:G4592)</f>
        <v>129.71749551400001</v>
      </c>
      <c r="I4579" s="39"/>
      <c r="J4579" s="152">
        <v>0</v>
      </c>
      <c r="L4579" s="215">
        <v>0.02</v>
      </c>
      <c r="M4579" s="53">
        <v>18.012379999999997</v>
      </c>
      <c r="N4579" s="53">
        <f t="shared" si="445"/>
        <v>0.36024759999999995</v>
      </c>
      <c r="O4579" s="38">
        <f>SUM(N4579:N4592)</f>
        <v>111.038176159984</v>
      </c>
      <c r="P4579" s="36" t="str">
        <f t="shared" si="440"/>
        <v/>
      </c>
      <c r="Q4579" s="216">
        <f t="shared" si="441"/>
        <v>0.14400000000000002</v>
      </c>
      <c r="R4579" s="216">
        <f t="shared" si="442"/>
        <v>0.14400000000000002</v>
      </c>
      <c r="S4579" s="217">
        <f t="shared" si="443"/>
        <v>0.14400000000000002</v>
      </c>
    </row>
    <row r="4580" spans="1:19" ht="26.25" hidden="1" thickBot="1" x14ac:dyDescent="0.3">
      <c r="A4580" s="257"/>
      <c r="B4580" s="260"/>
      <c r="C4580" s="35" t="s">
        <v>1140</v>
      </c>
      <c r="D4580" s="35" t="s">
        <v>87</v>
      </c>
      <c r="E4580" s="36">
        <v>0.04</v>
      </c>
      <c r="F4580" s="53">
        <v>204.97199999999998</v>
      </c>
      <c r="G4580" s="53">
        <f t="shared" si="444"/>
        <v>8.1988799999999991</v>
      </c>
      <c r="H4580" s="72"/>
      <c r="I4580" s="73"/>
      <c r="J4580" s="152">
        <v>0</v>
      </c>
      <c r="L4580" s="215">
        <v>0.04</v>
      </c>
      <c r="M4580" s="53">
        <v>175.45603199999999</v>
      </c>
      <c r="N4580" s="53">
        <f t="shared" si="445"/>
        <v>7.0182412799999998</v>
      </c>
      <c r="O4580" s="72"/>
      <c r="P4580" s="36" t="str">
        <f t="shared" si="440"/>
        <v/>
      </c>
      <c r="Q4580" s="216">
        <f t="shared" si="441"/>
        <v>0.14399999999999991</v>
      </c>
      <c r="R4580" s="216">
        <f t="shared" si="442"/>
        <v>0.14399999999999991</v>
      </c>
      <c r="S4580" s="217" t="str">
        <f t="shared" si="443"/>
        <v/>
      </c>
    </row>
    <row r="4581" spans="1:19" ht="15.75" hidden="1" thickBot="1" x14ac:dyDescent="0.3">
      <c r="A4581" s="257"/>
      <c r="B4581" s="260"/>
      <c r="C4581" s="35" t="s">
        <v>776</v>
      </c>
      <c r="D4581" s="35" t="s">
        <v>583</v>
      </c>
      <c r="E4581" s="36">
        <v>0.8</v>
      </c>
      <c r="F4581" s="53">
        <v>26.970499999999998</v>
      </c>
      <c r="G4581" s="53">
        <f t="shared" si="444"/>
        <v>21.5764</v>
      </c>
      <c r="H4581" s="72"/>
      <c r="I4581" s="73"/>
      <c r="J4581" s="152">
        <v>0</v>
      </c>
      <c r="L4581" s="215">
        <v>0.8</v>
      </c>
      <c r="M4581" s="53">
        <v>23.086748</v>
      </c>
      <c r="N4581" s="53">
        <f t="shared" si="445"/>
        <v>18.469398399999999</v>
      </c>
      <c r="O4581" s="72"/>
      <c r="P4581" s="36" t="str">
        <f t="shared" si="440"/>
        <v/>
      </c>
      <c r="Q4581" s="216">
        <f t="shared" si="441"/>
        <v>0.14399999999999991</v>
      </c>
      <c r="R4581" s="216">
        <f t="shared" si="442"/>
        <v>0.14400000000000002</v>
      </c>
      <c r="S4581" s="217" t="str">
        <f t="shared" si="443"/>
        <v/>
      </c>
    </row>
    <row r="4582" spans="1:19" ht="26.25" hidden="1" thickBot="1" x14ac:dyDescent="0.3">
      <c r="A4582" s="257"/>
      <c r="B4582" s="260"/>
      <c r="C4582" s="35" t="s">
        <v>1216</v>
      </c>
      <c r="D4582" s="35" t="s">
        <v>773</v>
      </c>
      <c r="E4582" s="36">
        <v>1.35</v>
      </c>
      <c r="F4582" s="53">
        <v>9.386000000000001</v>
      </c>
      <c r="G4582" s="53">
        <f t="shared" si="444"/>
        <v>12.671100000000003</v>
      </c>
      <c r="H4582" s="72"/>
      <c r="I4582" s="73"/>
      <c r="J4582" s="152">
        <v>0</v>
      </c>
      <c r="L4582" s="215">
        <v>1.35</v>
      </c>
      <c r="M4582" s="53">
        <v>8.0344160000000002</v>
      </c>
      <c r="N4582" s="53">
        <f t="shared" si="445"/>
        <v>10.846461600000001</v>
      </c>
      <c r="O4582" s="72"/>
      <c r="P4582" s="36" t="str">
        <f t="shared" si="440"/>
        <v/>
      </c>
      <c r="Q4582" s="216">
        <f t="shared" si="441"/>
        <v>0.14400000000000002</v>
      </c>
      <c r="R4582" s="216">
        <f t="shared" si="442"/>
        <v>0.14400000000000013</v>
      </c>
      <c r="S4582" s="217" t="str">
        <f t="shared" si="443"/>
        <v/>
      </c>
    </row>
    <row r="4583" spans="1:19" ht="15.75" hidden="1" thickBot="1" x14ac:dyDescent="0.3">
      <c r="A4583" s="257"/>
      <c r="B4583" s="260"/>
      <c r="C4583" s="35" t="s">
        <v>862</v>
      </c>
      <c r="D4583" s="35" t="s">
        <v>583</v>
      </c>
      <c r="E4583" s="36">
        <v>0.7</v>
      </c>
      <c r="F4583" s="53">
        <v>26.799499999999998</v>
      </c>
      <c r="G4583" s="53">
        <f t="shared" si="444"/>
        <v>18.759649999999997</v>
      </c>
      <c r="H4583" s="72"/>
      <c r="I4583" s="73"/>
      <c r="J4583" s="152">
        <v>0</v>
      </c>
      <c r="L4583" s="215">
        <v>0.7</v>
      </c>
      <c r="M4583" s="53">
        <v>22.940372</v>
      </c>
      <c r="N4583" s="53">
        <f t="shared" si="445"/>
        <v>16.058260399999998</v>
      </c>
      <c r="O4583" s="72"/>
      <c r="P4583" s="36" t="str">
        <f t="shared" si="440"/>
        <v/>
      </c>
      <c r="Q4583" s="216">
        <f t="shared" si="441"/>
        <v>0.14399999999999991</v>
      </c>
      <c r="R4583" s="216">
        <f t="shared" si="442"/>
        <v>0.14399999999999991</v>
      </c>
      <c r="S4583" s="217" t="str">
        <f t="shared" si="443"/>
        <v/>
      </c>
    </row>
    <row r="4584" spans="1:19" ht="15.75" hidden="1" thickBot="1" x14ac:dyDescent="0.3">
      <c r="A4584" s="257"/>
      <c r="B4584" s="260"/>
      <c r="C4584" s="35" t="s">
        <v>1217</v>
      </c>
      <c r="D4584" s="35" t="s">
        <v>70</v>
      </c>
      <c r="E4584" s="36">
        <v>1</v>
      </c>
      <c r="F4584" s="53">
        <v>0</v>
      </c>
      <c r="G4584" s="53">
        <f t="shared" si="444"/>
        <v>0</v>
      </c>
      <c r="H4584" s="72"/>
      <c r="I4584" s="73"/>
      <c r="J4584" s="152">
        <v>0</v>
      </c>
      <c r="L4584" s="215">
        <v>1</v>
      </c>
      <c r="M4584" s="53">
        <v>0</v>
      </c>
      <c r="N4584" s="53">
        <f t="shared" si="445"/>
        <v>0</v>
      </c>
      <c r="O4584" s="72"/>
      <c r="P4584" s="36" t="str">
        <f t="shared" si="440"/>
        <v/>
      </c>
      <c r="Q4584" s="216" t="e">
        <f t="shared" si="441"/>
        <v>#DIV/0!</v>
      </c>
      <c r="R4584" s="216" t="e">
        <f t="shared" si="442"/>
        <v>#DIV/0!</v>
      </c>
      <c r="S4584" s="217" t="str">
        <f t="shared" si="443"/>
        <v/>
      </c>
    </row>
    <row r="4585" spans="1:19" ht="39" hidden="1" thickBot="1" x14ac:dyDescent="0.3">
      <c r="A4585" s="257"/>
      <c r="B4585" s="260"/>
      <c r="C4585" s="35" t="s">
        <v>1218</v>
      </c>
      <c r="D4585" s="35" t="s">
        <v>813</v>
      </c>
      <c r="E4585" s="36">
        <v>0.02</v>
      </c>
      <c r="F4585" s="53">
        <v>5.1395</v>
      </c>
      <c r="G4585" s="53">
        <f t="shared" si="444"/>
        <v>0.10279000000000001</v>
      </c>
      <c r="H4585" s="72"/>
      <c r="I4585" s="73"/>
      <c r="J4585" s="152">
        <v>0</v>
      </c>
      <c r="L4585" s="215">
        <v>0.02</v>
      </c>
      <c r="M4585" s="53">
        <v>4.3994119999999999</v>
      </c>
      <c r="N4585" s="53">
        <f t="shared" si="445"/>
        <v>8.7988239999999995E-2</v>
      </c>
      <c r="O4585" s="72"/>
      <c r="P4585" s="36" t="str">
        <f t="shared" si="440"/>
        <v/>
      </c>
      <c r="Q4585" s="216">
        <f t="shared" si="441"/>
        <v>0.14400000000000002</v>
      </c>
      <c r="R4585" s="216">
        <f t="shared" si="442"/>
        <v>0.14400000000000013</v>
      </c>
      <c r="S4585" s="217" t="str">
        <f t="shared" si="443"/>
        <v/>
      </c>
    </row>
    <row r="4586" spans="1:19" ht="15.75" hidden="1" thickBot="1" x14ac:dyDescent="0.3">
      <c r="A4586" s="257"/>
      <c r="B4586" s="260"/>
      <c r="C4586" s="35" t="s">
        <v>8065</v>
      </c>
      <c r="D4586" s="35" t="s">
        <v>773</v>
      </c>
      <c r="E4586" s="36">
        <v>17.36</v>
      </c>
      <c r="F4586" s="53">
        <v>0.627</v>
      </c>
      <c r="G4586" s="53">
        <f t="shared" si="444"/>
        <v>10.88472</v>
      </c>
      <c r="H4586" s="72"/>
      <c r="I4586" s="73"/>
      <c r="J4586" s="152">
        <v>0</v>
      </c>
      <c r="L4586" s="215">
        <v>17.36</v>
      </c>
      <c r="M4586" s="53">
        <v>0.53671199999999997</v>
      </c>
      <c r="N4586" s="53">
        <f t="shared" si="445"/>
        <v>9.3173203199999985</v>
      </c>
      <c r="O4586" s="72"/>
      <c r="P4586" s="36" t="str">
        <f t="shared" si="440"/>
        <v/>
      </c>
      <c r="Q4586" s="216">
        <f t="shared" si="441"/>
        <v>0.14400000000000002</v>
      </c>
      <c r="R4586" s="216">
        <f t="shared" si="442"/>
        <v>0.14400000000000013</v>
      </c>
      <c r="S4586" s="217" t="str">
        <f t="shared" si="443"/>
        <v/>
      </c>
    </row>
    <row r="4587" spans="1:19" ht="26.25" hidden="1" thickBot="1" x14ac:dyDescent="0.3">
      <c r="A4587" s="257"/>
      <c r="B4587" s="260"/>
      <c r="C4587" s="35" t="s">
        <v>633</v>
      </c>
      <c r="D4587" s="35" t="s">
        <v>87</v>
      </c>
      <c r="E4587" s="36">
        <v>0.09</v>
      </c>
      <c r="F4587" s="53">
        <v>203.71799999999999</v>
      </c>
      <c r="G4587" s="53">
        <f t="shared" si="444"/>
        <v>18.334619999999997</v>
      </c>
      <c r="H4587" s="72"/>
      <c r="I4587" s="73"/>
      <c r="J4587" s="152">
        <v>0</v>
      </c>
      <c r="L4587" s="215">
        <v>0.09</v>
      </c>
      <c r="M4587" s="53">
        <v>174.382608</v>
      </c>
      <c r="N4587" s="53">
        <f t="shared" si="445"/>
        <v>15.69443472</v>
      </c>
      <c r="O4587" s="72"/>
      <c r="P4587" s="36" t="str">
        <f t="shared" si="440"/>
        <v/>
      </c>
      <c r="Q4587" s="216">
        <f t="shared" si="441"/>
        <v>0.14399999999999991</v>
      </c>
      <c r="R4587" s="216">
        <f t="shared" si="442"/>
        <v>0.14399999999999991</v>
      </c>
      <c r="S4587" s="217" t="str">
        <f t="shared" si="443"/>
        <v/>
      </c>
    </row>
    <row r="4588" spans="1:19" ht="15.75" hidden="1" thickBot="1" x14ac:dyDescent="0.3">
      <c r="A4588" s="257"/>
      <c r="B4588" s="260"/>
      <c r="C4588" s="35" t="s">
        <v>1219</v>
      </c>
      <c r="D4588" s="35" t="s">
        <v>773</v>
      </c>
      <c r="E4588" s="36">
        <v>0.02</v>
      </c>
      <c r="F4588" s="53">
        <v>21.602999999999998</v>
      </c>
      <c r="G4588" s="53">
        <f t="shared" si="444"/>
        <v>0.43205999999999994</v>
      </c>
      <c r="H4588" s="72"/>
      <c r="I4588" s="73"/>
      <c r="J4588" s="152">
        <v>0</v>
      </c>
      <c r="L4588" s="215">
        <v>0.02</v>
      </c>
      <c r="M4588" s="53">
        <v>18.492167999999999</v>
      </c>
      <c r="N4588" s="53">
        <f t="shared" si="445"/>
        <v>0.36984336000000001</v>
      </c>
      <c r="O4588" s="72"/>
      <c r="P4588" s="36" t="str">
        <f t="shared" si="440"/>
        <v/>
      </c>
      <c r="Q4588" s="216">
        <f t="shared" si="441"/>
        <v>0.14399999999999991</v>
      </c>
      <c r="R4588" s="216">
        <f t="shared" si="442"/>
        <v>0.14399999999999991</v>
      </c>
      <c r="S4588" s="217" t="str">
        <f t="shared" si="443"/>
        <v/>
      </c>
    </row>
    <row r="4589" spans="1:19" ht="15.75" hidden="1" thickBot="1" x14ac:dyDescent="0.3">
      <c r="A4589" s="257"/>
      <c r="B4589" s="260"/>
      <c r="C4589" s="35" t="s">
        <v>591</v>
      </c>
      <c r="D4589" s="35" t="s">
        <v>583</v>
      </c>
      <c r="E4589" s="36">
        <v>0.3</v>
      </c>
      <c r="F4589" s="53">
        <v>27.160499999999999</v>
      </c>
      <c r="G4589" s="53">
        <f t="shared" si="444"/>
        <v>8.1481499999999993</v>
      </c>
      <c r="H4589" s="72"/>
      <c r="I4589" s="73"/>
      <c r="J4589" s="152">
        <v>0</v>
      </c>
      <c r="L4589" s="215">
        <v>0.3</v>
      </c>
      <c r="M4589" s="53">
        <v>23.249388</v>
      </c>
      <c r="N4589" s="53">
        <f t="shared" si="445"/>
        <v>6.9748163999999999</v>
      </c>
      <c r="O4589" s="72"/>
      <c r="P4589" s="36" t="str">
        <f t="shared" si="440"/>
        <v/>
      </c>
      <c r="Q4589" s="216">
        <f t="shared" si="441"/>
        <v>0.14400000000000002</v>
      </c>
      <c r="R4589" s="216">
        <f t="shared" si="442"/>
        <v>0.14399999999999991</v>
      </c>
      <c r="S4589" s="217" t="str">
        <f t="shared" si="443"/>
        <v/>
      </c>
    </row>
    <row r="4590" spans="1:19" ht="15.75" hidden="1" thickBot="1" x14ac:dyDescent="0.3">
      <c r="A4590" s="257"/>
      <c r="B4590" s="260"/>
      <c r="C4590" s="35" t="s">
        <v>584</v>
      </c>
      <c r="D4590" s="35" t="s">
        <v>583</v>
      </c>
      <c r="E4590" s="36">
        <v>1.1000000000000001</v>
      </c>
      <c r="F4590" s="53">
        <v>20.225499999999997</v>
      </c>
      <c r="G4590" s="53">
        <f t="shared" si="444"/>
        <v>22.248049999999999</v>
      </c>
      <c r="H4590" s="72"/>
      <c r="I4590" s="73"/>
      <c r="J4590" s="152">
        <v>0</v>
      </c>
      <c r="L4590" s="215">
        <v>1.1000000000000001</v>
      </c>
      <c r="M4590" s="53">
        <v>17.313027999999996</v>
      </c>
      <c r="N4590" s="53">
        <f t="shared" si="445"/>
        <v>19.044330799999997</v>
      </c>
      <c r="O4590" s="72"/>
      <c r="P4590" s="36" t="str">
        <f t="shared" si="440"/>
        <v/>
      </c>
      <c r="Q4590" s="216">
        <f t="shared" si="441"/>
        <v>0.14400000000000013</v>
      </c>
      <c r="R4590" s="216">
        <f t="shared" si="442"/>
        <v>0.14400000000000013</v>
      </c>
      <c r="S4590" s="217" t="str">
        <f t="shared" si="443"/>
        <v/>
      </c>
    </row>
    <row r="4591" spans="1:19" ht="51.75" hidden="1" thickBot="1" x14ac:dyDescent="0.3">
      <c r="A4591" s="257"/>
      <c r="B4591" s="260"/>
      <c r="C4591" s="35" t="s">
        <v>3071</v>
      </c>
      <c r="D4591" s="35" t="s">
        <v>80</v>
      </c>
      <c r="E4591" s="36">
        <f>1*(E4580+E4587)</f>
        <v>0.13</v>
      </c>
      <c r="F4591" s="33">
        <v>7.9257587999999988</v>
      </c>
      <c r="G4591" s="33">
        <f t="shared" si="444"/>
        <v>1.0303486439999998</v>
      </c>
      <c r="H4591" s="34"/>
      <c r="I4591" s="30"/>
      <c r="J4591" s="152">
        <v>0</v>
      </c>
      <c r="L4591" s="215">
        <v>0.13</v>
      </c>
      <c r="M4591" s="33">
        <v>6.7844495327999992</v>
      </c>
      <c r="N4591" s="33">
        <f t="shared" si="445"/>
        <v>0.88197843926399988</v>
      </c>
      <c r="O4591" s="34"/>
      <c r="P4591" s="36" t="str">
        <f t="shared" si="440"/>
        <v/>
      </c>
      <c r="Q4591" s="216">
        <f t="shared" si="441"/>
        <v>0.14400000000000002</v>
      </c>
      <c r="R4591" s="216">
        <f t="shared" si="442"/>
        <v>0.14399999999999991</v>
      </c>
      <c r="S4591" s="217" t="str">
        <f t="shared" si="443"/>
        <v/>
      </c>
    </row>
    <row r="4592" spans="1:19" ht="39" hidden="1" thickBot="1" x14ac:dyDescent="0.3">
      <c r="A4592" s="257"/>
      <c r="B4592" s="260"/>
      <c r="C4592" s="35" t="s">
        <v>88</v>
      </c>
      <c r="D4592" s="35" t="s">
        <v>89</v>
      </c>
      <c r="E4592" s="36">
        <f>(E4580+E4587)*20</f>
        <v>2.6</v>
      </c>
      <c r="F4592" s="53">
        <v>2.6576449499999995</v>
      </c>
      <c r="G4592" s="53">
        <f t="shared" si="444"/>
        <v>6.9098768699999988</v>
      </c>
      <c r="H4592" s="72"/>
      <c r="I4592" s="73"/>
      <c r="J4592" s="152">
        <v>0</v>
      </c>
      <c r="L4592" s="215">
        <v>2.6</v>
      </c>
      <c r="M4592" s="53">
        <v>2.2749440771999998</v>
      </c>
      <c r="N4592" s="53">
        <f t="shared" si="445"/>
        <v>5.91485460072</v>
      </c>
      <c r="O4592" s="72"/>
      <c r="P4592" s="36" t="str">
        <f t="shared" si="440"/>
        <v/>
      </c>
      <c r="Q4592" s="216">
        <f t="shared" si="441"/>
        <v>0.14399999999999991</v>
      </c>
      <c r="R4592" s="216">
        <f t="shared" si="442"/>
        <v>0.14399999999999991</v>
      </c>
      <c r="S4592" s="217" t="str">
        <f t="shared" si="443"/>
        <v/>
      </c>
    </row>
    <row r="4593" spans="1:19" ht="15.75" hidden="1" thickBot="1" x14ac:dyDescent="0.3">
      <c r="A4593" s="257"/>
      <c r="B4593" s="260"/>
      <c r="C4593" s="35"/>
      <c r="D4593" s="35"/>
      <c r="E4593" s="36"/>
      <c r="F4593" s="53" t="s">
        <v>416</v>
      </c>
      <c r="G4593" s="53" t="str">
        <f t="shared" si="444"/>
        <v/>
      </c>
      <c r="H4593" s="72"/>
      <c r="I4593" s="73"/>
      <c r="J4593" s="152">
        <v>0</v>
      </c>
      <c r="L4593" s="215"/>
      <c r="M4593" s="53"/>
      <c r="N4593" s="53" t="str">
        <f t="shared" si="445"/>
        <v/>
      </c>
      <c r="O4593" s="72"/>
      <c r="P4593" s="36" t="str">
        <f t="shared" si="440"/>
        <v/>
      </c>
      <c r="Q4593" s="216" t="str">
        <f t="shared" si="441"/>
        <v/>
      </c>
      <c r="R4593" s="216" t="str">
        <f t="shared" si="442"/>
        <v/>
      </c>
      <c r="S4593" s="217" t="str">
        <f t="shared" si="443"/>
        <v/>
      </c>
    </row>
    <row r="4594" spans="1:19" ht="26.25" hidden="1" thickBot="1" x14ac:dyDescent="0.3">
      <c r="A4594" s="257"/>
      <c r="B4594" s="260"/>
      <c r="C4594" s="47" t="s">
        <v>1128</v>
      </c>
      <c r="D4594" s="35"/>
      <c r="E4594" s="36"/>
      <c r="F4594" s="53" t="s">
        <v>416</v>
      </c>
      <c r="G4594" s="53" t="str">
        <f t="shared" si="444"/>
        <v/>
      </c>
      <c r="H4594" s="72"/>
      <c r="I4594" s="73"/>
      <c r="J4594" s="152">
        <v>0</v>
      </c>
      <c r="L4594" s="215"/>
      <c r="M4594" s="53"/>
      <c r="N4594" s="53" t="str">
        <f t="shared" si="445"/>
        <v/>
      </c>
      <c r="O4594" s="72"/>
      <c r="P4594" s="36" t="str">
        <f t="shared" si="440"/>
        <v/>
      </c>
      <c r="Q4594" s="216" t="str">
        <f t="shared" si="441"/>
        <v/>
      </c>
      <c r="R4594" s="216" t="str">
        <f t="shared" si="442"/>
        <v/>
      </c>
      <c r="S4594" s="217" t="str">
        <f t="shared" si="443"/>
        <v/>
      </c>
    </row>
    <row r="4595" spans="1:19" ht="15.75" hidden="1" thickBot="1" x14ac:dyDescent="0.3">
      <c r="A4595" s="258"/>
      <c r="B4595" s="261"/>
      <c r="C4595" s="54"/>
      <c r="D4595" s="54"/>
      <c r="E4595" s="65"/>
      <c r="F4595" s="75" t="s">
        <v>416</v>
      </c>
      <c r="G4595" s="75" t="str">
        <f t="shared" si="444"/>
        <v/>
      </c>
      <c r="H4595" s="76"/>
      <c r="I4595" s="73"/>
      <c r="J4595" s="152">
        <v>0</v>
      </c>
      <c r="L4595" s="222"/>
      <c r="M4595" s="75"/>
      <c r="N4595" s="75" t="str">
        <f t="shared" si="445"/>
        <v/>
      </c>
      <c r="O4595" s="76"/>
      <c r="P4595" s="36" t="str">
        <f t="shared" si="440"/>
        <v/>
      </c>
      <c r="Q4595" s="216" t="str">
        <f t="shared" si="441"/>
        <v/>
      </c>
      <c r="R4595" s="216" t="str">
        <f t="shared" si="442"/>
        <v/>
      </c>
      <c r="S4595" s="217" t="str">
        <f t="shared" si="443"/>
        <v/>
      </c>
    </row>
    <row r="4596" spans="1:19" ht="15.75" hidden="1" thickBot="1" x14ac:dyDescent="0.3">
      <c r="A4596" s="256" t="s">
        <v>1220</v>
      </c>
      <c r="B4596" s="259" t="str">
        <f>INDEX(Orçamentária!A:B,MATCH(Composições!A4596,Orçamentária!A:A,0),2)</f>
        <v>Armação em tela de aço soldado nervurada</v>
      </c>
      <c r="C4596" s="40"/>
      <c r="D4596" s="25" t="s">
        <v>70</v>
      </c>
      <c r="E4596" s="26"/>
      <c r="F4596" s="48" t="s">
        <v>416</v>
      </c>
      <c r="G4596" s="27" t="str">
        <f t="shared" si="444"/>
        <v/>
      </c>
      <c r="H4596" s="28"/>
      <c r="I4596" s="29"/>
      <c r="J4596" s="152">
        <v>0</v>
      </c>
      <c r="L4596" s="218"/>
      <c r="M4596" s="48"/>
      <c r="N4596" s="27" t="str">
        <f t="shared" si="445"/>
        <v/>
      </c>
      <c r="O4596" s="28"/>
      <c r="P4596" s="36" t="str">
        <f t="shared" si="440"/>
        <v/>
      </c>
      <c r="Q4596" s="216" t="str">
        <f t="shared" si="441"/>
        <v/>
      </c>
      <c r="R4596" s="216" t="str">
        <f t="shared" si="442"/>
        <v/>
      </c>
      <c r="S4596" s="217" t="str">
        <f t="shared" si="443"/>
        <v/>
      </c>
    </row>
    <row r="4597" spans="1:19" ht="15.75" hidden="1" thickBot="1" x14ac:dyDescent="0.3">
      <c r="A4597" s="257"/>
      <c r="B4597" s="260"/>
      <c r="C4597" s="31"/>
      <c r="D4597" s="31"/>
      <c r="E4597" s="32"/>
      <c r="F4597" s="53" t="s">
        <v>416</v>
      </c>
      <c r="G4597" s="53" t="str">
        <f t="shared" si="444"/>
        <v/>
      </c>
      <c r="H4597" s="72"/>
      <c r="I4597" s="73"/>
      <c r="J4597" s="152">
        <v>0</v>
      </c>
      <c r="L4597" s="219"/>
      <c r="M4597" s="53"/>
      <c r="N4597" s="53" t="str">
        <f t="shared" si="445"/>
        <v/>
      </c>
      <c r="O4597" s="72"/>
      <c r="P4597" s="36" t="str">
        <f t="shared" si="440"/>
        <v/>
      </c>
      <c r="Q4597" s="216" t="str">
        <f t="shared" si="441"/>
        <v/>
      </c>
      <c r="R4597" s="216" t="str">
        <f t="shared" si="442"/>
        <v/>
      </c>
      <c r="S4597" s="217" t="str">
        <f t="shared" si="443"/>
        <v/>
      </c>
    </row>
    <row r="4598" spans="1:19" ht="39" hidden="1" thickBot="1" x14ac:dyDescent="0.3">
      <c r="A4598" s="257"/>
      <c r="B4598" s="260"/>
      <c r="C4598" s="35" t="s">
        <v>8531</v>
      </c>
      <c r="D4598" s="35" t="s">
        <v>861</v>
      </c>
      <c r="E4598" s="36">
        <f>ROUND(0.712*1.48,4)</f>
        <v>1.0538000000000001</v>
      </c>
      <c r="F4598" s="53">
        <v>12.663499999999999</v>
      </c>
      <c r="G4598" s="53">
        <f t="shared" si="444"/>
        <v>13.3447963</v>
      </c>
      <c r="H4598" s="38">
        <f>SUM(G4598:G4602)</f>
        <v>15.8343948</v>
      </c>
      <c r="I4598" s="39"/>
      <c r="J4598" s="152">
        <v>0</v>
      </c>
      <c r="L4598" s="215">
        <v>1.0538000000000001</v>
      </c>
      <c r="M4598" s="53">
        <v>10.839955999999999</v>
      </c>
      <c r="N4598" s="53">
        <f t="shared" si="445"/>
        <v>11.423145632799999</v>
      </c>
      <c r="O4598" s="38">
        <f>SUM(N4598:N4602)</f>
        <v>13.554241948799998</v>
      </c>
      <c r="P4598" s="36" t="str">
        <f t="shared" si="440"/>
        <v/>
      </c>
      <c r="Q4598" s="216">
        <f t="shared" si="441"/>
        <v>0.14400000000000002</v>
      </c>
      <c r="R4598" s="216">
        <f t="shared" si="442"/>
        <v>0.14400000000000013</v>
      </c>
      <c r="S4598" s="217">
        <f t="shared" si="443"/>
        <v>0.14400000000000013</v>
      </c>
    </row>
    <row r="4599" spans="1:19" ht="39" hidden="1" thickBot="1" x14ac:dyDescent="0.3">
      <c r="A4599" s="257"/>
      <c r="B4599" s="260"/>
      <c r="C4599" s="35" t="s">
        <v>774</v>
      </c>
      <c r="D4599" s="35" t="s">
        <v>213</v>
      </c>
      <c r="E4599" s="36">
        <f>ROUND(1.382*1.48,4)</f>
        <v>2.0453999999999999</v>
      </c>
      <c r="F4599" s="53">
        <v>0.20899999999999999</v>
      </c>
      <c r="G4599" s="53">
        <f t="shared" si="444"/>
        <v>0.42748859999999994</v>
      </c>
      <c r="H4599" s="72"/>
      <c r="I4599" s="73"/>
      <c r="J4599" s="152">
        <v>0</v>
      </c>
      <c r="L4599" s="215">
        <v>2.0453999999999999</v>
      </c>
      <c r="M4599" s="53">
        <v>0.17890400000000001</v>
      </c>
      <c r="N4599" s="53">
        <f t="shared" si="445"/>
        <v>0.36593024159999998</v>
      </c>
      <c r="O4599" s="72"/>
      <c r="P4599" s="36" t="str">
        <f t="shared" si="440"/>
        <v/>
      </c>
      <c r="Q4599" s="216">
        <f t="shared" si="441"/>
        <v>0.14399999999999991</v>
      </c>
      <c r="R4599" s="216">
        <f t="shared" si="442"/>
        <v>0.14399999999999991</v>
      </c>
      <c r="S4599" s="217" t="str">
        <f t="shared" si="443"/>
        <v/>
      </c>
    </row>
    <row r="4600" spans="1:19" ht="26.25" hidden="1" thickBot="1" x14ac:dyDescent="0.3">
      <c r="A4600" s="257"/>
      <c r="B4600" s="260"/>
      <c r="C4600" s="35" t="s">
        <v>3060</v>
      </c>
      <c r="D4600" s="35" t="s">
        <v>773</v>
      </c>
      <c r="E4600" s="36">
        <f>ROUND(0.0105*1.48,4)</f>
        <v>1.55E-2</v>
      </c>
      <c r="F4600" s="53">
        <v>21.042499999999997</v>
      </c>
      <c r="G4600" s="53">
        <f t="shared" si="444"/>
        <v>0.32615874999999994</v>
      </c>
      <c r="H4600" s="72"/>
      <c r="I4600" s="73"/>
      <c r="J4600" s="152">
        <v>0</v>
      </c>
      <c r="L4600" s="215">
        <v>1.55E-2</v>
      </c>
      <c r="M4600" s="53">
        <v>18.012379999999997</v>
      </c>
      <c r="N4600" s="53">
        <f t="shared" si="445"/>
        <v>0.27919188999999994</v>
      </c>
      <c r="O4600" s="72"/>
      <c r="P4600" s="36" t="str">
        <f t="shared" si="440"/>
        <v/>
      </c>
      <c r="Q4600" s="216">
        <f t="shared" si="441"/>
        <v>0.14400000000000002</v>
      </c>
      <c r="R4600" s="216">
        <f t="shared" si="442"/>
        <v>0.14400000000000002</v>
      </c>
      <c r="S4600" s="217" t="str">
        <f t="shared" si="443"/>
        <v/>
      </c>
    </row>
    <row r="4601" spans="1:19" ht="15.75" hidden="1" thickBot="1" x14ac:dyDescent="0.3">
      <c r="A4601" s="257"/>
      <c r="B4601" s="260"/>
      <c r="C4601" s="35" t="s">
        <v>775</v>
      </c>
      <c r="D4601" s="35" t="s">
        <v>583</v>
      </c>
      <c r="E4601" s="36">
        <f>ROUND(0.006*1.48,4)</f>
        <v>8.8999999999999999E-3</v>
      </c>
      <c r="F4601" s="53">
        <v>20.196999999999999</v>
      </c>
      <c r="G4601" s="53">
        <f t="shared" si="444"/>
        <v>0.1797533</v>
      </c>
      <c r="H4601" s="72"/>
      <c r="I4601" s="73"/>
      <c r="J4601" s="152">
        <v>0</v>
      </c>
      <c r="L4601" s="215">
        <v>8.8999999999999999E-3</v>
      </c>
      <c r="M4601" s="53">
        <v>17.288632</v>
      </c>
      <c r="N4601" s="53">
        <f t="shared" si="445"/>
        <v>0.1538688248</v>
      </c>
      <c r="O4601" s="72"/>
      <c r="P4601" s="36" t="str">
        <f t="shared" si="440"/>
        <v/>
      </c>
      <c r="Q4601" s="216">
        <f t="shared" si="441"/>
        <v>0.14400000000000002</v>
      </c>
      <c r="R4601" s="216">
        <f t="shared" si="442"/>
        <v>0.14400000000000002</v>
      </c>
      <c r="S4601" s="217" t="str">
        <f t="shared" si="443"/>
        <v/>
      </c>
    </row>
    <row r="4602" spans="1:19" ht="15.75" hidden="1" thickBot="1" x14ac:dyDescent="0.3">
      <c r="A4602" s="257"/>
      <c r="B4602" s="260"/>
      <c r="C4602" s="35" t="s">
        <v>776</v>
      </c>
      <c r="D4602" s="35" t="s">
        <v>583</v>
      </c>
      <c r="E4602" s="36">
        <f>ROUND(0.039*1.48,4)</f>
        <v>5.7700000000000001E-2</v>
      </c>
      <c r="F4602" s="53">
        <v>26.970499999999998</v>
      </c>
      <c r="G4602" s="53">
        <f t="shared" si="444"/>
        <v>1.55619785</v>
      </c>
      <c r="H4602" s="72"/>
      <c r="I4602" s="73"/>
      <c r="J4602" s="152">
        <v>0</v>
      </c>
      <c r="L4602" s="215">
        <v>5.7700000000000001E-2</v>
      </c>
      <c r="M4602" s="53">
        <v>23.086748</v>
      </c>
      <c r="N4602" s="53">
        <f t="shared" si="445"/>
        <v>1.3321053596000001</v>
      </c>
      <c r="O4602" s="72"/>
      <c r="P4602" s="36" t="str">
        <f t="shared" si="440"/>
        <v/>
      </c>
      <c r="Q4602" s="216">
        <f t="shared" si="441"/>
        <v>0.14399999999999991</v>
      </c>
      <c r="R4602" s="216">
        <f t="shared" si="442"/>
        <v>0.14399999999999991</v>
      </c>
      <c r="S4602" s="217" t="str">
        <f t="shared" si="443"/>
        <v/>
      </c>
    </row>
    <row r="4603" spans="1:19" ht="15.75" hidden="1" thickBot="1" x14ac:dyDescent="0.3">
      <c r="A4603" s="257"/>
      <c r="B4603" s="260"/>
      <c r="C4603" s="35"/>
      <c r="D4603" s="35"/>
      <c r="E4603" s="36"/>
      <c r="F4603" s="53" t="s">
        <v>416</v>
      </c>
      <c r="G4603" s="53" t="str">
        <f t="shared" si="444"/>
        <v/>
      </c>
      <c r="H4603" s="72"/>
      <c r="I4603" s="73"/>
      <c r="J4603" s="152">
        <v>0</v>
      </c>
      <c r="L4603" s="215"/>
      <c r="M4603" s="53"/>
      <c r="N4603" s="53" t="str">
        <f t="shared" si="445"/>
        <v/>
      </c>
      <c r="O4603" s="72"/>
      <c r="P4603" s="36" t="str">
        <f t="shared" si="440"/>
        <v/>
      </c>
      <c r="Q4603" s="216" t="str">
        <f t="shared" si="441"/>
        <v/>
      </c>
      <c r="R4603" s="216" t="str">
        <f t="shared" si="442"/>
        <v/>
      </c>
      <c r="S4603" s="217" t="str">
        <f t="shared" si="443"/>
        <v/>
      </c>
    </row>
    <row r="4604" spans="1:19" ht="15.75" hidden="1" thickBot="1" x14ac:dyDescent="0.3">
      <c r="A4604" s="256" t="s">
        <v>1221</v>
      </c>
      <c r="B4604" s="259" t="str">
        <f>INDEX(Orçamentária!A:B,MATCH(Composições!A4604,Orçamentária!A:A,0),2)</f>
        <v>Trama de aço composta por terças para telhados de até 2 águas</v>
      </c>
      <c r="C4604" s="40"/>
      <c r="D4604" s="25" t="s">
        <v>70</v>
      </c>
      <c r="E4604" s="26"/>
      <c r="F4604" s="48" t="s">
        <v>416</v>
      </c>
      <c r="G4604" s="27" t="str">
        <f t="shared" si="444"/>
        <v/>
      </c>
      <c r="H4604" s="28"/>
      <c r="I4604" s="29"/>
      <c r="J4604" s="152">
        <v>0</v>
      </c>
      <c r="L4604" s="218"/>
      <c r="M4604" s="48"/>
      <c r="N4604" s="27" t="str">
        <f t="shared" si="445"/>
        <v/>
      </c>
      <c r="O4604" s="28"/>
      <c r="P4604" s="36" t="str">
        <f t="shared" si="440"/>
        <v/>
      </c>
      <c r="Q4604" s="216" t="str">
        <f t="shared" si="441"/>
        <v/>
      </c>
      <c r="R4604" s="216" t="str">
        <f t="shared" si="442"/>
        <v/>
      </c>
      <c r="S4604" s="217" t="str">
        <f t="shared" si="443"/>
        <v/>
      </c>
    </row>
    <row r="4605" spans="1:19" ht="15.75" hidden="1" thickBot="1" x14ac:dyDescent="0.3">
      <c r="A4605" s="257"/>
      <c r="B4605" s="260"/>
      <c r="C4605" s="31"/>
      <c r="D4605" s="31"/>
      <c r="E4605" s="32"/>
      <c r="F4605" s="53" t="s">
        <v>416</v>
      </c>
      <c r="G4605" s="53" t="str">
        <f t="shared" si="444"/>
        <v/>
      </c>
      <c r="H4605" s="72"/>
      <c r="I4605" s="73"/>
      <c r="J4605" s="152">
        <v>0</v>
      </c>
      <c r="L4605" s="219"/>
      <c r="M4605" s="53"/>
      <c r="N4605" s="53" t="str">
        <f t="shared" si="445"/>
        <v/>
      </c>
      <c r="O4605" s="72"/>
      <c r="P4605" s="36" t="str">
        <f t="shared" si="440"/>
        <v/>
      </c>
      <c r="Q4605" s="216" t="str">
        <f t="shared" si="441"/>
        <v/>
      </c>
      <c r="R4605" s="216" t="str">
        <f t="shared" si="442"/>
        <v/>
      </c>
      <c r="S4605" s="217" t="str">
        <f t="shared" si="443"/>
        <v/>
      </c>
    </row>
    <row r="4606" spans="1:19" ht="26.25" hidden="1" thickBot="1" x14ac:dyDescent="0.3">
      <c r="A4606" s="257"/>
      <c r="B4606" s="260"/>
      <c r="C4606" s="35" t="s">
        <v>1222</v>
      </c>
      <c r="D4606" s="35" t="s">
        <v>1102</v>
      </c>
      <c r="E4606" s="36">
        <v>7.0000000000000001E-3</v>
      </c>
      <c r="F4606" s="53">
        <v>188.0145</v>
      </c>
      <c r="G4606" s="53">
        <f t="shared" si="444"/>
        <v>1.3161015</v>
      </c>
      <c r="H4606" s="38">
        <f>SUM(G4606:G4611)</f>
        <v>55.318669100000001</v>
      </c>
      <c r="I4606" s="39"/>
      <c r="J4606" s="152">
        <v>0</v>
      </c>
      <c r="L4606" s="215">
        <v>7.0000000000000001E-3</v>
      </c>
      <c r="M4606" s="53">
        <v>160.94041200000001</v>
      </c>
      <c r="N4606" s="53">
        <f t="shared" si="445"/>
        <v>1.1265828840000001</v>
      </c>
      <c r="O4606" s="38">
        <f>SUM(N4606:N4611)</f>
        <v>47.352780749599994</v>
      </c>
      <c r="P4606" s="36" t="str">
        <f t="shared" si="440"/>
        <v/>
      </c>
      <c r="Q4606" s="216">
        <f t="shared" si="441"/>
        <v>0.14399999999999991</v>
      </c>
      <c r="R4606" s="216">
        <f t="shared" si="442"/>
        <v>0.14400000000000002</v>
      </c>
      <c r="S4606" s="217">
        <f t="shared" si="443"/>
        <v>0.14400000000000013</v>
      </c>
    </row>
    <row r="4607" spans="1:19" ht="26.25" hidden="1" thickBot="1" x14ac:dyDescent="0.3">
      <c r="A4607" s="257"/>
      <c r="B4607" s="260"/>
      <c r="C4607" s="35" t="s">
        <v>1223</v>
      </c>
      <c r="D4607" s="35" t="s">
        <v>773</v>
      </c>
      <c r="E4607" s="36">
        <v>4.3330000000000002</v>
      </c>
      <c r="F4607" s="53">
        <v>10.867999999999999</v>
      </c>
      <c r="G4607" s="53">
        <f t="shared" si="444"/>
        <v>47.091043999999997</v>
      </c>
      <c r="H4607" s="72"/>
      <c r="I4607" s="73"/>
      <c r="J4607" s="152">
        <v>0</v>
      </c>
      <c r="L4607" s="215">
        <v>4.3330000000000002</v>
      </c>
      <c r="M4607" s="53">
        <v>9.3030079999999984</v>
      </c>
      <c r="N4607" s="53">
        <f t="shared" si="445"/>
        <v>40.309933663999992</v>
      </c>
      <c r="O4607" s="72"/>
      <c r="P4607" s="36" t="str">
        <f t="shared" si="440"/>
        <v/>
      </c>
      <c r="Q4607" s="216">
        <f t="shared" si="441"/>
        <v>0.14400000000000002</v>
      </c>
      <c r="R4607" s="216">
        <f t="shared" si="442"/>
        <v>0.14400000000000013</v>
      </c>
      <c r="S4607" s="217" t="str">
        <f t="shared" si="443"/>
        <v/>
      </c>
    </row>
    <row r="4608" spans="1:19" ht="26.25" hidden="1" thickBot="1" x14ac:dyDescent="0.3">
      <c r="A4608" s="257"/>
      <c r="B4608" s="260"/>
      <c r="C4608" s="35" t="s">
        <v>854</v>
      </c>
      <c r="D4608" s="35" t="s">
        <v>583</v>
      </c>
      <c r="E4608" s="36">
        <v>0.21299999999999999</v>
      </c>
      <c r="F4608" s="53">
        <v>20.719499999999996</v>
      </c>
      <c r="G4608" s="53">
        <f t="shared" si="444"/>
        <v>4.4132534999999988</v>
      </c>
      <c r="H4608" s="72"/>
      <c r="I4608" s="73"/>
      <c r="J4608" s="152">
        <v>0</v>
      </c>
      <c r="L4608" s="215">
        <v>0.21299999999999999</v>
      </c>
      <c r="M4608" s="53">
        <v>17.735891999999996</v>
      </c>
      <c r="N4608" s="53">
        <f t="shared" si="445"/>
        <v>3.7777449959999991</v>
      </c>
      <c r="O4608" s="72"/>
      <c r="P4608" s="36" t="str">
        <f t="shared" si="440"/>
        <v/>
      </c>
      <c r="Q4608" s="216">
        <f t="shared" si="441"/>
        <v>0.14400000000000002</v>
      </c>
      <c r="R4608" s="216">
        <f t="shared" si="442"/>
        <v>0.14400000000000002</v>
      </c>
      <c r="S4608" s="217" t="str">
        <f t="shared" si="443"/>
        <v/>
      </c>
    </row>
    <row r="4609" spans="1:19" ht="15.75" hidden="1" thickBot="1" x14ac:dyDescent="0.3">
      <c r="A4609" s="257"/>
      <c r="B4609" s="260"/>
      <c r="C4609" s="35" t="s">
        <v>584</v>
      </c>
      <c r="D4609" s="35" t="s">
        <v>583</v>
      </c>
      <c r="E4609" s="36">
        <v>0.106</v>
      </c>
      <c r="F4609" s="53">
        <v>20.225499999999997</v>
      </c>
      <c r="G4609" s="53">
        <f t="shared" si="444"/>
        <v>2.1439029999999994</v>
      </c>
      <c r="H4609" s="72"/>
      <c r="I4609" s="73"/>
      <c r="J4609" s="152">
        <v>0</v>
      </c>
      <c r="L4609" s="215">
        <v>0.106</v>
      </c>
      <c r="M4609" s="53">
        <v>17.313027999999996</v>
      </c>
      <c r="N4609" s="53">
        <f t="shared" si="445"/>
        <v>1.8351809679999995</v>
      </c>
      <c r="O4609" s="72"/>
      <c r="P4609" s="36" t="str">
        <f t="shared" si="440"/>
        <v/>
      </c>
      <c r="Q4609" s="216">
        <f t="shared" si="441"/>
        <v>0.14400000000000013</v>
      </c>
      <c r="R4609" s="216">
        <f t="shared" si="442"/>
        <v>0.14400000000000002</v>
      </c>
      <c r="S4609" s="217" t="str">
        <f t="shared" si="443"/>
        <v/>
      </c>
    </row>
    <row r="4610" spans="1:19" ht="26.25" hidden="1" thickBot="1" x14ac:dyDescent="0.3">
      <c r="A4610" s="257"/>
      <c r="B4610" s="260"/>
      <c r="C4610" s="35" t="s">
        <v>1157</v>
      </c>
      <c r="D4610" s="35" t="s">
        <v>813</v>
      </c>
      <c r="E4610" s="36">
        <v>6.7999999999999996E-3</v>
      </c>
      <c r="F4610" s="53">
        <v>22.315499999999997</v>
      </c>
      <c r="G4610" s="53">
        <f t="shared" si="444"/>
        <v>0.15174539999999997</v>
      </c>
      <c r="H4610" s="72"/>
      <c r="I4610" s="73"/>
      <c r="J4610" s="152">
        <v>0</v>
      </c>
      <c r="L4610" s="215">
        <v>6.7999999999999996E-3</v>
      </c>
      <c r="M4610" s="53">
        <v>19.102067999999996</v>
      </c>
      <c r="N4610" s="53">
        <f t="shared" si="445"/>
        <v>0.12989406239999995</v>
      </c>
      <c r="O4610" s="72"/>
      <c r="P4610" s="36" t="str">
        <f t="shared" si="440"/>
        <v/>
      </c>
      <c r="Q4610" s="216">
        <f t="shared" si="441"/>
        <v>0.14400000000000002</v>
      </c>
      <c r="R4610" s="216">
        <f t="shared" si="442"/>
        <v>0.14400000000000013</v>
      </c>
      <c r="S4610" s="217" t="str">
        <f t="shared" si="443"/>
        <v/>
      </c>
    </row>
    <row r="4611" spans="1:19" ht="26.25" hidden="1" thickBot="1" x14ac:dyDescent="0.3">
      <c r="A4611" s="257"/>
      <c r="B4611" s="260"/>
      <c r="C4611" s="35" t="s">
        <v>1158</v>
      </c>
      <c r="D4611" s="35" t="s">
        <v>815</v>
      </c>
      <c r="E4611" s="36">
        <v>9.4000000000000004E-3</v>
      </c>
      <c r="F4611" s="53">
        <v>21.555499999999999</v>
      </c>
      <c r="G4611" s="53">
        <f t="shared" si="444"/>
        <v>0.20262169999999999</v>
      </c>
      <c r="H4611" s="72"/>
      <c r="I4611" s="73"/>
      <c r="J4611" s="152">
        <v>0</v>
      </c>
      <c r="L4611" s="215">
        <v>9.4000000000000004E-3</v>
      </c>
      <c r="M4611" s="53">
        <v>18.451508</v>
      </c>
      <c r="N4611" s="53">
        <f t="shared" si="445"/>
        <v>0.17344417520000002</v>
      </c>
      <c r="O4611" s="72"/>
      <c r="P4611" s="36" t="str">
        <f t="shared" si="440"/>
        <v/>
      </c>
      <c r="Q4611" s="216">
        <f t="shared" si="441"/>
        <v>0.14399999999999991</v>
      </c>
      <c r="R4611" s="216">
        <f t="shared" si="442"/>
        <v>0.14399999999999979</v>
      </c>
      <c r="S4611" s="217" t="str">
        <f t="shared" si="443"/>
        <v/>
      </c>
    </row>
    <row r="4612" spans="1:19" ht="15.75" hidden="1" thickBot="1" x14ac:dyDescent="0.3">
      <c r="A4612" s="258"/>
      <c r="B4612" s="261"/>
      <c r="C4612" s="54"/>
      <c r="D4612" s="54"/>
      <c r="E4612" s="65"/>
      <c r="F4612" s="75" t="s">
        <v>416</v>
      </c>
      <c r="G4612" s="75" t="str">
        <f t="shared" si="444"/>
        <v/>
      </c>
      <c r="H4612" s="76"/>
      <c r="I4612" s="73"/>
      <c r="J4612" s="152">
        <v>0</v>
      </c>
      <c r="L4612" s="222"/>
      <c r="M4612" s="75"/>
      <c r="N4612" s="75" t="str">
        <f t="shared" si="445"/>
        <v/>
      </c>
      <c r="O4612" s="76"/>
      <c r="P4612" s="36" t="str">
        <f t="shared" si="440"/>
        <v/>
      </c>
      <c r="Q4612" s="216" t="str">
        <f t="shared" si="441"/>
        <v/>
      </c>
      <c r="R4612" s="216" t="str">
        <f t="shared" si="442"/>
        <v/>
      </c>
      <c r="S4612" s="217" t="str">
        <f t="shared" si="443"/>
        <v/>
      </c>
    </row>
    <row r="4613" spans="1:19" ht="15.75" hidden="1" thickBot="1" x14ac:dyDescent="0.3">
      <c r="A4613" s="256" t="s">
        <v>1224</v>
      </c>
      <c r="B4613" s="259" t="str">
        <f>INDEX(Orçamentária!A:B,MATCH(Composições!A4613,Orçamentária!A:A,0),2)</f>
        <v>Revestimento impermeabilizante bloqueador de umidade</v>
      </c>
      <c r="C4613" s="40"/>
      <c r="D4613" s="25" t="s">
        <v>70</v>
      </c>
      <c r="E4613" s="26"/>
      <c r="F4613" s="48" t="s">
        <v>416</v>
      </c>
      <c r="G4613" s="27" t="str">
        <f t="shared" si="444"/>
        <v/>
      </c>
      <c r="H4613" s="28"/>
      <c r="I4613" s="29"/>
      <c r="J4613" s="152">
        <v>0</v>
      </c>
      <c r="L4613" s="218"/>
      <c r="M4613" s="48"/>
      <c r="N4613" s="27" t="str">
        <f t="shared" si="445"/>
        <v/>
      </c>
      <c r="O4613" s="28"/>
      <c r="P4613" s="36" t="str">
        <f t="shared" si="440"/>
        <v/>
      </c>
      <c r="Q4613" s="216" t="str">
        <f t="shared" si="441"/>
        <v/>
      </c>
      <c r="R4613" s="216" t="str">
        <f t="shared" si="442"/>
        <v/>
      </c>
      <c r="S4613" s="217" t="str">
        <f t="shared" si="443"/>
        <v/>
      </c>
    </row>
    <row r="4614" spans="1:19" ht="15.75" hidden="1" thickBot="1" x14ac:dyDescent="0.3">
      <c r="A4614" s="257"/>
      <c r="B4614" s="260"/>
      <c r="C4614" s="31"/>
      <c r="D4614" s="31"/>
      <c r="E4614" s="32"/>
      <c r="F4614" s="53" t="s">
        <v>416</v>
      </c>
      <c r="G4614" s="53" t="str">
        <f t="shared" si="444"/>
        <v/>
      </c>
      <c r="H4614" s="72"/>
      <c r="I4614" s="73"/>
      <c r="J4614" s="152">
        <v>0</v>
      </c>
      <c r="L4614" s="219"/>
      <c r="M4614" s="53"/>
      <c r="N4614" s="53" t="str">
        <f t="shared" si="445"/>
        <v/>
      </c>
      <c r="O4614" s="72"/>
      <c r="P4614" s="36" t="str">
        <f t="shared" si="440"/>
        <v/>
      </c>
      <c r="Q4614" s="216" t="str">
        <f t="shared" si="441"/>
        <v/>
      </c>
      <c r="R4614" s="216" t="str">
        <f t="shared" si="442"/>
        <v/>
      </c>
      <c r="S4614" s="217" t="str">
        <f t="shared" si="443"/>
        <v/>
      </c>
    </row>
    <row r="4615" spans="1:19" ht="15.75" hidden="1" thickBot="1" x14ac:dyDescent="0.3">
      <c r="A4615" s="257"/>
      <c r="B4615" s="260"/>
      <c r="C4615" s="35" t="s">
        <v>2919</v>
      </c>
      <c r="D4615" s="35" t="s">
        <v>583</v>
      </c>
      <c r="E4615" s="36">
        <v>0.1</v>
      </c>
      <c r="F4615" s="53">
        <v>23.047000000000001</v>
      </c>
      <c r="G4615" s="53">
        <f t="shared" si="444"/>
        <v>2.3047</v>
      </c>
      <c r="H4615" s="38">
        <f>SUM(G4615:G4617)</f>
        <v>8.0370000000000008</v>
      </c>
      <c r="I4615" s="39"/>
      <c r="J4615" s="152">
        <v>0</v>
      </c>
      <c r="L4615" s="215">
        <v>0.1</v>
      </c>
      <c r="M4615" s="53">
        <v>19.728232000000002</v>
      </c>
      <c r="N4615" s="53">
        <f t="shared" si="445"/>
        <v>1.9728232000000003</v>
      </c>
      <c r="O4615" s="38">
        <f>SUM(N4615:N4617)</f>
        <v>6.8796720000000011</v>
      </c>
      <c r="P4615" s="36" t="str">
        <f t="shared" si="440"/>
        <v/>
      </c>
      <c r="Q4615" s="216">
        <f t="shared" si="441"/>
        <v>0.14399999999999991</v>
      </c>
      <c r="R4615" s="216">
        <f t="shared" si="442"/>
        <v>0.14399999999999979</v>
      </c>
      <c r="S4615" s="217">
        <f t="shared" si="443"/>
        <v>0.14399999999999991</v>
      </c>
    </row>
    <row r="4616" spans="1:19" ht="15.75" hidden="1" thickBot="1" x14ac:dyDescent="0.3">
      <c r="A4616" s="257"/>
      <c r="B4616" s="260"/>
      <c r="C4616" s="35" t="s">
        <v>956</v>
      </c>
      <c r="D4616" s="35" t="s">
        <v>583</v>
      </c>
      <c r="E4616" s="36">
        <v>0.2</v>
      </c>
      <c r="F4616" s="53">
        <v>28.6615</v>
      </c>
      <c r="G4616" s="53">
        <f t="shared" si="444"/>
        <v>5.7323000000000004</v>
      </c>
      <c r="H4616" s="72"/>
      <c r="I4616" s="73"/>
      <c r="J4616" s="152">
        <v>0</v>
      </c>
      <c r="L4616" s="215">
        <v>0.2</v>
      </c>
      <c r="M4616" s="53">
        <v>24.534244000000001</v>
      </c>
      <c r="N4616" s="53">
        <f t="shared" si="445"/>
        <v>4.9068488000000006</v>
      </c>
      <c r="O4616" s="72"/>
      <c r="P4616" s="36" t="str">
        <f t="shared" ref="P4616:P4679" si="446">IF(ISBLANK(L4616),"",IF($E4616&lt;&gt;L4616,"SIM",""))</f>
        <v/>
      </c>
      <c r="Q4616" s="216">
        <f t="shared" ref="Q4616:Q4679" si="447">IF(M4616="","",1-M4616/$F4616)</f>
        <v>0.14400000000000002</v>
      </c>
      <c r="R4616" s="216">
        <f t="shared" ref="R4616:R4679" si="448">IF(N4616="","",1-N4616/$G4616)</f>
        <v>0.14399999999999991</v>
      </c>
      <c r="S4616" s="217" t="str">
        <f t="shared" ref="S4616:S4679" si="449">IF(O4616="","",1-O4616/$H4616)</f>
        <v/>
      </c>
    </row>
    <row r="4617" spans="1:19" ht="15.75" hidden="1" thickBot="1" x14ac:dyDescent="0.3">
      <c r="A4617" s="257"/>
      <c r="B4617" s="260"/>
      <c r="C4617" s="35" t="s">
        <v>3081</v>
      </c>
      <c r="D4617" s="35" t="s">
        <v>75</v>
      </c>
      <c r="E4617" s="36">
        <f>2*3.6/75</f>
        <v>9.6000000000000002E-2</v>
      </c>
      <c r="F4617" s="53" t="s">
        <v>416</v>
      </c>
      <c r="G4617" s="53" t="str">
        <f t="shared" si="444"/>
        <v/>
      </c>
      <c r="H4617" s="72"/>
      <c r="I4617" s="73"/>
      <c r="J4617" s="152">
        <v>0</v>
      </c>
      <c r="L4617" s="215">
        <v>9.6000000000000002E-2</v>
      </c>
      <c r="M4617" s="53"/>
      <c r="N4617" s="53" t="str">
        <f t="shared" si="445"/>
        <v/>
      </c>
      <c r="O4617" s="72"/>
      <c r="P4617" s="36" t="str">
        <f t="shared" si="446"/>
        <v/>
      </c>
      <c r="Q4617" s="216" t="str">
        <f t="shared" si="447"/>
        <v/>
      </c>
      <c r="R4617" s="216" t="str">
        <f t="shared" si="448"/>
        <v/>
      </c>
      <c r="S4617" s="217" t="str">
        <f t="shared" si="449"/>
        <v/>
      </c>
    </row>
    <row r="4618" spans="1:19" ht="15.75" hidden="1" thickBot="1" x14ac:dyDescent="0.3">
      <c r="A4618" s="257"/>
      <c r="B4618" s="260"/>
      <c r="C4618" s="35"/>
      <c r="D4618" s="35"/>
      <c r="E4618" s="36"/>
      <c r="F4618" s="53" t="s">
        <v>416</v>
      </c>
      <c r="G4618" s="53" t="str">
        <f t="shared" si="444"/>
        <v/>
      </c>
      <c r="H4618" s="72"/>
      <c r="I4618" s="73"/>
      <c r="J4618" s="152">
        <v>0</v>
      </c>
      <c r="L4618" s="215"/>
      <c r="M4618" s="53"/>
      <c r="N4618" s="53" t="str">
        <f t="shared" si="445"/>
        <v/>
      </c>
      <c r="O4618" s="72"/>
      <c r="P4618" s="36" t="str">
        <f t="shared" si="446"/>
        <v/>
      </c>
      <c r="Q4618" s="216" t="str">
        <f t="shared" si="447"/>
        <v/>
      </c>
      <c r="R4618" s="216" t="str">
        <f t="shared" si="448"/>
        <v/>
      </c>
      <c r="S4618" s="217" t="str">
        <f t="shared" si="449"/>
        <v/>
      </c>
    </row>
    <row r="4619" spans="1:19" ht="39" hidden="1" thickBot="1" x14ac:dyDescent="0.3">
      <c r="A4619" s="257"/>
      <c r="B4619" s="260"/>
      <c r="C4619" s="47" t="s">
        <v>1225</v>
      </c>
      <c r="D4619" s="35"/>
      <c r="E4619" s="36"/>
      <c r="F4619" s="53" t="s">
        <v>416</v>
      </c>
      <c r="G4619" s="53" t="str">
        <f t="shared" si="444"/>
        <v/>
      </c>
      <c r="H4619" s="72"/>
      <c r="I4619" s="73"/>
      <c r="J4619" s="152">
        <v>0</v>
      </c>
      <c r="L4619" s="215"/>
      <c r="M4619" s="53"/>
      <c r="N4619" s="53" t="str">
        <f t="shared" si="445"/>
        <v/>
      </c>
      <c r="O4619" s="72"/>
      <c r="P4619" s="36" t="str">
        <f t="shared" si="446"/>
        <v/>
      </c>
      <c r="Q4619" s="216" t="str">
        <f t="shared" si="447"/>
        <v/>
      </c>
      <c r="R4619" s="216" t="str">
        <f t="shared" si="448"/>
        <v/>
      </c>
      <c r="S4619" s="217" t="str">
        <f t="shared" si="449"/>
        <v/>
      </c>
    </row>
    <row r="4620" spans="1:19" ht="15.75" hidden="1" thickBot="1" x14ac:dyDescent="0.3">
      <c r="A4620" s="257"/>
      <c r="B4620" s="260"/>
      <c r="C4620" s="35"/>
      <c r="D4620" s="35"/>
      <c r="E4620" s="36"/>
      <c r="F4620" s="53" t="s">
        <v>416</v>
      </c>
      <c r="G4620" s="53" t="str">
        <f t="shared" si="444"/>
        <v/>
      </c>
      <c r="H4620" s="72"/>
      <c r="I4620" s="73"/>
      <c r="J4620" s="152">
        <v>0</v>
      </c>
      <c r="L4620" s="215"/>
      <c r="M4620" s="53"/>
      <c r="N4620" s="53" t="str">
        <f t="shared" si="445"/>
        <v/>
      </c>
      <c r="O4620" s="72"/>
      <c r="P4620" s="36" t="str">
        <f t="shared" si="446"/>
        <v/>
      </c>
      <c r="Q4620" s="216" t="str">
        <f t="shared" si="447"/>
        <v/>
      </c>
      <c r="R4620" s="216" t="str">
        <f t="shared" si="448"/>
        <v/>
      </c>
      <c r="S4620" s="217" t="str">
        <f t="shared" si="449"/>
        <v/>
      </c>
    </row>
    <row r="4621" spans="1:19" ht="15.75" hidden="1" thickBot="1" x14ac:dyDescent="0.3">
      <c r="A4621" s="256" t="s">
        <v>1226</v>
      </c>
      <c r="B4621" s="259" t="str">
        <f>INDEX(Orçamentária!A:B,MATCH(Composições!A4621,Orçamentária!A:A,0),2)</f>
        <v>Pintura com tinta refletiva aluminizada para impermeabilização</v>
      </c>
      <c r="C4621" s="40"/>
      <c r="D4621" s="25" t="s">
        <v>70</v>
      </c>
      <c r="E4621" s="26"/>
      <c r="F4621" s="48" t="s">
        <v>416</v>
      </c>
      <c r="G4621" s="27" t="str">
        <f t="shared" si="444"/>
        <v/>
      </c>
      <c r="H4621" s="28"/>
      <c r="I4621" s="29"/>
      <c r="J4621" s="152">
        <v>0</v>
      </c>
      <c r="L4621" s="218"/>
      <c r="M4621" s="48"/>
      <c r="N4621" s="27" t="str">
        <f t="shared" si="445"/>
        <v/>
      </c>
      <c r="O4621" s="28"/>
      <c r="P4621" s="36" t="str">
        <f t="shared" si="446"/>
        <v/>
      </c>
      <c r="Q4621" s="216" t="str">
        <f t="shared" si="447"/>
        <v/>
      </c>
      <c r="R4621" s="216" t="str">
        <f t="shared" si="448"/>
        <v/>
      </c>
      <c r="S4621" s="217" t="str">
        <f t="shared" si="449"/>
        <v/>
      </c>
    </row>
    <row r="4622" spans="1:19" ht="15.75" hidden="1" thickBot="1" x14ac:dyDescent="0.3">
      <c r="A4622" s="257"/>
      <c r="B4622" s="260"/>
      <c r="C4622" s="31"/>
      <c r="D4622" s="31"/>
      <c r="E4622" s="32"/>
      <c r="F4622" s="53" t="s">
        <v>416</v>
      </c>
      <c r="G4622" s="53" t="str">
        <f t="shared" si="444"/>
        <v/>
      </c>
      <c r="H4622" s="72"/>
      <c r="I4622" s="73"/>
      <c r="J4622" s="152">
        <v>0</v>
      </c>
      <c r="L4622" s="219"/>
      <c r="M4622" s="53"/>
      <c r="N4622" s="53" t="str">
        <f t="shared" si="445"/>
        <v/>
      </c>
      <c r="O4622" s="72"/>
      <c r="P4622" s="36" t="str">
        <f t="shared" si="446"/>
        <v/>
      </c>
      <c r="Q4622" s="216" t="str">
        <f t="shared" si="447"/>
        <v/>
      </c>
      <c r="R4622" s="216" t="str">
        <f t="shared" si="448"/>
        <v/>
      </c>
      <c r="S4622" s="217" t="str">
        <f t="shared" si="449"/>
        <v/>
      </c>
    </row>
    <row r="4623" spans="1:19" ht="15.75" hidden="1" thickBot="1" x14ac:dyDescent="0.3">
      <c r="A4623" s="257"/>
      <c r="B4623" s="260"/>
      <c r="C4623" s="35" t="s">
        <v>2919</v>
      </c>
      <c r="D4623" s="35" t="s">
        <v>583</v>
      </c>
      <c r="E4623" s="36">
        <v>0.1</v>
      </c>
      <c r="F4623" s="53">
        <v>23.047000000000001</v>
      </c>
      <c r="G4623" s="53">
        <f t="shared" si="444"/>
        <v>2.3047</v>
      </c>
      <c r="H4623" s="38">
        <f>SUM(G4623:G4625)</f>
        <v>8.0370000000000008</v>
      </c>
      <c r="I4623" s="39"/>
      <c r="J4623" s="152">
        <v>0</v>
      </c>
      <c r="L4623" s="215">
        <v>0.1</v>
      </c>
      <c r="M4623" s="53">
        <v>19.728232000000002</v>
      </c>
      <c r="N4623" s="53">
        <f t="shared" si="445"/>
        <v>1.9728232000000003</v>
      </c>
      <c r="O4623" s="38">
        <f>SUM(N4623:N4625)</f>
        <v>6.8796720000000011</v>
      </c>
      <c r="P4623" s="36" t="str">
        <f t="shared" si="446"/>
        <v/>
      </c>
      <c r="Q4623" s="216">
        <f t="shared" si="447"/>
        <v>0.14399999999999991</v>
      </c>
      <c r="R4623" s="216">
        <f t="shared" si="448"/>
        <v>0.14399999999999979</v>
      </c>
      <c r="S4623" s="217">
        <f t="shared" si="449"/>
        <v>0.14399999999999991</v>
      </c>
    </row>
    <row r="4624" spans="1:19" ht="15.75" hidden="1" thickBot="1" x14ac:dyDescent="0.3">
      <c r="A4624" s="257"/>
      <c r="B4624" s="260"/>
      <c r="C4624" s="35" t="s">
        <v>956</v>
      </c>
      <c r="D4624" s="35" t="s">
        <v>583</v>
      </c>
      <c r="E4624" s="36">
        <v>0.2</v>
      </c>
      <c r="F4624" s="53">
        <v>28.6615</v>
      </c>
      <c r="G4624" s="53">
        <f t="shared" si="444"/>
        <v>5.7323000000000004</v>
      </c>
      <c r="H4624" s="72"/>
      <c r="I4624" s="73"/>
      <c r="J4624" s="152">
        <v>0</v>
      </c>
      <c r="L4624" s="215">
        <v>0.2</v>
      </c>
      <c r="M4624" s="53">
        <v>24.534244000000001</v>
      </c>
      <c r="N4624" s="53">
        <f t="shared" si="445"/>
        <v>4.9068488000000006</v>
      </c>
      <c r="O4624" s="72"/>
      <c r="P4624" s="36" t="str">
        <f t="shared" si="446"/>
        <v/>
      </c>
      <c r="Q4624" s="216">
        <f t="shared" si="447"/>
        <v>0.14400000000000002</v>
      </c>
      <c r="R4624" s="216">
        <f t="shared" si="448"/>
        <v>0.14399999999999991</v>
      </c>
      <c r="S4624" s="217" t="str">
        <f t="shared" si="449"/>
        <v/>
      </c>
    </row>
    <row r="4625" spans="1:19" ht="15.75" hidden="1" thickBot="1" x14ac:dyDescent="0.3">
      <c r="A4625" s="257"/>
      <c r="B4625" s="260"/>
      <c r="C4625" s="35" t="s">
        <v>1227</v>
      </c>
      <c r="D4625" s="35" t="s">
        <v>75</v>
      </c>
      <c r="E4625" s="36">
        <v>0.5</v>
      </c>
      <c r="F4625" s="53">
        <v>0</v>
      </c>
      <c r="G4625" s="53">
        <f t="shared" si="444"/>
        <v>0</v>
      </c>
      <c r="H4625" s="72"/>
      <c r="I4625" s="73"/>
      <c r="J4625" s="152">
        <v>0</v>
      </c>
      <c r="L4625" s="215">
        <v>0.5</v>
      </c>
      <c r="M4625" s="53">
        <v>0</v>
      </c>
      <c r="N4625" s="53">
        <f t="shared" si="445"/>
        <v>0</v>
      </c>
      <c r="O4625" s="72"/>
      <c r="P4625" s="36" t="str">
        <f t="shared" si="446"/>
        <v/>
      </c>
      <c r="Q4625" s="216" t="e">
        <f t="shared" si="447"/>
        <v>#DIV/0!</v>
      </c>
      <c r="R4625" s="216" t="e">
        <f t="shared" si="448"/>
        <v>#DIV/0!</v>
      </c>
      <c r="S4625" s="217" t="str">
        <f t="shared" si="449"/>
        <v/>
      </c>
    </row>
    <row r="4626" spans="1:19" ht="15.75" hidden="1" thickBot="1" x14ac:dyDescent="0.3">
      <c r="A4626" s="257"/>
      <c r="B4626" s="260"/>
      <c r="C4626" s="35"/>
      <c r="D4626" s="35"/>
      <c r="E4626" s="36"/>
      <c r="F4626" s="53" t="s">
        <v>416</v>
      </c>
      <c r="G4626" s="53" t="str">
        <f t="shared" si="444"/>
        <v/>
      </c>
      <c r="H4626" s="72"/>
      <c r="I4626" s="73"/>
      <c r="J4626" s="152">
        <v>0</v>
      </c>
      <c r="L4626" s="215"/>
      <c r="M4626" s="53"/>
      <c r="N4626" s="53" t="str">
        <f t="shared" si="445"/>
        <v/>
      </c>
      <c r="O4626" s="72"/>
      <c r="P4626" s="36" t="str">
        <f t="shared" si="446"/>
        <v/>
      </c>
      <c r="Q4626" s="216" t="str">
        <f t="shared" si="447"/>
        <v/>
      </c>
      <c r="R4626" s="216" t="str">
        <f t="shared" si="448"/>
        <v/>
      </c>
      <c r="S4626" s="217" t="str">
        <f t="shared" si="449"/>
        <v/>
      </c>
    </row>
    <row r="4627" spans="1:19" ht="15.75" hidden="1" thickBot="1" x14ac:dyDescent="0.3">
      <c r="A4627" s="256" t="s">
        <v>1228</v>
      </c>
      <c r="B4627" s="259" t="str">
        <f>INDEX(Orçamentária!A:B,MATCH(Composições!A4627,Orçamentária!A:A,0),2)</f>
        <v>Concreto leve com poliestireno expandido</v>
      </c>
      <c r="C4627" s="40"/>
      <c r="D4627" s="25" t="s">
        <v>80</v>
      </c>
      <c r="E4627" s="26"/>
      <c r="F4627" s="48" t="s">
        <v>416</v>
      </c>
      <c r="G4627" s="27" t="str">
        <f t="shared" si="444"/>
        <v/>
      </c>
      <c r="H4627" s="28"/>
      <c r="I4627" s="29"/>
      <c r="J4627" s="152">
        <v>0</v>
      </c>
      <c r="L4627" s="218"/>
      <c r="M4627" s="48"/>
      <c r="N4627" s="27" t="str">
        <f t="shared" si="445"/>
        <v/>
      </c>
      <c r="O4627" s="28"/>
      <c r="P4627" s="36" t="str">
        <f t="shared" si="446"/>
        <v/>
      </c>
      <c r="Q4627" s="216" t="str">
        <f t="shared" si="447"/>
        <v/>
      </c>
      <c r="R4627" s="216" t="str">
        <f t="shared" si="448"/>
        <v/>
      </c>
      <c r="S4627" s="217" t="str">
        <f t="shared" si="449"/>
        <v/>
      </c>
    </row>
    <row r="4628" spans="1:19" ht="15.75" hidden="1" thickBot="1" x14ac:dyDescent="0.3">
      <c r="A4628" s="257"/>
      <c r="B4628" s="260"/>
      <c r="C4628" s="31"/>
      <c r="D4628" s="31"/>
      <c r="E4628" s="32"/>
      <c r="F4628" s="53" t="s">
        <v>416</v>
      </c>
      <c r="G4628" s="53" t="str">
        <f t="shared" si="444"/>
        <v/>
      </c>
      <c r="H4628" s="72"/>
      <c r="I4628" s="73"/>
      <c r="J4628" s="152">
        <v>0</v>
      </c>
      <c r="L4628" s="219"/>
      <c r="M4628" s="53"/>
      <c r="N4628" s="53" t="str">
        <f t="shared" si="445"/>
        <v/>
      </c>
      <c r="O4628" s="72"/>
      <c r="P4628" s="36" t="str">
        <f t="shared" si="446"/>
        <v/>
      </c>
      <c r="Q4628" s="216" t="str">
        <f t="shared" si="447"/>
        <v/>
      </c>
      <c r="R4628" s="216" t="str">
        <f t="shared" si="448"/>
        <v/>
      </c>
      <c r="S4628" s="217" t="str">
        <f t="shared" si="449"/>
        <v/>
      </c>
    </row>
    <row r="4629" spans="1:19" ht="15.75" hidden="1" thickBot="1" x14ac:dyDescent="0.3">
      <c r="A4629" s="257"/>
      <c r="B4629" s="260"/>
      <c r="C4629" s="35" t="s">
        <v>584</v>
      </c>
      <c r="D4629" s="35" t="s">
        <v>583</v>
      </c>
      <c r="E4629" s="36">
        <v>6.5</v>
      </c>
      <c r="F4629" s="53">
        <v>20.225499999999997</v>
      </c>
      <c r="G4629" s="53">
        <f t="shared" ref="G4629:G4692" si="450">IF(ISNUMBER(F4629),E4629*F4629,"")</f>
        <v>131.46574999999999</v>
      </c>
      <c r="H4629" s="38">
        <f>SUM(G4629:G4635)</f>
        <v>1308.2471279924</v>
      </c>
      <c r="I4629" s="39"/>
      <c r="J4629" s="152">
        <v>0</v>
      </c>
      <c r="L4629" s="215">
        <v>6.5</v>
      </c>
      <c r="M4629" s="53">
        <v>17.313027999999996</v>
      </c>
      <c r="N4629" s="53">
        <f t="shared" ref="N4629:N4692" si="451">IF(ISNUMBER(M4629),L4629*M4629,"")</f>
        <v>112.53468199999998</v>
      </c>
      <c r="O4629" s="38">
        <f>SUM(N4629:N4635)</f>
        <v>1119.8595415614941</v>
      </c>
      <c r="P4629" s="36" t="str">
        <f t="shared" si="446"/>
        <v/>
      </c>
      <c r="Q4629" s="216">
        <f t="shared" si="447"/>
        <v>0.14400000000000013</v>
      </c>
      <c r="R4629" s="216">
        <f t="shared" si="448"/>
        <v>0.14400000000000013</v>
      </c>
      <c r="S4629" s="217">
        <f t="shared" si="449"/>
        <v>0.14400000000000024</v>
      </c>
    </row>
    <row r="4630" spans="1:19" ht="26.25" hidden="1" thickBot="1" x14ac:dyDescent="0.3">
      <c r="A4630" s="257"/>
      <c r="B4630" s="260"/>
      <c r="C4630" s="35" t="s">
        <v>7985</v>
      </c>
      <c r="D4630" s="35" t="s">
        <v>87</v>
      </c>
      <c r="E4630" s="36">
        <v>0.35799999999999998</v>
      </c>
      <c r="F4630" s="53">
        <v>202.33099999999999</v>
      </c>
      <c r="G4630" s="53">
        <f t="shared" si="450"/>
        <v>72.434497999999991</v>
      </c>
      <c r="H4630" s="72"/>
      <c r="I4630" s="73"/>
      <c r="J4630" s="152">
        <v>0</v>
      </c>
      <c r="L4630" s="215">
        <v>0.35799999999999998</v>
      </c>
      <c r="M4630" s="53">
        <v>173.195336</v>
      </c>
      <c r="N4630" s="53">
        <f t="shared" si="451"/>
        <v>62.003930287999999</v>
      </c>
      <c r="O4630" s="72"/>
      <c r="P4630" s="36" t="str">
        <f t="shared" si="446"/>
        <v/>
      </c>
      <c r="Q4630" s="216">
        <f t="shared" si="447"/>
        <v>0.14400000000000002</v>
      </c>
      <c r="R4630" s="216">
        <f t="shared" si="448"/>
        <v>0.14399999999999991</v>
      </c>
      <c r="S4630" s="217" t="str">
        <f t="shared" si="449"/>
        <v/>
      </c>
    </row>
    <row r="4631" spans="1:19" ht="15.75" hidden="1" thickBot="1" x14ac:dyDescent="0.3">
      <c r="A4631" s="257"/>
      <c r="B4631" s="260"/>
      <c r="C4631" s="35" t="s">
        <v>8065</v>
      </c>
      <c r="D4631" s="35" t="s">
        <v>773</v>
      </c>
      <c r="E4631" s="36">
        <v>400</v>
      </c>
      <c r="F4631" s="53">
        <v>0.627</v>
      </c>
      <c r="G4631" s="53">
        <f t="shared" si="450"/>
        <v>250.8</v>
      </c>
      <c r="H4631" s="72"/>
      <c r="I4631" s="73"/>
      <c r="J4631" s="152">
        <v>0</v>
      </c>
      <c r="L4631" s="215">
        <v>400</v>
      </c>
      <c r="M4631" s="53">
        <v>0.53671199999999997</v>
      </c>
      <c r="N4631" s="53">
        <f t="shared" si="451"/>
        <v>214.6848</v>
      </c>
      <c r="O4631" s="72"/>
      <c r="P4631" s="36" t="str">
        <f t="shared" si="446"/>
        <v/>
      </c>
      <c r="Q4631" s="216">
        <f t="shared" si="447"/>
        <v>0.14400000000000002</v>
      </c>
      <c r="R4631" s="216">
        <f t="shared" si="448"/>
        <v>0.14400000000000002</v>
      </c>
      <c r="S4631" s="217" t="str">
        <f t="shared" si="449"/>
        <v/>
      </c>
    </row>
    <row r="4632" spans="1:19" ht="26.25" hidden="1" thickBot="1" x14ac:dyDescent="0.3">
      <c r="A4632" s="257"/>
      <c r="B4632" s="260"/>
      <c r="C4632" s="35" t="s">
        <v>1229</v>
      </c>
      <c r="D4632" s="35" t="s">
        <v>773</v>
      </c>
      <c r="E4632" s="36">
        <v>10.5</v>
      </c>
      <c r="F4632" s="53">
        <v>79.153999999999996</v>
      </c>
      <c r="G4632" s="53">
        <f t="shared" si="450"/>
        <v>831.11699999999996</v>
      </c>
      <c r="H4632" s="72"/>
      <c r="I4632" s="73"/>
      <c r="J4632" s="152">
        <v>0</v>
      </c>
      <c r="L4632" s="215">
        <v>10.5</v>
      </c>
      <c r="M4632" s="53">
        <v>67.75582399999999</v>
      </c>
      <c r="N4632" s="53">
        <f t="shared" si="451"/>
        <v>711.43615199999988</v>
      </c>
      <c r="O4632" s="72"/>
      <c r="P4632" s="36" t="str">
        <f t="shared" si="446"/>
        <v/>
      </c>
      <c r="Q4632" s="216">
        <f t="shared" si="447"/>
        <v>0.14400000000000013</v>
      </c>
      <c r="R4632" s="216">
        <f t="shared" si="448"/>
        <v>0.14400000000000013</v>
      </c>
      <c r="S4632" s="217" t="str">
        <f t="shared" si="449"/>
        <v/>
      </c>
    </row>
    <row r="4633" spans="1:19" ht="39" hidden="1" thickBot="1" x14ac:dyDescent="0.3">
      <c r="A4633" s="257"/>
      <c r="B4633" s="260"/>
      <c r="C4633" s="35" t="s">
        <v>84</v>
      </c>
      <c r="D4633" s="35" t="s">
        <v>813</v>
      </c>
      <c r="E4633" s="36">
        <v>0.34300000000000003</v>
      </c>
      <c r="F4633" s="53">
        <v>1.6435</v>
      </c>
      <c r="G4633" s="53">
        <f t="shared" si="450"/>
        <v>0.56372050000000007</v>
      </c>
      <c r="H4633" s="72"/>
      <c r="I4633" s="73"/>
      <c r="J4633" s="152">
        <v>0</v>
      </c>
      <c r="L4633" s="215">
        <v>0.34300000000000003</v>
      </c>
      <c r="M4633" s="53">
        <v>1.406836</v>
      </c>
      <c r="N4633" s="53">
        <f t="shared" si="451"/>
        <v>0.48254474800000002</v>
      </c>
      <c r="O4633" s="72"/>
      <c r="P4633" s="36" t="str">
        <f t="shared" si="446"/>
        <v/>
      </c>
      <c r="Q4633" s="216">
        <f t="shared" si="447"/>
        <v>0.14400000000000002</v>
      </c>
      <c r="R4633" s="216">
        <f t="shared" si="448"/>
        <v>0.14400000000000002</v>
      </c>
      <c r="S4633" s="217" t="str">
        <f t="shared" si="449"/>
        <v/>
      </c>
    </row>
    <row r="4634" spans="1:19" ht="51.75" hidden="1" thickBot="1" x14ac:dyDescent="0.3">
      <c r="A4634" s="257"/>
      <c r="B4634" s="260"/>
      <c r="C4634" s="35" t="s">
        <v>3071</v>
      </c>
      <c r="D4634" s="35" t="s">
        <v>80</v>
      </c>
      <c r="E4634" s="36">
        <f>1*E4630</f>
        <v>0.35799999999999998</v>
      </c>
      <c r="F4634" s="33">
        <v>7.9257587999999988</v>
      </c>
      <c r="G4634" s="33">
        <f t="shared" si="450"/>
        <v>2.8374216503999996</v>
      </c>
      <c r="H4634" s="34"/>
      <c r="I4634" s="30"/>
      <c r="J4634" s="152">
        <v>0</v>
      </c>
      <c r="L4634" s="215">
        <v>0.35799999999999998</v>
      </c>
      <c r="M4634" s="33">
        <v>6.7844495327999992</v>
      </c>
      <c r="N4634" s="33">
        <f t="shared" si="451"/>
        <v>2.4288329327423996</v>
      </c>
      <c r="O4634" s="34"/>
      <c r="P4634" s="36" t="str">
        <f t="shared" si="446"/>
        <v/>
      </c>
      <c r="Q4634" s="216">
        <f t="shared" si="447"/>
        <v>0.14400000000000002</v>
      </c>
      <c r="R4634" s="216">
        <f t="shared" si="448"/>
        <v>0.14400000000000002</v>
      </c>
      <c r="S4634" s="217" t="str">
        <f t="shared" si="449"/>
        <v/>
      </c>
    </row>
    <row r="4635" spans="1:19" ht="39" hidden="1" thickBot="1" x14ac:dyDescent="0.3">
      <c r="A4635" s="257"/>
      <c r="B4635" s="260"/>
      <c r="C4635" s="35" t="s">
        <v>88</v>
      </c>
      <c r="D4635" s="35" t="s">
        <v>89</v>
      </c>
      <c r="E4635" s="36">
        <f>E4630*20</f>
        <v>7.16</v>
      </c>
      <c r="F4635" s="53">
        <v>2.6576449499999995</v>
      </c>
      <c r="G4635" s="53">
        <f t="shared" si="450"/>
        <v>19.028737841999998</v>
      </c>
      <c r="H4635" s="72"/>
      <c r="I4635" s="73"/>
      <c r="J4635" s="152">
        <v>0</v>
      </c>
      <c r="L4635" s="215">
        <v>7.16</v>
      </c>
      <c r="M4635" s="53">
        <v>2.2749440771999998</v>
      </c>
      <c r="N4635" s="53">
        <f t="shared" si="451"/>
        <v>16.288599592752</v>
      </c>
      <c r="O4635" s="72"/>
      <c r="P4635" s="36" t="str">
        <f t="shared" si="446"/>
        <v/>
      </c>
      <c r="Q4635" s="216">
        <f t="shared" si="447"/>
        <v>0.14399999999999991</v>
      </c>
      <c r="R4635" s="216">
        <f t="shared" si="448"/>
        <v>0.14399999999999991</v>
      </c>
      <c r="S4635" s="217" t="str">
        <f t="shared" si="449"/>
        <v/>
      </c>
    </row>
    <row r="4636" spans="1:19" ht="15.75" hidden="1" thickBot="1" x14ac:dyDescent="0.3">
      <c r="A4636" s="257"/>
      <c r="B4636" s="260"/>
      <c r="C4636" s="35"/>
      <c r="D4636" s="35"/>
      <c r="E4636" s="36"/>
      <c r="F4636" s="53" t="s">
        <v>416</v>
      </c>
      <c r="G4636" s="53" t="str">
        <f t="shared" si="450"/>
        <v/>
      </c>
      <c r="H4636" s="72"/>
      <c r="I4636" s="73"/>
      <c r="J4636" s="152">
        <v>0</v>
      </c>
      <c r="L4636" s="215"/>
      <c r="M4636" s="53"/>
      <c r="N4636" s="53" t="str">
        <f t="shared" si="451"/>
        <v/>
      </c>
      <c r="O4636" s="72"/>
      <c r="P4636" s="36" t="str">
        <f t="shared" si="446"/>
        <v/>
      </c>
      <c r="Q4636" s="216" t="str">
        <f t="shared" si="447"/>
        <v/>
      </c>
      <c r="R4636" s="216" t="str">
        <f t="shared" si="448"/>
        <v/>
      </c>
      <c r="S4636" s="217" t="str">
        <f t="shared" si="449"/>
        <v/>
      </c>
    </row>
    <row r="4637" spans="1:19" ht="15.75" hidden="1" thickBot="1" x14ac:dyDescent="0.3">
      <c r="A4637" s="257"/>
      <c r="B4637" s="260"/>
      <c r="C4637" s="47" t="s">
        <v>1230</v>
      </c>
      <c r="D4637" s="35"/>
      <c r="E4637" s="36"/>
      <c r="F4637" s="53" t="s">
        <v>416</v>
      </c>
      <c r="G4637" s="53" t="str">
        <f t="shared" si="450"/>
        <v/>
      </c>
      <c r="H4637" s="72"/>
      <c r="I4637" s="73"/>
      <c r="J4637" s="152">
        <v>0</v>
      </c>
      <c r="L4637" s="215"/>
      <c r="M4637" s="53"/>
      <c r="N4637" s="53" t="str">
        <f t="shared" si="451"/>
        <v/>
      </c>
      <c r="O4637" s="72"/>
      <c r="P4637" s="36" t="str">
        <f t="shared" si="446"/>
        <v/>
      </c>
      <c r="Q4637" s="216" t="str">
        <f t="shared" si="447"/>
        <v/>
      </c>
      <c r="R4637" s="216" t="str">
        <f t="shared" si="448"/>
        <v/>
      </c>
      <c r="S4637" s="217" t="str">
        <f t="shared" si="449"/>
        <v/>
      </c>
    </row>
    <row r="4638" spans="1:19" ht="15.75" hidden="1" thickBot="1" x14ac:dyDescent="0.3">
      <c r="A4638" s="257"/>
      <c r="B4638" s="260"/>
      <c r="C4638" s="35"/>
      <c r="D4638" s="35"/>
      <c r="E4638" s="36"/>
      <c r="F4638" s="53" t="s">
        <v>416</v>
      </c>
      <c r="G4638" s="53" t="str">
        <f t="shared" si="450"/>
        <v/>
      </c>
      <c r="H4638" s="72"/>
      <c r="I4638" s="73"/>
      <c r="J4638" s="152">
        <v>0</v>
      </c>
      <c r="L4638" s="215"/>
      <c r="M4638" s="53"/>
      <c r="N4638" s="53" t="str">
        <f t="shared" si="451"/>
        <v/>
      </c>
      <c r="O4638" s="72"/>
      <c r="P4638" s="36" t="str">
        <f t="shared" si="446"/>
        <v/>
      </c>
      <c r="Q4638" s="216" t="str">
        <f t="shared" si="447"/>
        <v/>
      </c>
      <c r="R4638" s="216" t="str">
        <f t="shared" si="448"/>
        <v/>
      </c>
      <c r="S4638" s="217" t="str">
        <f t="shared" si="449"/>
        <v/>
      </c>
    </row>
    <row r="4639" spans="1:19" ht="15.75" hidden="1" thickBot="1" x14ac:dyDescent="0.3">
      <c r="A4639" s="256" t="s">
        <v>1231</v>
      </c>
      <c r="B4639" s="259" t="str">
        <f>INDEX(Orçamentária!A:B,MATCH(Composições!A4639,Orçamentária!A:A,0),2)</f>
        <v>Colagem da camada de proteção térmica de impermeabilização</v>
      </c>
      <c r="C4639" s="40"/>
      <c r="D4639" s="25" t="s">
        <v>70</v>
      </c>
      <c r="E4639" s="26"/>
      <c r="F4639" s="48" t="s">
        <v>416</v>
      </c>
      <c r="G4639" s="27" t="str">
        <f t="shared" si="450"/>
        <v/>
      </c>
      <c r="H4639" s="28"/>
      <c r="I4639" s="29"/>
      <c r="J4639" s="152">
        <v>0</v>
      </c>
      <c r="L4639" s="218"/>
      <c r="M4639" s="48"/>
      <c r="N4639" s="27" t="str">
        <f t="shared" si="451"/>
        <v/>
      </c>
      <c r="O4639" s="28"/>
      <c r="P4639" s="36" t="str">
        <f t="shared" si="446"/>
        <v/>
      </c>
      <c r="Q4639" s="216" t="str">
        <f t="shared" si="447"/>
        <v/>
      </c>
      <c r="R4639" s="216" t="str">
        <f t="shared" si="448"/>
        <v/>
      </c>
      <c r="S4639" s="217" t="str">
        <f t="shared" si="449"/>
        <v/>
      </c>
    </row>
    <row r="4640" spans="1:19" ht="15.75" hidden="1" thickBot="1" x14ac:dyDescent="0.3">
      <c r="A4640" s="257"/>
      <c r="B4640" s="260"/>
      <c r="C4640" s="31"/>
      <c r="D4640" s="31"/>
      <c r="E4640" s="32"/>
      <c r="F4640" s="53" t="s">
        <v>416</v>
      </c>
      <c r="G4640" s="53" t="str">
        <f t="shared" si="450"/>
        <v/>
      </c>
      <c r="H4640" s="72"/>
      <c r="I4640" s="73"/>
      <c r="J4640" s="152">
        <v>0</v>
      </c>
      <c r="L4640" s="219"/>
      <c r="M4640" s="53"/>
      <c r="N4640" s="53" t="str">
        <f t="shared" si="451"/>
        <v/>
      </c>
      <c r="O4640" s="72"/>
      <c r="P4640" s="36" t="str">
        <f t="shared" si="446"/>
        <v/>
      </c>
      <c r="Q4640" s="216" t="str">
        <f t="shared" si="447"/>
        <v/>
      </c>
      <c r="R4640" s="216" t="str">
        <f t="shared" si="448"/>
        <v/>
      </c>
      <c r="S4640" s="217" t="str">
        <f t="shared" si="449"/>
        <v/>
      </c>
    </row>
    <row r="4641" spans="1:19" ht="26.25" hidden="1" thickBot="1" x14ac:dyDescent="0.3">
      <c r="A4641" s="257"/>
      <c r="B4641" s="260"/>
      <c r="C4641" s="35" t="s">
        <v>1232</v>
      </c>
      <c r="D4641" s="35" t="s">
        <v>75</v>
      </c>
      <c r="E4641" s="36">
        <v>0.35</v>
      </c>
      <c r="F4641" s="53">
        <v>18.506</v>
      </c>
      <c r="G4641" s="53">
        <f t="shared" si="450"/>
        <v>6.4771000000000001</v>
      </c>
      <c r="H4641" s="38">
        <f>SUM(G4641:G4642)</f>
        <v>8.2891300000000001</v>
      </c>
      <c r="I4641" s="39"/>
      <c r="J4641" s="152">
        <v>0</v>
      </c>
      <c r="L4641" s="215">
        <v>0.35</v>
      </c>
      <c r="M4641" s="53">
        <v>15.841136000000001</v>
      </c>
      <c r="N4641" s="53">
        <f t="shared" si="451"/>
        <v>5.5443975999999999</v>
      </c>
      <c r="O4641" s="38">
        <f>SUM(N4641:N4642)</f>
        <v>7.0954952799999997</v>
      </c>
      <c r="P4641" s="36" t="str">
        <f t="shared" si="446"/>
        <v/>
      </c>
      <c r="Q4641" s="216">
        <f t="shared" si="447"/>
        <v>0.14400000000000002</v>
      </c>
      <c r="R4641" s="216">
        <f t="shared" si="448"/>
        <v>0.14400000000000002</v>
      </c>
      <c r="S4641" s="217">
        <f t="shared" si="449"/>
        <v>0.14400000000000002</v>
      </c>
    </row>
    <row r="4642" spans="1:19" ht="15.75" hidden="1" thickBot="1" x14ac:dyDescent="0.3">
      <c r="A4642" s="257"/>
      <c r="B4642" s="260"/>
      <c r="C4642" s="35" t="s">
        <v>1233</v>
      </c>
      <c r="D4642" s="35" t="s">
        <v>583</v>
      </c>
      <c r="E4642" s="36">
        <v>8.5000000000000006E-2</v>
      </c>
      <c r="F4642" s="53">
        <v>21.318000000000001</v>
      </c>
      <c r="G4642" s="53">
        <f t="shared" si="450"/>
        <v>1.8120300000000003</v>
      </c>
      <c r="H4642" s="72"/>
      <c r="I4642" s="73"/>
      <c r="J4642" s="152">
        <v>0</v>
      </c>
      <c r="L4642" s="215">
        <v>8.5000000000000006E-2</v>
      </c>
      <c r="M4642" s="53">
        <v>18.248208000000002</v>
      </c>
      <c r="N4642" s="53">
        <f t="shared" si="451"/>
        <v>1.5510976800000003</v>
      </c>
      <c r="O4642" s="72"/>
      <c r="P4642" s="36" t="str">
        <f t="shared" si="446"/>
        <v/>
      </c>
      <c r="Q4642" s="216">
        <f t="shared" si="447"/>
        <v>0.14400000000000002</v>
      </c>
      <c r="R4642" s="216">
        <f t="shared" si="448"/>
        <v>0.14400000000000002</v>
      </c>
      <c r="S4642" s="217" t="str">
        <f t="shared" si="449"/>
        <v/>
      </c>
    </row>
    <row r="4643" spans="1:19" ht="15.75" hidden="1" thickBot="1" x14ac:dyDescent="0.3">
      <c r="A4643" s="257"/>
      <c r="B4643" s="260"/>
      <c r="C4643" s="35"/>
      <c r="D4643" s="35"/>
      <c r="E4643" s="36"/>
      <c r="F4643" s="53" t="s">
        <v>416</v>
      </c>
      <c r="G4643" s="53" t="str">
        <f t="shared" si="450"/>
        <v/>
      </c>
      <c r="H4643" s="72"/>
      <c r="I4643" s="73"/>
      <c r="J4643" s="152">
        <v>0</v>
      </c>
      <c r="L4643" s="215"/>
      <c r="M4643" s="53"/>
      <c r="N4643" s="53" t="str">
        <f t="shared" si="451"/>
        <v/>
      </c>
      <c r="O4643" s="72"/>
      <c r="P4643" s="36" t="str">
        <f t="shared" si="446"/>
        <v/>
      </c>
      <c r="Q4643" s="216" t="str">
        <f t="shared" si="447"/>
        <v/>
      </c>
      <c r="R4643" s="216" t="str">
        <f t="shared" si="448"/>
        <v/>
      </c>
      <c r="S4643" s="217" t="str">
        <f t="shared" si="449"/>
        <v/>
      </c>
    </row>
    <row r="4644" spans="1:19" ht="26.25" hidden="1" thickBot="1" x14ac:dyDescent="0.3">
      <c r="A4644" s="257"/>
      <c r="B4644" s="260"/>
      <c r="C4644" s="47" t="s">
        <v>1234</v>
      </c>
      <c r="D4644" s="35"/>
      <c r="E4644" s="36"/>
      <c r="F4644" s="53" t="s">
        <v>416</v>
      </c>
      <c r="G4644" s="53" t="str">
        <f t="shared" si="450"/>
        <v/>
      </c>
      <c r="H4644" s="72"/>
      <c r="I4644" s="73"/>
      <c r="J4644" s="152">
        <v>0</v>
      </c>
      <c r="L4644" s="215"/>
      <c r="M4644" s="53"/>
      <c r="N4644" s="53" t="str">
        <f t="shared" si="451"/>
        <v/>
      </c>
      <c r="O4644" s="72"/>
      <c r="P4644" s="36" t="str">
        <f t="shared" si="446"/>
        <v/>
      </c>
      <c r="Q4644" s="216" t="str">
        <f t="shared" si="447"/>
        <v/>
      </c>
      <c r="R4644" s="216" t="str">
        <f t="shared" si="448"/>
        <v/>
      </c>
      <c r="S4644" s="217" t="str">
        <f t="shared" si="449"/>
        <v/>
      </c>
    </row>
    <row r="4645" spans="1:19" ht="15.75" hidden="1" thickBot="1" x14ac:dyDescent="0.3">
      <c r="A4645" s="257"/>
      <c r="B4645" s="260"/>
      <c r="C4645" s="150" t="s">
        <v>1235</v>
      </c>
      <c r="D4645" s="35"/>
      <c r="E4645" s="36"/>
      <c r="F4645" s="53" t="s">
        <v>416</v>
      </c>
      <c r="G4645" s="53" t="str">
        <f t="shared" si="450"/>
        <v/>
      </c>
      <c r="H4645" s="72"/>
      <c r="I4645" s="73"/>
      <c r="J4645" s="152">
        <v>0</v>
      </c>
      <c r="L4645" s="215"/>
      <c r="M4645" s="53"/>
      <c r="N4645" s="53" t="str">
        <f t="shared" si="451"/>
        <v/>
      </c>
      <c r="O4645" s="72"/>
      <c r="P4645" s="36" t="str">
        <f t="shared" si="446"/>
        <v/>
      </c>
      <c r="Q4645" s="216" t="str">
        <f t="shared" si="447"/>
        <v/>
      </c>
      <c r="R4645" s="216" t="str">
        <f t="shared" si="448"/>
        <v/>
      </c>
      <c r="S4645" s="217" t="str">
        <f t="shared" si="449"/>
        <v/>
      </c>
    </row>
    <row r="4646" spans="1:19" ht="15.75" hidden="1" thickBot="1" x14ac:dyDescent="0.3">
      <c r="A4646" s="258"/>
      <c r="B4646" s="261"/>
      <c r="C4646" s="35"/>
      <c r="D4646" s="35"/>
      <c r="E4646" s="36"/>
      <c r="F4646" s="53" t="s">
        <v>416</v>
      </c>
      <c r="G4646" s="53" t="str">
        <f t="shared" si="450"/>
        <v/>
      </c>
      <c r="H4646" s="72"/>
      <c r="I4646" s="73"/>
      <c r="J4646" s="152">
        <v>0</v>
      </c>
      <c r="L4646" s="215"/>
      <c r="M4646" s="53"/>
      <c r="N4646" s="53" t="str">
        <f t="shared" si="451"/>
        <v/>
      </c>
      <c r="O4646" s="72"/>
      <c r="P4646" s="36" t="str">
        <f t="shared" si="446"/>
        <v/>
      </c>
      <c r="Q4646" s="216" t="str">
        <f t="shared" si="447"/>
        <v/>
      </c>
      <c r="R4646" s="216" t="str">
        <f t="shared" si="448"/>
        <v/>
      </c>
      <c r="S4646" s="217" t="str">
        <f t="shared" si="449"/>
        <v/>
      </c>
    </row>
    <row r="4647" spans="1:19" ht="15.75" hidden="1" thickBot="1" x14ac:dyDescent="0.3">
      <c r="A4647" s="256" t="s">
        <v>1236</v>
      </c>
      <c r="B4647" s="259" t="str">
        <f>INDEX(Orçamentária!A:B,MATCH(Composições!A4647,Orçamentária!A:A,0),2)</f>
        <v>Impermeabilização com Membrana de Poliuretano</v>
      </c>
      <c r="C4647" s="40"/>
      <c r="D4647" s="25" t="s">
        <v>70</v>
      </c>
      <c r="E4647" s="26"/>
      <c r="F4647" s="48" t="s">
        <v>416</v>
      </c>
      <c r="G4647" s="27" t="str">
        <f t="shared" si="450"/>
        <v/>
      </c>
      <c r="H4647" s="28"/>
      <c r="I4647" s="29"/>
      <c r="J4647" s="152">
        <v>0</v>
      </c>
      <c r="L4647" s="218"/>
      <c r="M4647" s="48"/>
      <c r="N4647" s="27" t="str">
        <f t="shared" si="451"/>
        <v/>
      </c>
      <c r="O4647" s="28"/>
      <c r="P4647" s="36" t="str">
        <f t="shared" si="446"/>
        <v/>
      </c>
      <c r="Q4647" s="216" t="str">
        <f t="shared" si="447"/>
        <v/>
      </c>
      <c r="R4647" s="216" t="str">
        <f t="shared" si="448"/>
        <v/>
      </c>
      <c r="S4647" s="217" t="str">
        <f t="shared" si="449"/>
        <v/>
      </c>
    </row>
    <row r="4648" spans="1:19" ht="15.75" hidden="1" thickBot="1" x14ac:dyDescent="0.3">
      <c r="A4648" s="257"/>
      <c r="B4648" s="260"/>
      <c r="C4648" s="31"/>
      <c r="D4648" s="31"/>
      <c r="E4648" s="32"/>
      <c r="F4648" s="53" t="s">
        <v>416</v>
      </c>
      <c r="G4648" s="53" t="str">
        <f t="shared" si="450"/>
        <v/>
      </c>
      <c r="H4648" s="72"/>
      <c r="I4648" s="73"/>
      <c r="J4648" s="152">
        <v>0</v>
      </c>
      <c r="L4648" s="219"/>
      <c r="M4648" s="53"/>
      <c r="N4648" s="53" t="str">
        <f t="shared" si="451"/>
        <v/>
      </c>
      <c r="O4648" s="72"/>
      <c r="P4648" s="36" t="str">
        <f t="shared" si="446"/>
        <v/>
      </c>
      <c r="Q4648" s="216" t="str">
        <f t="shared" si="447"/>
        <v/>
      </c>
      <c r="R4648" s="216" t="str">
        <f t="shared" si="448"/>
        <v/>
      </c>
      <c r="S4648" s="217" t="str">
        <f t="shared" si="449"/>
        <v/>
      </c>
    </row>
    <row r="4649" spans="1:19" ht="15.75" hidden="1" thickBot="1" x14ac:dyDescent="0.3">
      <c r="A4649" s="257"/>
      <c r="B4649" s="260"/>
      <c r="C4649" s="35" t="s">
        <v>1237</v>
      </c>
      <c r="D4649" s="35" t="s">
        <v>773</v>
      </c>
      <c r="E4649" s="36">
        <v>2</v>
      </c>
      <c r="F4649" s="53">
        <v>68.59</v>
      </c>
      <c r="G4649" s="53">
        <f t="shared" si="450"/>
        <v>137.18</v>
      </c>
      <c r="H4649" s="38">
        <f>SUM(G4649:G4651)</f>
        <v>152.15492599999999</v>
      </c>
      <c r="I4649" s="39"/>
      <c r="J4649" s="152">
        <v>0</v>
      </c>
      <c r="L4649" s="215">
        <v>2</v>
      </c>
      <c r="M4649" s="53">
        <v>58.713040000000007</v>
      </c>
      <c r="N4649" s="53">
        <f t="shared" si="451"/>
        <v>117.42608000000001</v>
      </c>
      <c r="O4649" s="38">
        <f>SUM(N4649:N4651)</f>
        <v>130.24461665600001</v>
      </c>
      <c r="P4649" s="36" t="str">
        <f t="shared" si="446"/>
        <v/>
      </c>
      <c r="Q4649" s="216">
        <f t="shared" si="447"/>
        <v>0.14399999999999991</v>
      </c>
      <c r="R4649" s="216">
        <f t="shared" si="448"/>
        <v>0.14399999999999991</v>
      </c>
      <c r="S4649" s="217">
        <f t="shared" si="449"/>
        <v>0.14399999999999991</v>
      </c>
    </row>
    <row r="4650" spans="1:19" ht="15.75" hidden="1" thickBot="1" x14ac:dyDescent="0.3">
      <c r="A4650" s="257"/>
      <c r="B4650" s="260"/>
      <c r="C4650" s="35" t="s">
        <v>1233</v>
      </c>
      <c r="D4650" s="35" t="s">
        <v>583</v>
      </c>
      <c r="E4650" s="36">
        <v>9.6000000000000002E-2</v>
      </c>
      <c r="F4650" s="53">
        <v>21.318000000000001</v>
      </c>
      <c r="G4650" s="53">
        <f t="shared" si="450"/>
        <v>2.0465280000000003</v>
      </c>
      <c r="H4650" s="72"/>
      <c r="I4650" s="73"/>
      <c r="J4650" s="152">
        <v>0</v>
      </c>
      <c r="L4650" s="215">
        <v>9.6000000000000002E-2</v>
      </c>
      <c r="M4650" s="53">
        <v>18.248208000000002</v>
      </c>
      <c r="N4650" s="53">
        <f t="shared" si="451"/>
        <v>1.7518279680000002</v>
      </c>
      <c r="O4650" s="72"/>
      <c r="P4650" s="36" t="str">
        <f t="shared" si="446"/>
        <v/>
      </c>
      <c r="Q4650" s="216">
        <f t="shared" si="447"/>
        <v>0.14400000000000002</v>
      </c>
      <c r="R4650" s="216">
        <f t="shared" si="448"/>
        <v>0.14400000000000002</v>
      </c>
      <c r="S4650" s="217" t="str">
        <f t="shared" si="449"/>
        <v/>
      </c>
    </row>
    <row r="4651" spans="1:19" ht="15.75" hidden="1" thickBot="1" x14ac:dyDescent="0.3">
      <c r="A4651" s="257"/>
      <c r="B4651" s="260"/>
      <c r="C4651" s="35" t="s">
        <v>881</v>
      </c>
      <c r="D4651" s="35" t="s">
        <v>583</v>
      </c>
      <c r="E4651" s="36">
        <v>0.47599999999999998</v>
      </c>
      <c r="F4651" s="53">
        <v>27.160499999999999</v>
      </c>
      <c r="G4651" s="53">
        <f t="shared" si="450"/>
        <v>12.928398</v>
      </c>
      <c r="H4651" s="72"/>
      <c r="I4651" s="73"/>
      <c r="J4651" s="152">
        <v>0</v>
      </c>
      <c r="L4651" s="215">
        <v>0.47599999999999998</v>
      </c>
      <c r="M4651" s="53">
        <v>23.249388</v>
      </c>
      <c r="N4651" s="53">
        <f t="shared" si="451"/>
        <v>11.066708687999999</v>
      </c>
      <c r="O4651" s="72"/>
      <c r="P4651" s="36" t="str">
        <f t="shared" si="446"/>
        <v/>
      </c>
      <c r="Q4651" s="216">
        <f t="shared" si="447"/>
        <v>0.14400000000000002</v>
      </c>
      <c r="R4651" s="216">
        <f t="shared" si="448"/>
        <v>0.14400000000000013</v>
      </c>
      <c r="S4651" s="217" t="str">
        <f t="shared" si="449"/>
        <v/>
      </c>
    </row>
    <row r="4652" spans="1:19" ht="15.75" hidden="1" thickBot="1" x14ac:dyDescent="0.3">
      <c r="A4652" s="257"/>
      <c r="B4652" s="260"/>
      <c r="C4652" s="35"/>
      <c r="D4652" s="35"/>
      <c r="E4652" s="36"/>
      <c r="F4652" s="53" t="s">
        <v>416</v>
      </c>
      <c r="G4652" s="53" t="str">
        <f t="shared" si="450"/>
        <v/>
      </c>
      <c r="H4652" s="72"/>
      <c r="I4652" s="73"/>
      <c r="J4652" s="152">
        <v>0</v>
      </c>
      <c r="L4652" s="215"/>
      <c r="M4652" s="53"/>
      <c r="N4652" s="53" t="str">
        <f t="shared" si="451"/>
        <v/>
      </c>
      <c r="O4652" s="72"/>
      <c r="P4652" s="36" t="str">
        <f t="shared" si="446"/>
        <v/>
      </c>
      <c r="Q4652" s="216" t="str">
        <f t="shared" si="447"/>
        <v/>
      </c>
      <c r="R4652" s="216" t="str">
        <f t="shared" si="448"/>
        <v/>
      </c>
      <c r="S4652" s="217" t="str">
        <f t="shared" si="449"/>
        <v/>
      </c>
    </row>
    <row r="4653" spans="1:19" ht="15.75" hidden="1" thickBot="1" x14ac:dyDescent="0.3">
      <c r="A4653" s="256" t="s">
        <v>1238</v>
      </c>
      <c r="B4653" s="259" t="str">
        <f>INDEX(Orçamentária!A:B,MATCH(Composições!A4653,Orçamentária!A:A,0),2)</f>
        <v>Impermeabilização com Manta Asfáltica</v>
      </c>
      <c r="C4653" s="40"/>
      <c r="D4653" s="25" t="s">
        <v>70</v>
      </c>
      <c r="E4653" s="26"/>
      <c r="F4653" s="48" t="s">
        <v>416</v>
      </c>
      <c r="G4653" s="27" t="str">
        <f t="shared" si="450"/>
        <v/>
      </c>
      <c r="H4653" s="28"/>
      <c r="I4653" s="29"/>
      <c r="J4653" s="152">
        <v>0</v>
      </c>
      <c r="L4653" s="218"/>
      <c r="M4653" s="48"/>
      <c r="N4653" s="27" t="str">
        <f t="shared" si="451"/>
        <v/>
      </c>
      <c r="O4653" s="28"/>
      <c r="P4653" s="36" t="str">
        <f t="shared" si="446"/>
        <v/>
      </c>
      <c r="Q4653" s="216" t="str">
        <f t="shared" si="447"/>
        <v/>
      </c>
      <c r="R4653" s="216" t="str">
        <f t="shared" si="448"/>
        <v/>
      </c>
      <c r="S4653" s="217" t="str">
        <f t="shared" si="449"/>
        <v/>
      </c>
    </row>
    <row r="4654" spans="1:19" ht="15.75" hidden="1" thickBot="1" x14ac:dyDescent="0.3">
      <c r="A4654" s="257"/>
      <c r="B4654" s="260"/>
      <c r="C4654" s="31"/>
      <c r="D4654" s="31"/>
      <c r="E4654" s="32"/>
      <c r="F4654" s="53" t="s">
        <v>416</v>
      </c>
      <c r="G4654" s="53" t="str">
        <f t="shared" si="450"/>
        <v/>
      </c>
      <c r="H4654" s="72"/>
      <c r="I4654" s="73"/>
      <c r="J4654" s="152">
        <v>0</v>
      </c>
      <c r="L4654" s="219"/>
      <c r="M4654" s="53"/>
      <c r="N4654" s="53" t="str">
        <f t="shared" si="451"/>
        <v/>
      </c>
      <c r="O4654" s="72"/>
      <c r="P4654" s="36" t="str">
        <f t="shared" si="446"/>
        <v/>
      </c>
      <c r="Q4654" s="216" t="str">
        <f t="shared" si="447"/>
        <v/>
      </c>
      <c r="R4654" s="216" t="str">
        <f t="shared" si="448"/>
        <v/>
      </c>
      <c r="S4654" s="217" t="str">
        <f t="shared" si="449"/>
        <v/>
      </c>
    </row>
    <row r="4655" spans="1:19" ht="26.25" hidden="1" thickBot="1" x14ac:dyDescent="0.3">
      <c r="A4655" s="257"/>
      <c r="B4655" s="260"/>
      <c r="C4655" s="35" t="s">
        <v>1232</v>
      </c>
      <c r="D4655" s="35" t="s">
        <v>75</v>
      </c>
      <c r="E4655" s="36">
        <v>0.61499999999999999</v>
      </c>
      <c r="F4655" s="53">
        <v>18.506</v>
      </c>
      <c r="G4655" s="53">
        <f t="shared" si="450"/>
        <v>11.38119</v>
      </c>
      <c r="H4655" s="38">
        <f>SUM(G4655:G4659)</f>
        <v>105.91588</v>
      </c>
      <c r="I4655" s="39"/>
      <c r="J4655" s="152">
        <v>0</v>
      </c>
      <c r="L4655" s="215">
        <v>0.61499999999999999</v>
      </c>
      <c r="M4655" s="53">
        <v>15.841136000000001</v>
      </c>
      <c r="N4655" s="53">
        <f t="shared" si="451"/>
        <v>9.7422986399999996</v>
      </c>
      <c r="O4655" s="38">
        <f>SUM(N4655:N4659)</f>
        <v>90.66399328</v>
      </c>
      <c r="P4655" s="36" t="str">
        <f t="shared" si="446"/>
        <v/>
      </c>
      <c r="Q4655" s="216">
        <f t="shared" si="447"/>
        <v>0.14400000000000002</v>
      </c>
      <c r="R4655" s="216">
        <f t="shared" si="448"/>
        <v>0.14400000000000002</v>
      </c>
      <c r="S4655" s="217">
        <f t="shared" si="449"/>
        <v>0.14400000000000002</v>
      </c>
    </row>
    <row r="4656" spans="1:19" ht="26.25" hidden="1" thickBot="1" x14ac:dyDescent="0.3">
      <c r="A4656" s="257"/>
      <c r="B4656" s="260"/>
      <c r="C4656" s="35" t="s">
        <v>1239</v>
      </c>
      <c r="D4656" s="35" t="s">
        <v>861</v>
      </c>
      <c r="E4656" s="36">
        <v>1.125</v>
      </c>
      <c r="F4656" s="53">
        <v>55.783999999999999</v>
      </c>
      <c r="G4656" s="53">
        <f t="shared" si="450"/>
        <v>62.756999999999998</v>
      </c>
      <c r="H4656" s="72"/>
      <c r="I4656" s="73"/>
      <c r="J4656" s="152">
        <v>0</v>
      </c>
      <c r="L4656" s="215">
        <v>1.125</v>
      </c>
      <c r="M4656" s="53">
        <v>47.751103999999998</v>
      </c>
      <c r="N4656" s="53">
        <f t="shared" si="451"/>
        <v>53.719991999999998</v>
      </c>
      <c r="O4656" s="72"/>
      <c r="P4656" s="36" t="str">
        <f t="shared" si="446"/>
        <v/>
      </c>
      <c r="Q4656" s="216">
        <f t="shared" si="447"/>
        <v>0.14400000000000002</v>
      </c>
      <c r="R4656" s="216">
        <f t="shared" si="448"/>
        <v>0.14400000000000002</v>
      </c>
      <c r="S4656" s="217" t="str">
        <f t="shared" si="449"/>
        <v/>
      </c>
    </row>
    <row r="4657" spans="1:19" ht="15.75" hidden="1" thickBot="1" x14ac:dyDescent="0.3">
      <c r="A4657" s="257"/>
      <c r="B4657" s="260"/>
      <c r="C4657" s="35" t="s">
        <v>1240</v>
      </c>
      <c r="D4657" s="35" t="s">
        <v>773</v>
      </c>
      <c r="E4657" s="36">
        <v>0.26</v>
      </c>
      <c r="F4657" s="53">
        <v>7.4479999999999995</v>
      </c>
      <c r="G4657" s="53">
        <f t="shared" si="450"/>
        <v>1.93648</v>
      </c>
      <c r="H4657" s="72"/>
      <c r="I4657" s="73"/>
      <c r="J4657" s="152">
        <v>0</v>
      </c>
      <c r="L4657" s="215">
        <v>0.26</v>
      </c>
      <c r="M4657" s="53">
        <v>6.3754879999999998</v>
      </c>
      <c r="N4657" s="53">
        <f t="shared" si="451"/>
        <v>1.65762688</v>
      </c>
      <c r="O4657" s="72"/>
      <c r="P4657" s="36" t="str">
        <f t="shared" si="446"/>
        <v/>
      </c>
      <c r="Q4657" s="216">
        <f t="shared" si="447"/>
        <v>0.14400000000000002</v>
      </c>
      <c r="R4657" s="216">
        <f t="shared" si="448"/>
        <v>0.14400000000000002</v>
      </c>
      <c r="S4657" s="217" t="str">
        <f t="shared" si="449"/>
        <v/>
      </c>
    </row>
    <row r="4658" spans="1:19" ht="15.75" hidden="1" thickBot="1" x14ac:dyDescent="0.3">
      <c r="A4658" s="257"/>
      <c r="B4658" s="260"/>
      <c r="C4658" s="35" t="s">
        <v>1233</v>
      </c>
      <c r="D4658" s="35" t="s">
        <v>583</v>
      </c>
      <c r="E4658" s="36">
        <v>0.192</v>
      </c>
      <c r="F4658" s="53">
        <v>21.318000000000001</v>
      </c>
      <c r="G4658" s="53">
        <f t="shared" si="450"/>
        <v>4.0930560000000007</v>
      </c>
      <c r="H4658" s="72"/>
      <c r="I4658" s="73"/>
      <c r="J4658" s="152">
        <v>0</v>
      </c>
      <c r="L4658" s="215">
        <v>0.192</v>
      </c>
      <c r="M4658" s="53">
        <v>18.248208000000002</v>
      </c>
      <c r="N4658" s="53">
        <f t="shared" si="451"/>
        <v>3.5036559360000004</v>
      </c>
      <c r="O4658" s="72"/>
      <c r="P4658" s="36" t="str">
        <f t="shared" si="446"/>
        <v/>
      </c>
      <c r="Q4658" s="216">
        <f t="shared" si="447"/>
        <v>0.14400000000000002</v>
      </c>
      <c r="R4658" s="216">
        <f t="shared" si="448"/>
        <v>0.14400000000000002</v>
      </c>
      <c r="S4658" s="217" t="str">
        <f t="shared" si="449"/>
        <v/>
      </c>
    </row>
    <row r="4659" spans="1:19" ht="15.75" hidden="1" thickBot="1" x14ac:dyDescent="0.3">
      <c r="A4659" s="257"/>
      <c r="B4659" s="260"/>
      <c r="C4659" s="35" t="s">
        <v>881</v>
      </c>
      <c r="D4659" s="35" t="s">
        <v>583</v>
      </c>
      <c r="E4659" s="36">
        <v>0.94799999999999995</v>
      </c>
      <c r="F4659" s="53">
        <v>27.160499999999999</v>
      </c>
      <c r="G4659" s="53">
        <f t="shared" si="450"/>
        <v>25.748154</v>
      </c>
      <c r="H4659" s="72"/>
      <c r="I4659" s="73"/>
      <c r="J4659" s="152">
        <v>0</v>
      </c>
      <c r="L4659" s="215">
        <v>0.94799999999999995</v>
      </c>
      <c r="M4659" s="53">
        <v>23.249388</v>
      </c>
      <c r="N4659" s="53">
        <f t="shared" si="451"/>
        <v>22.040419823999997</v>
      </c>
      <c r="O4659" s="72"/>
      <c r="P4659" s="36" t="str">
        <f t="shared" si="446"/>
        <v/>
      </c>
      <c r="Q4659" s="216">
        <f t="shared" si="447"/>
        <v>0.14400000000000002</v>
      </c>
      <c r="R4659" s="216">
        <f t="shared" si="448"/>
        <v>0.14400000000000013</v>
      </c>
      <c r="S4659" s="217" t="str">
        <f t="shared" si="449"/>
        <v/>
      </c>
    </row>
    <row r="4660" spans="1:19" ht="15.75" hidden="1" thickBot="1" x14ac:dyDescent="0.3">
      <c r="A4660" s="257"/>
      <c r="B4660" s="260"/>
      <c r="C4660" s="35"/>
      <c r="D4660" s="35"/>
      <c r="E4660" s="36"/>
      <c r="F4660" s="53" t="s">
        <v>416</v>
      </c>
      <c r="G4660" s="53" t="str">
        <f t="shared" si="450"/>
        <v/>
      </c>
      <c r="H4660" s="72"/>
      <c r="I4660" s="73"/>
      <c r="J4660" s="152">
        <v>0</v>
      </c>
      <c r="L4660" s="215"/>
      <c r="M4660" s="53"/>
      <c r="N4660" s="53" t="str">
        <f t="shared" si="451"/>
        <v/>
      </c>
      <c r="O4660" s="72"/>
      <c r="P4660" s="36" t="str">
        <f t="shared" si="446"/>
        <v/>
      </c>
      <c r="Q4660" s="216" t="str">
        <f t="shared" si="447"/>
        <v/>
      </c>
      <c r="R4660" s="216" t="str">
        <f t="shared" si="448"/>
        <v/>
      </c>
      <c r="S4660" s="217" t="str">
        <f t="shared" si="449"/>
        <v/>
      </c>
    </row>
    <row r="4661" spans="1:19" ht="15.75" hidden="1" thickBot="1" x14ac:dyDescent="0.3">
      <c r="A4661" s="256" t="s">
        <v>1241</v>
      </c>
      <c r="B4661" s="259" t="str">
        <f>INDEX(Orçamentária!A:B,MATCH(Composições!A4661,Orçamentária!A:A,0),2)</f>
        <v>Impermeabilização com manta asfáltica aluminizada</v>
      </c>
      <c r="C4661" s="40"/>
      <c r="D4661" s="25" t="s">
        <v>70</v>
      </c>
      <c r="E4661" s="26"/>
      <c r="F4661" s="48" t="s">
        <v>416</v>
      </c>
      <c r="G4661" s="27" t="str">
        <f t="shared" si="450"/>
        <v/>
      </c>
      <c r="H4661" s="28"/>
      <c r="I4661" s="29"/>
      <c r="J4661" s="152">
        <v>0</v>
      </c>
      <c r="L4661" s="218"/>
      <c r="M4661" s="48"/>
      <c r="N4661" s="27" t="str">
        <f t="shared" si="451"/>
        <v/>
      </c>
      <c r="O4661" s="28"/>
      <c r="P4661" s="36" t="str">
        <f t="shared" si="446"/>
        <v/>
      </c>
      <c r="Q4661" s="216" t="str">
        <f t="shared" si="447"/>
        <v/>
      </c>
      <c r="R4661" s="216" t="str">
        <f t="shared" si="448"/>
        <v/>
      </c>
      <c r="S4661" s="217" t="str">
        <f t="shared" si="449"/>
        <v/>
      </c>
    </row>
    <row r="4662" spans="1:19" ht="15.75" hidden="1" thickBot="1" x14ac:dyDescent="0.3">
      <c r="A4662" s="257"/>
      <c r="B4662" s="260"/>
      <c r="C4662" s="31"/>
      <c r="D4662" s="31"/>
      <c r="E4662" s="32"/>
      <c r="F4662" s="53" t="s">
        <v>416</v>
      </c>
      <c r="G4662" s="53" t="str">
        <f t="shared" si="450"/>
        <v/>
      </c>
      <c r="H4662" s="72"/>
      <c r="I4662" s="73"/>
      <c r="J4662" s="152">
        <v>0</v>
      </c>
      <c r="L4662" s="219"/>
      <c r="M4662" s="53"/>
      <c r="N4662" s="53" t="str">
        <f t="shared" si="451"/>
        <v/>
      </c>
      <c r="O4662" s="72"/>
      <c r="P4662" s="36" t="str">
        <f t="shared" si="446"/>
        <v/>
      </c>
      <c r="Q4662" s="216" t="str">
        <f t="shared" si="447"/>
        <v/>
      </c>
      <c r="R4662" s="216" t="str">
        <f t="shared" si="448"/>
        <v/>
      </c>
      <c r="S4662" s="217" t="str">
        <f t="shared" si="449"/>
        <v/>
      </c>
    </row>
    <row r="4663" spans="1:19" ht="26.25" hidden="1" thickBot="1" x14ac:dyDescent="0.3">
      <c r="A4663" s="257"/>
      <c r="B4663" s="260"/>
      <c r="C4663" s="35" t="s">
        <v>1232</v>
      </c>
      <c r="D4663" s="35" t="s">
        <v>75</v>
      </c>
      <c r="E4663" s="36">
        <v>0.61499999999999999</v>
      </c>
      <c r="F4663" s="53">
        <v>18.506</v>
      </c>
      <c r="G4663" s="53">
        <f t="shared" si="450"/>
        <v>11.38119</v>
      </c>
      <c r="H4663" s="38">
        <f>SUM(G4663:G4667)</f>
        <v>43.158879999999996</v>
      </c>
      <c r="I4663" s="39"/>
      <c r="J4663" s="152">
        <v>0</v>
      </c>
      <c r="L4663" s="215">
        <v>0.61499999999999999</v>
      </c>
      <c r="M4663" s="53">
        <v>15.841136000000001</v>
      </c>
      <c r="N4663" s="53">
        <f t="shared" si="451"/>
        <v>9.7422986399999996</v>
      </c>
      <c r="O4663" s="38">
        <f>SUM(N4663:N4667)</f>
        <v>36.944001279999995</v>
      </c>
      <c r="P4663" s="36" t="str">
        <f t="shared" si="446"/>
        <v/>
      </c>
      <c r="Q4663" s="216">
        <f t="shared" si="447"/>
        <v>0.14400000000000002</v>
      </c>
      <c r="R4663" s="216">
        <f t="shared" si="448"/>
        <v>0.14400000000000002</v>
      </c>
      <c r="S4663" s="217">
        <f t="shared" si="449"/>
        <v>0.14400000000000002</v>
      </c>
    </row>
    <row r="4664" spans="1:19" ht="15.75" hidden="1" thickBot="1" x14ac:dyDescent="0.3">
      <c r="A4664" s="257"/>
      <c r="B4664" s="260"/>
      <c r="C4664" s="35" t="s">
        <v>1242</v>
      </c>
      <c r="D4664" s="35" t="s">
        <v>861</v>
      </c>
      <c r="E4664" s="36">
        <v>1.125</v>
      </c>
      <c r="F4664" s="53">
        <v>0</v>
      </c>
      <c r="G4664" s="53">
        <f t="shared" si="450"/>
        <v>0</v>
      </c>
      <c r="H4664" s="72"/>
      <c r="I4664" s="73"/>
      <c r="J4664" s="152">
        <v>0</v>
      </c>
      <c r="L4664" s="215">
        <v>1.125</v>
      </c>
      <c r="M4664" s="53">
        <v>0</v>
      </c>
      <c r="N4664" s="53">
        <f t="shared" si="451"/>
        <v>0</v>
      </c>
      <c r="O4664" s="72"/>
      <c r="P4664" s="36" t="str">
        <f t="shared" si="446"/>
        <v/>
      </c>
      <c r="Q4664" s="216" t="e">
        <f t="shared" si="447"/>
        <v>#DIV/0!</v>
      </c>
      <c r="R4664" s="216" t="e">
        <f t="shared" si="448"/>
        <v>#DIV/0!</v>
      </c>
      <c r="S4664" s="217" t="str">
        <f t="shared" si="449"/>
        <v/>
      </c>
    </row>
    <row r="4665" spans="1:19" ht="15.75" hidden="1" thickBot="1" x14ac:dyDescent="0.3">
      <c r="A4665" s="257"/>
      <c r="B4665" s="260"/>
      <c r="C4665" s="35" t="s">
        <v>1240</v>
      </c>
      <c r="D4665" s="35" t="s">
        <v>773</v>
      </c>
      <c r="E4665" s="36">
        <v>0.26</v>
      </c>
      <c r="F4665" s="53">
        <v>7.4479999999999995</v>
      </c>
      <c r="G4665" s="53">
        <f t="shared" si="450"/>
        <v>1.93648</v>
      </c>
      <c r="H4665" s="72"/>
      <c r="I4665" s="73"/>
      <c r="J4665" s="152">
        <v>0</v>
      </c>
      <c r="L4665" s="215">
        <v>0.26</v>
      </c>
      <c r="M4665" s="53">
        <v>6.3754879999999998</v>
      </c>
      <c r="N4665" s="53">
        <f t="shared" si="451"/>
        <v>1.65762688</v>
      </c>
      <c r="O4665" s="72"/>
      <c r="P4665" s="36" t="str">
        <f t="shared" si="446"/>
        <v/>
      </c>
      <c r="Q4665" s="216">
        <f t="shared" si="447"/>
        <v>0.14400000000000002</v>
      </c>
      <c r="R4665" s="216">
        <f t="shared" si="448"/>
        <v>0.14400000000000002</v>
      </c>
      <c r="S4665" s="217" t="str">
        <f t="shared" si="449"/>
        <v/>
      </c>
    </row>
    <row r="4666" spans="1:19" ht="15.75" hidden="1" thickBot="1" x14ac:dyDescent="0.3">
      <c r="A4666" s="257"/>
      <c r="B4666" s="260"/>
      <c r="C4666" s="35" t="s">
        <v>1233</v>
      </c>
      <c r="D4666" s="35" t="s">
        <v>583</v>
      </c>
      <c r="E4666" s="36">
        <v>0.192</v>
      </c>
      <c r="F4666" s="53">
        <v>21.318000000000001</v>
      </c>
      <c r="G4666" s="53">
        <f t="shared" si="450"/>
        <v>4.0930560000000007</v>
      </c>
      <c r="H4666" s="72"/>
      <c r="I4666" s="73"/>
      <c r="J4666" s="152">
        <v>0</v>
      </c>
      <c r="L4666" s="215">
        <v>0.192</v>
      </c>
      <c r="M4666" s="53">
        <v>18.248208000000002</v>
      </c>
      <c r="N4666" s="53">
        <f t="shared" si="451"/>
        <v>3.5036559360000004</v>
      </c>
      <c r="O4666" s="72"/>
      <c r="P4666" s="36" t="str">
        <f t="shared" si="446"/>
        <v/>
      </c>
      <c r="Q4666" s="216">
        <f t="shared" si="447"/>
        <v>0.14400000000000002</v>
      </c>
      <c r="R4666" s="216">
        <f t="shared" si="448"/>
        <v>0.14400000000000002</v>
      </c>
      <c r="S4666" s="217" t="str">
        <f t="shared" si="449"/>
        <v/>
      </c>
    </row>
    <row r="4667" spans="1:19" ht="15.75" hidden="1" thickBot="1" x14ac:dyDescent="0.3">
      <c r="A4667" s="257"/>
      <c r="B4667" s="260"/>
      <c r="C4667" s="35" t="s">
        <v>881</v>
      </c>
      <c r="D4667" s="35" t="s">
        <v>583</v>
      </c>
      <c r="E4667" s="36">
        <v>0.94799999999999995</v>
      </c>
      <c r="F4667" s="53">
        <v>27.160499999999999</v>
      </c>
      <c r="G4667" s="53">
        <f t="shared" si="450"/>
        <v>25.748154</v>
      </c>
      <c r="H4667" s="72"/>
      <c r="I4667" s="73"/>
      <c r="J4667" s="152">
        <v>0</v>
      </c>
      <c r="L4667" s="215">
        <v>0.94799999999999995</v>
      </c>
      <c r="M4667" s="53">
        <v>23.249388</v>
      </c>
      <c r="N4667" s="53">
        <f t="shared" si="451"/>
        <v>22.040419823999997</v>
      </c>
      <c r="O4667" s="72"/>
      <c r="P4667" s="36" t="str">
        <f t="shared" si="446"/>
        <v/>
      </c>
      <c r="Q4667" s="216">
        <f t="shared" si="447"/>
        <v>0.14400000000000002</v>
      </c>
      <c r="R4667" s="216">
        <f t="shared" si="448"/>
        <v>0.14400000000000013</v>
      </c>
      <c r="S4667" s="217" t="str">
        <f t="shared" si="449"/>
        <v/>
      </c>
    </row>
    <row r="4668" spans="1:19" ht="15.75" hidden="1" thickBot="1" x14ac:dyDescent="0.3">
      <c r="A4668" s="257"/>
      <c r="B4668" s="260"/>
      <c r="C4668" s="35"/>
      <c r="D4668" s="35"/>
      <c r="E4668" s="36"/>
      <c r="F4668" s="53" t="s">
        <v>416</v>
      </c>
      <c r="G4668" s="53" t="str">
        <f t="shared" si="450"/>
        <v/>
      </c>
      <c r="H4668" s="72"/>
      <c r="I4668" s="73"/>
      <c r="J4668" s="152">
        <v>0</v>
      </c>
      <c r="L4668" s="215"/>
      <c r="M4668" s="53"/>
      <c r="N4668" s="53" t="str">
        <f t="shared" si="451"/>
        <v/>
      </c>
      <c r="O4668" s="72"/>
      <c r="P4668" s="36" t="str">
        <f t="shared" si="446"/>
        <v/>
      </c>
      <c r="Q4668" s="216" t="str">
        <f t="shared" si="447"/>
        <v/>
      </c>
      <c r="R4668" s="216" t="str">
        <f t="shared" si="448"/>
        <v/>
      </c>
      <c r="S4668" s="217" t="str">
        <f t="shared" si="449"/>
        <v/>
      </c>
    </row>
    <row r="4669" spans="1:19" ht="15.75" hidden="1" thickBot="1" x14ac:dyDescent="0.3">
      <c r="A4669" s="256" t="s">
        <v>1243</v>
      </c>
      <c r="B4669" s="259" t="str">
        <f>INDEX(Orçamentária!A:B,MATCH(Composições!A4669,Orçamentária!A:A,0),2)</f>
        <v>Impermeabilização com manta elastomérica de etileno-propileno-dieno-monômero (EPDM)</v>
      </c>
      <c r="C4669" s="40"/>
      <c r="D4669" s="25" t="s">
        <v>70</v>
      </c>
      <c r="E4669" s="26"/>
      <c r="F4669" s="48" t="s">
        <v>416</v>
      </c>
      <c r="G4669" s="27" t="str">
        <f t="shared" si="450"/>
        <v/>
      </c>
      <c r="H4669" s="28"/>
      <c r="I4669" s="29"/>
      <c r="J4669" s="152">
        <v>0</v>
      </c>
      <c r="L4669" s="218"/>
      <c r="M4669" s="48"/>
      <c r="N4669" s="27" t="str">
        <f t="shared" si="451"/>
        <v/>
      </c>
      <c r="O4669" s="28"/>
      <c r="P4669" s="36" t="str">
        <f t="shared" si="446"/>
        <v/>
      </c>
      <c r="Q4669" s="216" t="str">
        <f t="shared" si="447"/>
        <v/>
      </c>
      <c r="R4669" s="216" t="str">
        <f t="shared" si="448"/>
        <v/>
      </c>
      <c r="S4669" s="217" t="str">
        <f t="shared" si="449"/>
        <v/>
      </c>
    </row>
    <row r="4670" spans="1:19" ht="15.75" hidden="1" thickBot="1" x14ac:dyDescent="0.3">
      <c r="A4670" s="257"/>
      <c r="B4670" s="260"/>
      <c r="C4670" s="31"/>
      <c r="D4670" s="31"/>
      <c r="E4670" s="32"/>
      <c r="F4670" s="53" t="s">
        <v>416</v>
      </c>
      <c r="G4670" s="53" t="str">
        <f t="shared" si="450"/>
        <v/>
      </c>
      <c r="H4670" s="72"/>
      <c r="I4670" s="73"/>
      <c r="J4670" s="152">
        <v>0</v>
      </c>
      <c r="L4670" s="219"/>
      <c r="M4670" s="53"/>
      <c r="N4670" s="53" t="str">
        <f t="shared" si="451"/>
        <v/>
      </c>
      <c r="O4670" s="72"/>
      <c r="P4670" s="36" t="str">
        <f t="shared" si="446"/>
        <v/>
      </c>
      <c r="Q4670" s="216" t="str">
        <f t="shared" si="447"/>
        <v/>
      </c>
      <c r="R4670" s="216" t="str">
        <f t="shared" si="448"/>
        <v/>
      </c>
      <c r="S4670" s="217" t="str">
        <f t="shared" si="449"/>
        <v/>
      </c>
    </row>
    <row r="4671" spans="1:19" ht="15.75" hidden="1" thickBot="1" x14ac:dyDescent="0.3">
      <c r="A4671" s="257"/>
      <c r="B4671" s="260"/>
      <c r="C4671" s="35" t="s">
        <v>881</v>
      </c>
      <c r="D4671" s="35" t="s">
        <v>583</v>
      </c>
      <c r="E4671" s="36">
        <v>0.5</v>
      </c>
      <c r="F4671" s="53">
        <v>27.160499999999999</v>
      </c>
      <c r="G4671" s="53">
        <f t="shared" si="450"/>
        <v>13.580249999999999</v>
      </c>
      <c r="H4671" s="38">
        <f>SUM(G4671:G4677)</f>
        <v>24.239249999999998</v>
      </c>
      <c r="I4671" s="39"/>
      <c r="J4671" s="152">
        <v>0</v>
      </c>
      <c r="L4671" s="215">
        <v>0.5</v>
      </c>
      <c r="M4671" s="53">
        <v>23.249388</v>
      </c>
      <c r="N4671" s="53">
        <f t="shared" si="451"/>
        <v>11.624694</v>
      </c>
      <c r="O4671" s="38">
        <f>SUM(N4671:N4677)</f>
        <v>20.748798000000001</v>
      </c>
      <c r="P4671" s="36" t="str">
        <f t="shared" si="446"/>
        <v/>
      </c>
      <c r="Q4671" s="216">
        <f t="shared" si="447"/>
        <v>0.14400000000000002</v>
      </c>
      <c r="R4671" s="216">
        <f t="shared" si="448"/>
        <v>0.14400000000000002</v>
      </c>
      <c r="S4671" s="217">
        <f t="shared" si="449"/>
        <v>0.14399999999999991</v>
      </c>
    </row>
    <row r="4672" spans="1:19" ht="15.75" hidden="1" thickBot="1" x14ac:dyDescent="0.3">
      <c r="A4672" s="257"/>
      <c r="B4672" s="260"/>
      <c r="C4672" s="35" t="s">
        <v>1233</v>
      </c>
      <c r="D4672" s="35" t="s">
        <v>583</v>
      </c>
      <c r="E4672" s="36">
        <v>0.5</v>
      </c>
      <c r="F4672" s="53">
        <v>21.318000000000001</v>
      </c>
      <c r="G4672" s="53">
        <f t="shared" si="450"/>
        <v>10.659000000000001</v>
      </c>
      <c r="H4672" s="72"/>
      <c r="I4672" s="73"/>
      <c r="J4672" s="152">
        <v>0</v>
      </c>
      <c r="L4672" s="215">
        <v>0.5</v>
      </c>
      <c r="M4672" s="53">
        <v>18.248208000000002</v>
      </c>
      <c r="N4672" s="53">
        <f t="shared" si="451"/>
        <v>9.1241040000000009</v>
      </c>
      <c r="O4672" s="72"/>
      <c r="P4672" s="36" t="str">
        <f t="shared" si="446"/>
        <v/>
      </c>
      <c r="Q4672" s="216">
        <f t="shared" si="447"/>
        <v>0.14400000000000002</v>
      </c>
      <c r="R4672" s="216">
        <f t="shared" si="448"/>
        <v>0.14400000000000002</v>
      </c>
      <c r="S4672" s="217" t="str">
        <f t="shared" si="449"/>
        <v/>
      </c>
    </row>
    <row r="4673" spans="1:19" ht="15.75" hidden="1" thickBot="1" x14ac:dyDescent="0.3">
      <c r="A4673" s="257"/>
      <c r="B4673" s="260"/>
      <c r="C4673" s="35" t="s">
        <v>1244</v>
      </c>
      <c r="D4673" s="35" t="s">
        <v>773</v>
      </c>
      <c r="E4673" s="36">
        <v>0.8</v>
      </c>
      <c r="F4673" s="53">
        <v>0</v>
      </c>
      <c r="G4673" s="53">
        <f t="shared" si="450"/>
        <v>0</v>
      </c>
      <c r="H4673" s="72"/>
      <c r="I4673" s="73"/>
      <c r="J4673" s="152">
        <v>0</v>
      </c>
      <c r="L4673" s="215">
        <v>0.8</v>
      </c>
      <c r="M4673" s="53">
        <v>0</v>
      </c>
      <c r="N4673" s="53">
        <f t="shared" si="451"/>
        <v>0</v>
      </c>
      <c r="O4673" s="72"/>
      <c r="P4673" s="36" t="str">
        <f t="shared" si="446"/>
        <v/>
      </c>
      <c r="Q4673" s="216" t="e">
        <f t="shared" si="447"/>
        <v>#DIV/0!</v>
      </c>
      <c r="R4673" s="216" t="e">
        <f t="shared" si="448"/>
        <v>#DIV/0!</v>
      </c>
      <c r="S4673" s="217" t="str">
        <f t="shared" si="449"/>
        <v/>
      </c>
    </row>
    <row r="4674" spans="1:19" ht="15.75" hidden="1" thickBot="1" x14ac:dyDescent="0.3">
      <c r="A4674" s="257"/>
      <c r="B4674" s="260"/>
      <c r="C4674" s="35" t="s">
        <v>1245</v>
      </c>
      <c r="D4674" s="35" t="s">
        <v>75</v>
      </c>
      <c r="E4674" s="36">
        <v>0.6</v>
      </c>
      <c r="F4674" s="53">
        <v>0</v>
      </c>
      <c r="G4674" s="53">
        <f t="shared" si="450"/>
        <v>0</v>
      </c>
      <c r="H4674" s="72"/>
      <c r="I4674" s="73"/>
      <c r="J4674" s="152">
        <v>0</v>
      </c>
      <c r="L4674" s="215">
        <v>0.6</v>
      </c>
      <c r="M4674" s="53">
        <v>0</v>
      </c>
      <c r="N4674" s="53">
        <f t="shared" si="451"/>
        <v>0</v>
      </c>
      <c r="O4674" s="72"/>
      <c r="P4674" s="36" t="str">
        <f t="shared" si="446"/>
        <v/>
      </c>
      <c r="Q4674" s="216" t="e">
        <f t="shared" si="447"/>
        <v>#DIV/0!</v>
      </c>
      <c r="R4674" s="216" t="e">
        <f t="shared" si="448"/>
        <v>#DIV/0!</v>
      </c>
      <c r="S4674" s="217" t="str">
        <f t="shared" si="449"/>
        <v/>
      </c>
    </row>
    <row r="4675" spans="1:19" ht="15.75" hidden="1" thickBot="1" x14ac:dyDescent="0.3">
      <c r="A4675" s="257"/>
      <c r="B4675" s="260"/>
      <c r="C4675" s="35" t="s">
        <v>1246</v>
      </c>
      <c r="D4675" s="35" t="s">
        <v>70</v>
      </c>
      <c r="E4675" s="36">
        <v>1.1000000000000001</v>
      </c>
      <c r="F4675" s="53">
        <v>0</v>
      </c>
      <c r="G4675" s="53">
        <f t="shared" si="450"/>
        <v>0</v>
      </c>
      <c r="H4675" s="72"/>
      <c r="I4675" s="73"/>
      <c r="J4675" s="152">
        <v>0</v>
      </c>
      <c r="L4675" s="215">
        <v>1.1000000000000001</v>
      </c>
      <c r="M4675" s="53">
        <v>0</v>
      </c>
      <c r="N4675" s="53">
        <f t="shared" si="451"/>
        <v>0</v>
      </c>
      <c r="O4675" s="72"/>
      <c r="P4675" s="36" t="str">
        <f t="shared" si="446"/>
        <v/>
      </c>
      <c r="Q4675" s="216" t="e">
        <f t="shared" si="447"/>
        <v>#DIV/0!</v>
      </c>
      <c r="R4675" s="216" t="e">
        <f t="shared" si="448"/>
        <v>#DIV/0!</v>
      </c>
      <c r="S4675" s="217" t="str">
        <f t="shared" si="449"/>
        <v/>
      </c>
    </row>
    <row r="4676" spans="1:19" ht="15.75" hidden="1" thickBot="1" x14ac:dyDescent="0.3">
      <c r="A4676" s="257"/>
      <c r="B4676" s="260"/>
      <c r="C4676" s="35" t="s">
        <v>1247</v>
      </c>
      <c r="D4676" s="35" t="s">
        <v>69</v>
      </c>
      <c r="E4676" s="36">
        <v>2</v>
      </c>
      <c r="F4676" s="53">
        <v>0</v>
      </c>
      <c r="G4676" s="53">
        <f t="shared" si="450"/>
        <v>0</v>
      </c>
      <c r="H4676" s="72"/>
      <c r="I4676" s="73"/>
      <c r="J4676" s="152">
        <v>0</v>
      </c>
      <c r="L4676" s="215">
        <v>2</v>
      </c>
      <c r="M4676" s="53">
        <v>0</v>
      </c>
      <c r="N4676" s="53">
        <f t="shared" si="451"/>
        <v>0</v>
      </c>
      <c r="O4676" s="72"/>
      <c r="P4676" s="36" t="str">
        <f t="shared" si="446"/>
        <v/>
      </c>
      <c r="Q4676" s="216" t="e">
        <f t="shared" si="447"/>
        <v>#DIV/0!</v>
      </c>
      <c r="R4676" s="216" t="e">
        <f t="shared" si="448"/>
        <v>#DIV/0!</v>
      </c>
      <c r="S4676" s="217" t="str">
        <f t="shared" si="449"/>
        <v/>
      </c>
    </row>
    <row r="4677" spans="1:19" ht="15.75" hidden="1" thickBot="1" x14ac:dyDescent="0.3">
      <c r="A4677" s="257"/>
      <c r="B4677" s="260"/>
      <c r="C4677" s="35" t="s">
        <v>1248</v>
      </c>
      <c r="D4677" s="35" t="s">
        <v>75</v>
      </c>
      <c r="E4677" s="36">
        <v>0.2</v>
      </c>
      <c r="F4677" s="53">
        <v>0</v>
      </c>
      <c r="G4677" s="53">
        <f t="shared" si="450"/>
        <v>0</v>
      </c>
      <c r="H4677" s="72"/>
      <c r="I4677" s="73"/>
      <c r="J4677" s="152">
        <v>0</v>
      </c>
      <c r="L4677" s="215">
        <v>0.2</v>
      </c>
      <c r="M4677" s="53">
        <v>0</v>
      </c>
      <c r="N4677" s="53">
        <f t="shared" si="451"/>
        <v>0</v>
      </c>
      <c r="O4677" s="72"/>
      <c r="P4677" s="36" t="str">
        <f t="shared" si="446"/>
        <v/>
      </c>
      <c r="Q4677" s="216" t="e">
        <f t="shared" si="447"/>
        <v>#DIV/0!</v>
      </c>
      <c r="R4677" s="216" t="e">
        <f t="shared" si="448"/>
        <v>#DIV/0!</v>
      </c>
      <c r="S4677" s="217" t="str">
        <f t="shared" si="449"/>
        <v/>
      </c>
    </row>
    <row r="4678" spans="1:19" ht="15.75" hidden="1" thickBot="1" x14ac:dyDescent="0.3">
      <c r="A4678" s="257"/>
      <c r="B4678" s="260"/>
      <c r="C4678" s="35"/>
      <c r="D4678" s="35"/>
      <c r="E4678" s="36"/>
      <c r="F4678" s="53" t="s">
        <v>416</v>
      </c>
      <c r="G4678" s="53" t="str">
        <f t="shared" si="450"/>
        <v/>
      </c>
      <c r="H4678" s="72"/>
      <c r="I4678" s="73"/>
      <c r="J4678" s="152">
        <v>0</v>
      </c>
      <c r="L4678" s="215"/>
      <c r="M4678" s="53"/>
      <c r="N4678" s="53" t="str">
        <f t="shared" si="451"/>
        <v/>
      </c>
      <c r="O4678" s="72"/>
      <c r="P4678" s="36" t="str">
        <f t="shared" si="446"/>
        <v/>
      </c>
      <c r="Q4678" s="216" t="str">
        <f t="shared" si="447"/>
        <v/>
      </c>
      <c r="R4678" s="216" t="str">
        <f t="shared" si="448"/>
        <v/>
      </c>
      <c r="S4678" s="217" t="str">
        <f t="shared" si="449"/>
        <v/>
      </c>
    </row>
    <row r="4679" spans="1:19" ht="15.75" hidden="1" thickBot="1" x14ac:dyDescent="0.3">
      <c r="A4679" s="256" t="s">
        <v>1249</v>
      </c>
      <c r="B4679" s="259" t="str">
        <f>INDEX(Orçamentária!A:B,MATCH(Composições!A4679,Orçamentária!A:A,0),2)</f>
        <v>Impermeabilização com membrana acrílica</v>
      </c>
      <c r="C4679" s="40"/>
      <c r="D4679" s="25" t="s">
        <v>70</v>
      </c>
      <c r="E4679" s="26"/>
      <c r="F4679" s="48" t="s">
        <v>416</v>
      </c>
      <c r="G4679" s="27" t="str">
        <f t="shared" si="450"/>
        <v/>
      </c>
      <c r="H4679" s="28"/>
      <c r="I4679" s="29"/>
      <c r="J4679" s="152">
        <v>0</v>
      </c>
      <c r="L4679" s="218"/>
      <c r="M4679" s="48"/>
      <c r="N4679" s="27" t="str">
        <f t="shared" si="451"/>
        <v/>
      </c>
      <c r="O4679" s="28"/>
      <c r="P4679" s="36" t="str">
        <f t="shared" si="446"/>
        <v/>
      </c>
      <c r="Q4679" s="216" t="str">
        <f t="shared" si="447"/>
        <v/>
      </c>
      <c r="R4679" s="216" t="str">
        <f t="shared" si="448"/>
        <v/>
      </c>
      <c r="S4679" s="217" t="str">
        <f t="shared" si="449"/>
        <v/>
      </c>
    </row>
    <row r="4680" spans="1:19" ht="15.75" hidden="1" thickBot="1" x14ac:dyDescent="0.3">
      <c r="A4680" s="257"/>
      <c r="B4680" s="260"/>
      <c r="C4680" s="31"/>
      <c r="D4680" s="31"/>
      <c r="E4680" s="32"/>
      <c r="F4680" s="53" t="s">
        <v>416</v>
      </c>
      <c r="G4680" s="53" t="str">
        <f t="shared" si="450"/>
        <v/>
      </c>
      <c r="H4680" s="72"/>
      <c r="I4680" s="73"/>
      <c r="J4680" s="152">
        <v>0</v>
      </c>
      <c r="L4680" s="219"/>
      <c r="M4680" s="53"/>
      <c r="N4680" s="53" t="str">
        <f t="shared" si="451"/>
        <v/>
      </c>
      <c r="O4680" s="72"/>
      <c r="P4680" s="36" t="str">
        <f t="shared" ref="P4680:P4743" si="452">IF(ISBLANK(L4680),"",IF($E4680&lt;&gt;L4680,"SIM",""))</f>
        <v/>
      </c>
      <c r="Q4680" s="216" t="str">
        <f t="shared" ref="Q4680:Q4743" si="453">IF(M4680="","",1-M4680/$F4680)</f>
        <v/>
      </c>
      <c r="R4680" s="216" t="str">
        <f t="shared" ref="R4680:R4743" si="454">IF(N4680="","",1-N4680/$G4680)</f>
        <v/>
      </c>
      <c r="S4680" s="217" t="str">
        <f t="shared" ref="S4680:S4743" si="455">IF(O4680="","",1-O4680/$H4680)</f>
        <v/>
      </c>
    </row>
    <row r="4681" spans="1:19" ht="15.75" hidden="1" thickBot="1" x14ac:dyDescent="0.3">
      <c r="A4681" s="257"/>
      <c r="B4681" s="260"/>
      <c r="C4681" s="35" t="s">
        <v>1250</v>
      </c>
      <c r="D4681" s="35" t="s">
        <v>773</v>
      </c>
      <c r="E4681" s="36">
        <v>1.2</v>
      </c>
      <c r="F4681" s="53">
        <v>26.562000000000001</v>
      </c>
      <c r="G4681" s="53">
        <f t="shared" si="450"/>
        <v>31.874400000000001</v>
      </c>
      <c r="H4681" s="38">
        <f>SUM(G4681:G4683)</f>
        <v>50.067374999999998</v>
      </c>
      <c r="I4681" s="39"/>
      <c r="J4681" s="152">
        <v>0</v>
      </c>
      <c r="L4681" s="215">
        <v>1.2</v>
      </c>
      <c r="M4681" s="53">
        <v>22.737072000000001</v>
      </c>
      <c r="N4681" s="53">
        <f t="shared" si="451"/>
        <v>27.284486400000002</v>
      </c>
      <c r="O4681" s="38">
        <f>SUM(N4681:N4683)</f>
        <v>42.857672999999998</v>
      </c>
      <c r="P4681" s="36" t="str">
        <f t="shared" si="452"/>
        <v/>
      </c>
      <c r="Q4681" s="216">
        <f t="shared" si="453"/>
        <v>0.14400000000000002</v>
      </c>
      <c r="R4681" s="216">
        <f t="shared" si="454"/>
        <v>0.14400000000000002</v>
      </c>
      <c r="S4681" s="217">
        <f t="shared" si="455"/>
        <v>0.14400000000000002</v>
      </c>
    </row>
    <row r="4682" spans="1:19" ht="15.75" hidden="1" thickBot="1" x14ac:dyDescent="0.3">
      <c r="A4682" s="257"/>
      <c r="B4682" s="260"/>
      <c r="C4682" s="35" t="s">
        <v>1233</v>
      </c>
      <c r="D4682" s="35" t="s">
        <v>583</v>
      </c>
      <c r="E4682" s="36">
        <v>0.11700000000000001</v>
      </c>
      <c r="F4682" s="53">
        <v>21.318000000000001</v>
      </c>
      <c r="G4682" s="53">
        <f t="shared" si="450"/>
        <v>2.4942060000000001</v>
      </c>
      <c r="H4682" s="72"/>
      <c r="I4682" s="73"/>
      <c r="J4682" s="152">
        <v>0</v>
      </c>
      <c r="L4682" s="215">
        <v>0.11700000000000001</v>
      </c>
      <c r="M4682" s="53">
        <v>18.248208000000002</v>
      </c>
      <c r="N4682" s="53">
        <f t="shared" si="451"/>
        <v>2.1350403360000003</v>
      </c>
      <c r="O4682" s="72"/>
      <c r="P4682" s="36" t="str">
        <f t="shared" si="452"/>
        <v/>
      </c>
      <c r="Q4682" s="216">
        <f t="shared" si="453"/>
        <v>0.14400000000000002</v>
      </c>
      <c r="R4682" s="216">
        <f t="shared" si="454"/>
        <v>0.14399999999999991</v>
      </c>
      <c r="S4682" s="217" t="str">
        <f t="shared" si="455"/>
        <v/>
      </c>
    </row>
    <row r="4683" spans="1:19" ht="15.75" hidden="1" thickBot="1" x14ac:dyDescent="0.3">
      <c r="A4683" s="257"/>
      <c r="B4683" s="260"/>
      <c r="C4683" s="35" t="s">
        <v>881</v>
      </c>
      <c r="D4683" s="35" t="s">
        <v>583</v>
      </c>
      <c r="E4683" s="36">
        <v>0.57799999999999996</v>
      </c>
      <c r="F4683" s="53">
        <v>27.160499999999999</v>
      </c>
      <c r="G4683" s="53">
        <f t="shared" si="450"/>
        <v>15.698768999999999</v>
      </c>
      <c r="H4683" s="72"/>
      <c r="I4683" s="73"/>
      <c r="J4683" s="152">
        <v>0</v>
      </c>
      <c r="L4683" s="215">
        <v>0.57799999999999996</v>
      </c>
      <c r="M4683" s="53">
        <v>23.249388</v>
      </c>
      <c r="N4683" s="53">
        <f t="shared" si="451"/>
        <v>13.438146263999998</v>
      </c>
      <c r="O4683" s="72"/>
      <c r="P4683" s="36" t="str">
        <f t="shared" si="452"/>
        <v/>
      </c>
      <c r="Q4683" s="216">
        <f t="shared" si="453"/>
        <v>0.14400000000000002</v>
      </c>
      <c r="R4683" s="216">
        <f t="shared" si="454"/>
        <v>0.14400000000000002</v>
      </c>
      <c r="S4683" s="217" t="str">
        <f t="shared" si="455"/>
        <v/>
      </c>
    </row>
    <row r="4684" spans="1:19" ht="15.75" hidden="1" thickBot="1" x14ac:dyDescent="0.3">
      <c r="A4684" s="257"/>
      <c r="B4684" s="260"/>
      <c r="C4684" s="35"/>
      <c r="D4684" s="35"/>
      <c r="E4684" s="36"/>
      <c r="F4684" s="53" t="s">
        <v>416</v>
      </c>
      <c r="G4684" s="53" t="str">
        <f t="shared" si="450"/>
        <v/>
      </c>
      <c r="H4684" s="72"/>
      <c r="I4684" s="73"/>
      <c r="J4684" s="152">
        <v>0</v>
      </c>
      <c r="L4684" s="215"/>
      <c r="M4684" s="53"/>
      <c r="N4684" s="53" t="str">
        <f t="shared" si="451"/>
        <v/>
      </c>
      <c r="O4684" s="72"/>
      <c r="P4684" s="36" t="str">
        <f t="shared" si="452"/>
        <v/>
      </c>
      <c r="Q4684" s="216" t="str">
        <f t="shared" si="453"/>
        <v/>
      </c>
      <c r="R4684" s="216" t="str">
        <f t="shared" si="454"/>
        <v/>
      </c>
      <c r="S4684" s="217" t="str">
        <f t="shared" si="455"/>
        <v/>
      </c>
    </row>
    <row r="4685" spans="1:19" ht="15.75" hidden="1" thickBot="1" x14ac:dyDescent="0.3">
      <c r="A4685" s="256" t="s">
        <v>1251</v>
      </c>
      <c r="B4685" s="259" t="str">
        <f>INDEX(Orçamentária!A:B,MATCH(Composições!A4685,Orçamentária!A:A,0),2)</f>
        <v>Asfalto elastomérico para colagem de manta asfáltica</v>
      </c>
      <c r="C4685" s="40"/>
      <c r="D4685" s="25" t="s">
        <v>70</v>
      </c>
      <c r="E4685" s="26"/>
      <c r="F4685" s="48" t="s">
        <v>416</v>
      </c>
      <c r="G4685" s="27" t="str">
        <f t="shared" si="450"/>
        <v/>
      </c>
      <c r="H4685" s="28"/>
      <c r="I4685" s="29"/>
      <c r="J4685" s="152">
        <v>0</v>
      </c>
      <c r="L4685" s="218"/>
      <c r="M4685" s="48"/>
      <c r="N4685" s="27" t="str">
        <f t="shared" si="451"/>
        <v/>
      </c>
      <c r="O4685" s="28"/>
      <c r="P4685" s="36" t="str">
        <f t="shared" si="452"/>
        <v/>
      </c>
      <c r="Q4685" s="216" t="str">
        <f t="shared" si="453"/>
        <v/>
      </c>
      <c r="R4685" s="216" t="str">
        <f t="shared" si="454"/>
        <v/>
      </c>
      <c r="S4685" s="217" t="str">
        <f t="shared" si="455"/>
        <v/>
      </c>
    </row>
    <row r="4686" spans="1:19" ht="15.75" hidden="1" thickBot="1" x14ac:dyDescent="0.3">
      <c r="A4686" s="257"/>
      <c r="B4686" s="260"/>
      <c r="C4686" s="31"/>
      <c r="D4686" s="31"/>
      <c r="E4686" s="32"/>
      <c r="F4686" s="53" t="s">
        <v>416</v>
      </c>
      <c r="G4686" s="53" t="str">
        <f t="shared" si="450"/>
        <v/>
      </c>
      <c r="H4686" s="72"/>
      <c r="I4686" s="73"/>
      <c r="J4686" s="152">
        <v>0</v>
      </c>
      <c r="L4686" s="219"/>
      <c r="M4686" s="53"/>
      <c r="N4686" s="53" t="str">
        <f t="shared" si="451"/>
        <v/>
      </c>
      <c r="O4686" s="72"/>
      <c r="P4686" s="36" t="str">
        <f t="shared" si="452"/>
        <v/>
      </c>
      <c r="Q4686" s="216" t="str">
        <f t="shared" si="453"/>
        <v/>
      </c>
      <c r="R4686" s="216" t="str">
        <f t="shared" si="454"/>
        <v/>
      </c>
      <c r="S4686" s="217" t="str">
        <f t="shared" si="455"/>
        <v/>
      </c>
    </row>
    <row r="4687" spans="1:19" ht="15.75" hidden="1" thickBot="1" x14ac:dyDescent="0.3">
      <c r="A4687" s="257"/>
      <c r="B4687" s="260"/>
      <c r="C4687" s="35" t="s">
        <v>1252</v>
      </c>
      <c r="D4687" s="35" t="s">
        <v>773</v>
      </c>
      <c r="E4687" s="36">
        <v>3</v>
      </c>
      <c r="F4687" s="53" t="s">
        <v>416</v>
      </c>
      <c r="G4687" s="53" t="str">
        <f t="shared" si="450"/>
        <v/>
      </c>
      <c r="H4687" s="38">
        <f>SUM(G4687:G4688)</f>
        <v>5.4321000000000002</v>
      </c>
      <c r="I4687" s="39"/>
      <c r="J4687" s="152">
        <v>0</v>
      </c>
      <c r="L4687" s="215">
        <v>3</v>
      </c>
      <c r="M4687" s="53"/>
      <c r="N4687" s="53" t="str">
        <f t="shared" si="451"/>
        <v/>
      </c>
      <c r="O4687" s="38">
        <f>SUM(N4687:N4688)</f>
        <v>4.6498775999999999</v>
      </c>
      <c r="P4687" s="36" t="str">
        <f t="shared" si="452"/>
        <v/>
      </c>
      <c r="Q4687" s="216" t="str">
        <f t="shared" si="453"/>
        <v/>
      </c>
      <c r="R4687" s="216" t="str">
        <f t="shared" si="454"/>
        <v/>
      </c>
      <c r="S4687" s="217">
        <f t="shared" si="455"/>
        <v>0.14400000000000002</v>
      </c>
    </row>
    <row r="4688" spans="1:19" ht="15.75" hidden="1" thickBot="1" x14ac:dyDescent="0.3">
      <c r="A4688" s="257"/>
      <c r="B4688" s="260"/>
      <c r="C4688" s="35" t="s">
        <v>881</v>
      </c>
      <c r="D4688" s="35" t="s">
        <v>583</v>
      </c>
      <c r="E4688" s="36">
        <v>0.2</v>
      </c>
      <c r="F4688" s="53">
        <v>27.160499999999999</v>
      </c>
      <c r="G4688" s="53">
        <f t="shared" si="450"/>
        <v>5.4321000000000002</v>
      </c>
      <c r="H4688" s="72"/>
      <c r="I4688" s="73"/>
      <c r="J4688" s="152">
        <v>0</v>
      </c>
      <c r="L4688" s="215">
        <v>0.2</v>
      </c>
      <c r="M4688" s="53">
        <v>23.249388</v>
      </c>
      <c r="N4688" s="53">
        <f t="shared" si="451"/>
        <v>4.6498775999999999</v>
      </c>
      <c r="O4688" s="72"/>
      <c r="P4688" s="36" t="str">
        <f t="shared" si="452"/>
        <v/>
      </c>
      <c r="Q4688" s="216">
        <f t="shared" si="453"/>
        <v>0.14400000000000002</v>
      </c>
      <c r="R4688" s="216">
        <f t="shared" si="454"/>
        <v>0.14400000000000002</v>
      </c>
      <c r="S4688" s="217" t="str">
        <f t="shared" si="455"/>
        <v/>
      </c>
    </row>
    <row r="4689" spans="1:19" ht="15.75" hidden="1" thickBot="1" x14ac:dyDescent="0.3">
      <c r="A4689" s="257"/>
      <c r="B4689" s="260"/>
      <c r="C4689" s="35"/>
      <c r="D4689" s="35"/>
      <c r="E4689" s="36"/>
      <c r="F4689" s="53" t="s">
        <v>416</v>
      </c>
      <c r="G4689" s="53" t="str">
        <f t="shared" si="450"/>
        <v/>
      </c>
      <c r="H4689" s="72"/>
      <c r="I4689" s="73"/>
      <c r="J4689" s="152">
        <v>0</v>
      </c>
      <c r="L4689" s="215"/>
      <c r="M4689" s="53"/>
      <c r="N4689" s="53" t="str">
        <f t="shared" si="451"/>
        <v/>
      </c>
      <c r="O4689" s="72"/>
      <c r="P4689" s="36" t="str">
        <f t="shared" si="452"/>
        <v/>
      </c>
      <c r="Q4689" s="216" t="str">
        <f t="shared" si="453"/>
        <v/>
      </c>
      <c r="R4689" s="216" t="str">
        <f t="shared" si="454"/>
        <v/>
      </c>
      <c r="S4689" s="217" t="str">
        <f t="shared" si="455"/>
        <v/>
      </c>
    </row>
    <row r="4690" spans="1:19" ht="26.25" hidden="1" thickBot="1" x14ac:dyDescent="0.3">
      <c r="A4690" s="257"/>
      <c r="B4690" s="260"/>
      <c r="C4690" s="47" t="s">
        <v>1253</v>
      </c>
      <c r="D4690" s="35"/>
      <c r="E4690" s="36"/>
      <c r="F4690" s="53" t="s">
        <v>416</v>
      </c>
      <c r="G4690" s="53" t="str">
        <f t="shared" si="450"/>
        <v/>
      </c>
      <c r="H4690" s="72"/>
      <c r="I4690" s="73"/>
      <c r="J4690" s="152">
        <v>0</v>
      </c>
      <c r="L4690" s="215"/>
      <c r="M4690" s="53"/>
      <c r="N4690" s="53" t="str">
        <f t="shared" si="451"/>
        <v/>
      </c>
      <c r="O4690" s="72"/>
      <c r="P4690" s="36" t="str">
        <f t="shared" si="452"/>
        <v/>
      </c>
      <c r="Q4690" s="216" t="str">
        <f t="shared" si="453"/>
        <v/>
      </c>
      <c r="R4690" s="216" t="str">
        <f t="shared" si="454"/>
        <v/>
      </c>
      <c r="S4690" s="217" t="str">
        <f t="shared" si="455"/>
        <v/>
      </c>
    </row>
    <row r="4691" spans="1:19" ht="25.5" hidden="1" thickBot="1" x14ac:dyDescent="0.3">
      <c r="A4691" s="257"/>
      <c r="B4691" s="260"/>
      <c r="C4691" s="151" t="s">
        <v>1254</v>
      </c>
      <c r="D4691" s="35"/>
      <c r="E4691" s="36"/>
      <c r="F4691" s="53" t="s">
        <v>416</v>
      </c>
      <c r="G4691" s="53" t="str">
        <f t="shared" si="450"/>
        <v/>
      </c>
      <c r="H4691" s="72"/>
      <c r="I4691" s="73"/>
      <c r="J4691" s="152">
        <v>0</v>
      </c>
      <c r="L4691" s="215"/>
      <c r="M4691" s="53"/>
      <c r="N4691" s="53" t="str">
        <f t="shared" si="451"/>
        <v/>
      </c>
      <c r="O4691" s="72"/>
      <c r="P4691" s="36" t="str">
        <f t="shared" si="452"/>
        <v/>
      </c>
      <c r="Q4691" s="216" t="str">
        <f t="shared" si="453"/>
        <v/>
      </c>
      <c r="R4691" s="216" t="str">
        <f t="shared" si="454"/>
        <v/>
      </c>
      <c r="S4691" s="217" t="str">
        <f t="shared" si="455"/>
        <v/>
      </c>
    </row>
    <row r="4692" spans="1:19" ht="15.75" hidden="1" thickBot="1" x14ac:dyDescent="0.3">
      <c r="A4692" s="257"/>
      <c r="B4692" s="260"/>
      <c r="C4692" s="35"/>
      <c r="D4692" s="35"/>
      <c r="E4692" s="36"/>
      <c r="F4692" s="53" t="s">
        <v>416</v>
      </c>
      <c r="G4692" s="53" t="str">
        <f t="shared" si="450"/>
        <v/>
      </c>
      <c r="H4692" s="72"/>
      <c r="I4692" s="73"/>
      <c r="J4692" s="152">
        <v>0</v>
      </c>
      <c r="L4692" s="215"/>
      <c r="M4692" s="53"/>
      <c r="N4692" s="53" t="str">
        <f t="shared" si="451"/>
        <v/>
      </c>
      <c r="O4692" s="72"/>
      <c r="P4692" s="36" t="str">
        <f t="shared" si="452"/>
        <v/>
      </c>
      <c r="Q4692" s="216" t="str">
        <f t="shared" si="453"/>
        <v/>
      </c>
      <c r="R4692" s="216" t="str">
        <f t="shared" si="454"/>
        <v/>
      </c>
      <c r="S4692" s="217" t="str">
        <f t="shared" si="455"/>
        <v/>
      </c>
    </row>
    <row r="4693" spans="1:19" ht="15.75" hidden="1" thickBot="1" x14ac:dyDescent="0.3">
      <c r="A4693" s="256" t="s">
        <v>1255</v>
      </c>
      <c r="B4693" s="259" t="str">
        <f>INDEX(Orçamentária!A:B,MATCH(Composições!A4693,Orçamentária!A:A,0),2)</f>
        <v>Impermeabilização com manta dupla (com maçarico)</v>
      </c>
      <c r="C4693" s="40"/>
      <c r="D4693" s="25" t="s">
        <v>70</v>
      </c>
      <c r="E4693" s="26"/>
      <c r="F4693" s="48" t="s">
        <v>416</v>
      </c>
      <c r="G4693" s="27" t="str">
        <f t="shared" ref="G4693:G4756" si="456">IF(ISNUMBER(F4693),E4693*F4693,"")</f>
        <v/>
      </c>
      <c r="H4693" s="28"/>
      <c r="I4693" s="29"/>
      <c r="J4693" s="152">
        <v>0</v>
      </c>
      <c r="L4693" s="218"/>
      <c r="M4693" s="48"/>
      <c r="N4693" s="27" t="str">
        <f t="shared" ref="N4693:N4756" si="457">IF(ISNUMBER(M4693),L4693*M4693,"")</f>
        <v/>
      </c>
      <c r="O4693" s="28"/>
      <c r="P4693" s="36" t="str">
        <f t="shared" si="452"/>
        <v/>
      </c>
      <c r="Q4693" s="216" t="str">
        <f t="shared" si="453"/>
        <v/>
      </c>
      <c r="R4693" s="216" t="str">
        <f t="shared" si="454"/>
        <v/>
      </c>
      <c r="S4693" s="217" t="str">
        <f t="shared" si="455"/>
        <v/>
      </c>
    </row>
    <row r="4694" spans="1:19" ht="15.75" hidden="1" thickBot="1" x14ac:dyDescent="0.3">
      <c r="A4694" s="257"/>
      <c r="B4694" s="260"/>
      <c r="C4694" s="31"/>
      <c r="D4694" s="31"/>
      <c r="E4694" s="32"/>
      <c r="F4694" s="53" t="s">
        <v>416</v>
      </c>
      <c r="G4694" s="53" t="str">
        <f t="shared" si="456"/>
        <v/>
      </c>
      <c r="H4694" s="72"/>
      <c r="I4694" s="73"/>
      <c r="J4694" s="152">
        <v>0</v>
      </c>
      <c r="L4694" s="219"/>
      <c r="M4694" s="53"/>
      <c r="N4694" s="53" t="str">
        <f t="shared" si="457"/>
        <v/>
      </c>
      <c r="O4694" s="72"/>
      <c r="P4694" s="36" t="str">
        <f t="shared" si="452"/>
        <v/>
      </c>
      <c r="Q4694" s="216" t="str">
        <f t="shared" si="453"/>
        <v/>
      </c>
      <c r="R4694" s="216" t="str">
        <f t="shared" si="454"/>
        <v/>
      </c>
      <c r="S4694" s="217" t="str">
        <f t="shared" si="455"/>
        <v/>
      </c>
    </row>
    <row r="4695" spans="1:19" ht="26.25" hidden="1" thickBot="1" x14ac:dyDescent="0.3">
      <c r="A4695" s="257"/>
      <c r="B4695" s="260"/>
      <c r="C4695" s="35" t="s">
        <v>1232</v>
      </c>
      <c r="D4695" s="35" t="s">
        <v>75</v>
      </c>
      <c r="E4695" s="36">
        <v>0.61499999999999999</v>
      </c>
      <c r="F4695" s="53">
        <v>18.506</v>
      </c>
      <c r="G4695" s="53">
        <f t="shared" si="456"/>
        <v>11.38119</v>
      </c>
      <c r="H4695" s="38">
        <f>SUM(G4695:G4700)</f>
        <v>172.39086649999999</v>
      </c>
      <c r="I4695" s="39"/>
      <c r="J4695" s="152">
        <v>0</v>
      </c>
      <c r="L4695" s="215">
        <v>0.61499999999999999</v>
      </c>
      <c r="M4695" s="53">
        <v>15.841136000000001</v>
      </c>
      <c r="N4695" s="53">
        <f t="shared" si="457"/>
        <v>9.7422986399999996</v>
      </c>
      <c r="O4695" s="38">
        <f>SUM(N4695:N4700)</f>
        <v>147.566581724</v>
      </c>
      <c r="P4695" s="36" t="str">
        <f t="shared" si="452"/>
        <v/>
      </c>
      <c r="Q4695" s="216">
        <f t="shared" si="453"/>
        <v>0.14400000000000002</v>
      </c>
      <c r="R4695" s="216">
        <f t="shared" si="454"/>
        <v>0.14400000000000002</v>
      </c>
      <c r="S4695" s="217">
        <f t="shared" si="455"/>
        <v>0.14399999999999991</v>
      </c>
    </row>
    <row r="4696" spans="1:19" ht="26.25" hidden="1" thickBot="1" x14ac:dyDescent="0.3">
      <c r="A4696" s="257"/>
      <c r="B4696" s="260"/>
      <c r="C4696" s="35" t="s">
        <v>1256</v>
      </c>
      <c r="D4696" s="35" t="s">
        <v>861</v>
      </c>
      <c r="E4696" s="36">
        <v>1.125</v>
      </c>
      <c r="F4696" s="53">
        <v>45.428999999999995</v>
      </c>
      <c r="G4696" s="53">
        <f t="shared" si="456"/>
        <v>51.107624999999992</v>
      </c>
      <c r="H4696" s="72"/>
      <c r="I4696" s="73"/>
      <c r="J4696" s="152">
        <v>0</v>
      </c>
      <c r="L4696" s="215">
        <v>1.125</v>
      </c>
      <c r="M4696" s="53">
        <v>38.887223999999996</v>
      </c>
      <c r="N4696" s="53">
        <f t="shared" si="457"/>
        <v>43.748126999999997</v>
      </c>
      <c r="O4696" s="72"/>
      <c r="P4696" s="36" t="str">
        <f t="shared" si="452"/>
        <v/>
      </c>
      <c r="Q4696" s="216">
        <f t="shared" si="453"/>
        <v>0.14400000000000002</v>
      </c>
      <c r="R4696" s="216">
        <f t="shared" si="454"/>
        <v>0.14399999999999991</v>
      </c>
      <c r="S4696" s="217" t="str">
        <f t="shared" si="455"/>
        <v/>
      </c>
    </row>
    <row r="4697" spans="1:19" ht="26.25" hidden="1" thickBot="1" x14ac:dyDescent="0.3">
      <c r="A4697" s="257"/>
      <c r="B4697" s="260"/>
      <c r="C4697" s="35" t="s">
        <v>1239</v>
      </c>
      <c r="D4697" s="35" t="s">
        <v>861</v>
      </c>
      <c r="E4697" s="36">
        <v>1.125</v>
      </c>
      <c r="F4697" s="53">
        <v>55.783999999999999</v>
      </c>
      <c r="G4697" s="53">
        <f t="shared" si="456"/>
        <v>62.756999999999998</v>
      </c>
      <c r="H4697" s="72"/>
      <c r="I4697" s="73"/>
      <c r="J4697" s="152">
        <v>0</v>
      </c>
      <c r="L4697" s="215">
        <v>1.125</v>
      </c>
      <c r="M4697" s="53">
        <v>47.751103999999998</v>
      </c>
      <c r="N4697" s="53">
        <f t="shared" si="457"/>
        <v>53.719991999999998</v>
      </c>
      <c r="O4697" s="72"/>
      <c r="P4697" s="36" t="str">
        <f t="shared" si="452"/>
        <v/>
      </c>
      <c r="Q4697" s="216">
        <f t="shared" si="453"/>
        <v>0.14400000000000002</v>
      </c>
      <c r="R4697" s="216">
        <f t="shared" si="454"/>
        <v>0.14400000000000002</v>
      </c>
      <c r="S4697" s="217" t="str">
        <f t="shared" si="455"/>
        <v/>
      </c>
    </row>
    <row r="4698" spans="1:19" ht="15.75" hidden="1" thickBot="1" x14ac:dyDescent="0.3">
      <c r="A4698" s="257"/>
      <c r="B4698" s="260"/>
      <c r="C4698" s="35" t="s">
        <v>1240</v>
      </c>
      <c r="D4698" s="35" t="s">
        <v>773</v>
      </c>
      <c r="E4698" s="36">
        <v>0.52</v>
      </c>
      <c r="F4698" s="53">
        <v>7.4479999999999995</v>
      </c>
      <c r="G4698" s="53">
        <f t="shared" si="456"/>
        <v>3.87296</v>
      </c>
      <c r="H4698" s="72"/>
      <c r="I4698" s="73"/>
      <c r="J4698" s="152">
        <v>0</v>
      </c>
      <c r="L4698" s="215">
        <v>0.52</v>
      </c>
      <c r="M4698" s="53">
        <v>6.3754879999999998</v>
      </c>
      <c r="N4698" s="53">
        <f t="shared" si="457"/>
        <v>3.31525376</v>
      </c>
      <c r="O4698" s="72"/>
      <c r="P4698" s="36" t="str">
        <f t="shared" si="452"/>
        <v/>
      </c>
      <c r="Q4698" s="216">
        <f t="shared" si="453"/>
        <v>0.14400000000000002</v>
      </c>
      <c r="R4698" s="216">
        <f t="shared" si="454"/>
        <v>0.14400000000000002</v>
      </c>
      <c r="S4698" s="217" t="str">
        <f t="shared" si="455"/>
        <v/>
      </c>
    </row>
    <row r="4699" spans="1:19" ht="15.75" hidden="1" thickBot="1" x14ac:dyDescent="0.3">
      <c r="A4699" s="257"/>
      <c r="B4699" s="260"/>
      <c r="C4699" s="35" t="s">
        <v>1233</v>
      </c>
      <c r="D4699" s="35" t="s">
        <v>583</v>
      </c>
      <c r="E4699" s="36">
        <v>0.27800000000000002</v>
      </c>
      <c r="F4699" s="53">
        <v>21.318000000000001</v>
      </c>
      <c r="G4699" s="53">
        <f t="shared" si="456"/>
        <v>5.9264040000000007</v>
      </c>
      <c r="H4699" s="72"/>
      <c r="I4699" s="73"/>
      <c r="J4699" s="152">
        <v>0</v>
      </c>
      <c r="L4699" s="215">
        <v>0.27800000000000002</v>
      </c>
      <c r="M4699" s="53">
        <v>18.248208000000002</v>
      </c>
      <c r="N4699" s="53">
        <f t="shared" si="457"/>
        <v>5.0730018240000012</v>
      </c>
      <c r="O4699" s="72"/>
      <c r="P4699" s="36" t="str">
        <f t="shared" si="452"/>
        <v/>
      </c>
      <c r="Q4699" s="216">
        <f t="shared" si="453"/>
        <v>0.14400000000000002</v>
      </c>
      <c r="R4699" s="216">
        <f t="shared" si="454"/>
        <v>0.14399999999999991</v>
      </c>
      <c r="S4699" s="217" t="str">
        <f t="shared" si="455"/>
        <v/>
      </c>
    </row>
    <row r="4700" spans="1:19" ht="15.75" hidden="1" thickBot="1" x14ac:dyDescent="0.3">
      <c r="A4700" s="257"/>
      <c r="B4700" s="260"/>
      <c r="C4700" s="35" t="s">
        <v>881</v>
      </c>
      <c r="D4700" s="35" t="s">
        <v>583</v>
      </c>
      <c r="E4700" s="36">
        <v>1.375</v>
      </c>
      <c r="F4700" s="53">
        <v>27.160499999999999</v>
      </c>
      <c r="G4700" s="53">
        <f t="shared" si="456"/>
        <v>37.345687499999997</v>
      </c>
      <c r="H4700" s="72"/>
      <c r="I4700" s="73"/>
      <c r="J4700" s="152">
        <v>0</v>
      </c>
      <c r="L4700" s="215">
        <v>1.375</v>
      </c>
      <c r="M4700" s="53">
        <v>23.249388</v>
      </c>
      <c r="N4700" s="53">
        <f t="shared" si="457"/>
        <v>31.9679085</v>
      </c>
      <c r="O4700" s="72"/>
      <c r="P4700" s="36" t="str">
        <f t="shared" si="452"/>
        <v/>
      </c>
      <c r="Q4700" s="216">
        <f t="shared" si="453"/>
        <v>0.14400000000000002</v>
      </c>
      <c r="R4700" s="216">
        <f t="shared" si="454"/>
        <v>0.14399999999999991</v>
      </c>
      <c r="S4700" s="217" t="str">
        <f t="shared" si="455"/>
        <v/>
      </c>
    </row>
    <row r="4701" spans="1:19" ht="15.75" hidden="1" thickBot="1" x14ac:dyDescent="0.3">
      <c r="A4701" s="257"/>
      <c r="B4701" s="260"/>
      <c r="C4701" s="35"/>
      <c r="D4701" s="35"/>
      <c r="E4701" s="36"/>
      <c r="F4701" s="53" t="s">
        <v>416</v>
      </c>
      <c r="G4701" s="53" t="str">
        <f t="shared" si="456"/>
        <v/>
      </c>
      <c r="H4701" s="72"/>
      <c r="I4701" s="73"/>
      <c r="J4701" s="152">
        <v>0</v>
      </c>
      <c r="L4701" s="215"/>
      <c r="M4701" s="53"/>
      <c r="N4701" s="53" t="str">
        <f t="shared" si="457"/>
        <v/>
      </c>
      <c r="O4701" s="72"/>
      <c r="P4701" s="36" t="str">
        <f t="shared" si="452"/>
        <v/>
      </c>
      <c r="Q4701" s="216" t="str">
        <f t="shared" si="453"/>
        <v/>
      </c>
      <c r="R4701" s="216" t="str">
        <f t="shared" si="454"/>
        <v/>
      </c>
      <c r="S4701" s="217" t="str">
        <f t="shared" si="455"/>
        <v/>
      </c>
    </row>
    <row r="4702" spans="1:19" ht="15.75" hidden="1" thickBot="1" x14ac:dyDescent="0.3">
      <c r="A4702" s="256" t="s">
        <v>1257</v>
      </c>
      <c r="B4702" s="259" t="str">
        <f>INDEX(Orçamentária!A:B,MATCH(Composições!A4702,Orçamentária!A:A,0),2)</f>
        <v>Impermeabilização com manta dupla (com asfalto elastomérico)</v>
      </c>
      <c r="C4702" s="40"/>
      <c r="D4702" s="25" t="s">
        <v>70</v>
      </c>
      <c r="E4702" s="26"/>
      <c r="F4702" s="48" t="s">
        <v>416</v>
      </c>
      <c r="G4702" s="27" t="str">
        <f t="shared" si="456"/>
        <v/>
      </c>
      <c r="H4702" s="28"/>
      <c r="I4702" s="29"/>
      <c r="J4702" s="152">
        <v>0</v>
      </c>
      <c r="L4702" s="218"/>
      <c r="M4702" s="48"/>
      <c r="N4702" s="27" t="str">
        <f t="shared" si="457"/>
        <v/>
      </c>
      <c r="O4702" s="28"/>
      <c r="P4702" s="36" t="str">
        <f t="shared" si="452"/>
        <v/>
      </c>
      <c r="Q4702" s="216" t="str">
        <f t="shared" si="453"/>
        <v/>
      </c>
      <c r="R4702" s="216" t="str">
        <f t="shared" si="454"/>
        <v/>
      </c>
      <c r="S4702" s="217" t="str">
        <f t="shared" si="455"/>
        <v/>
      </c>
    </row>
    <row r="4703" spans="1:19" ht="15.75" hidden="1" thickBot="1" x14ac:dyDescent="0.3">
      <c r="A4703" s="257"/>
      <c r="B4703" s="260"/>
      <c r="C4703" s="31"/>
      <c r="D4703" s="31"/>
      <c r="E4703" s="32"/>
      <c r="F4703" s="53" t="s">
        <v>416</v>
      </c>
      <c r="G4703" s="53" t="str">
        <f t="shared" si="456"/>
        <v/>
      </c>
      <c r="H4703" s="72"/>
      <c r="I4703" s="73"/>
      <c r="J4703" s="152">
        <v>0</v>
      </c>
      <c r="L4703" s="219"/>
      <c r="M4703" s="53"/>
      <c r="N4703" s="53" t="str">
        <f t="shared" si="457"/>
        <v/>
      </c>
      <c r="O4703" s="72"/>
      <c r="P4703" s="36" t="str">
        <f t="shared" si="452"/>
        <v/>
      </c>
      <c r="Q4703" s="216" t="str">
        <f t="shared" si="453"/>
        <v/>
      </c>
      <c r="R4703" s="216" t="str">
        <f t="shared" si="454"/>
        <v/>
      </c>
      <c r="S4703" s="217" t="str">
        <f t="shared" si="455"/>
        <v/>
      </c>
    </row>
    <row r="4704" spans="1:19" ht="26.25" hidden="1" thickBot="1" x14ac:dyDescent="0.3">
      <c r="A4704" s="257"/>
      <c r="B4704" s="260"/>
      <c r="C4704" s="35" t="s">
        <v>1232</v>
      </c>
      <c r="D4704" s="35" t="s">
        <v>75</v>
      </c>
      <c r="E4704" s="36">
        <v>0.61499999999999999</v>
      </c>
      <c r="F4704" s="53">
        <v>18.506</v>
      </c>
      <c r="G4704" s="53">
        <f t="shared" si="456"/>
        <v>11.38119</v>
      </c>
      <c r="H4704" s="38">
        <f>SUM(G4704:G4709)</f>
        <v>174.4443105</v>
      </c>
      <c r="I4704" s="39"/>
      <c r="J4704" s="152">
        <v>0</v>
      </c>
      <c r="L4704" s="215">
        <v>0.61499999999999999</v>
      </c>
      <c r="M4704" s="53">
        <v>15.841136000000001</v>
      </c>
      <c r="N4704" s="53">
        <f t="shared" si="457"/>
        <v>9.7422986399999996</v>
      </c>
      <c r="O4704" s="38">
        <f>SUM(N4704:N4709)</f>
        <v>149.324329788</v>
      </c>
      <c r="P4704" s="36" t="str">
        <f t="shared" si="452"/>
        <v/>
      </c>
      <c r="Q4704" s="216">
        <f t="shared" si="453"/>
        <v>0.14400000000000002</v>
      </c>
      <c r="R4704" s="216">
        <f t="shared" si="454"/>
        <v>0.14400000000000002</v>
      </c>
      <c r="S4704" s="217">
        <f t="shared" si="455"/>
        <v>0.14400000000000002</v>
      </c>
    </row>
    <row r="4705" spans="1:19" ht="26.25" hidden="1" thickBot="1" x14ac:dyDescent="0.3">
      <c r="A4705" s="257"/>
      <c r="B4705" s="260"/>
      <c r="C4705" s="35" t="s">
        <v>1256</v>
      </c>
      <c r="D4705" s="35" t="s">
        <v>861</v>
      </c>
      <c r="E4705" s="36">
        <v>1.125</v>
      </c>
      <c r="F4705" s="53">
        <v>45.428999999999995</v>
      </c>
      <c r="G4705" s="53">
        <f t="shared" si="456"/>
        <v>51.107624999999992</v>
      </c>
      <c r="H4705" s="72"/>
      <c r="I4705" s="73"/>
      <c r="J4705" s="152">
        <v>0</v>
      </c>
      <c r="L4705" s="215">
        <v>1.125</v>
      </c>
      <c r="M4705" s="53">
        <v>38.887223999999996</v>
      </c>
      <c r="N4705" s="53">
        <f t="shared" si="457"/>
        <v>43.748126999999997</v>
      </c>
      <c r="O4705" s="72"/>
      <c r="P4705" s="36" t="str">
        <f t="shared" si="452"/>
        <v/>
      </c>
      <c r="Q4705" s="216">
        <f t="shared" si="453"/>
        <v>0.14400000000000002</v>
      </c>
      <c r="R4705" s="216">
        <f t="shared" si="454"/>
        <v>0.14399999999999991</v>
      </c>
      <c r="S4705" s="217" t="str">
        <f t="shared" si="455"/>
        <v/>
      </c>
    </row>
    <row r="4706" spans="1:19" ht="26.25" hidden="1" thickBot="1" x14ac:dyDescent="0.3">
      <c r="A4706" s="257"/>
      <c r="B4706" s="260"/>
      <c r="C4706" s="35" t="s">
        <v>1239</v>
      </c>
      <c r="D4706" s="35" t="s">
        <v>861</v>
      </c>
      <c r="E4706" s="36">
        <v>1.125</v>
      </c>
      <c r="F4706" s="53">
        <v>55.783999999999999</v>
      </c>
      <c r="G4706" s="53">
        <f t="shared" si="456"/>
        <v>62.756999999999998</v>
      </c>
      <c r="H4706" s="72"/>
      <c r="I4706" s="73"/>
      <c r="J4706" s="152">
        <v>0</v>
      </c>
      <c r="L4706" s="215">
        <v>1.125</v>
      </c>
      <c r="M4706" s="53">
        <v>47.751103999999998</v>
      </c>
      <c r="N4706" s="53">
        <f t="shared" si="457"/>
        <v>53.719991999999998</v>
      </c>
      <c r="O4706" s="72"/>
      <c r="P4706" s="36" t="str">
        <f t="shared" si="452"/>
        <v/>
      </c>
      <c r="Q4706" s="216">
        <f t="shared" si="453"/>
        <v>0.14400000000000002</v>
      </c>
      <c r="R4706" s="216">
        <f t="shared" si="454"/>
        <v>0.14400000000000002</v>
      </c>
      <c r="S4706" s="217" t="str">
        <f t="shared" si="455"/>
        <v/>
      </c>
    </row>
    <row r="4707" spans="1:19" ht="15.75" hidden="1" thickBot="1" x14ac:dyDescent="0.3">
      <c r="A4707" s="257"/>
      <c r="B4707" s="260"/>
      <c r="C4707" s="35" t="s">
        <v>1252</v>
      </c>
      <c r="D4707" s="35" t="s">
        <v>773</v>
      </c>
      <c r="E4707" s="36">
        <v>2</v>
      </c>
      <c r="F4707" s="53" t="s">
        <v>416</v>
      </c>
      <c r="G4707" s="53" t="str">
        <f t="shared" si="456"/>
        <v/>
      </c>
      <c r="H4707" s="72"/>
      <c r="I4707" s="73"/>
      <c r="J4707" s="152">
        <v>0</v>
      </c>
      <c r="L4707" s="215">
        <v>2</v>
      </c>
      <c r="M4707" s="53"/>
      <c r="N4707" s="53" t="str">
        <f t="shared" si="457"/>
        <v/>
      </c>
      <c r="O4707" s="72"/>
      <c r="P4707" s="36" t="str">
        <f t="shared" si="452"/>
        <v/>
      </c>
      <c r="Q4707" s="216" t="str">
        <f t="shared" si="453"/>
        <v/>
      </c>
      <c r="R4707" s="216" t="str">
        <f t="shared" si="454"/>
        <v/>
      </c>
      <c r="S4707" s="217" t="str">
        <f t="shared" si="455"/>
        <v/>
      </c>
    </row>
    <row r="4708" spans="1:19" ht="15.75" hidden="1" thickBot="1" x14ac:dyDescent="0.3">
      <c r="A4708" s="257"/>
      <c r="B4708" s="260"/>
      <c r="C4708" s="35" t="s">
        <v>1233</v>
      </c>
      <c r="D4708" s="35" t="s">
        <v>583</v>
      </c>
      <c r="E4708" s="36">
        <f>0.278*2</f>
        <v>0.55600000000000005</v>
      </c>
      <c r="F4708" s="53">
        <v>21.318000000000001</v>
      </c>
      <c r="G4708" s="53">
        <f t="shared" si="456"/>
        <v>11.852808000000001</v>
      </c>
      <c r="H4708" s="72"/>
      <c r="I4708" s="73"/>
      <c r="J4708" s="152">
        <v>0</v>
      </c>
      <c r="L4708" s="215">
        <v>0.55600000000000005</v>
      </c>
      <c r="M4708" s="53">
        <v>18.248208000000002</v>
      </c>
      <c r="N4708" s="53">
        <f t="shared" si="457"/>
        <v>10.146003648000002</v>
      </c>
      <c r="O4708" s="72"/>
      <c r="P4708" s="36" t="str">
        <f t="shared" si="452"/>
        <v/>
      </c>
      <c r="Q4708" s="216">
        <f t="shared" si="453"/>
        <v>0.14400000000000002</v>
      </c>
      <c r="R4708" s="216">
        <f t="shared" si="454"/>
        <v>0.14399999999999991</v>
      </c>
      <c r="S4708" s="217" t="str">
        <f t="shared" si="455"/>
        <v/>
      </c>
    </row>
    <row r="4709" spans="1:19" ht="15.75" hidden="1" thickBot="1" x14ac:dyDescent="0.3">
      <c r="A4709" s="257"/>
      <c r="B4709" s="260"/>
      <c r="C4709" s="35" t="s">
        <v>881</v>
      </c>
      <c r="D4709" s="35" t="s">
        <v>583</v>
      </c>
      <c r="E4709" s="36">
        <v>1.375</v>
      </c>
      <c r="F4709" s="53">
        <v>27.160499999999999</v>
      </c>
      <c r="G4709" s="53">
        <f t="shared" si="456"/>
        <v>37.345687499999997</v>
      </c>
      <c r="H4709" s="72"/>
      <c r="I4709" s="73"/>
      <c r="J4709" s="152">
        <v>0</v>
      </c>
      <c r="L4709" s="215">
        <v>1.375</v>
      </c>
      <c r="M4709" s="53">
        <v>23.249388</v>
      </c>
      <c r="N4709" s="53">
        <f t="shared" si="457"/>
        <v>31.9679085</v>
      </c>
      <c r="O4709" s="72"/>
      <c r="P4709" s="36" t="str">
        <f t="shared" si="452"/>
        <v/>
      </c>
      <c r="Q4709" s="216">
        <f t="shared" si="453"/>
        <v>0.14400000000000002</v>
      </c>
      <c r="R4709" s="216">
        <f t="shared" si="454"/>
        <v>0.14399999999999991</v>
      </c>
      <c r="S4709" s="217" t="str">
        <f t="shared" si="455"/>
        <v/>
      </c>
    </row>
    <row r="4710" spans="1:19" ht="15.75" hidden="1" thickBot="1" x14ac:dyDescent="0.3">
      <c r="A4710" s="257"/>
      <c r="B4710" s="260"/>
      <c r="C4710" s="35"/>
      <c r="D4710" s="35"/>
      <c r="E4710" s="36"/>
      <c r="F4710" s="53" t="s">
        <v>416</v>
      </c>
      <c r="G4710" s="53" t="str">
        <f t="shared" si="456"/>
        <v/>
      </c>
      <c r="H4710" s="72"/>
      <c r="I4710" s="73"/>
      <c r="J4710" s="152">
        <v>0</v>
      </c>
      <c r="L4710" s="215"/>
      <c r="M4710" s="53"/>
      <c r="N4710" s="53" t="str">
        <f t="shared" si="457"/>
        <v/>
      </c>
      <c r="O4710" s="72"/>
      <c r="P4710" s="36" t="str">
        <f t="shared" si="452"/>
        <v/>
      </c>
      <c r="Q4710" s="216" t="str">
        <f t="shared" si="453"/>
        <v/>
      </c>
      <c r="R4710" s="216" t="str">
        <f t="shared" si="454"/>
        <v/>
      </c>
      <c r="S4710" s="217" t="str">
        <f t="shared" si="455"/>
        <v/>
      </c>
    </row>
    <row r="4711" spans="1:19" ht="26.25" hidden="1" thickBot="1" x14ac:dyDescent="0.3">
      <c r="A4711" s="257"/>
      <c r="B4711" s="260"/>
      <c r="C4711" s="47" t="s">
        <v>1253</v>
      </c>
      <c r="D4711" s="35"/>
      <c r="E4711" s="36"/>
      <c r="F4711" s="53" t="s">
        <v>416</v>
      </c>
      <c r="G4711" s="53" t="str">
        <f t="shared" si="456"/>
        <v/>
      </c>
      <c r="H4711" s="72"/>
      <c r="I4711" s="73"/>
      <c r="J4711" s="152">
        <v>0</v>
      </c>
      <c r="L4711" s="215"/>
      <c r="M4711" s="53"/>
      <c r="N4711" s="53" t="str">
        <f t="shared" si="457"/>
        <v/>
      </c>
      <c r="O4711" s="72"/>
      <c r="P4711" s="36" t="str">
        <f t="shared" si="452"/>
        <v/>
      </c>
      <c r="Q4711" s="216" t="str">
        <f t="shared" si="453"/>
        <v/>
      </c>
      <c r="R4711" s="216" t="str">
        <f t="shared" si="454"/>
        <v/>
      </c>
      <c r="S4711" s="217" t="str">
        <f t="shared" si="455"/>
        <v/>
      </c>
    </row>
    <row r="4712" spans="1:19" ht="25.5" hidden="1" thickBot="1" x14ac:dyDescent="0.3">
      <c r="A4712" s="257"/>
      <c r="B4712" s="260"/>
      <c r="C4712" s="151" t="s">
        <v>1254</v>
      </c>
      <c r="D4712" s="35"/>
      <c r="E4712" s="36"/>
      <c r="F4712" s="53" t="s">
        <v>416</v>
      </c>
      <c r="G4712" s="53" t="str">
        <f t="shared" si="456"/>
        <v/>
      </c>
      <c r="H4712" s="72"/>
      <c r="I4712" s="73"/>
      <c r="J4712" s="152">
        <v>0</v>
      </c>
      <c r="L4712" s="215"/>
      <c r="M4712" s="53"/>
      <c r="N4712" s="53" t="str">
        <f t="shared" si="457"/>
        <v/>
      </c>
      <c r="O4712" s="72"/>
      <c r="P4712" s="36" t="str">
        <f t="shared" si="452"/>
        <v/>
      </c>
      <c r="Q4712" s="216" t="str">
        <f t="shared" si="453"/>
        <v/>
      </c>
      <c r="R4712" s="216" t="str">
        <f t="shared" si="454"/>
        <v/>
      </c>
      <c r="S4712" s="217" t="str">
        <f t="shared" si="455"/>
        <v/>
      </c>
    </row>
    <row r="4713" spans="1:19" ht="15.75" hidden="1" thickBot="1" x14ac:dyDescent="0.3">
      <c r="A4713" s="257"/>
      <c r="B4713" s="260"/>
      <c r="C4713" s="35"/>
      <c r="D4713" s="35"/>
      <c r="E4713" s="36"/>
      <c r="F4713" s="53" t="s">
        <v>416</v>
      </c>
      <c r="G4713" s="53" t="str">
        <f t="shared" si="456"/>
        <v/>
      </c>
      <c r="H4713" s="72"/>
      <c r="I4713" s="73"/>
      <c r="J4713" s="152">
        <v>0</v>
      </c>
      <c r="L4713" s="215"/>
      <c r="M4713" s="53"/>
      <c r="N4713" s="53" t="str">
        <f t="shared" si="457"/>
        <v/>
      </c>
      <c r="O4713" s="72"/>
      <c r="P4713" s="36" t="str">
        <f t="shared" si="452"/>
        <v/>
      </c>
      <c r="Q4713" s="216" t="str">
        <f t="shared" si="453"/>
        <v/>
      </c>
      <c r="R4713" s="216" t="str">
        <f t="shared" si="454"/>
        <v/>
      </c>
      <c r="S4713" s="217" t="str">
        <f t="shared" si="455"/>
        <v/>
      </c>
    </row>
    <row r="4714" spans="1:19" ht="15.75" hidden="1" thickBot="1" x14ac:dyDescent="0.3">
      <c r="A4714" s="256" t="s">
        <v>2751</v>
      </c>
      <c r="B4714" s="259" t="str">
        <f>INDEX(Orçamentária!A:B,MATCH(Composições!A4714,Orçamentária!A:A,0),2)</f>
        <v>Fibra de Polipropileno</v>
      </c>
      <c r="C4714" s="40"/>
      <c r="D4714" s="25" t="s">
        <v>28</v>
      </c>
      <c r="E4714" s="26"/>
      <c r="F4714" s="48" t="s">
        <v>416</v>
      </c>
      <c r="G4714" s="27" t="str">
        <f t="shared" si="456"/>
        <v/>
      </c>
      <c r="H4714" s="28"/>
      <c r="I4714" s="29"/>
      <c r="J4714" s="152">
        <v>0</v>
      </c>
      <c r="L4714" s="218"/>
      <c r="M4714" s="48"/>
      <c r="N4714" s="27" t="str">
        <f t="shared" si="457"/>
        <v/>
      </c>
      <c r="O4714" s="28"/>
      <c r="P4714" s="36" t="str">
        <f t="shared" si="452"/>
        <v/>
      </c>
      <c r="Q4714" s="216" t="str">
        <f t="shared" si="453"/>
        <v/>
      </c>
      <c r="R4714" s="216" t="str">
        <f t="shared" si="454"/>
        <v/>
      </c>
      <c r="S4714" s="217" t="str">
        <f t="shared" si="455"/>
        <v/>
      </c>
    </row>
    <row r="4715" spans="1:19" ht="15.75" hidden="1" thickBot="1" x14ac:dyDescent="0.3">
      <c r="A4715" s="257"/>
      <c r="B4715" s="260"/>
      <c r="C4715" s="31"/>
      <c r="D4715" s="31"/>
      <c r="E4715" s="32"/>
      <c r="F4715" s="53" t="s">
        <v>416</v>
      </c>
      <c r="G4715" s="53" t="str">
        <f t="shared" si="456"/>
        <v/>
      </c>
      <c r="H4715" s="72"/>
      <c r="I4715" s="73"/>
      <c r="J4715" s="152">
        <v>0</v>
      </c>
      <c r="L4715" s="219"/>
      <c r="M4715" s="53"/>
      <c r="N4715" s="53" t="str">
        <f t="shared" si="457"/>
        <v/>
      </c>
      <c r="O4715" s="72"/>
      <c r="P4715" s="36" t="str">
        <f t="shared" si="452"/>
        <v/>
      </c>
      <c r="Q4715" s="216" t="str">
        <f t="shared" si="453"/>
        <v/>
      </c>
      <c r="R4715" s="216" t="str">
        <f t="shared" si="454"/>
        <v/>
      </c>
      <c r="S4715" s="217" t="str">
        <f t="shared" si="455"/>
        <v/>
      </c>
    </row>
    <row r="4716" spans="1:19" ht="26.25" hidden="1" thickBot="1" x14ac:dyDescent="0.3">
      <c r="A4716" s="257"/>
      <c r="B4716" s="260"/>
      <c r="C4716" s="35" t="s">
        <v>6720</v>
      </c>
      <c r="D4716" s="35" t="s">
        <v>28</v>
      </c>
      <c r="E4716" s="36">
        <v>1</v>
      </c>
      <c r="F4716" s="53">
        <v>0</v>
      </c>
      <c r="G4716" s="53">
        <f t="shared" si="456"/>
        <v>0</v>
      </c>
      <c r="H4716" s="38">
        <f>SUM(G4716:G4716)</f>
        <v>0</v>
      </c>
      <c r="I4716" s="39"/>
      <c r="J4716" s="152">
        <v>0</v>
      </c>
      <c r="L4716" s="215">
        <v>1</v>
      </c>
      <c r="M4716" s="53">
        <v>0</v>
      </c>
      <c r="N4716" s="53">
        <f t="shared" si="457"/>
        <v>0</v>
      </c>
      <c r="O4716" s="38">
        <f>SUM(N4716:N4716)</f>
        <v>0</v>
      </c>
      <c r="P4716" s="36" t="str">
        <f t="shared" si="452"/>
        <v/>
      </c>
      <c r="Q4716" s="216" t="e">
        <f t="shared" si="453"/>
        <v>#DIV/0!</v>
      </c>
      <c r="R4716" s="216" t="e">
        <f t="shared" si="454"/>
        <v>#DIV/0!</v>
      </c>
      <c r="S4716" s="217" t="e">
        <f t="shared" si="455"/>
        <v>#DIV/0!</v>
      </c>
    </row>
    <row r="4717" spans="1:19" ht="15.75" hidden="1" thickBot="1" x14ac:dyDescent="0.3">
      <c r="A4717" s="257"/>
      <c r="B4717" s="260"/>
      <c r="C4717" s="35"/>
      <c r="D4717" s="35"/>
      <c r="E4717" s="36"/>
      <c r="F4717" s="53" t="s">
        <v>416</v>
      </c>
      <c r="G4717" s="53" t="str">
        <f t="shared" si="456"/>
        <v/>
      </c>
      <c r="H4717" s="72"/>
      <c r="I4717" s="73"/>
      <c r="J4717" s="152">
        <v>0</v>
      </c>
      <c r="L4717" s="215"/>
      <c r="M4717" s="53"/>
      <c r="N4717" s="53" t="str">
        <f t="shared" si="457"/>
        <v/>
      </c>
      <c r="O4717" s="72"/>
      <c r="P4717" s="36" t="str">
        <f t="shared" si="452"/>
        <v/>
      </c>
      <c r="Q4717" s="216" t="str">
        <f t="shared" si="453"/>
        <v/>
      </c>
      <c r="R4717" s="216" t="str">
        <f t="shared" si="454"/>
        <v/>
      </c>
      <c r="S4717" s="217" t="str">
        <f t="shared" si="455"/>
        <v/>
      </c>
    </row>
    <row r="4718" spans="1:19" ht="15.75" hidden="1" thickBot="1" x14ac:dyDescent="0.3">
      <c r="A4718" s="256" t="s">
        <v>1258</v>
      </c>
      <c r="B4718" s="259" t="str">
        <f>INDEX(Orçamentária!A:B,MATCH(Composições!A4718,Orçamentária!A:A,0),2)</f>
        <v>Aditivo Incorporador de Ar</v>
      </c>
      <c r="C4718" s="40"/>
      <c r="D4718" s="25" t="s">
        <v>28</v>
      </c>
      <c r="E4718" s="26"/>
      <c r="F4718" s="48" t="s">
        <v>416</v>
      </c>
      <c r="G4718" s="27" t="str">
        <f t="shared" si="456"/>
        <v/>
      </c>
      <c r="H4718" s="28"/>
      <c r="I4718" s="29"/>
      <c r="J4718" s="152">
        <v>0</v>
      </c>
      <c r="L4718" s="218"/>
      <c r="M4718" s="48"/>
      <c r="N4718" s="27" t="str">
        <f t="shared" si="457"/>
        <v/>
      </c>
      <c r="O4718" s="28"/>
      <c r="P4718" s="36" t="str">
        <f t="shared" si="452"/>
        <v/>
      </c>
      <c r="Q4718" s="216" t="str">
        <f t="shared" si="453"/>
        <v/>
      </c>
      <c r="R4718" s="216" t="str">
        <f t="shared" si="454"/>
        <v/>
      </c>
      <c r="S4718" s="217" t="str">
        <f t="shared" si="455"/>
        <v/>
      </c>
    </row>
    <row r="4719" spans="1:19" ht="15.75" hidden="1" thickBot="1" x14ac:dyDescent="0.3">
      <c r="A4719" s="257"/>
      <c r="B4719" s="260"/>
      <c r="C4719" s="31"/>
      <c r="D4719" s="31"/>
      <c r="E4719" s="32"/>
      <c r="F4719" s="53" t="s">
        <v>416</v>
      </c>
      <c r="G4719" s="53" t="str">
        <f t="shared" si="456"/>
        <v/>
      </c>
      <c r="H4719" s="72"/>
      <c r="I4719" s="73"/>
      <c r="J4719" s="152">
        <v>0</v>
      </c>
      <c r="L4719" s="219"/>
      <c r="M4719" s="53"/>
      <c r="N4719" s="53" t="str">
        <f t="shared" si="457"/>
        <v/>
      </c>
      <c r="O4719" s="72"/>
      <c r="P4719" s="36" t="str">
        <f t="shared" si="452"/>
        <v/>
      </c>
      <c r="Q4719" s="216" t="str">
        <f t="shared" si="453"/>
        <v/>
      </c>
      <c r="R4719" s="216" t="str">
        <f t="shared" si="454"/>
        <v/>
      </c>
      <c r="S4719" s="217" t="str">
        <f t="shared" si="455"/>
        <v/>
      </c>
    </row>
    <row r="4720" spans="1:19" ht="26.25" hidden="1" thickBot="1" x14ac:dyDescent="0.3">
      <c r="A4720" s="257"/>
      <c r="B4720" s="260"/>
      <c r="C4720" s="35" t="s">
        <v>1259</v>
      </c>
      <c r="D4720" s="35" t="s">
        <v>75</v>
      </c>
      <c r="E4720" s="36">
        <v>1.01</v>
      </c>
      <c r="F4720" s="53">
        <v>8.17</v>
      </c>
      <c r="G4720" s="53">
        <f t="shared" si="456"/>
        <v>8.2516999999999996</v>
      </c>
      <c r="H4720" s="38">
        <f>SUM(G4720:G4720)</f>
        <v>8.2516999999999996</v>
      </c>
      <c r="I4720" s="39"/>
      <c r="J4720" s="152">
        <v>0</v>
      </c>
      <c r="L4720" s="215">
        <v>1.01</v>
      </c>
      <c r="M4720" s="53">
        <v>6.9935200000000002</v>
      </c>
      <c r="N4720" s="53">
        <f t="shared" si="457"/>
        <v>7.0634551999999999</v>
      </c>
      <c r="O4720" s="38">
        <f>SUM(N4720:N4720)</f>
        <v>7.0634551999999999</v>
      </c>
      <c r="P4720" s="36" t="str">
        <f t="shared" si="452"/>
        <v/>
      </c>
      <c r="Q4720" s="216">
        <f t="shared" si="453"/>
        <v>0.14400000000000002</v>
      </c>
      <c r="R4720" s="216">
        <f t="shared" si="454"/>
        <v>0.14400000000000002</v>
      </c>
      <c r="S4720" s="217">
        <f t="shared" si="455"/>
        <v>0.14400000000000002</v>
      </c>
    </row>
    <row r="4721" spans="1:19" ht="15.75" hidden="1" thickBot="1" x14ac:dyDescent="0.3">
      <c r="A4721" s="257"/>
      <c r="B4721" s="260"/>
      <c r="C4721" s="35"/>
      <c r="D4721" s="35"/>
      <c r="E4721" s="36"/>
      <c r="F4721" s="53" t="s">
        <v>416</v>
      </c>
      <c r="G4721" s="53" t="str">
        <f t="shared" si="456"/>
        <v/>
      </c>
      <c r="H4721" s="72"/>
      <c r="I4721" s="73"/>
      <c r="J4721" s="152">
        <v>0</v>
      </c>
      <c r="L4721" s="215"/>
      <c r="M4721" s="53"/>
      <c r="N4721" s="53" t="str">
        <f t="shared" si="457"/>
        <v/>
      </c>
      <c r="O4721" s="72"/>
      <c r="P4721" s="36" t="str">
        <f t="shared" si="452"/>
        <v/>
      </c>
      <c r="Q4721" s="216" t="str">
        <f t="shared" si="453"/>
        <v/>
      </c>
      <c r="R4721" s="216" t="str">
        <f t="shared" si="454"/>
        <v/>
      </c>
      <c r="S4721" s="217" t="str">
        <f t="shared" si="455"/>
        <v/>
      </c>
    </row>
    <row r="4722" spans="1:19" ht="26.25" hidden="1" thickBot="1" x14ac:dyDescent="0.3">
      <c r="A4722" s="257"/>
      <c r="B4722" s="260"/>
      <c r="C4722" s="47" t="s">
        <v>1260</v>
      </c>
      <c r="D4722" s="35"/>
      <c r="E4722" s="36"/>
      <c r="F4722" s="53" t="s">
        <v>416</v>
      </c>
      <c r="G4722" s="53" t="str">
        <f t="shared" si="456"/>
        <v/>
      </c>
      <c r="H4722" s="72"/>
      <c r="I4722" s="73"/>
      <c r="J4722" s="152">
        <v>0</v>
      </c>
      <c r="L4722" s="215"/>
      <c r="M4722" s="53"/>
      <c r="N4722" s="53" t="str">
        <f t="shared" si="457"/>
        <v/>
      </c>
      <c r="O4722" s="72"/>
      <c r="P4722" s="36" t="str">
        <f t="shared" si="452"/>
        <v/>
      </c>
      <c r="Q4722" s="216" t="str">
        <f t="shared" si="453"/>
        <v/>
      </c>
      <c r="R4722" s="216" t="str">
        <f t="shared" si="454"/>
        <v/>
      </c>
      <c r="S4722" s="217" t="str">
        <f t="shared" si="455"/>
        <v/>
      </c>
    </row>
    <row r="4723" spans="1:19" ht="15.75" hidden="1" thickBot="1" x14ac:dyDescent="0.3">
      <c r="A4723" s="257"/>
      <c r="B4723" s="260"/>
      <c r="C4723" s="54"/>
      <c r="D4723" s="54"/>
      <c r="E4723" s="65"/>
      <c r="F4723" s="75" t="s">
        <v>416</v>
      </c>
      <c r="G4723" s="75" t="str">
        <f t="shared" si="456"/>
        <v/>
      </c>
      <c r="H4723" s="76"/>
      <c r="I4723" s="73"/>
      <c r="J4723" s="152">
        <v>0</v>
      </c>
      <c r="L4723" s="222"/>
      <c r="M4723" s="75"/>
      <c r="N4723" s="75" t="str">
        <f t="shared" si="457"/>
        <v/>
      </c>
      <c r="O4723" s="76"/>
      <c r="P4723" s="36" t="str">
        <f t="shared" si="452"/>
        <v/>
      </c>
      <c r="Q4723" s="216" t="str">
        <f t="shared" si="453"/>
        <v/>
      </c>
      <c r="R4723" s="216" t="str">
        <f t="shared" si="454"/>
        <v/>
      </c>
      <c r="S4723" s="217" t="str">
        <f t="shared" si="455"/>
        <v/>
      </c>
    </row>
    <row r="4724" spans="1:19" ht="15.75" hidden="1" thickBot="1" x14ac:dyDescent="0.3">
      <c r="A4724" s="256" t="s">
        <v>1261</v>
      </c>
      <c r="B4724" s="259" t="str">
        <f>INDEX(Orçamentária!A:B,MATCH(Composições!A4724,Orçamentária!A:A,0),2)</f>
        <v>Brita Nº 2</v>
      </c>
      <c r="C4724" s="40"/>
      <c r="D4724" s="25" t="s">
        <v>80</v>
      </c>
      <c r="E4724" s="26"/>
      <c r="F4724" s="48" t="s">
        <v>416</v>
      </c>
      <c r="G4724" s="27" t="str">
        <f t="shared" si="456"/>
        <v/>
      </c>
      <c r="H4724" s="28"/>
      <c r="I4724" s="29"/>
      <c r="J4724" s="152">
        <v>0</v>
      </c>
      <c r="L4724" s="218"/>
      <c r="M4724" s="48"/>
      <c r="N4724" s="27" t="str">
        <f t="shared" si="457"/>
        <v/>
      </c>
      <c r="O4724" s="28"/>
      <c r="P4724" s="36" t="str">
        <f t="shared" si="452"/>
        <v/>
      </c>
      <c r="Q4724" s="216" t="str">
        <f t="shared" si="453"/>
        <v/>
      </c>
      <c r="R4724" s="216" t="str">
        <f t="shared" si="454"/>
        <v/>
      </c>
      <c r="S4724" s="217" t="str">
        <f t="shared" si="455"/>
        <v/>
      </c>
    </row>
    <row r="4725" spans="1:19" ht="15.75" hidden="1" thickBot="1" x14ac:dyDescent="0.3">
      <c r="A4725" s="257"/>
      <c r="B4725" s="260"/>
      <c r="C4725" s="31"/>
      <c r="D4725" s="31"/>
      <c r="E4725" s="32"/>
      <c r="F4725" s="53" t="s">
        <v>416</v>
      </c>
      <c r="G4725" s="53" t="str">
        <f t="shared" si="456"/>
        <v/>
      </c>
      <c r="H4725" s="72"/>
      <c r="I4725" s="73"/>
      <c r="J4725" s="152">
        <v>0</v>
      </c>
      <c r="L4725" s="219"/>
      <c r="M4725" s="53"/>
      <c r="N4725" s="53" t="str">
        <f t="shared" si="457"/>
        <v/>
      </c>
      <c r="O4725" s="72"/>
      <c r="P4725" s="36" t="str">
        <f t="shared" si="452"/>
        <v/>
      </c>
      <c r="Q4725" s="216" t="str">
        <f t="shared" si="453"/>
        <v/>
      </c>
      <c r="R4725" s="216" t="str">
        <f t="shared" si="454"/>
        <v/>
      </c>
      <c r="S4725" s="217" t="str">
        <f t="shared" si="455"/>
        <v/>
      </c>
    </row>
    <row r="4726" spans="1:19" ht="26.25" hidden="1" thickBot="1" x14ac:dyDescent="0.3">
      <c r="A4726" s="257"/>
      <c r="B4726" s="260"/>
      <c r="C4726" s="35" t="s">
        <v>8312</v>
      </c>
      <c r="D4726" s="35" t="s">
        <v>87</v>
      </c>
      <c r="E4726" s="36">
        <v>1</v>
      </c>
      <c r="F4726" s="53">
        <v>177.38399999999999</v>
      </c>
      <c r="G4726" s="53">
        <f t="shared" si="456"/>
        <v>177.38399999999999</v>
      </c>
      <c r="H4726" s="38">
        <f>SUM(G4726:G4728)</f>
        <v>238.46265779999999</v>
      </c>
      <c r="I4726" s="39"/>
      <c r="J4726" s="152">
        <v>0</v>
      </c>
      <c r="L4726" s="215">
        <v>1</v>
      </c>
      <c r="M4726" s="53">
        <v>151.84070399999999</v>
      </c>
      <c r="N4726" s="53">
        <f t="shared" si="457"/>
        <v>151.84070399999999</v>
      </c>
      <c r="O4726" s="38">
        <f>SUM(N4726:N4728)</f>
        <v>204.1240350768</v>
      </c>
      <c r="P4726" s="36" t="str">
        <f t="shared" si="452"/>
        <v/>
      </c>
      <c r="Q4726" s="216">
        <f t="shared" si="453"/>
        <v>0.14400000000000002</v>
      </c>
      <c r="R4726" s="216">
        <f t="shared" si="454"/>
        <v>0.14400000000000002</v>
      </c>
      <c r="S4726" s="217">
        <f t="shared" si="455"/>
        <v>0.14400000000000002</v>
      </c>
    </row>
    <row r="4727" spans="1:19" ht="51.75" hidden="1" thickBot="1" x14ac:dyDescent="0.3">
      <c r="A4727" s="257"/>
      <c r="B4727" s="260"/>
      <c r="C4727" s="35" t="s">
        <v>3071</v>
      </c>
      <c r="D4727" s="35" t="s">
        <v>80</v>
      </c>
      <c r="E4727" s="36">
        <f>1*E4726</f>
        <v>1</v>
      </c>
      <c r="F4727" s="33">
        <v>7.9257587999999988</v>
      </c>
      <c r="G4727" s="33">
        <f t="shared" si="456"/>
        <v>7.9257587999999988</v>
      </c>
      <c r="H4727" s="34"/>
      <c r="I4727" s="30"/>
      <c r="J4727" s="152">
        <v>0</v>
      </c>
      <c r="L4727" s="215">
        <v>1</v>
      </c>
      <c r="M4727" s="33">
        <v>6.7844495327999992</v>
      </c>
      <c r="N4727" s="33">
        <f t="shared" si="457"/>
        <v>6.7844495327999992</v>
      </c>
      <c r="O4727" s="34"/>
      <c r="P4727" s="36" t="str">
        <f t="shared" si="452"/>
        <v/>
      </c>
      <c r="Q4727" s="216">
        <f t="shared" si="453"/>
        <v>0.14400000000000002</v>
      </c>
      <c r="R4727" s="216">
        <f t="shared" si="454"/>
        <v>0.14400000000000002</v>
      </c>
      <c r="S4727" s="217" t="str">
        <f t="shared" si="455"/>
        <v/>
      </c>
    </row>
    <row r="4728" spans="1:19" ht="39" hidden="1" thickBot="1" x14ac:dyDescent="0.3">
      <c r="A4728" s="257"/>
      <c r="B4728" s="260"/>
      <c r="C4728" s="35" t="s">
        <v>88</v>
      </c>
      <c r="D4728" s="35" t="s">
        <v>89</v>
      </c>
      <c r="E4728" s="36">
        <f>E4726*20</f>
        <v>20</v>
      </c>
      <c r="F4728" s="53">
        <v>2.6576449499999995</v>
      </c>
      <c r="G4728" s="53">
        <f t="shared" si="456"/>
        <v>53.152898999999991</v>
      </c>
      <c r="H4728" s="72"/>
      <c r="I4728" s="73"/>
      <c r="J4728" s="152">
        <v>0</v>
      </c>
      <c r="L4728" s="215">
        <v>20</v>
      </c>
      <c r="M4728" s="53">
        <v>2.2749440771999998</v>
      </c>
      <c r="N4728" s="53">
        <f t="shared" si="457"/>
        <v>45.498881544</v>
      </c>
      <c r="O4728" s="72"/>
      <c r="P4728" s="36" t="str">
        <f t="shared" si="452"/>
        <v/>
      </c>
      <c r="Q4728" s="216">
        <f t="shared" si="453"/>
        <v>0.14399999999999991</v>
      </c>
      <c r="R4728" s="216">
        <f t="shared" si="454"/>
        <v>0.14399999999999991</v>
      </c>
      <c r="S4728" s="217" t="str">
        <f t="shared" si="455"/>
        <v/>
      </c>
    </row>
    <row r="4729" spans="1:19" ht="15.75" hidden="1" thickBot="1" x14ac:dyDescent="0.3">
      <c r="A4729" s="257"/>
      <c r="B4729" s="260"/>
      <c r="C4729" s="35"/>
      <c r="D4729" s="35"/>
      <c r="E4729" s="36"/>
      <c r="F4729" s="53" t="s">
        <v>416</v>
      </c>
      <c r="G4729" s="53" t="str">
        <f t="shared" si="456"/>
        <v/>
      </c>
      <c r="H4729" s="72"/>
      <c r="I4729" s="73"/>
      <c r="J4729" s="152">
        <v>0</v>
      </c>
      <c r="L4729" s="215"/>
      <c r="M4729" s="53"/>
      <c r="N4729" s="53" t="str">
        <f t="shared" si="457"/>
        <v/>
      </c>
      <c r="O4729" s="72"/>
      <c r="P4729" s="36" t="str">
        <f t="shared" si="452"/>
        <v/>
      </c>
      <c r="Q4729" s="216" t="str">
        <f t="shared" si="453"/>
        <v/>
      </c>
      <c r="R4729" s="216" t="str">
        <f t="shared" si="454"/>
        <v/>
      </c>
      <c r="S4729" s="217" t="str">
        <f t="shared" si="455"/>
        <v/>
      </c>
    </row>
    <row r="4730" spans="1:19" ht="15.75" hidden="1" thickBot="1" x14ac:dyDescent="0.3">
      <c r="A4730" s="257"/>
      <c r="B4730" s="260"/>
      <c r="C4730" s="47" t="s">
        <v>1262</v>
      </c>
      <c r="D4730" s="35"/>
      <c r="E4730" s="36"/>
      <c r="F4730" s="53" t="s">
        <v>416</v>
      </c>
      <c r="G4730" s="53" t="str">
        <f t="shared" si="456"/>
        <v/>
      </c>
      <c r="H4730" s="72"/>
      <c r="I4730" s="73"/>
      <c r="J4730" s="152">
        <v>0</v>
      </c>
      <c r="L4730" s="215"/>
      <c r="M4730" s="53"/>
      <c r="N4730" s="53" t="str">
        <f t="shared" si="457"/>
        <v/>
      </c>
      <c r="O4730" s="72"/>
      <c r="P4730" s="36" t="str">
        <f t="shared" si="452"/>
        <v/>
      </c>
      <c r="Q4730" s="216" t="str">
        <f t="shared" si="453"/>
        <v/>
      </c>
      <c r="R4730" s="216" t="str">
        <f t="shared" si="454"/>
        <v/>
      </c>
      <c r="S4730" s="217" t="str">
        <f t="shared" si="455"/>
        <v/>
      </c>
    </row>
    <row r="4731" spans="1:19" ht="15.75" hidden="1" thickBot="1" x14ac:dyDescent="0.3">
      <c r="A4731" s="258"/>
      <c r="B4731" s="261"/>
      <c r="C4731" s="54"/>
      <c r="D4731" s="54"/>
      <c r="E4731" s="65"/>
      <c r="F4731" s="75" t="s">
        <v>416</v>
      </c>
      <c r="G4731" s="75" t="str">
        <f t="shared" si="456"/>
        <v/>
      </c>
      <c r="H4731" s="76"/>
      <c r="I4731" s="73"/>
      <c r="J4731" s="152">
        <v>0</v>
      </c>
      <c r="L4731" s="222"/>
      <c r="M4731" s="75"/>
      <c r="N4731" s="75" t="str">
        <f t="shared" si="457"/>
        <v/>
      </c>
      <c r="O4731" s="76"/>
      <c r="P4731" s="36" t="str">
        <f t="shared" si="452"/>
        <v/>
      </c>
      <c r="Q4731" s="216" t="str">
        <f t="shared" si="453"/>
        <v/>
      </c>
      <c r="R4731" s="216" t="str">
        <f t="shared" si="454"/>
        <v/>
      </c>
      <c r="S4731" s="217" t="str">
        <f t="shared" si="455"/>
        <v/>
      </c>
    </row>
    <row r="4732" spans="1:19" ht="15.75" hidden="1" thickBot="1" x14ac:dyDescent="0.3">
      <c r="A4732" s="256" t="s">
        <v>2761</v>
      </c>
      <c r="B4732" s="259" t="str">
        <f>INDEX(Orçamentária!A:B,MATCH(Composições!A4732,Orçamentária!A:A,0),2)</f>
        <v>Calha em chapa de zinco # 24 - Modelo 1</v>
      </c>
      <c r="C4732" s="40"/>
      <c r="D4732" s="25" t="s">
        <v>69</v>
      </c>
      <c r="E4732" s="26"/>
      <c r="F4732" s="48" t="s">
        <v>416</v>
      </c>
      <c r="G4732" s="27" t="str">
        <f t="shared" si="456"/>
        <v/>
      </c>
      <c r="H4732" s="28"/>
      <c r="I4732" s="29"/>
      <c r="J4732" s="152">
        <v>0</v>
      </c>
      <c r="L4732" s="218"/>
      <c r="M4732" s="48"/>
      <c r="N4732" s="27" t="str">
        <f t="shared" si="457"/>
        <v/>
      </c>
      <c r="O4732" s="28"/>
      <c r="P4732" s="36" t="str">
        <f t="shared" si="452"/>
        <v/>
      </c>
      <c r="Q4732" s="216" t="str">
        <f t="shared" si="453"/>
        <v/>
      </c>
      <c r="R4732" s="216" t="str">
        <f t="shared" si="454"/>
        <v/>
      </c>
      <c r="S4732" s="217" t="str">
        <f t="shared" si="455"/>
        <v/>
      </c>
    </row>
    <row r="4733" spans="1:19" ht="15.75" hidden="1" thickBot="1" x14ac:dyDescent="0.3">
      <c r="A4733" s="257"/>
      <c r="B4733" s="260"/>
      <c r="C4733" s="31"/>
      <c r="D4733" s="31"/>
      <c r="E4733" s="32"/>
      <c r="F4733" s="53" t="s">
        <v>416</v>
      </c>
      <c r="G4733" s="53" t="str">
        <f t="shared" si="456"/>
        <v/>
      </c>
      <c r="H4733" s="72"/>
      <c r="I4733" s="73"/>
      <c r="J4733" s="152">
        <v>0</v>
      </c>
      <c r="L4733" s="219"/>
      <c r="M4733" s="53"/>
      <c r="N4733" s="53" t="str">
        <f t="shared" si="457"/>
        <v/>
      </c>
      <c r="O4733" s="72"/>
      <c r="P4733" s="36" t="str">
        <f t="shared" si="452"/>
        <v/>
      </c>
      <c r="Q4733" s="216" t="str">
        <f t="shared" si="453"/>
        <v/>
      </c>
      <c r="R4733" s="216" t="str">
        <f t="shared" si="454"/>
        <v/>
      </c>
      <c r="S4733" s="217" t="str">
        <f t="shared" si="455"/>
        <v/>
      </c>
    </row>
    <row r="4734" spans="1:19" ht="26.25" hidden="1" thickBot="1" x14ac:dyDescent="0.3">
      <c r="A4734" s="257"/>
      <c r="B4734" s="260"/>
      <c r="C4734" s="35" t="s">
        <v>8042</v>
      </c>
      <c r="D4734" s="35" t="s">
        <v>385</v>
      </c>
      <c r="E4734" s="36">
        <f>65/50</f>
        <v>1.3</v>
      </c>
      <c r="F4734" s="53">
        <v>56.524999999999999</v>
      </c>
      <c r="G4734" s="53">
        <f t="shared" si="456"/>
        <v>73.482500000000002</v>
      </c>
      <c r="H4734" s="38">
        <f>SUM(G4734:G4734)</f>
        <v>73.482500000000002</v>
      </c>
      <c r="I4734" s="39"/>
      <c r="J4734" s="152">
        <v>0</v>
      </c>
      <c r="L4734" s="215">
        <v>1.3</v>
      </c>
      <c r="M4734" s="53">
        <v>48.385399999999997</v>
      </c>
      <c r="N4734" s="53">
        <f t="shared" si="457"/>
        <v>62.901019999999995</v>
      </c>
      <c r="O4734" s="38">
        <f>SUM(N4734:N4734)</f>
        <v>62.901019999999995</v>
      </c>
      <c r="P4734" s="36" t="str">
        <f t="shared" si="452"/>
        <v/>
      </c>
      <c r="Q4734" s="216">
        <f t="shared" si="453"/>
        <v>0.14400000000000002</v>
      </c>
      <c r="R4734" s="216">
        <f t="shared" si="454"/>
        <v>0.14400000000000013</v>
      </c>
      <c r="S4734" s="217">
        <f t="shared" si="455"/>
        <v>0.14400000000000013</v>
      </c>
    </row>
    <row r="4735" spans="1:19" ht="15.75" hidden="1" thickBot="1" x14ac:dyDescent="0.3">
      <c r="A4735" s="258"/>
      <c r="B4735" s="261"/>
      <c r="C4735" s="54"/>
      <c r="D4735" s="54"/>
      <c r="E4735" s="65"/>
      <c r="F4735" s="75" t="s">
        <v>416</v>
      </c>
      <c r="G4735" s="75" t="str">
        <f t="shared" si="456"/>
        <v/>
      </c>
      <c r="H4735" s="76"/>
      <c r="I4735" s="73"/>
      <c r="J4735" s="152">
        <v>0</v>
      </c>
      <c r="L4735" s="222"/>
      <c r="M4735" s="75"/>
      <c r="N4735" s="75" t="str">
        <f t="shared" si="457"/>
        <v/>
      </c>
      <c r="O4735" s="76"/>
      <c r="P4735" s="36" t="str">
        <f t="shared" si="452"/>
        <v/>
      </c>
      <c r="Q4735" s="216" t="str">
        <f t="shared" si="453"/>
        <v/>
      </c>
      <c r="R4735" s="216" t="str">
        <f t="shared" si="454"/>
        <v/>
      </c>
      <c r="S4735" s="217" t="str">
        <f t="shared" si="455"/>
        <v/>
      </c>
    </row>
    <row r="4736" spans="1:19" ht="15.75" hidden="1" thickBot="1" x14ac:dyDescent="0.3">
      <c r="A4736" s="256" t="s">
        <v>2763</v>
      </c>
      <c r="B4736" s="259" t="str">
        <f>INDEX(Orçamentária!A:B,MATCH(Composições!A4736,Orçamentária!A:A,0),2)</f>
        <v>Calha em chapa de zinco # 24 - Modelo 2</v>
      </c>
      <c r="C4736" s="40"/>
      <c r="D4736" s="25" t="s">
        <v>69</v>
      </c>
      <c r="E4736" s="26"/>
      <c r="F4736" s="48" t="s">
        <v>416</v>
      </c>
      <c r="G4736" s="27" t="str">
        <f t="shared" si="456"/>
        <v/>
      </c>
      <c r="H4736" s="28"/>
      <c r="I4736" s="29"/>
      <c r="J4736" s="152">
        <v>0</v>
      </c>
      <c r="L4736" s="218"/>
      <c r="M4736" s="48"/>
      <c r="N4736" s="27" t="str">
        <f t="shared" si="457"/>
        <v/>
      </c>
      <c r="O4736" s="28"/>
      <c r="P4736" s="36" t="str">
        <f t="shared" si="452"/>
        <v/>
      </c>
      <c r="Q4736" s="216" t="str">
        <f t="shared" si="453"/>
        <v/>
      </c>
      <c r="R4736" s="216" t="str">
        <f t="shared" si="454"/>
        <v/>
      </c>
      <c r="S4736" s="217" t="str">
        <f t="shared" si="455"/>
        <v/>
      </c>
    </row>
    <row r="4737" spans="1:19" ht="15.75" hidden="1" thickBot="1" x14ac:dyDescent="0.3">
      <c r="A4737" s="257"/>
      <c r="B4737" s="260"/>
      <c r="C4737" s="31"/>
      <c r="D4737" s="31"/>
      <c r="E4737" s="32"/>
      <c r="F4737" s="53" t="s">
        <v>416</v>
      </c>
      <c r="G4737" s="53" t="str">
        <f t="shared" si="456"/>
        <v/>
      </c>
      <c r="H4737" s="72"/>
      <c r="I4737" s="73"/>
      <c r="J4737" s="152">
        <v>0</v>
      </c>
      <c r="L4737" s="219"/>
      <c r="M4737" s="53"/>
      <c r="N4737" s="53" t="str">
        <f t="shared" si="457"/>
        <v/>
      </c>
      <c r="O4737" s="72"/>
      <c r="P4737" s="36" t="str">
        <f t="shared" si="452"/>
        <v/>
      </c>
      <c r="Q4737" s="216" t="str">
        <f t="shared" si="453"/>
        <v/>
      </c>
      <c r="R4737" s="216" t="str">
        <f t="shared" si="454"/>
        <v/>
      </c>
      <c r="S4737" s="217" t="str">
        <f t="shared" si="455"/>
        <v/>
      </c>
    </row>
    <row r="4738" spans="1:19" ht="26.25" hidden="1" thickBot="1" x14ac:dyDescent="0.3">
      <c r="A4738" s="257"/>
      <c r="B4738" s="260"/>
      <c r="C4738" s="35" t="s">
        <v>1212</v>
      </c>
      <c r="D4738" s="35" t="s">
        <v>385</v>
      </c>
      <c r="E4738" s="36">
        <v>1.1000000000000001</v>
      </c>
      <c r="F4738" s="53">
        <v>110.58</v>
      </c>
      <c r="G4738" s="53">
        <f t="shared" si="456"/>
        <v>121.63800000000001</v>
      </c>
      <c r="H4738" s="38">
        <f>SUM(G4738:G4738)</f>
        <v>121.63800000000001</v>
      </c>
      <c r="I4738" s="39"/>
      <c r="J4738" s="152">
        <v>0</v>
      </c>
      <c r="L4738" s="215">
        <v>1.1000000000000001</v>
      </c>
      <c r="M4738" s="53">
        <v>94.656480000000002</v>
      </c>
      <c r="N4738" s="53">
        <f t="shared" si="457"/>
        <v>104.122128</v>
      </c>
      <c r="O4738" s="38">
        <f>SUM(N4738:N4738)</f>
        <v>104.122128</v>
      </c>
      <c r="P4738" s="36" t="str">
        <f t="shared" si="452"/>
        <v/>
      </c>
      <c r="Q4738" s="216">
        <f t="shared" si="453"/>
        <v>0.14400000000000002</v>
      </c>
      <c r="R4738" s="216">
        <f t="shared" si="454"/>
        <v>0.14400000000000002</v>
      </c>
      <c r="S4738" s="217">
        <f t="shared" si="455"/>
        <v>0.14400000000000002</v>
      </c>
    </row>
    <row r="4739" spans="1:19" ht="15.75" hidden="1" thickBot="1" x14ac:dyDescent="0.3">
      <c r="A4739" s="258"/>
      <c r="B4739" s="261"/>
      <c r="C4739" s="54"/>
      <c r="D4739" s="54"/>
      <c r="E4739" s="65"/>
      <c r="F4739" s="75" t="s">
        <v>416</v>
      </c>
      <c r="G4739" s="75" t="str">
        <f t="shared" si="456"/>
        <v/>
      </c>
      <c r="H4739" s="76"/>
      <c r="I4739" s="73"/>
      <c r="J4739" s="152">
        <v>0</v>
      </c>
      <c r="L4739" s="222"/>
      <c r="M4739" s="75"/>
      <c r="N4739" s="75" t="str">
        <f t="shared" si="457"/>
        <v/>
      </c>
      <c r="O4739" s="76"/>
      <c r="P4739" s="36" t="str">
        <f t="shared" si="452"/>
        <v/>
      </c>
      <c r="Q4739" s="216" t="str">
        <f t="shared" si="453"/>
        <v/>
      </c>
      <c r="R4739" s="216" t="str">
        <f t="shared" si="454"/>
        <v/>
      </c>
      <c r="S4739" s="217" t="str">
        <f t="shared" si="455"/>
        <v/>
      </c>
    </row>
    <row r="4740" spans="1:19" ht="15.75" hidden="1" thickBot="1" x14ac:dyDescent="0.3">
      <c r="A4740" s="256" t="s">
        <v>2790</v>
      </c>
      <c r="B4740" s="259" t="str">
        <f>INDEX(Orçamentária!A:B,MATCH(Composições!A4740,Orçamentária!A:A,0),2)</f>
        <v>Talhadeira</v>
      </c>
      <c r="C4740" s="40"/>
      <c r="D4740" s="25" t="s">
        <v>16</v>
      </c>
      <c r="E4740" s="26"/>
      <c r="F4740" s="48" t="s">
        <v>416</v>
      </c>
      <c r="G4740" s="27" t="str">
        <f t="shared" si="456"/>
        <v/>
      </c>
      <c r="H4740" s="28"/>
      <c r="I4740" s="29"/>
      <c r="J4740" s="152">
        <v>0</v>
      </c>
      <c r="L4740" s="218"/>
      <c r="M4740" s="48"/>
      <c r="N4740" s="27" t="str">
        <f t="shared" si="457"/>
        <v/>
      </c>
      <c r="O4740" s="28"/>
      <c r="P4740" s="36" t="str">
        <f t="shared" si="452"/>
        <v/>
      </c>
      <c r="Q4740" s="216" t="str">
        <f t="shared" si="453"/>
        <v/>
      </c>
      <c r="R4740" s="216" t="str">
        <f t="shared" si="454"/>
        <v/>
      </c>
      <c r="S4740" s="217" t="str">
        <f t="shared" si="455"/>
        <v/>
      </c>
    </row>
    <row r="4741" spans="1:19" ht="15.75" hidden="1" thickBot="1" x14ac:dyDescent="0.3">
      <c r="A4741" s="257"/>
      <c r="B4741" s="260"/>
      <c r="C4741" s="31"/>
      <c r="D4741" s="31"/>
      <c r="E4741" s="32"/>
      <c r="F4741" s="53" t="s">
        <v>416</v>
      </c>
      <c r="G4741" s="53" t="str">
        <f t="shared" si="456"/>
        <v/>
      </c>
      <c r="H4741" s="72"/>
      <c r="I4741" s="73"/>
      <c r="J4741" s="152">
        <v>0</v>
      </c>
      <c r="L4741" s="219"/>
      <c r="M4741" s="53"/>
      <c r="N4741" s="53" t="str">
        <f t="shared" si="457"/>
        <v/>
      </c>
      <c r="O4741" s="72"/>
      <c r="P4741" s="36" t="str">
        <f t="shared" si="452"/>
        <v/>
      </c>
      <c r="Q4741" s="216" t="str">
        <f t="shared" si="453"/>
        <v/>
      </c>
      <c r="R4741" s="216" t="str">
        <f t="shared" si="454"/>
        <v/>
      </c>
      <c r="S4741" s="217" t="str">
        <f t="shared" si="455"/>
        <v/>
      </c>
    </row>
    <row r="4742" spans="1:19" ht="15.75" hidden="1" thickBot="1" x14ac:dyDescent="0.3">
      <c r="A4742" s="257"/>
      <c r="B4742" s="260"/>
      <c r="C4742" s="35" t="s">
        <v>8384</v>
      </c>
      <c r="D4742" s="35" t="s">
        <v>213</v>
      </c>
      <c r="E4742" s="36">
        <v>1</v>
      </c>
      <c r="F4742" s="53">
        <v>40.878500000000003</v>
      </c>
      <c r="G4742" s="53">
        <f t="shared" si="456"/>
        <v>40.878500000000003</v>
      </c>
      <c r="H4742" s="38">
        <f>SUM(G4742:G4742)</f>
        <v>40.878500000000003</v>
      </c>
      <c r="I4742" s="39"/>
      <c r="J4742" s="152">
        <v>0</v>
      </c>
      <c r="L4742" s="215">
        <v>1</v>
      </c>
      <c r="M4742" s="53">
        <v>34.991996</v>
      </c>
      <c r="N4742" s="53">
        <f t="shared" si="457"/>
        <v>34.991996</v>
      </c>
      <c r="O4742" s="38">
        <f>SUM(N4742:N4742)</f>
        <v>34.991996</v>
      </c>
      <c r="P4742" s="36" t="str">
        <f t="shared" si="452"/>
        <v/>
      </c>
      <c r="Q4742" s="216">
        <f t="shared" si="453"/>
        <v>0.14400000000000002</v>
      </c>
      <c r="R4742" s="216">
        <f t="shared" si="454"/>
        <v>0.14400000000000002</v>
      </c>
      <c r="S4742" s="217">
        <f t="shared" si="455"/>
        <v>0.14400000000000002</v>
      </c>
    </row>
    <row r="4743" spans="1:19" ht="15.75" hidden="1" thickBot="1" x14ac:dyDescent="0.3">
      <c r="A4743" s="258"/>
      <c r="B4743" s="261"/>
      <c r="C4743" s="54"/>
      <c r="D4743" s="54"/>
      <c r="E4743" s="65"/>
      <c r="F4743" s="75" t="s">
        <v>416</v>
      </c>
      <c r="G4743" s="75" t="str">
        <f t="shared" si="456"/>
        <v/>
      </c>
      <c r="H4743" s="76"/>
      <c r="I4743" s="73"/>
      <c r="J4743" s="152">
        <v>0</v>
      </c>
      <c r="L4743" s="222"/>
      <c r="M4743" s="75"/>
      <c r="N4743" s="75" t="str">
        <f t="shared" si="457"/>
        <v/>
      </c>
      <c r="O4743" s="76"/>
      <c r="P4743" s="36" t="str">
        <f t="shared" si="452"/>
        <v/>
      </c>
      <c r="Q4743" s="216" t="str">
        <f t="shared" si="453"/>
        <v/>
      </c>
      <c r="R4743" s="216" t="str">
        <f t="shared" si="454"/>
        <v/>
      </c>
      <c r="S4743" s="217" t="str">
        <f t="shared" si="455"/>
        <v/>
      </c>
    </row>
    <row r="4744" spans="1:19" ht="15.75" hidden="1" thickBot="1" x14ac:dyDescent="0.3">
      <c r="A4744" s="256" t="s">
        <v>2797</v>
      </c>
      <c r="B4744" s="259" t="str">
        <f>INDEX(Orçamentária!A:B,MATCH(Composições!A4744,Orçamentária!A:A,0),2)</f>
        <v>Enxada com cabo (2,5 libras)</v>
      </c>
      <c r="C4744" s="40"/>
      <c r="D4744" s="25" t="s">
        <v>16</v>
      </c>
      <c r="E4744" s="26"/>
      <c r="F4744" s="48" t="s">
        <v>416</v>
      </c>
      <c r="G4744" s="27" t="str">
        <f t="shared" si="456"/>
        <v/>
      </c>
      <c r="H4744" s="28"/>
      <c r="I4744" s="29"/>
      <c r="J4744" s="152">
        <v>0</v>
      </c>
      <c r="L4744" s="218"/>
      <c r="M4744" s="48"/>
      <c r="N4744" s="27" t="str">
        <f t="shared" si="457"/>
        <v/>
      </c>
      <c r="O4744" s="28"/>
      <c r="P4744" s="36" t="str">
        <f t="shared" ref="P4744:P4807" si="458">IF(ISBLANK(L4744),"",IF($E4744&lt;&gt;L4744,"SIM",""))</f>
        <v/>
      </c>
      <c r="Q4744" s="216" t="str">
        <f t="shared" ref="Q4744:Q4807" si="459">IF(M4744="","",1-M4744/$F4744)</f>
        <v/>
      </c>
      <c r="R4744" s="216" t="str">
        <f t="shared" ref="R4744:R4807" si="460">IF(N4744="","",1-N4744/$G4744)</f>
        <v/>
      </c>
      <c r="S4744" s="217" t="str">
        <f t="shared" ref="S4744:S4807" si="461">IF(O4744="","",1-O4744/$H4744)</f>
        <v/>
      </c>
    </row>
    <row r="4745" spans="1:19" ht="15.75" hidden="1" thickBot="1" x14ac:dyDescent="0.3">
      <c r="A4745" s="257"/>
      <c r="B4745" s="260"/>
      <c r="C4745" s="31"/>
      <c r="D4745" s="31"/>
      <c r="E4745" s="32"/>
      <c r="F4745" s="53" t="s">
        <v>416</v>
      </c>
      <c r="G4745" s="53" t="str">
        <f t="shared" si="456"/>
        <v/>
      </c>
      <c r="H4745" s="72"/>
      <c r="I4745" s="73"/>
      <c r="J4745" s="152">
        <v>0</v>
      </c>
      <c r="L4745" s="219"/>
      <c r="M4745" s="53"/>
      <c r="N4745" s="53" t="str">
        <f t="shared" si="457"/>
        <v/>
      </c>
      <c r="O4745" s="72"/>
      <c r="P4745" s="36" t="str">
        <f t="shared" si="458"/>
        <v/>
      </c>
      <c r="Q4745" s="216" t="str">
        <f t="shared" si="459"/>
        <v/>
      </c>
      <c r="R4745" s="216" t="str">
        <f t="shared" si="460"/>
        <v/>
      </c>
      <c r="S4745" s="217" t="str">
        <f t="shared" si="461"/>
        <v/>
      </c>
    </row>
    <row r="4746" spans="1:19" ht="15.75" hidden="1" thickBot="1" x14ac:dyDescent="0.3">
      <c r="A4746" s="257"/>
      <c r="B4746" s="260"/>
      <c r="C4746" s="35" t="s">
        <v>8155</v>
      </c>
      <c r="D4746" s="35" t="s">
        <v>213</v>
      </c>
      <c r="E4746" s="36">
        <v>1</v>
      </c>
      <c r="F4746" s="53">
        <v>56.733999999999995</v>
      </c>
      <c r="G4746" s="53">
        <f t="shared" si="456"/>
        <v>56.733999999999995</v>
      </c>
      <c r="H4746" s="38">
        <f>SUM(G4746:G4746)</f>
        <v>56.733999999999995</v>
      </c>
      <c r="I4746" s="39"/>
      <c r="J4746" s="152">
        <v>0</v>
      </c>
      <c r="L4746" s="215">
        <v>1</v>
      </c>
      <c r="M4746" s="53">
        <v>48.564303999999993</v>
      </c>
      <c r="N4746" s="53">
        <f t="shared" si="457"/>
        <v>48.564303999999993</v>
      </c>
      <c r="O4746" s="38">
        <f>SUM(N4746:N4746)</f>
        <v>48.564303999999993</v>
      </c>
      <c r="P4746" s="36" t="str">
        <f t="shared" si="458"/>
        <v/>
      </c>
      <c r="Q4746" s="216">
        <f t="shared" si="459"/>
        <v>0.14400000000000002</v>
      </c>
      <c r="R4746" s="216">
        <f t="shared" si="460"/>
        <v>0.14400000000000002</v>
      </c>
      <c r="S4746" s="217">
        <f t="shared" si="461"/>
        <v>0.14400000000000002</v>
      </c>
    </row>
    <row r="4747" spans="1:19" ht="15.75" hidden="1" thickBot="1" x14ac:dyDescent="0.3">
      <c r="A4747" s="258"/>
      <c r="B4747" s="261"/>
      <c r="C4747" s="54"/>
      <c r="D4747" s="54"/>
      <c r="E4747" s="65"/>
      <c r="F4747" s="75" t="s">
        <v>416</v>
      </c>
      <c r="G4747" s="75" t="str">
        <f t="shared" si="456"/>
        <v/>
      </c>
      <c r="H4747" s="76"/>
      <c r="I4747" s="73"/>
      <c r="J4747" s="152">
        <v>0</v>
      </c>
      <c r="L4747" s="222"/>
      <c r="M4747" s="75"/>
      <c r="N4747" s="75" t="str">
        <f t="shared" si="457"/>
        <v/>
      </c>
      <c r="O4747" s="76"/>
      <c r="P4747" s="36" t="str">
        <f t="shared" si="458"/>
        <v/>
      </c>
      <c r="Q4747" s="216" t="str">
        <f t="shared" si="459"/>
        <v/>
      </c>
      <c r="R4747" s="216" t="str">
        <f t="shared" si="460"/>
        <v/>
      </c>
      <c r="S4747" s="217" t="str">
        <f t="shared" si="461"/>
        <v/>
      </c>
    </row>
    <row r="4748" spans="1:19" ht="15.75" hidden="1" thickBot="1" x14ac:dyDescent="0.3">
      <c r="A4748" s="256" t="s">
        <v>2799</v>
      </c>
      <c r="B4748" s="259" t="str">
        <f>INDEX(Orçamentária!A:B,MATCH(Composições!A4748,Orçamentária!A:A,0),2)</f>
        <v>Escada extensível de alumínio dupla 2x8</v>
      </c>
      <c r="C4748" s="40"/>
      <c r="D4748" s="25" t="s">
        <v>16</v>
      </c>
      <c r="E4748" s="26"/>
      <c r="F4748" s="48" t="s">
        <v>416</v>
      </c>
      <c r="G4748" s="27" t="str">
        <f t="shared" si="456"/>
        <v/>
      </c>
      <c r="H4748" s="28"/>
      <c r="I4748" s="29"/>
      <c r="J4748" s="152">
        <v>0</v>
      </c>
      <c r="L4748" s="218"/>
      <c r="M4748" s="48"/>
      <c r="N4748" s="27" t="str">
        <f t="shared" si="457"/>
        <v/>
      </c>
      <c r="O4748" s="28"/>
      <c r="P4748" s="36" t="str">
        <f t="shared" si="458"/>
        <v/>
      </c>
      <c r="Q4748" s="216" t="str">
        <f t="shared" si="459"/>
        <v/>
      </c>
      <c r="R4748" s="216" t="str">
        <f t="shared" si="460"/>
        <v/>
      </c>
      <c r="S4748" s="217" t="str">
        <f t="shared" si="461"/>
        <v/>
      </c>
    </row>
    <row r="4749" spans="1:19" ht="15.75" hidden="1" thickBot="1" x14ac:dyDescent="0.3">
      <c r="A4749" s="257"/>
      <c r="B4749" s="260"/>
      <c r="C4749" s="31"/>
      <c r="D4749" s="31"/>
      <c r="E4749" s="32"/>
      <c r="F4749" s="53" t="s">
        <v>416</v>
      </c>
      <c r="G4749" s="53" t="str">
        <f t="shared" si="456"/>
        <v/>
      </c>
      <c r="H4749" s="72"/>
      <c r="I4749" s="73"/>
      <c r="J4749" s="152">
        <v>0</v>
      </c>
      <c r="L4749" s="219"/>
      <c r="M4749" s="53"/>
      <c r="N4749" s="53" t="str">
        <f t="shared" si="457"/>
        <v/>
      </c>
      <c r="O4749" s="72"/>
      <c r="P4749" s="36" t="str">
        <f t="shared" si="458"/>
        <v/>
      </c>
      <c r="Q4749" s="216" t="str">
        <f t="shared" si="459"/>
        <v/>
      </c>
      <c r="R4749" s="216" t="str">
        <f t="shared" si="460"/>
        <v/>
      </c>
      <c r="S4749" s="217" t="str">
        <f t="shared" si="461"/>
        <v/>
      </c>
    </row>
    <row r="4750" spans="1:19" ht="26.25" hidden="1" thickBot="1" x14ac:dyDescent="0.3">
      <c r="A4750" s="257"/>
      <c r="B4750" s="260"/>
      <c r="C4750" s="35" t="s">
        <v>8156</v>
      </c>
      <c r="D4750" s="35" t="s">
        <v>213</v>
      </c>
      <c r="E4750" s="36">
        <v>1</v>
      </c>
      <c r="F4750" s="53">
        <v>426.37899999999996</v>
      </c>
      <c r="G4750" s="53">
        <f t="shared" si="456"/>
        <v>426.37899999999996</v>
      </c>
      <c r="H4750" s="38">
        <f>SUM(G4750:G4750)</f>
        <v>426.37899999999996</v>
      </c>
      <c r="I4750" s="39"/>
      <c r="J4750" s="152">
        <v>0</v>
      </c>
      <c r="L4750" s="215">
        <v>1</v>
      </c>
      <c r="M4750" s="53">
        <v>364.98042399999997</v>
      </c>
      <c r="N4750" s="53">
        <f t="shared" si="457"/>
        <v>364.98042399999997</v>
      </c>
      <c r="O4750" s="38">
        <f>SUM(N4750:N4750)</f>
        <v>364.98042399999997</v>
      </c>
      <c r="P4750" s="36" t="str">
        <f t="shared" si="458"/>
        <v/>
      </c>
      <c r="Q4750" s="216">
        <f t="shared" si="459"/>
        <v>0.14400000000000002</v>
      </c>
      <c r="R4750" s="216">
        <f t="shared" si="460"/>
        <v>0.14400000000000002</v>
      </c>
      <c r="S4750" s="217">
        <f t="shared" si="461"/>
        <v>0.14400000000000002</v>
      </c>
    </row>
    <row r="4751" spans="1:19" ht="15.75" hidden="1" thickBot="1" x14ac:dyDescent="0.3">
      <c r="A4751" s="258"/>
      <c r="B4751" s="261"/>
      <c r="C4751" s="54"/>
      <c r="D4751" s="54"/>
      <c r="E4751" s="65"/>
      <c r="F4751" s="75" t="s">
        <v>416</v>
      </c>
      <c r="G4751" s="75" t="str">
        <f t="shared" si="456"/>
        <v/>
      </c>
      <c r="H4751" s="76"/>
      <c r="I4751" s="73"/>
      <c r="J4751" s="152">
        <v>0</v>
      </c>
      <c r="L4751" s="222"/>
      <c r="M4751" s="75"/>
      <c r="N4751" s="75" t="str">
        <f t="shared" si="457"/>
        <v/>
      </c>
      <c r="O4751" s="76"/>
      <c r="P4751" s="36" t="str">
        <f t="shared" si="458"/>
        <v/>
      </c>
      <c r="Q4751" s="216" t="str">
        <f t="shared" si="459"/>
        <v/>
      </c>
      <c r="R4751" s="216" t="str">
        <f t="shared" si="460"/>
        <v/>
      </c>
      <c r="S4751" s="217" t="str">
        <f t="shared" si="461"/>
        <v/>
      </c>
    </row>
    <row r="4752" spans="1:19" ht="15.75" hidden="1" thickBot="1" x14ac:dyDescent="0.3">
      <c r="A4752" s="256" t="s">
        <v>2813</v>
      </c>
      <c r="B4752" s="259" t="str">
        <f>INDEX(Orçamentária!A:B,MATCH(Composições!A4752,Orçamentária!A:A,0),2)</f>
        <v>Mangueira de nível de 20 m</v>
      </c>
      <c r="C4752" s="40"/>
      <c r="D4752" s="25" t="s">
        <v>16</v>
      </c>
      <c r="E4752" s="26"/>
      <c r="F4752" s="48" t="s">
        <v>416</v>
      </c>
      <c r="G4752" s="27" t="str">
        <f t="shared" si="456"/>
        <v/>
      </c>
      <c r="H4752" s="28"/>
      <c r="I4752" s="29"/>
      <c r="J4752" s="152">
        <v>0</v>
      </c>
      <c r="L4752" s="218"/>
      <c r="M4752" s="48"/>
      <c r="N4752" s="27" t="str">
        <f t="shared" si="457"/>
        <v/>
      </c>
      <c r="O4752" s="28"/>
      <c r="P4752" s="36" t="str">
        <f t="shared" si="458"/>
        <v/>
      </c>
      <c r="Q4752" s="216" t="str">
        <f t="shared" si="459"/>
        <v/>
      </c>
      <c r="R4752" s="216" t="str">
        <f t="shared" si="460"/>
        <v/>
      </c>
      <c r="S4752" s="217" t="str">
        <f t="shared" si="461"/>
        <v/>
      </c>
    </row>
    <row r="4753" spans="1:19" ht="15.75" hidden="1" thickBot="1" x14ac:dyDescent="0.3">
      <c r="A4753" s="257"/>
      <c r="B4753" s="260"/>
      <c r="C4753" s="31"/>
      <c r="D4753" s="31"/>
      <c r="E4753" s="32"/>
      <c r="F4753" s="53" t="s">
        <v>416</v>
      </c>
      <c r="G4753" s="53" t="str">
        <f t="shared" si="456"/>
        <v/>
      </c>
      <c r="H4753" s="72"/>
      <c r="I4753" s="73"/>
      <c r="J4753" s="152">
        <v>0</v>
      </c>
      <c r="L4753" s="219"/>
      <c r="M4753" s="53"/>
      <c r="N4753" s="53" t="str">
        <f t="shared" si="457"/>
        <v/>
      </c>
      <c r="O4753" s="72"/>
      <c r="P4753" s="36" t="str">
        <f t="shared" si="458"/>
        <v/>
      </c>
      <c r="Q4753" s="216" t="str">
        <f t="shared" si="459"/>
        <v/>
      </c>
      <c r="R4753" s="216" t="str">
        <f t="shared" si="460"/>
        <v/>
      </c>
      <c r="S4753" s="217" t="str">
        <f t="shared" si="461"/>
        <v/>
      </c>
    </row>
    <row r="4754" spans="1:19" ht="26.25" hidden="1" thickBot="1" x14ac:dyDescent="0.3">
      <c r="A4754" s="257"/>
      <c r="B4754" s="260"/>
      <c r="C4754" s="35" t="s">
        <v>8283</v>
      </c>
      <c r="D4754" s="35" t="s">
        <v>385</v>
      </c>
      <c r="E4754" s="36">
        <v>20</v>
      </c>
      <c r="F4754" s="53">
        <v>2.3275000000000001</v>
      </c>
      <c r="G4754" s="53">
        <f t="shared" si="456"/>
        <v>46.550000000000004</v>
      </c>
      <c r="H4754" s="38">
        <f>SUM(G4754:G4754)</f>
        <v>46.550000000000004</v>
      </c>
      <c r="I4754" s="39"/>
      <c r="J4754" s="152">
        <v>0</v>
      </c>
      <c r="L4754" s="215">
        <v>20</v>
      </c>
      <c r="M4754" s="53">
        <v>1.99234</v>
      </c>
      <c r="N4754" s="53">
        <f t="shared" si="457"/>
        <v>39.846800000000002</v>
      </c>
      <c r="O4754" s="38">
        <f>SUM(N4754:N4754)</f>
        <v>39.846800000000002</v>
      </c>
      <c r="P4754" s="36" t="str">
        <f t="shared" si="458"/>
        <v/>
      </c>
      <c r="Q4754" s="216">
        <f t="shared" si="459"/>
        <v>0.14400000000000002</v>
      </c>
      <c r="R4754" s="216">
        <f t="shared" si="460"/>
        <v>0.14400000000000002</v>
      </c>
      <c r="S4754" s="217">
        <f t="shared" si="461"/>
        <v>0.14400000000000002</v>
      </c>
    </row>
    <row r="4755" spans="1:19" ht="15.75" hidden="1" thickBot="1" x14ac:dyDescent="0.3">
      <c r="A4755" s="258"/>
      <c r="B4755" s="261"/>
      <c r="C4755" s="54"/>
      <c r="D4755" s="54"/>
      <c r="E4755" s="65"/>
      <c r="F4755" s="75" t="s">
        <v>416</v>
      </c>
      <c r="G4755" s="75" t="str">
        <f t="shared" si="456"/>
        <v/>
      </c>
      <c r="H4755" s="76"/>
      <c r="I4755" s="73"/>
      <c r="J4755" s="152">
        <v>0</v>
      </c>
      <c r="L4755" s="222"/>
      <c r="M4755" s="75"/>
      <c r="N4755" s="75" t="str">
        <f t="shared" si="457"/>
        <v/>
      </c>
      <c r="O4755" s="76"/>
      <c r="P4755" s="36" t="str">
        <f t="shared" si="458"/>
        <v/>
      </c>
      <c r="Q4755" s="216" t="str">
        <f t="shared" si="459"/>
        <v/>
      </c>
      <c r="R4755" s="216" t="str">
        <f t="shared" si="460"/>
        <v/>
      </c>
      <c r="S4755" s="217" t="str">
        <f t="shared" si="461"/>
        <v/>
      </c>
    </row>
    <row r="4756" spans="1:19" ht="15.75" hidden="1" thickBot="1" x14ac:dyDescent="0.3">
      <c r="A4756" s="256" t="s">
        <v>2821</v>
      </c>
      <c r="B4756" s="259" t="str">
        <f>INDEX(Orçamentária!A:B,MATCH(Composições!A4756,Orçamentária!A:A,0),2)</f>
        <v>Talha Manual para Elevação de Cargas (2 ton)</v>
      </c>
      <c r="C4756" s="40"/>
      <c r="D4756" s="25" t="s">
        <v>16</v>
      </c>
      <c r="E4756" s="26"/>
      <c r="F4756" s="48" t="s">
        <v>416</v>
      </c>
      <c r="G4756" s="27" t="str">
        <f t="shared" si="456"/>
        <v/>
      </c>
      <c r="H4756" s="28"/>
      <c r="I4756" s="29"/>
      <c r="J4756" s="152">
        <v>0</v>
      </c>
      <c r="L4756" s="218"/>
      <c r="M4756" s="48"/>
      <c r="N4756" s="27" t="str">
        <f t="shared" si="457"/>
        <v/>
      </c>
      <c r="O4756" s="28"/>
      <c r="P4756" s="36" t="str">
        <f t="shared" si="458"/>
        <v/>
      </c>
      <c r="Q4756" s="216" t="str">
        <f t="shared" si="459"/>
        <v/>
      </c>
      <c r="R4756" s="216" t="str">
        <f t="shared" si="460"/>
        <v/>
      </c>
      <c r="S4756" s="217" t="str">
        <f t="shared" si="461"/>
        <v/>
      </c>
    </row>
    <row r="4757" spans="1:19" ht="15.75" hidden="1" thickBot="1" x14ac:dyDescent="0.3">
      <c r="A4757" s="257"/>
      <c r="B4757" s="260"/>
      <c r="C4757" s="31"/>
      <c r="D4757" s="31"/>
      <c r="E4757" s="32"/>
      <c r="F4757" s="53" t="s">
        <v>416</v>
      </c>
      <c r="G4757" s="53" t="str">
        <f t="shared" ref="G4757:G4820" si="462">IF(ISNUMBER(F4757),E4757*F4757,"")</f>
        <v/>
      </c>
      <c r="H4757" s="72"/>
      <c r="I4757" s="73"/>
      <c r="J4757" s="152">
        <v>0</v>
      </c>
      <c r="L4757" s="219"/>
      <c r="M4757" s="53"/>
      <c r="N4757" s="53" t="str">
        <f t="shared" ref="N4757:N4820" si="463">IF(ISNUMBER(M4757),L4757*M4757,"")</f>
        <v/>
      </c>
      <c r="O4757" s="72"/>
      <c r="P4757" s="36" t="str">
        <f t="shared" si="458"/>
        <v/>
      </c>
      <c r="Q4757" s="216" t="str">
        <f t="shared" si="459"/>
        <v/>
      </c>
      <c r="R4757" s="216" t="str">
        <f t="shared" si="460"/>
        <v/>
      </c>
      <c r="S4757" s="217" t="str">
        <f t="shared" si="461"/>
        <v/>
      </c>
    </row>
    <row r="4758" spans="1:19" ht="26.25" hidden="1" thickBot="1" x14ac:dyDescent="0.3">
      <c r="A4758" s="257"/>
      <c r="B4758" s="260"/>
      <c r="C4758" s="35" t="s">
        <v>8383</v>
      </c>
      <c r="D4758" s="35" t="s">
        <v>213</v>
      </c>
      <c r="E4758" s="36">
        <v>1</v>
      </c>
      <c r="F4758" s="53">
        <v>1072.4074999999998</v>
      </c>
      <c r="G4758" s="53">
        <f t="shared" si="462"/>
        <v>1072.4074999999998</v>
      </c>
      <c r="H4758" s="38">
        <f>SUM(G4758:G4758)</f>
        <v>1072.4074999999998</v>
      </c>
      <c r="I4758" s="39"/>
      <c r="J4758" s="152">
        <v>0</v>
      </c>
      <c r="L4758" s="215">
        <v>1</v>
      </c>
      <c r="M4758" s="53">
        <v>917.98081999999988</v>
      </c>
      <c r="N4758" s="53">
        <f t="shared" si="463"/>
        <v>917.98081999999988</v>
      </c>
      <c r="O4758" s="38">
        <f>SUM(N4758:N4758)</f>
        <v>917.98081999999988</v>
      </c>
      <c r="P4758" s="36" t="str">
        <f t="shared" si="458"/>
        <v/>
      </c>
      <c r="Q4758" s="216">
        <f t="shared" si="459"/>
        <v>0.14399999999999991</v>
      </c>
      <c r="R4758" s="216">
        <f t="shared" si="460"/>
        <v>0.14399999999999991</v>
      </c>
      <c r="S4758" s="217">
        <f t="shared" si="461"/>
        <v>0.14399999999999991</v>
      </c>
    </row>
    <row r="4759" spans="1:19" ht="15.75" hidden="1" thickBot="1" x14ac:dyDescent="0.3">
      <c r="A4759" s="258"/>
      <c r="B4759" s="261"/>
      <c r="C4759" s="54"/>
      <c r="D4759" s="54"/>
      <c r="E4759" s="65"/>
      <c r="F4759" s="75" t="s">
        <v>416</v>
      </c>
      <c r="G4759" s="75" t="str">
        <f t="shared" si="462"/>
        <v/>
      </c>
      <c r="H4759" s="76"/>
      <c r="I4759" s="73"/>
      <c r="J4759" s="152">
        <v>0</v>
      </c>
      <c r="L4759" s="222"/>
      <c r="M4759" s="75"/>
      <c r="N4759" s="75" t="str">
        <f t="shared" si="463"/>
        <v/>
      </c>
      <c r="O4759" s="76"/>
      <c r="P4759" s="36" t="str">
        <f t="shared" si="458"/>
        <v/>
      </c>
      <c r="Q4759" s="216" t="str">
        <f t="shared" si="459"/>
        <v/>
      </c>
      <c r="R4759" s="216" t="str">
        <f t="shared" si="460"/>
        <v/>
      </c>
      <c r="S4759" s="217" t="str">
        <f t="shared" si="461"/>
        <v/>
      </c>
    </row>
    <row r="4760" spans="1:19" ht="15.75" hidden="1" thickBot="1" x14ac:dyDescent="0.3">
      <c r="A4760" s="256" t="s">
        <v>2832</v>
      </c>
      <c r="B4760" s="259" t="str">
        <f>INDEX(Orçamentária!A:B,MATCH(Composições!A4760,Orçamentária!A:A,0),2)</f>
        <v>Manta autocolante aluminizada</v>
      </c>
      <c r="C4760" s="40"/>
      <c r="D4760" s="25" t="s">
        <v>70</v>
      </c>
      <c r="E4760" s="26"/>
      <c r="F4760" s="48" t="s">
        <v>416</v>
      </c>
      <c r="G4760" s="27" t="str">
        <f t="shared" si="462"/>
        <v/>
      </c>
      <c r="H4760" s="28"/>
      <c r="I4760" s="29"/>
      <c r="J4760" s="152">
        <v>0</v>
      </c>
      <c r="L4760" s="218"/>
      <c r="M4760" s="48"/>
      <c r="N4760" s="27" t="str">
        <f t="shared" si="463"/>
        <v/>
      </c>
      <c r="O4760" s="28"/>
      <c r="P4760" s="36" t="str">
        <f t="shared" si="458"/>
        <v/>
      </c>
      <c r="Q4760" s="216" t="str">
        <f t="shared" si="459"/>
        <v/>
      </c>
      <c r="R4760" s="216" t="str">
        <f t="shared" si="460"/>
        <v/>
      </c>
      <c r="S4760" s="217" t="str">
        <f t="shared" si="461"/>
        <v/>
      </c>
    </row>
    <row r="4761" spans="1:19" ht="15.75" hidden="1" thickBot="1" x14ac:dyDescent="0.3">
      <c r="A4761" s="257"/>
      <c r="B4761" s="260"/>
      <c r="C4761" s="31"/>
      <c r="D4761" s="31"/>
      <c r="E4761" s="32"/>
      <c r="F4761" s="53" t="s">
        <v>416</v>
      </c>
      <c r="G4761" s="53" t="str">
        <f t="shared" si="462"/>
        <v/>
      </c>
      <c r="H4761" s="72"/>
      <c r="I4761" s="73"/>
      <c r="J4761" s="152">
        <v>0</v>
      </c>
      <c r="L4761" s="219"/>
      <c r="M4761" s="53"/>
      <c r="N4761" s="53" t="str">
        <f t="shared" si="463"/>
        <v/>
      </c>
      <c r="O4761" s="72"/>
      <c r="P4761" s="36" t="str">
        <f t="shared" si="458"/>
        <v/>
      </c>
      <c r="Q4761" s="216" t="str">
        <f t="shared" si="459"/>
        <v/>
      </c>
      <c r="R4761" s="216" t="str">
        <f t="shared" si="460"/>
        <v/>
      </c>
      <c r="S4761" s="217" t="str">
        <f t="shared" si="461"/>
        <v/>
      </c>
    </row>
    <row r="4762" spans="1:19" ht="26.25" hidden="1" thickBot="1" x14ac:dyDescent="0.3">
      <c r="A4762" s="257"/>
      <c r="B4762" s="260"/>
      <c r="C4762" s="35" t="s">
        <v>8287</v>
      </c>
      <c r="D4762" s="35" t="s">
        <v>861</v>
      </c>
      <c r="E4762" s="36">
        <v>1</v>
      </c>
      <c r="F4762" s="53">
        <v>43.908999999999999</v>
      </c>
      <c r="G4762" s="53">
        <f t="shared" si="462"/>
        <v>43.908999999999999</v>
      </c>
      <c r="H4762" s="38">
        <f>SUM(G4762:G4762)</f>
        <v>43.908999999999999</v>
      </c>
      <c r="I4762" s="39"/>
      <c r="J4762" s="152">
        <v>0</v>
      </c>
      <c r="L4762" s="215">
        <v>1</v>
      </c>
      <c r="M4762" s="53">
        <v>37.586103999999999</v>
      </c>
      <c r="N4762" s="53">
        <f t="shared" si="463"/>
        <v>37.586103999999999</v>
      </c>
      <c r="O4762" s="38">
        <f>SUM(N4762:N4762)</f>
        <v>37.586103999999999</v>
      </c>
      <c r="P4762" s="36" t="str">
        <f t="shared" si="458"/>
        <v/>
      </c>
      <c r="Q4762" s="216">
        <f t="shared" si="459"/>
        <v>0.14400000000000002</v>
      </c>
      <c r="R4762" s="216">
        <f t="shared" si="460"/>
        <v>0.14400000000000002</v>
      </c>
      <c r="S4762" s="217">
        <f t="shared" si="461"/>
        <v>0.14400000000000002</v>
      </c>
    </row>
    <row r="4763" spans="1:19" ht="15.75" hidden="1" thickBot="1" x14ac:dyDescent="0.3">
      <c r="A4763" s="258"/>
      <c r="B4763" s="261"/>
      <c r="C4763" s="54"/>
      <c r="D4763" s="54"/>
      <c r="E4763" s="65"/>
      <c r="F4763" s="75" t="s">
        <v>416</v>
      </c>
      <c r="G4763" s="75" t="str">
        <f t="shared" si="462"/>
        <v/>
      </c>
      <c r="H4763" s="76"/>
      <c r="I4763" s="73"/>
      <c r="J4763" s="152">
        <v>0</v>
      </c>
      <c r="L4763" s="222"/>
      <c r="M4763" s="75"/>
      <c r="N4763" s="75" t="str">
        <f t="shared" si="463"/>
        <v/>
      </c>
      <c r="O4763" s="76"/>
      <c r="P4763" s="36" t="str">
        <f t="shared" si="458"/>
        <v/>
      </c>
      <c r="Q4763" s="216" t="str">
        <f t="shared" si="459"/>
        <v/>
      </c>
      <c r="R4763" s="216" t="str">
        <f t="shared" si="460"/>
        <v/>
      </c>
      <c r="S4763" s="217" t="str">
        <f t="shared" si="461"/>
        <v/>
      </c>
    </row>
    <row r="4764" spans="1:19" ht="15.75" hidden="1" thickBot="1" x14ac:dyDescent="0.3">
      <c r="A4764" s="256" t="s">
        <v>2834</v>
      </c>
      <c r="B4764" s="259" t="str">
        <f>INDEX(Orçamentária!A:B,MATCH(Composições!A4764,Orçamentária!A:A,0),2)</f>
        <v>Primer para aplicação de manta autocolante aluminizada</v>
      </c>
      <c r="C4764" s="40"/>
      <c r="D4764" s="25" t="s">
        <v>75</v>
      </c>
      <c r="E4764" s="26"/>
      <c r="F4764" s="48" t="s">
        <v>416</v>
      </c>
      <c r="G4764" s="27" t="str">
        <f t="shared" si="462"/>
        <v/>
      </c>
      <c r="H4764" s="28"/>
      <c r="I4764" s="29"/>
      <c r="J4764" s="152">
        <v>0</v>
      </c>
      <c r="L4764" s="218"/>
      <c r="M4764" s="48"/>
      <c r="N4764" s="27" t="str">
        <f t="shared" si="463"/>
        <v/>
      </c>
      <c r="O4764" s="28"/>
      <c r="P4764" s="36" t="str">
        <f t="shared" si="458"/>
        <v/>
      </c>
      <c r="Q4764" s="216" t="str">
        <f t="shared" si="459"/>
        <v/>
      </c>
      <c r="R4764" s="216" t="str">
        <f t="shared" si="460"/>
        <v/>
      </c>
      <c r="S4764" s="217" t="str">
        <f t="shared" si="461"/>
        <v/>
      </c>
    </row>
    <row r="4765" spans="1:19" ht="15.75" hidden="1" thickBot="1" x14ac:dyDescent="0.3">
      <c r="A4765" s="257"/>
      <c r="B4765" s="260"/>
      <c r="C4765" s="31"/>
      <c r="D4765" s="31"/>
      <c r="E4765" s="32"/>
      <c r="F4765" s="53" t="s">
        <v>416</v>
      </c>
      <c r="G4765" s="53" t="str">
        <f t="shared" si="462"/>
        <v/>
      </c>
      <c r="H4765" s="72"/>
      <c r="I4765" s="73"/>
      <c r="J4765" s="152">
        <v>0</v>
      </c>
      <c r="L4765" s="219"/>
      <c r="M4765" s="53"/>
      <c r="N4765" s="53" t="str">
        <f t="shared" si="463"/>
        <v/>
      </c>
      <c r="O4765" s="72"/>
      <c r="P4765" s="36" t="str">
        <f t="shared" si="458"/>
        <v/>
      </c>
      <c r="Q4765" s="216" t="str">
        <f t="shared" si="459"/>
        <v/>
      </c>
      <c r="R4765" s="216" t="str">
        <f t="shared" si="460"/>
        <v/>
      </c>
      <c r="S4765" s="217" t="str">
        <f t="shared" si="461"/>
        <v/>
      </c>
    </row>
    <row r="4766" spans="1:19" ht="26.25" hidden="1" thickBot="1" x14ac:dyDescent="0.3">
      <c r="A4766" s="257"/>
      <c r="B4766" s="260"/>
      <c r="C4766" s="35" t="s">
        <v>1232</v>
      </c>
      <c r="D4766" s="35" t="s">
        <v>75</v>
      </c>
      <c r="E4766" s="36">
        <v>1</v>
      </c>
      <c r="F4766" s="53">
        <v>18.506</v>
      </c>
      <c r="G4766" s="53">
        <f t="shared" si="462"/>
        <v>18.506</v>
      </c>
      <c r="H4766" s="38">
        <f>SUM(G4766:G4766)</f>
        <v>18.506</v>
      </c>
      <c r="I4766" s="39"/>
      <c r="J4766" s="152">
        <v>0</v>
      </c>
      <c r="L4766" s="215">
        <v>1</v>
      </c>
      <c r="M4766" s="53">
        <v>15.841136000000001</v>
      </c>
      <c r="N4766" s="53">
        <f t="shared" si="463"/>
        <v>15.841136000000001</v>
      </c>
      <c r="O4766" s="38">
        <f>SUM(N4766:N4766)</f>
        <v>15.841136000000001</v>
      </c>
      <c r="P4766" s="36" t="str">
        <f t="shared" si="458"/>
        <v/>
      </c>
      <c r="Q4766" s="216">
        <f t="shared" si="459"/>
        <v>0.14400000000000002</v>
      </c>
      <c r="R4766" s="216">
        <f t="shared" si="460"/>
        <v>0.14400000000000002</v>
      </c>
      <c r="S4766" s="217">
        <f t="shared" si="461"/>
        <v>0.14400000000000002</v>
      </c>
    </row>
    <row r="4767" spans="1:19" ht="15.75" hidden="1" thickBot="1" x14ac:dyDescent="0.3">
      <c r="A4767" s="258"/>
      <c r="B4767" s="261"/>
      <c r="C4767" s="54"/>
      <c r="D4767" s="54"/>
      <c r="E4767" s="65"/>
      <c r="F4767" s="75" t="s">
        <v>416</v>
      </c>
      <c r="G4767" s="75" t="str">
        <f t="shared" si="462"/>
        <v/>
      </c>
      <c r="H4767" s="76"/>
      <c r="I4767" s="73"/>
      <c r="J4767" s="152">
        <v>0</v>
      </c>
      <c r="L4767" s="222"/>
      <c r="M4767" s="75"/>
      <c r="N4767" s="75" t="str">
        <f t="shared" si="463"/>
        <v/>
      </c>
      <c r="O4767" s="76"/>
      <c r="P4767" s="36" t="str">
        <f t="shared" si="458"/>
        <v/>
      </c>
      <c r="Q4767" s="216" t="str">
        <f t="shared" si="459"/>
        <v/>
      </c>
      <c r="R4767" s="216" t="str">
        <f t="shared" si="460"/>
        <v/>
      </c>
      <c r="S4767" s="217" t="str">
        <f t="shared" si="461"/>
        <v/>
      </c>
    </row>
    <row r="4768" spans="1:19" ht="15.75" hidden="1" thickBot="1" x14ac:dyDescent="0.3">
      <c r="A4768" s="256" t="s">
        <v>1263</v>
      </c>
      <c r="B4768" s="259" t="str">
        <f>INDEX(Orçamentária!A:B,MATCH(Composições!A4768,Orçamentária!A:A,0),2)</f>
        <v>Carpete aveludado azul royal - fornecimento e instalação</v>
      </c>
      <c r="C4768" s="40"/>
      <c r="D4768" s="25" t="s">
        <v>70</v>
      </c>
      <c r="E4768" s="26"/>
      <c r="F4768" s="48" t="s">
        <v>416</v>
      </c>
      <c r="G4768" s="27" t="str">
        <f t="shared" si="462"/>
        <v/>
      </c>
      <c r="H4768" s="28"/>
      <c r="I4768" s="29"/>
      <c r="J4768" s="152">
        <v>0</v>
      </c>
      <c r="L4768" s="218"/>
      <c r="M4768" s="48"/>
      <c r="N4768" s="27" t="str">
        <f t="shared" si="463"/>
        <v/>
      </c>
      <c r="O4768" s="28"/>
      <c r="P4768" s="36" t="str">
        <f t="shared" si="458"/>
        <v/>
      </c>
      <c r="Q4768" s="216" t="str">
        <f t="shared" si="459"/>
        <v/>
      </c>
      <c r="R4768" s="216" t="str">
        <f t="shared" si="460"/>
        <v/>
      </c>
      <c r="S4768" s="217" t="str">
        <f t="shared" si="461"/>
        <v/>
      </c>
    </row>
    <row r="4769" spans="1:19" ht="15.75" hidden="1" thickBot="1" x14ac:dyDescent="0.3">
      <c r="A4769" s="257"/>
      <c r="B4769" s="260"/>
      <c r="C4769" s="31"/>
      <c r="D4769" s="31"/>
      <c r="E4769" s="32"/>
      <c r="F4769" s="53" t="s">
        <v>416</v>
      </c>
      <c r="G4769" s="53" t="str">
        <f t="shared" si="462"/>
        <v/>
      </c>
      <c r="H4769" s="72"/>
      <c r="I4769" s="73"/>
      <c r="J4769" s="152">
        <v>0</v>
      </c>
      <c r="L4769" s="219"/>
      <c r="M4769" s="53"/>
      <c r="N4769" s="53" t="str">
        <f t="shared" si="463"/>
        <v/>
      </c>
      <c r="O4769" s="72"/>
      <c r="P4769" s="36" t="str">
        <f t="shared" si="458"/>
        <v/>
      </c>
      <c r="Q4769" s="216" t="str">
        <f t="shared" si="459"/>
        <v/>
      </c>
      <c r="R4769" s="216" t="str">
        <f t="shared" si="460"/>
        <v/>
      </c>
      <c r="S4769" s="217" t="str">
        <f t="shared" si="461"/>
        <v/>
      </c>
    </row>
    <row r="4770" spans="1:19" ht="15.75" hidden="1" thickBot="1" x14ac:dyDescent="0.3">
      <c r="A4770" s="257"/>
      <c r="B4770" s="260"/>
      <c r="C4770" s="35" t="s">
        <v>591</v>
      </c>
      <c r="D4770" s="35" t="s">
        <v>583</v>
      </c>
      <c r="E4770" s="36">
        <v>0.1</v>
      </c>
      <c r="F4770" s="53">
        <v>27.160499999999999</v>
      </c>
      <c r="G4770" s="53">
        <f t="shared" si="462"/>
        <v>2.7160500000000001</v>
      </c>
      <c r="H4770" s="38">
        <f>SUM(G4770:G4777)</f>
        <v>15.1563</v>
      </c>
      <c r="I4770" s="39"/>
      <c r="J4770" s="152">
        <v>0</v>
      </c>
      <c r="L4770" s="215">
        <v>0.1</v>
      </c>
      <c r="M4770" s="53">
        <v>23.249388</v>
      </c>
      <c r="N4770" s="53">
        <f t="shared" si="463"/>
        <v>2.3249388</v>
      </c>
      <c r="O4770" s="38">
        <f>SUM(N4770:N4777)</f>
        <v>12.9737928</v>
      </c>
      <c r="P4770" s="36" t="str">
        <f t="shared" si="458"/>
        <v/>
      </c>
      <c r="Q4770" s="216">
        <f t="shared" si="459"/>
        <v>0.14400000000000002</v>
      </c>
      <c r="R4770" s="216">
        <f t="shared" si="460"/>
        <v>0.14400000000000002</v>
      </c>
      <c r="S4770" s="217">
        <f t="shared" si="461"/>
        <v>0.14400000000000002</v>
      </c>
    </row>
    <row r="4771" spans="1:19" ht="15.75" hidden="1" thickBot="1" x14ac:dyDescent="0.3">
      <c r="A4771" s="257"/>
      <c r="B4771" s="260"/>
      <c r="C4771" s="35" t="s">
        <v>584</v>
      </c>
      <c r="D4771" s="35" t="s">
        <v>583</v>
      </c>
      <c r="E4771" s="36">
        <v>0.1</v>
      </c>
      <c r="F4771" s="53">
        <v>20.225499999999997</v>
      </c>
      <c r="G4771" s="53">
        <f t="shared" si="462"/>
        <v>2.0225499999999998</v>
      </c>
      <c r="H4771" s="72"/>
      <c r="I4771" s="73"/>
      <c r="J4771" s="152">
        <v>0</v>
      </c>
      <c r="L4771" s="215">
        <v>0.1</v>
      </c>
      <c r="M4771" s="53">
        <v>17.313027999999996</v>
      </c>
      <c r="N4771" s="53">
        <f t="shared" si="463"/>
        <v>1.7313027999999997</v>
      </c>
      <c r="O4771" s="72"/>
      <c r="P4771" s="36" t="str">
        <f t="shared" si="458"/>
        <v/>
      </c>
      <c r="Q4771" s="216">
        <f t="shared" si="459"/>
        <v>0.14400000000000013</v>
      </c>
      <c r="R4771" s="216">
        <f t="shared" si="460"/>
        <v>0.14400000000000013</v>
      </c>
      <c r="S4771" s="217" t="str">
        <f t="shared" si="461"/>
        <v/>
      </c>
    </row>
    <row r="4772" spans="1:19" ht="15.75" hidden="1" thickBot="1" x14ac:dyDescent="0.3">
      <c r="A4772" s="257"/>
      <c r="B4772" s="260"/>
      <c r="C4772" s="35" t="s">
        <v>5582</v>
      </c>
      <c r="D4772" s="35" t="s">
        <v>773</v>
      </c>
      <c r="E4772" s="36">
        <v>0.1</v>
      </c>
      <c r="F4772" s="53" t="s">
        <v>416</v>
      </c>
      <c r="G4772" s="53" t="str">
        <f t="shared" si="462"/>
        <v/>
      </c>
      <c r="H4772" s="72"/>
      <c r="I4772" s="73"/>
      <c r="J4772" s="152">
        <v>0</v>
      </c>
      <c r="L4772" s="215">
        <v>0.1</v>
      </c>
      <c r="M4772" s="53"/>
      <c r="N4772" s="53" t="str">
        <f t="shared" si="463"/>
        <v/>
      </c>
      <c r="O4772" s="72"/>
      <c r="P4772" s="36" t="str">
        <f t="shared" si="458"/>
        <v/>
      </c>
      <c r="Q4772" s="216" t="str">
        <f t="shared" si="459"/>
        <v/>
      </c>
      <c r="R4772" s="216" t="str">
        <f t="shared" si="460"/>
        <v/>
      </c>
      <c r="S4772" s="217" t="str">
        <f t="shared" si="461"/>
        <v/>
      </c>
    </row>
    <row r="4773" spans="1:19" ht="26.25" hidden="1" thickBot="1" x14ac:dyDescent="0.3">
      <c r="A4773" s="257"/>
      <c r="B4773" s="260"/>
      <c r="C4773" s="35" t="s">
        <v>1265</v>
      </c>
      <c r="D4773" s="35" t="s">
        <v>70</v>
      </c>
      <c r="E4773" s="36">
        <v>1.1000000000000001</v>
      </c>
      <c r="F4773" s="53" t="s">
        <v>416</v>
      </c>
      <c r="G4773" s="53" t="str">
        <f t="shared" si="462"/>
        <v/>
      </c>
      <c r="H4773" s="72"/>
      <c r="I4773" s="73"/>
      <c r="J4773" s="152">
        <v>0</v>
      </c>
      <c r="L4773" s="215">
        <v>1.1000000000000001</v>
      </c>
      <c r="M4773" s="53"/>
      <c r="N4773" s="53" t="str">
        <f t="shared" si="463"/>
        <v/>
      </c>
      <c r="O4773" s="72"/>
      <c r="P4773" s="36" t="str">
        <f t="shared" si="458"/>
        <v/>
      </c>
      <c r="Q4773" s="216" t="str">
        <f t="shared" si="459"/>
        <v/>
      </c>
      <c r="R4773" s="216" t="str">
        <f t="shared" si="460"/>
        <v/>
      </c>
      <c r="S4773" s="217" t="str">
        <f t="shared" si="461"/>
        <v/>
      </c>
    </row>
    <row r="4774" spans="1:19" ht="15.75" hidden="1" thickBot="1" x14ac:dyDescent="0.3">
      <c r="A4774" s="257"/>
      <c r="B4774" s="260"/>
      <c r="C4774" s="35" t="s">
        <v>591</v>
      </c>
      <c r="D4774" s="35" t="s">
        <v>583</v>
      </c>
      <c r="E4774" s="36">
        <v>0.2</v>
      </c>
      <c r="F4774" s="53">
        <v>27.160499999999999</v>
      </c>
      <c r="G4774" s="53">
        <f t="shared" si="462"/>
        <v>5.4321000000000002</v>
      </c>
      <c r="H4774" s="72"/>
      <c r="I4774" s="39"/>
      <c r="J4774" s="152">
        <v>0</v>
      </c>
      <c r="L4774" s="215">
        <v>0.2</v>
      </c>
      <c r="M4774" s="53">
        <v>23.249388</v>
      </c>
      <c r="N4774" s="53">
        <f t="shared" si="463"/>
        <v>4.6498775999999999</v>
      </c>
      <c r="O4774" s="72"/>
      <c r="P4774" s="36" t="str">
        <f t="shared" si="458"/>
        <v/>
      </c>
      <c r="Q4774" s="216">
        <f t="shared" si="459"/>
        <v>0.14400000000000002</v>
      </c>
      <c r="R4774" s="216">
        <f t="shared" si="460"/>
        <v>0.14400000000000002</v>
      </c>
      <c r="S4774" s="217" t="str">
        <f t="shared" si="461"/>
        <v/>
      </c>
    </row>
    <row r="4775" spans="1:19" ht="15.75" hidden="1" thickBot="1" x14ac:dyDescent="0.3">
      <c r="A4775" s="257"/>
      <c r="B4775" s="260"/>
      <c r="C4775" s="35" t="s">
        <v>584</v>
      </c>
      <c r="D4775" s="35" t="s">
        <v>583</v>
      </c>
      <c r="E4775" s="36">
        <v>0.2</v>
      </c>
      <c r="F4775" s="53">
        <v>20.225499999999997</v>
      </c>
      <c r="G4775" s="53">
        <f t="shared" si="462"/>
        <v>4.0450999999999997</v>
      </c>
      <c r="H4775" s="72"/>
      <c r="I4775" s="73"/>
      <c r="J4775" s="152">
        <v>0</v>
      </c>
      <c r="L4775" s="215">
        <v>0.2</v>
      </c>
      <c r="M4775" s="53">
        <v>17.313027999999996</v>
      </c>
      <c r="N4775" s="53">
        <f t="shared" si="463"/>
        <v>3.4626055999999994</v>
      </c>
      <c r="O4775" s="72"/>
      <c r="P4775" s="36" t="str">
        <f t="shared" si="458"/>
        <v/>
      </c>
      <c r="Q4775" s="216">
        <f t="shared" si="459"/>
        <v>0.14400000000000013</v>
      </c>
      <c r="R4775" s="216">
        <f t="shared" si="460"/>
        <v>0.14400000000000013</v>
      </c>
      <c r="S4775" s="217" t="str">
        <f t="shared" si="461"/>
        <v/>
      </c>
    </row>
    <row r="4776" spans="1:19" ht="15.75" hidden="1" thickBot="1" x14ac:dyDescent="0.3">
      <c r="A4776" s="257"/>
      <c r="B4776" s="260"/>
      <c r="C4776" s="35" t="s">
        <v>8065</v>
      </c>
      <c r="D4776" s="35" t="s">
        <v>773</v>
      </c>
      <c r="E4776" s="36">
        <v>1.5</v>
      </c>
      <c r="F4776" s="53">
        <v>0.627</v>
      </c>
      <c r="G4776" s="53">
        <f t="shared" si="462"/>
        <v>0.9405</v>
      </c>
      <c r="H4776" s="72"/>
      <c r="I4776" s="73"/>
      <c r="J4776" s="152">
        <v>0</v>
      </c>
      <c r="L4776" s="215">
        <v>1.5</v>
      </c>
      <c r="M4776" s="53">
        <v>0.53671199999999997</v>
      </c>
      <c r="N4776" s="53">
        <f t="shared" si="463"/>
        <v>0.80506799999999989</v>
      </c>
      <c r="O4776" s="72"/>
      <c r="P4776" s="36" t="str">
        <f t="shared" si="458"/>
        <v/>
      </c>
      <c r="Q4776" s="216">
        <f t="shared" si="459"/>
        <v>0.14400000000000002</v>
      </c>
      <c r="R4776" s="216">
        <f t="shared" si="460"/>
        <v>0.14400000000000013</v>
      </c>
      <c r="S4776" s="217" t="str">
        <f t="shared" si="461"/>
        <v/>
      </c>
    </row>
    <row r="4777" spans="1:19" ht="15.75" hidden="1" thickBot="1" x14ac:dyDescent="0.3">
      <c r="A4777" s="257"/>
      <c r="B4777" s="260"/>
      <c r="C4777" s="35" t="s">
        <v>1264</v>
      </c>
      <c r="D4777" s="35" t="s">
        <v>773</v>
      </c>
      <c r="E4777" s="36">
        <f>ROUND(E4776*0.1,2)</f>
        <v>0.15</v>
      </c>
      <c r="F4777" s="53" t="s">
        <v>416</v>
      </c>
      <c r="G4777" s="53" t="str">
        <f t="shared" si="462"/>
        <v/>
      </c>
      <c r="H4777" s="72"/>
      <c r="I4777" s="73"/>
      <c r="J4777" s="152">
        <v>0</v>
      </c>
      <c r="L4777" s="215">
        <v>0.15</v>
      </c>
      <c r="M4777" s="53"/>
      <c r="N4777" s="53" t="str">
        <f t="shared" si="463"/>
        <v/>
      </c>
      <c r="O4777" s="72"/>
      <c r="P4777" s="36" t="str">
        <f t="shared" si="458"/>
        <v/>
      </c>
      <c r="Q4777" s="216" t="str">
        <f t="shared" si="459"/>
        <v/>
      </c>
      <c r="R4777" s="216" t="str">
        <f t="shared" si="460"/>
        <v/>
      </c>
      <c r="S4777" s="217" t="str">
        <f t="shared" si="461"/>
        <v/>
      </c>
    </row>
    <row r="4778" spans="1:19" ht="15.75" hidden="1" thickBot="1" x14ac:dyDescent="0.3">
      <c r="A4778" s="257"/>
      <c r="B4778" s="260"/>
      <c r="C4778" s="35"/>
      <c r="D4778" s="35"/>
      <c r="E4778" s="36"/>
      <c r="F4778" s="53" t="s">
        <v>416</v>
      </c>
      <c r="G4778" s="53" t="str">
        <f t="shared" si="462"/>
        <v/>
      </c>
      <c r="H4778" s="72"/>
      <c r="I4778" s="73"/>
      <c r="J4778" s="152">
        <v>0</v>
      </c>
      <c r="L4778" s="215"/>
      <c r="M4778" s="53"/>
      <c r="N4778" s="53" t="str">
        <f t="shared" si="463"/>
        <v/>
      </c>
      <c r="O4778" s="72"/>
      <c r="P4778" s="36" t="str">
        <f t="shared" si="458"/>
        <v/>
      </c>
      <c r="Q4778" s="216" t="str">
        <f t="shared" si="459"/>
        <v/>
      </c>
      <c r="R4778" s="216" t="str">
        <f t="shared" si="460"/>
        <v/>
      </c>
      <c r="S4778" s="217" t="str">
        <f t="shared" si="461"/>
        <v/>
      </c>
    </row>
    <row r="4779" spans="1:19" ht="15.75" hidden="1" thickBot="1" x14ac:dyDescent="0.3">
      <c r="A4779" s="256" t="s">
        <v>1266</v>
      </c>
      <c r="B4779" s="259" t="str">
        <f>INDEX(Orçamentária!A:B,MATCH(Composições!A4779,Orçamentária!A:A,0),2)</f>
        <v>Demolição de revestimento de piso têxtil (carpete)</v>
      </c>
      <c r="C4779" s="40"/>
      <c r="D4779" s="25" t="s">
        <v>70</v>
      </c>
      <c r="E4779" s="26"/>
      <c r="F4779" s="48" t="s">
        <v>416</v>
      </c>
      <c r="G4779" s="27" t="str">
        <f t="shared" si="462"/>
        <v/>
      </c>
      <c r="H4779" s="28"/>
      <c r="I4779" s="29"/>
      <c r="J4779" s="152">
        <v>0</v>
      </c>
      <c r="L4779" s="218"/>
      <c r="M4779" s="48"/>
      <c r="N4779" s="27" t="str">
        <f t="shared" si="463"/>
        <v/>
      </c>
      <c r="O4779" s="28"/>
      <c r="P4779" s="36" t="str">
        <f t="shared" si="458"/>
        <v/>
      </c>
      <c r="Q4779" s="216" t="str">
        <f t="shared" si="459"/>
        <v/>
      </c>
      <c r="R4779" s="216" t="str">
        <f t="shared" si="460"/>
        <v/>
      </c>
      <c r="S4779" s="217" t="str">
        <f t="shared" si="461"/>
        <v/>
      </c>
    </row>
    <row r="4780" spans="1:19" ht="15.75" hidden="1" thickBot="1" x14ac:dyDescent="0.3">
      <c r="A4780" s="257"/>
      <c r="B4780" s="260"/>
      <c r="C4780" s="31"/>
      <c r="D4780" s="31"/>
      <c r="E4780" s="32"/>
      <c r="F4780" s="53" t="s">
        <v>416</v>
      </c>
      <c r="G4780" s="53" t="str">
        <f t="shared" si="462"/>
        <v/>
      </c>
      <c r="H4780" s="72"/>
      <c r="I4780" s="73"/>
      <c r="J4780" s="152">
        <v>0</v>
      </c>
      <c r="L4780" s="219"/>
      <c r="M4780" s="53"/>
      <c r="N4780" s="53" t="str">
        <f t="shared" si="463"/>
        <v/>
      </c>
      <c r="O4780" s="72"/>
      <c r="P4780" s="36" t="str">
        <f t="shared" si="458"/>
        <v/>
      </c>
      <c r="Q4780" s="216" t="str">
        <f t="shared" si="459"/>
        <v/>
      </c>
      <c r="R4780" s="216" t="str">
        <f t="shared" si="460"/>
        <v/>
      </c>
      <c r="S4780" s="217" t="str">
        <f t="shared" si="461"/>
        <v/>
      </c>
    </row>
    <row r="4781" spans="1:19" ht="15.75" hidden="1" thickBot="1" x14ac:dyDescent="0.3">
      <c r="A4781" s="257"/>
      <c r="B4781" s="260"/>
      <c r="C4781" s="35" t="s">
        <v>591</v>
      </c>
      <c r="D4781" s="35" t="s">
        <v>583</v>
      </c>
      <c r="E4781" s="36">
        <v>0.01</v>
      </c>
      <c r="F4781" s="53">
        <v>27.160499999999999</v>
      </c>
      <c r="G4781" s="53">
        <f t="shared" si="462"/>
        <v>0.27160499999999999</v>
      </c>
      <c r="H4781" s="38">
        <f>SUM(G4781:G4782)</f>
        <v>2.2941549999999999</v>
      </c>
      <c r="I4781" s="39"/>
      <c r="J4781" s="152">
        <v>0</v>
      </c>
      <c r="L4781" s="215">
        <v>0.01</v>
      </c>
      <c r="M4781" s="53">
        <v>23.249388</v>
      </c>
      <c r="N4781" s="53">
        <f t="shared" si="463"/>
        <v>0.23249388000000001</v>
      </c>
      <c r="O4781" s="38">
        <f>SUM(N4781:N4782)</f>
        <v>1.9637966799999997</v>
      </c>
      <c r="P4781" s="36" t="str">
        <f t="shared" si="458"/>
        <v/>
      </c>
      <c r="Q4781" s="216">
        <f t="shared" si="459"/>
        <v>0.14400000000000002</v>
      </c>
      <c r="R4781" s="216">
        <f t="shared" si="460"/>
        <v>0.14399999999999991</v>
      </c>
      <c r="S4781" s="217">
        <f t="shared" si="461"/>
        <v>0.14400000000000013</v>
      </c>
    </row>
    <row r="4782" spans="1:19" ht="15.75" hidden="1" thickBot="1" x14ac:dyDescent="0.3">
      <c r="A4782" s="257"/>
      <c r="B4782" s="260"/>
      <c r="C4782" s="35" t="s">
        <v>584</v>
      </c>
      <c r="D4782" s="35" t="s">
        <v>583</v>
      </c>
      <c r="E4782" s="36">
        <v>0.1</v>
      </c>
      <c r="F4782" s="53">
        <v>20.225499999999997</v>
      </c>
      <c r="G4782" s="53">
        <f t="shared" si="462"/>
        <v>2.0225499999999998</v>
      </c>
      <c r="H4782" s="72"/>
      <c r="I4782" s="73"/>
      <c r="J4782" s="152">
        <v>0</v>
      </c>
      <c r="L4782" s="215">
        <v>0.1</v>
      </c>
      <c r="M4782" s="53">
        <v>17.313027999999996</v>
      </c>
      <c r="N4782" s="53">
        <f t="shared" si="463"/>
        <v>1.7313027999999997</v>
      </c>
      <c r="O4782" s="72"/>
      <c r="P4782" s="36" t="str">
        <f t="shared" si="458"/>
        <v/>
      </c>
      <c r="Q4782" s="216">
        <f t="shared" si="459"/>
        <v>0.14400000000000013</v>
      </c>
      <c r="R4782" s="216">
        <f t="shared" si="460"/>
        <v>0.14400000000000013</v>
      </c>
      <c r="S4782" s="217" t="str">
        <f t="shared" si="461"/>
        <v/>
      </c>
    </row>
    <row r="4783" spans="1:19" ht="15.75" hidden="1" thickBot="1" x14ac:dyDescent="0.3">
      <c r="A4783" s="258"/>
      <c r="B4783" s="261"/>
      <c r="C4783" s="54"/>
      <c r="D4783" s="54"/>
      <c r="E4783" s="65"/>
      <c r="F4783" s="75" t="s">
        <v>416</v>
      </c>
      <c r="G4783" s="75" t="str">
        <f t="shared" si="462"/>
        <v/>
      </c>
      <c r="H4783" s="76"/>
      <c r="I4783" s="73"/>
      <c r="J4783" s="152">
        <v>0</v>
      </c>
      <c r="L4783" s="222"/>
      <c r="M4783" s="75"/>
      <c r="N4783" s="75" t="str">
        <f t="shared" si="463"/>
        <v/>
      </c>
      <c r="O4783" s="76"/>
      <c r="P4783" s="36" t="str">
        <f t="shared" si="458"/>
        <v/>
      </c>
      <c r="Q4783" s="216" t="str">
        <f t="shared" si="459"/>
        <v/>
      </c>
      <c r="R4783" s="216" t="str">
        <f t="shared" si="460"/>
        <v/>
      </c>
      <c r="S4783" s="217" t="str">
        <f t="shared" si="461"/>
        <v/>
      </c>
    </row>
    <row r="4784" spans="1:19" ht="15.75" hidden="1" thickBot="1" x14ac:dyDescent="0.3">
      <c r="A4784" s="256" t="s">
        <v>2956</v>
      </c>
      <c r="B4784" s="259" t="str">
        <f>INDEX(Orçamentária!A:B,MATCH(Composições!A4784,Orçamentária!A:A,0),2)</f>
        <v>Bancada em granito cinza andorinha polido - 2,40 m x 0,60 m</v>
      </c>
      <c r="C4784" s="40"/>
      <c r="D4784" s="25" t="s">
        <v>16</v>
      </c>
      <c r="E4784" s="26"/>
      <c r="F4784" s="48" t="s">
        <v>416</v>
      </c>
      <c r="G4784" s="27" t="str">
        <f t="shared" si="462"/>
        <v/>
      </c>
      <c r="H4784" s="28"/>
      <c r="I4784" s="29"/>
      <c r="J4784" s="152">
        <v>0</v>
      </c>
      <c r="L4784" s="218"/>
      <c r="M4784" s="48"/>
      <c r="N4784" s="27" t="str">
        <f t="shared" si="463"/>
        <v/>
      </c>
      <c r="O4784" s="28"/>
      <c r="P4784" s="36" t="str">
        <f t="shared" si="458"/>
        <v/>
      </c>
      <c r="Q4784" s="216" t="str">
        <f t="shared" si="459"/>
        <v/>
      </c>
      <c r="R4784" s="216" t="str">
        <f t="shared" si="460"/>
        <v/>
      </c>
      <c r="S4784" s="217" t="str">
        <f t="shared" si="461"/>
        <v/>
      </c>
    </row>
    <row r="4785" spans="1:19" ht="15.75" hidden="1" thickBot="1" x14ac:dyDescent="0.3">
      <c r="A4785" s="257"/>
      <c r="B4785" s="260"/>
      <c r="C4785" s="31"/>
      <c r="D4785" s="31"/>
      <c r="E4785" s="32"/>
      <c r="F4785" s="53" t="s">
        <v>416</v>
      </c>
      <c r="G4785" s="53" t="str">
        <f t="shared" si="462"/>
        <v/>
      </c>
      <c r="H4785" s="72"/>
      <c r="I4785" s="73"/>
      <c r="J4785" s="152">
        <v>0</v>
      </c>
      <c r="L4785" s="219"/>
      <c r="M4785" s="53"/>
      <c r="N4785" s="53" t="str">
        <f t="shared" si="463"/>
        <v/>
      </c>
      <c r="O4785" s="72"/>
      <c r="P4785" s="36" t="str">
        <f t="shared" si="458"/>
        <v/>
      </c>
      <c r="Q4785" s="216" t="str">
        <f t="shared" si="459"/>
        <v/>
      </c>
      <c r="R4785" s="216" t="str">
        <f t="shared" si="460"/>
        <v/>
      </c>
      <c r="S4785" s="217" t="str">
        <f t="shared" si="461"/>
        <v/>
      </c>
    </row>
    <row r="4786" spans="1:19" ht="15.75" hidden="1" thickBot="1" x14ac:dyDescent="0.3">
      <c r="A4786" s="257"/>
      <c r="B4786" s="260"/>
      <c r="C4786" s="35" t="s">
        <v>2934</v>
      </c>
      <c r="D4786" s="35" t="s">
        <v>773</v>
      </c>
      <c r="E4786" s="36">
        <f>0.5228*2.4/1.5</f>
        <v>0.83648</v>
      </c>
      <c r="F4786" s="53">
        <v>38.826499999999996</v>
      </c>
      <c r="G4786" s="53">
        <f t="shared" si="462"/>
        <v>32.477590719999995</v>
      </c>
      <c r="H4786" s="38">
        <f>SUM(G4786:G4792)</f>
        <v>925.0633044599997</v>
      </c>
      <c r="I4786" s="39"/>
      <c r="J4786" s="152">
        <v>0</v>
      </c>
      <c r="L4786" s="215">
        <v>0.83648</v>
      </c>
      <c r="M4786" s="53">
        <v>33.235484</v>
      </c>
      <c r="N4786" s="53">
        <f t="shared" si="463"/>
        <v>27.80081765632</v>
      </c>
      <c r="O4786" s="38">
        <f>SUM(N4786:N4792)</f>
        <v>791.85418861775986</v>
      </c>
      <c r="P4786" s="36" t="str">
        <f t="shared" si="458"/>
        <v/>
      </c>
      <c r="Q4786" s="216">
        <f t="shared" si="459"/>
        <v>0.14399999999999991</v>
      </c>
      <c r="R4786" s="216">
        <f t="shared" si="460"/>
        <v>0.14399999999999991</v>
      </c>
      <c r="S4786" s="217">
        <f t="shared" si="461"/>
        <v>0.14399999999999991</v>
      </c>
    </row>
    <row r="4787" spans="1:19" ht="39" hidden="1" thickBot="1" x14ac:dyDescent="0.3">
      <c r="A4787" s="257"/>
      <c r="B4787" s="260"/>
      <c r="C4787" s="35" t="s">
        <v>991</v>
      </c>
      <c r="D4787" s="35" t="s">
        <v>213</v>
      </c>
      <c r="E4787" s="36">
        <v>9</v>
      </c>
      <c r="F4787" s="53">
        <v>1.1019999999999999</v>
      </c>
      <c r="G4787" s="53">
        <f t="shared" si="462"/>
        <v>9.9179999999999993</v>
      </c>
      <c r="H4787" s="72"/>
      <c r="I4787" s="73"/>
      <c r="J4787" s="152">
        <v>0</v>
      </c>
      <c r="L4787" s="215">
        <v>9</v>
      </c>
      <c r="M4787" s="53">
        <v>0.94331199999999993</v>
      </c>
      <c r="N4787" s="53">
        <f t="shared" si="463"/>
        <v>8.489808</v>
      </c>
      <c r="O4787" s="72"/>
      <c r="P4787" s="36" t="str">
        <f t="shared" si="458"/>
        <v/>
      </c>
      <c r="Q4787" s="216">
        <f t="shared" si="459"/>
        <v>0.14400000000000002</v>
      </c>
      <c r="R4787" s="216">
        <f t="shared" si="460"/>
        <v>0.14399999999999991</v>
      </c>
      <c r="S4787" s="217" t="str">
        <f t="shared" si="461"/>
        <v/>
      </c>
    </row>
    <row r="4788" spans="1:19" ht="39" hidden="1" thickBot="1" x14ac:dyDescent="0.3">
      <c r="A4788" s="257"/>
      <c r="B4788" s="260"/>
      <c r="C4788" s="35" t="s">
        <v>8532</v>
      </c>
      <c r="D4788" s="35" t="s">
        <v>861</v>
      </c>
      <c r="E4788" s="36">
        <f>1.005*2.4/1.5</f>
        <v>1.6079999999999997</v>
      </c>
      <c r="F4788" s="53">
        <v>462.45049999999998</v>
      </c>
      <c r="G4788" s="53">
        <f t="shared" si="462"/>
        <v>743.62040399999978</v>
      </c>
      <c r="H4788" s="72"/>
      <c r="I4788" s="73"/>
      <c r="J4788" s="152">
        <v>0</v>
      </c>
      <c r="L4788" s="215">
        <v>1.6079999999999997</v>
      </c>
      <c r="M4788" s="53">
        <v>395.85762799999998</v>
      </c>
      <c r="N4788" s="53">
        <f t="shared" si="463"/>
        <v>636.53906582399986</v>
      </c>
      <c r="O4788" s="72"/>
      <c r="P4788" s="36" t="str">
        <f t="shared" si="458"/>
        <v/>
      </c>
      <c r="Q4788" s="216">
        <f t="shared" si="459"/>
        <v>0.14400000000000002</v>
      </c>
      <c r="R4788" s="216">
        <f t="shared" si="460"/>
        <v>0.14399999999999991</v>
      </c>
      <c r="S4788" s="217" t="str">
        <f t="shared" si="461"/>
        <v/>
      </c>
    </row>
    <row r="4789" spans="1:19" ht="15.75" hidden="1" thickBot="1" x14ac:dyDescent="0.3">
      <c r="A4789" s="257"/>
      <c r="B4789" s="260"/>
      <c r="C4789" s="35" t="s">
        <v>3061</v>
      </c>
      <c r="D4789" s="35" t="s">
        <v>773</v>
      </c>
      <c r="E4789" s="36">
        <f>0.0211*2.4/1.5</f>
        <v>3.3759999999999998E-2</v>
      </c>
      <c r="F4789" s="53">
        <v>72.836500000000001</v>
      </c>
      <c r="G4789" s="53">
        <f t="shared" si="462"/>
        <v>2.4589602400000001</v>
      </c>
      <c r="H4789" s="72"/>
      <c r="I4789" s="73"/>
      <c r="J4789" s="152">
        <v>0</v>
      </c>
      <c r="L4789" s="215">
        <v>3.3759999999999998E-2</v>
      </c>
      <c r="M4789" s="53">
        <v>62.348044000000002</v>
      </c>
      <c r="N4789" s="53">
        <f t="shared" si="463"/>
        <v>2.1048699654399998</v>
      </c>
      <c r="O4789" s="72"/>
      <c r="P4789" s="36" t="str">
        <f t="shared" si="458"/>
        <v/>
      </c>
      <c r="Q4789" s="216">
        <f t="shared" si="459"/>
        <v>0.14400000000000002</v>
      </c>
      <c r="R4789" s="216">
        <f t="shared" si="460"/>
        <v>0.14400000000000013</v>
      </c>
      <c r="S4789" s="217" t="str">
        <f t="shared" si="461"/>
        <v/>
      </c>
    </row>
    <row r="4790" spans="1:19" ht="26.25" hidden="1" thickBot="1" x14ac:dyDescent="0.3">
      <c r="A4790" s="257"/>
      <c r="B4790" s="260"/>
      <c r="C4790" s="35" t="s">
        <v>2941</v>
      </c>
      <c r="D4790" s="35" t="s">
        <v>213</v>
      </c>
      <c r="E4790" s="36">
        <v>3</v>
      </c>
      <c r="F4790" s="53">
        <v>25.4315</v>
      </c>
      <c r="G4790" s="53">
        <f t="shared" si="462"/>
        <v>76.294499999999999</v>
      </c>
      <c r="H4790" s="72"/>
      <c r="I4790" s="39"/>
      <c r="J4790" s="152">
        <v>0</v>
      </c>
      <c r="L4790" s="215">
        <v>3</v>
      </c>
      <c r="M4790" s="53">
        <v>21.769363999999999</v>
      </c>
      <c r="N4790" s="53">
        <f t="shared" si="463"/>
        <v>65.308092000000002</v>
      </c>
      <c r="O4790" s="72"/>
      <c r="P4790" s="36" t="str">
        <f t="shared" si="458"/>
        <v/>
      </c>
      <c r="Q4790" s="216">
        <f t="shared" si="459"/>
        <v>0.14400000000000002</v>
      </c>
      <c r="R4790" s="216">
        <f t="shared" si="460"/>
        <v>0.14400000000000002</v>
      </c>
      <c r="S4790" s="217" t="str">
        <f t="shared" si="461"/>
        <v/>
      </c>
    </row>
    <row r="4791" spans="1:19" ht="15.75" hidden="1" thickBot="1" x14ac:dyDescent="0.3">
      <c r="A4791" s="257"/>
      <c r="B4791" s="260"/>
      <c r="C4791" s="35" t="s">
        <v>2906</v>
      </c>
      <c r="D4791" s="35" t="s">
        <v>583</v>
      </c>
      <c r="E4791" s="36">
        <v>1.4944</v>
      </c>
      <c r="F4791" s="53">
        <v>27.036999999999999</v>
      </c>
      <c r="G4791" s="53">
        <f t="shared" si="462"/>
        <v>40.404092799999994</v>
      </c>
      <c r="H4791" s="72"/>
      <c r="I4791" s="73"/>
      <c r="J4791" s="152">
        <v>0</v>
      </c>
      <c r="L4791" s="215">
        <v>1.4944</v>
      </c>
      <c r="M4791" s="53">
        <v>23.143671999999999</v>
      </c>
      <c r="N4791" s="53">
        <f t="shared" si="463"/>
        <v>34.585903436799995</v>
      </c>
      <c r="O4791" s="72"/>
      <c r="P4791" s="36" t="str">
        <f t="shared" si="458"/>
        <v/>
      </c>
      <c r="Q4791" s="216">
        <f t="shared" si="459"/>
        <v>0.14400000000000002</v>
      </c>
      <c r="R4791" s="216">
        <f t="shared" si="460"/>
        <v>0.14400000000000002</v>
      </c>
      <c r="S4791" s="217" t="str">
        <f t="shared" si="461"/>
        <v/>
      </c>
    </row>
    <row r="4792" spans="1:19" ht="15.75" hidden="1" thickBot="1" x14ac:dyDescent="0.3">
      <c r="A4792" s="257"/>
      <c r="B4792" s="260"/>
      <c r="C4792" s="35" t="s">
        <v>584</v>
      </c>
      <c r="D4792" s="35" t="s">
        <v>583</v>
      </c>
      <c r="E4792" s="36">
        <v>0.98340000000000005</v>
      </c>
      <c r="F4792" s="53">
        <v>20.225499999999997</v>
      </c>
      <c r="G4792" s="53">
        <f t="shared" si="462"/>
        <v>19.8897567</v>
      </c>
      <c r="H4792" s="72"/>
      <c r="I4792" s="73"/>
      <c r="J4792" s="152">
        <v>0</v>
      </c>
      <c r="L4792" s="215">
        <v>0.98340000000000005</v>
      </c>
      <c r="M4792" s="53">
        <v>17.313027999999996</v>
      </c>
      <c r="N4792" s="53">
        <f t="shared" si="463"/>
        <v>17.025631735199998</v>
      </c>
      <c r="O4792" s="72"/>
      <c r="P4792" s="36" t="str">
        <f t="shared" si="458"/>
        <v/>
      </c>
      <c r="Q4792" s="216">
        <f t="shared" si="459"/>
        <v>0.14400000000000013</v>
      </c>
      <c r="R4792" s="216">
        <f t="shared" si="460"/>
        <v>0.14400000000000013</v>
      </c>
      <c r="S4792" s="217" t="str">
        <f t="shared" si="461"/>
        <v/>
      </c>
    </row>
    <row r="4793" spans="1:19" ht="15.75" hidden="1" thickBot="1" x14ac:dyDescent="0.3">
      <c r="A4793" s="257"/>
      <c r="B4793" s="260"/>
      <c r="C4793" s="35"/>
      <c r="D4793" s="35"/>
      <c r="E4793" s="36"/>
      <c r="F4793" s="53" t="s">
        <v>416</v>
      </c>
      <c r="G4793" s="53" t="str">
        <f t="shared" si="462"/>
        <v/>
      </c>
      <c r="H4793" s="72"/>
      <c r="I4793" s="73"/>
      <c r="J4793" s="152">
        <v>0</v>
      </c>
      <c r="L4793" s="215"/>
      <c r="M4793" s="53"/>
      <c r="N4793" s="53" t="str">
        <f t="shared" si="463"/>
        <v/>
      </c>
      <c r="O4793" s="72"/>
      <c r="P4793" s="36" t="str">
        <f t="shared" si="458"/>
        <v/>
      </c>
      <c r="Q4793" s="216" t="str">
        <f t="shared" si="459"/>
        <v/>
      </c>
      <c r="R4793" s="216" t="str">
        <f t="shared" si="460"/>
        <v/>
      </c>
      <c r="S4793" s="217" t="str">
        <f t="shared" si="461"/>
        <v/>
      </c>
    </row>
    <row r="4794" spans="1:19" ht="15.75" hidden="1" thickBot="1" x14ac:dyDescent="0.3">
      <c r="A4794" s="256" t="s">
        <v>2957</v>
      </c>
      <c r="B4794" s="259" t="str">
        <f>INDEX(Orçamentária!A:B,MATCH(Composições!A4794,Orçamentária!A:A,0),2)</f>
        <v>Bancada em granito cinza andorinha polido - 2,50 m x 0,60 m</v>
      </c>
      <c r="C4794" s="40"/>
      <c r="D4794" s="25" t="s">
        <v>16</v>
      </c>
      <c r="E4794" s="26"/>
      <c r="F4794" s="48" t="s">
        <v>416</v>
      </c>
      <c r="G4794" s="27" t="str">
        <f t="shared" si="462"/>
        <v/>
      </c>
      <c r="H4794" s="28"/>
      <c r="I4794" s="29"/>
      <c r="J4794" s="152">
        <v>0</v>
      </c>
      <c r="L4794" s="218"/>
      <c r="M4794" s="48"/>
      <c r="N4794" s="27" t="str">
        <f t="shared" si="463"/>
        <v/>
      </c>
      <c r="O4794" s="28"/>
      <c r="P4794" s="36" t="str">
        <f t="shared" si="458"/>
        <v/>
      </c>
      <c r="Q4794" s="216" t="str">
        <f t="shared" si="459"/>
        <v/>
      </c>
      <c r="R4794" s="216" t="str">
        <f t="shared" si="460"/>
        <v/>
      </c>
      <c r="S4794" s="217" t="str">
        <f t="shared" si="461"/>
        <v/>
      </c>
    </row>
    <row r="4795" spans="1:19" ht="15.75" hidden="1" thickBot="1" x14ac:dyDescent="0.3">
      <c r="A4795" s="257"/>
      <c r="B4795" s="260"/>
      <c r="C4795" s="31"/>
      <c r="D4795" s="31"/>
      <c r="E4795" s="32"/>
      <c r="F4795" s="53" t="s">
        <v>416</v>
      </c>
      <c r="G4795" s="53" t="str">
        <f t="shared" si="462"/>
        <v/>
      </c>
      <c r="H4795" s="72"/>
      <c r="I4795" s="73"/>
      <c r="J4795" s="152">
        <v>0</v>
      </c>
      <c r="L4795" s="219"/>
      <c r="M4795" s="53"/>
      <c r="N4795" s="53" t="str">
        <f t="shared" si="463"/>
        <v/>
      </c>
      <c r="O4795" s="72"/>
      <c r="P4795" s="36" t="str">
        <f t="shared" si="458"/>
        <v/>
      </c>
      <c r="Q4795" s="216" t="str">
        <f t="shared" si="459"/>
        <v/>
      </c>
      <c r="R4795" s="216" t="str">
        <f t="shared" si="460"/>
        <v/>
      </c>
      <c r="S4795" s="217" t="str">
        <f t="shared" si="461"/>
        <v/>
      </c>
    </row>
    <row r="4796" spans="1:19" ht="15.75" hidden="1" thickBot="1" x14ac:dyDescent="0.3">
      <c r="A4796" s="257"/>
      <c r="B4796" s="260"/>
      <c r="C4796" s="35" t="s">
        <v>2934</v>
      </c>
      <c r="D4796" s="35" t="s">
        <v>773</v>
      </c>
      <c r="E4796" s="36">
        <f>0.5228*2.5/1.5</f>
        <v>0.8713333333333334</v>
      </c>
      <c r="F4796" s="53">
        <v>38.826499999999996</v>
      </c>
      <c r="G4796" s="53">
        <f t="shared" si="462"/>
        <v>33.830823666666667</v>
      </c>
      <c r="H4796" s="38">
        <f>SUM(G4796:G4802)</f>
        <v>957.50317758333313</v>
      </c>
      <c r="I4796" s="39"/>
      <c r="J4796" s="152">
        <v>0</v>
      </c>
      <c r="L4796" s="215">
        <v>0.8713333333333334</v>
      </c>
      <c r="M4796" s="53">
        <v>33.235484</v>
      </c>
      <c r="N4796" s="53">
        <f t="shared" si="463"/>
        <v>28.959185058666669</v>
      </c>
      <c r="O4796" s="38">
        <f>SUM(N4796:N4802)</f>
        <v>819.62272001133329</v>
      </c>
      <c r="P4796" s="36" t="str">
        <f t="shared" si="458"/>
        <v/>
      </c>
      <c r="Q4796" s="216">
        <f t="shared" si="459"/>
        <v>0.14399999999999991</v>
      </c>
      <c r="R4796" s="216">
        <f t="shared" si="460"/>
        <v>0.14399999999999991</v>
      </c>
      <c r="S4796" s="217">
        <f t="shared" si="461"/>
        <v>0.14399999999999991</v>
      </c>
    </row>
    <row r="4797" spans="1:19" ht="39" hidden="1" thickBot="1" x14ac:dyDescent="0.3">
      <c r="A4797" s="257"/>
      <c r="B4797" s="260"/>
      <c r="C4797" s="35" t="s">
        <v>991</v>
      </c>
      <c r="D4797" s="35" t="s">
        <v>213</v>
      </c>
      <c r="E4797" s="36">
        <v>9</v>
      </c>
      <c r="F4797" s="53">
        <v>1.1019999999999999</v>
      </c>
      <c r="G4797" s="53">
        <f t="shared" si="462"/>
        <v>9.9179999999999993</v>
      </c>
      <c r="H4797" s="72"/>
      <c r="I4797" s="73"/>
      <c r="J4797" s="152">
        <v>0</v>
      </c>
      <c r="L4797" s="215">
        <v>9</v>
      </c>
      <c r="M4797" s="53">
        <v>0.94331199999999993</v>
      </c>
      <c r="N4797" s="53">
        <f t="shared" si="463"/>
        <v>8.489808</v>
      </c>
      <c r="O4797" s="72"/>
      <c r="P4797" s="36" t="str">
        <f t="shared" si="458"/>
        <v/>
      </c>
      <c r="Q4797" s="216">
        <f t="shared" si="459"/>
        <v>0.14400000000000002</v>
      </c>
      <c r="R4797" s="216">
        <f t="shared" si="460"/>
        <v>0.14399999999999991</v>
      </c>
      <c r="S4797" s="217" t="str">
        <f t="shared" si="461"/>
        <v/>
      </c>
    </row>
    <row r="4798" spans="1:19" ht="39" hidden="1" thickBot="1" x14ac:dyDescent="0.3">
      <c r="A4798" s="257"/>
      <c r="B4798" s="260"/>
      <c r="C4798" s="35" t="s">
        <v>8532</v>
      </c>
      <c r="D4798" s="35" t="s">
        <v>861</v>
      </c>
      <c r="E4798" s="36">
        <f>1.005*2.5/1.5</f>
        <v>1.6749999999999998</v>
      </c>
      <c r="F4798" s="53">
        <v>462.45049999999998</v>
      </c>
      <c r="G4798" s="53">
        <f t="shared" si="462"/>
        <v>774.60458749999987</v>
      </c>
      <c r="H4798" s="72"/>
      <c r="I4798" s="73"/>
      <c r="J4798" s="152">
        <v>0</v>
      </c>
      <c r="L4798" s="215">
        <v>1.6749999999999998</v>
      </c>
      <c r="M4798" s="53">
        <v>395.85762799999998</v>
      </c>
      <c r="N4798" s="53">
        <f t="shared" si="463"/>
        <v>663.06152689999988</v>
      </c>
      <c r="O4798" s="72"/>
      <c r="P4798" s="36" t="str">
        <f t="shared" si="458"/>
        <v/>
      </c>
      <c r="Q4798" s="216">
        <f t="shared" si="459"/>
        <v>0.14400000000000002</v>
      </c>
      <c r="R4798" s="216">
        <f t="shared" si="460"/>
        <v>0.14400000000000002</v>
      </c>
      <c r="S4798" s="217" t="str">
        <f t="shared" si="461"/>
        <v/>
      </c>
    </row>
    <row r="4799" spans="1:19" ht="15.75" hidden="1" thickBot="1" x14ac:dyDescent="0.3">
      <c r="A4799" s="257"/>
      <c r="B4799" s="260"/>
      <c r="C4799" s="35" t="s">
        <v>3061</v>
      </c>
      <c r="D4799" s="35" t="s">
        <v>773</v>
      </c>
      <c r="E4799" s="36">
        <f>0.0211*2.5/1.5</f>
        <v>3.5166666666666672E-2</v>
      </c>
      <c r="F4799" s="53">
        <v>72.836500000000001</v>
      </c>
      <c r="G4799" s="53">
        <f t="shared" si="462"/>
        <v>2.5614169166666669</v>
      </c>
      <c r="H4799" s="72"/>
      <c r="I4799" s="73"/>
      <c r="J4799" s="152">
        <v>0</v>
      </c>
      <c r="L4799" s="215">
        <v>3.5166666666666672E-2</v>
      </c>
      <c r="M4799" s="53">
        <v>62.348044000000002</v>
      </c>
      <c r="N4799" s="53">
        <f t="shared" si="463"/>
        <v>2.1925728806666669</v>
      </c>
      <c r="O4799" s="72"/>
      <c r="P4799" s="36" t="str">
        <f t="shared" si="458"/>
        <v/>
      </c>
      <c r="Q4799" s="216">
        <f t="shared" si="459"/>
        <v>0.14400000000000002</v>
      </c>
      <c r="R4799" s="216">
        <f t="shared" si="460"/>
        <v>0.14400000000000002</v>
      </c>
      <c r="S4799" s="217" t="str">
        <f t="shared" si="461"/>
        <v/>
      </c>
    </row>
    <row r="4800" spans="1:19" ht="26.25" hidden="1" thickBot="1" x14ac:dyDescent="0.3">
      <c r="A4800" s="257"/>
      <c r="B4800" s="260"/>
      <c r="C4800" s="35" t="s">
        <v>2941</v>
      </c>
      <c r="D4800" s="35" t="s">
        <v>213</v>
      </c>
      <c r="E4800" s="36">
        <v>3</v>
      </c>
      <c r="F4800" s="53">
        <v>25.4315</v>
      </c>
      <c r="G4800" s="53">
        <f t="shared" si="462"/>
        <v>76.294499999999999</v>
      </c>
      <c r="H4800" s="72"/>
      <c r="I4800" s="39"/>
      <c r="J4800" s="152">
        <v>0</v>
      </c>
      <c r="L4800" s="215">
        <v>3</v>
      </c>
      <c r="M4800" s="53">
        <v>21.769363999999999</v>
      </c>
      <c r="N4800" s="53">
        <f t="shared" si="463"/>
        <v>65.308092000000002</v>
      </c>
      <c r="O4800" s="72"/>
      <c r="P4800" s="36" t="str">
        <f t="shared" si="458"/>
        <v/>
      </c>
      <c r="Q4800" s="216">
        <f t="shared" si="459"/>
        <v>0.14400000000000002</v>
      </c>
      <c r="R4800" s="216">
        <f t="shared" si="460"/>
        <v>0.14400000000000002</v>
      </c>
      <c r="S4800" s="217" t="str">
        <f t="shared" si="461"/>
        <v/>
      </c>
    </row>
    <row r="4801" spans="1:19" ht="15.75" hidden="1" thickBot="1" x14ac:dyDescent="0.3">
      <c r="A4801" s="257"/>
      <c r="B4801" s="260"/>
      <c r="C4801" s="35" t="s">
        <v>2906</v>
      </c>
      <c r="D4801" s="35" t="s">
        <v>583</v>
      </c>
      <c r="E4801" s="36">
        <v>1.4944</v>
      </c>
      <c r="F4801" s="53">
        <v>27.036999999999999</v>
      </c>
      <c r="G4801" s="53">
        <f t="shared" si="462"/>
        <v>40.404092799999994</v>
      </c>
      <c r="H4801" s="72"/>
      <c r="I4801" s="73"/>
      <c r="J4801" s="152">
        <v>0</v>
      </c>
      <c r="L4801" s="215">
        <v>1.4944</v>
      </c>
      <c r="M4801" s="53">
        <v>23.143671999999999</v>
      </c>
      <c r="N4801" s="53">
        <f t="shared" si="463"/>
        <v>34.585903436799995</v>
      </c>
      <c r="O4801" s="72"/>
      <c r="P4801" s="36" t="str">
        <f t="shared" si="458"/>
        <v/>
      </c>
      <c r="Q4801" s="216">
        <f t="shared" si="459"/>
        <v>0.14400000000000002</v>
      </c>
      <c r="R4801" s="216">
        <f t="shared" si="460"/>
        <v>0.14400000000000002</v>
      </c>
      <c r="S4801" s="217" t="str">
        <f t="shared" si="461"/>
        <v/>
      </c>
    </row>
    <row r="4802" spans="1:19" ht="15.75" hidden="1" thickBot="1" x14ac:dyDescent="0.3">
      <c r="A4802" s="257"/>
      <c r="B4802" s="260"/>
      <c r="C4802" s="35" t="s">
        <v>584</v>
      </c>
      <c r="D4802" s="35" t="s">
        <v>583</v>
      </c>
      <c r="E4802" s="36">
        <v>0.98340000000000005</v>
      </c>
      <c r="F4802" s="53">
        <v>20.225499999999997</v>
      </c>
      <c r="G4802" s="53">
        <f t="shared" si="462"/>
        <v>19.8897567</v>
      </c>
      <c r="H4802" s="72"/>
      <c r="I4802" s="73"/>
      <c r="J4802" s="152">
        <v>0</v>
      </c>
      <c r="L4802" s="215">
        <v>0.98340000000000005</v>
      </c>
      <c r="M4802" s="53">
        <v>17.313027999999996</v>
      </c>
      <c r="N4802" s="53">
        <f t="shared" si="463"/>
        <v>17.025631735199998</v>
      </c>
      <c r="O4802" s="72"/>
      <c r="P4802" s="36" t="str">
        <f t="shared" si="458"/>
        <v/>
      </c>
      <c r="Q4802" s="216">
        <f t="shared" si="459"/>
        <v>0.14400000000000013</v>
      </c>
      <c r="R4802" s="216">
        <f t="shared" si="460"/>
        <v>0.14400000000000013</v>
      </c>
      <c r="S4802" s="217" t="str">
        <f t="shared" si="461"/>
        <v/>
      </c>
    </row>
    <row r="4803" spans="1:19" ht="15.75" hidden="1" thickBot="1" x14ac:dyDescent="0.3">
      <c r="A4803" s="257"/>
      <c r="B4803" s="260"/>
      <c r="C4803" s="35"/>
      <c r="D4803" s="35"/>
      <c r="E4803" s="36"/>
      <c r="F4803" s="53" t="s">
        <v>416</v>
      </c>
      <c r="G4803" s="53" t="str">
        <f t="shared" si="462"/>
        <v/>
      </c>
      <c r="H4803" s="72"/>
      <c r="I4803" s="73"/>
      <c r="J4803" s="152">
        <v>0</v>
      </c>
      <c r="L4803" s="215"/>
      <c r="M4803" s="53"/>
      <c r="N4803" s="53" t="str">
        <f t="shared" si="463"/>
        <v/>
      </c>
      <c r="O4803" s="72"/>
      <c r="P4803" s="36" t="str">
        <f t="shared" si="458"/>
        <v/>
      </c>
      <c r="Q4803" s="216" t="str">
        <f t="shared" si="459"/>
        <v/>
      </c>
      <c r="R4803" s="216" t="str">
        <f t="shared" si="460"/>
        <v/>
      </c>
      <c r="S4803" s="217" t="str">
        <f t="shared" si="461"/>
        <v/>
      </c>
    </row>
    <row r="4804" spans="1:19" ht="15.75" hidden="1" thickBot="1" x14ac:dyDescent="0.3">
      <c r="A4804" s="256" t="s">
        <v>2961</v>
      </c>
      <c r="B4804" s="259" t="str">
        <f>INDEX(Orçamentária!A:B,MATCH(Composições!A4804,Orçamentária!A:A,0),2)</f>
        <v>Batedor/limitador inferior para box de correr</v>
      </c>
      <c r="C4804" s="40"/>
      <c r="D4804" s="25" t="s">
        <v>16</v>
      </c>
      <c r="E4804" s="26"/>
      <c r="F4804" s="41" t="s">
        <v>416</v>
      </c>
      <c r="G4804" s="27" t="str">
        <f t="shared" si="462"/>
        <v/>
      </c>
      <c r="H4804" s="28"/>
      <c r="I4804" s="29"/>
      <c r="J4804" s="152">
        <v>0</v>
      </c>
      <c r="L4804" s="218"/>
      <c r="M4804" s="41"/>
      <c r="N4804" s="27" t="str">
        <f t="shared" si="463"/>
        <v/>
      </c>
      <c r="O4804" s="28"/>
      <c r="P4804" s="36" t="str">
        <f t="shared" si="458"/>
        <v/>
      </c>
      <c r="Q4804" s="216" t="str">
        <f t="shared" si="459"/>
        <v/>
      </c>
      <c r="R4804" s="216" t="str">
        <f t="shared" si="460"/>
        <v/>
      </c>
      <c r="S4804" s="217" t="str">
        <f t="shared" si="461"/>
        <v/>
      </c>
    </row>
    <row r="4805" spans="1:19" ht="15.75" hidden="1" thickBot="1" x14ac:dyDescent="0.3">
      <c r="A4805" s="262"/>
      <c r="B4805" s="260"/>
      <c r="C4805" s="31"/>
      <c r="D4805" s="31"/>
      <c r="E4805" s="32"/>
      <c r="F4805" s="42" t="s">
        <v>416</v>
      </c>
      <c r="G4805" s="33" t="str">
        <f t="shared" si="462"/>
        <v/>
      </c>
      <c r="H4805" s="34"/>
      <c r="I4805" s="30"/>
      <c r="J4805" s="152">
        <v>0</v>
      </c>
      <c r="L4805" s="219"/>
      <c r="M4805" s="42"/>
      <c r="N4805" s="33" t="str">
        <f t="shared" si="463"/>
        <v/>
      </c>
      <c r="O4805" s="34"/>
      <c r="P4805" s="36" t="str">
        <f t="shared" si="458"/>
        <v/>
      </c>
      <c r="Q4805" s="216" t="str">
        <f t="shared" si="459"/>
        <v/>
      </c>
      <c r="R4805" s="216" t="str">
        <f t="shared" si="460"/>
        <v/>
      </c>
      <c r="S4805" s="217" t="str">
        <f t="shared" si="461"/>
        <v/>
      </c>
    </row>
    <row r="4806" spans="1:19" ht="15.75" hidden="1" thickBot="1" x14ac:dyDescent="0.3">
      <c r="A4806" s="262"/>
      <c r="B4806" s="260"/>
      <c r="C4806" s="35" t="s">
        <v>2909</v>
      </c>
      <c r="D4806" s="35" t="s">
        <v>583</v>
      </c>
      <c r="E4806" s="36">
        <v>0.15</v>
      </c>
      <c r="F4806" s="33">
        <v>25.060999999999996</v>
      </c>
      <c r="G4806" s="33">
        <f t="shared" si="462"/>
        <v>3.7591499999999991</v>
      </c>
      <c r="H4806" s="38">
        <f>SUM(G4806:G4807)</f>
        <v>3.7591499999999991</v>
      </c>
      <c r="I4806" s="39"/>
      <c r="J4806" s="152">
        <v>0</v>
      </c>
      <c r="L4806" s="215">
        <v>0.15</v>
      </c>
      <c r="M4806" s="33">
        <v>21.452215999999996</v>
      </c>
      <c r="N4806" s="33">
        <f t="shared" si="463"/>
        <v>3.2178323999999994</v>
      </c>
      <c r="O4806" s="38">
        <f>SUM(N4806:N4807)</f>
        <v>3.2178323999999994</v>
      </c>
      <c r="P4806" s="36" t="str">
        <f t="shared" si="458"/>
        <v/>
      </c>
      <c r="Q4806" s="216">
        <f t="shared" si="459"/>
        <v>0.14400000000000002</v>
      </c>
      <c r="R4806" s="216">
        <f t="shared" si="460"/>
        <v>0.14400000000000002</v>
      </c>
      <c r="S4806" s="217">
        <f t="shared" si="461"/>
        <v>0.14400000000000002</v>
      </c>
    </row>
    <row r="4807" spans="1:19" ht="26.25" hidden="1" thickBot="1" x14ac:dyDescent="0.3">
      <c r="A4807" s="262"/>
      <c r="B4807" s="260"/>
      <c r="C4807" s="35" t="s">
        <v>3087</v>
      </c>
      <c r="D4807" s="35" t="s">
        <v>16</v>
      </c>
      <c r="E4807" s="36">
        <v>1</v>
      </c>
      <c r="F4807" s="30" t="s">
        <v>416</v>
      </c>
      <c r="G4807" s="33" t="str">
        <f t="shared" si="462"/>
        <v/>
      </c>
      <c r="H4807" s="34"/>
      <c r="I4807" s="30"/>
      <c r="J4807" s="152">
        <v>0</v>
      </c>
      <c r="L4807" s="215">
        <v>1</v>
      </c>
      <c r="M4807" s="30"/>
      <c r="N4807" s="33" t="str">
        <f t="shared" si="463"/>
        <v/>
      </c>
      <c r="O4807" s="34"/>
      <c r="P4807" s="36" t="str">
        <f t="shared" si="458"/>
        <v/>
      </c>
      <c r="Q4807" s="216" t="str">
        <f t="shared" si="459"/>
        <v/>
      </c>
      <c r="R4807" s="216" t="str">
        <f t="shared" si="460"/>
        <v/>
      </c>
      <c r="S4807" s="217" t="str">
        <f t="shared" si="461"/>
        <v/>
      </c>
    </row>
    <row r="4808" spans="1:19" ht="15.75" hidden="1" thickBot="1" x14ac:dyDescent="0.3">
      <c r="A4808" s="263"/>
      <c r="B4808" s="261"/>
      <c r="C4808" s="35"/>
      <c r="D4808" s="35"/>
      <c r="E4808" s="36"/>
      <c r="F4808" s="30" t="s">
        <v>416</v>
      </c>
      <c r="G4808" s="33" t="str">
        <f t="shared" si="462"/>
        <v/>
      </c>
      <c r="H4808" s="34"/>
      <c r="I4808" s="30"/>
      <c r="J4808" s="152">
        <v>0</v>
      </c>
      <c r="L4808" s="215"/>
      <c r="M4808" s="30"/>
      <c r="N4808" s="33" t="str">
        <f t="shared" si="463"/>
        <v/>
      </c>
      <c r="O4808" s="34"/>
      <c r="P4808" s="36" t="str">
        <f t="shared" ref="P4808:P4871" si="464">IF(ISBLANK(L4808),"",IF($E4808&lt;&gt;L4808,"SIM",""))</f>
        <v/>
      </c>
      <c r="Q4808" s="216" t="str">
        <f t="shared" ref="Q4808:Q4871" si="465">IF(M4808="","",1-M4808/$F4808)</f>
        <v/>
      </c>
      <c r="R4808" s="216" t="str">
        <f t="shared" ref="R4808:R4871" si="466">IF(N4808="","",1-N4808/$G4808)</f>
        <v/>
      </c>
      <c r="S4808" s="217" t="str">
        <f t="shared" ref="S4808:S4871" si="467">IF(O4808="","",1-O4808/$H4808)</f>
        <v/>
      </c>
    </row>
    <row r="4809" spans="1:19" ht="15.75" hidden="1" thickBot="1" x14ac:dyDescent="0.3">
      <c r="A4809" s="256" t="s">
        <v>2962</v>
      </c>
      <c r="B4809" s="259" t="str">
        <f>INDEX(Orçamentária!A:B,MATCH(Composições!A4809,Orçamentária!A:A,0),2)</f>
        <v>Batedor/amortecedor lateral para box de correr</v>
      </c>
      <c r="C4809" s="40"/>
      <c r="D4809" s="25" t="s">
        <v>16</v>
      </c>
      <c r="E4809" s="26"/>
      <c r="F4809" s="41" t="s">
        <v>416</v>
      </c>
      <c r="G4809" s="27" t="str">
        <f t="shared" si="462"/>
        <v/>
      </c>
      <c r="H4809" s="28"/>
      <c r="I4809" s="29"/>
      <c r="J4809" s="152">
        <v>0</v>
      </c>
      <c r="L4809" s="218"/>
      <c r="M4809" s="41"/>
      <c r="N4809" s="27" t="str">
        <f t="shared" si="463"/>
        <v/>
      </c>
      <c r="O4809" s="28"/>
      <c r="P4809" s="36" t="str">
        <f t="shared" si="464"/>
        <v/>
      </c>
      <c r="Q4809" s="216" t="str">
        <f t="shared" si="465"/>
        <v/>
      </c>
      <c r="R4809" s="216" t="str">
        <f t="shared" si="466"/>
        <v/>
      </c>
      <c r="S4809" s="217" t="str">
        <f t="shared" si="467"/>
        <v/>
      </c>
    </row>
    <row r="4810" spans="1:19" ht="15.75" hidden="1" thickBot="1" x14ac:dyDescent="0.3">
      <c r="A4810" s="262"/>
      <c r="B4810" s="260"/>
      <c r="C4810" s="31"/>
      <c r="D4810" s="31"/>
      <c r="E4810" s="32"/>
      <c r="F4810" s="42" t="s">
        <v>416</v>
      </c>
      <c r="G4810" s="33" t="str">
        <f t="shared" si="462"/>
        <v/>
      </c>
      <c r="H4810" s="34"/>
      <c r="I4810" s="30"/>
      <c r="J4810" s="152">
        <v>0</v>
      </c>
      <c r="L4810" s="219"/>
      <c r="M4810" s="42"/>
      <c r="N4810" s="33" t="str">
        <f t="shared" si="463"/>
        <v/>
      </c>
      <c r="O4810" s="34"/>
      <c r="P4810" s="36" t="str">
        <f t="shared" si="464"/>
        <v/>
      </c>
      <c r="Q4810" s="216" t="str">
        <f t="shared" si="465"/>
        <v/>
      </c>
      <c r="R4810" s="216" t="str">
        <f t="shared" si="466"/>
        <v/>
      </c>
      <c r="S4810" s="217" t="str">
        <f t="shared" si="467"/>
        <v/>
      </c>
    </row>
    <row r="4811" spans="1:19" ht="15.75" hidden="1" thickBot="1" x14ac:dyDescent="0.3">
      <c r="A4811" s="262"/>
      <c r="B4811" s="260"/>
      <c r="C4811" s="35" t="s">
        <v>2909</v>
      </c>
      <c r="D4811" s="35" t="s">
        <v>583</v>
      </c>
      <c r="E4811" s="36">
        <v>0.15</v>
      </c>
      <c r="F4811" s="33">
        <v>25.060999999999996</v>
      </c>
      <c r="G4811" s="33">
        <f t="shared" si="462"/>
        <v>3.7591499999999991</v>
      </c>
      <c r="H4811" s="38">
        <f>SUM(G4811:G4812)</f>
        <v>3.7591499999999991</v>
      </c>
      <c r="I4811" s="39"/>
      <c r="J4811" s="152">
        <v>0</v>
      </c>
      <c r="L4811" s="215">
        <v>0.15</v>
      </c>
      <c r="M4811" s="33">
        <v>21.452215999999996</v>
      </c>
      <c r="N4811" s="33">
        <f t="shared" si="463"/>
        <v>3.2178323999999994</v>
      </c>
      <c r="O4811" s="38">
        <f>SUM(N4811:N4812)</f>
        <v>3.2178323999999994</v>
      </c>
      <c r="P4811" s="36" t="str">
        <f t="shared" si="464"/>
        <v/>
      </c>
      <c r="Q4811" s="216">
        <f t="shared" si="465"/>
        <v>0.14400000000000002</v>
      </c>
      <c r="R4811" s="216">
        <f t="shared" si="466"/>
        <v>0.14400000000000002</v>
      </c>
      <c r="S4811" s="217">
        <f t="shared" si="467"/>
        <v>0.14400000000000002</v>
      </c>
    </row>
    <row r="4812" spans="1:19" ht="15.75" hidden="1" thickBot="1" x14ac:dyDescent="0.3">
      <c r="A4812" s="262"/>
      <c r="B4812" s="260"/>
      <c r="C4812" s="35" t="s">
        <v>3088</v>
      </c>
      <c r="D4812" s="35" t="s">
        <v>16</v>
      </c>
      <c r="E4812" s="36">
        <v>1</v>
      </c>
      <c r="F4812" s="30" t="s">
        <v>416</v>
      </c>
      <c r="G4812" s="33" t="str">
        <f t="shared" si="462"/>
        <v/>
      </c>
      <c r="H4812" s="34"/>
      <c r="I4812" s="30"/>
      <c r="J4812" s="152">
        <v>0</v>
      </c>
      <c r="L4812" s="215">
        <v>1</v>
      </c>
      <c r="M4812" s="30"/>
      <c r="N4812" s="33" t="str">
        <f t="shared" si="463"/>
        <v/>
      </c>
      <c r="O4812" s="34"/>
      <c r="P4812" s="36" t="str">
        <f t="shared" si="464"/>
        <v/>
      </c>
      <c r="Q4812" s="216" t="str">
        <f t="shared" si="465"/>
        <v/>
      </c>
      <c r="R4812" s="216" t="str">
        <f t="shared" si="466"/>
        <v/>
      </c>
      <c r="S4812" s="217" t="str">
        <f t="shared" si="467"/>
        <v/>
      </c>
    </row>
    <row r="4813" spans="1:19" ht="15.75" hidden="1" thickBot="1" x14ac:dyDescent="0.3">
      <c r="A4813" s="263"/>
      <c r="B4813" s="261"/>
      <c r="C4813" s="35"/>
      <c r="D4813" s="35"/>
      <c r="E4813" s="36"/>
      <c r="F4813" s="30" t="s">
        <v>416</v>
      </c>
      <c r="G4813" s="33" t="str">
        <f t="shared" si="462"/>
        <v/>
      </c>
      <c r="H4813" s="34"/>
      <c r="I4813" s="30"/>
      <c r="J4813" s="152">
        <v>0</v>
      </c>
      <c r="L4813" s="215"/>
      <c r="M4813" s="30"/>
      <c r="N4813" s="33" t="str">
        <f t="shared" si="463"/>
        <v/>
      </c>
      <c r="O4813" s="34"/>
      <c r="P4813" s="36" t="str">
        <f t="shared" si="464"/>
        <v/>
      </c>
      <c r="Q4813" s="216" t="str">
        <f t="shared" si="465"/>
        <v/>
      </c>
      <c r="R4813" s="216" t="str">
        <f t="shared" si="466"/>
        <v/>
      </c>
      <c r="S4813" s="217" t="str">
        <f t="shared" si="467"/>
        <v/>
      </c>
    </row>
    <row r="4814" spans="1:19" ht="15.75" hidden="1" thickBot="1" x14ac:dyDescent="0.3">
      <c r="A4814" s="256" t="s">
        <v>2963</v>
      </c>
      <c r="B4814" s="259" t="str">
        <f>INDEX(Orçamentária!A:B,MATCH(Composições!A4814,Orçamentária!A:A,0),2)</f>
        <v>Batedor/limitador superior para box de correr</v>
      </c>
      <c r="C4814" s="40"/>
      <c r="D4814" s="25" t="s">
        <v>16</v>
      </c>
      <c r="E4814" s="26"/>
      <c r="F4814" s="41" t="s">
        <v>416</v>
      </c>
      <c r="G4814" s="27" t="str">
        <f t="shared" si="462"/>
        <v/>
      </c>
      <c r="H4814" s="28"/>
      <c r="I4814" s="29"/>
      <c r="J4814" s="152">
        <v>0</v>
      </c>
      <c r="L4814" s="218"/>
      <c r="M4814" s="41"/>
      <c r="N4814" s="27" t="str">
        <f t="shared" si="463"/>
        <v/>
      </c>
      <c r="O4814" s="28"/>
      <c r="P4814" s="36" t="str">
        <f t="shared" si="464"/>
        <v/>
      </c>
      <c r="Q4814" s="216" t="str">
        <f t="shared" si="465"/>
        <v/>
      </c>
      <c r="R4814" s="216" t="str">
        <f t="shared" si="466"/>
        <v/>
      </c>
      <c r="S4814" s="217" t="str">
        <f t="shared" si="467"/>
        <v/>
      </c>
    </row>
    <row r="4815" spans="1:19" ht="15.75" hidden="1" thickBot="1" x14ac:dyDescent="0.3">
      <c r="A4815" s="262"/>
      <c r="B4815" s="260"/>
      <c r="C4815" s="31"/>
      <c r="D4815" s="31"/>
      <c r="E4815" s="32"/>
      <c r="F4815" s="42" t="s">
        <v>416</v>
      </c>
      <c r="G4815" s="33" t="str">
        <f t="shared" si="462"/>
        <v/>
      </c>
      <c r="H4815" s="34"/>
      <c r="I4815" s="30"/>
      <c r="J4815" s="152">
        <v>0</v>
      </c>
      <c r="L4815" s="219"/>
      <c r="M4815" s="42"/>
      <c r="N4815" s="33" t="str">
        <f t="shared" si="463"/>
        <v/>
      </c>
      <c r="O4815" s="34"/>
      <c r="P4815" s="36" t="str">
        <f t="shared" si="464"/>
        <v/>
      </c>
      <c r="Q4815" s="216" t="str">
        <f t="shared" si="465"/>
        <v/>
      </c>
      <c r="R4815" s="216" t="str">
        <f t="shared" si="466"/>
        <v/>
      </c>
      <c r="S4815" s="217" t="str">
        <f t="shared" si="467"/>
        <v/>
      </c>
    </row>
    <row r="4816" spans="1:19" ht="15.75" hidden="1" thickBot="1" x14ac:dyDescent="0.3">
      <c r="A4816" s="262"/>
      <c r="B4816" s="260"/>
      <c r="C4816" s="35" t="s">
        <v>2909</v>
      </c>
      <c r="D4816" s="35" t="s">
        <v>583</v>
      </c>
      <c r="E4816" s="36">
        <v>0.15</v>
      </c>
      <c r="F4816" s="33">
        <v>25.060999999999996</v>
      </c>
      <c r="G4816" s="33">
        <f t="shared" si="462"/>
        <v>3.7591499999999991</v>
      </c>
      <c r="H4816" s="38">
        <f>SUM(G4816:G4817)</f>
        <v>3.7591499999999991</v>
      </c>
      <c r="I4816" s="39"/>
      <c r="J4816" s="152">
        <v>0</v>
      </c>
      <c r="L4816" s="215">
        <v>0.15</v>
      </c>
      <c r="M4816" s="33">
        <v>21.452215999999996</v>
      </c>
      <c r="N4816" s="33">
        <f t="shared" si="463"/>
        <v>3.2178323999999994</v>
      </c>
      <c r="O4816" s="38">
        <f>SUM(N4816:N4817)</f>
        <v>3.2178323999999994</v>
      </c>
      <c r="P4816" s="36" t="str">
        <f t="shared" si="464"/>
        <v/>
      </c>
      <c r="Q4816" s="216">
        <f t="shared" si="465"/>
        <v>0.14400000000000002</v>
      </c>
      <c r="R4816" s="216">
        <f t="shared" si="466"/>
        <v>0.14400000000000002</v>
      </c>
      <c r="S4816" s="217">
        <f t="shared" si="467"/>
        <v>0.14400000000000002</v>
      </c>
    </row>
    <row r="4817" spans="1:19" ht="26.25" hidden="1" thickBot="1" x14ac:dyDescent="0.3">
      <c r="A4817" s="262"/>
      <c r="B4817" s="260"/>
      <c r="C4817" s="35" t="s">
        <v>3089</v>
      </c>
      <c r="D4817" s="35" t="s">
        <v>16</v>
      </c>
      <c r="E4817" s="36">
        <v>1</v>
      </c>
      <c r="F4817" s="30" t="s">
        <v>416</v>
      </c>
      <c r="G4817" s="33" t="str">
        <f t="shared" si="462"/>
        <v/>
      </c>
      <c r="H4817" s="34"/>
      <c r="I4817" s="30"/>
      <c r="J4817" s="152">
        <v>0</v>
      </c>
      <c r="L4817" s="215">
        <v>1</v>
      </c>
      <c r="M4817" s="30"/>
      <c r="N4817" s="33" t="str">
        <f t="shared" si="463"/>
        <v/>
      </c>
      <c r="O4817" s="34"/>
      <c r="P4817" s="36" t="str">
        <f t="shared" si="464"/>
        <v/>
      </c>
      <c r="Q4817" s="216" t="str">
        <f t="shared" si="465"/>
        <v/>
      </c>
      <c r="R4817" s="216" t="str">
        <f t="shared" si="466"/>
        <v/>
      </c>
      <c r="S4817" s="217" t="str">
        <f t="shared" si="467"/>
        <v/>
      </c>
    </row>
    <row r="4818" spans="1:19" ht="15.75" hidden="1" thickBot="1" x14ac:dyDescent="0.3">
      <c r="A4818" s="263"/>
      <c r="B4818" s="261"/>
      <c r="C4818" s="35"/>
      <c r="D4818" s="35"/>
      <c r="E4818" s="36"/>
      <c r="F4818" s="30" t="s">
        <v>416</v>
      </c>
      <c r="G4818" s="33" t="str">
        <f t="shared" si="462"/>
        <v/>
      </c>
      <c r="H4818" s="34"/>
      <c r="I4818" s="30"/>
      <c r="J4818" s="152">
        <v>0</v>
      </c>
      <c r="L4818" s="215"/>
      <c r="M4818" s="30"/>
      <c r="N4818" s="33" t="str">
        <f t="shared" si="463"/>
        <v/>
      </c>
      <c r="O4818" s="34"/>
      <c r="P4818" s="36" t="str">
        <f t="shared" si="464"/>
        <v/>
      </c>
      <c r="Q4818" s="216" t="str">
        <f t="shared" si="465"/>
        <v/>
      </c>
      <c r="R4818" s="216" t="str">
        <f t="shared" si="466"/>
        <v/>
      </c>
      <c r="S4818" s="217" t="str">
        <f t="shared" si="467"/>
        <v/>
      </c>
    </row>
    <row r="4819" spans="1:19" ht="15.75" hidden="1" customHeight="1" thickBot="1" x14ac:dyDescent="0.3">
      <c r="A4819" s="256" t="s">
        <v>2964</v>
      </c>
      <c r="B4819" s="259" t="str">
        <f>INDEX(Orçamentária!A:B,MATCH(Composições!A4819,Orçamentária!A:A,0),2)</f>
        <v>Perfil cadeirinha em alumínio com encaixe para escova de vedação para vidro temperado 8 mm</v>
      </c>
      <c r="C4819" s="40"/>
      <c r="D4819" s="25" t="s">
        <v>69</v>
      </c>
      <c r="E4819" s="26"/>
      <c r="F4819" s="41" t="s">
        <v>416</v>
      </c>
      <c r="G4819" s="27" t="str">
        <f t="shared" si="462"/>
        <v/>
      </c>
      <c r="H4819" s="28"/>
      <c r="I4819" s="29"/>
      <c r="J4819" s="152">
        <v>0</v>
      </c>
      <c r="L4819" s="218"/>
      <c r="M4819" s="41"/>
      <c r="N4819" s="27" t="str">
        <f t="shared" si="463"/>
        <v/>
      </c>
      <c r="O4819" s="28"/>
      <c r="P4819" s="36" t="str">
        <f t="shared" si="464"/>
        <v/>
      </c>
      <c r="Q4819" s="216" t="str">
        <f t="shared" si="465"/>
        <v/>
      </c>
      <c r="R4819" s="216" t="str">
        <f t="shared" si="466"/>
        <v/>
      </c>
      <c r="S4819" s="217" t="str">
        <f t="shared" si="467"/>
        <v/>
      </c>
    </row>
    <row r="4820" spans="1:19" ht="15.75" hidden="1" thickBot="1" x14ac:dyDescent="0.3">
      <c r="A4820" s="257"/>
      <c r="B4820" s="260"/>
      <c r="C4820" s="31"/>
      <c r="D4820" s="31"/>
      <c r="E4820" s="32"/>
      <c r="F4820" s="42" t="s">
        <v>416</v>
      </c>
      <c r="G4820" s="33" t="str">
        <f t="shared" si="462"/>
        <v/>
      </c>
      <c r="H4820" s="34"/>
      <c r="I4820" s="30"/>
      <c r="J4820" s="152">
        <v>0</v>
      </c>
      <c r="L4820" s="219"/>
      <c r="M4820" s="42"/>
      <c r="N4820" s="33" t="str">
        <f t="shared" si="463"/>
        <v/>
      </c>
      <c r="O4820" s="34"/>
      <c r="P4820" s="36" t="str">
        <f t="shared" si="464"/>
        <v/>
      </c>
      <c r="Q4820" s="216" t="str">
        <f t="shared" si="465"/>
        <v/>
      </c>
      <c r="R4820" s="216" t="str">
        <f t="shared" si="466"/>
        <v/>
      </c>
      <c r="S4820" s="217" t="str">
        <f t="shared" si="467"/>
        <v/>
      </c>
    </row>
    <row r="4821" spans="1:19" ht="15.75" hidden="1" thickBot="1" x14ac:dyDescent="0.3">
      <c r="A4821" s="257"/>
      <c r="B4821" s="260"/>
      <c r="C4821" s="35" t="s">
        <v>2909</v>
      </c>
      <c r="D4821" s="35" t="s">
        <v>583</v>
      </c>
      <c r="E4821" s="36">
        <v>0.2</v>
      </c>
      <c r="F4821" s="33">
        <v>25.060999999999996</v>
      </c>
      <c r="G4821" s="33">
        <f>IF(ISNUMBER(F4821),E4821*F4821,"")</f>
        <v>5.0122</v>
      </c>
      <c r="H4821" s="38">
        <f>SUM(G4821:G4822)</f>
        <v>9.9342639999999989</v>
      </c>
      <c r="I4821" s="39"/>
      <c r="J4821" s="152">
        <v>0</v>
      </c>
      <c r="L4821" s="215">
        <v>0.2</v>
      </c>
      <c r="M4821" s="33">
        <v>21.452215999999996</v>
      </c>
      <c r="N4821" s="33">
        <f>IF(ISNUMBER(M4821),L4821*M4821,"")</f>
        <v>4.2904431999999995</v>
      </c>
      <c r="O4821" s="38">
        <f>SUM(N4821:N4822)</f>
        <v>8.5037299839999996</v>
      </c>
      <c r="P4821" s="36" t="str">
        <f t="shared" si="464"/>
        <v/>
      </c>
      <c r="Q4821" s="216">
        <f t="shared" si="465"/>
        <v>0.14400000000000002</v>
      </c>
      <c r="R4821" s="216">
        <f t="shared" si="466"/>
        <v>0.14400000000000013</v>
      </c>
      <c r="S4821" s="217">
        <f t="shared" si="467"/>
        <v>0.14399999999999991</v>
      </c>
    </row>
    <row r="4822" spans="1:19" ht="15.75" hidden="1" thickBot="1" x14ac:dyDescent="0.3">
      <c r="A4822" s="257"/>
      <c r="B4822" s="260"/>
      <c r="C4822" s="35" t="s">
        <v>709</v>
      </c>
      <c r="D4822" s="35" t="s">
        <v>773</v>
      </c>
      <c r="E4822" s="36">
        <v>0.126</v>
      </c>
      <c r="F4822" s="30">
        <v>39.063999999999993</v>
      </c>
      <c r="G4822" s="33">
        <f>IF(ISNUMBER(F4822),E4822*F4822,"")</f>
        <v>4.9220639999999989</v>
      </c>
      <c r="H4822" s="34"/>
      <c r="I4822" s="30"/>
      <c r="J4822" s="152">
        <v>0</v>
      </c>
      <c r="L4822" s="215">
        <v>0.126</v>
      </c>
      <c r="M4822" s="30">
        <v>33.438783999999998</v>
      </c>
      <c r="N4822" s="33">
        <f>IF(ISNUMBER(M4822),L4822*M4822,"")</f>
        <v>4.2132867840000001</v>
      </c>
      <c r="O4822" s="34"/>
      <c r="P4822" s="36" t="str">
        <f t="shared" si="464"/>
        <v/>
      </c>
      <c r="Q4822" s="216">
        <f t="shared" si="465"/>
        <v>0.14399999999999991</v>
      </c>
      <c r="R4822" s="216">
        <f t="shared" si="466"/>
        <v>0.14399999999999979</v>
      </c>
      <c r="S4822" s="217" t="str">
        <f t="shared" si="467"/>
        <v/>
      </c>
    </row>
    <row r="4823" spans="1:19" ht="15.75" hidden="1" thickBot="1" x14ac:dyDescent="0.3">
      <c r="A4823" s="257"/>
      <c r="B4823" s="260"/>
      <c r="C4823" s="35"/>
      <c r="D4823" s="35"/>
      <c r="E4823" s="36"/>
      <c r="F4823" s="30" t="s">
        <v>416</v>
      </c>
      <c r="G4823" s="33"/>
      <c r="H4823" s="34"/>
      <c r="I4823" s="30"/>
      <c r="J4823" s="152">
        <v>0</v>
      </c>
      <c r="L4823" s="215"/>
      <c r="M4823" s="30"/>
      <c r="N4823" s="33"/>
      <c r="O4823" s="34"/>
      <c r="P4823" s="36" t="str">
        <f t="shared" si="464"/>
        <v/>
      </c>
      <c r="Q4823" s="216" t="str">
        <f t="shared" si="465"/>
        <v/>
      </c>
      <c r="R4823" s="216" t="str">
        <f t="shared" si="466"/>
        <v/>
      </c>
      <c r="S4823" s="217" t="str">
        <f t="shared" si="467"/>
        <v/>
      </c>
    </row>
    <row r="4824" spans="1:19" ht="15.75" hidden="1" thickBot="1" x14ac:dyDescent="0.3">
      <c r="A4824" s="257"/>
      <c r="B4824" s="260"/>
      <c r="C4824" s="51" t="s">
        <v>3091</v>
      </c>
      <c r="D4824" s="35"/>
      <c r="E4824" s="36"/>
      <c r="F4824" s="30" t="s">
        <v>416</v>
      </c>
      <c r="G4824" s="33"/>
      <c r="H4824" s="34"/>
      <c r="I4824" s="30"/>
      <c r="J4824" s="152">
        <v>0</v>
      </c>
      <c r="L4824" s="215"/>
      <c r="M4824" s="30"/>
      <c r="N4824" s="33"/>
      <c r="O4824" s="34"/>
      <c r="P4824" s="36" t="str">
        <f t="shared" si="464"/>
        <v/>
      </c>
      <c r="Q4824" s="216" t="str">
        <f t="shared" si="465"/>
        <v/>
      </c>
      <c r="R4824" s="216" t="str">
        <f t="shared" si="466"/>
        <v/>
      </c>
      <c r="S4824" s="217" t="str">
        <f t="shared" si="467"/>
        <v/>
      </c>
    </row>
    <row r="4825" spans="1:19" ht="15.75" hidden="1" thickBot="1" x14ac:dyDescent="0.3">
      <c r="A4825" s="257"/>
      <c r="B4825" s="260"/>
      <c r="C4825" s="51" t="s">
        <v>3090</v>
      </c>
      <c r="D4825" s="35"/>
      <c r="E4825" s="36"/>
      <c r="F4825" s="30" t="s">
        <v>416</v>
      </c>
      <c r="G4825" s="33" t="str">
        <f>IF(ISNUMBER(F4825),E4825*F4825,"")</f>
        <v/>
      </c>
      <c r="H4825" s="34"/>
      <c r="I4825" s="30"/>
      <c r="J4825" s="152">
        <v>0</v>
      </c>
      <c r="L4825" s="215"/>
      <c r="M4825" s="30"/>
      <c r="N4825" s="33" t="str">
        <f>IF(ISNUMBER(M4825),L4825*M4825,"")</f>
        <v/>
      </c>
      <c r="O4825" s="34"/>
      <c r="P4825" s="36" t="str">
        <f t="shared" si="464"/>
        <v/>
      </c>
      <c r="Q4825" s="216" t="str">
        <f t="shared" si="465"/>
        <v/>
      </c>
      <c r="R4825" s="216" t="str">
        <f t="shared" si="466"/>
        <v/>
      </c>
      <c r="S4825" s="217" t="str">
        <f t="shared" si="467"/>
        <v/>
      </c>
    </row>
    <row r="4826" spans="1:19" ht="15.75" hidden="1" thickBot="1" x14ac:dyDescent="0.3">
      <c r="A4826" s="258"/>
      <c r="B4826" s="261"/>
      <c r="C4826" s="51"/>
      <c r="D4826" s="35"/>
      <c r="E4826" s="36"/>
      <c r="F4826" s="30" t="s">
        <v>416</v>
      </c>
      <c r="G4826" s="33"/>
      <c r="H4826" s="34"/>
      <c r="I4826" s="30"/>
      <c r="J4826" s="152">
        <v>0</v>
      </c>
      <c r="L4826" s="215"/>
      <c r="M4826" s="30"/>
      <c r="N4826" s="33"/>
      <c r="O4826" s="34"/>
      <c r="P4826" s="36" t="str">
        <f t="shared" si="464"/>
        <v/>
      </c>
      <c r="Q4826" s="216" t="str">
        <f t="shared" si="465"/>
        <v/>
      </c>
      <c r="R4826" s="216" t="str">
        <f t="shared" si="466"/>
        <v/>
      </c>
      <c r="S4826" s="217" t="str">
        <f t="shared" si="467"/>
        <v/>
      </c>
    </row>
    <row r="4827" spans="1:19" ht="15.75" hidden="1" thickBot="1" x14ac:dyDescent="0.3">
      <c r="A4827" s="256" t="s">
        <v>2965</v>
      </c>
      <c r="B4827" s="259" t="str">
        <f>INDEX(Orçamentária!A:B,MATCH(Composições!A4827,Orçamentária!A:A,0),2)</f>
        <v>Perfil em alumínio para acabamento de trilho superior - Vidro temperado 8 mm</v>
      </c>
      <c r="C4827" s="40"/>
      <c r="D4827" s="25" t="s">
        <v>69</v>
      </c>
      <c r="E4827" s="26"/>
      <c r="F4827" s="41" t="s">
        <v>416</v>
      </c>
      <c r="G4827" s="27" t="str">
        <f>IF(ISNUMBER(F4827),E4827*F4827,"")</f>
        <v/>
      </c>
      <c r="H4827" s="28"/>
      <c r="I4827" s="29"/>
      <c r="J4827" s="152">
        <v>0</v>
      </c>
      <c r="L4827" s="218"/>
      <c r="M4827" s="41"/>
      <c r="N4827" s="27" t="str">
        <f>IF(ISNUMBER(M4827),L4827*M4827,"")</f>
        <v/>
      </c>
      <c r="O4827" s="28"/>
      <c r="P4827" s="36" t="str">
        <f t="shared" si="464"/>
        <v/>
      </c>
      <c r="Q4827" s="216" t="str">
        <f t="shared" si="465"/>
        <v/>
      </c>
      <c r="R4827" s="216" t="str">
        <f t="shared" si="466"/>
        <v/>
      </c>
      <c r="S4827" s="217" t="str">
        <f t="shared" si="467"/>
        <v/>
      </c>
    </row>
    <row r="4828" spans="1:19" ht="15.75" hidden="1" thickBot="1" x14ac:dyDescent="0.3">
      <c r="A4828" s="262"/>
      <c r="B4828" s="260"/>
      <c r="C4828" s="31"/>
      <c r="D4828" s="31"/>
      <c r="E4828" s="32"/>
      <c r="F4828" s="42" t="s">
        <v>416</v>
      </c>
      <c r="G4828" s="33" t="str">
        <f>IF(ISNUMBER(F4828),E4828*F4828,"")</f>
        <v/>
      </c>
      <c r="H4828" s="34"/>
      <c r="I4828" s="30"/>
      <c r="J4828" s="152">
        <v>0</v>
      </c>
      <c r="L4828" s="219"/>
      <c r="M4828" s="42"/>
      <c r="N4828" s="33" t="str">
        <f>IF(ISNUMBER(M4828),L4828*M4828,"")</f>
        <v/>
      </c>
      <c r="O4828" s="34"/>
      <c r="P4828" s="36" t="str">
        <f t="shared" si="464"/>
        <v/>
      </c>
      <c r="Q4828" s="216" t="str">
        <f t="shared" si="465"/>
        <v/>
      </c>
      <c r="R4828" s="216" t="str">
        <f t="shared" si="466"/>
        <v/>
      </c>
      <c r="S4828" s="217" t="str">
        <f t="shared" si="467"/>
        <v/>
      </c>
    </row>
    <row r="4829" spans="1:19" ht="15.75" hidden="1" thickBot="1" x14ac:dyDescent="0.3">
      <c r="A4829" s="262"/>
      <c r="B4829" s="260"/>
      <c r="C4829" s="35" t="s">
        <v>2909</v>
      </c>
      <c r="D4829" s="35" t="s">
        <v>583</v>
      </c>
      <c r="E4829" s="36">
        <v>0.2</v>
      </c>
      <c r="F4829" s="33">
        <v>25.060999999999996</v>
      </c>
      <c r="G4829" s="33">
        <f>IF(ISNUMBER(F4829),E4829*F4829,"")</f>
        <v>5.0122</v>
      </c>
      <c r="H4829" s="38">
        <f>SUM(G4829:G4830)</f>
        <v>13.801599999999999</v>
      </c>
      <c r="I4829" s="39"/>
      <c r="J4829" s="152">
        <v>0</v>
      </c>
      <c r="L4829" s="215">
        <v>0.2</v>
      </c>
      <c r="M4829" s="33">
        <v>21.452215999999996</v>
      </c>
      <c r="N4829" s="33">
        <f>IF(ISNUMBER(M4829),L4829*M4829,"")</f>
        <v>4.2904431999999995</v>
      </c>
      <c r="O4829" s="38">
        <f>SUM(N4829:N4830)</f>
        <v>11.8141696</v>
      </c>
      <c r="P4829" s="36" t="str">
        <f t="shared" si="464"/>
        <v/>
      </c>
      <c r="Q4829" s="216">
        <f t="shared" si="465"/>
        <v>0.14400000000000002</v>
      </c>
      <c r="R4829" s="216">
        <f t="shared" si="466"/>
        <v>0.14400000000000013</v>
      </c>
      <c r="S4829" s="217">
        <f t="shared" si="467"/>
        <v>0.14399999999999991</v>
      </c>
    </row>
    <row r="4830" spans="1:19" ht="15.75" hidden="1" thickBot="1" x14ac:dyDescent="0.3">
      <c r="A4830" s="262"/>
      <c r="B4830" s="260"/>
      <c r="C4830" s="35" t="s">
        <v>709</v>
      </c>
      <c r="D4830" s="35" t="s">
        <v>773</v>
      </c>
      <c r="E4830" s="36">
        <v>0.22500000000000001</v>
      </c>
      <c r="F4830" s="30">
        <v>39.063999999999993</v>
      </c>
      <c r="G4830" s="33">
        <f>IF(ISNUMBER(F4830),E4830*F4830,"")</f>
        <v>8.7893999999999988</v>
      </c>
      <c r="H4830" s="34"/>
      <c r="I4830" s="30"/>
      <c r="J4830" s="152">
        <v>0</v>
      </c>
      <c r="L4830" s="215">
        <v>0.22500000000000001</v>
      </c>
      <c r="M4830" s="30">
        <v>33.438783999999998</v>
      </c>
      <c r="N4830" s="33">
        <f>IF(ISNUMBER(M4830),L4830*M4830,"")</f>
        <v>7.5237264000000001</v>
      </c>
      <c r="O4830" s="34"/>
      <c r="P4830" s="36" t="str">
        <f t="shared" si="464"/>
        <v/>
      </c>
      <c r="Q4830" s="216">
        <f t="shared" si="465"/>
        <v>0.14399999999999991</v>
      </c>
      <c r="R4830" s="216">
        <f t="shared" si="466"/>
        <v>0.14399999999999991</v>
      </c>
      <c r="S4830" s="217" t="str">
        <f t="shared" si="467"/>
        <v/>
      </c>
    </row>
    <row r="4831" spans="1:19" ht="15.75" hidden="1" thickBot="1" x14ac:dyDescent="0.3">
      <c r="A4831" s="262"/>
      <c r="B4831" s="260"/>
      <c r="C4831" s="35"/>
      <c r="D4831" s="35"/>
      <c r="E4831" s="36"/>
      <c r="F4831" s="30" t="s">
        <v>416</v>
      </c>
      <c r="G4831" s="33"/>
      <c r="H4831" s="34"/>
      <c r="I4831" s="30"/>
      <c r="J4831" s="152">
        <v>0</v>
      </c>
      <c r="L4831" s="215"/>
      <c r="M4831" s="30"/>
      <c r="N4831" s="33"/>
      <c r="O4831" s="34"/>
      <c r="P4831" s="36" t="str">
        <f t="shared" si="464"/>
        <v/>
      </c>
      <c r="Q4831" s="216" t="str">
        <f t="shared" si="465"/>
        <v/>
      </c>
      <c r="R4831" s="216" t="str">
        <f t="shared" si="466"/>
        <v/>
      </c>
      <c r="S4831" s="217" t="str">
        <f t="shared" si="467"/>
        <v/>
      </c>
    </row>
    <row r="4832" spans="1:19" ht="15.75" hidden="1" thickBot="1" x14ac:dyDescent="0.3">
      <c r="A4832" s="262"/>
      <c r="B4832" s="260"/>
      <c r="C4832" s="51" t="s">
        <v>3092</v>
      </c>
      <c r="D4832" s="35"/>
      <c r="E4832" s="36"/>
      <c r="F4832" s="30" t="s">
        <v>416</v>
      </c>
      <c r="G4832" s="33"/>
      <c r="H4832" s="34"/>
      <c r="I4832" s="30"/>
      <c r="J4832" s="152">
        <v>0</v>
      </c>
      <c r="L4832" s="215"/>
      <c r="M4832" s="30"/>
      <c r="N4832" s="33"/>
      <c r="O4832" s="34"/>
      <c r="P4832" s="36" t="str">
        <f t="shared" si="464"/>
        <v/>
      </c>
      <c r="Q4832" s="216" t="str">
        <f t="shared" si="465"/>
        <v/>
      </c>
      <c r="R4832" s="216" t="str">
        <f t="shared" si="466"/>
        <v/>
      </c>
      <c r="S4832" s="217" t="str">
        <f t="shared" si="467"/>
        <v/>
      </c>
    </row>
    <row r="4833" spans="1:19" ht="15.75" hidden="1" thickBot="1" x14ac:dyDescent="0.3">
      <c r="A4833" s="262"/>
      <c r="B4833" s="260"/>
      <c r="C4833" s="51" t="s">
        <v>3090</v>
      </c>
      <c r="D4833" s="35"/>
      <c r="E4833" s="36"/>
      <c r="F4833" s="30" t="s">
        <v>416</v>
      </c>
      <c r="G4833" s="33"/>
      <c r="H4833" s="34"/>
      <c r="I4833" s="30"/>
      <c r="J4833" s="152">
        <v>0</v>
      </c>
      <c r="L4833" s="215"/>
      <c r="M4833" s="30"/>
      <c r="N4833" s="33"/>
      <c r="O4833" s="34"/>
      <c r="P4833" s="36" t="str">
        <f t="shared" si="464"/>
        <v/>
      </c>
      <c r="Q4833" s="216" t="str">
        <f t="shared" si="465"/>
        <v/>
      </c>
      <c r="R4833" s="216" t="str">
        <f t="shared" si="466"/>
        <v/>
      </c>
      <c r="S4833" s="217" t="str">
        <f t="shared" si="467"/>
        <v/>
      </c>
    </row>
    <row r="4834" spans="1:19" ht="15.75" hidden="1" thickBot="1" x14ac:dyDescent="0.3">
      <c r="A4834" s="263"/>
      <c r="B4834" s="261"/>
      <c r="C4834" s="35"/>
      <c r="D4834" s="35"/>
      <c r="E4834" s="36"/>
      <c r="F4834" s="30" t="s">
        <v>416</v>
      </c>
      <c r="G4834" s="33" t="str">
        <f>IF(ISNUMBER(F4834),E4834*F4834,"")</f>
        <v/>
      </c>
      <c r="H4834" s="34"/>
      <c r="I4834" s="30"/>
      <c r="J4834" s="152">
        <v>0</v>
      </c>
      <c r="L4834" s="215"/>
      <c r="M4834" s="30"/>
      <c r="N4834" s="33" t="str">
        <f>IF(ISNUMBER(M4834),L4834*M4834,"")</f>
        <v/>
      </c>
      <c r="O4834" s="34"/>
      <c r="P4834" s="36" t="str">
        <f t="shared" si="464"/>
        <v/>
      </c>
      <c r="Q4834" s="216" t="str">
        <f t="shared" si="465"/>
        <v/>
      </c>
      <c r="R4834" s="216" t="str">
        <f t="shared" si="466"/>
        <v/>
      </c>
      <c r="S4834" s="217" t="str">
        <f t="shared" si="467"/>
        <v/>
      </c>
    </row>
    <row r="4835" spans="1:19" ht="15.75" hidden="1" thickBot="1" x14ac:dyDescent="0.3">
      <c r="A4835" s="256" t="s">
        <v>2966</v>
      </c>
      <c r="B4835" s="259" t="str">
        <f>INDEX(Orçamentária!A:B,MATCH(Composições!A4835,Orçamentária!A:A,0),2)</f>
        <v>Capa do Perfil Guia Inferior “Click” - Vidro temperado 8 mm</v>
      </c>
      <c r="C4835" s="40"/>
      <c r="D4835" s="25" t="s">
        <v>69</v>
      </c>
      <c r="E4835" s="26"/>
      <c r="F4835" s="41" t="s">
        <v>416</v>
      </c>
      <c r="G4835" s="27" t="str">
        <f>IF(ISNUMBER(F4835),E4835*F4835,"")</f>
        <v/>
      </c>
      <c r="H4835" s="28"/>
      <c r="I4835" s="29"/>
      <c r="J4835" s="152">
        <v>0</v>
      </c>
      <c r="L4835" s="218"/>
      <c r="M4835" s="41"/>
      <c r="N4835" s="27" t="str">
        <f>IF(ISNUMBER(M4835),L4835*M4835,"")</f>
        <v/>
      </c>
      <c r="O4835" s="28"/>
      <c r="P4835" s="36" t="str">
        <f t="shared" si="464"/>
        <v/>
      </c>
      <c r="Q4835" s="216" t="str">
        <f t="shared" si="465"/>
        <v/>
      </c>
      <c r="R4835" s="216" t="str">
        <f t="shared" si="466"/>
        <v/>
      </c>
      <c r="S4835" s="217" t="str">
        <f t="shared" si="467"/>
        <v/>
      </c>
    </row>
    <row r="4836" spans="1:19" ht="15.75" hidden="1" thickBot="1" x14ac:dyDescent="0.3">
      <c r="A4836" s="262"/>
      <c r="B4836" s="260"/>
      <c r="C4836" s="31"/>
      <c r="D4836" s="31"/>
      <c r="E4836" s="32"/>
      <c r="F4836" s="42" t="s">
        <v>416</v>
      </c>
      <c r="G4836" s="33" t="str">
        <f>IF(ISNUMBER(F4836),E4836*F4836,"")</f>
        <v/>
      </c>
      <c r="H4836" s="34"/>
      <c r="I4836" s="30"/>
      <c r="J4836" s="152">
        <v>0</v>
      </c>
      <c r="L4836" s="219"/>
      <c r="M4836" s="42"/>
      <c r="N4836" s="33" t="str">
        <f>IF(ISNUMBER(M4836),L4836*M4836,"")</f>
        <v/>
      </c>
      <c r="O4836" s="34"/>
      <c r="P4836" s="36" t="str">
        <f t="shared" si="464"/>
        <v/>
      </c>
      <c r="Q4836" s="216" t="str">
        <f t="shared" si="465"/>
        <v/>
      </c>
      <c r="R4836" s="216" t="str">
        <f t="shared" si="466"/>
        <v/>
      </c>
      <c r="S4836" s="217" t="str">
        <f t="shared" si="467"/>
        <v/>
      </c>
    </row>
    <row r="4837" spans="1:19" ht="15.75" hidden="1" thickBot="1" x14ac:dyDescent="0.3">
      <c r="A4837" s="262"/>
      <c r="B4837" s="260"/>
      <c r="C4837" s="35" t="s">
        <v>2909</v>
      </c>
      <c r="D4837" s="35" t="s">
        <v>583</v>
      </c>
      <c r="E4837" s="36">
        <v>0.15</v>
      </c>
      <c r="F4837" s="33">
        <v>25.060999999999996</v>
      </c>
      <c r="G4837" s="33">
        <f>IF(ISNUMBER(F4837),E4837*F4837,"")</f>
        <v>3.7591499999999991</v>
      </c>
      <c r="H4837" s="38">
        <f>SUM(G4837:G4838)</f>
        <v>5.9076699999999986</v>
      </c>
      <c r="I4837" s="39"/>
      <c r="J4837" s="152">
        <v>0</v>
      </c>
      <c r="L4837" s="215">
        <v>0.15</v>
      </c>
      <c r="M4837" s="33">
        <v>21.452215999999996</v>
      </c>
      <c r="N4837" s="33">
        <f>IF(ISNUMBER(M4837),L4837*M4837,"")</f>
        <v>3.2178323999999994</v>
      </c>
      <c r="O4837" s="38">
        <f>SUM(N4837:N4838)</f>
        <v>5.0569655199999994</v>
      </c>
      <c r="P4837" s="36" t="str">
        <f t="shared" si="464"/>
        <v/>
      </c>
      <c r="Q4837" s="216">
        <f t="shared" si="465"/>
        <v>0.14400000000000002</v>
      </c>
      <c r="R4837" s="216">
        <f t="shared" si="466"/>
        <v>0.14400000000000002</v>
      </c>
      <c r="S4837" s="217">
        <f t="shared" si="467"/>
        <v>0.14399999999999991</v>
      </c>
    </row>
    <row r="4838" spans="1:19" ht="15.75" hidden="1" thickBot="1" x14ac:dyDescent="0.3">
      <c r="A4838" s="262"/>
      <c r="B4838" s="260"/>
      <c r="C4838" s="35" t="s">
        <v>709</v>
      </c>
      <c r="D4838" s="35" t="s">
        <v>773</v>
      </c>
      <c r="E4838" s="36">
        <v>5.5E-2</v>
      </c>
      <c r="F4838" s="30">
        <v>39.063999999999993</v>
      </c>
      <c r="G4838" s="33">
        <f>IF(ISNUMBER(F4838),E4838*F4838,"")</f>
        <v>2.1485199999999995</v>
      </c>
      <c r="H4838" s="34"/>
      <c r="I4838" s="30"/>
      <c r="J4838" s="152">
        <v>0</v>
      </c>
      <c r="L4838" s="215">
        <v>5.5E-2</v>
      </c>
      <c r="M4838" s="30">
        <v>33.438783999999998</v>
      </c>
      <c r="N4838" s="33">
        <f>IF(ISNUMBER(M4838),L4838*M4838,"")</f>
        <v>1.8391331199999998</v>
      </c>
      <c r="O4838" s="34"/>
      <c r="P4838" s="36" t="str">
        <f t="shared" si="464"/>
        <v/>
      </c>
      <c r="Q4838" s="216">
        <f t="shared" si="465"/>
        <v>0.14399999999999991</v>
      </c>
      <c r="R4838" s="216">
        <f t="shared" si="466"/>
        <v>0.14399999999999991</v>
      </c>
      <c r="S4838" s="217" t="str">
        <f t="shared" si="467"/>
        <v/>
      </c>
    </row>
    <row r="4839" spans="1:19" ht="15.75" hidden="1" thickBot="1" x14ac:dyDescent="0.3">
      <c r="A4839" s="262"/>
      <c r="B4839" s="260"/>
      <c r="C4839" s="35"/>
      <c r="D4839" s="35"/>
      <c r="E4839" s="36"/>
      <c r="F4839" s="30" t="s">
        <v>416</v>
      </c>
      <c r="G4839" s="33"/>
      <c r="H4839" s="34"/>
      <c r="I4839" s="30"/>
      <c r="J4839" s="152">
        <v>0</v>
      </c>
      <c r="L4839" s="215"/>
      <c r="M4839" s="30"/>
      <c r="N4839" s="33"/>
      <c r="O4839" s="34"/>
      <c r="P4839" s="36" t="str">
        <f t="shared" si="464"/>
        <v/>
      </c>
      <c r="Q4839" s="216" t="str">
        <f t="shared" si="465"/>
        <v/>
      </c>
      <c r="R4839" s="216" t="str">
        <f t="shared" si="466"/>
        <v/>
      </c>
      <c r="S4839" s="217" t="str">
        <f t="shared" si="467"/>
        <v/>
      </c>
    </row>
    <row r="4840" spans="1:19" ht="15.75" hidden="1" thickBot="1" x14ac:dyDescent="0.3">
      <c r="A4840" s="262"/>
      <c r="B4840" s="260"/>
      <c r="C4840" s="51" t="s">
        <v>3093</v>
      </c>
      <c r="D4840" s="35"/>
      <c r="E4840" s="36"/>
      <c r="F4840" s="30" t="s">
        <v>416</v>
      </c>
      <c r="G4840" s="33"/>
      <c r="H4840" s="34"/>
      <c r="I4840" s="30"/>
      <c r="J4840" s="152">
        <v>0</v>
      </c>
      <c r="L4840" s="215"/>
      <c r="M4840" s="30"/>
      <c r="N4840" s="33"/>
      <c r="O4840" s="34"/>
      <c r="P4840" s="36" t="str">
        <f t="shared" si="464"/>
        <v/>
      </c>
      <c r="Q4840" s="216" t="str">
        <f t="shared" si="465"/>
        <v/>
      </c>
      <c r="R4840" s="216" t="str">
        <f t="shared" si="466"/>
        <v/>
      </c>
      <c r="S4840" s="217" t="str">
        <f t="shared" si="467"/>
        <v/>
      </c>
    </row>
    <row r="4841" spans="1:19" ht="15.75" hidden="1" thickBot="1" x14ac:dyDescent="0.3">
      <c r="A4841" s="262"/>
      <c r="B4841" s="260"/>
      <c r="C4841" s="51" t="s">
        <v>3090</v>
      </c>
      <c r="D4841" s="35"/>
      <c r="E4841" s="36"/>
      <c r="F4841" s="30" t="s">
        <v>416</v>
      </c>
      <c r="G4841" s="33"/>
      <c r="H4841" s="34"/>
      <c r="I4841" s="30"/>
      <c r="J4841" s="152">
        <v>0</v>
      </c>
      <c r="L4841" s="215"/>
      <c r="M4841" s="30"/>
      <c r="N4841" s="33"/>
      <c r="O4841" s="34"/>
      <c r="P4841" s="36" t="str">
        <f t="shared" si="464"/>
        <v/>
      </c>
      <c r="Q4841" s="216" t="str">
        <f t="shared" si="465"/>
        <v/>
      </c>
      <c r="R4841" s="216" t="str">
        <f t="shared" si="466"/>
        <v/>
      </c>
      <c r="S4841" s="217" t="str">
        <f t="shared" si="467"/>
        <v/>
      </c>
    </row>
    <row r="4842" spans="1:19" ht="15.75" hidden="1" thickBot="1" x14ac:dyDescent="0.3">
      <c r="A4842" s="263"/>
      <c r="B4842" s="261"/>
      <c r="C4842" s="35"/>
      <c r="D4842" s="35"/>
      <c r="E4842" s="36"/>
      <c r="F4842" s="30" t="s">
        <v>416</v>
      </c>
      <c r="G4842" s="33" t="str">
        <f>IF(ISNUMBER(F4842),E4842*F4842,"")</f>
        <v/>
      </c>
      <c r="H4842" s="34"/>
      <c r="I4842" s="30"/>
      <c r="J4842" s="152">
        <v>0</v>
      </c>
      <c r="L4842" s="215"/>
      <c r="M4842" s="30"/>
      <c r="N4842" s="33" t="str">
        <f>IF(ISNUMBER(M4842),L4842*M4842,"")</f>
        <v/>
      </c>
      <c r="O4842" s="34"/>
      <c r="P4842" s="36" t="str">
        <f t="shared" si="464"/>
        <v/>
      </c>
      <c r="Q4842" s="216" t="str">
        <f t="shared" si="465"/>
        <v/>
      </c>
      <c r="R4842" s="216" t="str">
        <f t="shared" si="466"/>
        <v/>
      </c>
      <c r="S4842" s="217" t="str">
        <f t="shared" si="467"/>
        <v/>
      </c>
    </row>
    <row r="4843" spans="1:19" ht="15.75" hidden="1" thickBot="1" x14ac:dyDescent="0.3">
      <c r="A4843" s="256" t="s">
        <v>2967</v>
      </c>
      <c r="B4843" s="259" t="str">
        <f>INDEX(Orçamentária!A:B,MATCH(Composições!A4843,Orçamentária!A:A,0),2)</f>
        <v>Perfil guia inferior de alumínio para porta de giro em vidro temperado 8 mm</v>
      </c>
      <c r="C4843" s="40"/>
      <c r="D4843" s="25" t="s">
        <v>69</v>
      </c>
      <c r="E4843" s="26"/>
      <c r="F4843" s="41" t="s">
        <v>416</v>
      </c>
      <c r="G4843" s="27" t="str">
        <f>IF(ISNUMBER(F4843),E4843*F4843,"")</f>
        <v/>
      </c>
      <c r="H4843" s="28"/>
      <c r="I4843" s="29"/>
      <c r="J4843" s="152">
        <v>0</v>
      </c>
      <c r="L4843" s="218"/>
      <c r="M4843" s="41"/>
      <c r="N4843" s="27" t="str">
        <f>IF(ISNUMBER(M4843),L4843*M4843,"")</f>
        <v/>
      </c>
      <c r="O4843" s="28"/>
      <c r="P4843" s="36" t="str">
        <f t="shared" si="464"/>
        <v/>
      </c>
      <c r="Q4843" s="216" t="str">
        <f t="shared" si="465"/>
        <v/>
      </c>
      <c r="R4843" s="216" t="str">
        <f t="shared" si="466"/>
        <v/>
      </c>
      <c r="S4843" s="217" t="str">
        <f t="shared" si="467"/>
        <v/>
      </c>
    </row>
    <row r="4844" spans="1:19" ht="15.75" hidden="1" thickBot="1" x14ac:dyDescent="0.3">
      <c r="A4844" s="262"/>
      <c r="B4844" s="260"/>
      <c r="C4844" s="31"/>
      <c r="D4844" s="31"/>
      <c r="E4844" s="32"/>
      <c r="F4844" s="42" t="s">
        <v>416</v>
      </c>
      <c r="G4844" s="33" t="str">
        <f>IF(ISNUMBER(F4844),E4844*F4844,"")</f>
        <v/>
      </c>
      <c r="H4844" s="34"/>
      <c r="I4844" s="30"/>
      <c r="J4844" s="152">
        <v>0</v>
      </c>
      <c r="L4844" s="219"/>
      <c r="M4844" s="42"/>
      <c r="N4844" s="33" t="str">
        <f>IF(ISNUMBER(M4844),L4844*M4844,"")</f>
        <v/>
      </c>
      <c r="O4844" s="34"/>
      <c r="P4844" s="36" t="str">
        <f t="shared" si="464"/>
        <v/>
      </c>
      <c r="Q4844" s="216" t="str">
        <f t="shared" si="465"/>
        <v/>
      </c>
      <c r="R4844" s="216" t="str">
        <f t="shared" si="466"/>
        <v/>
      </c>
      <c r="S4844" s="217" t="str">
        <f t="shared" si="467"/>
        <v/>
      </c>
    </row>
    <row r="4845" spans="1:19" ht="15.75" hidden="1" thickBot="1" x14ac:dyDescent="0.3">
      <c r="A4845" s="262"/>
      <c r="B4845" s="260"/>
      <c r="C4845" s="35" t="s">
        <v>2909</v>
      </c>
      <c r="D4845" s="35" t="s">
        <v>583</v>
      </c>
      <c r="E4845" s="36">
        <v>0.3</v>
      </c>
      <c r="F4845" s="33">
        <v>25.060999999999996</v>
      </c>
      <c r="G4845" s="33">
        <f>IF(ISNUMBER(F4845),E4845*F4845,"")</f>
        <v>7.5182999999999982</v>
      </c>
      <c r="H4845" s="38">
        <f>SUM(G4845:G4846)</f>
        <v>15.643611999999996</v>
      </c>
      <c r="I4845" s="39"/>
      <c r="J4845" s="152">
        <v>0</v>
      </c>
      <c r="L4845" s="215">
        <v>0.3</v>
      </c>
      <c r="M4845" s="33">
        <v>21.452215999999996</v>
      </c>
      <c r="N4845" s="33">
        <f>IF(ISNUMBER(M4845),L4845*M4845,"")</f>
        <v>6.4356647999999987</v>
      </c>
      <c r="O4845" s="38">
        <f>SUM(N4845:N4846)</f>
        <v>13.390931871999998</v>
      </c>
      <c r="P4845" s="36" t="str">
        <f t="shared" si="464"/>
        <v/>
      </c>
      <c r="Q4845" s="216">
        <f t="shared" si="465"/>
        <v>0.14400000000000002</v>
      </c>
      <c r="R4845" s="216">
        <f t="shared" si="466"/>
        <v>0.14400000000000002</v>
      </c>
      <c r="S4845" s="217">
        <f t="shared" si="467"/>
        <v>0.14399999999999991</v>
      </c>
    </row>
    <row r="4846" spans="1:19" ht="15.75" hidden="1" thickBot="1" x14ac:dyDescent="0.3">
      <c r="A4846" s="262"/>
      <c r="B4846" s="260"/>
      <c r="C4846" s="35" t="s">
        <v>709</v>
      </c>
      <c r="D4846" s="35" t="s">
        <v>773</v>
      </c>
      <c r="E4846" s="36">
        <v>0.20799999999999999</v>
      </c>
      <c r="F4846" s="30">
        <v>39.063999999999993</v>
      </c>
      <c r="G4846" s="33">
        <f>IF(ISNUMBER(F4846),E4846*F4846,"")</f>
        <v>8.1253119999999974</v>
      </c>
      <c r="H4846" s="34"/>
      <c r="I4846" s="30"/>
      <c r="J4846" s="152">
        <v>0</v>
      </c>
      <c r="L4846" s="215">
        <v>0.20799999999999999</v>
      </c>
      <c r="M4846" s="30">
        <v>33.438783999999998</v>
      </c>
      <c r="N4846" s="33">
        <f>IF(ISNUMBER(M4846),L4846*M4846,"")</f>
        <v>6.9552670719999989</v>
      </c>
      <c r="O4846" s="34"/>
      <c r="P4846" s="36" t="str">
        <f t="shared" si="464"/>
        <v/>
      </c>
      <c r="Q4846" s="216">
        <f t="shared" si="465"/>
        <v>0.14399999999999991</v>
      </c>
      <c r="R4846" s="216">
        <f t="shared" si="466"/>
        <v>0.14399999999999991</v>
      </c>
      <c r="S4846" s="217" t="str">
        <f t="shared" si="467"/>
        <v/>
      </c>
    </row>
    <row r="4847" spans="1:19" ht="15.75" hidden="1" thickBot="1" x14ac:dyDescent="0.3">
      <c r="A4847" s="262"/>
      <c r="B4847" s="260"/>
      <c r="C4847" s="35"/>
      <c r="D4847" s="35"/>
      <c r="E4847" s="36"/>
      <c r="F4847" s="30" t="s">
        <v>416</v>
      </c>
      <c r="G4847" s="33"/>
      <c r="H4847" s="34"/>
      <c r="I4847" s="30"/>
      <c r="J4847" s="152">
        <v>0</v>
      </c>
      <c r="L4847" s="215"/>
      <c r="M4847" s="30"/>
      <c r="N4847" s="33"/>
      <c r="O4847" s="34"/>
      <c r="P4847" s="36" t="str">
        <f t="shared" si="464"/>
        <v/>
      </c>
      <c r="Q4847" s="216" t="str">
        <f t="shared" si="465"/>
        <v/>
      </c>
      <c r="R4847" s="216" t="str">
        <f t="shared" si="466"/>
        <v/>
      </c>
      <c r="S4847" s="217" t="str">
        <f t="shared" si="467"/>
        <v/>
      </c>
    </row>
    <row r="4848" spans="1:19" ht="15.75" hidden="1" thickBot="1" x14ac:dyDescent="0.3">
      <c r="A4848" s="262"/>
      <c r="B4848" s="260"/>
      <c r="C4848" s="51" t="s">
        <v>3094</v>
      </c>
      <c r="D4848" s="35"/>
      <c r="E4848" s="36"/>
      <c r="F4848" s="30" t="s">
        <v>416</v>
      </c>
      <c r="G4848" s="33"/>
      <c r="H4848" s="34"/>
      <c r="I4848" s="30"/>
      <c r="J4848" s="152">
        <v>0</v>
      </c>
      <c r="L4848" s="215"/>
      <c r="M4848" s="30"/>
      <c r="N4848" s="33"/>
      <c r="O4848" s="34"/>
      <c r="P4848" s="36" t="str">
        <f t="shared" si="464"/>
        <v/>
      </c>
      <c r="Q4848" s="216" t="str">
        <f t="shared" si="465"/>
        <v/>
      </c>
      <c r="R4848" s="216" t="str">
        <f t="shared" si="466"/>
        <v/>
      </c>
      <c r="S4848" s="217" t="str">
        <f t="shared" si="467"/>
        <v/>
      </c>
    </row>
    <row r="4849" spans="1:19" ht="15.75" hidden="1" thickBot="1" x14ac:dyDescent="0.3">
      <c r="A4849" s="262"/>
      <c r="B4849" s="260"/>
      <c r="C4849" s="51" t="s">
        <v>3090</v>
      </c>
      <c r="D4849" s="35"/>
      <c r="E4849" s="36"/>
      <c r="F4849" s="30" t="s">
        <v>416</v>
      </c>
      <c r="G4849" s="33"/>
      <c r="H4849" s="34"/>
      <c r="I4849" s="30"/>
      <c r="J4849" s="152">
        <v>0</v>
      </c>
      <c r="L4849" s="215"/>
      <c r="M4849" s="30"/>
      <c r="N4849" s="33"/>
      <c r="O4849" s="34"/>
      <c r="P4849" s="36" t="str">
        <f t="shared" si="464"/>
        <v/>
      </c>
      <c r="Q4849" s="216" t="str">
        <f t="shared" si="465"/>
        <v/>
      </c>
      <c r="R4849" s="216" t="str">
        <f t="shared" si="466"/>
        <v/>
      </c>
      <c r="S4849" s="217" t="str">
        <f t="shared" si="467"/>
        <v/>
      </c>
    </row>
    <row r="4850" spans="1:19" ht="15.75" hidden="1" thickBot="1" x14ac:dyDescent="0.3">
      <c r="A4850" s="263"/>
      <c r="B4850" s="261"/>
      <c r="C4850" s="35"/>
      <c r="D4850" s="35"/>
      <c r="E4850" s="36"/>
      <c r="F4850" s="30" t="s">
        <v>416</v>
      </c>
      <c r="G4850" s="33" t="str">
        <f>IF(ISNUMBER(F4850),E4850*F4850,"")</f>
        <v/>
      </c>
      <c r="H4850" s="34"/>
      <c r="I4850" s="30"/>
      <c r="J4850" s="152">
        <v>0</v>
      </c>
      <c r="L4850" s="215"/>
      <c r="M4850" s="30"/>
      <c r="N4850" s="33" t="str">
        <f>IF(ISNUMBER(M4850),L4850*M4850,"")</f>
        <v/>
      </c>
      <c r="O4850" s="34"/>
      <c r="P4850" s="36" t="str">
        <f t="shared" si="464"/>
        <v/>
      </c>
      <c r="Q4850" s="216" t="str">
        <f t="shared" si="465"/>
        <v/>
      </c>
      <c r="R4850" s="216" t="str">
        <f t="shared" si="466"/>
        <v/>
      </c>
      <c r="S4850" s="217" t="str">
        <f t="shared" si="467"/>
        <v/>
      </c>
    </row>
    <row r="4851" spans="1:19" ht="15.75" hidden="1" thickBot="1" x14ac:dyDescent="0.3">
      <c r="A4851" s="256" t="s">
        <v>2968</v>
      </c>
      <c r="B4851" s="259" t="str">
        <f>INDEX(Orçamentária!A:B,MATCH(Composições!A4851,Orçamentária!A:A,0),2)</f>
        <v>Perfil guia inferior de alumínio para porta de correr em vidro temperado 8 mm</v>
      </c>
      <c r="C4851" s="40"/>
      <c r="D4851" s="25" t="s">
        <v>69</v>
      </c>
      <c r="E4851" s="26"/>
      <c r="F4851" s="41" t="s">
        <v>416</v>
      </c>
      <c r="G4851" s="27" t="str">
        <f>IF(ISNUMBER(F4851),E4851*F4851,"")</f>
        <v/>
      </c>
      <c r="H4851" s="28"/>
      <c r="I4851" s="29"/>
      <c r="J4851" s="152">
        <v>0</v>
      </c>
      <c r="L4851" s="218"/>
      <c r="M4851" s="41"/>
      <c r="N4851" s="27" t="str">
        <f>IF(ISNUMBER(M4851),L4851*M4851,"")</f>
        <v/>
      </c>
      <c r="O4851" s="28"/>
      <c r="P4851" s="36" t="str">
        <f t="shared" si="464"/>
        <v/>
      </c>
      <c r="Q4851" s="216" t="str">
        <f t="shared" si="465"/>
        <v/>
      </c>
      <c r="R4851" s="216" t="str">
        <f t="shared" si="466"/>
        <v/>
      </c>
      <c r="S4851" s="217" t="str">
        <f t="shared" si="467"/>
        <v/>
      </c>
    </row>
    <row r="4852" spans="1:19" ht="15.75" hidden="1" thickBot="1" x14ac:dyDescent="0.3">
      <c r="A4852" s="262"/>
      <c r="B4852" s="260"/>
      <c r="C4852" s="31"/>
      <c r="D4852" s="31"/>
      <c r="E4852" s="32"/>
      <c r="F4852" s="42" t="s">
        <v>416</v>
      </c>
      <c r="G4852" s="33" t="str">
        <f>IF(ISNUMBER(F4852),E4852*F4852,"")</f>
        <v/>
      </c>
      <c r="H4852" s="34"/>
      <c r="I4852" s="30"/>
      <c r="J4852" s="152">
        <v>0</v>
      </c>
      <c r="L4852" s="219"/>
      <c r="M4852" s="42"/>
      <c r="N4852" s="33" t="str">
        <f>IF(ISNUMBER(M4852),L4852*M4852,"")</f>
        <v/>
      </c>
      <c r="O4852" s="34"/>
      <c r="P4852" s="36" t="str">
        <f t="shared" si="464"/>
        <v/>
      </c>
      <c r="Q4852" s="216" t="str">
        <f t="shared" si="465"/>
        <v/>
      </c>
      <c r="R4852" s="216" t="str">
        <f t="shared" si="466"/>
        <v/>
      </c>
      <c r="S4852" s="217" t="str">
        <f t="shared" si="467"/>
        <v/>
      </c>
    </row>
    <row r="4853" spans="1:19" ht="15.75" hidden="1" thickBot="1" x14ac:dyDescent="0.3">
      <c r="A4853" s="262"/>
      <c r="B4853" s="260"/>
      <c r="C4853" s="35" t="s">
        <v>2909</v>
      </c>
      <c r="D4853" s="35" t="s">
        <v>583</v>
      </c>
      <c r="E4853" s="36">
        <v>0.3</v>
      </c>
      <c r="F4853" s="33">
        <v>25.060999999999996</v>
      </c>
      <c r="G4853" s="33">
        <f>IF(ISNUMBER(F4853),E4853*F4853,"")</f>
        <v>7.5182999999999982</v>
      </c>
      <c r="H4853" s="38">
        <f>SUM(G4853:G4854)</f>
        <v>17.635875999999996</v>
      </c>
      <c r="I4853" s="39"/>
      <c r="J4853" s="152">
        <v>0</v>
      </c>
      <c r="L4853" s="215">
        <v>0.3</v>
      </c>
      <c r="M4853" s="33">
        <v>21.452215999999996</v>
      </c>
      <c r="N4853" s="33">
        <f>IF(ISNUMBER(M4853),L4853*M4853,"")</f>
        <v>6.4356647999999987</v>
      </c>
      <c r="O4853" s="38">
        <f>SUM(N4853:N4854)</f>
        <v>15.096309855999998</v>
      </c>
      <c r="P4853" s="36" t="str">
        <f t="shared" si="464"/>
        <v/>
      </c>
      <c r="Q4853" s="216">
        <f t="shared" si="465"/>
        <v>0.14400000000000002</v>
      </c>
      <c r="R4853" s="216">
        <f t="shared" si="466"/>
        <v>0.14400000000000002</v>
      </c>
      <c r="S4853" s="217">
        <f t="shared" si="467"/>
        <v>0.14399999999999991</v>
      </c>
    </row>
    <row r="4854" spans="1:19" ht="15.75" hidden="1" thickBot="1" x14ac:dyDescent="0.3">
      <c r="A4854" s="262"/>
      <c r="B4854" s="260"/>
      <c r="C4854" s="35" t="s">
        <v>709</v>
      </c>
      <c r="D4854" s="35" t="s">
        <v>773</v>
      </c>
      <c r="E4854" s="36">
        <v>0.25900000000000001</v>
      </c>
      <c r="F4854" s="30">
        <v>39.063999999999993</v>
      </c>
      <c r="G4854" s="33">
        <f>IF(ISNUMBER(F4854),E4854*F4854,"")</f>
        <v>10.117575999999998</v>
      </c>
      <c r="H4854" s="34"/>
      <c r="I4854" s="30"/>
      <c r="J4854" s="152">
        <v>0</v>
      </c>
      <c r="L4854" s="215">
        <v>0.25900000000000001</v>
      </c>
      <c r="M4854" s="30">
        <v>33.438783999999998</v>
      </c>
      <c r="N4854" s="33">
        <f>IF(ISNUMBER(M4854),L4854*M4854,"")</f>
        <v>8.6606450559999999</v>
      </c>
      <c r="O4854" s="34"/>
      <c r="P4854" s="36" t="str">
        <f t="shared" si="464"/>
        <v/>
      </c>
      <c r="Q4854" s="216">
        <f t="shared" si="465"/>
        <v>0.14399999999999991</v>
      </c>
      <c r="R4854" s="216">
        <f t="shared" si="466"/>
        <v>0.14399999999999979</v>
      </c>
      <c r="S4854" s="217" t="str">
        <f t="shared" si="467"/>
        <v/>
      </c>
    </row>
    <row r="4855" spans="1:19" ht="15.75" hidden="1" thickBot="1" x14ac:dyDescent="0.3">
      <c r="A4855" s="262"/>
      <c r="B4855" s="260"/>
      <c r="C4855" s="35"/>
      <c r="D4855" s="35"/>
      <c r="E4855" s="36"/>
      <c r="F4855" s="30" t="s">
        <v>416</v>
      </c>
      <c r="G4855" s="33"/>
      <c r="H4855" s="34"/>
      <c r="I4855" s="30"/>
      <c r="J4855" s="152">
        <v>0</v>
      </c>
      <c r="L4855" s="215"/>
      <c r="M4855" s="30"/>
      <c r="N4855" s="33"/>
      <c r="O4855" s="34"/>
      <c r="P4855" s="36" t="str">
        <f t="shared" si="464"/>
        <v/>
      </c>
      <c r="Q4855" s="216" t="str">
        <f t="shared" si="465"/>
        <v/>
      </c>
      <c r="R4855" s="216" t="str">
        <f t="shared" si="466"/>
        <v/>
      </c>
      <c r="S4855" s="217" t="str">
        <f t="shared" si="467"/>
        <v/>
      </c>
    </row>
    <row r="4856" spans="1:19" ht="15.75" hidden="1" thickBot="1" x14ac:dyDescent="0.3">
      <c r="A4856" s="262"/>
      <c r="B4856" s="260"/>
      <c r="C4856" s="51" t="s">
        <v>3095</v>
      </c>
      <c r="D4856" s="35"/>
      <c r="E4856" s="36"/>
      <c r="F4856" s="30" t="s">
        <v>416</v>
      </c>
      <c r="G4856" s="33"/>
      <c r="H4856" s="34"/>
      <c r="I4856" s="30"/>
      <c r="J4856" s="152">
        <v>0</v>
      </c>
      <c r="L4856" s="215"/>
      <c r="M4856" s="30"/>
      <c r="N4856" s="33"/>
      <c r="O4856" s="34"/>
      <c r="P4856" s="36" t="str">
        <f t="shared" si="464"/>
        <v/>
      </c>
      <c r="Q4856" s="216" t="str">
        <f t="shared" si="465"/>
        <v/>
      </c>
      <c r="R4856" s="216" t="str">
        <f t="shared" si="466"/>
        <v/>
      </c>
      <c r="S4856" s="217" t="str">
        <f t="shared" si="467"/>
        <v/>
      </c>
    </row>
    <row r="4857" spans="1:19" ht="15.75" hidden="1" thickBot="1" x14ac:dyDescent="0.3">
      <c r="A4857" s="262"/>
      <c r="B4857" s="260"/>
      <c r="C4857" s="51" t="s">
        <v>3090</v>
      </c>
      <c r="D4857" s="35"/>
      <c r="E4857" s="36"/>
      <c r="F4857" s="30" t="s">
        <v>416</v>
      </c>
      <c r="G4857" s="33"/>
      <c r="H4857" s="34"/>
      <c r="I4857" s="30"/>
      <c r="J4857" s="152">
        <v>0</v>
      </c>
      <c r="L4857" s="215"/>
      <c r="M4857" s="30"/>
      <c r="N4857" s="33"/>
      <c r="O4857" s="34"/>
      <c r="P4857" s="36" t="str">
        <f t="shared" si="464"/>
        <v/>
      </c>
      <c r="Q4857" s="216" t="str">
        <f t="shared" si="465"/>
        <v/>
      </c>
      <c r="R4857" s="216" t="str">
        <f t="shared" si="466"/>
        <v/>
      </c>
      <c r="S4857" s="217" t="str">
        <f t="shared" si="467"/>
        <v/>
      </c>
    </row>
    <row r="4858" spans="1:19" ht="15.75" hidden="1" thickBot="1" x14ac:dyDescent="0.3">
      <c r="A4858" s="263"/>
      <c r="B4858" s="261"/>
      <c r="C4858" s="35"/>
      <c r="D4858" s="35"/>
      <c r="E4858" s="36"/>
      <c r="F4858" s="30" t="s">
        <v>416</v>
      </c>
      <c r="G4858" s="33" t="str">
        <f>IF(ISNUMBER(F4858),E4858*F4858,"")</f>
        <v/>
      </c>
      <c r="H4858" s="34"/>
      <c r="I4858" s="30"/>
      <c r="J4858" s="152">
        <v>0</v>
      </c>
      <c r="L4858" s="215"/>
      <c r="M4858" s="30"/>
      <c r="N4858" s="33" t="str">
        <f>IF(ISNUMBER(M4858),L4858*M4858,"")</f>
        <v/>
      </c>
      <c r="O4858" s="34"/>
      <c r="P4858" s="36" t="str">
        <f t="shared" si="464"/>
        <v/>
      </c>
      <c r="Q4858" s="216" t="str">
        <f t="shared" si="465"/>
        <v/>
      </c>
      <c r="R4858" s="216" t="str">
        <f t="shared" si="466"/>
        <v/>
      </c>
      <c r="S4858" s="217" t="str">
        <f t="shared" si="467"/>
        <v/>
      </c>
    </row>
    <row r="4859" spans="1:19" ht="15.75" hidden="1" thickBot="1" x14ac:dyDescent="0.3">
      <c r="A4859" s="256" t="s">
        <v>2969</v>
      </c>
      <c r="B4859" s="259" t="str">
        <f>INDEX(Orçamentária!A:B,MATCH(Composições!A4859,Orçamentária!A:A,0),2)</f>
        <v>Trilho superior em alumínio 53,8 mm x 49,6 mm, para vidro temperado</v>
      </c>
      <c r="C4859" s="40"/>
      <c r="D4859" s="25" t="s">
        <v>69</v>
      </c>
      <c r="E4859" s="26"/>
      <c r="F4859" s="41" t="s">
        <v>416</v>
      </c>
      <c r="G4859" s="27" t="str">
        <f>IF(ISNUMBER(F4859),E4859*F4859,"")</f>
        <v/>
      </c>
      <c r="H4859" s="28"/>
      <c r="I4859" s="29"/>
      <c r="J4859" s="152">
        <v>0</v>
      </c>
      <c r="L4859" s="218"/>
      <c r="M4859" s="41"/>
      <c r="N4859" s="27" t="str">
        <f>IF(ISNUMBER(M4859),L4859*M4859,"")</f>
        <v/>
      </c>
      <c r="O4859" s="28"/>
      <c r="P4859" s="36" t="str">
        <f t="shared" si="464"/>
        <v/>
      </c>
      <c r="Q4859" s="216" t="str">
        <f t="shared" si="465"/>
        <v/>
      </c>
      <c r="R4859" s="216" t="str">
        <f t="shared" si="466"/>
        <v/>
      </c>
      <c r="S4859" s="217" t="str">
        <f t="shared" si="467"/>
        <v/>
      </c>
    </row>
    <row r="4860" spans="1:19" ht="15.75" hidden="1" thickBot="1" x14ac:dyDescent="0.3">
      <c r="A4860" s="262"/>
      <c r="B4860" s="260"/>
      <c r="C4860" s="31"/>
      <c r="D4860" s="31"/>
      <c r="E4860" s="32"/>
      <c r="F4860" s="42" t="s">
        <v>416</v>
      </c>
      <c r="G4860" s="33" t="str">
        <f>IF(ISNUMBER(F4860),E4860*F4860,"")</f>
        <v/>
      </c>
      <c r="H4860" s="34"/>
      <c r="I4860" s="30"/>
      <c r="J4860" s="152">
        <v>0</v>
      </c>
      <c r="L4860" s="219"/>
      <c r="M4860" s="42"/>
      <c r="N4860" s="33" t="str">
        <f>IF(ISNUMBER(M4860),L4860*M4860,"")</f>
        <v/>
      </c>
      <c r="O4860" s="34"/>
      <c r="P4860" s="36" t="str">
        <f t="shared" si="464"/>
        <v/>
      </c>
      <c r="Q4860" s="216" t="str">
        <f t="shared" si="465"/>
        <v/>
      </c>
      <c r="R4860" s="216" t="str">
        <f t="shared" si="466"/>
        <v/>
      </c>
      <c r="S4860" s="217" t="str">
        <f t="shared" si="467"/>
        <v/>
      </c>
    </row>
    <row r="4861" spans="1:19" ht="15.75" hidden="1" thickBot="1" x14ac:dyDescent="0.3">
      <c r="A4861" s="262"/>
      <c r="B4861" s="260"/>
      <c r="C4861" s="35" t="s">
        <v>2909</v>
      </c>
      <c r="D4861" s="35" t="s">
        <v>583</v>
      </c>
      <c r="E4861" s="36">
        <v>0.3</v>
      </c>
      <c r="F4861" s="33">
        <v>25.060999999999996</v>
      </c>
      <c r="G4861" s="33">
        <f>IF(ISNUMBER(F4861),E4861*F4861,"")</f>
        <v>7.5182999999999982</v>
      </c>
      <c r="H4861" s="38">
        <f>SUM(G4861:G4862)</f>
        <v>28.456603999999999</v>
      </c>
      <c r="I4861" s="39"/>
      <c r="J4861" s="152">
        <v>0</v>
      </c>
      <c r="L4861" s="215">
        <v>0.3</v>
      </c>
      <c r="M4861" s="33">
        <v>21.452215999999996</v>
      </c>
      <c r="N4861" s="33">
        <f>IF(ISNUMBER(M4861),L4861*M4861,"")</f>
        <v>6.4356647999999987</v>
      </c>
      <c r="O4861" s="38">
        <f>SUM(N4861:N4862)</f>
        <v>24.358853023999998</v>
      </c>
      <c r="P4861" s="36" t="str">
        <f t="shared" si="464"/>
        <v/>
      </c>
      <c r="Q4861" s="216">
        <f t="shared" si="465"/>
        <v>0.14400000000000002</v>
      </c>
      <c r="R4861" s="216">
        <f t="shared" si="466"/>
        <v>0.14400000000000002</v>
      </c>
      <c r="S4861" s="217">
        <f t="shared" si="467"/>
        <v>0.14400000000000002</v>
      </c>
    </row>
    <row r="4862" spans="1:19" ht="15.75" hidden="1" thickBot="1" x14ac:dyDescent="0.3">
      <c r="A4862" s="262"/>
      <c r="B4862" s="260"/>
      <c r="C4862" s="35" t="s">
        <v>709</v>
      </c>
      <c r="D4862" s="35" t="s">
        <v>773</v>
      </c>
      <c r="E4862" s="36">
        <v>0.53600000000000003</v>
      </c>
      <c r="F4862" s="30">
        <v>39.063999999999993</v>
      </c>
      <c r="G4862" s="33">
        <f>IF(ISNUMBER(F4862),E4862*F4862,"")</f>
        <v>20.938303999999999</v>
      </c>
      <c r="H4862" s="34"/>
      <c r="I4862" s="30"/>
      <c r="J4862" s="152">
        <v>0</v>
      </c>
      <c r="L4862" s="215">
        <v>0.53600000000000003</v>
      </c>
      <c r="M4862" s="30">
        <v>33.438783999999998</v>
      </c>
      <c r="N4862" s="33">
        <f>IF(ISNUMBER(M4862),L4862*M4862,"")</f>
        <v>17.923188224</v>
      </c>
      <c r="O4862" s="34"/>
      <c r="P4862" s="36" t="str">
        <f t="shared" si="464"/>
        <v/>
      </c>
      <c r="Q4862" s="216">
        <f t="shared" si="465"/>
        <v>0.14399999999999991</v>
      </c>
      <c r="R4862" s="216">
        <f t="shared" si="466"/>
        <v>0.14399999999999991</v>
      </c>
      <c r="S4862" s="217" t="str">
        <f t="shared" si="467"/>
        <v/>
      </c>
    </row>
    <row r="4863" spans="1:19" ht="15.75" hidden="1" thickBot="1" x14ac:dyDescent="0.3">
      <c r="A4863" s="262"/>
      <c r="B4863" s="260"/>
      <c r="C4863" s="35"/>
      <c r="D4863" s="35"/>
      <c r="E4863" s="36"/>
      <c r="F4863" s="30" t="s">
        <v>416</v>
      </c>
      <c r="G4863" s="33"/>
      <c r="H4863" s="34"/>
      <c r="I4863" s="30"/>
      <c r="J4863" s="152">
        <v>0</v>
      </c>
      <c r="L4863" s="215"/>
      <c r="M4863" s="30"/>
      <c r="N4863" s="33"/>
      <c r="O4863" s="34"/>
      <c r="P4863" s="36" t="str">
        <f t="shared" si="464"/>
        <v/>
      </c>
      <c r="Q4863" s="216" t="str">
        <f t="shared" si="465"/>
        <v/>
      </c>
      <c r="R4863" s="216" t="str">
        <f t="shared" si="466"/>
        <v/>
      </c>
      <c r="S4863" s="217" t="str">
        <f t="shared" si="467"/>
        <v/>
      </c>
    </row>
    <row r="4864" spans="1:19" ht="15.75" hidden="1" thickBot="1" x14ac:dyDescent="0.3">
      <c r="A4864" s="262"/>
      <c r="B4864" s="260"/>
      <c r="C4864" s="51" t="s">
        <v>3096</v>
      </c>
      <c r="D4864" s="35"/>
      <c r="E4864" s="36"/>
      <c r="F4864" s="30" t="s">
        <v>416</v>
      </c>
      <c r="G4864" s="33"/>
      <c r="H4864" s="34"/>
      <c r="I4864" s="30"/>
      <c r="J4864" s="152">
        <v>0</v>
      </c>
      <c r="L4864" s="215"/>
      <c r="M4864" s="30"/>
      <c r="N4864" s="33"/>
      <c r="O4864" s="34"/>
      <c r="P4864" s="36" t="str">
        <f t="shared" si="464"/>
        <v/>
      </c>
      <c r="Q4864" s="216" t="str">
        <f t="shared" si="465"/>
        <v/>
      </c>
      <c r="R4864" s="216" t="str">
        <f t="shared" si="466"/>
        <v/>
      </c>
      <c r="S4864" s="217" t="str">
        <f t="shared" si="467"/>
        <v/>
      </c>
    </row>
    <row r="4865" spans="1:19" ht="15.75" hidden="1" thickBot="1" x14ac:dyDescent="0.3">
      <c r="A4865" s="262"/>
      <c r="B4865" s="260"/>
      <c r="C4865" s="51" t="s">
        <v>3090</v>
      </c>
      <c r="D4865" s="35"/>
      <c r="E4865" s="36"/>
      <c r="F4865" s="30" t="s">
        <v>416</v>
      </c>
      <c r="G4865" s="33"/>
      <c r="H4865" s="34"/>
      <c r="I4865" s="30"/>
      <c r="J4865" s="152">
        <v>0</v>
      </c>
      <c r="L4865" s="215"/>
      <c r="M4865" s="30"/>
      <c r="N4865" s="33"/>
      <c r="O4865" s="34"/>
      <c r="P4865" s="36" t="str">
        <f t="shared" si="464"/>
        <v/>
      </c>
      <c r="Q4865" s="216" t="str">
        <f t="shared" si="465"/>
        <v/>
      </c>
      <c r="R4865" s="216" t="str">
        <f t="shared" si="466"/>
        <v/>
      </c>
      <c r="S4865" s="217" t="str">
        <f t="shared" si="467"/>
        <v/>
      </c>
    </row>
    <row r="4866" spans="1:19" ht="15.75" hidden="1" thickBot="1" x14ac:dyDescent="0.3">
      <c r="A4866" s="263"/>
      <c r="B4866" s="261"/>
      <c r="C4866" s="35"/>
      <c r="D4866" s="35"/>
      <c r="E4866" s="36"/>
      <c r="F4866" s="30" t="s">
        <v>416</v>
      </c>
      <c r="G4866" s="33" t="str">
        <f>IF(ISNUMBER(F4866),E4866*F4866,"")</f>
        <v/>
      </c>
      <c r="H4866" s="34"/>
      <c r="I4866" s="30"/>
      <c r="J4866" s="152">
        <v>0</v>
      </c>
      <c r="L4866" s="215"/>
      <c r="M4866" s="30"/>
      <c r="N4866" s="33" t="str">
        <f>IF(ISNUMBER(M4866),L4866*M4866,"")</f>
        <v/>
      </c>
      <c r="O4866" s="34"/>
      <c r="P4866" s="36" t="str">
        <f t="shared" si="464"/>
        <v/>
      </c>
      <c r="Q4866" s="216" t="str">
        <f t="shared" si="465"/>
        <v/>
      </c>
      <c r="R4866" s="216" t="str">
        <f t="shared" si="466"/>
        <v/>
      </c>
      <c r="S4866" s="217" t="str">
        <f t="shared" si="467"/>
        <v/>
      </c>
    </row>
    <row r="4867" spans="1:19" ht="15.75" hidden="1" thickBot="1" x14ac:dyDescent="0.3">
      <c r="A4867" s="256" t="s">
        <v>2970</v>
      </c>
      <c r="B4867" s="259" t="str">
        <f>INDEX(Orçamentária!A:B,MATCH(Composições!A4867,Orçamentária!A:A,0),2)</f>
        <v>Perfil em alumínio, tipo U - 10,5 x 20 mm - para box de vidro temperado 8 mm</v>
      </c>
      <c r="C4867" s="40"/>
      <c r="D4867" s="25" t="s">
        <v>69</v>
      </c>
      <c r="E4867" s="26"/>
      <c r="F4867" s="41" t="s">
        <v>416</v>
      </c>
      <c r="G4867" s="27" t="str">
        <f>IF(ISNUMBER(F4867),E4867*F4867,"")</f>
        <v/>
      </c>
      <c r="H4867" s="28"/>
      <c r="I4867" s="29"/>
      <c r="J4867" s="152">
        <v>0</v>
      </c>
      <c r="L4867" s="218"/>
      <c r="M4867" s="41"/>
      <c r="N4867" s="27" t="str">
        <f>IF(ISNUMBER(M4867),L4867*M4867,"")</f>
        <v/>
      </c>
      <c r="O4867" s="28"/>
      <c r="P4867" s="36" t="str">
        <f t="shared" si="464"/>
        <v/>
      </c>
      <c r="Q4867" s="216" t="str">
        <f t="shared" si="465"/>
        <v/>
      </c>
      <c r="R4867" s="216" t="str">
        <f t="shared" si="466"/>
        <v/>
      </c>
      <c r="S4867" s="217" t="str">
        <f t="shared" si="467"/>
        <v/>
      </c>
    </row>
    <row r="4868" spans="1:19" ht="15.75" hidden="1" thickBot="1" x14ac:dyDescent="0.3">
      <c r="A4868" s="262"/>
      <c r="B4868" s="260"/>
      <c r="C4868" s="31"/>
      <c r="D4868" s="31"/>
      <c r="E4868" s="32"/>
      <c r="F4868" s="42" t="s">
        <v>416</v>
      </c>
      <c r="G4868" s="33" t="str">
        <f>IF(ISNUMBER(F4868),E4868*F4868,"")</f>
        <v/>
      </c>
      <c r="H4868" s="34"/>
      <c r="I4868" s="30"/>
      <c r="J4868" s="152">
        <v>0</v>
      </c>
      <c r="L4868" s="219"/>
      <c r="M4868" s="42"/>
      <c r="N4868" s="33" t="str">
        <f>IF(ISNUMBER(M4868),L4868*M4868,"")</f>
        <v/>
      </c>
      <c r="O4868" s="34"/>
      <c r="P4868" s="36" t="str">
        <f t="shared" si="464"/>
        <v/>
      </c>
      <c r="Q4868" s="216" t="str">
        <f t="shared" si="465"/>
        <v/>
      </c>
      <c r="R4868" s="216" t="str">
        <f t="shared" si="466"/>
        <v/>
      </c>
      <c r="S4868" s="217" t="str">
        <f t="shared" si="467"/>
        <v/>
      </c>
    </row>
    <row r="4869" spans="1:19" ht="15.75" hidden="1" thickBot="1" x14ac:dyDescent="0.3">
      <c r="A4869" s="262"/>
      <c r="B4869" s="260"/>
      <c r="C4869" s="35" t="s">
        <v>2909</v>
      </c>
      <c r="D4869" s="35" t="s">
        <v>583</v>
      </c>
      <c r="E4869" s="36">
        <v>0.2</v>
      </c>
      <c r="F4869" s="33">
        <v>25.060999999999996</v>
      </c>
      <c r="G4869" s="33">
        <f>IF(ISNUMBER(F4869),E4869*F4869,"")</f>
        <v>5.0122</v>
      </c>
      <c r="H4869" s="38">
        <f>SUM(G4869:G4870)</f>
        <v>9.1139200000000002</v>
      </c>
      <c r="I4869" s="39"/>
      <c r="J4869" s="152">
        <v>0</v>
      </c>
      <c r="L4869" s="215">
        <v>0.2</v>
      </c>
      <c r="M4869" s="33">
        <v>21.452215999999996</v>
      </c>
      <c r="N4869" s="33">
        <f>IF(ISNUMBER(M4869),L4869*M4869,"")</f>
        <v>4.2904431999999995</v>
      </c>
      <c r="O4869" s="38">
        <f>SUM(N4869:N4870)</f>
        <v>7.8015155199999988</v>
      </c>
      <c r="P4869" s="36" t="str">
        <f t="shared" si="464"/>
        <v/>
      </c>
      <c r="Q4869" s="216">
        <f t="shared" si="465"/>
        <v>0.14400000000000002</v>
      </c>
      <c r="R4869" s="216">
        <f t="shared" si="466"/>
        <v>0.14400000000000013</v>
      </c>
      <c r="S4869" s="217">
        <f t="shared" si="467"/>
        <v>0.14400000000000013</v>
      </c>
    </row>
    <row r="4870" spans="1:19" ht="15.75" hidden="1" thickBot="1" x14ac:dyDescent="0.3">
      <c r="A4870" s="262"/>
      <c r="B4870" s="260"/>
      <c r="C4870" s="35" t="s">
        <v>709</v>
      </c>
      <c r="D4870" s="35" t="s">
        <v>773</v>
      </c>
      <c r="E4870" s="36">
        <v>0.105</v>
      </c>
      <c r="F4870" s="30">
        <v>39.063999999999993</v>
      </c>
      <c r="G4870" s="33">
        <f>IF(ISNUMBER(F4870),E4870*F4870,"")</f>
        <v>4.1017199999999994</v>
      </c>
      <c r="H4870" s="34"/>
      <c r="I4870" s="30"/>
      <c r="J4870" s="152">
        <v>0</v>
      </c>
      <c r="L4870" s="215">
        <v>0.105</v>
      </c>
      <c r="M4870" s="30">
        <v>33.438783999999998</v>
      </c>
      <c r="N4870" s="33">
        <f>IF(ISNUMBER(M4870),L4870*M4870,"")</f>
        <v>3.5110723199999998</v>
      </c>
      <c r="O4870" s="34"/>
      <c r="P4870" s="36" t="str">
        <f t="shared" si="464"/>
        <v/>
      </c>
      <c r="Q4870" s="216">
        <f t="shared" si="465"/>
        <v>0.14399999999999991</v>
      </c>
      <c r="R4870" s="216">
        <f t="shared" si="466"/>
        <v>0.14399999999999991</v>
      </c>
      <c r="S4870" s="217" t="str">
        <f t="shared" si="467"/>
        <v/>
      </c>
    </row>
    <row r="4871" spans="1:19" ht="15.75" hidden="1" thickBot="1" x14ac:dyDescent="0.3">
      <c r="A4871" s="262"/>
      <c r="B4871" s="260"/>
      <c r="C4871" s="35"/>
      <c r="D4871" s="35"/>
      <c r="E4871" s="36"/>
      <c r="F4871" s="30" t="s">
        <v>416</v>
      </c>
      <c r="G4871" s="33"/>
      <c r="H4871" s="34"/>
      <c r="I4871" s="30"/>
      <c r="J4871" s="152">
        <v>0</v>
      </c>
      <c r="L4871" s="215"/>
      <c r="M4871" s="30"/>
      <c r="N4871" s="33"/>
      <c r="O4871" s="34"/>
      <c r="P4871" s="36" t="str">
        <f t="shared" si="464"/>
        <v/>
      </c>
      <c r="Q4871" s="216" t="str">
        <f t="shared" si="465"/>
        <v/>
      </c>
      <c r="R4871" s="216" t="str">
        <f t="shared" si="466"/>
        <v/>
      </c>
      <c r="S4871" s="217" t="str">
        <f t="shared" si="467"/>
        <v/>
      </c>
    </row>
    <row r="4872" spans="1:19" ht="15.75" hidden="1" thickBot="1" x14ac:dyDescent="0.3">
      <c r="A4872" s="262"/>
      <c r="B4872" s="260"/>
      <c r="C4872" s="51" t="s">
        <v>3097</v>
      </c>
      <c r="D4872" s="35"/>
      <c r="E4872" s="36"/>
      <c r="F4872" s="30" t="s">
        <v>416</v>
      </c>
      <c r="G4872" s="33"/>
      <c r="H4872" s="34"/>
      <c r="I4872" s="30"/>
      <c r="J4872" s="152">
        <v>0</v>
      </c>
      <c r="L4872" s="215"/>
      <c r="M4872" s="30"/>
      <c r="N4872" s="33"/>
      <c r="O4872" s="34"/>
      <c r="P4872" s="36" t="str">
        <f t="shared" ref="P4872:P4935" si="468">IF(ISBLANK(L4872),"",IF($E4872&lt;&gt;L4872,"SIM",""))</f>
        <v/>
      </c>
      <c r="Q4872" s="216" t="str">
        <f t="shared" ref="Q4872:Q4935" si="469">IF(M4872="","",1-M4872/$F4872)</f>
        <v/>
      </c>
      <c r="R4872" s="216" t="str">
        <f t="shared" ref="R4872:R4935" si="470">IF(N4872="","",1-N4872/$G4872)</f>
        <v/>
      </c>
      <c r="S4872" s="217" t="str">
        <f t="shared" ref="S4872:S4935" si="471">IF(O4872="","",1-O4872/$H4872)</f>
        <v/>
      </c>
    </row>
    <row r="4873" spans="1:19" ht="15.75" hidden="1" thickBot="1" x14ac:dyDescent="0.3">
      <c r="A4873" s="262"/>
      <c r="B4873" s="260"/>
      <c r="C4873" s="51" t="s">
        <v>3090</v>
      </c>
      <c r="D4873" s="35"/>
      <c r="E4873" s="36"/>
      <c r="F4873" s="30" t="s">
        <v>416</v>
      </c>
      <c r="G4873" s="33"/>
      <c r="H4873" s="34"/>
      <c r="I4873" s="30"/>
      <c r="J4873" s="152">
        <v>0</v>
      </c>
      <c r="L4873" s="215"/>
      <c r="M4873" s="30"/>
      <c r="N4873" s="33"/>
      <c r="O4873" s="34"/>
      <c r="P4873" s="36" t="str">
        <f t="shared" si="468"/>
        <v/>
      </c>
      <c r="Q4873" s="216" t="str">
        <f t="shared" si="469"/>
        <v/>
      </c>
      <c r="R4873" s="216" t="str">
        <f t="shared" si="470"/>
        <v/>
      </c>
      <c r="S4873" s="217" t="str">
        <f t="shared" si="471"/>
        <v/>
      </c>
    </row>
    <row r="4874" spans="1:19" ht="15.75" hidden="1" thickBot="1" x14ac:dyDescent="0.3">
      <c r="A4874" s="263"/>
      <c r="B4874" s="261"/>
      <c r="C4874" s="35"/>
      <c r="D4874" s="35"/>
      <c r="E4874" s="36"/>
      <c r="F4874" s="30" t="s">
        <v>416</v>
      </c>
      <c r="G4874" s="33" t="str">
        <f>IF(ISNUMBER(F4874),E4874*F4874,"")</f>
        <v/>
      </c>
      <c r="H4874" s="34"/>
      <c r="I4874" s="30"/>
      <c r="J4874" s="152">
        <v>0</v>
      </c>
      <c r="L4874" s="215"/>
      <c r="M4874" s="30"/>
      <c r="N4874" s="33" t="str">
        <f>IF(ISNUMBER(M4874),L4874*M4874,"")</f>
        <v/>
      </c>
      <c r="O4874" s="34"/>
      <c r="P4874" s="36" t="str">
        <f t="shared" si="468"/>
        <v/>
      </c>
      <c r="Q4874" s="216" t="str">
        <f t="shared" si="469"/>
        <v/>
      </c>
      <c r="R4874" s="216" t="str">
        <f t="shared" si="470"/>
        <v/>
      </c>
      <c r="S4874" s="217" t="str">
        <f t="shared" si="471"/>
        <v/>
      </c>
    </row>
    <row r="4875" spans="1:19" ht="15.75" hidden="1" thickBot="1" x14ac:dyDescent="0.3">
      <c r="A4875" s="256" t="s">
        <v>2971</v>
      </c>
      <c r="B4875" s="259" t="str">
        <f>INDEX(Orçamentária!A:B,MATCH(Composições!A4875,Orçamentária!A:A,0),2)</f>
        <v>Perfil em alumínio , tipo U –  14 x 20 mm - para box de vidro temperado 8 mm</v>
      </c>
      <c r="C4875" s="40"/>
      <c r="D4875" s="25" t="s">
        <v>69</v>
      </c>
      <c r="E4875" s="26"/>
      <c r="F4875" s="41" t="s">
        <v>416</v>
      </c>
      <c r="G4875" s="27" t="str">
        <f>IF(ISNUMBER(F4875),E4875*F4875,"")</f>
        <v/>
      </c>
      <c r="H4875" s="28"/>
      <c r="I4875" s="29"/>
      <c r="J4875" s="152">
        <v>0</v>
      </c>
      <c r="L4875" s="218"/>
      <c r="M4875" s="41"/>
      <c r="N4875" s="27" t="str">
        <f>IF(ISNUMBER(M4875),L4875*M4875,"")</f>
        <v/>
      </c>
      <c r="O4875" s="28"/>
      <c r="P4875" s="36" t="str">
        <f t="shared" si="468"/>
        <v/>
      </c>
      <c r="Q4875" s="216" t="str">
        <f t="shared" si="469"/>
        <v/>
      </c>
      <c r="R4875" s="216" t="str">
        <f t="shared" si="470"/>
        <v/>
      </c>
      <c r="S4875" s="217" t="str">
        <f t="shared" si="471"/>
        <v/>
      </c>
    </row>
    <row r="4876" spans="1:19" ht="15.75" hidden="1" thickBot="1" x14ac:dyDescent="0.3">
      <c r="A4876" s="262"/>
      <c r="B4876" s="260"/>
      <c r="C4876" s="31"/>
      <c r="D4876" s="31"/>
      <c r="E4876" s="32"/>
      <c r="F4876" s="42" t="s">
        <v>416</v>
      </c>
      <c r="G4876" s="33" t="str">
        <f>IF(ISNUMBER(F4876),E4876*F4876,"")</f>
        <v/>
      </c>
      <c r="H4876" s="34"/>
      <c r="I4876" s="30"/>
      <c r="J4876" s="152">
        <v>0</v>
      </c>
      <c r="L4876" s="219"/>
      <c r="M4876" s="42"/>
      <c r="N4876" s="33" t="str">
        <f>IF(ISNUMBER(M4876),L4876*M4876,"")</f>
        <v/>
      </c>
      <c r="O4876" s="34"/>
      <c r="P4876" s="36" t="str">
        <f t="shared" si="468"/>
        <v/>
      </c>
      <c r="Q4876" s="216" t="str">
        <f t="shared" si="469"/>
        <v/>
      </c>
      <c r="R4876" s="216" t="str">
        <f t="shared" si="470"/>
        <v/>
      </c>
      <c r="S4876" s="217" t="str">
        <f t="shared" si="471"/>
        <v/>
      </c>
    </row>
    <row r="4877" spans="1:19" ht="15.75" hidden="1" thickBot="1" x14ac:dyDescent="0.3">
      <c r="A4877" s="262"/>
      <c r="B4877" s="260"/>
      <c r="C4877" s="35" t="s">
        <v>2909</v>
      </c>
      <c r="D4877" s="35" t="s">
        <v>583</v>
      </c>
      <c r="E4877" s="36">
        <v>0.2</v>
      </c>
      <c r="F4877" s="33">
        <v>25.060999999999996</v>
      </c>
      <c r="G4877" s="33">
        <f>IF(ISNUMBER(F4877),E4877*F4877,"")</f>
        <v>5.0122</v>
      </c>
      <c r="H4877" s="38">
        <f>SUM(G4877:G4878)</f>
        <v>9.6608159999999987</v>
      </c>
      <c r="I4877" s="39"/>
      <c r="J4877" s="152">
        <v>0</v>
      </c>
      <c r="L4877" s="215">
        <v>0.2</v>
      </c>
      <c r="M4877" s="33">
        <v>21.452215999999996</v>
      </c>
      <c r="N4877" s="33">
        <f>IF(ISNUMBER(M4877),L4877*M4877,"")</f>
        <v>4.2904431999999995</v>
      </c>
      <c r="O4877" s="38">
        <f>SUM(N4877:N4878)</f>
        <v>8.2696584959999981</v>
      </c>
      <c r="P4877" s="36" t="str">
        <f t="shared" si="468"/>
        <v/>
      </c>
      <c r="Q4877" s="216">
        <f t="shared" si="469"/>
        <v>0.14400000000000002</v>
      </c>
      <c r="R4877" s="216">
        <f t="shared" si="470"/>
        <v>0.14400000000000013</v>
      </c>
      <c r="S4877" s="217">
        <f t="shared" si="471"/>
        <v>0.14400000000000013</v>
      </c>
    </row>
    <row r="4878" spans="1:19" ht="15.75" hidden="1" thickBot="1" x14ac:dyDescent="0.3">
      <c r="A4878" s="262"/>
      <c r="B4878" s="260"/>
      <c r="C4878" s="35" t="s">
        <v>709</v>
      </c>
      <c r="D4878" s="35" t="s">
        <v>773</v>
      </c>
      <c r="E4878" s="36">
        <v>0.11899999999999999</v>
      </c>
      <c r="F4878" s="30">
        <v>39.063999999999993</v>
      </c>
      <c r="G4878" s="33">
        <f>IF(ISNUMBER(F4878),E4878*F4878,"")</f>
        <v>4.6486159999999987</v>
      </c>
      <c r="H4878" s="34"/>
      <c r="I4878" s="30"/>
      <c r="J4878" s="152">
        <v>0</v>
      </c>
      <c r="L4878" s="215">
        <v>0.11899999999999999</v>
      </c>
      <c r="M4878" s="30">
        <v>33.438783999999998</v>
      </c>
      <c r="N4878" s="33">
        <f>IF(ISNUMBER(M4878),L4878*M4878,"")</f>
        <v>3.9792152959999996</v>
      </c>
      <c r="O4878" s="34"/>
      <c r="P4878" s="36" t="str">
        <f t="shared" si="468"/>
        <v/>
      </c>
      <c r="Q4878" s="216">
        <f t="shared" si="469"/>
        <v>0.14399999999999991</v>
      </c>
      <c r="R4878" s="216">
        <f t="shared" si="470"/>
        <v>0.14399999999999991</v>
      </c>
      <c r="S4878" s="217" t="str">
        <f t="shared" si="471"/>
        <v/>
      </c>
    </row>
    <row r="4879" spans="1:19" ht="15.75" hidden="1" thickBot="1" x14ac:dyDescent="0.3">
      <c r="A4879" s="262"/>
      <c r="B4879" s="260"/>
      <c r="C4879" s="35"/>
      <c r="D4879" s="35"/>
      <c r="E4879" s="36"/>
      <c r="F4879" s="30" t="s">
        <v>416</v>
      </c>
      <c r="G4879" s="33"/>
      <c r="H4879" s="34"/>
      <c r="I4879" s="30"/>
      <c r="J4879" s="152">
        <v>0</v>
      </c>
      <c r="L4879" s="215"/>
      <c r="M4879" s="30"/>
      <c r="N4879" s="33"/>
      <c r="O4879" s="34"/>
      <c r="P4879" s="36" t="str">
        <f t="shared" si="468"/>
        <v/>
      </c>
      <c r="Q4879" s="216" t="str">
        <f t="shared" si="469"/>
        <v/>
      </c>
      <c r="R4879" s="216" t="str">
        <f t="shared" si="470"/>
        <v/>
      </c>
      <c r="S4879" s="217" t="str">
        <f t="shared" si="471"/>
        <v/>
      </c>
    </row>
    <row r="4880" spans="1:19" ht="15.75" hidden="1" thickBot="1" x14ac:dyDescent="0.3">
      <c r="A4880" s="262"/>
      <c r="B4880" s="260"/>
      <c r="C4880" s="51" t="s">
        <v>3098</v>
      </c>
      <c r="D4880" s="35"/>
      <c r="E4880" s="36"/>
      <c r="F4880" s="30" t="s">
        <v>416</v>
      </c>
      <c r="G4880" s="33"/>
      <c r="H4880" s="34"/>
      <c r="I4880" s="30"/>
      <c r="J4880" s="152">
        <v>0</v>
      </c>
      <c r="L4880" s="215"/>
      <c r="M4880" s="30"/>
      <c r="N4880" s="33"/>
      <c r="O4880" s="34"/>
      <c r="P4880" s="36" t="str">
        <f t="shared" si="468"/>
        <v/>
      </c>
      <c r="Q4880" s="216" t="str">
        <f t="shared" si="469"/>
        <v/>
      </c>
      <c r="R4880" s="216" t="str">
        <f t="shared" si="470"/>
        <v/>
      </c>
      <c r="S4880" s="217" t="str">
        <f t="shared" si="471"/>
        <v/>
      </c>
    </row>
    <row r="4881" spans="1:19" ht="15.75" hidden="1" thickBot="1" x14ac:dyDescent="0.3">
      <c r="A4881" s="262"/>
      <c r="B4881" s="260"/>
      <c r="C4881" s="51" t="s">
        <v>3090</v>
      </c>
      <c r="D4881" s="35"/>
      <c r="E4881" s="36"/>
      <c r="F4881" s="30" t="s">
        <v>416</v>
      </c>
      <c r="G4881" s="33"/>
      <c r="H4881" s="34"/>
      <c r="I4881" s="30"/>
      <c r="J4881" s="152">
        <v>0</v>
      </c>
      <c r="L4881" s="215"/>
      <c r="M4881" s="30"/>
      <c r="N4881" s="33"/>
      <c r="O4881" s="34"/>
      <c r="P4881" s="36" t="str">
        <f t="shared" si="468"/>
        <v/>
      </c>
      <c r="Q4881" s="216" t="str">
        <f t="shared" si="469"/>
        <v/>
      </c>
      <c r="R4881" s="216" t="str">
        <f t="shared" si="470"/>
        <v/>
      </c>
      <c r="S4881" s="217" t="str">
        <f t="shared" si="471"/>
        <v/>
      </c>
    </row>
    <row r="4882" spans="1:19" ht="15.75" hidden="1" thickBot="1" x14ac:dyDescent="0.3">
      <c r="A4882" s="263"/>
      <c r="B4882" s="261"/>
      <c r="C4882" s="35"/>
      <c r="D4882" s="35"/>
      <c r="E4882" s="36"/>
      <c r="F4882" s="30" t="s">
        <v>416</v>
      </c>
      <c r="G4882" s="33" t="str">
        <f t="shared" ref="G4882:G4945" si="472">IF(ISNUMBER(F4882),E4882*F4882,"")</f>
        <v/>
      </c>
      <c r="H4882" s="34"/>
      <c r="I4882" s="30"/>
      <c r="J4882" s="152">
        <v>0</v>
      </c>
      <c r="L4882" s="215"/>
      <c r="M4882" s="30"/>
      <c r="N4882" s="33" t="str">
        <f t="shared" ref="N4882:N4945" si="473">IF(ISNUMBER(M4882),L4882*M4882,"")</f>
        <v/>
      </c>
      <c r="O4882" s="34"/>
      <c r="P4882" s="36" t="str">
        <f t="shared" si="468"/>
        <v/>
      </c>
      <c r="Q4882" s="216" t="str">
        <f t="shared" si="469"/>
        <v/>
      </c>
      <c r="R4882" s="216" t="str">
        <f t="shared" si="470"/>
        <v/>
      </c>
      <c r="S4882" s="217" t="str">
        <f t="shared" si="471"/>
        <v/>
      </c>
    </row>
    <row r="4883" spans="1:19" ht="15.75" hidden="1" thickBot="1" x14ac:dyDescent="0.3">
      <c r="A4883" s="256" t="s">
        <v>2972</v>
      </c>
      <c r="B4883" s="259" t="str">
        <f>INDEX(Orçamentária!A:B,MATCH(Composições!A4883,Orçamentária!A:A,0),2)</f>
        <v>Bacia convencional – Linha Residencial</v>
      </c>
      <c r="C4883" s="40"/>
      <c r="D4883" s="25" t="s">
        <v>16</v>
      </c>
      <c r="E4883" s="26"/>
      <c r="F4883" s="41" t="s">
        <v>416</v>
      </c>
      <c r="G4883" s="27" t="str">
        <f t="shared" si="472"/>
        <v/>
      </c>
      <c r="H4883" s="28"/>
      <c r="I4883" s="29"/>
      <c r="J4883" s="152">
        <v>0</v>
      </c>
      <c r="L4883" s="218"/>
      <c r="M4883" s="41"/>
      <c r="N4883" s="27" t="str">
        <f t="shared" si="473"/>
        <v/>
      </c>
      <c r="O4883" s="28"/>
      <c r="P4883" s="36" t="str">
        <f t="shared" si="468"/>
        <v/>
      </c>
      <c r="Q4883" s="216" t="str">
        <f t="shared" si="469"/>
        <v/>
      </c>
      <c r="R4883" s="216" t="str">
        <f t="shared" si="470"/>
        <v/>
      </c>
      <c r="S4883" s="217" t="str">
        <f t="shared" si="471"/>
        <v/>
      </c>
    </row>
    <row r="4884" spans="1:19" ht="15.75" hidden="1" thickBot="1" x14ac:dyDescent="0.3">
      <c r="A4884" s="262"/>
      <c r="B4884" s="260"/>
      <c r="C4884" s="31"/>
      <c r="D4884" s="31"/>
      <c r="E4884" s="32"/>
      <c r="F4884" s="42" t="s">
        <v>416</v>
      </c>
      <c r="G4884" s="30" t="str">
        <f t="shared" si="472"/>
        <v/>
      </c>
      <c r="H4884" s="34"/>
      <c r="I4884" s="30"/>
      <c r="J4884" s="152">
        <v>0</v>
      </c>
      <c r="L4884" s="219"/>
      <c r="M4884" s="42"/>
      <c r="N4884" s="30" t="str">
        <f t="shared" si="473"/>
        <v/>
      </c>
      <c r="O4884" s="34"/>
      <c r="P4884" s="36" t="str">
        <f t="shared" si="468"/>
        <v/>
      </c>
      <c r="Q4884" s="216" t="str">
        <f t="shared" si="469"/>
        <v/>
      </c>
      <c r="R4884" s="216" t="str">
        <f t="shared" si="470"/>
        <v/>
      </c>
      <c r="S4884" s="217" t="str">
        <f t="shared" si="471"/>
        <v/>
      </c>
    </row>
    <row r="4885" spans="1:19" ht="26.25" hidden="1" thickBot="1" x14ac:dyDescent="0.3">
      <c r="A4885" s="262"/>
      <c r="B4885" s="260"/>
      <c r="C4885" s="35" t="s">
        <v>3103</v>
      </c>
      <c r="D4885" s="46" t="s">
        <v>213</v>
      </c>
      <c r="E4885" s="36">
        <v>1</v>
      </c>
      <c r="F4885" s="33" t="s">
        <v>416</v>
      </c>
      <c r="G4885" s="33" t="str">
        <f t="shared" si="472"/>
        <v/>
      </c>
      <c r="H4885" s="38">
        <f>SUM(G4885:G4891)</f>
        <v>86.792199499999981</v>
      </c>
      <c r="I4885" s="39"/>
      <c r="J4885" s="152">
        <v>0</v>
      </c>
      <c r="L4885" s="215">
        <v>1</v>
      </c>
      <c r="M4885" s="33"/>
      <c r="N4885" s="33" t="str">
        <f t="shared" si="473"/>
        <v/>
      </c>
      <c r="O4885" s="38">
        <f>SUM(N4885:N4891)</f>
        <v>74.294122771999994</v>
      </c>
      <c r="P4885" s="36" t="str">
        <f t="shared" si="468"/>
        <v/>
      </c>
      <c r="Q4885" s="216" t="str">
        <f t="shared" si="469"/>
        <v/>
      </c>
      <c r="R4885" s="216" t="str">
        <f t="shared" si="470"/>
        <v/>
      </c>
      <c r="S4885" s="217">
        <f t="shared" si="471"/>
        <v>0.14399999999999991</v>
      </c>
    </row>
    <row r="4886" spans="1:19" ht="26.25" hidden="1" thickBot="1" x14ac:dyDescent="0.3">
      <c r="A4886" s="262"/>
      <c r="B4886" s="260"/>
      <c r="C4886" s="35" t="s">
        <v>233</v>
      </c>
      <c r="D4886" s="35" t="s">
        <v>16</v>
      </c>
      <c r="E4886" s="36">
        <v>1</v>
      </c>
      <c r="F4886" s="33" t="s">
        <v>416</v>
      </c>
      <c r="G4886" s="33" t="str">
        <f t="shared" si="472"/>
        <v/>
      </c>
      <c r="H4886" s="34"/>
      <c r="I4886" s="30"/>
      <c r="J4886" s="152">
        <v>0</v>
      </c>
      <c r="L4886" s="215">
        <v>1</v>
      </c>
      <c r="M4886" s="33"/>
      <c r="N4886" s="33" t="str">
        <f t="shared" si="473"/>
        <v/>
      </c>
      <c r="O4886" s="34"/>
      <c r="P4886" s="36" t="str">
        <f t="shared" si="468"/>
        <v/>
      </c>
      <c r="Q4886" s="216" t="str">
        <f t="shared" si="469"/>
        <v/>
      </c>
      <c r="R4886" s="216" t="str">
        <f t="shared" si="470"/>
        <v/>
      </c>
      <c r="S4886" s="217" t="str">
        <f t="shared" si="471"/>
        <v/>
      </c>
    </row>
    <row r="4887" spans="1:19" ht="39" hidden="1" thickBot="1" x14ac:dyDescent="0.3">
      <c r="A4887" s="262"/>
      <c r="B4887" s="260"/>
      <c r="C4887" s="35" t="s">
        <v>8308</v>
      </c>
      <c r="D4887" s="35" t="s">
        <v>213</v>
      </c>
      <c r="E4887" s="36">
        <v>2</v>
      </c>
      <c r="F4887" s="33">
        <v>22.799999999999997</v>
      </c>
      <c r="G4887" s="33">
        <f t="shared" si="472"/>
        <v>45.599999999999994</v>
      </c>
      <c r="H4887" s="34"/>
      <c r="I4887" s="30"/>
      <c r="J4887" s="152">
        <v>0</v>
      </c>
      <c r="L4887" s="215">
        <v>2</v>
      </c>
      <c r="M4887" s="33">
        <v>19.516799999999996</v>
      </c>
      <c r="N4887" s="33">
        <f t="shared" si="473"/>
        <v>39.033599999999993</v>
      </c>
      <c r="O4887" s="34"/>
      <c r="P4887" s="36" t="str">
        <f t="shared" si="468"/>
        <v/>
      </c>
      <c r="Q4887" s="216">
        <f t="shared" si="469"/>
        <v>0.14400000000000002</v>
      </c>
      <c r="R4887" s="216">
        <f t="shared" si="470"/>
        <v>0.14400000000000002</v>
      </c>
      <c r="S4887" s="217" t="str">
        <f t="shared" si="471"/>
        <v/>
      </c>
    </row>
    <row r="4888" spans="1:19" ht="26.25" hidden="1" thickBot="1" x14ac:dyDescent="0.3">
      <c r="A4888" s="262"/>
      <c r="B4888" s="260"/>
      <c r="C4888" s="35" t="s">
        <v>7982</v>
      </c>
      <c r="D4888" s="35" t="s">
        <v>213</v>
      </c>
      <c r="E4888" s="36">
        <v>1</v>
      </c>
      <c r="F4888" s="33">
        <v>14.3925</v>
      </c>
      <c r="G4888" s="53">
        <f t="shared" si="472"/>
        <v>14.3925</v>
      </c>
      <c r="H4888" s="34"/>
      <c r="I4888" s="30"/>
      <c r="J4888" s="152">
        <v>0</v>
      </c>
      <c r="L4888" s="215">
        <v>1</v>
      </c>
      <c r="M4888" s="33">
        <v>12.319980000000001</v>
      </c>
      <c r="N4888" s="53">
        <f t="shared" si="473"/>
        <v>12.319980000000001</v>
      </c>
      <c r="O4888" s="34"/>
      <c r="P4888" s="36" t="str">
        <f t="shared" si="468"/>
        <v/>
      </c>
      <c r="Q4888" s="216">
        <f t="shared" si="469"/>
        <v>0.14399999999999991</v>
      </c>
      <c r="R4888" s="216">
        <f t="shared" si="470"/>
        <v>0.14399999999999991</v>
      </c>
      <c r="S4888" s="217" t="str">
        <f t="shared" si="471"/>
        <v/>
      </c>
    </row>
    <row r="4889" spans="1:19" ht="15.75" hidden="1" thickBot="1" x14ac:dyDescent="0.3">
      <c r="A4889" s="262"/>
      <c r="B4889" s="260"/>
      <c r="C4889" s="35" t="s">
        <v>3061</v>
      </c>
      <c r="D4889" s="35" t="s">
        <v>773</v>
      </c>
      <c r="E4889" s="36">
        <v>8.8099999999999998E-2</v>
      </c>
      <c r="F4889" s="33">
        <v>72.836500000000001</v>
      </c>
      <c r="G4889" s="33">
        <f t="shared" si="472"/>
        <v>6.4168956499999998</v>
      </c>
      <c r="H4889" s="34"/>
      <c r="I4889" s="30"/>
      <c r="J4889" s="152">
        <v>0</v>
      </c>
      <c r="L4889" s="215">
        <v>8.8099999999999998E-2</v>
      </c>
      <c r="M4889" s="33">
        <v>62.348044000000002</v>
      </c>
      <c r="N4889" s="33">
        <f t="shared" si="473"/>
        <v>5.4928626763999997</v>
      </c>
      <c r="O4889" s="34"/>
      <c r="P4889" s="36" t="str">
        <f t="shared" si="468"/>
        <v/>
      </c>
      <c r="Q4889" s="216">
        <f t="shared" si="469"/>
        <v>0.14400000000000002</v>
      </c>
      <c r="R4889" s="216">
        <f t="shared" si="470"/>
        <v>0.14400000000000002</v>
      </c>
      <c r="S4889" s="217" t="str">
        <f t="shared" si="471"/>
        <v/>
      </c>
    </row>
    <row r="4890" spans="1:19" ht="26.25" hidden="1" thickBot="1" x14ac:dyDescent="0.3">
      <c r="A4890" s="262"/>
      <c r="B4890" s="260"/>
      <c r="C4890" s="35" t="s">
        <v>825</v>
      </c>
      <c r="D4890" s="35" t="s">
        <v>583</v>
      </c>
      <c r="E4890" s="36">
        <v>0.49680000000000002</v>
      </c>
      <c r="F4890" s="30">
        <v>26.799499999999998</v>
      </c>
      <c r="G4890" s="33">
        <f t="shared" si="472"/>
        <v>13.3139916</v>
      </c>
      <c r="H4890" s="34"/>
      <c r="I4890" s="30"/>
      <c r="J4890" s="152">
        <v>0</v>
      </c>
      <c r="L4890" s="215">
        <v>0.49680000000000002</v>
      </c>
      <c r="M4890" s="30">
        <v>22.940372</v>
      </c>
      <c r="N4890" s="33">
        <f t="shared" si="473"/>
        <v>11.3967768096</v>
      </c>
      <c r="O4890" s="34"/>
      <c r="P4890" s="36" t="str">
        <f t="shared" si="468"/>
        <v/>
      </c>
      <c r="Q4890" s="216">
        <f t="shared" si="469"/>
        <v>0.14399999999999991</v>
      </c>
      <c r="R4890" s="216">
        <f t="shared" si="470"/>
        <v>0.14399999999999991</v>
      </c>
      <c r="S4890" s="217" t="str">
        <f t="shared" si="471"/>
        <v/>
      </c>
    </row>
    <row r="4891" spans="1:19" ht="15.75" hidden="1" thickBot="1" x14ac:dyDescent="0.3">
      <c r="A4891" s="262"/>
      <c r="B4891" s="260"/>
      <c r="C4891" s="35" t="s">
        <v>584</v>
      </c>
      <c r="D4891" s="35" t="s">
        <v>583</v>
      </c>
      <c r="E4891" s="36">
        <v>0.34949999999999998</v>
      </c>
      <c r="F4891" s="30">
        <v>20.225499999999997</v>
      </c>
      <c r="G4891" s="33">
        <f t="shared" si="472"/>
        <v>7.0688122499999988</v>
      </c>
      <c r="H4891" s="34"/>
      <c r="I4891" s="30"/>
      <c r="J4891" s="152">
        <v>0</v>
      </c>
      <c r="L4891" s="215">
        <v>0.34949999999999998</v>
      </c>
      <c r="M4891" s="30">
        <v>17.313027999999996</v>
      </c>
      <c r="N4891" s="33">
        <f t="shared" si="473"/>
        <v>6.0509032859999978</v>
      </c>
      <c r="O4891" s="34"/>
      <c r="P4891" s="36" t="str">
        <f t="shared" si="468"/>
        <v/>
      </c>
      <c r="Q4891" s="216">
        <f t="shared" si="469"/>
        <v>0.14400000000000013</v>
      </c>
      <c r="R4891" s="216">
        <f t="shared" si="470"/>
        <v>0.14400000000000013</v>
      </c>
      <c r="S4891" s="217" t="str">
        <f t="shared" si="471"/>
        <v/>
      </c>
    </row>
    <row r="4892" spans="1:19" ht="15.75" hidden="1" thickBot="1" x14ac:dyDescent="0.3">
      <c r="A4892" s="263"/>
      <c r="B4892" s="261"/>
      <c r="C4892" s="35"/>
      <c r="D4892" s="35"/>
      <c r="E4892" s="36"/>
      <c r="F4892" s="30" t="s">
        <v>416</v>
      </c>
      <c r="G4892" s="30" t="str">
        <f t="shared" si="472"/>
        <v/>
      </c>
      <c r="H4892" s="34"/>
      <c r="I4892" s="30"/>
      <c r="J4892" s="152">
        <v>0</v>
      </c>
      <c r="L4892" s="215"/>
      <c r="M4892" s="30"/>
      <c r="N4892" s="30" t="str">
        <f t="shared" si="473"/>
        <v/>
      </c>
      <c r="O4892" s="34"/>
      <c r="P4892" s="36" t="str">
        <f t="shared" si="468"/>
        <v/>
      </c>
      <c r="Q4892" s="216" t="str">
        <f t="shared" si="469"/>
        <v/>
      </c>
      <c r="R4892" s="216" t="str">
        <f t="shared" si="470"/>
        <v/>
      </c>
      <c r="S4892" s="217" t="str">
        <f t="shared" si="471"/>
        <v/>
      </c>
    </row>
    <row r="4893" spans="1:19" ht="15.75" hidden="1" thickBot="1" x14ac:dyDescent="0.3">
      <c r="A4893" s="256" t="s">
        <v>2973</v>
      </c>
      <c r="B4893" s="259" t="str">
        <f>INDEX(Orçamentária!A:B,MATCH(Composições!A4893,Orçamentária!A:A,0),2)</f>
        <v>Bidê 3 furos - Linha Residencial</v>
      </c>
      <c r="C4893" s="40"/>
      <c r="D4893" s="25" t="s">
        <v>16</v>
      </c>
      <c r="E4893" s="26"/>
      <c r="F4893" s="41" t="s">
        <v>416</v>
      </c>
      <c r="G4893" s="27" t="str">
        <f t="shared" si="472"/>
        <v/>
      </c>
      <c r="H4893" s="28"/>
      <c r="I4893" s="29"/>
      <c r="J4893" s="152">
        <v>0</v>
      </c>
      <c r="L4893" s="218"/>
      <c r="M4893" s="41"/>
      <c r="N4893" s="27" t="str">
        <f t="shared" si="473"/>
        <v/>
      </c>
      <c r="O4893" s="28"/>
      <c r="P4893" s="36" t="str">
        <f t="shared" si="468"/>
        <v/>
      </c>
      <c r="Q4893" s="216" t="str">
        <f t="shared" si="469"/>
        <v/>
      </c>
      <c r="R4893" s="216" t="str">
        <f t="shared" si="470"/>
        <v/>
      </c>
      <c r="S4893" s="217" t="str">
        <f t="shared" si="471"/>
        <v/>
      </c>
    </row>
    <row r="4894" spans="1:19" ht="15.75" hidden="1" thickBot="1" x14ac:dyDescent="0.3">
      <c r="A4894" s="262"/>
      <c r="B4894" s="260"/>
      <c r="C4894" s="31"/>
      <c r="D4894" s="31"/>
      <c r="E4894" s="32"/>
      <c r="F4894" s="42" t="s">
        <v>416</v>
      </c>
      <c r="G4894" s="30" t="str">
        <f t="shared" si="472"/>
        <v/>
      </c>
      <c r="H4894" s="34"/>
      <c r="I4894" s="30"/>
      <c r="J4894" s="152">
        <v>0</v>
      </c>
      <c r="L4894" s="219"/>
      <c r="M4894" s="42"/>
      <c r="N4894" s="30" t="str">
        <f t="shared" si="473"/>
        <v/>
      </c>
      <c r="O4894" s="34"/>
      <c r="P4894" s="36" t="str">
        <f t="shared" si="468"/>
        <v/>
      </c>
      <c r="Q4894" s="216" t="str">
        <f t="shared" si="469"/>
        <v/>
      </c>
      <c r="R4894" s="216" t="str">
        <f t="shared" si="470"/>
        <v/>
      </c>
      <c r="S4894" s="217" t="str">
        <f t="shared" si="471"/>
        <v/>
      </c>
    </row>
    <row r="4895" spans="1:19" ht="15.75" hidden="1" thickBot="1" x14ac:dyDescent="0.3">
      <c r="A4895" s="262"/>
      <c r="B4895" s="260"/>
      <c r="C4895" s="35" t="s">
        <v>3101</v>
      </c>
      <c r="D4895" s="46" t="s">
        <v>213</v>
      </c>
      <c r="E4895" s="36">
        <v>1</v>
      </c>
      <c r="F4895" s="33" t="s">
        <v>416</v>
      </c>
      <c r="G4895" s="33" t="str">
        <f t="shared" si="472"/>
        <v/>
      </c>
      <c r="H4895" s="38">
        <f>SUM(G4895:G4900)</f>
        <v>86.792199499999981</v>
      </c>
      <c r="I4895" s="39"/>
      <c r="J4895" s="152">
        <v>0</v>
      </c>
      <c r="L4895" s="215">
        <v>1</v>
      </c>
      <c r="M4895" s="33"/>
      <c r="N4895" s="33" t="str">
        <f t="shared" si="473"/>
        <v/>
      </c>
      <c r="O4895" s="38">
        <f>SUM(N4895:N4900)</f>
        <v>74.294122771999994</v>
      </c>
      <c r="P4895" s="36" t="str">
        <f t="shared" si="468"/>
        <v/>
      </c>
      <c r="Q4895" s="216" t="str">
        <f t="shared" si="469"/>
        <v/>
      </c>
      <c r="R4895" s="216" t="str">
        <f t="shared" si="470"/>
        <v/>
      </c>
      <c r="S4895" s="217">
        <f t="shared" si="471"/>
        <v>0.14399999999999991</v>
      </c>
    </row>
    <row r="4896" spans="1:19" ht="26.25" hidden="1" thickBot="1" x14ac:dyDescent="0.3">
      <c r="A4896" s="262"/>
      <c r="B4896" s="260"/>
      <c r="C4896" s="35" t="s">
        <v>7982</v>
      </c>
      <c r="D4896" s="35" t="s">
        <v>213</v>
      </c>
      <c r="E4896" s="36">
        <v>1</v>
      </c>
      <c r="F4896" s="33">
        <v>14.3925</v>
      </c>
      <c r="G4896" s="53">
        <f t="shared" si="472"/>
        <v>14.3925</v>
      </c>
      <c r="H4896" s="34"/>
      <c r="I4896" s="30"/>
      <c r="J4896" s="152">
        <v>0</v>
      </c>
      <c r="L4896" s="215">
        <v>1</v>
      </c>
      <c r="M4896" s="33">
        <v>12.319980000000001</v>
      </c>
      <c r="N4896" s="53">
        <f t="shared" si="473"/>
        <v>12.319980000000001</v>
      </c>
      <c r="O4896" s="34"/>
      <c r="P4896" s="36" t="str">
        <f t="shared" si="468"/>
        <v/>
      </c>
      <c r="Q4896" s="216">
        <f t="shared" si="469"/>
        <v>0.14399999999999991</v>
      </c>
      <c r="R4896" s="216">
        <f t="shared" si="470"/>
        <v>0.14399999999999991</v>
      </c>
      <c r="S4896" s="217" t="str">
        <f t="shared" si="471"/>
        <v/>
      </c>
    </row>
    <row r="4897" spans="1:19" ht="39" hidden="1" thickBot="1" x14ac:dyDescent="0.3">
      <c r="A4897" s="262"/>
      <c r="B4897" s="260"/>
      <c r="C4897" s="35" t="s">
        <v>8308</v>
      </c>
      <c r="D4897" s="35" t="s">
        <v>213</v>
      </c>
      <c r="E4897" s="36">
        <v>2</v>
      </c>
      <c r="F4897" s="33">
        <v>22.799999999999997</v>
      </c>
      <c r="G4897" s="33">
        <f t="shared" si="472"/>
        <v>45.599999999999994</v>
      </c>
      <c r="H4897" s="34"/>
      <c r="I4897" s="30"/>
      <c r="J4897" s="152">
        <v>0</v>
      </c>
      <c r="L4897" s="215">
        <v>2</v>
      </c>
      <c r="M4897" s="33">
        <v>19.516799999999996</v>
      </c>
      <c r="N4897" s="33">
        <f t="shared" si="473"/>
        <v>39.033599999999993</v>
      </c>
      <c r="O4897" s="34"/>
      <c r="P4897" s="36" t="str">
        <f t="shared" si="468"/>
        <v/>
      </c>
      <c r="Q4897" s="216">
        <f t="shared" si="469"/>
        <v>0.14400000000000002</v>
      </c>
      <c r="R4897" s="216">
        <f t="shared" si="470"/>
        <v>0.14400000000000002</v>
      </c>
      <c r="S4897" s="217" t="str">
        <f t="shared" si="471"/>
        <v/>
      </c>
    </row>
    <row r="4898" spans="1:19" ht="15.75" hidden="1" thickBot="1" x14ac:dyDescent="0.3">
      <c r="A4898" s="262"/>
      <c r="B4898" s="260"/>
      <c r="C4898" s="35" t="s">
        <v>3061</v>
      </c>
      <c r="D4898" s="35" t="s">
        <v>773</v>
      </c>
      <c r="E4898" s="36">
        <v>8.8099999999999998E-2</v>
      </c>
      <c r="F4898" s="33">
        <v>72.836500000000001</v>
      </c>
      <c r="G4898" s="33">
        <f t="shared" si="472"/>
        <v>6.4168956499999998</v>
      </c>
      <c r="H4898" s="34"/>
      <c r="I4898" s="30"/>
      <c r="J4898" s="152">
        <v>0</v>
      </c>
      <c r="L4898" s="215">
        <v>8.8099999999999998E-2</v>
      </c>
      <c r="M4898" s="33">
        <v>62.348044000000002</v>
      </c>
      <c r="N4898" s="33">
        <f t="shared" si="473"/>
        <v>5.4928626763999997</v>
      </c>
      <c r="O4898" s="34"/>
      <c r="P4898" s="36" t="str">
        <f t="shared" si="468"/>
        <v/>
      </c>
      <c r="Q4898" s="216">
        <f t="shared" si="469"/>
        <v>0.14400000000000002</v>
      </c>
      <c r="R4898" s="216">
        <f t="shared" si="470"/>
        <v>0.14400000000000002</v>
      </c>
      <c r="S4898" s="217" t="str">
        <f t="shared" si="471"/>
        <v/>
      </c>
    </row>
    <row r="4899" spans="1:19" ht="26.25" hidden="1" thickBot="1" x14ac:dyDescent="0.3">
      <c r="A4899" s="262"/>
      <c r="B4899" s="260"/>
      <c r="C4899" s="35" t="s">
        <v>825</v>
      </c>
      <c r="D4899" s="35" t="s">
        <v>583</v>
      </c>
      <c r="E4899" s="36">
        <v>0.49680000000000002</v>
      </c>
      <c r="F4899" s="30">
        <v>26.799499999999998</v>
      </c>
      <c r="G4899" s="33">
        <f t="shared" si="472"/>
        <v>13.3139916</v>
      </c>
      <c r="H4899" s="34"/>
      <c r="I4899" s="30"/>
      <c r="J4899" s="152">
        <v>0</v>
      </c>
      <c r="L4899" s="215">
        <v>0.49680000000000002</v>
      </c>
      <c r="M4899" s="30">
        <v>22.940372</v>
      </c>
      <c r="N4899" s="33">
        <f t="shared" si="473"/>
        <v>11.3967768096</v>
      </c>
      <c r="O4899" s="34"/>
      <c r="P4899" s="36" t="str">
        <f t="shared" si="468"/>
        <v/>
      </c>
      <c r="Q4899" s="216">
        <f t="shared" si="469"/>
        <v>0.14399999999999991</v>
      </c>
      <c r="R4899" s="216">
        <f t="shared" si="470"/>
        <v>0.14399999999999991</v>
      </c>
      <c r="S4899" s="217" t="str">
        <f t="shared" si="471"/>
        <v/>
      </c>
    </row>
    <row r="4900" spans="1:19" ht="15.75" hidden="1" thickBot="1" x14ac:dyDescent="0.3">
      <c r="A4900" s="262"/>
      <c r="B4900" s="260"/>
      <c r="C4900" s="35" t="s">
        <v>584</v>
      </c>
      <c r="D4900" s="35" t="s">
        <v>583</v>
      </c>
      <c r="E4900" s="36">
        <v>0.34949999999999998</v>
      </c>
      <c r="F4900" s="30">
        <v>20.225499999999997</v>
      </c>
      <c r="G4900" s="33">
        <f t="shared" si="472"/>
        <v>7.0688122499999988</v>
      </c>
      <c r="H4900" s="34"/>
      <c r="I4900" s="30"/>
      <c r="J4900" s="152">
        <v>0</v>
      </c>
      <c r="L4900" s="215">
        <v>0.34949999999999998</v>
      </c>
      <c r="M4900" s="30">
        <v>17.313027999999996</v>
      </c>
      <c r="N4900" s="33">
        <f t="shared" si="473"/>
        <v>6.0509032859999978</v>
      </c>
      <c r="O4900" s="34"/>
      <c r="P4900" s="36" t="str">
        <f t="shared" si="468"/>
        <v/>
      </c>
      <c r="Q4900" s="216">
        <f t="shared" si="469"/>
        <v>0.14400000000000013</v>
      </c>
      <c r="R4900" s="216">
        <f t="shared" si="470"/>
        <v>0.14400000000000013</v>
      </c>
      <c r="S4900" s="217" t="str">
        <f t="shared" si="471"/>
        <v/>
      </c>
    </row>
    <row r="4901" spans="1:19" ht="15.75" hidden="1" thickBot="1" x14ac:dyDescent="0.3">
      <c r="A4901" s="263"/>
      <c r="B4901" s="261"/>
      <c r="C4901" s="35"/>
      <c r="D4901" s="35"/>
      <c r="E4901" s="36"/>
      <c r="F4901" s="30" t="s">
        <v>416</v>
      </c>
      <c r="G4901" s="30" t="str">
        <f t="shared" si="472"/>
        <v/>
      </c>
      <c r="H4901" s="34"/>
      <c r="I4901" s="30"/>
      <c r="J4901" s="152">
        <v>0</v>
      </c>
      <c r="L4901" s="215"/>
      <c r="M4901" s="30"/>
      <c r="N4901" s="30" t="str">
        <f t="shared" si="473"/>
        <v/>
      </c>
      <c r="O4901" s="34"/>
      <c r="P4901" s="36" t="str">
        <f t="shared" si="468"/>
        <v/>
      </c>
      <c r="Q4901" s="216" t="str">
        <f t="shared" si="469"/>
        <v/>
      </c>
      <c r="R4901" s="216" t="str">
        <f t="shared" si="470"/>
        <v/>
      </c>
      <c r="S4901" s="217" t="str">
        <f t="shared" si="471"/>
        <v/>
      </c>
    </row>
    <row r="4902" spans="1:19" ht="15.75" hidden="1" thickBot="1" x14ac:dyDescent="0.3">
      <c r="A4902" s="256" t="s">
        <v>2976</v>
      </c>
      <c r="B4902" s="259" t="str">
        <f>INDEX(Orçamentária!A:B,MATCH(Composições!A4902,Orçamentária!A:A,0),2)</f>
        <v>Chuveiro de metal com tubo de parede – Linha Residencial</v>
      </c>
      <c r="C4902" s="40"/>
      <c r="D4902" s="25" t="s">
        <v>16</v>
      </c>
      <c r="E4902" s="26"/>
      <c r="F4902" s="48" t="s">
        <v>416</v>
      </c>
      <c r="G4902" s="27" t="str">
        <f t="shared" si="472"/>
        <v/>
      </c>
      <c r="H4902" s="28"/>
      <c r="I4902" s="29"/>
      <c r="J4902" s="152">
        <v>0</v>
      </c>
      <c r="L4902" s="218"/>
      <c r="M4902" s="48"/>
      <c r="N4902" s="27" t="str">
        <f t="shared" si="473"/>
        <v/>
      </c>
      <c r="O4902" s="28"/>
      <c r="P4902" s="36" t="str">
        <f t="shared" si="468"/>
        <v/>
      </c>
      <c r="Q4902" s="216" t="str">
        <f t="shared" si="469"/>
        <v/>
      </c>
      <c r="R4902" s="216" t="str">
        <f t="shared" si="470"/>
        <v/>
      </c>
      <c r="S4902" s="217" t="str">
        <f t="shared" si="471"/>
        <v/>
      </c>
    </row>
    <row r="4903" spans="1:19" ht="15.75" hidden="1" thickBot="1" x14ac:dyDescent="0.3">
      <c r="A4903" s="257"/>
      <c r="B4903" s="260"/>
      <c r="C4903" s="31"/>
      <c r="D4903" s="31"/>
      <c r="E4903" s="32"/>
      <c r="F4903" s="53" t="s">
        <v>416</v>
      </c>
      <c r="G4903" s="53" t="str">
        <f t="shared" si="472"/>
        <v/>
      </c>
      <c r="H4903" s="72"/>
      <c r="I4903" s="73"/>
      <c r="J4903" s="152">
        <v>0</v>
      </c>
      <c r="L4903" s="219"/>
      <c r="M4903" s="53"/>
      <c r="N4903" s="53" t="str">
        <f t="shared" si="473"/>
        <v/>
      </c>
      <c r="O4903" s="72"/>
      <c r="P4903" s="36" t="str">
        <f t="shared" si="468"/>
        <v/>
      </c>
      <c r="Q4903" s="216" t="str">
        <f t="shared" si="469"/>
        <v/>
      </c>
      <c r="R4903" s="216" t="str">
        <f t="shared" si="470"/>
        <v/>
      </c>
      <c r="S4903" s="217" t="str">
        <f t="shared" si="471"/>
        <v/>
      </c>
    </row>
    <row r="4904" spans="1:19" ht="26.25" hidden="1" thickBot="1" x14ac:dyDescent="0.3">
      <c r="A4904" s="257"/>
      <c r="B4904" s="260"/>
      <c r="C4904" s="35" t="s">
        <v>3102</v>
      </c>
      <c r="D4904" s="35" t="s">
        <v>213</v>
      </c>
      <c r="E4904" s="36">
        <v>1</v>
      </c>
      <c r="F4904" s="53" t="s">
        <v>416</v>
      </c>
      <c r="G4904" s="53" t="str">
        <f t="shared" si="472"/>
        <v/>
      </c>
      <c r="H4904" s="38">
        <f>SUM(G4904:G4907)</f>
        <v>14.901851999999998</v>
      </c>
      <c r="I4904" s="39"/>
      <c r="J4904" s="152">
        <v>0</v>
      </c>
      <c r="L4904" s="215">
        <v>1</v>
      </c>
      <c r="M4904" s="53"/>
      <c r="N4904" s="53" t="str">
        <f t="shared" si="473"/>
        <v/>
      </c>
      <c r="O4904" s="38">
        <f>SUM(N4904:N4907)</f>
        <v>12.755985311999998</v>
      </c>
      <c r="P4904" s="36" t="str">
        <f t="shared" si="468"/>
        <v/>
      </c>
      <c r="Q4904" s="216" t="str">
        <f t="shared" si="469"/>
        <v/>
      </c>
      <c r="R4904" s="216" t="str">
        <f t="shared" si="470"/>
        <v/>
      </c>
      <c r="S4904" s="217">
        <f t="shared" si="471"/>
        <v>0.14400000000000002</v>
      </c>
    </row>
    <row r="4905" spans="1:19" ht="15.75" hidden="1" thickBot="1" x14ac:dyDescent="0.3">
      <c r="A4905" s="257"/>
      <c r="B4905" s="260"/>
      <c r="C4905" s="35" t="s">
        <v>8171</v>
      </c>
      <c r="D4905" s="35" t="s">
        <v>213</v>
      </c>
      <c r="E4905" s="36">
        <v>2.1000000000000001E-2</v>
      </c>
      <c r="F4905" s="53">
        <v>4.0374999999999996</v>
      </c>
      <c r="G4905" s="53">
        <f t="shared" si="472"/>
        <v>8.4787500000000002E-2</v>
      </c>
      <c r="H4905" s="72"/>
      <c r="I4905" s="73"/>
      <c r="J4905" s="152">
        <v>0</v>
      </c>
      <c r="L4905" s="215">
        <v>2.1000000000000001E-2</v>
      </c>
      <c r="M4905" s="53">
        <v>3.4560999999999997</v>
      </c>
      <c r="N4905" s="53">
        <f t="shared" si="473"/>
        <v>7.2578099999999993E-2</v>
      </c>
      <c r="O4905" s="72"/>
      <c r="P4905" s="36" t="str">
        <f t="shared" si="468"/>
        <v/>
      </c>
      <c r="Q4905" s="216">
        <f t="shared" si="469"/>
        <v>0.14400000000000002</v>
      </c>
      <c r="R4905" s="216">
        <f t="shared" si="470"/>
        <v>0.14400000000000013</v>
      </c>
      <c r="S4905" s="217" t="str">
        <f t="shared" si="471"/>
        <v/>
      </c>
    </row>
    <row r="4906" spans="1:19" ht="26.25" hidden="1" thickBot="1" x14ac:dyDescent="0.3">
      <c r="A4906" s="257"/>
      <c r="B4906" s="260"/>
      <c r="C4906" s="35" t="s">
        <v>825</v>
      </c>
      <c r="D4906" s="35" t="s">
        <v>583</v>
      </c>
      <c r="E4906" s="36">
        <v>0.44669999999999999</v>
      </c>
      <c r="F4906" s="53">
        <v>26.799499999999998</v>
      </c>
      <c r="G4906" s="53">
        <f t="shared" si="472"/>
        <v>11.97133665</v>
      </c>
      <c r="H4906" s="72"/>
      <c r="I4906" s="73"/>
      <c r="J4906" s="152">
        <v>0</v>
      </c>
      <c r="L4906" s="215">
        <v>0.44669999999999999</v>
      </c>
      <c r="M4906" s="53">
        <v>22.940372</v>
      </c>
      <c r="N4906" s="53">
        <f t="shared" si="473"/>
        <v>10.247464172399999</v>
      </c>
      <c r="O4906" s="72"/>
      <c r="P4906" s="36" t="str">
        <f t="shared" si="468"/>
        <v/>
      </c>
      <c r="Q4906" s="216">
        <f t="shared" si="469"/>
        <v>0.14399999999999991</v>
      </c>
      <c r="R4906" s="216">
        <f t="shared" si="470"/>
        <v>0.14400000000000002</v>
      </c>
      <c r="S4906" s="217" t="str">
        <f t="shared" si="471"/>
        <v/>
      </c>
    </row>
    <row r="4907" spans="1:19" ht="15.75" hidden="1" thickBot="1" x14ac:dyDescent="0.3">
      <c r="A4907" s="257"/>
      <c r="B4907" s="260"/>
      <c r="C4907" s="35" t="s">
        <v>584</v>
      </c>
      <c r="D4907" s="35" t="s">
        <v>583</v>
      </c>
      <c r="E4907" s="36">
        <v>0.14069999999999999</v>
      </c>
      <c r="F4907" s="53">
        <v>20.225499999999997</v>
      </c>
      <c r="G4907" s="53">
        <f t="shared" si="472"/>
        <v>2.8457278499999994</v>
      </c>
      <c r="H4907" s="72"/>
      <c r="I4907" s="73"/>
      <c r="J4907" s="152">
        <v>0</v>
      </c>
      <c r="L4907" s="215">
        <v>0.14069999999999999</v>
      </c>
      <c r="M4907" s="53">
        <v>17.313027999999996</v>
      </c>
      <c r="N4907" s="53">
        <f t="shared" si="473"/>
        <v>2.4359430395999992</v>
      </c>
      <c r="O4907" s="72"/>
      <c r="P4907" s="36" t="str">
        <f t="shared" si="468"/>
        <v/>
      </c>
      <c r="Q4907" s="216">
        <f t="shared" si="469"/>
        <v>0.14400000000000013</v>
      </c>
      <c r="R4907" s="216">
        <f t="shared" si="470"/>
        <v>0.14400000000000013</v>
      </c>
      <c r="S4907" s="217" t="str">
        <f t="shared" si="471"/>
        <v/>
      </c>
    </row>
    <row r="4908" spans="1:19" ht="15.75" hidden="1" thickBot="1" x14ac:dyDescent="0.3">
      <c r="A4908" s="258"/>
      <c r="B4908" s="261"/>
      <c r="C4908" s="35"/>
      <c r="D4908" s="35"/>
      <c r="E4908" s="36"/>
      <c r="F4908" s="53" t="s">
        <v>416</v>
      </c>
      <c r="G4908" s="53" t="str">
        <f t="shared" si="472"/>
        <v/>
      </c>
      <c r="H4908" s="72"/>
      <c r="I4908" s="73"/>
      <c r="J4908" s="152">
        <v>0</v>
      </c>
      <c r="L4908" s="215"/>
      <c r="M4908" s="53"/>
      <c r="N4908" s="53" t="str">
        <f t="shared" si="473"/>
        <v/>
      </c>
      <c r="O4908" s="72"/>
      <c r="P4908" s="36" t="str">
        <f t="shared" si="468"/>
        <v/>
      </c>
      <c r="Q4908" s="216" t="str">
        <f t="shared" si="469"/>
        <v/>
      </c>
      <c r="R4908" s="216" t="str">
        <f t="shared" si="470"/>
        <v/>
      </c>
      <c r="S4908" s="217" t="str">
        <f t="shared" si="471"/>
        <v/>
      </c>
    </row>
    <row r="4909" spans="1:19" ht="15.75" hidden="1" thickBot="1" x14ac:dyDescent="0.3">
      <c r="A4909" s="256" t="s">
        <v>2977</v>
      </c>
      <c r="B4909" s="259" t="str">
        <f>INDEX(Orçamentária!A:B,MATCH(Composições!A4909,Orçamentária!A:A,0),2)</f>
        <v>Misturador para bidê – Linha Residencial</v>
      </c>
      <c r="C4909" s="40"/>
      <c r="D4909" s="25" t="s">
        <v>16</v>
      </c>
      <c r="E4909" s="26"/>
      <c r="F4909" s="48" t="s">
        <v>416</v>
      </c>
      <c r="G4909" s="27" t="str">
        <f t="shared" si="472"/>
        <v/>
      </c>
      <c r="H4909" s="28"/>
      <c r="I4909" s="29"/>
      <c r="J4909" s="152">
        <v>0</v>
      </c>
      <c r="L4909" s="218"/>
      <c r="M4909" s="48"/>
      <c r="N4909" s="27" t="str">
        <f t="shared" si="473"/>
        <v/>
      </c>
      <c r="O4909" s="28"/>
      <c r="P4909" s="36" t="str">
        <f t="shared" si="468"/>
        <v/>
      </c>
      <c r="Q4909" s="216" t="str">
        <f t="shared" si="469"/>
        <v/>
      </c>
      <c r="R4909" s="216" t="str">
        <f t="shared" si="470"/>
        <v/>
      </c>
      <c r="S4909" s="217" t="str">
        <f t="shared" si="471"/>
        <v/>
      </c>
    </row>
    <row r="4910" spans="1:19" ht="15.75" hidden="1" thickBot="1" x14ac:dyDescent="0.3">
      <c r="A4910" s="257"/>
      <c r="B4910" s="260"/>
      <c r="C4910" s="31"/>
      <c r="D4910" s="31"/>
      <c r="E4910" s="32"/>
      <c r="F4910" s="53" t="s">
        <v>416</v>
      </c>
      <c r="G4910" s="53" t="str">
        <f t="shared" si="472"/>
        <v/>
      </c>
      <c r="H4910" s="72"/>
      <c r="I4910" s="73"/>
      <c r="J4910" s="152">
        <v>0</v>
      </c>
      <c r="L4910" s="219"/>
      <c r="M4910" s="53"/>
      <c r="N4910" s="53" t="str">
        <f t="shared" si="473"/>
        <v/>
      </c>
      <c r="O4910" s="72"/>
      <c r="P4910" s="36" t="str">
        <f t="shared" si="468"/>
        <v/>
      </c>
      <c r="Q4910" s="216" t="str">
        <f t="shared" si="469"/>
        <v/>
      </c>
      <c r="R4910" s="216" t="str">
        <f t="shared" si="470"/>
        <v/>
      </c>
      <c r="S4910" s="217" t="str">
        <f t="shared" si="471"/>
        <v/>
      </c>
    </row>
    <row r="4911" spans="1:19" ht="15.75" hidden="1" thickBot="1" x14ac:dyDescent="0.3">
      <c r="A4911" s="257"/>
      <c r="B4911" s="260"/>
      <c r="C4911" s="35" t="s">
        <v>8171</v>
      </c>
      <c r="D4911" s="35" t="s">
        <v>213</v>
      </c>
      <c r="E4911" s="36">
        <v>4.2000000000000003E-2</v>
      </c>
      <c r="F4911" s="53">
        <v>4.0374999999999996</v>
      </c>
      <c r="G4911" s="53">
        <f t="shared" si="472"/>
        <v>0.169575</v>
      </c>
      <c r="H4911" s="38">
        <f>SUM(G4911:G4914)</f>
        <v>15.538706349999998</v>
      </c>
      <c r="I4911" s="39"/>
      <c r="J4911" s="152">
        <v>0</v>
      </c>
      <c r="L4911" s="215">
        <v>4.2000000000000003E-2</v>
      </c>
      <c r="M4911" s="53">
        <v>3.4560999999999997</v>
      </c>
      <c r="N4911" s="53">
        <f t="shared" si="473"/>
        <v>0.14515619999999999</v>
      </c>
      <c r="O4911" s="38">
        <f>SUM(N4911:N4914)</f>
        <v>13.3011326356</v>
      </c>
      <c r="P4911" s="36" t="str">
        <f t="shared" si="468"/>
        <v/>
      </c>
      <c r="Q4911" s="216">
        <f t="shared" si="469"/>
        <v>0.14400000000000002</v>
      </c>
      <c r="R4911" s="216">
        <f t="shared" si="470"/>
        <v>0.14400000000000013</v>
      </c>
      <c r="S4911" s="217">
        <f t="shared" si="471"/>
        <v>0.14399999999999991</v>
      </c>
    </row>
    <row r="4912" spans="1:19" ht="15.75" hidden="1" thickBot="1" x14ac:dyDescent="0.3">
      <c r="A4912" s="257"/>
      <c r="B4912" s="260"/>
      <c r="C4912" s="35" t="s">
        <v>3100</v>
      </c>
      <c r="D4912" s="35" t="s">
        <v>213</v>
      </c>
      <c r="E4912" s="36">
        <v>1</v>
      </c>
      <c r="F4912" s="53" t="s">
        <v>416</v>
      </c>
      <c r="G4912" s="53" t="str">
        <f t="shared" si="472"/>
        <v/>
      </c>
      <c r="H4912" s="72"/>
      <c r="I4912" s="73"/>
      <c r="J4912" s="152">
        <v>0</v>
      </c>
      <c r="L4912" s="215">
        <v>1</v>
      </c>
      <c r="M4912" s="53"/>
      <c r="N4912" s="53" t="str">
        <f t="shared" si="473"/>
        <v/>
      </c>
      <c r="O4912" s="72"/>
      <c r="P4912" s="36" t="str">
        <f t="shared" si="468"/>
        <v/>
      </c>
      <c r="Q4912" s="216" t="str">
        <f t="shared" si="469"/>
        <v/>
      </c>
      <c r="R4912" s="216" t="str">
        <f t="shared" si="470"/>
        <v/>
      </c>
      <c r="S4912" s="217" t="str">
        <f t="shared" si="471"/>
        <v/>
      </c>
    </row>
    <row r="4913" spans="1:19" ht="26.25" hidden="1" thickBot="1" x14ac:dyDescent="0.3">
      <c r="A4913" s="257"/>
      <c r="B4913" s="260"/>
      <c r="C4913" s="35" t="s">
        <v>825</v>
      </c>
      <c r="D4913" s="35" t="s">
        <v>583</v>
      </c>
      <c r="E4913" s="36">
        <v>0.46329999999999999</v>
      </c>
      <c r="F4913" s="53">
        <v>26.799499999999998</v>
      </c>
      <c r="G4913" s="53">
        <f t="shared" si="472"/>
        <v>12.41620835</v>
      </c>
      <c r="H4913" s="72"/>
      <c r="I4913" s="73"/>
      <c r="J4913" s="152">
        <v>0</v>
      </c>
      <c r="L4913" s="215">
        <v>0.46329999999999999</v>
      </c>
      <c r="M4913" s="53">
        <v>22.940372</v>
      </c>
      <c r="N4913" s="53">
        <f t="shared" si="473"/>
        <v>10.6282743476</v>
      </c>
      <c r="O4913" s="72"/>
      <c r="P4913" s="36" t="str">
        <f t="shared" si="468"/>
        <v/>
      </c>
      <c r="Q4913" s="216">
        <f t="shared" si="469"/>
        <v>0.14399999999999991</v>
      </c>
      <c r="R4913" s="216">
        <f t="shared" si="470"/>
        <v>0.14400000000000002</v>
      </c>
      <c r="S4913" s="217" t="str">
        <f t="shared" si="471"/>
        <v/>
      </c>
    </row>
    <row r="4914" spans="1:19" ht="15.75" hidden="1" thickBot="1" x14ac:dyDescent="0.3">
      <c r="A4914" s="257"/>
      <c r="B4914" s="260"/>
      <c r="C4914" s="35" t="s">
        <v>584</v>
      </c>
      <c r="D4914" s="35" t="s">
        <v>583</v>
      </c>
      <c r="E4914" s="36">
        <v>0.14599999999999999</v>
      </c>
      <c r="F4914" s="53">
        <v>20.225499999999997</v>
      </c>
      <c r="G4914" s="53">
        <f t="shared" si="472"/>
        <v>2.9529229999999993</v>
      </c>
      <c r="H4914" s="72"/>
      <c r="I4914" s="73"/>
      <c r="J4914" s="152">
        <v>0</v>
      </c>
      <c r="L4914" s="215">
        <v>0.14599999999999999</v>
      </c>
      <c r="M4914" s="53">
        <v>17.313027999999996</v>
      </c>
      <c r="N4914" s="53">
        <f t="shared" si="473"/>
        <v>2.5277020879999994</v>
      </c>
      <c r="O4914" s="72"/>
      <c r="P4914" s="36" t="str">
        <f t="shared" si="468"/>
        <v/>
      </c>
      <c r="Q4914" s="216">
        <f t="shared" si="469"/>
        <v>0.14400000000000013</v>
      </c>
      <c r="R4914" s="216">
        <f t="shared" si="470"/>
        <v>0.14400000000000002</v>
      </c>
      <c r="S4914" s="217" t="str">
        <f t="shared" si="471"/>
        <v/>
      </c>
    </row>
    <row r="4915" spans="1:19" ht="15.75" hidden="1" thickBot="1" x14ac:dyDescent="0.3">
      <c r="A4915" s="258"/>
      <c r="B4915" s="261"/>
      <c r="C4915" s="35"/>
      <c r="D4915" s="35"/>
      <c r="E4915" s="36"/>
      <c r="F4915" s="53" t="s">
        <v>416</v>
      </c>
      <c r="G4915" s="53" t="str">
        <f t="shared" si="472"/>
        <v/>
      </c>
      <c r="H4915" s="72"/>
      <c r="I4915" s="73"/>
      <c r="J4915" s="152">
        <v>0</v>
      </c>
      <c r="L4915" s="215"/>
      <c r="M4915" s="53"/>
      <c r="N4915" s="53" t="str">
        <f t="shared" si="473"/>
        <v/>
      </c>
      <c r="O4915" s="72"/>
      <c r="P4915" s="36" t="str">
        <f t="shared" si="468"/>
        <v/>
      </c>
      <c r="Q4915" s="216" t="str">
        <f t="shared" si="469"/>
        <v/>
      </c>
      <c r="R4915" s="216" t="str">
        <f t="shared" si="470"/>
        <v/>
      </c>
      <c r="S4915" s="217" t="str">
        <f t="shared" si="471"/>
        <v/>
      </c>
    </row>
    <row r="4916" spans="1:19" ht="15.75" hidden="1" thickBot="1" x14ac:dyDescent="0.3">
      <c r="A4916" s="256" t="s">
        <v>2978</v>
      </c>
      <c r="B4916" s="259" t="str">
        <f>INDEX(Orçamentária!A:B,MATCH(Composições!A4916,Orçamentária!A:A,0),2)</f>
        <v>Misturador de mesa para cozinha bica móvel – Linha Residencial</v>
      </c>
      <c r="C4916" s="40"/>
      <c r="D4916" s="25" t="s">
        <v>16</v>
      </c>
      <c r="E4916" s="26"/>
      <c r="F4916" s="48" t="s">
        <v>416</v>
      </c>
      <c r="G4916" s="27" t="str">
        <f t="shared" si="472"/>
        <v/>
      </c>
      <c r="H4916" s="28"/>
      <c r="I4916" s="29"/>
      <c r="J4916" s="152">
        <v>0</v>
      </c>
      <c r="L4916" s="218"/>
      <c r="M4916" s="48"/>
      <c r="N4916" s="27" t="str">
        <f t="shared" si="473"/>
        <v/>
      </c>
      <c r="O4916" s="28"/>
      <c r="P4916" s="36" t="str">
        <f t="shared" si="468"/>
        <v/>
      </c>
      <c r="Q4916" s="216" t="str">
        <f t="shared" si="469"/>
        <v/>
      </c>
      <c r="R4916" s="216" t="str">
        <f t="shared" si="470"/>
        <v/>
      </c>
      <c r="S4916" s="217" t="str">
        <f t="shared" si="471"/>
        <v/>
      </c>
    </row>
    <row r="4917" spans="1:19" ht="15.75" hidden="1" thickBot="1" x14ac:dyDescent="0.3">
      <c r="A4917" s="257"/>
      <c r="B4917" s="260"/>
      <c r="C4917" s="31"/>
      <c r="D4917" s="31"/>
      <c r="E4917" s="32"/>
      <c r="F4917" s="53" t="s">
        <v>416</v>
      </c>
      <c r="G4917" s="53" t="str">
        <f t="shared" si="472"/>
        <v/>
      </c>
      <c r="H4917" s="72"/>
      <c r="I4917" s="73"/>
      <c r="J4917" s="152">
        <v>0</v>
      </c>
      <c r="L4917" s="219"/>
      <c r="M4917" s="53"/>
      <c r="N4917" s="53" t="str">
        <f t="shared" si="473"/>
        <v/>
      </c>
      <c r="O4917" s="72"/>
      <c r="P4917" s="36" t="str">
        <f t="shared" si="468"/>
        <v/>
      </c>
      <c r="Q4917" s="216" t="str">
        <f t="shared" si="469"/>
        <v/>
      </c>
      <c r="R4917" s="216" t="str">
        <f t="shared" si="470"/>
        <v/>
      </c>
      <c r="S4917" s="217" t="str">
        <f t="shared" si="471"/>
        <v/>
      </c>
    </row>
    <row r="4918" spans="1:19" ht="15.75" hidden="1" thickBot="1" x14ac:dyDescent="0.3">
      <c r="A4918" s="257"/>
      <c r="B4918" s="260"/>
      <c r="C4918" s="35" t="s">
        <v>8171</v>
      </c>
      <c r="D4918" s="35" t="s">
        <v>213</v>
      </c>
      <c r="E4918" s="36">
        <v>4.2000000000000003E-2</v>
      </c>
      <c r="F4918" s="53">
        <v>4.0374999999999996</v>
      </c>
      <c r="G4918" s="53">
        <f t="shared" si="472"/>
        <v>0.169575</v>
      </c>
      <c r="H4918" s="38">
        <f>SUM(G4918:G4921)</f>
        <v>7.6864423999999998</v>
      </c>
      <c r="I4918" s="39"/>
      <c r="J4918" s="152">
        <v>0</v>
      </c>
      <c r="L4918" s="215">
        <v>4.2000000000000003E-2</v>
      </c>
      <c r="M4918" s="53">
        <v>3.4560999999999997</v>
      </c>
      <c r="N4918" s="53">
        <f t="shared" si="473"/>
        <v>0.14515619999999999</v>
      </c>
      <c r="O4918" s="38">
        <f>SUM(N4918:N4921)</f>
        <v>6.5795946943999999</v>
      </c>
      <c r="P4918" s="36" t="str">
        <f t="shared" si="468"/>
        <v/>
      </c>
      <c r="Q4918" s="216">
        <f t="shared" si="469"/>
        <v>0.14400000000000002</v>
      </c>
      <c r="R4918" s="216">
        <f t="shared" si="470"/>
        <v>0.14400000000000013</v>
      </c>
      <c r="S4918" s="217">
        <f t="shared" si="471"/>
        <v>0.14400000000000002</v>
      </c>
    </row>
    <row r="4919" spans="1:19" ht="26.25" hidden="1" thickBot="1" x14ac:dyDescent="0.3">
      <c r="A4919" s="257"/>
      <c r="B4919" s="260"/>
      <c r="C4919" s="35" t="s">
        <v>3099</v>
      </c>
      <c r="D4919" s="35" t="s">
        <v>213</v>
      </c>
      <c r="E4919" s="36">
        <v>1</v>
      </c>
      <c r="F4919" s="53" t="s">
        <v>416</v>
      </c>
      <c r="G4919" s="53" t="str">
        <f t="shared" si="472"/>
        <v/>
      </c>
      <c r="H4919" s="72"/>
      <c r="I4919" s="73"/>
      <c r="J4919" s="152">
        <v>0</v>
      </c>
      <c r="L4919" s="215">
        <v>1</v>
      </c>
      <c r="M4919" s="53"/>
      <c r="N4919" s="53" t="str">
        <f t="shared" si="473"/>
        <v/>
      </c>
      <c r="O4919" s="72"/>
      <c r="P4919" s="36" t="str">
        <f t="shared" si="468"/>
        <v/>
      </c>
      <c r="Q4919" s="216" t="str">
        <f t="shared" si="469"/>
        <v/>
      </c>
      <c r="R4919" s="216" t="str">
        <f t="shared" si="470"/>
        <v/>
      </c>
      <c r="S4919" s="217" t="str">
        <f t="shared" si="471"/>
        <v/>
      </c>
    </row>
    <row r="4920" spans="1:19" ht="26.25" hidden="1" thickBot="1" x14ac:dyDescent="0.3">
      <c r="A4920" s="257"/>
      <c r="B4920" s="260"/>
      <c r="C4920" s="35" t="s">
        <v>825</v>
      </c>
      <c r="D4920" s="35" t="s">
        <v>583</v>
      </c>
      <c r="E4920" s="36">
        <v>0.2266</v>
      </c>
      <c r="F4920" s="53">
        <v>26.799499999999998</v>
      </c>
      <c r="G4920" s="53">
        <f t="shared" si="472"/>
        <v>6.0727666999999999</v>
      </c>
      <c r="H4920" s="72"/>
      <c r="I4920" s="73"/>
      <c r="J4920" s="152">
        <v>0</v>
      </c>
      <c r="L4920" s="215">
        <v>0.2266</v>
      </c>
      <c r="M4920" s="53">
        <v>22.940372</v>
      </c>
      <c r="N4920" s="53">
        <f t="shared" si="473"/>
        <v>5.1982882952000002</v>
      </c>
      <c r="O4920" s="72"/>
      <c r="P4920" s="36" t="str">
        <f t="shared" si="468"/>
        <v/>
      </c>
      <c r="Q4920" s="216">
        <f t="shared" si="469"/>
        <v>0.14399999999999991</v>
      </c>
      <c r="R4920" s="216">
        <f t="shared" si="470"/>
        <v>0.14399999999999991</v>
      </c>
      <c r="S4920" s="217" t="str">
        <f t="shared" si="471"/>
        <v/>
      </c>
    </row>
    <row r="4921" spans="1:19" ht="15.75" hidden="1" thickBot="1" x14ac:dyDescent="0.3">
      <c r="A4921" s="257"/>
      <c r="B4921" s="260"/>
      <c r="C4921" s="35" t="s">
        <v>584</v>
      </c>
      <c r="D4921" s="35" t="s">
        <v>583</v>
      </c>
      <c r="E4921" s="36">
        <v>7.1400000000000005E-2</v>
      </c>
      <c r="F4921" s="53">
        <v>20.225499999999997</v>
      </c>
      <c r="G4921" s="53">
        <f t="shared" si="472"/>
        <v>1.4441006999999999</v>
      </c>
      <c r="H4921" s="72"/>
      <c r="I4921" s="73"/>
      <c r="J4921" s="152">
        <v>0</v>
      </c>
      <c r="L4921" s="215">
        <v>7.1400000000000005E-2</v>
      </c>
      <c r="M4921" s="53">
        <v>17.313027999999996</v>
      </c>
      <c r="N4921" s="53">
        <f t="shared" si="473"/>
        <v>1.2361501991999997</v>
      </c>
      <c r="O4921" s="72"/>
      <c r="P4921" s="36" t="str">
        <f t="shared" si="468"/>
        <v/>
      </c>
      <c r="Q4921" s="216">
        <f t="shared" si="469"/>
        <v>0.14400000000000013</v>
      </c>
      <c r="R4921" s="216">
        <f t="shared" si="470"/>
        <v>0.14400000000000013</v>
      </c>
      <c r="S4921" s="217" t="str">
        <f t="shared" si="471"/>
        <v/>
      </c>
    </row>
    <row r="4922" spans="1:19" ht="15.75" hidden="1" thickBot="1" x14ac:dyDescent="0.3">
      <c r="A4922" s="258"/>
      <c r="B4922" s="261"/>
      <c r="C4922" s="35"/>
      <c r="D4922" s="35"/>
      <c r="E4922" s="36"/>
      <c r="F4922" s="53" t="s">
        <v>416</v>
      </c>
      <c r="G4922" s="53" t="str">
        <f t="shared" si="472"/>
        <v/>
      </c>
      <c r="H4922" s="72"/>
      <c r="I4922" s="73"/>
      <c r="J4922" s="152">
        <v>0</v>
      </c>
      <c r="L4922" s="215"/>
      <c r="M4922" s="53"/>
      <c r="N4922" s="53" t="str">
        <f t="shared" si="473"/>
        <v/>
      </c>
      <c r="O4922" s="72"/>
      <c r="P4922" s="36" t="str">
        <f t="shared" si="468"/>
        <v/>
      </c>
      <c r="Q4922" s="216" t="str">
        <f t="shared" si="469"/>
        <v/>
      </c>
      <c r="R4922" s="216" t="str">
        <f t="shared" si="470"/>
        <v/>
      </c>
      <c r="S4922" s="217" t="str">
        <f t="shared" si="471"/>
        <v/>
      </c>
    </row>
    <row r="4923" spans="1:19" ht="15.75" hidden="1" thickBot="1" x14ac:dyDescent="0.3">
      <c r="A4923" s="256" t="s">
        <v>2979</v>
      </c>
      <c r="B4923" s="259" t="str">
        <f>INDEX(Orçamentária!A:B,MATCH(Composições!A4923,Orçamentária!A:A,0),2)</f>
        <v>Misturador de mesa para lavatório bica alta – Linha Residencial</v>
      </c>
      <c r="C4923" s="40"/>
      <c r="D4923" s="25" t="s">
        <v>16</v>
      </c>
      <c r="E4923" s="26"/>
      <c r="F4923" s="48" t="s">
        <v>416</v>
      </c>
      <c r="G4923" s="27" t="str">
        <f t="shared" si="472"/>
        <v/>
      </c>
      <c r="H4923" s="28"/>
      <c r="I4923" s="29"/>
      <c r="J4923" s="152">
        <v>0</v>
      </c>
      <c r="L4923" s="218"/>
      <c r="M4923" s="48"/>
      <c r="N4923" s="27" t="str">
        <f t="shared" si="473"/>
        <v/>
      </c>
      <c r="O4923" s="28"/>
      <c r="P4923" s="36" t="str">
        <f t="shared" si="468"/>
        <v/>
      </c>
      <c r="Q4923" s="216" t="str">
        <f t="shared" si="469"/>
        <v/>
      </c>
      <c r="R4923" s="216" t="str">
        <f t="shared" si="470"/>
        <v/>
      </c>
      <c r="S4923" s="217" t="str">
        <f t="shared" si="471"/>
        <v/>
      </c>
    </row>
    <row r="4924" spans="1:19" ht="15.75" hidden="1" thickBot="1" x14ac:dyDescent="0.3">
      <c r="A4924" s="257"/>
      <c r="B4924" s="260"/>
      <c r="C4924" s="31"/>
      <c r="D4924" s="31"/>
      <c r="E4924" s="32"/>
      <c r="F4924" s="53" t="s">
        <v>416</v>
      </c>
      <c r="G4924" s="53" t="str">
        <f t="shared" si="472"/>
        <v/>
      </c>
      <c r="H4924" s="72"/>
      <c r="I4924" s="73"/>
      <c r="J4924" s="152">
        <v>0</v>
      </c>
      <c r="L4924" s="219"/>
      <c r="M4924" s="53"/>
      <c r="N4924" s="53" t="str">
        <f t="shared" si="473"/>
        <v/>
      </c>
      <c r="O4924" s="72"/>
      <c r="P4924" s="36" t="str">
        <f t="shared" si="468"/>
        <v/>
      </c>
      <c r="Q4924" s="216" t="str">
        <f t="shared" si="469"/>
        <v/>
      </c>
      <c r="R4924" s="216" t="str">
        <f t="shared" si="470"/>
        <v/>
      </c>
      <c r="S4924" s="217" t="str">
        <f t="shared" si="471"/>
        <v/>
      </c>
    </row>
    <row r="4925" spans="1:19" ht="15.75" hidden="1" thickBot="1" x14ac:dyDescent="0.3">
      <c r="A4925" s="257"/>
      <c r="B4925" s="260"/>
      <c r="C4925" s="35" t="s">
        <v>8171</v>
      </c>
      <c r="D4925" s="35" t="s">
        <v>213</v>
      </c>
      <c r="E4925" s="36">
        <v>4.2000000000000003E-2</v>
      </c>
      <c r="F4925" s="53">
        <v>4.0374999999999996</v>
      </c>
      <c r="G4925" s="53">
        <f t="shared" si="472"/>
        <v>0.169575</v>
      </c>
      <c r="H4925" s="38">
        <f>SUM(G4925:G4928)</f>
        <v>15.538706349999998</v>
      </c>
      <c r="I4925" s="39"/>
      <c r="J4925" s="152">
        <v>0</v>
      </c>
      <c r="L4925" s="215">
        <v>4.2000000000000003E-2</v>
      </c>
      <c r="M4925" s="53">
        <v>3.4560999999999997</v>
      </c>
      <c r="N4925" s="53">
        <f t="shared" si="473"/>
        <v>0.14515619999999999</v>
      </c>
      <c r="O4925" s="38">
        <f>SUM(N4925:N4928)</f>
        <v>13.3011326356</v>
      </c>
      <c r="P4925" s="36" t="str">
        <f t="shared" si="468"/>
        <v/>
      </c>
      <c r="Q4925" s="216">
        <f t="shared" si="469"/>
        <v>0.14400000000000002</v>
      </c>
      <c r="R4925" s="216">
        <f t="shared" si="470"/>
        <v>0.14400000000000013</v>
      </c>
      <c r="S4925" s="217">
        <f t="shared" si="471"/>
        <v>0.14399999999999991</v>
      </c>
    </row>
    <row r="4926" spans="1:19" ht="26.25" hidden="1" thickBot="1" x14ac:dyDescent="0.3">
      <c r="A4926" s="257"/>
      <c r="B4926" s="260"/>
      <c r="C4926" s="35" t="s">
        <v>3104</v>
      </c>
      <c r="D4926" s="35" t="s">
        <v>213</v>
      </c>
      <c r="E4926" s="36">
        <v>1</v>
      </c>
      <c r="F4926" s="53" t="s">
        <v>416</v>
      </c>
      <c r="G4926" s="53" t="str">
        <f t="shared" si="472"/>
        <v/>
      </c>
      <c r="H4926" s="72"/>
      <c r="I4926" s="73"/>
      <c r="J4926" s="152">
        <v>0</v>
      </c>
      <c r="L4926" s="215">
        <v>1</v>
      </c>
      <c r="M4926" s="53"/>
      <c r="N4926" s="53" t="str">
        <f t="shared" si="473"/>
        <v/>
      </c>
      <c r="O4926" s="72"/>
      <c r="P4926" s="36" t="str">
        <f t="shared" si="468"/>
        <v/>
      </c>
      <c r="Q4926" s="216" t="str">
        <f t="shared" si="469"/>
        <v/>
      </c>
      <c r="R4926" s="216" t="str">
        <f t="shared" si="470"/>
        <v/>
      </c>
      <c r="S4926" s="217" t="str">
        <f t="shared" si="471"/>
        <v/>
      </c>
    </row>
    <row r="4927" spans="1:19" ht="26.25" hidden="1" thickBot="1" x14ac:dyDescent="0.3">
      <c r="A4927" s="257"/>
      <c r="B4927" s="260"/>
      <c r="C4927" s="35" t="s">
        <v>825</v>
      </c>
      <c r="D4927" s="35" t="s">
        <v>583</v>
      </c>
      <c r="E4927" s="36">
        <v>0.46329999999999999</v>
      </c>
      <c r="F4927" s="53">
        <v>26.799499999999998</v>
      </c>
      <c r="G4927" s="53">
        <f t="shared" si="472"/>
        <v>12.41620835</v>
      </c>
      <c r="H4927" s="72"/>
      <c r="I4927" s="73"/>
      <c r="J4927" s="152">
        <v>0</v>
      </c>
      <c r="L4927" s="215">
        <v>0.46329999999999999</v>
      </c>
      <c r="M4927" s="53">
        <v>22.940372</v>
      </c>
      <c r="N4927" s="53">
        <f t="shared" si="473"/>
        <v>10.6282743476</v>
      </c>
      <c r="O4927" s="72"/>
      <c r="P4927" s="36" t="str">
        <f t="shared" si="468"/>
        <v/>
      </c>
      <c r="Q4927" s="216">
        <f t="shared" si="469"/>
        <v>0.14399999999999991</v>
      </c>
      <c r="R4927" s="216">
        <f t="shared" si="470"/>
        <v>0.14400000000000002</v>
      </c>
      <c r="S4927" s="217" t="str">
        <f t="shared" si="471"/>
        <v/>
      </c>
    </row>
    <row r="4928" spans="1:19" ht="15.75" hidden="1" thickBot="1" x14ac:dyDescent="0.3">
      <c r="A4928" s="257"/>
      <c r="B4928" s="260"/>
      <c r="C4928" s="35" t="s">
        <v>584</v>
      </c>
      <c r="D4928" s="35" t="s">
        <v>583</v>
      </c>
      <c r="E4928" s="36">
        <v>0.14599999999999999</v>
      </c>
      <c r="F4928" s="53">
        <v>20.225499999999997</v>
      </c>
      <c r="G4928" s="53">
        <f t="shared" si="472"/>
        <v>2.9529229999999993</v>
      </c>
      <c r="H4928" s="72"/>
      <c r="I4928" s="73"/>
      <c r="J4928" s="152">
        <v>0</v>
      </c>
      <c r="L4928" s="215">
        <v>0.14599999999999999</v>
      </c>
      <c r="M4928" s="53">
        <v>17.313027999999996</v>
      </c>
      <c r="N4928" s="53">
        <f t="shared" si="473"/>
        <v>2.5277020879999994</v>
      </c>
      <c r="O4928" s="72"/>
      <c r="P4928" s="36" t="str">
        <f t="shared" si="468"/>
        <v/>
      </c>
      <c r="Q4928" s="216">
        <f t="shared" si="469"/>
        <v>0.14400000000000013</v>
      </c>
      <c r="R4928" s="216">
        <f t="shared" si="470"/>
        <v>0.14400000000000002</v>
      </c>
      <c r="S4928" s="217" t="str">
        <f t="shared" si="471"/>
        <v/>
      </c>
    </row>
    <row r="4929" spans="1:19" ht="15.75" hidden="1" thickBot="1" x14ac:dyDescent="0.3">
      <c r="A4929" s="258"/>
      <c r="B4929" s="261"/>
      <c r="C4929" s="35"/>
      <c r="D4929" s="35"/>
      <c r="E4929" s="36"/>
      <c r="F4929" s="53" t="s">
        <v>416</v>
      </c>
      <c r="G4929" s="53" t="str">
        <f t="shared" si="472"/>
        <v/>
      </c>
      <c r="H4929" s="72"/>
      <c r="I4929" s="73"/>
      <c r="J4929" s="152">
        <v>0</v>
      </c>
      <c r="L4929" s="215"/>
      <c r="M4929" s="53"/>
      <c r="N4929" s="53" t="str">
        <f t="shared" si="473"/>
        <v/>
      </c>
      <c r="O4929" s="72"/>
      <c r="P4929" s="36" t="str">
        <f t="shared" si="468"/>
        <v/>
      </c>
      <c r="Q4929" s="216" t="str">
        <f t="shared" si="469"/>
        <v/>
      </c>
      <c r="R4929" s="216" t="str">
        <f t="shared" si="470"/>
        <v/>
      </c>
      <c r="S4929" s="217" t="str">
        <f t="shared" si="471"/>
        <v/>
      </c>
    </row>
    <row r="4930" spans="1:19" ht="15.75" hidden="1" thickBot="1" x14ac:dyDescent="0.3">
      <c r="A4930" s="256" t="s">
        <v>2980</v>
      </c>
      <c r="B4930" s="259" t="str">
        <f>INDEX(Orçamentária!A:B,MATCH(Composições!A4930,Orçamentária!A:A,0),2)</f>
        <v>Misturador de parede para cozinha bica móvel – Linha Residencial</v>
      </c>
      <c r="C4930" s="40"/>
      <c r="D4930" s="25" t="s">
        <v>16</v>
      </c>
      <c r="E4930" s="26"/>
      <c r="F4930" s="48" t="s">
        <v>416</v>
      </c>
      <c r="G4930" s="27" t="str">
        <f t="shared" si="472"/>
        <v/>
      </c>
      <c r="H4930" s="28"/>
      <c r="I4930" s="29"/>
      <c r="J4930" s="152">
        <v>0</v>
      </c>
      <c r="L4930" s="218"/>
      <c r="M4930" s="48"/>
      <c r="N4930" s="27" t="str">
        <f t="shared" si="473"/>
        <v/>
      </c>
      <c r="O4930" s="28"/>
      <c r="P4930" s="36" t="str">
        <f t="shared" si="468"/>
        <v/>
      </c>
      <c r="Q4930" s="216" t="str">
        <f t="shared" si="469"/>
        <v/>
      </c>
      <c r="R4930" s="216" t="str">
        <f t="shared" si="470"/>
        <v/>
      </c>
      <c r="S4930" s="217" t="str">
        <f t="shared" si="471"/>
        <v/>
      </c>
    </row>
    <row r="4931" spans="1:19" ht="15.75" hidden="1" thickBot="1" x14ac:dyDescent="0.3">
      <c r="A4931" s="257"/>
      <c r="B4931" s="260"/>
      <c r="C4931" s="31"/>
      <c r="D4931" s="31"/>
      <c r="E4931" s="32"/>
      <c r="F4931" s="53" t="s">
        <v>416</v>
      </c>
      <c r="G4931" s="53" t="str">
        <f t="shared" si="472"/>
        <v/>
      </c>
      <c r="H4931" s="72"/>
      <c r="I4931" s="73"/>
      <c r="J4931" s="152">
        <v>0</v>
      </c>
      <c r="L4931" s="219"/>
      <c r="M4931" s="53"/>
      <c r="N4931" s="53" t="str">
        <f t="shared" si="473"/>
        <v/>
      </c>
      <c r="O4931" s="72"/>
      <c r="P4931" s="36" t="str">
        <f t="shared" si="468"/>
        <v/>
      </c>
      <c r="Q4931" s="216" t="str">
        <f t="shared" si="469"/>
        <v/>
      </c>
      <c r="R4931" s="216" t="str">
        <f t="shared" si="470"/>
        <v/>
      </c>
      <c r="S4931" s="217" t="str">
        <f t="shared" si="471"/>
        <v/>
      </c>
    </row>
    <row r="4932" spans="1:19" ht="15.75" hidden="1" thickBot="1" x14ac:dyDescent="0.3">
      <c r="A4932" s="257"/>
      <c r="B4932" s="260"/>
      <c r="C4932" s="35" t="s">
        <v>8171</v>
      </c>
      <c r="D4932" s="35" t="s">
        <v>213</v>
      </c>
      <c r="E4932" s="36">
        <v>4.2000000000000003E-2</v>
      </c>
      <c r="F4932" s="53">
        <v>4.0374999999999996</v>
      </c>
      <c r="G4932" s="53">
        <f t="shared" si="472"/>
        <v>0.169575</v>
      </c>
      <c r="H4932" s="38">
        <f>SUM(G4932:G4935)</f>
        <v>7.6864423999999998</v>
      </c>
      <c r="I4932" s="39"/>
      <c r="J4932" s="152">
        <v>0</v>
      </c>
      <c r="L4932" s="215">
        <v>4.2000000000000003E-2</v>
      </c>
      <c r="M4932" s="53">
        <v>3.4560999999999997</v>
      </c>
      <c r="N4932" s="53">
        <f t="shared" si="473"/>
        <v>0.14515619999999999</v>
      </c>
      <c r="O4932" s="38">
        <f>SUM(N4932:N4935)</f>
        <v>6.5795946943999999</v>
      </c>
      <c r="P4932" s="36" t="str">
        <f t="shared" si="468"/>
        <v/>
      </c>
      <c r="Q4932" s="216">
        <f t="shared" si="469"/>
        <v>0.14400000000000002</v>
      </c>
      <c r="R4932" s="216">
        <f t="shared" si="470"/>
        <v>0.14400000000000013</v>
      </c>
      <c r="S4932" s="217">
        <f t="shared" si="471"/>
        <v>0.14400000000000002</v>
      </c>
    </row>
    <row r="4933" spans="1:19" ht="26.25" hidden="1" thickBot="1" x14ac:dyDescent="0.3">
      <c r="A4933" s="257"/>
      <c r="B4933" s="260"/>
      <c r="C4933" s="35" t="s">
        <v>3105</v>
      </c>
      <c r="D4933" s="35" t="s">
        <v>213</v>
      </c>
      <c r="E4933" s="36">
        <v>1</v>
      </c>
      <c r="F4933" s="53" t="s">
        <v>416</v>
      </c>
      <c r="G4933" s="53" t="str">
        <f t="shared" si="472"/>
        <v/>
      </c>
      <c r="H4933" s="72"/>
      <c r="I4933" s="73"/>
      <c r="J4933" s="152">
        <v>0</v>
      </c>
      <c r="L4933" s="215">
        <v>1</v>
      </c>
      <c r="M4933" s="53"/>
      <c r="N4933" s="53" t="str">
        <f t="shared" si="473"/>
        <v/>
      </c>
      <c r="O4933" s="72"/>
      <c r="P4933" s="36" t="str">
        <f t="shared" si="468"/>
        <v/>
      </c>
      <c r="Q4933" s="216" t="str">
        <f t="shared" si="469"/>
        <v/>
      </c>
      <c r="R4933" s="216" t="str">
        <f t="shared" si="470"/>
        <v/>
      </c>
      <c r="S4933" s="217" t="str">
        <f t="shared" si="471"/>
        <v/>
      </c>
    </row>
    <row r="4934" spans="1:19" ht="26.25" hidden="1" thickBot="1" x14ac:dyDescent="0.3">
      <c r="A4934" s="257"/>
      <c r="B4934" s="260"/>
      <c r="C4934" s="35" t="s">
        <v>825</v>
      </c>
      <c r="D4934" s="35" t="s">
        <v>583</v>
      </c>
      <c r="E4934" s="36">
        <v>0.2266</v>
      </c>
      <c r="F4934" s="53">
        <v>26.799499999999998</v>
      </c>
      <c r="G4934" s="53">
        <f t="shared" si="472"/>
        <v>6.0727666999999999</v>
      </c>
      <c r="H4934" s="72"/>
      <c r="I4934" s="73"/>
      <c r="J4934" s="152">
        <v>0</v>
      </c>
      <c r="L4934" s="215">
        <v>0.2266</v>
      </c>
      <c r="M4934" s="53">
        <v>22.940372</v>
      </c>
      <c r="N4934" s="53">
        <f t="shared" si="473"/>
        <v>5.1982882952000002</v>
      </c>
      <c r="O4934" s="72"/>
      <c r="P4934" s="36" t="str">
        <f t="shared" si="468"/>
        <v/>
      </c>
      <c r="Q4934" s="216">
        <f t="shared" si="469"/>
        <v>0.14399999999999991</v>
      </c>
      <c r="R4934" s="216">
        <f t="shared" si="470"/>
        <v>0.14399999999999991</v>
      </c>
      <c r="S4934" s="217" t="str">
        <f t="shared" si="471"/>
        <v/>
      </c>
    </row>
    <row r="4935" spans="1:19" ht="15.75" hidden="1" thickBot="1" x14ac:dyDescent="0.3">
      <c r="A4935" s="257"/>
      <c r="B4935" s="260"/>
      <c r="C4935" s="35" t="s">
        <v>584</v>
      </c>
      <c r="D4935" s="35" t="s">
        <v>583</v>
      </c>
      <c r="E4935" s="36">
        <v>7.1400000000000005E-2</v>
      </c>
      <c r="F4935" s="53">
        <v>20.225499999999997</v>
      </c>
      <c r="G4935" s="53">
        <f t="shared" si="472"/>
        <v>1.4441006999999999</v>
      </c>
      <c r="H4935" s="72"/>
      <c r="I4935" s="73"/>
      <c r="J4935" s="152">
        <v>0</v>
      </c>
      <c r="L4935" s="215">
        <v>7.1400000000000005E-2</v>
      </c>
      <c r="M4935" s="53">
        <v>17.313027999999996</v>
      </c>
      <c r="N4935" s="53">
        <f t="shared" si="473"/>
        <v>1.2361501991999997</v>
      </c>
      <c r="O4935" s="72"/>
      <c r="P4935" s="36" t="str">
        <f t="shared" si="468"/>
        <v/>
      </c>
      <c r="Q4935" s="216">
        <f t="shared" si="469"/>
        <v>0.14400000000000013</v>
      </c>
      <c r="R4935" s="216">
        <f t="shared" si="470"/>
        <v>0.14400000000000013</v>
      </c>
      <c r="S4935" s="217" t="str">
        <f t="shared" si="471"/>
        <v/>
      </c>
    </row>
    <row r="4936" spans="1:19" ht="15.75" hidden="1" thickBot="1" x14ac:dyDescent="0.3">
      <c r="A4936" s="258"/>
      <c r="B4936" s="261"/>
      <c r="C4936" s="35"/>
      <c r="D4936" s="35"/>
      <c r="E4936" s="36"/>
      <c r="F4936" s="53" t="s">
        <v>416</v>
      </c>
      <c r="G4936" s="53" t="str">
        <f t="shared" si="472"/>
        <v/>
      </c>
      <c r="H4936" s="72"/>
      <c r="I4936" s="73"/>
      <c r="J4936" s="152">
        <v>0</v>
      </c>
      <c r="L4936" s="215"/>
      <c r="M4936" s="53"/>
      <c r="N4936" s="53" t="str">
        <f t="shared" si="473"/>
        <v/>
      </c>
      <c r="O4936" s="72"/>
      <c r="P4936" s="36" t="str">
        <f t="shared" ref="P4936:P4999" si="474">IF(ISBLANK(L4936),"",IF($E4936&lt;&gt;L4936,"SIM",""))</f>
        <v/>
      </c>
      <c r="Q4936" s="216" t="str">
        <f t="shared" ref="Q4936:Q4999" si="475">IF(M4936="","",1-M4936/$F4936)</f>
        <v/>
      </c>
      <c r="R4936" s="216" t="str">
        <f t="shared" ref="R4936:R4999" si="476">IF(N4936="","",1-N4936/$G4936)</f>
        <v/>
      </c>
      <c r="S4936" s="217" t="str">
        <f t="shared" ref="S4936:S4999" si="477">IF(O4936="","",1-O4936/$H4936)</f>
        <v/>
      </c>
    </row>
    <row r="4937" spans="1:19" ht="15.75" hidden="1" thickBot="1" x14ac:dyDescent="0.3">
      <c r="A4937" s="256" t="s">
        <v>2981</v>
      </c>
      <c r="B4937" s="259" t="str">
        <f>INDEX(Orçamentária!A:B,MATCH(Composições!A4937,Orçamentária!A:A,0),2)</f>
        <v>Dobradiça automática vidro/vidro para box de vidro temperado</v>
      </c>
      <c r="C4937" s="40"/>
      <c r="D4937" s="25" t="s">
        <v>16</v>
      </c>
      <c r="E4937" s="26"/>
      <c r="F4937" s="41" t="s">
        <v>416</v>
      </c>
      <c r="G4937" s="27" t="str">
        <f t="shared" si="472"/>
        <v/>
      </c>
      <c r="H4937" s="28"/>
      <c r="I4937" s="29"/>
      <c r="J4937" s="152">
        <v>0</v>
      </c>
      <c r="L4937" s="218"/>
      <c r="M4937" s="41"/>
      <c r="N4937" s="27" t="str">
        <f t="shared" si="473"/>
        <v/>
      </c>
      <c r="O4937" s="28"/>
      <c r="P4937" s="36" t="str">
        <f t="shared" si="474"/>
        <v/>
      </c>
      <c r="Q4937" s="216" t="str">
        <f t="shared" si="475"/>
        <v/>
      </c>
      <c r="R4937" s="216" t="str">
        <f t="shared" si="476"/>
        <v/>
      </c>
      <c r="S4937" s="217" t="str">
        <f t="shared" si="477"/>
        <v/>
      </c>
    </row>
    <row r="4938" spans="1:19" ht="15.75" hidden="1" thickBot="1" x14ac:dyDescent="0.3">
      <c r="A4938" s="262"/>
      <c r="B4938" s="260"/>
      <c r="C4938" s="31"/>
      <c r="D4938" s="31"/>
      <c r="E4938" s="32"/>
      <c r="F4938" s="42" t="s">
        <v>416</v>
      </c>
      <c r="G4938" s="33" t="str">
        <f t="shared" si="472"/>
        <v/>
      </c>
      <c r="H4938" s="34"/>
      <c r="I4938" s="30"/>
      <c r="J4938" s="152">
        <v>0</v>
      </c>
      <c r="L4938" s="219"/>
      <c r="M4938" s="42"/>
      <c r="N4938" s="33" t="str">
        <f t="shared" si="473"/>
        <v/>
      </c>
      <c r="O4938" s="34"/>
      <c r="P4938" s="36" t="str">
        <f t="shared" si="474"/>
        <v/>
      </c>
      <c r="Q4938" s="216" t="str">
        <f t="shared" si="475"/>
        <v/>
      </c>
      <c r="R4938" s="216" t="str">
        <f t="shared" si="476"/>
        <v/>
      </c>
      <c r="S4938" s="217" t="str">
        <f t="shared" si="477"/>
        <v/>
      </c>
    </row>
    <row r="4939" spans="1:19" ht="15.75" hidden="1" thickBot="1" x14ac:dyDescent="0.3">
      <c r="A4939" s="262"/>
      <c r="B4939" s="260"/>
      <c r="C4939" s="35" t="s">
        <v>2909</v>
      </c>
      <c r="D4939" s="35" t="s">
        <v>583</v>
      </c>
      <c r="E4939" s="36">
        <v>0.3</v>
      </c>
      <c r="F4939" s="33">
        <v>25.060999999999996</v>
      </c>
      <c r="G4939" s="33">
        <f t="shared" si="472"/>
        <v>7.5182999999999982</v>
      </c>
      <c r="H4939" s="38">
        <f>SUM(G4939:G4940)</f>
        <v>7.5182999999999982</v>
      </c>
      <c r="I4939" s="39"/>
      <c r="J4939" s="152">
        <v>0</v>
      </c>
      <c r="L4939" s="215">
        <v>0.3</v>
      </c>
      <c r="M4939" s="33">
        <v>21.452215999999996</v>
      </c>
      <c r="N4939" s="33">
        <f t="shared" si="473"/>
        <v>6.4356647999999987</v>
      </c>
      <c r="O4939" s="38">
        <f>SUM(N4939:N4940)</f>
        <v>6.4356647999999987</v>
      </c>
      <c r="P4939" s="36" t="str">
        <f t="shared" si="474"/>
        <v/>
      </c>
      <c r="Q4939" s="216">
        <f t="shared" si="475"/>
        <v>0.14400000000000002</v>
      </c>
      <c r="R4939" s="216">
        <f t="shared" si="476"/>
        <v>0.14400000000000002</v>
      </c>
      <c r="S4939" s="217">
        <f t="shared" si="477"/>
        <v>0.14400000000000002</v>
      </c>
    </row>
    <row r="4940" spans="1:19" ht="26.25" hidden="1" thickBot="1" x14ac:dyDescent="0.3">
      <c r="A4940" s="262"/>
      <c r="B4940" s="260"/>
      <c r="C4940" s="35" t="s">
        <v>3106</v>
      </c>
      <c r="D4940" s="46" t="s">
        <v>16</v>
      </c>
      <c r="E4940" s="36">
        <v>1</v>
      </c>
      <c r="F4940" s="30" t="s">
        <v>416</v>
      </c>
      <c r="G4940" s="33" t="str">
        <f t="shared" si="472"/>
        <v/>
      </c>
      <c r="H4940" s="34"/>
      <c r="I4940" s="30"/>
      <c r="J4940" s="152">
        <v>0</v>
      </c>
      <c r="L4940" s="215">
        <v>1</v>
      </c>
      <c r="M4940" s="30"/>
      <c r="N4940" s="33" t="str">
        <f t="shared" si="473"/>
        <v/>
      </c>
      <c r="O4940" s="34"/>
      <c r="P4940" s="36" t="str">
        <f t="shared" si="474"/>
        <v/>
      </c>
      <c r="Q4940" s="216" t="str">
        <f t="shared" si="475"/>
        <v/>
      </c>
      <c r="R4940" s="216" t="str">
        <f t="shared" si="476"/>
        <v/>
      </c>
      <c r="S4940" s="217" t="str">
        <f t="shared" si="477"/>
        <v/>
      </c>
    </row>
    <row r="4941" spans="1:19" ht="15.75" hidden="1" thickBot="1" x14ac:dyDescent="0.3">
      <c r="A4941" s="263"/>
      <c r="B4941" s="261"/>
      <c r="C4941" s="35"/>
      <c r="D4941" s="35"/>
      <c r="E4941" s="36"/>
      <c r="F4941" s="30" t="s">
        <v>416</v>
      </c>
      <c r="G4941" s="33" t="str">
        <f t="shared" si="472"/>
        <v/>
      </c>
      <c r="H4941" s="34"/>
      <c r="I4941" s="30"/>
      <c r="J4941" s="152">
        <v>0</v>
      </c>
      <c r="L4941" s="215"/>
      <c r="M4941" s="30"/>
      <c r="N4941" s="33" t="str">
        <f t="shared" si="473"/>
        <v/>
      </c>
      <c r="O4941" s="34"/>
      <c r="P4941" s="36" t="str">
        <f t="shared" si="474"/>
        <v/>
      </c>
      <c r="Q4941" s="216" t="str">
        <f t="shared" si="475"/>
        <v/>
      </c>
      <c r="R4941" s="216" t="str">
        <f t="shared" si="476"/>
        <v/>
      </c>
      <c r="S4941" s="217" t="str">
        <f t="shared" si="477"/>
        <v/>
      </c>
    </row>
    <row r="4942" spans="1:19" ht="15.75" hidden="1" thickBot="1" x14ac:dyDescent="0.3">
      <c r="A4942" s="256" t="s">
        <v>2982</v>
      </c>
      <c r="B4942" s="259" t="str">
        <f>INDEX(Orçamentária!A:B,MATCH(Composições!A4942,Orçamentária!A:A,0),2)</f>
        <v>Luminária tipo arandela – Linha Residencial</v>
      </c>
      <c r="C4942" s="40"/>
      <c r="D4942" s="25" t="s">
        <v>16</v>
      </c>
      <c r="E4942" s="26"/>
      <c r="F4942" s="41" t="s">
        <v>416</v>
      </c>
      <c r="G4942" s="27" t="str">
        <f t="shared" si="472"/>
        <v/>
      </c>
      <c r="H4942" s="28"/>
      <c r="I4942" s="29"/>
      <c r="J4942" s="152">
        <v>0</v>
      </c>
      <c r="L4942" s="218"/>
      <c r="M4942" s="41"/>
      <c r="N4942" s="27" t="str">
        <f t="shared" si="473"/>
        <v/>
      </c>
      <c r="O4942" s="28"/>
      <c r="P4942" s="36" t="str">
        <f t="shared" si="474"/>
        <v/>
      </c>
      <c r="Q4942" s="216" t="str">
        <f t="shared" si="475"/>
        <v/>
      </c>
      <c r="R4942" s="216" t="str">
        <f t="shared" si="476"/>
        <v/>
      </c>
      <c r="S4942" s="217" t="str">
        <f t="shared" si="477"/>
        <v/>
      </c>
    </row>
    <row r="4943" spans="1:19" ht="15.75" hidden="1" thickBot="1" x14ac:dyDescent="0.3">
      <c r="A4943" s="262"/>
      <c r="B4943" s="260"/>
      <c r="C4943" s="31"/>
      <c r="D4943" s="31"/>
      <c r="E4943" s="32"/>
      <c r="F4943" s="42" t="s">
        <v>416</v>
      </c>
      <c r="G4943" s="30" t="str">
        <f t="shared" si="472"/>
        <v/>
      </c>
      <c r="H4943" s="34"/>
      <c r="I4943" s="30"/>
      <c r="J4943" s="152">
        <v>0</v>
      </c>
      <c r="L4943" s="219"/>
      <c r="M4943" s="42"/>
      <c r="N4943" s="30" t="str">
        <f t="shared" si="473"/>
        <v/>
      </c>
      <c r="O4943" s="34"/>
      <c r="P4943" s="36" t="str">
        <f t="shared" si="474"/>
        <v/>
      </c>
      <c r="Q4943" s="216" t="str">
        <f t="shared" si="475"/>
        <v/>
      </c>
      <c r="R4943" s="216" t="str">
        <f t="shared" si="476"/>
        <v/>
      </c>
      <c r="S4943" s="217" t="str">
        <f t="shared" si="477"/>
        <v/>
      </c>
    </row>
    <row r="4944" spans="1:19" ht="26.25" hidden="1" thickBot="1" x14ac:dyDescent="0.3">
      <c r="A4944" s="262"/>
      <c r="B4944" s="260"/>
      <c r="C4944" s="35" t="s">
        <v>3108</v>
      </c>
      <c r="D4944" s="35" t="s">
        <v>107</v>
      </c>
      <c r="E4944" s="36">
        <v>1</v>
      </c>
      <c r="F4944" s="33" t="s">
        <v>416</v>
      </c>
      <c r="G4944" s="33" t="str">
        <f t="shared" si="472"/>
        <v/>
      </c>
      <c r="H4944" s="38">
        <f>SUM(G4944:G4947)</f>
        <v>17.427886800000003</v>
      </c>
      <c r="I4944" s="39"/>
      <c r="J4944" s="152">
        <v>0</v>
      </c>
      <c r="L4944" s="215">
        <v>1</v>
      </c>
      <c r="M4944" s="33"/>
      <c r="N4944" s="33" t="str">
        <f t="shared" si="473"/>
        <v/>
      </c>
      <c r="O4944" s="38">
        <f>SUM(N4944:N4947)</f>
        <v>14.9182711008</v>
      </c>
      <c r="P4944" s="36" t="str">
        <f t="shared" si="474"/>
        <v/>
      </c>
      <c r="Q4944" s="216" t="str">
        <f t="shared" si="475"/>
        <v/>
      </c>
      <c r="R4944" s="216" t="str">
        <f t="shared" si="476"/>
        <v/>
      </c>
      <c r="S4944" s="217">
        <f t="shared" si="477"/>
        <v>0.14400000000000013</v>
      </c>
    </row>
    <row r="4945" spans="1:19" ht="26.25" hidden="1" thickBot="1" x14ac:dyDescent="0.3">
      <c r="A4945" s="262"/>
      <c r="B4945" s="260"/>
      <c r="C4945" s="35" t="s">
        <v>3107</v>
      </c>
      <c r="D4945" s="35" t="s">
        <v>107</v>
      </c>
      <c r="E4945" s="36">
        <v>1</v>
      </c>
      <c r="F4945" s="33" t="s">
        <v>416</v>
      </c>
      <c r="G4945" s="33" t="str">
        <f t="shared" si="472"/>
        <v/>
      </c>
      <c r="H4945" s="44"/>
      <c r="I4945" s="45"/>
      <c r="J4945" s="152">
        <v>0</v>
      </c>
      <c r="L4945" s="215">
        <v>1</v>
      </c>
      <c r="M4945" s="33"/>
      <c r="N4945" s="33" t="str">
        <f t="shared" si="473"/>
        <v/>
      </c>
      <c r="O4945" s="44"/>
      <c r="P4945" s="36" t="str">
        <f t="shared" si="474"/>
        <v/>
      </c>
      <c r="Q4945" s="216" t="str">
        <f t="shared" si="475"/>
        <v/>
      </c>
      <c r="R4945" s="216" t="str">
        <f t="shared" si="476"/>
        <v/>
      </c>
      <c r="S4945" s="217" t="str">
        <f t="shared" si="477"/>
        <v/>
      </c>
    </row>
    <row r="4946" spans="1:19" ht="15.75" hidden="1" thickBot="1" x14ac:dyDescent="0.3">
      <c r="A4946" s="262"/>
      <c r="B4946" s="260"/>
      <c r="C4946" s="35" t="s">
        <v>1017</v>
      </c>
      <c r="D4946" s="35" t="s">
        <v>583</v>
      </c>
      <c r="E4946" s="36">
        <v>0.19719999999999999</v>
      </c>
      <c r="F4946" s="30">
        <v>21.584</v>
      </c>
      <c r="G4946" s="30">
        <f t="shared" ref="G4946:G5009" si="478">IF(ISNUMBER(F4946),E4946*F4946,"")</f>
        <v>4.2563648000000001</v>
      </c>
      <c r="H4946" s="34"/>
      <c r="I4946" s="30"/>
      <c r="J4946" s="152">
        <v>0</v>
      </c>
      <c r="L4946" s="215">
        <v>0.19719999999999999</v>
      </c>
      <c r="M4946" s="30">
        <v>18.475904</v>
      </c>
      <c r="N4946" s="30">
        <f t="shared" ref="N4946:N5009" si="479">IF(ISNUMBER(M4946),L4946*M4946,"")</f>
        <v>3.6434482687999998</v>
      </c>
      <c r="O4946" s="34"/>
      <c r="P4946" s="36" t="str">
        <f t="shared" si="474"/>
        <v/>
      </c>
      <c r="Q4946" s="216">
        <f t="shared" si="475"/>
        <v>0.14400000000000002</v>
      </c>
      <c r="R4946" s="216">
        <f t="shared" si="476"/>
        <v>0.14400000000000002</v>
      </c>
      <c r="S4946" s="217" t="str">
        <f t="shared" si="477"/>
        <v/>
      </c>
    </row>
    <row r="4947" spans="1:19" ht="15.75" hidden="1" thickBot="1" x14ac:dyDescent="0.3">
      <c r="A4947" s="262"/>
      <c r="B4947" s="260"/>
      <c r="C4947" s="35" t="s">
        <v>1018</v>
      </c>
      <c r="D4947" s="35" t="s">
        <v>583</v>
      </c>
      <c r="E4947" s="36">
        <v>0.47320000000000001</v>
      </c>
      <c r="F4947" s="30">
        <v>27.835000000000001</v>
      </c>
      <c r="G4947" s="30">
        <f t="shared" si="478"/>
        <v>13.171522000000001</v>
      </c>
      <c r="H4947" s="34"/>
      <c r="I4947" s="30"/>
      <c r="J4947" s="152">
        <v>0</v>
      </c>
      <c r="L4947" s="215">
        <v>0.47320000000000001</v>
      </c>
      <c r="M4947" s="30">
        <v>23.82676</v>
      </c>
      <c r="N4947" s="30">
        <f t="shared" si="479"/>
        <v>11.274822832</v>
      </c>
      <c r="O4947" s="34"/>
      <c r="P4947" s="36" t="str">
        <f t="shared" si="474"/>
        <v/>
      </c>
      <c r="Q4947" s="216">
        <f t="shared" si="475"/>
        <v>0.14400000000000002</v>
      </c>
      <c r="R4947" s="216">
        <f t="shared" si="476"/>
        <v>0.14400000000000013</v>
      </c>
      <c r="S4947" s="217" t="str">
        <f t="shared" si="477"/>
        <v/>
      </c>
    </row>
    <row r="4948" spans="1:19" ht="15.75" hidden="1" thickBot="1" x14ac:dyDescent="0.3">
      <c r="A4948" s="263"/>
      <c r="B4948" s="261"/>
      <c r="C4948" s="35"/>
      <c r="D4948" s="35"/>
      <c r="E4948" s="36"/>
      <c r="F4948" s="30" t="s">
        <v>416</v>
      </c>
      <c r="G4948" s="30" t="str">
        <f t="shared" si="478"/>
        <v/>
      </c>
      <c r="H4948" s="34"/>
      <c r="I4948" s="30"/>
      <c r="J4948" s="152">
        <v>0</v>
      </c>
      <c r="L4948" s="215"/>
      <c r="M4948" s="30"/>
      <c r="N4948" s="30" t="str">
        <f t="shared" si="479"/>
        <v/>
      </c>
      <c r="O4948" s="34"/>
      <c r="P4948" s="36" t="str">
        <f t="shared" si="474"/>
        <v/>
      </c>
      <c r="Q4948" s="216" t="str">
        <f t="shared" si="475"/>
        <v/>
      </c>
      <c r="R4948" s="216" t="str">
        <f t="shared" si="476"/>
        <v/>
      </c>
      <c r="S4948" s="217" t="str">
        <f t="shared" si="477"/>
        <v/>
      </c>
    </row>
    <row r="4949" spans="1:19" ht="15.75" hidden="1" thickBot="1" x14ac:dyDescent="0.3">
      <c r="A4949" s="256" t="s">
        <v>2983</v>
      </c>
      <c r="B4949" s="259" t="str">
        <f>INDEX(Orçamentária!A:B,MATCH(Composições!A4949,Orçamentária!A:A,0),2)</f>
        <v>Tê misturador de transição 1/2” ou 3/4” – Linha Residencial</v>
      </c>
      <c r="C4949" s="40"/>
      <c r="D4949" s="25" t="s">
        <v>16</v>
      </c>
      <c r="E4949" s="26"/>
      <c r="F4949" s="41" t="s">
        <v>416</v>
      </c>
      <c r="G4949" s="27" t="str">
        <f t="shared" si="478"/>
        <v/>
      </c>
      <c r="H4949" s="28"/>
      <c r="I4949" s="29"/>
      <c r="J4949" s="152">
        <v>0</v>
      </c>
      <c r="L4949" s="218"/>
      <c r="M4949" s="41"/>
      <c r="N4949" s="27" t="str">
        <f t="shared" si="479"/>
        <v/>
      </c>
      <c r="O4949" s="28"/>
      <c r="P4949" s="36" t="str">
        <f t="shared" si="474"/>
        <v/>
      </c>
      <c r="Q4949" s="216" t="str">
        <f t="shared" si="475"/>
        <v/>
      </c>
      <c r="R4949" s="216" t="str">
        <f t="shared" si="476"/>
        <v/>
      </c>
      <c r="S4949" s="217" t="str">
        <f t="shared" si="477"/>
        <v/>
      </c>
    </row>
    <row r="4950" spans="1:19" ht="15.75" hidden="1" thickBot="1" x14ac:dyDescent="0.3">
      <c r="A4950" s="262"/>
      <c r="B4950" s="260"/>
      <c r="C4950" s="31"/>
      <c r="D4950" s="31"/>
      <c r="E4950" s="32"/>
      <c r="F4950" s="42" t="s">
        <v>416</v>
      </c>
      <c r="G4950" s="30" t="str">
        <f t="shared" si="478"/>
        <v/>
      </c>
      <c r="H4950" s="34"/>
      <c r="I4950" s="30"/>
      <c r="J4950" s="152">
        <v>0</v>
      </c>
      <c r="L4950" s="219"/>
      <c r="M4950" s="42"/>
      <c r="N4950" s="30" t="str">
        <f t="shared" si="479"/>
        <v/>
      </c>
      <c r="O4950" s="34"/>
      <c r="P4950" s="36" t="str">
        <f t="shared" si="474"/>
        <v/>
      </c>
      <c r="Q4950" s="216" t="str">
        <f t="shared" si="475"/>
        <v/>
      </c>
      <c r="R4950" s="216" t="str">
        <f t="shared" si="476"/>
        <v/>
      </c>
      <c r="S4950" s="217" t="str">
        <f t="shared" si="477"/>
        <v/>
      </c>
    </row>
    <row r="4951" spans="1:19" ht="15.75" hidden="1" thickBot="1" x14ac:dyDescent="0.3">
      <c r="A4951" s="262"/>
      <c r="B4951" s="260"/>
      <c r="C4951" s="35" t="s">
        <v>2922</v>
      </c>
      <c r="D4951" s="35" t="s">
        <v>213</v>
      </c>
      <c r="E4951" s="36">
        <v>1.2E-2</v>
      </c>
      <c r="F4951" s="33">
        <v>34.028999999999996</v>
      </c>
      <c r="G4951" s="33">
        <f t="shared" si="478"/>
        <v>0.40834799999999999</v>
      </c>
      <c r="H4951" s="38">
        <f>SUM(G4951:G4954)</f>
        <v>33.392034500000001</v>
      </c>
      <c r="I4951" s="39"/>
      <c r="J4951" s="152">
        <v>0</v>
      </c>
      <c r="L4951" s="215">
        <v>1.2E-2</v>
      </c>
      <c r="M4951" s="33">
        <v>29.128823999999998</v>
      </c>
      <c r="N4951" s="33">
        <f t="shared" si="479"/>
        <v>0.34954588799999997</v>
      </c>
      <c r="O4951" s="38">
        <f>SUM(N4951:N4954)</f>
        <v>28.583581532000004</v>
      </c>
      <c r="P4951" s="36" t="str">
        <f t="shared" si="474"/>
        <v/>
      </c>
      <c r="Q4951" s="216">
        <f t="shared" si="475"/>
        <v>0.14400000000000002</v>
      </c>
      <c r="R4951" s="216">
        <f t="shared" si="476"/>
        <v>0.14400000000000002</v>
      </c>
      <c r="S4951" s="217">
        <f t="shared" si="477"/>
        <v>0.14399999999999991</v>
      </c>
    </row>
    <row r="4952" spans="1:19" ht="26.25" hidden="1" thickBot="1" x14ac:dyDescent="0.3">
      <c r="A4952" s="262"/>
      <c r="B4952" s="260"/>
      <c r="C4952" s="35" t="s">
        <v>2942</v>
      </c>
      <c r="D4952" s="35" t="s">
        <v>213</v>
      </c>
      <c r="E4952" s="36">
        <v>1</v>
      </c>
      <c r="F4952" s="33">
        <v>24.206</v>
      </c>
      <c r="G4952" s="33">
        <f t="shared" si="478"/>
        <v>24.206</v>
      </c>
      <c r="H4952" s="44"/>
      <c r="I4952" s="45"/>
      <c r="J4952" s="152">
        <v>0</v>
      </c>
      <c r="L4952" s="215">
        <v>1</v>
      </c>
      <c r="M4952" s="33">
        <v>20.720336</v>
      </c>
      <c r="N4952" s="33">
        <f t="shared" si="479"/>
        <v>20.720336</v>
      </c>
      <c r="O4952" s="44"/>
      <c r="P4952" s="36" t="str">
        <f t="shared" si="474"/>
        <v/>
      </c>
      <c r="Q4952" s="216">
        <f t="shared" si="475"/>
        <v>0.14400000000000002</v>
      </c>
      <c r="R4952" s="216">
        <f t="shared" si="476"/>
        <v>0.14400000000000002</v>
      </c>
      <c r="S4952" s="217" t="str">
        <f t="shared" si="477"/>
        <v/>
      </c>
    </row>
    <row r="4953" spans="1:19" ht="26.25" hidden="1" thickBot="1" x14ac:dyDescent="0.3">
      <c r="A4953" s="262"/>
      <c r="B4953" s="260"/>
      <c r="C4953" s="35" t="s">
        <v>824</v>
      </c>
      <c r="D4953" s="35" t="s">
        <v>583</v>
      </c>
      <c r="E4953" s="36">
        <v>0.183</v>
      </c>
      <c r="F4953" s="30">
        <v>21.166</v>
      </c>
      <c r="G4953" s="30">
        <f t="shared" si="478"/>
        <v>3.8733779999999998</v>
      </c>
      <c r="H4953" s="34"/>
      <c r="I4953" s="30"/>
      <c r="J4953" s="152">
        <v>0</v>
      </c>
      <c r="L4953" s="215">
        <v>0.183</v>
      </c>
      <c r="M4953" s="30">
        <v>18.118096000000001</v>
      </c>
      <c r="N4953" s="30">
        <f t="shared" si="479"/>
        <v>3.315611568</v>
      </c>
      <c r="O4953" s="34"/>
      <c r="P4953" s="36" t="str">
        <f t="shared" si="474"/>
        <v/>
      </c>
      <c r="Q4953" s="216">
        <f t="shared" si="475"/>
        <v>0.14399999999999991</v>
      </c>
      <c r="R4953" s="216">
        <f t="shared" si="476"/>
        <v>0.14399999999999991</v>
      </c>
      <c r="S4953" s="217" t="str">
        <f t="shared" si="477"/>
        <v/>
      </c>
    </row>
    <row r="4954" spans="1:19" ht="26.25" hidden="1" thickBot="1" x14ac:dyDescent="0.3">
      <c r="A4954" s="262"/>
      <c r="B4954" s="260"/>
      <c r="C4954" s="35" t="s">
        <v>825</v>
      </c>
      <c r="D4954" s="35" t="s">
        <v>583</v>
      </c>
      <c r="E4954" s="36">
        <v>0.183</v>
      </c>
      <c r="F4954" s="30">
        <v>26.799499999999998</v>
      </c>
      <c r="G4954" s="30">
        <f t="shared" si="478"/>
        <v>4.9043085</v>
      </c>
      <c r="H4954" s="34"/>
      <c r="I4954" s="30"/>
      <c r="J4954" s="152">
        <v>0</v>
      </c>
      <c r="L4954" s="215">
        <v>0.183</v>
      </c>
      <c r="M4954" s="30">
        <v>22.940372</v>
      </c>
      <c r="N4954" s="30">
        <f t="shared" si="479"/>
        <v>4.1980880760000003</v>
      </c>
      <c r="O4954" s="34"/>
      <c r="P4954" s="36" t="str">
        <f t="shared" si="474"/>
        <v/>
      </c>
      <c r="Q4954" s="216">
        <f t="shared" si="475"/>
        <v>0.14399999999999991</v>
      </c>
      <c r="R4954" s="216">
        <f t="shared" si="476"/>
        <v>0.14399999999999991</v>
      </c>
      <c r="S4954" s="217" t="str">
        <f t="shared" si="477"/>
        <v/>
      </c>
    </row>
    <row r="4955" spans="1:19" ht="15.75" hidden="1" thickBot="1" x14ac:dyDescent="0.3">
      <c r="A4955" s="263"/>
      <c r="B4955" s="261"/>
      <c r="C4955" s="35"/>
      <c r="D4955" s="35"/>
      <c r="E4955" s="36"/>
      <c r="F4955" s="30" t="s">
        <v>416</v>
      </c>
      <c r="G4955" s="30" t="str">
        <f t="shared" si="478"/>
        <v/>
      </c>
      <c r="H4955" s="34"/>
      <c r="I4955" s="30"/>
      <c r="J4955" s="152">
        <v>0</v>
      </c>
      <c r="L4955" s="215"/>
      <c r="M4955" s="30"/>
      <c r="N4955" s="30" t="str">
        <f t="shared" si="479"/>
        <v/>
      </c>
      <c r="O4955" s="34"/>
      <c r="P4955" s="36" t="str">
        <f t="shared" si="474"/>
        <v/>
      </c>
      <c r="Q4955" s="216" t="str">
        <f t="shared" si="475"/>
        <v/>
      </c>
      <c r="R4955" s="216" t="str">
        <f t="shared" si="476"/>
        <v/>
      </c>
      <c r="S4955" s="217" t="str">
        <f t="shared" si="477"/>
        <v/>
      </c>
    </row>
    <row r="4956" spans="1:19" ht="15.75" hidden="1" thickBot="1" x14ac:dyDescent="0.3">
      <c r="A4956" s="256" t="s">
        <v>2984</v>
      </c>
      <c r="B4956" s="259" t="str">
        <f>INDEX(Orçamentária!A:B,MATCH(Composições!A4956,Orçamentária!A:A,0),2)</f>
        <v>Base para válvula de descarga 1 1/2”</v>
      </c>
      <c r="C4956" s="40"/>
      <c r="D4956" s="25" t="s">
        <v>16</v>
      </c>
      <c r="E4956" s="26"/>
      <c r="F4956" s="41" t="s">
        <v>416</v>
      </c>
      <c r="G4956" s="27" t="str">
        <f t="shared" si="478"/>
        <v/>
      </c>
      <c r="H4956" s="28"/>
      <c r="I4956" s="29"/>
      <c r="J4956" s="152">
        <v>0</v>
      </c>
      <c r="L4956" s="218"/>
      <c r="M4956" s="41"/>
      <c r="N4956" s="27" t="str">
        <f t="shared" si="479"/>
        <v/>
      </c>
      <c r="O4956" s="28"/>
      <c r="P4956" s="36" t="str">
        <f t="shared" si="474"/>
        <v/>
      </c>
      <c r="Q4956" s="216" t="str">
        <f t="shared" si="475"/>
        <v/>
      </c>
      <c r="R4956" s="216" t="str">
        <f t="shared" si="476"/>
        <v/>
      </c>
      <c r="S4956" s="217" t="str">
        <f t="shared" si="477"/>
        <v/>
      </c>
    </row>
    <row r="4957" spans="1:19" ht="15.75" hidden="1" thickBot="1" x14ac:dyDescent="0.3">
      <c r="A4957" s="262"/>
      <c r="B4957" s="260"/>
      <c r="C4957" s="31"/>
      <c r="D4957" s="31"/>
      <c r="E4957" s="32"/>
      <c r="F4957" s="42" t="s">
        <v>416</v>
      </c>
      <c r="G4957" s="30" t="str">
        <f t="shared" si="478"/>
        <v/>
      </c>
      <c r="H4957" s="34"/>
      <c r="I4957" s="30"/>
      <c r="J4957" s="152">
        <v>0</v>
      </c>
      <c r="L4957" s="219"/>
      <c r="M4957" s="42"/>
      <c r="N4957" s="30" t="str">
        <f t="shared" si="479"/>
        <v/>
      </c>
      <c r="O4957" s="34"/>
      <c r="P4957" s="36" t="str">
        <f t="shared" si="474"/>
        <v/>
      </c>
      <c r="Q4957" s="216" t="str">
        <f t="shared" si="475"/>
        <v/>
      </c>
      <c r="R4957" s="216" t="str">
        <f t="shared" si="476"/>
        <v/>
      </c>
      <c r="S4957" s="217" t="str">
        <f t="shared" si="477"/>
        <v/>
      </c>
    </row>
    <row r="4958" spans="1:19" ht="15.75" hidden="1" thickBot="1" x14ac:dyDescent="0.3">
      <c r="A4958" s="262"/>
      <c r="B4958" s="260"/>
      <c r="C4958" s="35" t="s">
        <v>244</v>
      </c>
      <c r="D4958" s="35" t="s">
        <v>213</v>
      </c>
      <c r="E4958" s="36">
        <v>1.9199999999999998E-2</v>
      </c>
      <c r="F4958" s="33">
        <v>14.8865</v>
      </c>
      <c r="G4958" s="33">
        <f t="shared" si="478"/>
        <v>0.28582079999999999</v>
      </c>
      <c r="H4958" s="38">
        <f>SUM(G4958:G4961)</f>
        <v>35.775494250000001</v>
      </c>
      <c r="I4958" s="39"/>
      <c r="J4958" s="152">
        <v>0</v>
      </c>
      <c r="L4958" s="215">
        <v>1.9199999999999998E-2</v>
      </c>
      <c r="M4958" s="33">
        <v>12.742844</v>
      </c>
      <c r="N4958" s="33">
        <f t="shared" si="479"/>
        <v>0.24466260479999999</v>
      </c>
      <c r="O4958" s="38">
        <f>SUM(N4958:N4961)</f>
        <v>30.623823078000001</v>
      </c>
      <c r="P4958" s="36" t="str">
        <f t="shared" si="474"/>
        <v/>
      </c>
      <c r="Q4958" s="216">
        <f t="shared" si="475"/>
        <v>0.14400000000000002</v>
      </c>
      <c r="R4958" s="216">
        <f t="shared" si="476"/>
        <v>0.14400000000000002</v>
      </c>
      <c r="S4958" s="217">
        <f t="shared" si="477"/>
        <v>0.14400000000000002</v>
      </c>
    </row>
    <row r="4959" spans="1:19" ht="15.75" hidden="1" thickBot="1" x14ac:dyDescent="0.3">
      <c r="A4959" s="262"/>
      <c r="B4959" s="260"/>
      <c r="C4959" s="35" t="s">
        <v>3109</v>
      </c>
      <c r="D4959" s="35" t="s">
        <v>213</v>
      </c>
      <c r="E4959" s="36">
        <v>1</v>
      </c>
      <c r="F4959" s="33" t="s">
        <v>416</v>
      </c>
      <c r="G4959" s="33" t="str">
        <f t="shared" si="478"/>
        <v/>
      </c>
      <c r="H4959" s="44"/>
      <c r="I4959" s="45"/>
      <c r="J4959" s="152">
        <v>0</v>
      </c>
      <c r="L4959" s="215">
        <v>1</v>
      </c>
      <c r="M4959" s="33"/>
      <c r="N4959" s="33" t="str">
        <f t="shared" si="479"/>
        <v/>
      </c>
      <c r="O4959" s="44"/>
      <c r="P4959" s="36" t="str">
        <f t="shared" si="474"/>
        <v/>
      </c>
      <c r="Q4959" s="216" t="str">
        <f t="shared" si="475"/>
        <v/>
      </c>
      <c r="R4959" s="216" t="str">
        <f t="shared" si="476"/>
        <v/>
      </c>
      <c r="S4959" s="217" t="str">
        <f t="shared" si="477"/>
        <v/>
      </c>
    </row>
    <row r="4960" spans="1:19" ht="26.25" hidden="1" thickBot="1" x14ac:dyDescent="0.3">
      <c r="A4960" s="262"/>
      <c r="B4960" s="260"/>
      <c r="C4960" s="35" t="s">
        <v>824</v>
      </c>
      <c r="D4960" s="35" t="s">
        <v>583</v>
      </c>
      <c r="E4960" s="36">
        <f>ROUND(0.9249*0.8,4)</f>
        <v>0.7399</v>
      </c>
      <c r="F4960" s="30">
        <v>21.166</v>
      </c>
      <c r="G4960" s="30">
        <f t="shared" si="478"/>
        <v>15.6607234</v>
      </c>
      <c r="H4960" s="34"/>
      <c r="I4960" s="30"/>
      <c r="J4960" s="152">
        <v>0</v>
      </c>
      <c r="L4960" s="215">
        <v>0.7399</v>
      </c>
      <c r="M4960" s="30">
        <v>18.118096000000001</v>
      </c>
      <c r="N4960" s="30">
        <f t="shared" si="479"/>
        <v>13.405579230400001</v>
      </c>
      <c r="O4960" s="34"/>
      <c r="P4960" s="36" t="str">
        <f t="shared" si="474"/>
        <v/>
      </c>
      <c r="Q4960" s="216">
        <f t="shared" si="475"/>
        <v>0.14399999999999991</v>
      </c>
      <c r="R4960" s="216">
        <f t="shared" si="476"/>
        <v>0.14399999999999991</v>
      </c>
      <c r="S4960" s="217" t="str">
        <f t="shared" si="477"/>
        <v/>
      </c>
    </row>
    <row r="4961" spans="1:19" ht="26.25" hidden="1" thickBot="1" x14ac:dyDescent="0.3">
      <c r="A4961" s="262"/>
      <c r="B4961" s="260"/>
      <c r="C4961" s="35" t="s">
        <v>825</v>
      </c>
      <c r="D4961" s="35" t="s">
        <v>583</v>
      </c>
      <c r="E4961" s="36">
        <f>ROUND(0.9249*0.8,4)</f>
        <v>0.7399</v>
      </c>
      <c r="F4961" s="30">
        <v>26.799499999999998</v>
      </c>
      <c r="G4961" s="30">
        <f t="shared" si="478"/>
        <v>19.82895005</v>
      </c>
      <c r="H4961" s="34"/>
      <c r="I4961" s="30"/>
      <c r="J4961" s="152">
        <v>0</v>
      </c>
      <c r="L4961" s="215">
        <v>0.7399</v>
      </c>
      <c r="M4961" s="30">
        <v>22.940372</v>
      </c>
      <c r="N4961" s="30">
        <f t="shared" si="479"/>
        <v>16.973581242800002</v>
      </c>
      <c r="O4961" s="34"/>
      <c r="P4961" s="36" t="str">
        <f t="shared" si="474"/>
        <v/>
      </c>
      <c r="Q4961" s="216">
        <f t="shared" si="475"/>
        <v>0.14399999999999991</v>
      </c>
      <c r="R4961" s="216">
        <f t="shared" si="476"/>
        <v>0.14399999999999991</v>
      </c>
      <c r="S4961" s="217" t="str">
        <f t="shared" si="477"/>
        <v/>
      </c>
    </row>
    <row r="4962" spans="1:19" ht="15.75" hidden="1" thickBot="1" x14ac:dyDescent="0.3">
      <c r="A4962" s="263"/>
      <c r="B4962" s="261"/>
      <c r="C4962" s="35"/>
      <c r="D4962" s="35"/>
      <c r="E4962" s="36"/>
      <c r="F4962" s="30" t="s">
        <v>416</v>
      </c>
      <c r="G4962" s="30" t="str">
        <f t="shared" si="478"/>
        <v/>
      </c>
      <c r="H4962" s="34"/>
      <c r="I4962" s="30"/>
      <c r="J4962" s="152">
        <v>0</v>
      </c>
      <c r="L4962" s="215"/>
      <c r="M4962" s="30"/>
      <c r="N4962" s="30" t="str">
        <f t="shared" si="479"/>
        <v/>
      </c>
      <c r="O4962" s="34"/>
      <c r="P4962" s="36" t="str">
        <f t="shared" si="474"/>
        <v/>
      </c>
      <c r="Q4962" s="216" t="str">
        <f t="shared" si="475"/>
        <v/>
      </c>
      <c r="R4962" s="216" t="str">
        <f t="shared" si="476"/>
        <v/>
      </c>
      <c r="S4962" s="217" t="str">
        <f t="shared" si="477"/>
        <v/>
      </c>
    </row>
    <row r="4963" spans="1:19" ht="15.75" hidden="1" thickBot="1" x14ac:dyDescent="0.3">
      <c r="A4963" s="256" t="s">
        <v>2985</v>
      </c>
      <c r="B4963" s="259" t="str">
        <f>INDEX(Orçamentária!A:B,MATCH(Composições!A4963,Orçamentária!A:A,0),2)</f>
        <v>Base para válvula de descarga 1 1/4”</v>
      </c>
      <c r="C4963" s="40"/>
      <c r="D4963" s="25" t="s">
        <v>16</v>
      </c>
      <c r="E4963" s="26"/>
      <c r="F4963" s="41" t="s">
        <v>416</v>
      </c>
      <c r="G4963" s="27" t="str">
        <f t="shared" si="478"/>
        <v/>
      </c>
      <c r="H4963" s="28"/>
      <c r="I4963" s="29"/>
      <c r="J4963" s="152">
        <v>0</v>
      </c>
      <c r="L4963" s="218"/>
      <c r="M4963" s="41"/>
      <c r="N4963" s="27" t="str">
        <f t="shared" si="479"/>
        <v/>
      </c>
      <c r="O4963" s="28"/>
      <c r="P4963" s="36" t="str">
        <f t="shared" si="474"/>
        <v/>
      </c>
      <c r="Q4963" s="216" t="str">
        <f t="shared" si="475"/>
        <v/>
      </c>
      <c r="R4963" s="216" t="str">
        <f t="shared" si="476"/>
        <v/>
      </c>
      <c r="S4963" s="217" t="str">
        <f t="shared" si="477"/>
        <v/>
      </c>
    </row>
    <row r="4964" spans="1:19" ht="15.75" hidden="1" thickBot="1" x14ac:dyDescent="0.3">
      <c r="A4964" s="262"/>
      <c r="B4964" s="260"/>
      <c r="C4964" s="31"/>
      <c r="D4964" s="31"/>
      <c r="E4964" s="32"/>
      <c r="F4964" s="42" t="s">
        <v>416</v>
      </c>
      <c r="G4964" s="30" t="str">
        <f t="shared" si="478"/>
        <v/>
      </c>
      <c r="H4964" s="34"/>
      <c r="I4964" s="30"/>
      <c r="J4964" s="152">
        <v>0</v>
      </c>
      <c r="L4964" s="219"/>
      <c r="M4964" s="42"/>
      <c r="N4964" s="30" t="str">
        <f t="shared" si="479"/>
        <v/>
      </c>
      <c r="O4964" s="34"/>
      <c r="P4964" s="36" t="str">
        <f t="shared" si="474"/>
        <v/>
      </c>
      <c r="Q4964" s="216" t="str">
        <f t="shared" si="475"/>
        <v/>
      </c>
      <c r="R4964" s="216" t="str">
        <f t="shared" si="476"/>
        <v/>
      </c>
      <c r="S4964" s="217" t="str">
        <f t="shared" si="477"/>
        <v/>
      </c>
    </row>
    <row r="4965" spans="1:19" ht="15.75" hidden="1" thickBot="1" x14ac:dyDescent="0.3">
      <c r="A4965" s="262"/>
      <c r="B4965" s="260"/>
      <c r="C4965" s="35" t="s">
        <v>244</v>
      </c>
      <c r="D4965" s="35" t="s">
        <v>213</v>
      </c>
      <c r="E4965" s="36">
        <v>1.9199999999999998E-2</v>
      </c>
      <c r="F4965" s="33">
        <v>14.8865</v>
      </c>
      <c r="G4965" s="33">
        <f t="shared" si="478"/>
        <v>0.28582079999999999</v>
      </c>
      <c r="H4965" s="38">
        <f>SUM(G4965:G4968)</f>
        <v>35.775494250000001</v>
      </c>
      <c r="I4965" s="39"/>
      <c r="J4965" s="152">
        <v>0</v>
      </c>
      <c r="L4965" s="215">
        <v>1.9199999999999998E-2</v>
      </c>
      <c r="M4965" s="33">
        <v>12.742844</v>
      </c>
      <c r="N4965" s="33">
        <f t="shared" si="479"/>
        <v>0.24466260479999999</v>
      </c>
      <c r="O4965" s="38">
        <f>SUM(N4965:N4968)</f>
        <v>30.623823078000001</v>
      </c>
      <c r="P4965" s="36" t="str">
        <f t="shared" si="474"/>
        <v/>
      </c>
      <c r="Q4965" s="216">
        <f t="shared" si="475"/>
        <v>0.14400000000000002</v>
      </c>
      <c r="R4965" s="216">
        <f t="shared" si="476"/>
        <v>0.14400000000000002</v>
      </c>
      <c r="S4965" s="217">
        <f t="shared" si="477"/>
        <v>0.14400000000000002</v>
      </c>
    </row>
    <row r="4966" spans="1:19" ht="15.75" hidden="1" thickBot="1" x14ac:dyDescent="0.3">
      <c r="A4966" s="262"/>
      <c r="B4966" s="260"/>
      <c r="C4966" s="35" t="s">
        <v>3110</v>
      </c>
      <c r="D4966" s="35" t="s">
        <v>213</v>
      </c>
      <c r="E4966" s="36">
        <v>1</v>
      </c>
      <c r="F4966" s="33" t="s">
        <v>416</v>
      </c>
      <c r="G4966" s="33" t="str">
        <f t="shared" si="478"/>
        <v/>
      </c>
      <c r="H4966" s="44"/>
      <c r="I4966" s="45"/>
      <c r="J4966" s="152">
        <v>0</v>
      </c>
      <c r="L4966" s="215">
        <v>1</v>
      </c>
      <c r="M4966" s="33"/>
      <c r="N4966" s="33" t="str">
        <f t="shared" si="479"/>
        <v/>
      </c>
      <c r="O4966" s="44"/>
      <c r="P4966" s="36" t="str">
        <f t="shared" si="474"/>
        <v/>
      </c>
      <c r="Q4966" s="216" t="str">
        <f t="shared" si="475"/>
        <v/>
      </c>
      <c r="R4966" s="216" t="str">
        <f t="shared" si="476"/>
        <v/>
      </c>
      <c r="S4966" s="217" t="str">
        <f t="shared" si="477"/>
        <v/>
      </c>
    </row>
    <row r="4967" spans="1:19" ht="26.25" hidden="1" thickBot="1" x14ac:dyDescent="0.3">
      <c r="A4967" s="262"/>
      <c r="B4967" s="260"/>
      <c r="C4967" s="35" t="s">
        <v>824</v>
      </c>
      <c r="D4967" s="35" t="s">
        <v>583</v>
      </c>
      <c r="E4967" s="36">
        <f>ROUND(0.9249*0.8,4)</f>
        <v>0.7399</v>
      </c>
      <c r="F4967" s="30">
        <v>21.166</v>
      </c>
      <c r="G4967" s="30">
        <f t="shared" si="478"/>
        <v>15.6607234</v>
      </c>
      <c r="H4967" s="34"/>
      <c r="I4967" s="30"/>
      <c r="J4967" s="152">
        <v>0</v>
      </c>
      <c r="L4967" s="215">
        <v>0.7399</v>
      </c>
      <c r="M4967" s="30">
        <v>18.118096000000001</v>
      </c>
      <c r="N4967" s="30">
        <f t="shared" si="479"/>
        <v>13.405579230400001</v>
      </c>
      <c r="O4967" s="34"/>
      <c r="P4967" s="36" t="str">
        <f t="shared" si="474"/>
        <v/>
      </c>
      <c r="Q4967" s="216">
        <f t="shared" si="475"/>
        <v>0.14399999999999991</v>
      </c>
      <c r="R4967" s="216">
        <f t="shared" si="476"/>
        <v>0.14399999999999991</v>
      </c>
      <c r="S4967" s="217" t="str">
        <f t="shared" si="477"/>
        <v/>
      </c>
    </row>
    <row r="4968" spans="1:19" ht="26.25" hidden="1" thickBot="1" x14ac:dyDescent="0.3">
      <c r="A4968" s="262"/>
      <c r="B4968" s="260"/>
      <c r="C4968" s="35" t="s">
        <v>825</v>
      </c>
      <c r="D4968" s="35" t="s">
        <v>583</v>
      </c>
      <c r="E4968" s="36">
        <f>ROUND(0.9249*0.8,4)</f>
        <v>0.7399</v>
      </c>
      <c r="F4968" s="30">
        <v>26.799499999999998</v>
      </c>
      <c r="G4968" s="30">
        <f t="shared" si="478"/>
        <v>19.82895005</v>
      </c>
      <c r="H4968" s="34"/>
      <c r="I4968" s="30"/>
      <c r="J4968" s="152">
        <v>0</v>
      </c>
      <c r="L4968" s="215">
        <v>0.7399</v>
      </c>
      <c r="M4968" s="30">
        <v>22.940372</v>
      </c>
      <c r="N4968" s="30">
        <f t="shared" si="479"/>
        <v>16.973581242800002</v>
      </c>
      <c r="O4968" s="34"/>
      <c r="P4968" s="36" t="str">
        <f t="shared" si="474"/>
        <v/>
      </c>
      <c r="Q4968" s="216">
        <f t="shared" si="475"/>
        <v>0.14399999999999991</v>
      </c>
      <c r="R4968" s="216">
        <f t="shared" si="476"/>
        <v>0.14399999999999991</v>
      </c>
      <c r="S4968" s="217" t="str">
        <f t="shared" si="477"/>
        <v/>
      </c>
    </row>
    <row r="4969" spans="1:19" ht="15.75" hidden="1" thickBot="1" x14ac:dyDescent="0.3">
      <c r="A4969" s="263"/>
      <c r="B4969" s="261"/>
      <c r="C4969" s="35"/>
      <c r="D4969" s="35"/>
      <c r="E4969" s="36"/>
      <c r="F4969" s="30" t="s">
        <v>416</v>
      </c>
      <c r="G4969" s="30" t="str">
        <f t="shared" si="478"/>
        <v/>
      </c>
      <c r="H4969" s="34"/>
      <c r="I4969" s="30"/>
      <c r="J4969" s="152">
        <v>0</v>
      </c>
      <c r="L4969" s="215"/>
      <c r="M4969" s="30"/>
      <c r="N4969" s="30" t="str">
        <f t="shared" si="479"/>
        <v/>
      </c>
      <c r="O4969" s="34"/>
      <c r="P4969" s="36" t="str">
        <f t="shared" si="474"/>
        <v/>
      </c>
      <c r="Q4969" s="216" t="str">
        <f t="shared" si="475"/>
        <v/>
      </c>
      <c r="R4969" s="216" t="str">
        <f t="shared" si="476"/>
        <v/>
      </c>
      <c r="S4969" s="217" t="str">
        <f t="shared" si="477"/>
        <v/>
      </c>
    </row>
    <row r="4970" spans="1:19" ht="15.75" hidden="1" thickBot="1" x14ac:dyDescent="0.3">
      <c r="A4970" s="256" t="s">
        <v>2986</v>
      </c>
      <c r="B4970" s="259" t="str">
        <f>INDEX(Orçamentária!A:B,MATCH(Composições!A4970,Orçamentária!A:A,0),2)</f>
        <v>Anel de Vedação para bacia sanitária</v>
      </c>
      <c r="C4970" s="40"/>
      <c r="D4970" s="25" t="s">
        <v>16</v>
      </c>
      <c r="E4970" s="26"/>
      <c r="F4970" s="41" t="s">
        <v>416</v>
      </c>
      <c r="G4970" s="27" t="str">
        <f t="shared" si="478"/>
        <v/>
      </c>
      <c r="H4970" s="28"/>
      <c r="I4970" s="29"/>
      <c r="J4970" s="152">
        <v>0</v>
      </c>
      <c r="L4970" s="218"/>
      <c r="M4970" s="41"/>
      <c r="N4970" s="27" t="str">
        <f t="shared" si="479"/>
        <v/>
      </c>
      <c r="O4970" s="28"/>
      <c r="P4970" s="36" t="str">
        <f t="shared" si="474"/>
        <v/>
      </c>
      <c r="Q4970" s="216" t="str">
        <f t="shared" si="475"/>
        <v/>
      </c>
      <c r="R4970" s="216" t="str">
        <f t="shared" si="476"/>
        <v/>
      </c>
      <c r="S4970" s="217" t="str">
        <f t="shared" si="477"/>
        <v/>
      </c>
    </row>
    <row r="4971" spans="1:19" ht="15.75" hidden="1" thickBot="1" x14ac:dyDescent="0.3">
      <c r="A4971" s="262"/>
      <c r="B4971" s="260"/>
      <c r="C4971" s="31"/>
      <c r="D4971" s="31"/>
      <c r="E4971" s="32"/>
      <c r="F4971" s="42" t="s">
        <v>416</v>
      </c>
      <c r="G4971" s="33" t="str">
        <f t="shared" si="478"/>
        <v/>
      </c>
      <c r="H4971" s="34"/>
      <c r="I4971" s="30"/>
      <c r="J4971" s="152">
        <v>0</v>
      </c>
      <c r="L4971" s="219"/>
      <c r="M4971" s="42"/>
      <c r="N4971" s="33" t="str">
        <f t="shared" si="479"/>
        <v/>
      </c>
      <c r="O4971" s="34"/>
      <c r="P4971" s="36" t="str">
        <f t="shared" si="474"/>
        <v/>
      </c>
      <c r="Q4971" s="216" t="str">
        <f t="shared" si="475"/>
        <v/>
      </c>
      <c r="R4971" s="216" t="str">
        <f t="shared" si="476"/>
        <v/>
      </c>
      <c r="S4971" s="217" t="str">
        <f t="shared" si="477"/>
        <v/>
      </c>
    </row>
    <row r="4972" spans="1:19" ht="26.25" hidden="1" thickBot="1" x14ac:dyDescent="0.3">
      <c r="A4972" s="262"/>
      <c r="B4972" s="260"/>
      <c r="C4972" s="35" t="s">
        <v>7982</v>
      </c>
      <c r="D4972" s="35" t="s">
        <v>213</v>
      </c>
      <c r="E4972" s="36">
        <v>1</v>
      </c>
      <c r="F4972" s="33">
        <v>14.3925</v>
      </c>
      <c r="G4972" s="53">
        <f t="shared" si="478"/>
        <v>14.3925</v>
      </c>
      <c r="H4972" s="38">
        <f>SUM(G4972:G4973)</f>
        <v>17.07245</v>
      </c>
      <c r="I4972" s="30"/>
      <c r="J4972" s="152">
        <v>0</v>
      </c>
      <c r="L4972" s="215">
        <v>1</v>
      </c>
      <c r="M4972" s="33">
        <v>12.319980000000001</v>
      </c>
      <c r="N4972" s="53">
        <f t="shared" si="479"/>
        <v>12.319980000000001</v>
      </c>
      <c r="O4972" s="38">
        <f>SUM(N4972:N4973)</f>
        <v>14.614017200000001</v>
      </c>
      <c r="P4972" s="36" t="str">
        <f t="shared" si="474"/>
        <v/>
      </c>
      <c r="Q4972" s="216">
        <f t="shared" si="475"/>
        <v>0.14399999999999991</v>
      </c>
      <c r="R4972" s="216">
        <f t="shared" si="476"/>
        <v>0.14399999999999991</v>
      </c>
      <c r="S4972" s="217">
        <f t="shared" si="477"/>
        <v>0.14399999999999991</v>
      </c>
    </row>
    <row r="4973" spans="1:19" ht="26.25" hidden="1" thickBot="1" x14ac:dyDescent="0.3">
      <c r="A4973" s="262"/>
      <c r="B4973" s="260"/>
      <c r="C4973" s="35" t="s">
        <v>825</v>
      </c>
      <c r="D4973" s="35" t="s">
        <v>583</v>
      </c>
      <c r="E4973" s="36">
        <v>0.1</v>
      </c>
      <c r="F4973" s="30">
        <v>26.799499999999998</v>
      </c>
      <c r="G4973" s="30">
        <f t="shared" si="478"/>
        <v>2.6799499999999998</v>
      </c>
      <c r="H4973" s="34"/>
      <c r="I4973" s="30"/>
      <c r="J4973" s="152">
        <v>0</v>
      </c>
      <c r="L4973" s="215">
        <v>0.1</v>
      </c>
      <c r="M4973" s="30">
        <v>22.940372</v>
      </c>
      <c r="N4973" s="30">
        <f t="shared" si="479"/>
        <v>2.2940372</v>
      </c>
      <c r="O4973" s="34"/>
      <c r="P4973" s="36" t="str">
        <f t="shared" si="474"/>
        <v/>
      </c>
      <c r="Q4973" s="216">
        <f t="shared" si="475"/>
        <v>0.14399999999999991</v>
      </c>
      <c r="R4973" s="216">
        <f t="shared" si="476"/>
        <v>0.14399999999999991</v>
      </c>
      <c r="S4973" s="217" t="str">
        <f t="shared" si="477"/>
        <v/>
      </c>
    </row>
    <row r="4974" spans="1:19" ht="15.75" hidden="1" thickBot="1" x14ac:dyDescent="0.3">
      <c r="A4974" s="263"/>
      <c r="B4974" s="261"/>
      <c r="C4974" s="35"/>
      <c r="D4974" s="35"/>
      <c r="E4974" s="36"/>
      <c r="F4974" s="30" t="s">
        <v>416</v>
      </c>
      <c r="G4974" s="33" t="str">
        <f t="shared" si="478"/>
        <v/>
      </c>
      <c r="H4974" s="34"/>
      <c r="I4974" s="30"/>
      <c r="J4974" s="152">
        <v>0</v>
      </c>
      <c r="L4974" s="215"/>
      <c r="M4974" s="30"/>
      <c r="N4974" s="33" t="str">
        <f t="shared" si="479"/>
        <v/>
      </c>
      <c r="O4974" s="34"/>
      <c r="P4974" s="36" t="str">
        <f t="shared" si="474"/>
        <v/>
      </c>
      <c r="Q4974" s="216" t="str">
        <f t="shared" si="475"/>
        <v/>
      </c>
      <c r="R4974" s="216" t="str">
        <f t="shared" si="476"/>
        <v/>
      </c>
      <c r="S4974" s="217" t="str">
        <f t="shared" si="477"/>
        <v/>
      </c>
    </row>
    <row r="4975" spans="1:19" ht="15.75" hidden="1" thickBot="1" x14ac:dyDescent="0.3">
      <c r="A4975" s="256" t="s">
        <v>2987</v>
      </c>
      <c r="B4975" s="259" t="str">
        <f>INDEX(Orçamentária!A:B,MATCH(Composições!A4975,Orçamentária!A:A,0),2)</f>
        <v>Folha de porta em madeira e MDF 2,10 x 0,60 m</v>
      </c>
      <c r="C4975" s="40"/>
      <c r="D4975" s="25" t="s">
        <v>16</v>
      </c>
      <c r="E4975" s="26"/>
      <c r="F4975" s="41" t="s">
        <v>416</v>
      </c>
      <c r="G4975" s="27" t="str">
        <f t="shared" si="478"/>
        <v/>
      </c>
      <c r="H4975" s="28"/>
      <c r="I4975" s="29"/>
      <c r="J4975" s="152">
        <v>0</v>
      </c>
      <c r="L4975" s="218"/>
      <c r="M4975" s="41"/>
      <c r="N4975" s="27" t="str">
        <f t="shared" si="479"/>
        <v/>
      </c>
      <c r="O4975" s="28"/>
      <c r="P4975" s="36" t="str">
        <f t="shared" si="474"/>
        <v/>
      </c>
      <c r="Q4975" s="216" t="str">
        <f t="shared" si="475"/>
        <v/>
      </c>
      <c r="R4975" s="216" t="str">
        <f t="shared" si="476"/>
        <v/>
      </c>
      <c r="S4975" s="217" t="str">
        <f t="shared" si="477"/>
        <v/>
      </c>
    </row>
    <row r="4976" spans="1:19" ht="15.75" hidden="1" thickBot="1" x14ac:dyDescent="0.3">
      <c r="A4976" s="262"/>
      <c r="B4976" s="260"/>
      <c r="C4976" s="31"/>
      <c r="D4976" s="31"/>
      <c r="E4976" s="32"/>
      <c r="F4976" s="42" t="s">
        <v>416</v>
      </c>
      <c r="G4976" s="30" t="str">
        <f t="shared" si="478"/>
        <v/>
      </c>
      <c r="H4976" s="34"/>
      <c r="I4976" s="30"/>
      <c r="J4976" s="152">
        <v>0</v>
      </c>
      <c r="L4976" s="219"/>
      <c r="M4976" s="42"/>
      <c r="N4976" s="30" t="str">
        <f t="shared" si="479"/>
        <v/>
      </c>
      <c r="O4976" s="34"/>
      <c r="P4976" s="36" t="str">
        <f t="shared" si="474"/>
        <v/>
      </c>
      <c r="Q4976" s="216" t="str">
        <f t="shared" si="475"/>
        <v/>
      </c>
      <c r="R4976" s="216" t="str">
        <f t="shared" si="476"/>
        <v/>
      </c>
      <c r="S4976" s="217" t="str">
        <f t="shared" si="477"/>
        <v/>
      </c>
    </row>
    <row r="4977" spans="1:19" ht="51.75" hidden="1" thickBot="1" x14ac:dyDescent="0.3">
      <c r="A4977" s="262"/>
      <c r="B4977" s="260"/>
      <c r="C4977" s="35" t="s">
        <v>8334</v>
      </c>
      <c r="D4977" s="35" t="s">
        <v>213</v>
      </c>
      <c r="E4977" s="36">
        <v>1</v>
      </c>
      <c r="F4977" s="33">
        <v>235.5145</v>
      </c>
      <c r="G4977" s="33">
        <f t="shared" si="478"/>
        <v>235.5145</v>
      </c>
      <c r="H4977" s="38">
        <f>SUM(G4977:G4979)</f>
        <v>272.27072199999998</v>
      </c>
      <c r="I4977" s="39"/>
      <c r="J4977" s="152">
        <v>0</v>
      </c>
      <c r="L4977" s="215">
        <v>1</v>
      </c>
      <c r="M4977" s="33">
        <v>201.60041200000001</v>
      </c>
      <c r="N4977" s="33">
        <f t="shared" si="479"/>
        <v>201.60041200000001</v>
      </c>
      <c r="O4977" s="38">
        <f>SUM(N4977:N4979)</f>
        <v>233.063738032</v>
      </c>
      <c r="P4977" s="36" t="str">
        <f t="shared" si="474"/>
        <v/>
      </c>
      <c r="Q4977" s="216">
        <f t="shared" si="475"/>
        <v>0.14400000000000002</v>
      </c>
      <c r="R4977" s="216">
        <f t="shared" si="476"/>
        <v>0.14400000000000002</v>
      </c>
      <c r="S4977" s="217">
        <f t="shared" si="477"/>
        <v>0.14399999999999991</v>
      </c>
    </row>
    <row r="4978" spans="1:19" ht="15.75" hidden="1" thickBot="1" x14ac:dyDescent="0.3">
      <c r="A4978" s="262"/>
      <c r="B4978" s="260"/>
      <c r="C4978" s="35" t="s">
        <v>582</v>
      </c>
      <c r="D4978" s="35" t="s">
        <v>583</v>
      </c>
      <c r="E4978" s="36">
        <f>ROUND(1.282*0.8,4)</f>
        <v>1.0256000000000001</v>
      </c>
      <c r="F4978" s="30">
        <v>25.725999999999996</v>
      </c>
      <c r="G4978" s="33">
        <f t="shared" si="478"/>
        <v>26.384585599999998</v>
      </c>
      <c r="H4978" s="34"/>
      <c r="I4978" s="30"/>
      <c r="J4978" s="152">
        <v>0</v>
      </c>
      <c r="L4978" s="215">
        <v>1.0256000000000001</v>
      </c>
      <c r="M4978" s="30">
        <v>22.021455999999997</v>
      </c>
      <c r="N4978" s="33">
        <f t="shared" si="479"/>
        <v>22.5852052736</v>
      </c>
      <c r="O4978" s="34"/>
      <c r="P4978" s="36" t="str">
        <f t="shared" si="474"/>
        <v/>
      </c>
      <c r="Q4978" s="216">
        <f t="shared" si="475"/>
        <v>0.14400000000000002</v>
      </c>
      <c r="R4978" s="216">
        <f t="shared" si="476"/>
        <v>0.14399999999999991</v>
      </c>
      <c r="S4978" s="217" t="str">
        <f t="shared" si="477"/>
        <v/>
      </c>
    </row>
    <row r="4979" spans="1:19" ht="15.75" hidden="1" thickBot="1" x14ac:dyDescent="0.3">
      <c r="A4979" s="262"/>
      <c r="B4979" s="260"/>
      <c r="C4979" s="35" t="s">
        <v>584</v>
      </c>
      <c r="D4979" s="35" t="s">
        <v>583</v>
      </c>
      <c r="E4979" s="36">
        <f>ROUND(0.641*0.8,4)</f>
        <v>0.51280000000000003</v>
      </c>
      <c r="F4979" s="30">
        <v>20.225499999999997</v>
      </c>
      <c r="G4979" s="33">
        <f t="shared" si="478"/>
        <v>10.3716364</v>
      </c>
      <c r="H4979" s="34"/>
      <c r="I4979" s="30"/>
      <c r="J4979" s="152">
        <v>0</v>
      </c>
      <c r="L4979" s="215">
        <v>0.51280000000000003</v>
      </c>
      <c r="M4979" s="30">
        <v>17.313027999999996</v>
      </c>
      <c r="N4979" s="33">
        <f t="shared" si="479"/>
        <v>8.8781207583999979</v>
      </c>
      <c r="O4979" s="34"/>
      <c r="P4979" s="36" t="str">
        <f t="shared" si="474"/>
        <v/>
      </c>
      <c r="Q4979" s="216">
        <f t="shared" si="475"/>
        <v>0.14400000000000013</v>
      </c>
      <c r="R4979" s="216">
        <f t="shared" si="476"/>
        <v>0.14400000000000024</v>
      </c>
      <c r="S4979" s="217" t="str">
        <f t="shared" si="477"/>
        <v/>
      </c>
    </row>
    <row r="4980" spans="1:19" ht="15.75" hidden="1" thickBot="1" x14ac:dyDescent="0.3">
      <c r="A4980" s="262"/>
      <c r="B4980" s="260"/>
      <c r="C4980" s="35"/>
      <c r="D4980" s="46"/>
      <c r="E4980" s="36"/>
      <c r="F4980" s="33" t="s">
        <v>416</v>
      </c>
      <c r="G4980" s="33" t="str">
        <f t="shared" si="478"/>
        <v/>
      </c>
      <c r="H4980" s="34"/>
      <c r="I4980" s="30"/>
      <c r="J4980" s="152">
        <v>0</v>
      </c>
      <c r="L4980" s="215"/>
      <c r="M4980" s="33"/>
      <c r="N4980" s="33" t="str">
        <f t="shared" si="479"/>
        <v/>
      </c>
      <c r="O4980" s="34"/>
      <c r="P4980" s="36" t="str">
        <f t="shared" si="474"/>
        <v/>
      </c>
      <c r="Q4980" s="216" t="str">
        <f t="shared" si="475"/>
        <v/>
      </c>
      <c r="R4980" s="216" t="str">
        <f t="shared" si="476"/>
        <v/>
      </c>
      <c r="S4980" s="217" t="str">
        <f t="shared" si="477"/>
        <v/>
      </c>
    </row>
    <row r="4981" spans="1:19" ht="15.75" hidden="1" thickBot="1" x14ac:dyDescent="0.3">
      <c r="A4981" s="256" t="s">
        <v>2988</v>
      </c>
      <c r="B4981" s="259" t="str">
        <f>INDEX(Orçamentária!A:B,MATCH(Composições!A4981,Orçamentária!A:A,0),2)</f>
        <v>Folha de porta em madeira e MDF 2,10 x 0,70 m</v>
      </c>
      <c r="C4981" s="40"/>
      <c r="D4981" s="25" t="s">
        <v>16</v>
      </c>
      <c r="E4981" s="26"/>
      <c r="F4981" s="41" t="s">
        <v>416</v>
      </c>
      <c r="G4981" s="27" t="str">
        <f t="shared" si="478"/>
        <v/>
      </c>
      <c r="H4981" s="28"/>
      <c r="I4981" s="29"/>
      <c r="J4981" s="152">
        <v>0</v>
      </c>
      <c r="L4981" s="218"/>
      <c r="M4981" s="41"/>
      <c r="N4981" s="27" t="str">
        <f t="shared" si="479"/>
        <v/>
      </c>
      <c r="O4981" s="28"/>
      <c r="P4981" s="36" t="str">
        <f t="shared" si="474"/>
        <v/>
      </c>
      <c r="Q4981" s="216" t="str">
        <f t="shared" si="475"/>
        <v/>
      </c>
      <c r="R4981" s="216" t="str">
        <f t="shared" si="476"/>
        <v/>
      </c>
      <c r="S4981" s="217" t="str">
        <f t="shared" si="477"/>
        <v/>
      </c>
    </row>
    <row r="4982" spans="1:19" ht="15.75" hidden="1" thickBot="1" x14ac:dyDescent="0.3">
      <c r="A4982" s="262"/>
      <c r="B4982" s="260"/>
      <c r="C4982" s="31"/>
      <c r="D4982" s="31"/>
      <c r="E4982" s="32"/>
      <c r="F4982" s="42" t="s">
        <v>416</v>
      </c>
      <c r="G4982" s="30" t="str">
        <f t="shared" si="478"/>
        <v/>
      </c>
      <c r="H4982" s="34"/>
      <c r="I4982" s="30"/>
      <c r="J4982" s="152">
        <v>0</v>
      </c>
      <c r="L4982" s="219"/>
      <c r="M4982" s="42"/>
      <c r="N4982" s="30" t="str">
        <f t="shared" si="479"/>
        <v/>
      </c>
      <c r="O4982" s="34"/>
      <c r="P4982" s="36" t="str">
        <f t="shared" si="474"/>
        <v/>
      </c>
      <c r="Q4982" s="216" t="str">
        <f t="shared" si="475"/>
        <v/>
      </c>
      <c r="R4982" s="216" t="str">
        <f t="shared" si="476"/>
        <v/>
      </c>
      <c r="S4982" s="217" t="str">
        <f t="shared" si="477"/>
        <v/>
      </c>
    </row>
    <row r="4983" spans="1:19" ht="51.75" hidden="1" thickBot="1" x14ac:dyDescent="0.3">
      <c r="A4983" s="262"/>
      <c r="B4983" s="260"/>
      <c r="C4983" s="35" t="s">
        <v>8329</v>
      </c>
      <c r="D4983" s="35" t="s">
        <v>213</v>
      </c>
      <c r="E4983" s="36">
        <v>1</v>
      </c>
      <c r="F4983" s="33">
        <v>255.99650000000003</v>
      </c>
      <c r="G4983" s="33">
        <f t="shared" si="478"/>
        <v>255.99650000000003</v>
      </c>
      <c r="H4983" s="38">
        <f>SUM(G4983:G4985)</f>
        <v>296.53729399999997</v>
      </c>
      <c r="I4983" s="39"/>
      <c r="J4983" s="152">
        <v>0</v>
      </c>
      <c r="L4983" s="215">
        <v>1</v>
      </c>
      <c r="M4983" s="33">
        <v>219.13300400000003</v>
      </c>
      <c r="N4983" s="33">
        <f t="shared" si="479"/>
        <v>219.13300400000003</v>
      </c>
      <c r="O4983" s="38">
        <f>SUM(N4983:N4985)</f>
        <v>253.83592366400003</v>
      </c>
      <c r="P4983" s="36" t="str">
        <f t="shared" si="474"/>
        <v/>
      </c>
      <c r="Q4983" s="216">
        <f t="shared" si="475"/>
        <v>0.14400000000000002</v>
      </c>
      <c r="R4983" s="216">
        <f t="shared" si="476"/>
        <v>0.14400000000000002</v>
      </c>
      <c r="S4983" s="217">
        <f t="shared" si="477"/>
        <v>0.14399999999999979</v>
      </c>
    </row>
    <row r="4984" spans="1:19" ht="15.75" hidden="1" thickBot="1" x14ac:dyDescent="0.3">
      <c r="A4984" s="262"/>
      <c r="B4984" s="260"/>
      <c r="C4984" s="35" t="s">
        <v>582</v>
      </c>
      <c r="D4984" s="35" t="s">
        <v>583</v>
      </c>
      <c r="E4984" s="36">
        <f>ROUND(1.414*0.8,4)</f>
        <v>1.1312</v>
      </c>
      <c r="F4984" s="30">
        <v>25.725999999999996</v>
      </c>
      <c r="G4984" s="33">
        <f t="shared" si="478"/>
        <v>29.101251199999993</v>
      </c>
      <c r="H4984" s="34"/>
      <c r="I4984" s="30"/>
      <c r="J4984" s="152">
        <v>0</v>
      </c>
      <c r="L4984" s="215">
        <v>1.1312</v>
      </c>
      <c r="M4984" s="30">
        <v>22.021455999999997</v>
      </c>
      <c r="N4984" s="33">
        <f t="shared" si="479"/>
        <v>24.910671027199996</v>
      </c>
      <c r="O4984" s="34"/>
      <c r="P4984" s="36" t="str">
        <f t="shared" si="474"/>
        <v/>
      </c>
      <c r="Q4984" s="216">
        <f t="shared" si="475"/>
        <v>0.14400000000000002</v>
      </c>
      <c r="R4984" s="216">
        <f t="shared" si="476"/>
        <v>0.14399999999999991</v>
      </c>
      <c r="S4984" s="217" t="str">
        <f t="shared" si="477"/>
        <v/>
      </c>
    </row>
    <row r="4985" spans="1:19" ht="15.75" hidden="1" thickBot="1" x14ac:dyDescent="0.3">
      <c r="A4985" s="262"/>
      <c r="B4985" s="260"/>
      <c r="C4985" s="35" t="s">
        <v>584</v>
      </c>
      <c r="D4985" s="35" t="s">
        <v>583</v>
      </c>
      <c r="E4985" s="36">
        <f>ROUND(0.707*0.8,4)</f>
        <v>0.56559999999999999</v>
      </c>
      <c r="F4985" s="30">
        <v>20.225499999999997</v>
      </c>
      <c r="G4985" s="33">
        <f t="shared" si="478"/>
        <v>11.439542799999998</v>
      </c>
      <c r="H4985" s="34"/>
      <c r="I4985" s="30"/>
      <c r="J4985" s="152">
        <v>0</v>
      </c>
      <c r="L4985" s="215">
        <v>0.56559999999999999</v>
      </c>
      <c r="M4985" s="30">
        <v>17.313027999999996</v>
      </c>
      <c r="N4985" s="33">
        <f t="shared" si="479"/>
        <v>9.7922486367999966</v>
      </c>
      <c r="O4985" s="34"/>
      <c r="P4985" s="36" t="str">
        <f t="shared" si="474"/>
        <v/>
      </c>
      <c r="Q4985" s="216">
        <f t="shared" si="475"/>
        <v>0.14400000000000013</v>
      </c>
      <c r="R4985" s="216">
        <f t="shared" si="476"/>
        <v>0.14400000000000013</v>
      </c>
      <c r="S4985" s="217" t="str">
        <f t="shared" si="477"/>
        <v/>
      </c>
    </row>
    <row r="4986" spans="1:19" ht="15.75" hidden="1" thickBot="1" x14ac:dyDescent="0.3">
      <c r="A4986" s="262"/>
      <c r="B4986" s="260"/>
      <c r="C4986" s="35"/>
      <c r="D4986" s="46"/>
      <c r="E4986" s="36"/>
      <c r="F4986" s="33" t="s">
        <v>416</v>
      </c>
      <c r="G4986" s="33" t="str">
        <f t="shared" si="478"/>
        <v/>
      </c>
      <c r="H4986" s="34"/>
      <c r="I4986" s="30"/>
      <c r="J4986" s="152">
        <v>0</v>
      </c>
      <c r="L4986" s="215"/>
      <c r="M4986" s="33"/>
      <c r="N4986" s="33" t="str">
        <f t="shared" si="479"/>
        <v/>
      </c>
      <c r="O4986" s="34"/>
      <c r="P4986" s="36" t="str">
        <f t="shared" si="474"/>
        <v/>
      </c>
      <c r="Q4986" s="216" t="str">
        <f t="shared" si="475"/>
        <v/>
      </c>
      <c r="R4986" s="216" t="str">
        <f t="shared" si="476"/>
        <v/>
      </c>
      <c r="S4986" s="217" t="str">
        <f t="shared" si="477"/>
        <v/>
      </c>
    </row>
    <row r="4987" spans="1:19" ht="15.75" hidden="1" thickBot="1" x14ac:dyDescent="0.3">
      <c r="A4987" s="256" t="s">
        <v>2989</v>
      </c>
      <c r="B4987" s="259" t="str">
        <f>INDEX(Orçamentária!A:B,MATCH(Composições!A4987,Orçamentária!A:A,0),2)</f>
        <v>Folha de porta em madeira e MDF 2,10 x 0,80 m</v>
      </c>
      <c r="C4987" s="40"/>
      <c r="D4987" s="25" t="s">
        <v>16</v>
      </c>
      <c r="E4987" s="26"/>
      <c r="F4987" s="41" t="s">
        <v>416</v>
      </c>
      <c r="G4987" s="27" t="str">
        <f t="shared" si="478"/>
        <v/>
      </c>
      <c r="H4987" s="28"/>
      <c r="I4987" s="29"/>
      <c r="J4987" s="152">
        <v>0</v>
      </c>
      <c r="L4987" s="218"/>
      <c r="M4987" s="41"/>
      <c r="N4987" s="27" t="str">
        <f t="shared" si="479"/>
        <v/>
      </c>
      <c r="O4987" s="28"/>
      <c r="P4987" s="36" t="str">
        <f t="shared" si="474"/>
        <v/>
      </c>
      <c r="Q4987" s="216" t="str">
        <f t="shared" si="475"/>
        <v/>
      </c>
      <c r="R4987" s="216" t="str">
        <f t="shared" si="476"/>
        <v/>
      </c>
      <c r="S4987" s="217" t="str">
        <f t="shared" si="477"/>
        <v/>
      </c>
    </row>
    <row r="4988" spans="1:19" ht="15.75" hidden="1" thickBot="1" x14ac:dyDescent="0.3">
      <c r="A4988" s="262"/>
      <c r="B4988" s="260"/>
      <c r="C4988" s="31"/>
      <c r="D4988" s="31"/>
      <c r="E4988" s="32"/>
      <c r="F4988" s="42" t="s">
        <v>416</v>
      </c>
      <c r="G4988" s="30" t="str">
        <f t="shared" si="478"/>
        <v/>
      </c>
      <c r="H4988" s="34"/>
      <c r="I4988" s="30"/>
      <c r="J4988" s="152">
        <v>0</v>
      </c>
      <c r="L4988" s="219"/>
      <c r="M4988" s="42"/>
      <c r="N4988" s="30" t="str">
        <f t="shared" si="479"/>
        <v/>
      </c>
      <c r="O4988" s="34"/>
      <c r="P4988" s="36" t="str">
        <f t="shared" si="474"/>
        <v/>
      </c>
      <c r="Q4988" s="216" t="str">
        <f t="shared" si="475"/>
        <v/>
      </c>
      <c r="R4988" s="216" t="str">
        <f t="shared" si="476"/>
        <v/>
      </c>
      <c r="S4988" s="217" t="str">
        <f t="shared" si="477"/>
        <v/>
      </c>
    </row>
    <row r="4989" spans="1:19" ht="51.75" hidden="1" thickBot="1" x14ac:dyDescent="0.3">
      <c r="A4989" s="262"/>
      <c r="B4989" s="260"/>
      <c r="C4989" s="35" t="s">
        <v>8331</v>
      </c>
      <c r="D4989" s="35" t="s">
        <v>213</v>
      </c>
      <c r="E4989" s="36">
        <v>1</v>
      </c>
      <c r="F4989" s="33">
        <v>289.12299999999999</v>
      </c>
      <c r="G4989" s="33">
        <f t="shared" si="478"/>
        <v>289.12299999999999</v>
      </c>
      <c r="H4989" s="38">
        <f>SUM(G4989:G4991)</f>
        <v>333.44836599999996</v>
      </c>
      <c r="I4989" s="39"/>
      <c r="J4989" s="152">
        <v>0</v>
      </c>
      <c r="L4989" s="215">
        <v>1</v>
      </c>
      <c r="M4989" s="33">
        <v>247.48928799999999</v>
      </c>
      <c r="N4989" s="33">
        <f t="shared" si="479"/>
        <v>247.48928799999999</v>
      </c>
      <c r="O4989" s="38">
        <f>SUM(N4989:N4991)</f>
        <v>285.431801296</v>
      </c>
      <c r="P4989" s="36" t="str">
        <f t="shared" si="474"/>
        <v/>
      </c>
      <c r="Q4989" s="216">
        <f t="shared" si="475"/>
        <v>0.14400000000000002</v>
      </c>
      <c r="R4989" s="216">
        <f t="shared" si="476"/>
        <v>0.14400000000000002</v>
      </c>
      <c r="S4989" s="217">
        <f t="shared" si="477"/>
        <v>0.14399999999999991</v>
      </c>
    </row>
    <row r="4990" spans="1:19" ht="15.75" hidden="1" thickBot="1" x14ac:dyDescent="0.3">
      <c r="A4990" s="262"/>
      <c r="B4990" s="260"/>
      <c r="C4990" s="35" t="s">
        <v>582</v>
      </c>
      <c r="D4990" s="35" t="s">
        <v>583</v>
      </c>
      <c r="E4990" s="36">
        <f>ROUND(1.546*0.8,4)</f>
        <v>1.2367999999999999</v>
      </c>
      <c r="F4990" s="30">
        <v>25.725999999999996</v>
      </c>
      <c r="G4990" s="33">
        <f t="shared" si="478"/>
        <v>31.817916799999992</v>
      </c>
      <c r="H4990" s="34"/>
      <c r="I4990" s="30"/>
      <c r="J4990" s="152">
        <v>0</v>
      </c>
      <c r="L4990" s="215">
        <v>1.2367999999999999</v>
      </c>
      <c r="M4990" s="30">
        <v>22.021455999999997</v>
      </c>
      <c r="N4990" s="33">
        <f t="shared" si="479"/>
        <v>27.236136780799995</v>
      </c>
      <c r="O4990" s="34"/>
      <c r="P4990" s="36" t="str">
        <f t="shared" si="474"/>
        <v/>
      </c>
      <c r="Q4990" s="216">
        <f t="shared" si="475"/>
        <v>0.14400000000000002</v>
      </c>
      <c r="R4990" s="216">
        <f t="shared" si="476"/>
        <v>0.14399999999999991</v>
      </c>
      <c r="S4990" s="217" t="str">
        <f t="shared" si="477"/>
        <v/>
      </c>
    </row>
    <row r="4991" spans="1:19" ht="15.75" hidden="1" thickBot="1" x14ac:dyDescent="0.3">
      <c r="A4991" s="262"/>
      <c r="B4991" s="260"/>
      <c r="C4991" s="35" t="s">
        <v>584</v>
      </c>
      <c r="D4991" s="35" t="s">
        <v>583</v>
      </c>
      <c r="E4991" s="36">
        <f>ROUND(0.773*0.8,4)</f>
        <v>0.61839999999999995</v>
      </c>
      <c r="F4991" s="30">
        <v>20.225499999999997</v>
      </c>
      <c r="G4991" s="33">
        <f t="shared" si="478"/>
        <v>12.507449199999996</v>
      </c>
      <c r="H4991" s="34"/>
      <c r="I4991" s="30"/>
      <c r="J4991" s="152">
        <v>0</v>
      </c>
      <c r="L4991" s="215">
        <v>0.61839999999999995</v>
      </c>
      <c r="M4991" s="30">
        <v>17.313027999999996</v>
      </c>
      <c r="N4991" s="33">
        <f t="shared" si="479"/>
        <v>10.706376515199997</v>
      </c>
      <c r="O4991" s="34"/>
      <c r="P4991" s="36" t="str">
        <f t="shared" si="474"/>
        <v/>
      </c>
      <c r="Q4991" s="216">
        <f t="shared" si="475"/>
        <v>0.14400000000000013</v>
      </c>
      <c r="R4991" s="216">
        <f t="shared" si="476"/>
        <v>0.14400000000000002</v>
      </c>
      <c r="S4991" s="217" t="str">
        <f t="shared" si="477"/>
        <v/>
      </c>
    </row>
    <row r="4992" spans="1:19" ht="15.75" hidden="1" thickBot="1" x14ac:dyDescent="0.3">
      <c r="A4992" s="262"/>
      <c r="B4992" s="260"/>
      <c r="C4992" s="35"/>
      <c r="D4992" s="46"/>
      <c r="E4992" s="36"/>
      <c r="F4992" s="33" t="s">
        <v>416</v>
      </c>
      <c r="G4992" s="33" t="str">
        <f t="shared" si="478"/>
        <v/>
      </c>
      <c r="H4992" s="34"/>
      <c r="I4992" s="30"/>
      <c r="J4992" s="152">
        <v>0</v>
      </c>
      <c r="L4992" s="215"/>
      <c r="M4992" s="33"/>
      <c r="N4992" s="33" t="str">
        <f t="shared" si="479"/>
        <v/>
      </c>
      <c r="O4992" s="34"/>
      <c r="P4992" s="36" t="str">
        <f t="shared" si="474"/>
        <v/>
      </c>
      <c r="Q4992" s="216" t="str">
        <f t="shared" si="475"/>
        <v/>
      </c>
      <c r="R4992" s="216" t="str">
        <f t="shared" si="476"/>
        <v/>
      </c>
      <c r="S4992" s="217" t="str">
        <f t="shared" si="477"/>
        <v/>
      </c>
    </row>
    <row r="4993" spans="1:19" ht="15.75" hidden="1" thickBot="1" x14ac:dyDescent="0.3">
      <c r="A4993" s="256" t="s">
        <v>2990</v>
      </c>
      <c r="B4993" s="259" t="str">
        <f>INDEX(Orçamentária!A:B,MATCH(Composições!A4993,Orçamentária!A:A,0),2)</f>
        <v>Folha de porta em madeira e MDF 2,10 x 0,90 m</v>
      </c>
      <c r="C4993" s="40"/>
      <c r="D4993" s="25" t="s">
        <v>16</v>
      </c>
      <c r="E4993" s="26"/>
      <c r="F4993" s="41" t="s">
        <v>416</v>
      </c>
      <c r="G4993" s="27" t="str">
        <f t="shared" si="478"/>
        <v/>
      </c>
      <c r="H4993" s="28"/>
      <c r="I4993" s="29"/>
      <c r="J4993" s="152">
        <v>0</v>
      </c>
      <c r="L4993" s="218"/>
      <c r="M4993" s="41"/>
      <c r="N4993" s="27" t="str">
        <f t="shared" si="479"/>
        <v/>
      </c>
      <c r="O4993" s="28"/>
      <c r="P4993" s="36" t="str">
        <f t="shared" si="474"/>
        <v/>
      </c>
      <c r="Q4993" s="216" t="str">
        <f t="shared" si="475"/>
        <v/>
      </c>
      <c r="R4993" s="216" t="str">
        <f t="shared" si="476"/>
        <v/>
      </c>
      <c r="S4993" s="217" t="str">
        <f t="shared" si="477"/>
        <v/>
      </c>
    </row>
    <row r="4994" spans="1:19" ht="15.75" hidden="1" thickBot="1" x14ac:dyDescent="0.3">
      <c r="A4994" s="262"/>
      <c r="B4994" s="260"/>
      <c r="C4994" s="31"/>
      <c r="D4994" s="31"/>
      <c r="E4994" s="32"/>
      <c r="F4994" s="42" t="s">
        <v>416</v>
      </c>
      <c r="G4994" s="30" t="str">
        <f t="shared" si="478"/>
        <v/>
      </c>
      <c r="H4994" s="34"/>
      <c r="I4994" s="30"/>
      <c r="J4994" s="152">
        <v>0</v>
      </c>
      <c r="L4994" s="219"/>
      <c r="M4994" s="42"/>
      <c r="N4994" s="30" t="str">
        <f t="shared" si="479"/>
        <v/>
      </c>
      <c r="O4994" s="34"/>
      <c r="P4994" s="36" t="str">
        <f t="shared" si="474"/>
        <v/>
      </c>
      <c r="Q4994" s="216" t="str">
        <f t="shared" si="475"/>
        <v/>
      </c>
      <c r="R4994" s="216" t="str">
        <f t="shared" si="476"/>
        <v/>
      </c>
      <c r="S4994" s="217" t="str">
        <f t="shared" si="477"/>
        <v/>
      </c>
    </row>
    <row r="4995" spans="1:19" ht="51.75" hidden="1" thickBot="1" x14ac:dyDescent="0.3">
      <c r="A4995" s="262"/>
      <c r="B4995" s="260"/>
      <c r="C4995" s="35" t="s">
        <v>8333</v>
      </c>
      <c r="D4995" s="35" t="s">
        <v>213</v>
      </c>
      <c r="E4995" s="36">
        <v>1</v>
      </c>
      <c r="F4995" s="33">
        <v>323.11399999999998</v>
      </c>
      <c r="G4995" s="33">
        <f t="shared" si="478"/>
        <v>323.11399999999998</v>
      </c>
      <c r="H4995" s="38">
        <f>SUM(G4995:G4997)</f>
        <v>371.22393799999998</v>
      </c>
      <c r="I4995" s="39"/>
      <c r="J4995" s="152">
        <v>0</v>
      </c>
      <c r="L4995" s="215">
        <v>1</v>
      </c>
      <c r="M4995" s="33">
        <v>276.58558399999998</v>
      </c>
      <c r="N4995" s="33">
        <f t="shared" si="479"/>
        <v>276.58558399999998</v>
      </c>
      <c r="O4995" s="38">
        <f>SUM(N4995:N4997)</f>
        <v>317.76769092799998</v>
      </c>
      <c r="P4995" s="36" t="str">
        <f t="shared" si="474"/>
        <v/>
      </c>
      <c r="Q4995" s="216">
        <f t="shared" si="475"/>
        <v>0.14400000000000002</v>
      </c>
      <c r="R4995" s="216">
        <f t="shared" si="476"/>
        <v>0.14400000000000002</v>
      </c>
      <c r="S4995" s="217">
        <f t="shared" si="477"/>
        <v>0.14400000000000002</v>
      </c>
    </row>
    <row r="4996" spans="1:19" ht="15.75" hidden="1" thickBot="1" x14ac:dyDescent="0.3">
      <c r="A4996" s="262"/>
      <c r="B4996" s="260"/>
      <c r="C4996" s="35" t="s">
        <v>582</v>
      </c>
      <c r="D4996" s="35" t="s">
        <v>583</v>
      </c>
      <c r="E4996" s="36">
        <f>ROUND(1.678*0.8,4)</f>
        <v>1.3424</v>
      </c>
      <c r="F4996" s="30">
        <v>25.725999999999996</v>
      </c>
      <c r="G4996" s="33">
        <f t="shared" si="478"/>
        <v>34.534582399999998</v>
      </c>
      <c r="H4996" s="34"/>
      <c r="I4996" s="30"/>
      <c r="J4996" s="152">
        <v>0</v>
      </c>
      <c r="L4996" s="215">
        <v>1.3424</v>
      </c>
      <c r="M4996" s="30">
        <v>22.021455999999997</v>
      </c>
      <c r="N4996" s="33">
        <f t="shared" si="479"/>
        <v>29.561602534399995</v>
      </c>
      <c r="O4996" s="34"/>
      <c r="P4996" s="36" t="str">
        <f t="shared" si="474"/>
        <v/>
      </c>
      <c r="Q4996" s="216">
        <f t="shared" si="475"/>
        <v>0.14400000000000002</v>
      </c>
      <c r="R4996" s="216">
        <f t="shared" si="476"/>
        <v>0.14400000000000013</v>
      </c>
      <c r="S4996" s="217" t="str">
        <f t="shared" si="477"/>
        <v/>
      </c>
    </row>
    <row r="4997" spans="1:19" ht="15.75" hidden="1" thickBot="1" x14ac:dyDescent="0.3">
      <c r="A4997" s="262"/>
      <c r="B4997" s="260"/>
      <c r="C4997" s="35" t="s">
        <v>584</v>
      </c>
      <c r="D4997" s="35" t="s">
        <v>583</v>
      </c>
      <c r="E4997" s="36">
        <f>ROUND(0.839*0.8,4)</f>
        <v>0.67120000000000002</v>
      </c>
      <c r="F4997" s="30">
        <v>20.225499999999997</v>
      </c>
      <c r="G4997" s="33">
        <f t="shared" si="478"/>
        <v>13.575355599999998</v>
      </c>
      <c r="H4997" s="34"/>
      <c r="I4997" s="30"/>
      <c r="J4997" s="152">
        <v>0</v>
      </c>
      <c r="L4997" s="215">
        <v>0.67120000000000002</v>
      </c>
      <c r="M4997" s="30">
        <v>17.313027999999996</v>
      </c>
      <c r="N4997" s="33">
        <f t="shared" si="479"/>
        <v>11.620504393599997</v>
      </c>
      <c r="O4997" s="34"/>
      <c r="P4997" s="36" t="str">
        <f t="shared" si="474"/>
        <v/>
      </c>
      <c r="Q4997" s="216">
        <f t="shared" si="475"/>
        <v>0.14400000000000013</v>
      </c>
      <c r="R4997" s="216">
        <f t="shared" si="476"/>
        <v>0.14400000000000013</v>
      </c>
      <c r="S4997" s="217" t="str">
        <f t="shared" si="477"/>
        <v/>
      </c>
    </row>
    <row r="4998" spans="1:19" ht="15.75" hidden="1" thickBot="1" x14ac:dyDescent="0.3">
      <c r="A4998" s="262"/>
      <c r="B4998" s="260"/>
      <c r="C4998" s="35"/>
      <c r="D4998" s="46"/>
      <c r="E4998" s="36"/>
      <c r="F4998" s="33" t="s">
        <v>416</v>
      </c>
      <c r="G4998" s="33" t="str">
        <f t="shared" si="478"/>
        <v/>
      </c>
      <c r="H4998" s="34"/>
      <c r="I4998" s="30"/>
      <c r="J4998" s="152">
        <v>0</v>
      </c>
      <c r="L4998" s="215"/>
      <c r="M4998" s="33"/>
      <c r="N4998" s="33" t="str">
        <f t="shared" si="479"/>
        <v/>
      </c>
      <c r="O4998" s="34"/>
      <c r="P4998" s="36" t="str">
        <f t="shared" si="474"/>
        <v/>
      </c>
      <c r="Q4998" s="216" t="str">
        <f t="shared" si="475"/>
        <v/>
      </c>
      <c r="R4998" s="216" t="str">
        <f t="shared" si="476"/>
        <v/>
      </c>
      <c r="S4998" s="217" t="str">
        <f t="shared" si="477"/>
        <v/>
      </c>
    </row>
    <row r="4999" spans="1:19" ht="15.75" hidden="1" thickBot="1" x14ac:dyDescent="0.3">
      <c r="A4999" s="256" t="s">
        <v>2991</v>
      </c>
      <c r="B4999" s="259" t="str">
        <f>INDEX(Orçamentária!A:B,MATCH(Composições!A4999,Orçamentária!A:A,0),2)</f>
        <v>Remoção de boiler</v>
      </c>
      <c r="C4999" s="40"/>
      <c r="D4999" s="25" t="s">
        <v>16</v>
      </c>
      <c r="E4999" s="26"/>
      <c r="F4999" s="41" t="s">
        <v>416</v>
      </c>
      <c r="G4999" s="27" t="str">
        <f t="shared" si="478"/>
        <v/>
      </c>
      <c r="H4999" s="28"/>
      <c r="I4999" s="29"/>
      <c r="J4999" s="152">
        <v>0</v>
      </c>
      <c r="L4999" s="218"/>
      <c r="M4999" s="41"/>
      <c r="N4999" s="27" t="str">
        <f t="shared" si="479"/>
        <v/>
      </c>
      <c r="O4999" s="28"/>
      <c r="P4999" s="36" t="str">
        <f t="shared" si="474"/>
        <v/>
      </c>
      <c r="Q4999" s="216" t="str">
        <f t="shared" si="475"/>
        <v/>
      </c>
      <c r="R4999" s="216" t="str">
        <f t="shared" si="476"/>
        <v/>
      </c>
      <c r="S4999" s="217" t="str">
        <f t="shared" si="477"/>
        <v/>
      </c>
    </row>
    <row r="5000" spans="1:19" ht="15.75" hidden="1" thickBot="1" x14ac:dyDescent="0.3">
      <c r="A5000" s="262"/>
      <c r="B5000" s="260"/>
      <c r="C5000" s="31"/>
      <c r="D5000" s="31"/>
      <c r="E5000" s="32"/>
      <c r="F5000" s="42" t="s">
        <v>416</v>
      </c>
      <c r="G5000" s="30" t="str">
        <f t="shared" si="478"/>
        <v/>
      </c>
      <c r="H5000" s="34"/>
      <c r="I5000" s="30"/>
      <c r="J5000" s="152">
        <v>0</v>
      </c>
      <c r="L5000" s="219"/>
      <c r="M5000" s="42"/>
      <c r="N5000" s="30" t="str">
        <f t="shared" si="479"/>
        <v/>
      </c>
      <c r="O5000" s="34"/>
      <c r="P5000" s="36" t="str">
        <f t="shared" ref="P5000:P5063" si="480">IF(ISBLANK(L5000),"",IF($E5000&lt;&gt;L5000,"SIM",""))</f>
        <v/>
      </c>
      <c r="Q5000" s="216" t="str">
        <f t="shared" ref="Q5000:Q5063" si="481">IF(M5000="","",1-M5000/$F5000)</f>
        <v/>
      </c>
      <c r="R5000" s="216" t="str">
        <f t="shared" ref="R5000:R5063" si="482">IF(N5000="","",1-N5000/$G5000)</f>
        <v/>
      </c>
      <c r="S5000" s="217" t="str">
        <f t="shared" ref="S5000:S5063" si="483">IF(O5000="","",1-O5000/$H5000)</f>
        <v/>
      </c>
    </row>
    <row r="5001" spans="1:19" ht="26.25" hidden="1" thickBot="1" x14ac:dyDescent="0.3">
      <c r="A5001" s="262"/>
      <c r="B5001" s="260"/>
      <c r="C5001" s="35" t="s">
        <v>824</v>
      </c>
      <c r="D5001" s="35" t="s">
        <v>583</v>
      </c>
      <c r="E5001" s="36">
        <f>4*0.3</f>
        <v>1.2</v>
      </c>
      <c r="F5001" s="30">
        <v>21.166</v>
      </c>
      <c r="G5001" s="30">
        <f t="shared" si="478"/>
        <v>25.3992</v>
      </c>
      <c r="H5001" s="38">
        <f>SUM(G5001:G5004)</f>
        <v>87.210000000000008</v>
      </c>
      <c r="I5001" s="39"/>
      <c r="J5001" s="152">
        <v>0</v>
      </c>
      <c r="L5001" s="215">
        <v>1.2</v>
      </c>
      <c r="M5001" s="30">
        <v>18.118096000000001</v>
      </c>
      <c r="N5001" s="30">
        <f t="shared" si="479"/>
        <v>21.741715200000002</v>
      </c>
      <c r="O5001" s="38">
        <f>SUM(N5001:N5004)</f>
        <v>74.651759999999996</v>
      </c>
      <c r="P5001" s="36" t="str">
        <f t="shared" si="480"/>
        <v/>
      </c>
      <c r="Q5001" s="216">
        <f t="shared" si="481"/>
        <v>0.14399999999999991</v>
      </c>
      <c r="R5001" s="216">
        <f t="shared" si="482"/>
        <v>0.14399999999999991</v>
      </c>
      <c r="S5001" s="217">
        <f t="shared" si="483"/>
        <v>0.14400000000000013</v>
      </c>
    </row>
    <row r="5002" spans="1:19" ht="26.25" hidden="1" thickBot="1" x14ac:dyDescent="0.3">
      <c r="A5002" s="262"/>
      <c r="B5002" s="260"/>
      <c r="C5002" s="35" t="s">
        <v>825</v>
      </c>
      <c r="D5002" s="35" t="s">
        <v>583</v>
      </c>
      <c r="E5002" s="36">
        <f>4*0.3</f>
        <v>1.2</v>
      </c>
      <c r="F5002" s="30">
        <v>26.799499999999998</v>
      </c>
      <c r="G5002" s="30">
        <f t="shared" si="478"/>
        <v>32.159399999999998</v>
      </c>
      <c r="H5002" s="44"/>
      <c r="I5002" s="45"/>
      <c r="J5002" s="152">
        <v>0</v>
      </c>
      <c r="L5002" s="215">
        <v>1.2</v>
      </c>
      <c r="M5002" s="30">
        <v>22.940372</v>
      </c>
      <c r="N5002" s="30">
        <f t="shared" si="479"/>
        <v>27.5284464</v>
      </c>
      <c r="O5002" s="44"/>
      <c r="P5002" s="36" t="str">
        <f t="shared" si="480"/>
        <v/>
      </c>
      <c r="Q5002" s="216">
        <f t="shared" si="481"/>
        <v>0.14399999999999991</v>
      </c>
      <c r="R5002" s="216">
        <f t="shared" si="482"/>
        <v>0.14399999999999991</v>
      </c>
      <c r="S5002" s="217" t="str">
        <f t="shared" si="483"/>
        <v/>
      </c>
    </row>
    <row r="5003" spans="1:19" ht="15.75" hidden="1" thickBot="1" x14ac:dyDescent="0.3">
      <c r="A5003" s="262"/>
      <c r="B5003" s="260"/>
      <c r="C5003" s="35" t="s">
        <v>1017</v>
      </c>
      <c r="D5003" s="35" t="s">
        <v>583</v>
      </c>
      <c r="E5003" s="36">
        <f>2*0.3</f>
        <v>0.6</v>
      </c>
      <c r="F5003" s="30">
        <v>21.584</v>
      </c>
      <c r="G5003" s="30">
        <f t="shared" si="478"/>
        <v>12.9504</v>
      </c>
      <c r="H5003" s="34"/>
      <c r="I5003" s="30"/>
      <c r="J5003" s="152">
        <v>0</v>
      </c>
      <c r="L5003" s="215">
        <v>0.6</v>
      </c>
      <c r="M5003" s="30">
        <v>18.475904</v>
      </c>
      <c r="N5003" s="30">
        <f t="shared" si="479"/>
        <v>11.0855424</v>
      </c>
      <c r="O5003" s="34"/>
      <c r="P5003" s="36" t="str">
        <f t="shared" si="480"/>
        <v/>
      </c>
      <c r="Q5003" s="216">
        <f t="shared" si="481"/>
        <v>0.14400000000000002</v>
      </c>
      <c r="R5003" s="216">
        <f t="shared" si="482"/>
        <v>0.14400000000000002</v>
      </c>
      <c r="S5003" s="217" t="str">
        <f t="shared" si="483"/>
        <v/>
      </c>
    </row>
    <row r="5004" spans="1:19" ht="15.75" hidden="1" thickBot="1" x14ac:dyDescent="0.3">
      <c r="A5004" s="262"/>
      <c r="B5004" s="260"/>
      <c r="C5004" s="35" t="s">
        <v>1018</v>
      </c>
      <c r="D5004" s="35" t="s">
        <v>583</v>
      </c>
      <c r="E5004" s="36">
        <f>2*0.3</f>
        <v>0.6</v>
      </c>
      <c r="F5004" s="30">
        <v>27.835000000000001</v>
      </c>
      <c r="G5004" s="30">
        <f t="shared" si="478"/>
        <v>16.701000000000001</v>
      </c>
      <c r="H5004" s="34"/>
      <c r="I5004" s="30"/>
      <c r="J5004" s="152">
        <v>0</v>
      </c>
      <c r="L5004" s="215">
        <v>0.6</v>
      </c>
      <c r="M5004" s="30">
        <v>23.82676</v>
      </c>
      <c r="N5004" s="30">
        <f t="shared" si="479"/>
        <v>14.296056</v>
      </c>
      <c r="O5004" s="34"/>
      <c r="P5004" s="36" t="str">
        <f t="shared" si="480"/>
        <v/>
      </c>
      <c r="Q5004" s="216">
        <f t="shared" si="481"/>
        <v>0.14400000000000002</v>
      </c>
      <c r="R5004" s="216">
        <f t="shared" si="482"/>
        <v>0.14400000000000002</v>
      </c>
      <c r="S5004" s="217" t="str">
        <f t="shared" si="483"/>
        <v/>
      </c>
    </row>
    <row r="5005" spans="1:19" ht="15.75" hidden="1" thickBot="1" x14ac:dyDescent="0.3">
      <c r="A5005" s="263"/>
      <c r="B5005" s="261"/>
      <c r="C5005" s="35"/>
      <c r="D5005" s="35"/>
      <c r="E5005" s="36"/>
      <c r="F5005" s="30" t="s">
        <v>416</v>
      </c>
      <c r="G5005" s="30" t="str">
        <f t="shared" si="478"/>
        <v/>
      </c>
      <c r="H5005" s="34"/>
      <c r="I5005" s="30"/>
      <c r="J5005" s="152">
        <v>0</v>
      </c>
      <c r="L5005" s="215"/>
      <c r="M5005" s="30"/>
      <c r="N5005" s="30" t="str">
        <f t="shared" si="479"/>
        <v/>
      </c>
      <c r="O5005" s="34"/>
      <c r="P5005" s="36" t="str">
        <f t="shared" si="480"/>
        <v/>
      </c>
      <c r="Q5005" s="216" t="str">
        <f t="shared" si="481"/>
        <v/>
      </c>
      <c r="R5005" s="216" t="str">
        <f t="shared" si="482"/>
        <v/>
      </c>
      <c r="S5005" s="217" t="str">
        <f t="shared" si="483"/>
        <v/>
      </c>
    </row>
    <row r="5006" spans="1:19" ht="15.75" hidden="1" thickBot="1" x14ac:dyDescent="0.3">
      <c r="A5006" s="256" t="s">
        <v>2992</v>
      </c>
      <c r="B5006" s="259" t="str">
        <f>INDEX(Orçamentária!A:B,MATCH(Composições!A5006,Orçamentária!A:A,0),2)</f>
        <v>Remoção de tacos de madeira</v>
      </c>
      <c r="C5006" s="40"/>
      <c r="D5006" s="25" t="s">
        <v>70</v>
      </c>
      <c r="E5006" s="26"/>
      <c r="F5006" s="41" t="s">
        <v>416</v>
      </c>
      <c r="G5006" s="27" t="str">
        <f t="shared" si="478"/>
        <v/>
      </c>
      <c r="H5006" s="28"/>
      <c r="I5006" s="29"/>
      <c r="J5006" s="152">
        <v>0</v>
      </c>
      <c r="L5006" s="218"/>
      <c r="M5006" s="41"/>
      <c r="N5006" s="27" t="str">
        <f t="shared" si="479"/>
        <v/>
      </c>
      <c r="O5006" s="28"/>
      <c r="P5006" s="36" t="str">
        <f t="shared" si="480"/>
        <v/>
      </c>
      <c r="Q5006" s="216" t="str">
        <f t="shared" si="481"/>
        <v/>
      </c>
      <c r="R5006" s="216" t="str">
        <f t="shared" si="482"/>
        <v/>
      </c>
      <c r="S5006" s="217" t="str">
        <f t="shared" si="483"/>
        <v/>
      </c>
    </row>
    <row r="5007" spans="1:19" ht="15.75" hidden="1" thickBot="1" x14ac:dyDescent="0.3">
      <c r="A5007" s="262"/>
      <c r="B5007" s="260"/>
      <c r="C5007" s="31"/>
      <c r="D5007" s="31"/>
      <c r="E5007" s="32"/>
      <c r="F5007" s="42" t="s">
        <v>416</v>
      </c>
      <c r="G5007" s="30" t="str">
        <f t="shared" si="478"/>
        <v/>
      </c>
      <c r="H5007" s="34"/>
      <c r="I5007" s="30"/>
      <c r="J5007" s="152">
        <v>0</v>
      </c>
      <c r="L5007" s="219"/>
      <c r="M5007" s="42"/>
      <c r="N5007" s="30" t="str">
        <f t="shared" si="479"/>
        <v/>
      </c>
      <c r="O5007" s="34"/>
      <c r="P5007" s="36" t="str">
        <f t="shared" si="480"/>
        <v/>
      </c>
      <c r="Q5007" s="216" t="str">
        <f t="shared" si="481"/>
        <v/>
      </c>
      <c r="R5007" s="216" t="str">
        <f t="shared" si="482"/>
        <v/>
      </c>
      <c r="S5007" s="217" t="str">
        <f t="shared" si="483"/>
        <v/>
      </c>
    </row>
    <row r="5008" spans="1:19" ht="15.75" hidden="1" thickBot="1" x14ac:dyDescent="0.3">
      <c r="A5008" s="262"/>
      <c r="B5008" s="260"/>
      <c r="C5008" s="35" t="s">
        <v>582</v>
      </c>
      <c r="D5008" s="35" t="s">
        <v>583</v>
      </c>
      <c r="E5008" s="36">
        <v>0.12</v>
      </c>
      <c r="F5008" s="33">
        <v>25.725999999999996</v>
      </c>
      <c r="G5008" s="33">
        <f t="shared" si="478"/>
        <v>3.0871199999999992</v>
      </c>
      <c r="H5008" s="38">
        <f>SUM(G5008:G5009)</f>
        <v>28.691519999999997</v>
      </c>
      <c r="I5008" s="39"/>
      <c r="J5008" s="152">
        <v>0</v>
      </c>
      <c r="L5008" s="215">
        <v>0.12</v>
      </c>
      <c r="M5008" s="33">
        <v>22.021455999999997</v>
      </c>
      <c r="N5008" s="33">
        <f t="shared" si="479"/>
        <v>2.6425747199999994</v>
      </c>
      <c r="O5008" s="38">
        <f>SUM(N5008:N5009)</f>
        <v>24.559941120000001</v>
      </c>
      <c r="P5008" s="36" t="str">
        <f t="shared" si="480"/>
        <v/>
      </c>
      <c r="Q5008" s="216">
        <f t="shared" si="481"/>
        <v>0.14400000000000002</v>
      </c>
      <c r="R5008" s="216">
        <f t="shared" si="482"/>
        <v>0.14400000000000002</v>
      </c>
      <c r="S5008" s="217">
        <f t="shared" si="483"/>
        <v>0.14399999999999991</v>
      </c>
    </row>
    <row r="5009" spans="1:19" ht="15.75" hidden="1" thickBot="1" x14ac:dyDescent="0.3">
      <c r="A5009" s="262"/>
      <c r="B5009" s="260"/>
      <c r="C5009" s="35" t="s">
        <v>660</v>
      </c>
      <c r="D5009" s="35" t="s">
        <v>583</v>
      </c>
      <c r="E5009" s="36">
        <v>1.2</v>
      </c>
      <c r="F5009" s="33">
        <v>21.337</v>
      </c>
      <c r="G5009" s="33">
        <f t="shared" si="478"/>
        <v>25.604399999999998</v>
      </c>
      <c r="H5009" s="44"/>
      <c r="I5009" s="45"/>
      <c r="J5009" s="152">
        <v>0</v>
      </c>
      <c r="L5009" s="215">
        <v>1.2</v>
      </c>
      <c r="M5009" s="33">
        <v>18.264472000000001</v>
      </c>
      <c r="N5009" s="33">
        <f t="shared" si="479"/>
        <v>21.917366400000002</v>
      </c>
      <c r="O5009" s="44"/>
      <c r="P5009" s="36" t="str">
        <f t="shared" si="480"/>
        <v/>
      </c>
      <c r="Q5009" s="216">
        <f t="shared" si="481"/>
        <v>0.14399999999999991</v>
      </c>
      <c r="R5009" s="216">
        <f t="shared" si="482"/>
        <v>0.14399999999999979</v>
      </c>
      <c r="S5009" s="217" t="str">
        <f t="shared" si="483"/>
        <v/>
      </c>
    </row>
    <row r="5010" spans="1:19" ht="15.75" hidden="1" thickBot="1" x14ac:dyDescent="0.3">
      <c r="A5010" s="263"/>
      <c r="B5010" s="261"/>
      <c r="C5010" s="35"/>
      <c r="D5010" s="35"/>
      <c r="E5010" s="36"/>
      <c r="F5010" s="30" t="s">
        <v>416</v>
      </c>
      <c r="G5010" s="30" t="str">
        <f t="shared" ref="G5010:G5073" si="484">IF(ISNUMBER(F5010),E5010*F5010,"")</f>
        <v/>
      </c>
      <c r="H5010" s="34"/>
      <c r="I5010" s="30"/>
      <c r="J5010" s="152">
        <v>0</v>
      </c>
      <c r="L5010" s="215"/>
      <c r="M5010" s="30"/>
      <c r="N5010" s="30" t="str">
        <f t="shared" ref="N5010:N5073" si="485">IF(ISNUMBER(M5010),L5010*M5010,"")</f>
        <v/>
      </c>
      <c r="O5010" s="34"/>
      <c r="P5010" s="36" t="str">
        <f t="shared" si="480"/>
        <v/>
      </c>
      <c r="Q5010" s="216" t="str">
        <f t="shared" si="481"/>
        <v/>
      </c>
      <c r="R5010" s="216" t="str">
        <f t="shared" si="482"/>
        <v/>
      </c>
      <c r="S5010" s="217" t="str">
        <f t="shared" si="483"/>
        <v/>
      </c>
    </row>
    <row r="5011" spans="1:19" ht="15.75" hidden="1" thickBot="1" x14ac:dyDescent="0.3">
      <c r="A5011" s="256" t="s">
        <v>2993</v>
      </c>
      <c r="B5011" s="259" t="str">
        <f>INDEX(Orçamentária!A:B,MATCH(Composições!A5011,Orçamentária!A:A,0),2)</f>
        <v>Cerâmica 30 x 60 cm - Glacier White - Portobello – Linha Residencial</v>
      </c>
      <c r="C5011" s="40"/>
      <c r="D5011" s="25" t="s">
        <v>70</v>
      </c>
      <c r="E5011" s="26"/>
      <c r="F5011" s="48" t="s">
        <v>416</v>
      </c>
      <c r="G5011" s="27" t="str">
        <f t="shared" si="484"/>
        <v/>
      </c>
      <c r="H5011" s="28"/>
      <c r="I5011" s="29"/>
      <c r="J5011" s="152">
        <v>0</v>
      </c>
      <c r="L5011" s="218"/>
      <c r="M5011" s="48"/>
      <c r="N5011" s="27" t="str">
        <f t="shared" si="485"/>
        <v/>
      </c>
      <c r="O5011" s="28"/>
      <c r="P5011" s="36" t="str">
        <f t="shared" si="480"/>
        <v/>
      </c>
      <c r="Q5011" s="216" t="str">
        <f t="shared" si="481"/>
        <v/>
      </c>
      <c r="R5011" s="216" t="str">
        <f t="shared" si="482"/>
        <v/>
      </c>
      <c r="S5011" s="217" t="str">
        <f t="shared" si="483"/>
        <v/>
      </c>
    </row>
    <row r="5012" spans="1:19" ht="15.75" hidden="1" thickBot="1" x14ac:dyDescent="0.3">
      <c r="A5012" s="257"/>
      <c r="B5012" s="260"/>
      <c r="C5012" s="31"/>
      <c r="D5012" s="31"/>
      <c r="E5012" s="32"/>
      <c r="F5012" s="53" t="s">
        <v>416</v>
      </c>
      <c r="G5012" s="53" t="str">
        <f t="shared" si="484"/>
        <v/>
      </c>
      <c r="H5012" s="72"/>
      <c r="I5012" s="73"/>
      <c r="J5012" s="152">
        <v>0</v>
      </c>
      <c r="L5012" s="219"/>
      <c r="M5012" s="53"/>
      <c r="N5012" s="53" t="str">
        <f t="shared" si="485"/>
        <v/>
      </c>
      <c r="O5012" s="72"/>
      <c r="P5012" s="36" t="str">
        <f t="shared" si="480"/>
        <v/>
      </c>
      <c r="Q5012" s="216" t="str">
        <f t="shared" si="481"/>
        <v/>
      </c>
      <c r="R5012" s="216" t="str">
        <f t="shared" si="482"/>
        <v/>
      </c>
      <c r="S5012" s="217" t="str">
        <f t="shared" si="483"/>
        <v/>
      </c>
    </row>
    <row r="5013" spans="1:19" ht="26.25" hidden="1" thickBot="1" x14ac:dyDescent="0.3">
      <c r="A5013" s="257"/>
      <c r="B5013" s="260"/>
      <c r="C5013" s="35" t="s">
        <v>3111</v>
      </c>
      <c r="D5013" s="35" t="s">
        <v>70</v>
      </c>
      <c r="E5013" s="36">
        <v>1.08</v>
      </c>
      <c r="F5013" s="53" t="s">
        <v>416</v>
      </c>
      <c r="G5013" s="53" t="str">
        <f t="shared" si="484"/>
        <v/>
      </c>
      <c r="H5013" s="38">
        <f>SUM(G5013:G5017)</f>
        <v>32.594309999999993</v>
      </c>
      <c r="I5013" s="39"/>
      <c r="J5013" s="152">
        <v>0</v>
      </c>
      <c r="L5013" s="215">
        <v>1.08</v>
      </c>
      <c r="M5013" s="53"/>
      <c r="N5013" s="53" t="str">
        <f t="shared" si="485"/>
        <v/>
      </c>
      <c r="O5013" s="38">
        <f>SUM(N5013:N5017)</f>
        <v>27.900729359999996</v>
      </c>
      <c r="P5013" s="36" t="str">
        <f t="shared" si="480"/>
        <v/>
      </c>
      <c r="Q5013" s="216" t="str">
        <f t="shared" si="481"/>
        <v/>
      </c>
      <c r="R5013" s="216" t="str">
        <f t="shared" si="482"/>
        <v/>
      </c>
      <c r="S5013" s="217">
        <f t="shared" si="483"/>
        <v>0.14399999999999991</v>
      </c>
    </row>
    <row r="5014" spans="1:19" ht="15.75" hidden="1" thickBot="1" x14ac:dyDescent="0.3">
      <c r="A5014" s="257"/>
      <c r="B5014" s="260"/>
      <c r="C5014" s="35" t="s">
        <v>7986</v>
      </c>
      <c r="D5014" s="35" t="s">
        <v>773</v>
      </c>
      <c r="E5014" s="36">
        <v>6.14</v>
      </c>
      <c r="F5014" s="53">
        <v>1.0924999999999998</v>
      </c>
      <c r="G5014" s="53">
        <f t="shared" si="484"/>
        <v>6.7079499999999985</v>
      </c>
      <c r="H5014" s="72"/>
      <c r="I5014" s="73"/>
      <c r="J5014" s="152">
        <v>0</v>
      </c>
      <c r="L5014" s="215">
        <v>6.14</v>
      </c>
      <c r="M5014" s="53">
        <v>0.9351799999999999</v>
      </c>
      <c r="N5014" s="53">
        <f t="shared" si="485"/>
        <v>5.7420051999999995</v>
      </c>
      <c r="O5014" s="72"/>
      <c r="P5014" s="36" t="str">
        <f t="shared" si="480"/>
        <v/>
      </c>
      <c r="Q5014" s="216">
        <f t="shared" si="481"/>
        <v>0.14399999999999991</v>
      </c>
      <c r="R5014" s="216">
        <f t="shared" si="482"/>
        <v>0.14399999999999991</v>
      </c>
      <c r="S5014" s="217" t="str">
        <f t="shared" si="483"/>
        <v/>
      </c>
    </row>
    <row r="5015" spans="1:19" ht="15.75" hidden="1" thickBot="1" x14ac:dyDescent="0.3">
      <c r="A5015" s="257"/>
      <c r="B5015" s="260"/>
      <c r="C5015" s="35" t="s">
        <v>8367</v>
      </c>
      <c r="D5015" s="35" t="s">
        <v>773</v>
      </c>
      <c r="E5015" s="36">
        <v>0.22</v>
      </c>
      <c r="F5015" s="53">
        <v>3.4579999999999997</v>
      </c>
      <c r="G5015" s="53">
        <f t="shared" si="484"/>
        <v>0.76075999999999999</v>
      </c>
      <c r="H5015" s="72"/>
      <c r="I5015" s="73"/>
      <c r="J5015" s="152">
        <v>0</v>
      </c>
      <c r="L5015" s="215">
        <v>0.22</v>
      </c>
      <c r="M5015" s="53">
        <v>2.9600479999999996</v>
      </c>
      <c r="N5015" s="53">
        <f t="shared" si="485"/>
        <v>0.65121055999999988</v>
      </c>
      <c r="O5015" s="72"/>
      <c r="P5015" s="36" t="str">
        <f t="shared" si="480"/>
        <v/>
      </c>
      <c r="Q5015" s="216">
        <f t="shared" si="481"/>
        <v>0.14400000000000002</v>
      </c>
      <c r="R5015" s="216">
        <f t="shared" si="482"/>
        <v>0.14400000000000013</v>
      </c>
      <c r="S5015" s="217" t="str">
        <f t="shared" si="483"/>
        <v/>
      </c>
    </row>
    <row r="5016" spans="1:19" ht="15.75" hidden="1" thickBot="1" x14ac:dyDescent="0.3">
      <c r="A5016" s="257"/>
      <c r="B5016" s="260"/>
      <c r="C5016" s="35" t="s">
        <v>1079</v>
      </c>
      <c r="D5016" s="35" t="s">
        <v>583</v>
      </c>
      <c r="E5016" s="36">
        <v>0.66</v>
      </c>
      <c r="F5016" s="53">
        <v>27.036999999999999</v>
      </c>
      <c r="G5016" s="53">
        <f t="shared" si="484"/>
        <v>17.84442</v>
      </c>
      <c r="H5016" s="72"/>
      <c r="I5016" s="73"/>
      <c r="J5016" s="152">
        <v>0</v>
      </c>
      <c r="L5016" s="215">
        <v>0.66</v>
      </c>
      <c r="M5016" s="53">
        <v>23.143671999999999</v>
      </c>
      <c r="N5016" s="53">
        <f t="shared" si="485"/>
        <v>15.27482352</v>
      </c>
      <c r="O5016" s="72"/>
      <c r="P5016" s="36" t="str">
        <f t="shared" si="480"/>
        <v/>
      </c>
      <c r="Q5016" s="216">
        <f t="shared" si="481"/>
        <v>0.14400000000000002</v>
      </c>
      <c r="R5016" s="216">
        <f t="shared" si="482"/>
        <v>0.14400000000000002</v>
      </c>
      <c r="S5016" s="217" t="str">
        <f t="shared" si="483"/>
        <v/>
      </c>
    </row>
    <row r="5017" spans="1:19" ht="15.75" hidden="1" thickBot="1" x14ac:dyDescent="0.3">
      <c r="A5017" s="257"/>
      <c r="B5017" s="260"/>
      <c r="C5017" s="35" t="s">
        <v>584</v>
      </c>
      <c r="D5017" s="35" t="s">
        <v>583</v>
      </c>
      <c r="E5017" s="36">
        <v>0.36</v>
      </c>
      <c r="F5017" s="53">
        <v>20.225499999999997</v>
      </c>
      <c r="G5017" s="53">
        <f t="shared" si="484"/>
        <v>7.2811799999999982</v>
      </c>
      <c r="H5017" s="72"/>
      <c r="I5017" s="73"/>
      <c r="J5017" s="152">
        <v>0</v>
      </c>
      <c r="L5017" s="215">
        <v>0.36</v>
      </c>
      <c r="M5017" s="53">
        <v>17.313027999999996</v>
      </c>
      <c r="N5017" s="53">
        <f t="shared" si="485"/>
        <v>6.2326900799999985</v>
      </c>
      <c r="O5017" s="72"/>
      <c r="P5017" s="36" t="str">
        <f t="shared" si="480"/>
        <v/>
      </c>
      <c r="Q5017" s="216">
        <f t="shared" si="481"/>
        <v>0.14400000000000013</v>
      </c>
      <c r="R5017" s="216">
        <f t="shared" si="482"/>
        <v>0.14400000000000002</v>
      </c>
      <c r="S5017" s="217" t="str">
        <f t="shared" si="483"/>
        <v/>
      </c>
    </row>
    <row r="5018" spans="1:19" ht="15.75" hidden="1" thickBot="1" x14ac:dyDescent="0.3">
      <c r="A5018" s="257"/>
      <c r="B5018" s="260"/>
      <c r="C5018" s="35"/>
      <c r="D5018" s="46"/>
      <c r="E5018" s="36"/>
      <c r="F5018" s="53" t="s">
        <v>416</v>
      </c>
      <c r="G5018" s="53" t="str">
        <f t="shared" si="484"/>
        <v/>
      </c>
      <c r="H5018" s="72"/>
      <c r="I5018" s="73"/>
      <c r="J5018" s="152">
        <v>0</v>
      </c>
      <c r="L5018" s="215"/>
      <c r="M5018" s="53"/>
      <c r="N5018" s="53" t="str">
        <f t="shared" si="485"/>
        <v/>
      </c>
      <c r="O5018" s="72"/>
      <c r="P5018" s="36" t="str">
        <f t="shared" si="480"/>
        <v/>
      </c>
      <c r="Q5018" s="216" t="str">
        <f t="shared" si="481"/>
        <v/>
      </c>
      <c r="R5018" s="216" t="str">
        <f t="shared" si="482"/>
        <v/>
      </c>
      <c r="S5018" s="217" t="str">
        <f t="shared" si="483"/>
        <v/>
      </c>
    </row>
    <row r="5019" spans="1:19" ht="15.75" hidden="1" thickBot="1" x14ac:dyDescent="0.3">
      <c r="A5019" s="256" t="s">
        <v>2994</v>
      </c>
      <c r="B5019" s="259" t="str">
        <f>INDEX(Orçamentária!A:B,MATCH(Composições!A5019,Orçamentária!A:A,0),2)</f>
        <v>Instalação de tacos de madeira reaproveitados</v>
      </c>
      <c r="C5019" s="40"/>
      <c r="D5019" s="25" t="s">
        <v>70</v>
      </c>
      <c r="E5019" s="26"/>
      <c r="F5019" s="41" t="s">
        <v>416</v>
      </c>
      <c r="G5019" s="27" t="str">
        <f t="shared" si="484"/>
        <v/>
      </c>
      <c r="H5019" s="28"/>
      <c r="I5019" s="29"/>
      <c r="J5019" s="152">
        <v>0</v>
      </c>
      <c r="L5019" s="218"/>
      <c r="M5019" s="41"/>
      <c r="N5019" s="27" t="str">
        <f t="shared" si="485"/>
        <v/>
      </c>
      <c r="O5019" s="28"/>
      <c r="P5019" s="36" t="str">
        <f t="shared" si="480"/>
        <v/>
      </c>
      <c r="Q5019" s="216" t="str">
        <f t="shared" si="481"/>
        <v/>
      </c>
      <c r="R5019" s="216" t="str">
        <f t="shared" si="482"/>
        <v/>
      </c>
      <c r="S5019" s="217" t="str">
        <f t="shared" si="483"/>
        <v/>
      </c>
    </row>
    <row r="5020" spans="1:19" ht="15.75" hidden="1" thickBot="1" x14ac:dyDescent="0.3">
      <c r="A5020" s="262"/>
      <c r="B5020" s="260"/>
      <c r="C5020" s="31"/>
      <c r="D5020" s="31"/>
      <c r="E5020" s="32"/>
      <c r="F5020" s="42" t="s">
        <v>416</v>
      </c>
      <c r="G5020" s="30" t="str">
        <f t="shared" si="484"/>
        <v/>
      </c>
      <c r="H5020" s="34"/>
      <c r="I5020" s="30"/>
      <c r="J5020" s="152">
        <v>0</v>
      </c>
      <c r="L5020" s="219"/>
      <c r="M5020" s="42"/>
      <c r="N5020" s="30" t="str">
        <f t="shared" si="485"/>
        <v/>
      </c>
      <c r="O5020" s="34"/>
      <c r="P5020" s="36" t="str">
        <f t="shared" si="480"/>
        <v/>
      </c>
      <c r="Q5020" s="216" t="str">
        <f t="shared" si="481"/>
        <v/>
      </c>
      <c r="R5020" s="216" t="str">
        <f t="shared" si="482"/>
        <v/>
      </c>
      <c r="S5020" s="217" t="str">
        <f t="shared" si="483"/>
        <v/>
      </c>
    </row>
    <row r="5021" spans="1:19" ht="15.75" hidden="1" thickBot="1" x14ac:dyDescent="0.3">
      <c r="A5021" s="262"/>
      <c r="B5021" s="260"/>
      <c r="C5021" s="35" t="s">
        <v>1092</v>
      </c>
      <c r="D5021" s="35" t="s">
        <v>773</v>
      </c>
      <c r="E5021" s="36">
        <v>0.57499999999999996</v>
      </c>
      <c r="F5021" s="33">
        <v>42.730999999999995</v>
      </c>
      <c r="G5021" s="33">
        <f t="shared" si="484"/>
        <v>24.570324999999993</v>
      </c>
      <c r="H5021" s="38">
        <f>SUM(G5021:G5023)</f>
        <v>44.856254499999991</v>
      </c>
      <c r="I5021" s="39"/>
      <c r="J5021" s="152">
        <v>0</v>
      </c>
      <c r="L5021" s="215">
        <v>0.57499999999999996</v>
      </c>
      <c r="M5021" s="33">
        <v>36.577735999999994</v>
      </c>
      <c r="N5021" s="33">
        <f t="shared" si="485"/>
        <v>21.032198199999996</v>
      </c>
      <c r="O5021" s="38">
        <f>SUM(N5021:N5023)</f>
        <v>38.396953851999996</v>
      </c>
      <c r="P5021" s="36" t="str">
        <f t="shared" si="480"/>
        <v/>
      </c>
      <c r="Q5021" s="216">
        <f t="shared" si="481"/>
        <v>0.14400000000000002</v>
      </c>
      <c r="R5021" s="216">
        <f t="shared" si="482"/>
        <v>0.14399999999999991</v>
      </c>
      <c r="S5021" s="217">
        <f t="shared" si="483"/>
        <v>0.14399999999999991</v>
      </c>
    </row>
    <row r="5022" spans="1:19" ht="15.75" hidden="1" thickBot="1" x14ac:dyDescent="0.3">
      <c r="A5022" s="262"/>
      <c r="B5022" s="260"/>
      <c r="C5022" s="35" t="s">
        <v>584</v>
      </c>
      <c r="D5022" s="35" t="s">
        <v>583</v>
      </c>
      <c r="E5022" s="36">
        <v>0.2399</v>
      </c>
      <c r="F5022" s="33">
        <v>20.225499999999997</v>
      </c>
      <c r="G5022" s="33">
        <f t="shared" si="484"/>
        <v>4.8520974499999996</v>
      </c>
      <c r="H5022" s="44"/>
      <c r="I5022" s="45"/>
      <c r="J5022" s="152">
        <v>0</v>
      </c>
      <c r="L5022" s="215">
        <v>0.2399</v>
      </c>
      <c r="M5022" s="33">
        <v>17.313027999999996</v>
      </c>
      <c r="N5022" s="33">
        <f t="shared" si="485"/>
        <v>4.1533954171999987</v>
      </c>
      <c r="O5022" s="44"/>
      <c r="P5022" s="36" t="str">
        <f t="shared" si="480"/>
        <v/>
      </c>
      <c r="Q5022" s="216">
        <f t="shared" si="481"/>
        <v>0.14400000000000013</v>
      </c>
      <c r="R5022" s="216">
        <f t="shared" si="482"/>
        <v>0.14400000000000024</v>
      </c>
      <c r="S5022" s="217" t="str">
        <f t="shared" si="483"/>
        <v/>
      </c>
    </row>
    <row r="5023" spans="1:19" ht="15.75" hidden="1" thickBot="1" x14ac:dyDescent="0.3">
      <c r="A5023" s="262"/>
      <c r="B5023" s="260"/>
      <c r="C5023" s="35" t="s">
        <v>1071</v>
      </c>
      <c r="D5023" s="35" t="s">
        <v>583</v>
      </c>
      <c r="E5023" s="36">
        <v>0.57589999999999997</v>
      </c>
      <c r="F5023" s="30">
        <v>26.799499999999998</v>
      </c>
      <c r="G5023" s="30">
        <f t="shared" si="484"/>
        <v>15.433832049999998</v>
      </c>
      <c r="H5023" s="34"/>
      <c r="I5023" s="30"/>
      <c r="J5023" s="152">
        <v>0</v>
      </c>
      <c r="L5023" s="215">
        <v>0.57589999999999997</v>
      </c>
      <c r="M5023" s="30">
        <v>22.940372</v>
      </c>
      <c r="N5023" s="30">
        <f t="shared" si="485"/>
        <v>13.211360234799999</v>
      </c>
      <c r="O5023" s="34"/>
      <c r="P5023" s="36" t="str">
        <f t="shared" si="480"/>
        <v/>
      </c>
      <c r="Q5023" s="216">
        <f t="shared" si="481"/>
        <v>0.14399999999999991</v>
      </c>
      <c r="R5023" s="216">
        <f t="shared" si="482"/>
        <v>0.14399999999999991</v>
      </c>
      <c r="S5023" s="217" t="str">
        <f t="shared" si="483"/>
        <v/>
      </c>
    </row>
    <row r="5024" spans="1:19" ht="15.75" hidden="1" thickBot="1" x14ac:dyDescent="0.3">
      <c r="A5024" s="263"/>
      <c r="B5024" s="261"/>
      <c r="C5024" s="35"/>
      <c r="D5024" s="35"/>
      <c r="E5024" s="36"/>
      <c r="F5024" s="30" t="s">
        <v>416</v>
      </c>
      <c r="G5024" s="30" t="str">
        <f t="shared" si="484"/>
        <v/>
      </c>
      <c r="H5024" s="34"/>
      <c r="I5024" s="30"/>
      <c r="J5024" s="152">
        <v>0</v>
      </c>
      <c r="L5024" s="215"/>
      <c r="M5024" s="30"/>
      <c r="N5024" s="30" t="str">
        <f t="shared" si="485"/>
        <v/>
      </c>
      <c r="O5024" s="34"/>
      <c r="P5024" s="36" t="str">
        <f t="shared" si="480"/>
        <v/>
      </c>
      <c r="Q5024" s="216" t="str">
        <f t="shared" si="481"/>
        <v/>
      </c>
      <c r="R5024" s="216" t="str">
        <f t="shared" si="482"/>
        <v/>
      </c>
      <c r="S5024" s="217" t="str">
        <f t="shared" si="483"/>
        <v/>
      </c>
    </row>
    <row r="5025" spans="1:19" ht="15.75" hidden="1" thickBot="1" x14ac:dyDescent="0.3">
      <c r="A5025" s="256" t="s">
        <v>2999</v>
      </c>
      <c r="B5025" s="259" t="str">
        <f>INDEX(Orçamentária!A:B,MATCH(Composições!A5025,Orçamentária!A:A,0),2)</f>
        <v>Instalação de cortinas reaproveitadas</v>
      </c>
      <c r="C5025" s="40"/>
      <c r="D5025" s="25" t="s">
        <v>69</v>
      </c>
      <c r="E5025" s="26"/>
      <c r="F5025" s="41" t="s">
        <v>416</v>
      </c>
      <c r="G5025" s="27" t="str">
        <f t="shared" si="484"/>
        <v/>
      </c>
      <c r="H5025" s="28"/>
      <c r="I5025" s="29"/>
      <c r="J5025" s="152">
        <v>0</v>
      </c>
      <c r="L5025" s="218"/>
      <c r="M5025" s="41"/>
      <c r="N5025" s="27" t="str">
        <f t="shared" si="485"/>
        <v/>
      </c>
      <c r="O5025" s="28"/>
      <c r="P5025" s="36" t="str">
        <f t="shared" si="480"/>
        <v/>
      </c>
      <c r="Q5025" s="216" t="str">
        <f t="shared" si="481"/>
        <v/>
      </c>
      <c r="R5025" s="216" t="str">
        <f t="shared" si="482"/>
        <v/>
      </c>
      <c r="S5025" s="217" t="str">
        <f t="shared" si="483"/>
        <v/>
      </c>
    </row>
    <row r="5026" spans="1:19" ht="15.75" hidden="1" thickBot="1" x14ac:dyDescent="0.3">
      <c r="A5026" s="262"/>
      <c r="B5026" s="260"/>
      <c r="C5026" s="31"/>
      <c r="D5026" s="31"/>
      <c r="E5026" s="32"/>
      <c r="F5026" s="42" t="s">
        <v>416</v>
      </c>
      <c r="G5026" s="30" t="str">
        <f t="shared" si="484"/>
        <v/>
      </c>
      <c r="H5026" s="34"/>
      <c r="I5026" s="30"/>
      <c r="J5026" s="152">
        <v>0</v>
      </c>
      <c r="L5026" s="219"/>
      <c r="M5026" s="42"/>
      <c r="N5026" s="30" t="str">
        <f t="shared" si="485"/>
        <v/>
      </c>
      <c r="O5026" s="34"/>
      <c r="P5026" s="36" t="str">
        <f t="shared" si="480"/>
        <v/>
      </c>
      <c r="Q5026" s="216" t="str">
        <f t="shared" si="481"/>
        <v/>
      </c>
      <c r="R5026" s="216" t="str">
        <f t="shared" si="482"/>
        <v/>
      </c>
      <c r="S5026" s="217" t="str">
        <f t="shared" si="483"/>
        <v/>
      </c>
    </row>
    <row r="5027" spans="1:19" ht="15.75" hidden="1" thickBot="1" x14ac:dyDescent="0.3">
      <c r="A5027" s="262"/>
      <c r="B5027" s="260"/>
      <c r="C5027" s="35" t="s">
        <v>1233</v>
      </c>
      <c r="D5027" s="35" t="s">
        <v>583</v>
      </c>
      <c r="E5027" s="36">
        <v>0.5</v>
      </c>
      <c r="F5027" s="33">
        <v>21.318000000000001</v>
      </c>
      <c r="G5027" s="33">
        <f t="shared" si="484"/>
        <v>10.659000000000001</v>
      </c>
      <c r="H5027" s="38">
        <f>SUM(G5027:G5027)</f>
        <v>10.659000000000001</v>
      </c>
      <c r="I5027" s="39"/>
      <c r="J5027" s="152">
        <v>0</v>
      </c>
      <c r="L5027" s="215">
        <v>0.5</v>
      </c>
      <c r="M5027" s="33">
        <v>18.248208000000002</v>
      </c>
      <c r="N5027" s="33">
        <f t="shared" si="485"/>
        <v>9.1241040000000009</v>
      </c>
      <c r="O5027" s="38">
        <f>SUM(N5027:N5027)</f>
        <v>9.1241040000000009</v>
      </c>
      <c r="P5027" s="36" t="str">
        <f t="shared" si="480"/>
        <v/>
      </c>
      <c r="Q5027" s="216">
        <f t="shared" si="481"/>
        <v>0.14400000000000002</v>
      </c>
      <c r="R5027" s="216">
        <f t="shared" si="482"/>
        <v>0.14400000000000002</v>
      </c>
      <c r="S5027" s="217">
        <f t="shared" si="483"/>
        <v>0.14400000000000002</v>
      </c>
    </row>
    <row r="5028" spans="1:19" ht="15.75" hidden="1" thickBot="1" x14ac:dyDescent="0.3">
      <c r="A5028" s="263"/>
      <c r="B5028" s="261"/>
      <c r="C5028" s="35"/>
      <c r="D5028" s="35"/>
      <c r="E5028" s="36"/>
      <c r="F5028" s="30" t="s">
        <v>416</v>
      </c>
      <c r="G5028" s="30" t="str">
        <f t="shared" si="484"/>
        <v/>
      </c>
      <c r="H5028" s="34"/>
      <c r="I5028" s="30"/>
      <c r="J5028" s="152">
        <v>0</v>
      </c>
      <c r="L5028" s="215"/>
      <c r="M5028" s="30"/>
      <c r="N5028" s="30" t="str">
        <f t="shared" si="485"/>
        <v/>
      </c>
      <c r="O5028" s="34"/>
      <c r="P5028" s="36" t="str">
        <f t="shared" si="480"/>
        <v/>
      </c>
      <c r="Q5028" s="216" t="str">
        <f t="shared" si="481"/>
        <v/>
      </c>
      <c r="R5028" s="216" t="str">
        <f t="shared" si="482"/>
        <v/>
      </c>
      <c r="S5028" s="217" t="str">
        <f t="shared" si="483"/>
        <v/>
      </c>
    </row>
    <row r="5029" spans="1:19" ht="15.75" hidden="1" thickBot="1" x14ac:dyDescent="0.3">
      <c r="A5029" s="256" t="s">
        <v>3000</v>
      </c>
      <c r="B5029" s="259" t="str">
        <f>INDEX(Orçamentária!A:B,MATCH(Composições!A5029,Orçamentária!A:A,0),2)</f>
        <v>Tubo CPVC soldável 22 mm – Linha Residencial</v>
      </c>
      <c r="C5029" s="40"/>
      <c r="D5029" s="25" t="s">
        <v>69</v>
      </c>
      <c r="E5029" s="26"/>
      <c r="F5029" s="41" t="s">
        <v>416</v>
      </c>
      <c r="G5029" s="27" t="str">
        <f t="shared" si="484"/>
        <v/>
      </c>
      <c r="H5029" s="28"/>
      <c r="I5029" s="29"/>
      <c r="J5029" s="152">
        <v>0</v>
      </c>
      <c r="L5029" s="218"/>
      <c r="M5029" s="41"/>
      <c r="N5029" s="27" t="str">
        <f t="shared" si="485"/>
        <v/>
      </c>
      <c r="O5029" s="28"/>
      <c r="P5029" s="36" t="str">
        <f t="shared" si="480"/>
        <v/>
      </c>
      <c r="Q5029" s="216" t="str">
        <f t="shared" si="481"/>
        <v/>
      </c>
      <c r="R5029" s="216" t="str">
        <f t="shared" si="482"/>
        <v/>
      </c>
      <c r="S5029" s="217" t="str">
        <f t="shared" si="483"/>
        <v/>
      </c>
    </row>
    <row r="5030" spans="1:19" ht="15.75" hidden="1" thickBot="1" x14ac:dyDescent="0.3">
      <c r="A5030" s="262"/>
      <c r="B5030" s="260"/>
      <c r="C5030" s="31"/>
      <c r="D5030" s="31"/>
      <c r="E5030" s="32"/>
      <c r="F5030" s="42" t="s">
        <v>416</v>
      </c>
      <c r="G5030" s="30" t="str">
        <f t="shared" si="484"/>
        <v/>
      </c>
      <c r="H5030" s="34"/>
      <c r="I5030" s="30"/>
      <c r="J5030" s="152">
        <v>0</v>
      </c>
      <c r="L5030" s="219"/>
      <c r="M5030" s="42"/>
      <c r="N5030" s="30" t="str">
        <f t="shared" si="485"/>
        <v/>
      </c>
      <c r="O5030" s="34"/>
      <c r="P5030" s="36" t="str">
        <f t="shared" si="480"/>
        <v/>
      </c>
      <c r="Q5030" s="216" t="str">
        <f t="shared" si="481"/>
        <v/>
      </c>
      <c r="R5030" s="216" t="str">
        <f t="shared" si="482"/>
        <v/>
      </c>
      <c r="S5030" s="217" t="str">
        <f t="shared" si="483"/>
        <v/>
      </c>
    </row>
    <row r="5031" spans="1:19" ht="26.25" hidden="1" thickBot="1" x14ac:dyDescent="0.3">
      <c r="A5031" s="262"/>
      <c r="B5031" s="260"/>
      <c r="C5031" s="35" t="s">
        <v>2948</v>
      </c>
      <c r="D5031" s="35" t="s">
        <v>385</v>
      </c>
      <c r="E5031" s="36">
        <v>1.0609999999999999</v>
      </c>
      <c r="F5031" s="33">
        <v>13.034000000000001</v>
      </c>
      <c r="G5031" s="33">
        <f t="shared" si="484"/>
        <v>13.829074</v>
      </c>
      <c r="H5031" s="38">
        <f>SUM(G5031:G5033)</f>
        <v>30.089378500000002</v>
      </c>
      <c r="I5031" s="39"/>
      <c r="J5031" s="152">
        <v>0</v>
      </c>
      <c r="L5031" s="215">
        <v>1.0609999999999999</v>
      </c>
      <c r="M5031" s="33">
        <v>11.157104</v>
      </c>
      <c r="N5031" s="33">
        <f t="shared" si="485"/>
        <v>11.837687343999999</v>
      </c>
      <c r="O5031" s="38">
        <f>SUM(N5031:N5033)</f>
        <v>25.756507996</v>
      </c>
      <c r="P5031" s="36" t="str">
        <f t="shared" si="480"/>
        <v/>
      </c>
      <c r="Q5031" s="216">
        <f t="shared" si="481"/>
        <v>0.14400000000000002</v>
      </c>
      <c r="R5031" s="216">
        <f t="shared" si="482"/>
        <v>0.14400000000000013</v>
      </c>
      <c r="S5031" s="217">
        <f t="shared" si="483"/>
        <v>0.14400000000000002</v>
      </c>
    </row>
    <row r="5032" spans="1:19" ht="26.25" hidden="1" thickBot="1" x14ac:dyDescent="0.3">
      <c r="A5032" s="262"/>
      <c r="B5032" s="260"/>
      <c r="C5032" s="35" t="s">
        <v>824</v>
      </c>
      <c r="D5032" s="35" t="s">
        <v>583</v>
      </c>
      <c r="E5032" s="36">
        <v>0.33900000000000002</v>
      </c>
      <c r="F5032" s="33">
        <v>21.166</v>
      </c>
      <c r="G5032" s="33">
        <f t="shared" si="484"/>
        <v>7.1752740000000008</v>
      </c>
      <c r="H5032" s="44"/>
      <c r="I5032" s="45"/>
      <c r="J5032" s="152">
        <v>0</v>
      </c>
      <c r="L5032" s="215">
        <v>0.33900000000000002</v>
      </c>
      <c r="M5032" s="33">
        <v>18.118096000000001</v>
      </c>
      <c r="N5032" s="33">
        <f t="shared" si="485"/>
        <v>6.1420345440000013</v>
      </c>
      <c r="O5032" s="44"/>
      <c r="P5032" s="36" t="str">
        <f t="shared" si="480"/>
        <v/>
      </c>
      <c r="Q5032" s="216">
        <f t="shared" si="481"/>
        <v>0.14399999999999991</v>
      </c>
      <c r="R5032" s="216">
        <f t="shared" si="482"/>
        <v>0.14399999999999991</v>
      </c>
      <c r="S5032" s="217" t="str">
        <f t="shared" si="483"/>
        <v/>
      </c>
    </row>
    <row r="5033" spans="1:19" ht="26.25" hidden="1" thickBot="1" x14ac:dyDescent="0.3">
      <c r="A5033" s="262"/>
      <c r="B5033" s="260"/>
      <c r="C5033" s="35" t="s">
        <v>825</v>
      </c>
      <c r="D5033" s="35" t="s">
        <v>583</v>
      </c>
      <c r="E5033" s="36">
        <v>0.33900000000000002</v>
      </c>
      <c r="F5033" s="30">
        <v>26.799499999999998</v>
      </c>
      <c r="G5033" s="30">
        <f t="shared" si="484"/>
        <v>9.0850305000000002</v>
      </c>
      <c r="H5033" s="34"/>
      <c r="I5033" s="30"/>
      <c r="J5033" s="152">
        <v>0</v>
      </c>
      <c r="L5033" s="215">
        <v>0.33900000000000002</v>
      </c>
      <c r="M5033" s="30">
        <v>22.940372</v>
      </c>
      <c r="N5033" s="30">
        <f t="shared" si="485"/>
        <v>7.7767861080000005</v>
      </c>
      <c r="O5033" s="34"/>
      <c r="P5033" s="36" t="str">
        <f t="shared" si="480"/>
        <v/>
      </c>
      <c r="Q5033" s="216">
        <f t="shared" si="481"/>
        <v>0.14399999999999991</v>
      </c>
      <c r="R5033" s="216">
        <f t="shared" si="482"/>
        <v>0.14400000000000002</v>
      </c>
      <c r="S5033" s="217" t="str">
        <f t="shared" si="483"/>
        <v/>
      </c>
    </row>
    <row r="5034" spans="1:19" ht="15.75" hidden="1" thickBot="1" x14ac:dyDescent="0.3">
      <c r="A5034" s="263"/>
      <c r="B5034" s="261"/>
      <c r="C5034" s="35"/>
      <c r="D5034" s="35"/>
      <c r="E5034" s="36"/>
      <c r="F5034" s="30" t="s">
        <v>416</v>
      </c>
      <c r="G5034" s="30" t="str">
        <f t="shared" si="484"/>
        <v/>
      </c>
      <c r="H5034" s="34"/>
      <c r="I5034" s="30"/>
      <c r="J5034" s="152">
        <v>0</v>
      </c>
      <c r="L5034" s="215"/>
      <c r="M5034" s="30"/>
      <c r="N5034" s="30" t="str">
        <f t="shared" si="485"/>
        <v/>
      </c>
      <c r="O5034" s="34"/>
      <c r="P5034" s="36" t="str">
        <f t="shared" si="480"/>
        <v/>
      </c>
      <c r="Q5034" s="216" t="str">
        <f t="shared" si="481"/>
        <v/>
      </c>
      <c r="R5034" s="216" t="str">
        <f t="shared" si="482"/>
        <v/>
      </c>
      <c r="S5034" s="217" t="str">
        <f t="shared" si="483"/>
        <v/>
      </c>
    </row>
    <row r="5035" spans="1:19" ht="15.75" hidden="1" thickBot="1" x14ac:dyDescent="0.3">
      <c r="A5035" s="256" t="s">
        <v>3001</v>
      </c>
      <c r="B5035" s="259" t="str">
        <f>INDEX(Orçamentária!A:B,MATCH(Composições!A5035,Orçamentária!A:A,0),2)</f>
        <v>Tubo CPVC soldável 28 mm – Linha Residencial</v>
      </c>
      <c r="C5035" s="40"/>
      <c r="D5035" s="25" t="s">
        <v>69</v>
      </c>
      <c r="E5035" s="26"/>
      <c r="F5035" s="41" t="s">
        <v>416</v>
      </c>
      <c r="G5035" s="27" t="str">
        <f t="shared" si="484"/>
        <v/>
      </c>
      <c r="H5035" s="28"/>
      <c r="I5035" s="29"/>
      <c r="J5035" s="152">
        <v>0</v>
      </c>
      <c r="L5035" s="218"/>
      <c r="M5035" s="41"/>
      <c r="N5035" s="27" t="str">
        <f t="shared" si="485"/>
        <v/>
      </c>
      <c r="O5035" s="28"/>
      <c r="P5035" s="36" t="str">
        <f t="shared" si="480"/>
        <v/>
      </c>
      <c r="Q5035" s="216" t="str">
        <f t="shared" si="481"/>
        <v/>
      </c>
      <c r="R5035" s="216" t="str">
        <f t="shared" si="482"/>
        <v/>
      </c>
      <c r="S5035" s="217" t="str">
        <f t="shared" si="483"/>
        <v/>
      </c>
    </row>
    <row r="5036" spans="1:19" ht="15.75" hidden="1" thickBot="1" x14ac:dyDescent="0.3">
      <c r="A5036" s="262"/>
      <c r="B5036" s="260"/>
      <c r="C5036" s="31"/>
      <c r="D5036" s="31"/>
      <c r="E5036" s="32"/>
      <c r="F5036" s="42" t="s">
        <v>416</v>
      </c>
      <c r="G5036" s="30" t="str">
        <f t="shared" si="484"/>
        <v/>
      </c>
      <c r="H5036" s="34"/>
      <c r="I5036" s="30"/>
      <c r="J5036" s="152">
        <v>0</v>
      </c>
      <c r="L5036" s="219"/>
      <c r="M5036" s="42"/>
      <c r="N5036" s="30" t="str">
        <f t="shared" si="485"/>
        <v/>
      </c>
      <c r="O5036" s="34"/>
      <c r="P5036" s="36" t="str">
        <f t="shared" si="480"/>
        <v/>
      </c>
      <c r="Q5036" s="216" t="str">
        <f t="shared" si="481"/>
        <v/>
      </c>
      <c r="R5036" s="216" t="str">
        <f t="shared" si="482"/>
        <v/>
      </c>
      <c r="S5036" s="217" t="str">
        <f t="shared" si="483"/>
        <v/>
      </c>
    </row>
    <row r="5037" spans="1:19" ht="26.25" hidden="1" thickBot="1" x14ac:dyDescent="0.3">
      <c r="A5037" s="262"/>
      <c r="B5037" s="260"/>
      <c r="C5037" s="35" t="s">
        <v>2949</v>
      </c>
      <c r="D5037" s="35" t="s">
        <v>385</v>
      </c>
      <c r="E5037" s="36">
        <v>1.0609999999999999</v>
      </c>
      <c r="F5037" s="33">
        <v>22.448499999999999</v>
      </c>
      <c r="G5037" s="33">
        <f t="shared" si="484"/>
        <v>23.817858499999996</v>
      </c>
      <c r="H5037" s="38">
        <f>SUM(G5037:G5039)</f>
        <v>43.004058499999992</v>
      </c>
      <c r="I5037" s="39"/>
      <c r="J5037" s="152">
        <v>0</v>
      </c>
      <c r="L5037" s="215">
        <v>1.0609999999999999</v>
      </c>
      <c r="M5037" s="33">
        <v>19.215916</v>
      </c>
      <c r="N5037" s="33">
        <f t="shared" si="485"/>
        <v>20.388086875999999</v>
      </c>
      <c r="O5037" s="38">
        <f>SUM(N5037:N5039)</f>
        <v>36.811474075999996</v>
      </c>
      <c r="P5037" s="36" t="str">
        <f t="shared" si="480"/>
        <v/>
      </c>
      <c r="Q5037" s="216">
        <f t="shared" si="481"/>
        <v>0.14400000000000002</v>
      </c>
      <c r="R5037" s="216">
        <f t="shared" si="482"/>
        <v>0.14399999999999991</v>
      </c>
      <c r="S5037" s="217">
        <f t="shared" si="483"/>
        <v>0.14399999999999991</v>
      </c>
    </row>
    <row r="5038" spans="1:19" ht="26.25" hidden="1" thickBot="1" x14ac:dyDescent="0.3">
      <c r="A5038" s="262"/>
      <c r="B5038" s="260"/>
      <c r="C5038" s="35" t="s">
        <v>824</v>
      </c>
      <c r="D5038" s="35" t="s">
        <v>583</v>
      </c>
      <c r="E5038" s="36">
        <v>0.4</v>
      </c>
      <c r="F5038" s="33">
        <v>21.166</v>
      </c>
      <c r="G5038" s="33">
        <f t="shared" si="484"/>
        <v>8.4664000000000001</v>
      </c>
      <c r="H5038" s="44"/>
      <c r="I5038" s="45"/>
      <c r="J5038" s="152">
        <v>0</v>
      </c>
      <c r="L5038" s="215">
        <v>0.4</v>
      </c>
      <c r="M5038" s="33">
        <v>18.118096000000001</v>
      </c>
      <c r="N5038" s="33">
        <f t="shared" si="485"/>
        <v>7.2472384000000005</v>
      </c>
      <c r="O5038" s="44"/>
      <c r="P5038" s="36" t="str">
        <f t="shared" si="480"/>
        <v/>
      </c>
      <c r="Q5038" s="216">
        <f t="shared" si="481"/>
        <v>0.14399999999999991</v>
      </c>
      <c r="R5038" s="216">
        <f t="shared" si="482"/>
        <v>0.14399999999999991</v>
      </c>
      <c r="S5038" s="217" t="str">
        <f t="shared" si="483"/>
        <v/>
      </c>
    </row>
    <row r="5039" spans="1:19" ht="26.25" hidden="1" thickBot="1" x14ac:dyDescent="0.3">
      <c r="A5039" s="262"/>
      <c r="B5039" s="260"/>
      <c r="C5039" s="35" t="s">
        <v>825</v>
      </c>
      <c r="D5039" s="35" t="s">
        <v>583</v>
      </c>
      <c r="E5039" s="36">
        <v>0.4</v>
      </c>
      <c r="F5039" s="30">
        <v>26.799499999999998</v>
      </c>
      <c r="G5039" s="30">
        <f t="shared" si="484"/>
        <v>10.719799999999999</v>
      </c>
      <c r="H5039" s="34"/>
      <c r="I5039" s="30"/>
      <c r="J5039" s="152">
        <v>0</v>
      </c>
      <c r="L5039" s="215">
        <v>0.4</v>
      </c>
      <c r="M5039" s="30">
        <v>22.940372</v>
      </c>
      <c r="N5039" s="30">
        <f t="shared" si="485"/>
        <v>9.1761488</v>
      </c>
      <c r="O5039" s="34"/>
      <c r="P5039" s="36" t="str">
        <f t="shared" si="480"/>
        <v/>
      </c>
      <c r="Q5039" s="216">
        <f t="shared" si="481"/>
        <v>0.14399999999999991</v>
      </c>
      <c r="R5039" s="216">
        <f t="shared" si="482"/>
        <v>0.14399999999999991</v>
      </c>
      <c r="S5039" s="217" t="str">
        <f t="shared" si="483"/>
        <v/>
      </c>
    </row>
    <row r="5040" spans="1:19" ht="15.75" hidden="1" thickBot="1" x14ac:dyDescent="0.3">
      <c r="A5040" s="263"/>
      <c r="B5040" s="261"/>
      <c r="C5040" s="35"/>
      <c r="D5040" s="35"/>
      <c r="E5040" s="36"/>
      <c r="F5040" s="30" t="s">
        <v>416</v>
      </c>
      <c r="G5040" s="30" t="str">
        <f t="shared" si="484"/>
        <v/>
      </c>
      <c r="H5040" s="34"/>
      <c r="I5040" s="30"/>
      <c r="J5040" s="152">
        <v>0</v>
      </c>
      <c r="L5040" s="215"/>
      <c r="M5040" s="30"/>
      <c r="N5040" s="30" t="str">
        <f t="shared" si="485"/>
        <v/>
      </c>
      <c r="O5040" s="34"/>
      <c r="P5040" s="36" t="str">
        <f t="shared" si="480"/>
        <v/>
      </c>
      <c r="Q5040" s="216" t="str">
        <f t="shared" si="481"/>
        <v/>
      </c>
      <c r="R5040" s="216" t="str">
        <f t="shared" si="482"/>
        <v/>
      </c>
      <c r="S5040" s="217" t="str">
        <f t="shared" si="483"/>
        <v/>
      </c>
    </row>
    <row r="5041" spans="1:19" ht="15.75" hidden="1" thickBot="1" x14ac:dyDescent="0.3">
      <c r="A5041" s="256" t="s">
        <v>3002</v>
      </c>
      <c r="B5041" s="259" t="str">
        <f>INDEX(Orçamentária!A:B,MATCH(Composições!A5041,Orçamentária!A:A,0),2)</f>
        <v>Instalação de bidê reaproveitado</v>
      </c>
      <c r="C5041" s="40"/>
      <c r="D5041" s="25" t="s">
        <v>16</v>
      </c>
      <c r="E5041" s="26"/>
      <c r="F5041" s="41" t="s">
        <v>416</v>
      </c>
      <c r="G5041" s="27" t="str">
        <f t="shared" si="484"/>
        <v/>
      </c>
      <c r="H5041" s="28"/>
      <c r="I5041" s="29"/>
      <c r="J5041" s="152">
        <v>0</v>
      </c>
      <c r="L5041" s="218"/>
      <c r="M5041" s="41"/>
      <c r="N5041" s="27" t="str">
        <f t="shared" si="485"/>
        <v/>
      </c>
      <c r="O5041" s="28"/>
      <c r="P5041" s="36" t="str">
        <f t="shared" si="480"/>
        <v/>
      </c>
      <c r="Q5041" s="216" t="str">
        <f t="shared" si="481"/>
        <v/>
      </c>
      <c r="R5041" s="216" t="str">
        <f t="shared" si="482"/>
        <v/>
      </c>
      <c r="S5041" s="217" t="str">
        <f t="shared" si="483"/>
        <v/>
      </c>
    </row>
    <row r="5042" spans="1:19" ht="15.75" hidden="1" thickBot="1" x14ac:dyDescent="0.3">
      <c r="A5042" s="262"/>
      <c r="B5042" s="260"/>
      <c r="C5042" s="31"/>
      <c r="D5042" s="31"/>
      <c r="E5042" s="32"/>
      <c r="F5042" s="42" t="s">
        <v>416</v>
      </c>
      <c r="G5042" s="30" t="str">
        <f t="shared" si="484"/>
        <v/>
      </c>
      <c r="H5042" s="34"/>
      <c r="I5042" s="30"/>
      <c r="J5042" s="152">
        <v>0</v>
      </c>
      <c r="L5042" s="219"/>
      <c r="M5042" s="42"/>
      <c r="N5042" s="30" t="str">
        <f t="shared" si="485"/>
        <v/>
      </c>
      <c r="O5042" s="34"/>
      <c r="P5042" s="36" t="str">
        <f t="shared" si="480"/>
        <v/>
      </c>
      <c r="Q5042" s="216" t="str">
        <f t="shared" si="481"/>
        <v/>
      </c>
      <c r="R5042" s="216" t="str">
        <f t="shared" si="482"/>
        <v/>
      </c>
      <c r="S5042" s="217" t="str">
        <f t="shared" si="483"/>
        <v/>
      </c>
    </row>
    <row r="5043" spans="1:19" ht="39" hidden="1" thickBot="1" x14ac:dyDescent="0.3">
      <c r="A5043" s="262"/>
      <c r="B5043" s="260"/>
      <c r="C5043" s="35" t="s">
        <v>8308</v>
      </c>
      <c r="D5043" s="35" t="s">
        <v>213</v>
      </c>
      <c r="E5043" s="36">
        <v>2</v>
      </c>
      <c r="F5043" s="33">
        <v>22.799999999999997</v>
      </c>
      <c r="G5043" s="33">
        <f t="shared" si="484"/>
        <v>45.599999999999994</v>
      </c>
      <c r="H5043" s="38">
        <f>SUM(G5043:G5047)</f>
        <v>86.792199499999981</v>
      </c>
      <c r="I5043" s="39"/>
      <c r="J5043" s="152">
        <v>0</v>
      </c>
      <c r="L5043" s="215">
        <v>2</v>
      </c>
      <c r="M5043" s="33">
        <v>19.516799999999996</v>
      </c>
      <c r="N5043" s="33">
        <f t="shared" si="485"/>
        <v>39.033599999999993</v>
      </c>
      <c r="O5043" s="38">
        <f>SUM(N5043:N5047)</f>
        <v>74.294122771999994</v>
      </c>
      <c r="P5043" s="36" t="str">
        <f t="shared" si="480"/>
        <v/>
      </c>
      <c r="Q5043" s="216">
        <f t="shared" si="481"/>
        <v>0.14400000000000002</v>
      </c>
      <c r="R5043" s="216">
        <f t="shared" si="482"/>
        <v>0.14400000000000002</v>
      </c>
      <c r="S5043" s="217">
        <f t="shared" si="483"/>
        <v>0.14399999999999991</v>
      </c>
    </row>
    <row r="5044" spans="1:19" ht="26.25" hidden="1" thickBot="1" x14ac:dyDescent="0.3">
      <c r="A5044" s="262"/>
      <c r="B5044" s="260"/>
      <c r="C5044" s="35" t="s">
        <v>7982</v>
      </c>
      <c r="D5044" s="35" t="s">
        <v>213</v>
      </c>
      <c r="E5044" s="36">
        <v>1</v>
      </c>
      <c r="F5044" s="33">
        <v>14.3925</v>
      </c>
      <c r="G5044" s="33">
        <f t="shared" si="484"/>
        <v>14.3925</v>
      </c>
      <c r="H5044" s="34"/>
      <c r="I5044" s="39"/>
      <c r="J5044" s="152">
        <v>0</v>
      </c>
      <c r="L5044" s="215">
        <v>1</v>
      </c>
      <c r="M5044" s="33">
        <v>12.319980000000001</v>
      </c>
      <c r="N5044" s="33">
        <f t="shared" si="485"/>
        <v>12.319980000000001</v>
      </c>
      <c r="O5044" s="34"/>
      <c r="P5044" s="36" t="str">
        <f t="shared" si="480"/>
        <v/>
      </c>
      <c r="Q5044" s="216">
        <f t="shared" si="481"/>
        <v>0.14399999999999991</v>
      </c>
      <c r="R5044" s="216">
        <f t="shared" si="482"/>
        <v>0.14399999999999991</v>
      </c>
      <c r="S5044" s="217" t="str">
        <f t="shared" si="483"/>
        <v/>
      </c>
    </row>
    <row r="5045" spans="1:19" ht="15.75" hidden="1" thickBot="1" x14ac:dyDescent="0.3">
      <c r="A5045" s="262"/>
      <c r="B5045" s="260"/>
      <c r="C5045" s="35" t="s">
        <v>3061</v>
      </c>
      <c r="D5045" s="35" t="s">
        <v>773</v>
      </c>
      <c r="E5045" s="36">
        <v>8.8099999999999998E-2</v>
      </c>
      <c r="F5045" s="33">
        <v>72.836500000000001</v>
      </c>
      <c r="G5045" s="33">
        <f t="shared" si="484"/>
        <v>6.4168956499999998</v>
      </c>
      <c r="H5045" s="34"/>
      <c r="I5045" s="30"/>
      <c r="J5045" s="152">
        <v>0</v>
      </c>
      <c r="L5045" s="215">
        <v>8.8099999999999998E-2</v>
      </c>
      <c r="M5045" s="33">
        <v>62.348044000000002</v>
      </c>
      <c r="N5045" s="33">
        <f t="shared" si="485"/>
        <v>5.4928626763999997</v>
      </c>
      <c r="O5045" s="34"/>
      <c r="P5045" s="36" t="str">
        <f t="shared" si="480"/>
        <v/>
      </c>
      <c r="Q5045" s="216">
        <f t="shared" si="481"/>
        <v>0.14400000000000002</v>
      </c>
      <c r="R5045" s="216">
        <f t="shared" si="482"/>
        <v>0.14400000000000002</v>
      </c>
      <c r="S5045" s="217" t="str">
        <f t="shared" si="483"/>
        <v/>
      </c>
    </row>
    <row r="5046" spans="1:19" ht="26.25" hidden="1" thickBot="1" x14ac:dyDescent="0.3">
      <c r="A5046" s="262"/>
      <c r="B5046" s="260"/>
      <c r="C5046" s="35" t="s">
        <v>825</v>
      </c>
      <c r="D5046" s="35" t="s">
        <v>583</v>
      </c>
      <c r="E5046" s="36">
        <v>0.49680000000000002</v>
      </c>
      <c r="F5046" s="30">
        <v>26.799499999999998</v>
      </c>
      <c r="G5046" s="33">
        <f t="shared" si="484"/>
        <v>13.3139916</v>
      </c>
      <c r="H5046" s="34"/>
      <c r="I5046" s="30"/>
      <c r="J5046" s="152">
        <v>0</v>
      </c>
      <c r="L5046" s="215">
        <v>0.49680000000000002</v>
      </c>
      <c r="M5046" s="30">
        <v>22.940372</v>
      </c>
      <c r="N5046" s="33">
        <f t="shared" si="485"/>
        <v>11.3967768096</v>
      </c>
      <c r="O5046" s="34"/>
      <c r="P5046" s="36" t="str">
        <f t="shared" si="480"/>
        <v/>
      </c>
      <c r="Q5046" s="216">
        <f t="shared" si="481"/>
        <v>0.14399999999999991</v>
      </c>
      <c r="R5046" s="216">
        <f t="shared" si="482"/>
        <v>0.14399999999999991</v>
      </c>
      <c r="S5046" s="217" t="str">
        <f t="shared" si="483"/>
        <v/>
      </c>
    </row>
    <row r="5047" spans="1:19" ht="15.75" hidden="1" thickBot="1" x14ac:dyDescent="0.3">
      <c r="A5047" s="262"/>
      <c r="B5047" s="260"/>
      <c r="C5047" s="35" t="s">
        <v>584</v>
      </c>
      <c r="D5047" s="35" t="s">
        <v>583</v>
      </c>
      <c r="E5047" s="36">
        <v>0.34949999999999998</v>
      </c>
      <c r="F5047" s="30">
        <v>20.225499999999997</v>
      </c>
      <c r="G5047" s="33">
        <f t="shared" si="484"/>
        <v>7.0688122499999988</v>
      </c>
      <c r="H5047" s="34"/>
      <c r="I5047" s="30"/>
      <c r="J5047" s="152">
        <v>0</v>
      </c>
      <c r="L5047" s="215">
        <v>0.34949999999999998</v>
      </c>
      <c r="M5047" s="30">
        <v>17.313027999999996</v>
      </c>
      <c r="N5047" s="33">
        <f t="shared" si="485"/>
        <v>6.0509032859999978</v>
      </c>
      <c r="O5047" s="34"/>
      <c r="P5047" s="36" t="str">
        <f t="shared" si="480"/>
        <v/>
      </c>
      <c r="Q5047" s="216">
        <f t="shared" si="481"/>
        <v>0.14400000000000013</v>
      </c>
      <c r="R5047" s="216">
        <f t="shared" si="482"/>
        <v>0.14400000000000013</v>
      </c>
      <c r="S5047" s="217" t="str">
        <f t="shared" si="483"/>
        <v/>
      </c>
    </row>
    <row r="5048" spans="1:19" ht="15.75" hidden="1" thickBot="1" x14ac:dyDescent="0.3">
      <c r="A5048" s="263"/>
      <c r="B5048" s="261"/>
      <c r="C5048" s="35"/>
      <c r="D5048" s="35"/>
      <c r="E5048" s="36"/>
      <c r="F5048" s="30" t="s">
        <v>416</v>
      </c>
      <c r="G5048" s="30" t="str">
        <f t="shared" si="484"/>
        <v/>
      </c>
      <c r="H5048" s="34"/>
      <c r="I5048" s="30"/>
      <c r="J5048" s="152">
        <v>0</v>
      </c>
      <c r="L5048" s="215"/>
      <c r="M5048" s="30"/>
      <c r="N5048" s="30" t="str">
        <f t="shared" si="485"/>
        <v/>
      </c>
      <c r="O5048" s="34"/>
      <c r="P5048" s="36" t="str">
        <f t="shared" si="480"/>
        <v/>
      </c>
      <c r="Q5048" s="216" t="str">
        <f t="shared" si="481"/>
        <v/>
      </c>
      <c r="R5048" s="216" t="str">
        <f t="shared" si="482"/>
        <v/>
      </c>
      <c r="S5048" s="217" t="str">
        <f t="shared" si="483"/>
        <v/>
      </c>
    </row>
    <row r="5049" spans="1:19" ht="15.75" hidden="1" thickBot="1" x14ac:dyDescent="0.3">
      <c r="A5049" s="256" t="s">
        <v>3003</v>
      </c>
      <c r="B5049" s="259" t="str">
        <f>INDEX(Orçamentária!A:B,MATCH(Composições!A5049,Orçamentária!A:A,0),2)</f>
        <v>Aquecedor elétrico para pia – Linha Residencial</v>
      </c>
      <c r="C5049" s="40"/>
      <c r="D5049" s="25" t="s">
        <v>16</v>
      </c>
      <c r="E5049" s="26"/>
      <c r="F5049" s="41" t="s">
        <v>416</v>
      </c>
      <c r="G5049" s="27" t="str">
        <f t="shared" si="484"/>
        <v/>
      </c>
      <c r="H5049" s="28"/>
      <c r="I5049" s="29"/>
      <c r="J5049" s="152">
        <v>0</v>
      </c>
      <c r="L5049" s="218"/>
      <c r="M5049" s="41"/>
      <c r="N5049" s="27" t="str">
        <f t="shared" si="485"/>
        <v/>
      </c>
      <c r="O5049" s="28"/>
      <c r="P5049" s="36" t="str">
        <f t="shared" si="480"/>
        <v/>
      </c>
      <c r="Q5049" s="216" t="str">
        <f t="shared" si="481"/>
        <v/>
      </c>
      <c r="R5049" s="216" t="str">
        <f t="shared" si="482"/>
        <v/>
      </c>
      <c r="S5049" s="217" t="str">
        <f t="shared" si="483"/>
        <v/>
      </c>
    </row>
    <row r="5050" spans="1:19" ht="15.75" hidden="1" thickBot="1" x14ac:dyDescent="0.3">
      <c r="A5050" s="262"/>
      <c r="B5050" s="260"/>
      <c r="C5050" s="31"/>
      <c r="D5050" s="31"/>
      <c r="E5050" s="32"/>
      <c r="F5050" s="42" t="s">
        <v>416</v>
      </c>
      <c r="G5050" s="30" t="str">
        <f t="shared" si="484"/>
        <v/>
      </c>
      <c r="H5050" s="34"/>
      <c r="I5050" s="30"/>
      <c r="J5050" s="152">
        <v>0</v>
      </c>
      <c r="L5050" s="219"/>
      <c r="M5050" s="42"/>
      <c r="N5050" s="30" t="str">
        <f t="shared" si="485"/>
        <v/>
      </c>
      <c r="O5050" s="34"/>
      <c r="P5050" s="36" t="str">
        <f t="shared" si="480"/>
        <v/>
      </c>
      <c r="Q5050" s="216" t="str">
        <f t="shared" si="481"/>
        <v/>
      </c>
      <c r="R5050" s="216" t="str">
        <f t="shared" si="482"/>
        <v/>
      </c>
      <c r="S5050" s="217" t="str">
        <f t="shared" si="483"/>
        <v/>
      </c>
    </row>
    <row r="5051" spans="1:19" ht="26.25" hidden="1" thickBot="1" x14ac:dyDescent="0.3">
      <c r="A5051" s="262"/>
      <c r="B5051" s="260"/>
      <c r="C5051" s="35" t="s">
        <v>825</v>
      </c>
      <c r="D5051" s="35" t="s">
        <v>583</v>
      </c>
      <c r="E5051" s="36">
        <v>0.5</v>
      </c>
      <c r="F5051" s="30">
        <v>26.799499999999998</v>
      </c>
      <c r="G5051" s="30">
        <f t="shared" si="484"/>
        <v>13.399749999999999</v>
      </c>
      <c r="H5051" s="38">
        <f>SUM(G5051:G5054)</f>
        <v>24.1226831</v>
      </c>
      <c r="I5051" s="39"/>
      <c r="J5051" s="152">
        <v>0</v>
      </c>
      <c r="L5051" s="215">
        <v>0.5</v>
      </c>
      <c r="M5051" s="30">
        <v>22.940372</v>
      </c>
      <c r="N5051" s="30">
        <f t="shared" si="485"/>
        <v>11.470186</v>
      </c>
      <c r="O5051" s="38">
        <f>SUM(N5051:N5054)</f>
        <v>20.649016733600003</v>
      </c>
      <c r="P5051" s="36" t="str">
        <f t="shared" si="480"/>
        <v/>
      </c>
      <c r="Q5051" s="216">
        <f t="shared" si="481"/>
        <v>0.14399999999999991</v>
      </c>
      <c r="R5051" s="216">
        <f t="shared" si="482"/>
        <v>0.14399999999999991</v>
      </c>
      <c r="S5051" s="217">
        <f t="shared" si="483"/>
        <v>0.14399999999999979</v>
      </c>
    </row>
    <row r="5052" spans="1:19" ht="26.25" hidden="1" thickBot="1" x14ac:dyDescent="0.3">
      <c r="A5052" s="262"/>
      <c r="B5052" s="260"/>
      <c r="C5052" s="35" t="s">
        <v>824</v>
      </c>
      <c r="D5052" s="35" t="s">
        <v>583</v>
      </c>
      <c r="E5052" s="36">
        <v>0.5</v>
      </c>
      <c r="F5052" s="33">
        <v>21.166</v>
      </c>
      <c r="G5052" s="33">
        <f t="shared" si="484"/>
        <v>10.583</v>
      </c>
      <c r="H5052" s="34"/>
      <c r="I5052" s="30"/>
      <c r="J5052" s="152">
        <v>0</v>
      </c>
      <c r="L5052" s="215">
        <v>0.5</v>
      </c>
      <c r="M5052" s="33">
        <v>18.118096000000001</v>
      </c>
      <c r="N5052" s="33">
        <f t="shared" si="485"/>
        <v>9.0590480000000007</v>
      </c>
      <c r="O5052" s="34"/>
      <c r="P5052" s="36" t="str">
        <f t="shared" si="480"/>
        <v/>
      </c>
      <c r="Q5052" s="216">
        <f t="shared" si="481"/>
        <v>0.14399999999999991</v>
      </c>
      <c r="R5052" s="216">
        <f t="shared" si="482"/>
        <v>0.14399999999999991</v>
      </c>
      <c r="S5052" s="217" t="str">
        <f t="shared" si="483"/>
        <v/>
      </c>
    </row>
    <row r="5053" spans="1:19" ht="15.75" hidden="1" thickBot="1" x14ac:dyDescent="0.3">
      <c r="A5053" s="262"/>
      <c r="B5053" s="260"/>
      <c r="C5053" s="35" t="s">
        <v>244</v>
      </c>
      <c r="D5053" s="35" t="s">
        <v>213</v>
      </c>
      <c r="E5053" s="36">
        <f>0.47/50</f>
        <v>9.3999999999999986E-3</v>
      </c>
      <c r="F5053" s="33">
        <v>14.8865</v>
      </c>
      <c r="G5053" s="33">
        <f t="shared" si="484"/>
        <v>0.13993309999999998</v>
      </c>
      <c r="H5053" s="34"/>
      <c r="I5053" s="30"/>
      <c r="J5053" s="152">
        <v>0</v>
      </c>
      <c r="L5053" s="215">
        <v>9.3999999999999986E-3</v>
      </c>
      <c r="M5053" s="33">
        <v>12.742844</v>
      </c>
      <c r="N5053" s="33">
        <f t="shared" si="485"/>
        <v>0.11978273359999998</v>
      </c>
      <c r="O5053" s="34"/>
      <c r="P5053" s="36" t="str">
        <f t="shared" si="480"/>
        <v/>
      </c>
      <c r="Q5053" s="216">
        <f t="shared" si="481"/>
        <v>0.14400000000000002</v>
      </c>
      <c r="R5053" s="216">
        <f t="shared" si="482"/>
        <v>0.14400000000000002</v>
      </c>
      <c r="S5053" s="217" t="str">
        <f t="shared" si="483"/>
        <v/>
      </c>
    </row>
    <row r="5054" spans="1:19" ht="15.75" hidden="1" thickBot="1" x14ac:dyDescent="0.3">
      <c r="A5054" s="262"/>
      <c r="B5054" s="260"/>
      <c r="C5054" s="35" t="s">
        <v>3112</v>
      </c>
      <c r="D5054" s="35" t="s">
        <v>213</v>
      </c>
      <c r="E5054" s="36">
        <v>1</v>
      </c>
      <c r="F5054" s="30" t="s">
        <v>416</v>
      </c>
      <c r="G5054" s="33" t="str">
        <f t="shared" si="484"/>
        <v/>
      </c>
      <c r="H5054" s="34"/>
      <c r="I5054" s="30"/>
      <c r="J5054" s="152">
        <v>0</v>
      </c>
      <c r="L5054" s="215">
        <v>1</v>
      </c>
      <c r="M5054" s="30"/>
      <c r="N5054" s="33" t="str">
        <f t="shared" si="485"/>
        <v/>
      </c>
      <c r="O5054" s="34"/>
      <c r="P5054" s="36" t="str">
        <f t="shared" si="480"/>
        <v/>
      </c>
      <c r="Q5054" s="216" t="str">
        <f t="shared" si="481"/>
        <v/>
      </c>
      <c r="R5054" s="216" t="str">
        <f t="shared" si="482"/>
        <v/>
      </c>
      <c r="S5054" s="217" t="str">
        <f t="shared" si="483"/>
        <v/>
      </c>
    </row>
    <row r="5055" spans="1:19" ht="15.75" hidden="1" thickBot="1" x14ac:dyDescent="0.3">
      <c r="A5055" s="263"/>
      <c r="B5055" s="261"/>
      <c r="C5055" s="35"/>
      <c r="D5055" s="35"/>
      <c r="E5055" s="36"/>
      <c r="F5055" s="30" t="s">
        <v>416</v>
      </c>
      <c r="G5055" s="30" t="str">
        <f t="shared" si="484"/>
        <v/>
      </c>
      <c r="H5055" s="34"/>
      <c r="I5055" s="30"/>
      <c r="J5055" s="152">
        <v>0</v>
      </c>
      <c r="L5055" s="215"/>
      <c r="M5055" s="30"/>
      <c r="N5055" s="30" t="str">
        <f t="shared" si="485"/>
        <v/>
      </c>
      <c r="O5055" s="34"/>
      <c r="P5055" s="36" t="str">
        <f t="shared" si="480"/>
        <v/>
      </c>
      <c r="Q5055" s="216" t="str">
        <f t="shared" si="481"/>
        <v/>
      </c>
      <c r="R5055" s="216" t="str">
        <f t="shared" si="482"/>
        <v/>
      </c>
      <c r="S5055" s="217" t="str">
        <f t="shared" si="483"/>
        <v/>
      </c>
    </row>
    <row r="5056" spans="1:19" ht="15.75" hidden="1" thickBot="1" x14ac:dyDescent="0.3">
      <c r="A5056" s="256" t="s">
        <v>3004</v>
      </c>
      <c r="B5056" s="259" t="str">
        <f>INDEX(Orçamentária!A:B,MATCH(Composições!A5056,Orçamentária!A:A,0),2)</f>
        <v>Chuveiro elétrico – Linha Residencial</v>
      </c>
      <c r="C5056" s="40"/>
      <c r="D5056" s="25" t="s">
        <v>16</v>
      </c>
      <c r="E5056" s="26"/>
      <c r="F5056" s="48" t="s">
        <v>416</v>
      </c>
      <c r="G5056" s="27" t="str">
        <f t="shared" si="484"/>
        <v/>
      </c>
      <c r="H5056" s="28"/>
      <c r="I5056" s="29"/>
      <c r="J5056" s="152">
        <v>0</v>
      </c>
      <c r="L5056" s="218"/>
      <c r="M5056" s="48"/>
      <c r="N5056" s="27" t="str">
        <f t="shared" si="485"/>
        <v/>
      </c>
      <c r="O5056" s="28"/>
      <c r="P5056" s="36" t="str">
        <f t="shared" si="480"/>
        <v/>
      </c>
      <c r="Q5056" s="216" t="str">
        <f t="shared" si="481"/>
        <v/>
      </c>
      <c r="R5056" s="216" t="str">
        <f t="shared" si="482"/>
        <v/>
      </c>
      <c r="S5056" s="217" t="str">
        <f t="shared" si="483"/>
        <v/>
      </c>
    </row>
    <row r="5057" spans="1:19" ht="15.75" hidden="1" thickBot="1" x14ac:dyDescent="0.3">
      <c r="A5057" s="257"/>
      <c r="B5057" s="260"/>
      <c r="C5057" s="31"/>
      <c r="D5057" s="31"/>
      <c r="E5057" s="32"/>
      <c r="F5057" s="53" t="s">
        <v>416</v>
      </c>
      <c r="G5057" s="53" t="str">
        <f t="shared" si="484"/>
        <v/>
      </c>
      <c r="H5057" s="72"/>
      <c r="I5057" s="73"/>
      <c r="J5057" s="152">
        <v>0</v>
      </c>
      <c r="L5057" s="219"/>
      <c r="M5057" s="53"/>
      <c r="N5057" s="53" t="str">
        <f t="shared" si="485"/>
        <v/>
      </c>
      <c r="O5057" s="72"/>
      <c r="P5057" s="36" t="str">
        <f t="shared" si="480"/>
        <v/>
      </c>
      <c r="Q5057" s="216" t="str">
        <f t="shared" si="481"/>
        <v/>
      </c>
      <c r="R5057" s="216" t="str">
        <f t="shared" si="482"/>
        <v/>
      </c>
      <c r="S5057" s="217" t="str">
        <f t="shared" si="483"/>
        <v/>
      </c>
    </row>
    <row r="5058" spans="1:19" ht="15.75" hidden="1" thickBot="1" x14ac:dyDescent="0.3">
      <c r="A5058" s="257"/>
      <c r="B5058" s="260"/>
      <c r="C5058" s="35" t="s">
        <v>3217</v>
      </c>
      <c r="D5058" s="35" t="s">
        <v>213</v>
      </c>
      <c r="E5058" s="36">
        <v>1</v>
      </c>
      <c r="F5058" s="53" t="s">
        <v>416</v>
      </c>
      <c r="G5058" s="53" t="str">
        <f t="shared" si="484"/>
        <v/>
      </c>
      <c r="H5058" s="38">
        <f>SUM(G5058:G5061)</f>
        <v>14.901851999999998</v>
      </c>
      <c r="I5058" s="39"/>
      <c r="J5058" s="152">
        <v>0</v>
      </c>
      <c r="L5058" s="215">
        <v>1</v>
      </c>
      <c r="M5058" s="53"/>
      <c r="N5058" s="53" t="str">
        <f t="shared" si="485"/>
        <v/>
      </c>
      <c r="O5058" s="38">
        <f>SUM(N5058:N5061)</f>
        <v>12.755985311999998</v>
      </c>
      <c r="P5058" s="36" t="str">
        <f t="shared" si="480"/>
        <v/>
      </c>
      <c r="Q5058" s="216" t="str">
        <f t="shared" si="481"/>
        <v/>
      </c>
      <c r="R5058" s="216" t="str">
        <f t="shared" si="482"/>
        <v/>
      </c>
      <c r="S5058" s="217">
        <f t="shared" si="483"/>
        <v>0.14400000000000002</v>
      </c>
    </row>
    <row r="5059" spans="1:19" ht="15.75" hidden="1" thickBot="1" x14ac:dyDescent="0.3">
      <c r="A5059" s="257"/>
      <c r="B5059" s="260"/>
      <c r="C5059" s="35" t="s">
        <v>8171</v>
      </c>
      <c r="D5059" s="35" t="s">
        <v>213</v>
      </c>
      <c r="E5059" s="36">
        <v>2.1000000000000001E-2</v>
      </c>
      <c r="F5059" s="53">
        <v>4.0374999999999996</v>
      </c>
      <c r="G5059" s="53">
        <f t="shared" si="484"/>
        <v>8.4787500000000002E-2</v>
      </c>
      <c r="H5059" s="72"/>
      <c r="I5059" s="73"/>
      <c r="J5059" s="152">
        <v>0</v>
      </c>
      <c r="L5059" s="215">
        <v>2.1000000000000001E-2</v>
      </c>
      <c r="M5059" s="53">
        <v>3.4560999999999997</v>
      </c>
      <c r="N5059" s="53">
        <f t="shared" si="485"/>
        <v>7.2578099999999993E-2</v>
      </c>
      <c r="O5059" s="72"/>
      <c r="P5059" s="36" t="str">
        <f t="shared" si="480"/>
        <v/>
      </c>
      <c r="Q5059" s="216">
        <f t="shared" si="481"/>
        <v>0.14400000000000002</v>
      </c>
      <c r="R5059" s="216">
        <f t="shared" si="482"/>
        <v>0.14400000000000013</v>
      </c>
      <c r="S5059" s="217" t="str">
        <f t="shared" si="483"/>
        <v/>
      </c>
    </row>
    <row r="5060" spans="1:19" ht="26.25" hidden="1" thickBot="1" x14ac:dyDescent="0.3">
      <c r="A5060" s="257"/>
      <c r="B5060" s="260"/>
      <c r="C5060" s="35" t="s">
        <v>825</v>
      </c>
      <c r="D5060" s="35" t="s">
        <v>583</v>
      </c>
      <c r="E5060" s="36">
        <v>0.44669999999999999</v>
      </c>
      <c r="F5060" s="53">
        <v>26.799499999999998</v>
      </c>
      <c r="G5060" s="53">
        <f t="shared" si="484"/>
        <v>11.97133665</v>
      </c>
      <c r="H5060" s="72"/>
      <c r="I5060" s="73"/>
      <c r="J5060" s="152">
        <v>0</v>
      </c>
      <c r="L5060" s="215">
        <v>0.44669999999999999</v>
      </c>
      <c r="M5060" s="53">
        <v>22.940372</v>
      </c>
      <c r="N5060" s="53">
        <f t="shared" si="485"/>
        <v>10.247464172399999</v>
      </c>
      <c r="O5060" s="72"/>
      <c r="P5060" s="36" t="str">
        <f t="shared" si="480"/>
        <v/>
      </c>
      <c r="Q5060" s="216">
        <f t="shared" si="481"/>
        <v>0.14399999999999991</v>
      </c>
      <c r="R5060" s="216">
        <f t="shared" si="482"/>
        <v>0.14400000000000002</v>
      </c>
      <c r="S5060" s="217" t="str">
        <f t="shared" si="483"/>
        <v/>
      </c>
    </row>
    <row r="5061" spans="1:19" ht="15.75" hidden="1" thickBot="1" x14ac:dyDescent="0.3">
      <c r="A5061" s="257"/>
      <c r="B5061" s="260"/>
      <c r="C5061" s="35" t="s">
        <v>584</v>
      </c>
      <c r="D5061" s="35" t="s">
        <v>583</v>
      </c>
      <c r="E5061" s="36">
        <v>0.14069999999999999</v>
      </c>
      <c r="F5061" s="53">
        <v>20.225499999999997</v>
      </c>
      <c r="G5061" s="53">
        <f t="shared" si="484"/>
        <v>2.8457278499999994</v>
      </c>
      <c r="H5061" s="72"/>
      <c r="I5061" s="73"/>
      <c r="J5061" s="152">
        <v>0</v>
      </c>
      <c r="L5061" s="215">
        <v>0.14069999999999999</v>
      </c>
      <c r="M5061" s="53">
        <v>17.313027999999996</v>
      </c>
      <c r="N5061" s="53">
        <f t="shared" si="485"/>
        <v>2.4359430395999992</v>
      </c>
      <c r="O5061" s="72"/>
      <c r="P5061" s="36" t="str">
        <f t="shared" si="480"/>
        <v/>
      </c>
      <c r="Q5061" s="216">
        <f t="shared" si="481"/>
        <v>0.14400000000000013</v>
      </c>
      <c r="R5061" s="216">
        <f t="shared" si="482"/>
        <v>0.14400000000000013</v>
      </c>
      <c r="S5061" s="217" t="str">
        <f t="shared" si="483"/>
        <v/>
      </c>
    </row>
    <row r="5062" spans="1:19" ht="15.75" hidden="1" thickBot="1" x14ac:dyDescent="0.3">
      <c r="A5062" s="258"/>
      <c r="B5062" s="261"/>
      <c r="C5062" s="35"/>
      <c r="D5062" s="35"/>
      <c r="E5062" s="36"/>
      <c r="F5062" s="53" t="s">
        <v>416</v>
      </c>
      <c r="G5062" s="53" t="str">
        <f t="shared" si="484"/>
        <v/>
      </c>
      <c r="H5062" s="72"/>
      <c r="I5062" s="73"/>
      <c r="J5062" s="152">
        <v>0</v>
      </c>
      <c r="L5062" s="215"/>
      <c r="M5062" s="53"/>
      <c r="N5062" s="53" t="str">
        <f t="shared" si="485"/>
        <v/>
      </c>
      <c r="O5062" s="72"/>
      <c r="P5062" s="36" t="str">
        <f t="shared" si="480"/>
        <v/>
      </c>
      <c r="Q5062" s="216" t="str">
        <f t="shared" si="481"/>
        <v/>
      </c>
      <c r="R5062" s="216" t="str">
        <f t="shared" si="482"/>
        <v/>
      </c>
      <c r="S5062" s="217" t="str">
        <f t="shared" si="483"/>
        <v/>
      </c>
    </row>
    <row r="5063" spans="1:19" ht="15.75" hidden="1" thickBot="1" x14ac:dyDescent="0.3">
      <c r="A5063" s="256" t="s">
        <v>3005</v>
      </c>
      <c r="B5063" s="259" t="str">
        <f>INDEX(Orçamentária!A:B,MATCH(Composições!A5063,Orçamentária!A:A,0),2)</f>
        <v>Instalação de boiler reaproveitado</v>
      </c>
      <c r="C5063" s="40"/>
      <c r="D5063" s="25" t="s">
        <v>16</v>
      </c>
      <c r="E5063" s="26"/>
      <c r="F5063" s="48" t="s">
        <v>416</v>
      </c>
      <c r="G5063" s="27" t="str">
        <f t="shared" si="484"/>
        <v/>
      </c>
      <c r="H5063" s="28"/>
      <c r="I5063" s="29"/>
      <c r="J5063" s="152">
        <v>0</v>
      </c>
      <c r="L5063" s="218"/>
      <c r="M5063" s="48"/>
      <c r="N5063" s="27" t="str">
        <f t="shared" si="485"/>
        <v/>
      </c>
      <c r="O5063" s="28"/>
      <c r="P5063" s="36" t="str">
        <f t="shared" si="480"/>
        <v/>
      </c>
      <c r="Q5063" s="216" t="str">
        <f t="shared" si="481"/>
        <v/>
      </c>
      <c r="R5063" s="216" t="str">
        <f t="shared" si="482"/>
        <v/>
      </c>
      <c r="S5063" s="217" t="str">
        <f t="shared" si="483"/>
        <v/>
      </c>
    </row>
    <row r="5064" spans="1:19" ht="15.75" hidden="1" thickBot="1" x14ac:dyDescent="0.3">
      <c r="A5064" s="257"/>
      <c r="B5064" s="260"/>
      <c r="C5064" s="31"/>
      <c r="D5064" s="31"/>
      <c r="E5064" s="32"/>
      <c r="F5064" s="53" t="s">
        <v>416</v>
      </c>
      <c r="G5064" s="53" t="str">
        <f t="shared" si="484"/>
        <v/>
      </c>
      <c r="H5064" s="72"/>
      <c r="I5064" s="73"/>
      <c r="J5064" s="152">
        <v>0</v>
      </c>
      <c r="L5064" s="219"/>
      <c r="M5064" s="53"/>
      <c r="N5064" s="53" t="str">
        <f t="shared" si="485"/>
        <v/>
      </c>
      <c r="O5064" s="72"/>
      <c r="P5064" s="36" t="str">
        <f t="shared" ref="P5064:P5127" si="486">IF(ISBLANK(L5064),"",IF($E5064&lt;&gt;L5064,"SIM",""))</f>
        <v/>
      </c>
      <c r="Q5064" s="216" t="str">
        <f t="shared" ref="Q5064:Q5127" si="487">IF(M5064="","",1-M5064/$F5064)</f>
        <v/>
      </c>
      <c r="R5064" s="216" t="str">
        <f t="shared" ref="R5064:R5127" si="488">IF(N5064="","",1-N5064/$G5064)</f>
        <v/>
      </c>
      <c r="S5064" s="217" t="str">
        <f t="shared" ref="S5064:S5127" si="489">IF(O5064="","",1-O5064/$H5064)</f>
        <v/>
      </c>
    </row>
    <row r="5065" spans="1:19" ht="26.25" hidden="1" thickBot="1" x14ac:dyDescent="0.3">
      <c r="A5065" s="257"/>
      <c r="B5065" s="260"/>
      <c r="C5065" s="35" t="s">
        <v>824</v>
      </c>
      <c r="D5065" s="35" t="s">
        <v>583</v>
      </c>
      <c r="E5065" s="36">
        <v>4</v>
      </c>
      <c r="F5065" s="30">
        <v>21.166</v>
      </c>
      <c r="G5065" s="53">
        <f t="shared" si="484"/>
        <v>84.664000000000001</v>
      </c>
      <c r="H5065" s="38">
        <f>SUM(G5065:G5069)</f>
        <v>291.18450000000001</v>
      </c>
      <c r="I5065" s="39"/>
      <c r="J5065" s="152">
        <v>0</v>
      </c>
      <c r="L5065" s="215">
        <v>4</v>
      </c>
      <c r="M5065" s="30">
        <v>18.118096000000001</v>
      </c>
      <c r="N5065" s="53">
        <f t="shared" si="485"/>
        <v>72.472384000000005</v>
      </c>
      <c r="O5065" s="38">
        <f>SUM(N5065:N5069)</f>
        <v>249.25393199999999</v>
      </c>
      <c r="P5065" s="36" t="str">
        <f t="shared" si="486"/>
        <v/>
      </c>
      <c r="Q5065" s="216">
        <f t="shared" si="487"/>
        <v>0.14399999999999991</v>
      </c>
      <c r="R5065" s="216">
        <f t="shared" si="488"/>
        <v>0.14399999999999991</v>
      </c>
      <c r="S5065" s="217">
        <f t="shared" si="489"/>
        <v>0.14400000000000002</v>
      </c>
    </row>
    <row r="5066" spans="1:19" ht="26.25" hidden="1" thickBot="1" x14ac:dyDescent="0.3">
      <c r="A5066" s="257"/>
      <c r="B5066" s="260"/>
      <c r="C5066" s="35" t="s">
        <v>825</v>
      </c>
      <c r="D5066" s="35" t="s">
        <v>583</v>
      </c>
      <c r="E5066" s="36">
        <v>4</v>
      </c>
      <c r="F5066" s="30">
        <v>26.799499999999998</v>
      </c>
      <c r="G5066" s="53">
        <f t="shared" si="484"/>
        <v>107.19799999999999</v>
      </c>
      <c r="H5066" s="72"/>
      <c r="I5066" s="73"/>
      <c r="J5066" s="152">
        <v>0</v>
      </c>
      <c r="L5066" s="215">
        <v>4</v>
      </c>
      <c r="M5066" s="30">
        <v>22.940372</v>
      </c>
      <c r="N5066" s="53">
        <f t="shared" si="485"/>
        <v>91.761488</v>
      </c>
      <c r="O5066" s="72"/>
      <c r="P5066" s="36" t="str">
        <f t="shared" si="486"/>
        <v/>
      </c>
      <c r="Q5066" s="216">
        <f t="shared" si="487"/>
        <v>0.14399999999999991</v>
      </c>
      <c r="R5066" s="216">
        <f t="shared" si="488"/>
        <v>0.14399999999999991</v>
      </c>
      <c r="S5066" s="217" t="str">
        <f t="shared" si="489"/>
        <v/>
      </c>
    </row>
    <row r="5067" spans="1:19" ht="15.75" hidden="1" thickBot="1" x14ac:dyDescent="0.3">
      <c r="A5067" s="257"/>
      <c r="B5067" s="260"/>
      <c r="C5067" s="35" t="s">
        <v>1017</v>
      </c>
      <c r="D5067" s="35" t="s">
        <v>583</v>
      </c>
      <c r="E5067" s="36">
        <v>2</v>
      </c>
      <c r="F5067" s="30">
        <v>21.584</v>
      </c>
      <c r="G5067" s="53">
        <f t="shared" si="484"/>
        <v>43.167999999999999</v>
      </c>
      <c r="H5067" s="72"/>
      <c r="I5067" s="73"/>
      <c r="J5067" s="152">
        <v>0</v>
      </c>
      <c r="L5067" s="215">
        <v>2</v>
      </c>
      <c r="M5067" s="30">
        <v>18.475904</v>
      </c>
      <c r="N5067" s="53">
        <f t="shared" si="485"/>
        <v>36.951808</v>
      </c>
      <c r="O5067" s="72"/>
      <c r="P5067" s="36" t="str">
        <f t="shared" si="486"/>
        <v/>
      </c>
      <c r="Q5067" s="216">
        <f t="shared" si="487"/>
        <v>0.14400000000000002</v>
      </c>
      <c r="R5067" s="216">
        <f t="shared" si="488"/>
        <v>0.14400000000000002</v>
      </c>
      <c r="S5067" s="217" t="str">
        <f t="shared" si="489"/>
        <v/>
      </c>
    </row>
    <row r="5068" spans="1:19" ht="15.75" hidden="1" thickBot="1" x14ac:dyDescent="0.3">
      <c r="A5068" s="257"/>
      <c r="B5068" s="260"/>
      <c r="C5068" s="35" t="s">
        <v>1018</v>
      </c>
      <c r="D5068" s="35" t="s">
        <v>583</v>
      </c>
      <c r="E5068" s="36">
        <v>2</v>
      </c>
      <c r="F5068" s="30">
        <v>27.835000000000001</v>
      </c>
      <c r="G5068" s="53">
        <f t="shared" si="484"/>
        <v>55.67</v>
      </c>
      <c r="H5068" s="72"/>
      <c r="I5068" s="73"/>
      <c r="J5068" s="152">
        <v>0</v>
      </c>
      <c r="L5068" s="215">
        <v>2</v>
      </c>
      <c r="M5068" s="30">
        <v>23.82676</v>
      </c>
      <c r="N5068" s="53">
        <f t="shared" si="485"/>
        <v>47.65352</v>
      </c>
      <c r="O5068" s="72"/>
      <c r="P5068" s="36" t="str">
        <f t="shared" si="486"/>
        <v/>
      </c>
      <c r="Q5068" s="216">
        <f t="shared" si="487"/>
        <v>0.14400000000000002</v>
      </c>
      <c r="R5068" s="216">
        <f t="shared" si="488"/>
        <v>0.14400000000000002</v>
      </c>
      <c r="S5068" s="217" t="str">
        <f t="shared" si="489"/>
        <v/>
      </c>
    </row>
    <row r="5069" spans="1:19" ht="15.75" hidden="1" thickBot="1" x14ac:dyDescent="0.3">
      <c r="A5069" s="257"/>
      <c r="B5069" s="260"/>
      <c r="C5069" s="35" t="s">
        <v>8171</v>
      </c>
      <c r="D5069" s="35" t="s">
        <v>213</v>
      </c>
      <c r="E5069" s="36">
        <f>1.2/10</f>
        <v>0.12</v>
      </c>
      <c r="F5069" s="53">
        <v>4.0374999999999996</v>
      </c>
      <c r="G5069" s="53">
        <f t="shared" si="484"/>
        <v>0.48449999999999993</v>
      </c>
      <c r="H5069" s="72"/>
      <c r="I5069" s="73"/>
      <c r="J5069" s="152">
        <v>0</v>
      </c>
      <c r="L5069" s="215">
        <v>0.12</v>
      </c>
      <c r="M5069" s="53">
        <v>3.4560999999999997</v>
      </c>
      <c r="N5069" s="53">
        <f t="shared" si="485"/>
        <v>0.41473199999999993</v>
      </c>
      <c r="O5069" s="72"/>
      <c r="P5069" s="36" t="str">
        <f t="shared" si="486"/>
        <v/>
      </c>
      <c r="Q5069" s="216">
        <f t="shared" si="487"/>
        <v>0.14400000000000002</v>
      </c>
      <c r="R5069" s="216">
        <f t="shared" si="488"/>
        <v>0.14400000000000002</v>
      </c>
      <c r="S5069" s="217" t="str">
        <f t="shared" si="489"/>
        <v/>
      </c>
    </row>
    <row r="5070" spans="1:19" ht="15.75" hidden="1" thickBot="1" x14ac:dyDescent="0.3">
      <c r="A5070" s="257"/>
      <c r="B5070" s="260"/>
      <c r="C5070" s="35"/>
      <c r="D5070" s="46"/>
      <c r="E5070" s="36"/>
      <c r="F5070" s="53" t="s">
        <v>416</v>
      </c>
      <c r="G5070" s="53" t="str">
        <f t="shared" si="484"/>
        <v/>
      </c>
      <c r="H5070" s="72"/>
      <c r="I5070" s="73"/>
      <c r="J5070" s="152">
        <v>0</v>
      </c>
      <c r="L5070" s="215"/>
      <c r="M5070" s="53"/>
      <c r="N5070" s="53" t="str">
        <f t="shared" si="485"/>
        <v/>
      </c>
      <c r="O5070" s="72"/>
      <c r="P5070" s="36" t="str">
        <f t="shared" si="486"/>
        <v/>
      </c>
      <c r="Q5070" s="216" t="str">
        <f t="shared" si="487"/>
        <v/>
      </c>
      <c r="R5070" s="216" t="str">
        <f t="shared" si="488"/>
        <v/>
      </c>
      <c r="S5070" s="217" t="str">
        <f t="shared" si="489"/>
        <v/>
      </c>
    </row>
    <row r="5071" spans="1:19" ht="15.75" hidden="1" thickBot="1" x14ac:dyDescent="0.3">
      <c r="A5071" s="256" t="s">
        <v>3006</v>
      </c>
      <c r="B5071" s="259" t="str">
        <f>INDEX(Orçamentária!A:B,MATCH(Composições!A5071,Orçamentária!A:A,0),2)</f>
        <v>Prateleira – Linha Residencial</v>
      </c>
      <c r="C5071" s="40"/>
      <c r="D5071" s="25" t="s">
        <v>16</v>
      </c>
      <c r="E5071" s="26"/>
      <c r="F5071" s="41" t="s">
        <v>416</v>
      </c>
      <c r="G5071" s="27" t="str">
        <f t="shared" si="484"/>
        <v/>
      </c>
      <c r="H5071" s="28"/>
      <c r="I5071" s="29"/>
      <c r="J5071" s="152">
        <v>0</v>
      </c>
      <c r="L5071" s="218"/>
      <c r="M5071" s="41"/>
      <c r="N5071" s="27" t="str">
        <f t="shared" si="485"/>
        <v/>
      </c>
      <c r="O5071" s="28"/>
      <c r="P5071" s="36" t="str">
        <f t="shared" si="486"/>
        <v/>
      </c>
      <c r="Q5071" s="216" t="str">
        <f t="shared" si="487"/>
        <v/>
      </c>
      <c r="R5071" s="216" t="str">
        <f t="shared" si="488"/>
        <v/>
      </c>
      <c r="S5071" s="217" t="str">
        <f t="shared" si="489"/>
        <v/>
      </c>
    </row>
    <row r="5072" spans="1:19" ht="15.75" hidden="1" thickBot="1" x14ac:dyDescent="0.3">
      <c r="A5072" s="262"/>
      <c r="B5072" s="260"/>
      <c r="C5072" s="31"/>
      <c r="D5072" s="31"/>
      <c r="E5072" s="32"/>
      <c r="F5072" s="42" t="s">
        <v>416</v>
      </c>
      <c r="G5072" s="30" t="str">
        <f t="shared" si="484"/>
        <v/>
      </c>
      <c r="H5072" s="34"/>
      <c r="I5072" s="30"/>
      <c r="J5072" s="152">
        <v>0</v>
      </c>
      <c r="L5072" s="219"/>
      <c r="M5072" s="42"/>
      <c r="N5072" s="30" t="str">
        <f t="shared" si="485"/>
        <v/>
      </c>
      <c r="O5072" s="34"/>
      <c r="P5072" s="36" t="str">
        <f t="shared" si="486"/>
        <v/>
      </c>
      <c r="Q5072" s="216" t="str">
        <f t="shared" si="487"/>
        <v/>
      </c>
      <c r="R5072" s="216" t="str">
        <f t="shared" si="488"/>
        <v/>
      </c>
      <c r="S5072" s="217" t="str">
        <f t="shared" si="489"/>
        <v/>
      </c>
    </row>
    <row r="5073" spans="1:19" ht="26.25" hidden="1" thickBot="1" x14ac:dyDescent="0.3">
      <c r="A5073" s="262"/>
      <c r="B5073" s="260"/>
      <c r="C5073" s="35" t="s">
        <v>3113</v>
      </c>
      <c r="D5073" s="46" t="s">
        <v>107</v>
      </c>
      <c r="E5073" s="36">
        <v>1</v>
      </c>
      <c r="F5073" s="33" t="s">
        <v>416</v>
      </c>
      <c r="G5073" s="33" t="str">
        <f t="shared" si="484"/>
        <v/>
      </c>
      <c r="H5073" s="38">
        <f>SUM(G5073:G5075)</f>
        <v>20.974243449999996</v>
      </c>
      <c r="I5073" s="39"/>
      <c r="J5073" s="152">
        <v>0</v>
      </c>
      <c r="L5073" s="215">
        <v>1</v>
      </c>
      <c r="M5073" s="33"/>
      <c r="N5073" s="33" t="str">
        <f t="shared" si="485"/>
        <v/>
      </c>
      <c r="O5073" s="38">
        <f>SUM(N5073:N5075)</f>
        <v>17.953952393199998</v>
      </c>
      <c r="P5073" s="36" t="str">
        <f t="shared" si="486"/>
        <v/>
      </c>
      <c r="Q5073" s="216" t="str">
        <f t="shared" si="487"/>
        <v/>
      </c>
      <c r="R5073" s="216" t="str">
        <f t="shared" si="488"/>
        <v/>
      </c>
      <c r="S5073" s="217">
        <f t="shared" si="489"/>
        <v>0.14399999999999991</v>
      </c>
    </row>
    <row r="5074" spans="1:19" ht="26.25" hidden="1" thickBot="1" x14ac:dyDescent="0.3">
      <c r="A5074" s="262"/>
      <c r="B5074" s="260"/>
      <c r="C5074" s="35" t="s">
        <v>825</v>
      </c>
      <c r="D5074" s="35" t="s">
        <v>583</v>
      </c>
      <c r="E5074" s="36">
        <v>0.63229999999999997</v>
      </c>
      <c r="F5074" s="30">
        <v>26.799499999999998</v>
      </c>
      <c r="G5074" s="33">
        <f t="shared" ref="G5074:G5116" si="490">IF(ISNUMBER(F5074),E5074*F5074,"")</f>
        <v>16.945323849999998</v>
      </c>
      <c r="H5074" s="34"/>
      <c r="I5074" s="30"/>
      <c r="J5074" s="152">
        <v>0</v>
      </c>
      <c r="L5074" s="215">
        <v>0.63229999999999997</v>
      </c>
      <c r="M5074" s="30">
        <v>22.940372</v>
      </c>
      <c r="N5074" s="33">
        <f t="shared" ref="N5074:N5116" si="491">IF(ISNUMBER(M5074),L5074*M5074,"")</f>
        <v>14.505197215599999</v>
      </c>
      <c r="O5074" s="34"/>
      <c r="P5074" s="36" t="str">
        <f t="shared" si="486"/>
        <v/>
      </c>
      <c r="Q5074" s="216">
        <f t="shared" si="487"/>
        <v>0.14399999999999991</v>
      </c>
      <c r="R5074" s="216">
        <f t="shared" si="488"/>
        <v>0.14399999999999991</v>
      </c>
      <c r="S5074" s="217" t="str">
        <f t="shared" si="489"/>
        <v/>
      </c>
    </row>
    <row r="5075" spans="1:19" ht="15.75" hidden="1" thickBot="1" x14ac:dyDescent="0.3">
      <c r="A5075" s="262"/>
      <c r="B5075" s="260"/>
      <c r="C5075" s="35" t="s">
        <v>584</v>
      </c>
      <c r="D5075" s="35" t="s">
        <v>583</v>
      </c>
      <c r="E5075" s="36">
        <v>0.19919999999999999</v>
      </c>
      <c r="F5075" s="30">
        <v>20.225499999999997</v>
      </c>
      <c r="G5075" s="33">
        <f t="shared" si="490"/>
        <v>4.0289195999999992</v>
      </c>
      <c r="H5075" s="34"/>
      <c r="I5075" s="30"/>
      <c r="J5075" s="152">
        <v>0</v>
      </c>
      <c r="L5075" s="215">
        <v>0.19919999999999999</v>
      </c>
      <c r="M5075" s="30">
        <v>17.313027999999996</v>
      </c>
      <c r="N5075" s="33">
        <f t="shared" si="491"/>
        <v>3.4487551775999989</v>
      </c>
      <c r="O5075" s="34"/>
      <c r="P5075" s="36" t="str">
        <f t="shared" si="486"/>
        <v/>
      </c>
      <c r="Q5075" s="216">
        <f t="shared" si="487"/>
        <v>0.14400000000000013</v>
      </c>
      <c r="R5075" s="216">
        <f t="shared" si="488"/>
        <v>0.14400000000000013</v>
      </c>
      <c r="S5075" s="217" t="str">
        <f t="shared" si="489"/>
        <v/>
      </c>
    </row>
    <row r="5076" spans="1:19" ht="15.75" hidden="1" thickBot="1" x14ac:dyDescent="0.3">
      <c r="A5076" s="263"/>
      <c r="B5076" s="261"/>
      <c r="C5076" s="35"/>
      <c r="D5076" s="35"/>
      <c r="E5076" s="36"/>
      <c r="F5076" s="30" t="s">
        <v>416</v>
      </c>
      <c r="G5076" s="30" t="str">
        <f t="shared" si="490"/>
        <v/>
      </c>
      <c r="H5076" s="34"/>
      <c r="I5076" s="30"/>
      <c r="J5076" s="152">
        <v>0</v>
      </c>
      <c r="L5076" s="215"/>
      <c r="M5076" s="30"/>
      <c r="N5076" s="30" t="str">
        <f t="shared" si="491"/>
        <v/>
      </c>
      <c r="O5076" s="34"/>
      <c r="P5076" s="36" t="str">
        <f t="shared" si="486"/>
        <v/>
      </c>
      <c r="Q5076" s="216" t="str">
        <f t="shared" si="487"/>
        <v/>
      </c>
      <c r="R5076" s="216" t="str">
        <f t="shared" si="488"/>
        <v/>
      </c>
      <c r="S5076" s="217" t="str">
        <f t="shared" si="489"/>
        <v/>
      </c>
    </row>
    <row r="5077" spans="1:19" ht="15.75" hidden="1" thickBot="1" x14ac:dyDescent="0.3">
      <c r="A5077" s="256" t="s">
        <v>3007</v>
      </c>
      <c r="B5077" s="259" t="str">
        <f>INDEX(Orçamentária!A:B,MATCH(Composições!A5077,Orçamentária!A:A,0),2)</f>
        <v>Saboneteira – Linha Residencial</v>
      </c>
      <c r="C5077" s="40"/>
      <c r="D5077" s="25" t="s">
        <v>16</v>
      </c>
      <c r="E5077" s="26"/>
      <c r="F5077" s="41" t="s">
        <v>416</v>
      </c>
      <c r="G5077" s="27" t="str">
        <f t="shared" si="490"/>
        <v/>
      </c>
      <c r="H5077" s="28"/>
      <c r="I5077" s="29"/>
      <c r="J5077" s="152">
        <v>0</v>
      </c>
      <c r="L5077" s="218"/>
      <c r="M5077" s="41"/>
      <c r="N5077" s="27" t="str">
        <f t="shared" si="491"/>
        <v/>
      </c>
      <c r="O5077" s="28"/>
      <c r="P5077" s="36" t="str">
        <f t="shared" si="486"/>
        <v/>
      </c>
      <c r="Q5077" s="216" t="str">
        <f t="shared" si="487"/>
        <v/>
      </c>
      <c r="R5077" s="216" t="str">
        <f t="shared" si="488"/>
        <v/>
      </c>
      <c r="S5077" s="217" t="str">
        <f t="shared" si="489"/>
        <v/>
      </c>
    </row>
    <row r="5078" spans="1:19" ht="15.75" hidden="1" thickBot="1" x14ac:dyDescent="0.3">
      <c r="A5078" s="262"/>
      <c r="B5078" s="260"/>
      <c r="C5078" s="31"/>
      <c r="D5078" s="31"/>
      <c r="E5078" s="32"/>
      <c r="F5078" s="42" t="s">
        <v>416</v>
      </c>
      <c r="G5078" s="30" t="str">
        <f t="shared" si="490"/>
        <v/>
      </c>
      <c r="H5078" s="34"/>
      <c r="I5078" s="30"/>
      <c r="J5078" s="152">
        <v>0</v>
      </c>
      <c r="L5078" s="219"/>
      <c r="M5078" s="42"/>
      <c r="N5078" s="30" t="str">
        <f t="shared" si="491"/>
        <v/>
      </c>
      <c r="O5078" s="34"/>
      <c r="P5078" s="36" t="str">
        <f t="shared" si="486"/>
        <v/>
      </c>
      <c r="Q5078" s="216" t="str">
        <f t="shared" si="487"/>
        <v/>
      </c>
      <c r="R5078" s="216" t="str">
        <f t="shared" si="488"/>
        <v/>
      </c>
      <c r="S5078" s="217" t="str">
        <f t="shared" si="489"/>
        <v/>
      </c>
    </row>
    <row r="5079" spans="1:19" ht="26.25" hidden="1" thickBot="1" x14ac:dyDescent="0.3">
      <c r="A5079" s="262"/>
      <c r="B5079" s="260"/>
      <c r="C5079" s="35" t="s">
        <v>3114</v>
      </c>
      <c r="D5079" s="46" t="s">
        <v>107</v>
      </c>
      <c r="E5079" s="36">
        <v>1</v>
      </c>
      <c r="F5079" s="33" t="s">
        <v>416</v>
      </c>
      <c r="G5079" s="33" t="str">
        <f t="shared" si="490"/>
        <v/>
      </c>
      <c r="H5079" s="38">
        <f>SUM(G5079:G5081)</f>
        <v>10.488461699999998</v>
      </c>
      <c r="I5079" s="39"/>
      <c r="J5079" s="152">
        <v>0</v>
      </c>
      <c r="L5079" s="215">
        <v>1</v>
      </c>
      <c r="M5079" s="33"/>
      <c r="N5079" s="33" t="str">
        <f t="shared" si="491"/>
        <v/>
      </c>
      <c r="O5079" s="38">
        <f>SUM(N5079:N5081)</f>
        <v>8.9781232152000001</v>
      </c>
      <c r="P5079" s="36" t="str">
        <f t="shared" si="486"/>
        <v/>
      </c>
      <c r="Q5079" s="216" t="str">
        <f t="shared" si="487"/>
        <v/>
      </c>
      <c r="R5079" s="216" t="str">
        <f t="shared" si="488"/>
        <v/>
      </c>
      <c r="S5079" s="217">
        <f t="shared" si="489"/>
        <v>0.14399999999999991</v>
      </c>
    </row>
    <row r="5080" spans="1:19" ht="26.25" hidden="1" thickBot="1" x14ac:dyDescent="0.3">
      <c r="A5080" s="262"/>
      <c r="B5080" s="260"/>
      <c r="C5080" s="35" t="s">
        <v>825</v>
      </c>
      <c r="D5080" s="35" t="s">
        <v>583</v>
      </c>
      <c r="E5080" s="36">
        <v>0.31619999999999998</v>
      </c>
      <c r="F5080" s="30">
        <v>26.799499999999998</v>
      </c>
      <c r="G5080" s="33">
        <f t="shared" si="490"/>
        <v>8.4740018999999993</v>
      </c>
      <c r="H5080" s="34"/>
      <c r="I5080" s="30"/>
      <c r="J5080" s="152">
        <v>0</v>
      </c>
      <c r="L5080" s="215">
        <v>0.31619999999999998</v>
      </c>
      <c r="M5080" s="30">
        <v>22.940372</v>
      </c>
      <c r="N5080" s="33">
        <f t="shared" si="491"/>
        <v>7.2537456263999998</v>
      </c>
      <c r="O5080" s="34"/>
      <c r="P5080" s="36" t="str">
        <f t="shared" si="486"/>
        <v/>
      </c>
      <c r="Q5080" s="216">
        <f t="shared" si="487"/>
        <v>0.14399999999999991</v>
      </c>
      <c r="R5080" s="216">
        <f t="shared" si="488"/>
        <v>0.14399999999999991</v>
      </c>
      <c r="S5080" s="217" t="str">
        <f t="shared" si="489"/>
        <v/>
      </c>
    </row>
    <row r="5081" spans="1:19" ht="15.75" hidden="1" thickBot="1" x14ac:dyDescent="0.3">
      <c r="A5081" s="262"/>
      <c r="B5081" s="260"/>
      <c r="C5081" s="35" t="s">
        <v>584</v>
      </c>
      <c r="D5081" s="35" t="s">
        <v>583</v>
      </c>
      <c r="E5081" s="36">
        <v>9.9599999999999994E-2</v>
      </c>
      <c r="F5081" s="30">
        <v>20.225499999999997</v>
      </c>
      <c r="G5081" s="33">
        <f t="shared" si="490"/>
        <v>2.0144597999999996</v>
      </c>
      <c r="H5081" s="34"/>
      <c r="I5081" s="30"/>
      <c r="J5081" s="152">
        <v>0</v>
      </c>
      <c r="L5081" s="215">
        <v>9.9599999999999994E-2</v>
      </c>
      <c r="M5081" s="30">
        <v>17.313027999999996</v>
      </c>
      <c r="N5081" s="33">
        <f t="shared" si="491"/>
        <v>1.7243775887999995</v>
      </c>
      <c r="O5081" s="34"/>
      <c r="P5081" s="36" t="str">
        <f t="shared" si="486"/>
        <v/>
      </c>
      <c r="Q5081" s="216">
        <f t="shared" si="487"/>
        <v>0.14400000000000013</v>
      </c>
      <c r="R5081" s="216">
        <f t="shared" si="488"/>
        <v>0.14400000000000013</v>
      </c>
      <c r="S5081" s="217" t="str">
        <f t="shared" si="489"/>
        <v/>
      </c>
    </row>
    <row r="5082" spans="1:19" ht="15.75" hidden="1" thickBot="1" x14ac:dyDescent="0.3">
      <c r="A5082" s="263"/>
      <c r="B5082" s="261"/>
      <c r="C5082" s="35"/>
      <c r="D5082" s="35"/>
      <c r="E5082" s="36"/>
      <c r="F5082" s="30" t="s">
        <v>416</v>
      </c>
      <c r="G5082" s="30" t="str">
        <f t="shared" si="490"/>
        <v/>
      </c>
      <c r="H5082" s="34"/>
      <c r="I5082" s="30"/>
      <c r="J5082" s="152">
        <v>0</v>
      </c>
      <c r="L5082" s="215"/>
      <c r="M5082" s="30"/>
      <c r="N5082" s="30" t="str">
        <f t="shared" si="491"/>
        <v/>
      </c>
      <c r="O5082" s="34"/>
      <c r="P5082" s="36" t="str">
        <f t="shared" si="486"/>
        <v/>
      </c>
      <c r="Q5082" s="216" t="str">
        <f t="shared" si="487"/>
        <v/>
      </c>
      <c r="R5082" s="216" t="str">
        <f t="shared" si="488"/>
        <v/>
      </c>
      <c r="S5082" s="217" t="str">
        <f t="shared" si="489"/>
        <v/>
      </c>
    </row>
    <row r="5083" spans="1:19" ht="15.75" hidden="1" thickBot="1" x14ac:dyDescent="0.3">
      <c r="A5083" s="256" t="s">
        <v>3008</v>
      </c>
      <c r="B5083" s="259" t="str">
        <f>INDEX(Orçamentária!A:B,MATCH(Composições!A5083,Orçamentária!A:A,0),2)</f>
        <v>Módulo campainha eletrônica – Linha Residencial</v>
      </c>
      <c r="C5083" s="40"/>
      <c r="D5083" s="25" t="s">
        <v>16</v>
      </c>
      <c r="E5083" s="26"/>
      <c r="F5083" s="41" t="s">
        <v>416</v>
      </c>
      <c r="G5083" s="27" t="str">
        <f t="shared" si="490"/>
        <v/>
      </c>
      <c r="H5083" s="28"/>
      <c r="I5083" s="29"/>
      <c r="J5083" s="152">
        <v>0</v>
      </c>
      <c r="L5083" s="218"/>
      <c r="M5083" s="41"/>
      <c r="N5083" s="27" t="str">
        <f t="shared" si="491"/>
        <v/>
      </c>
      <c r="O5083" s="28"/>
      <c r="P5083" s="36" t="str">
        <f t="shared" si="486"/>
        <v/>
      </c>
      <c r="Q5083" s="216" t="str">
        <f t="shared" si="487"/>
        <v/>
      </c>
      <c r="R5083" s="216" t="str">
        <f t="shared" si="488"/>
        <v/>
      </c>
      <c r="S5083" s="217" t="str">
        <f t="shared" si="489"/>
        <v/>
      </c>
    </row>
    <row r="5084" spans="1:19" ht="15.75" hidden="1" thickBot="1" x14ac:dyDescent="0.3">
      <c r="A5084" s="262"/>
      <c r="B5084" s="260"/>
      <c r="C5084" s="31"/>
      <c r="D5084" s="31"/>
      <c r="E5084" s="32"/>
      <c r="F5084" s="42" t="s">
        <v>416</v>
      </c>
      <c r="G5084" s="30" t="str">
        <f t="shared" si="490"/>
        <v/>
      </c>
      <c r="H5084" s="34"/>
      <c r="I5084" s="30"/>
      <c r="J5084" s="152">
        <v>0</v>
      </c>
      <c r="L5084" s="219"/>
      <c r="M5084" s="42"/>
      <c r="N5084" s="30" t="str">
        <f t="shared" si="491"/>
        <v/>
      </c>
      <c r="O5084" s="34"/>
      <c r="P5084" s="36" t="str">
        <f t="shared" si="486"/>
        <v/>
      </c>
      <c r="Q5084" s="216" t="str">
        <f t="shared" si="487"/>
        <v/>
      </c>
      <c r="R5084" s="216" t="str">
        <f t="shared" si="488"/>
        <v/>
      </c>
      <c r="S5084" s="217" t="str">
        <f t="shared" si="489"/>
        <v/>
      </c>
    </row>
    <row r="5085" spans="1:19" ht="15.75" hidden="1" thickBot="1" x14ac:dyDescent="0.3">
      <c r="A5085" s="262"/>
      <c r="B5085" s="260"/>
      <c r="C5085" s="35" t="s">
        <v>3115</v>
      </c>
      <c r="D5085" s="35" t="s">
        <v>16</v>
      </c>
      <c r="E5085" s="36">
        <v>1</v>
      </c>
      <c r="F5085" s="33" t="s">
        <v>416</v>
      </c>
      <c r="G5085" s="30" t="str">
        <f t="shared" si="490"/>
        <v/>
      </c>
      <c r="H5085" s="38">
        <f>SUM(G5085:G5087)</f>
        <v>17.346069</v>
      </c>
      <c r="I5085" s="39"/>
      <c r="J5085" s="152">
        <v>0</v>
      </c>
      <c r="L5085" s="215">
        <v>1</v>
      </c>
      <c r="M5085" s="33"/>
      <c r="N5085" s="30" t="str">
        <f t="shared" si="491"/>
        <v/>
      </c>
      <c r="O5085" s="38">
        <f>SUM(N5085:N5087)</f>
        <v>14.848235063999997</v>
      </c>
      <c r="P5085" s="36" t="str">
        <f t="shared" si="486"/>
        <v/>
      </c>
      <c r="Q5085" s="216" t="str">
        <f t="shared" si="487"/>
        <v/>
      </c>
      <c r="R5085" s="216" t="str">
        <f t="shared" si="488"/>
        <v/>
      </c>
      <c r="S5085" s="217">
        <f t="shared" si="489"/>
        <v>0.14400000000000013</v>
      </c>
    </row>
    <row r="5086" spans="1:19" ht="15.75" hidden="1" thickBot="1" x14ac:dyDescent="0.3">
      <c r="A5086" s="262"/>
      <c r="B5086" s="260"/>
      <c r="C5086" s="35" t="s">
        <v>1017</v>
      </c>
      <c r="D5086" s="35" t="s">
        <v>583</v>
      </c>
      <c r="E5086" s="36">
        <v>0.35099999999999998</v>
      </c>
      <c r="F5086" s="30">
        <v>21.584</v>
      </c>
      <c r="G5086" s="33">
        <f t="shared" si="490"/>
        <v>7.5759839999999992</v>
      </c>
      <c r="H5086" s="34"/>
      <c r="I5086" s="30"/>
      <c r="J5086" s="152">
        <v>0</v>
      </c>
      <c r="L5086" s="215">
        <v>0.35099999999999998</v>
      </c>
      <c r="M5086" s="30">
        <v>18.475904</v>
      </c>
      <c r="N5086" s="33">
        <f t="shared" si="491"/>
        <v>6.4850423039999994</v>
      </c>
      <c r="O5086" s="34"/>
      <c r="P5086" s="36" t="str">
        <f t="shared" si="486"/>
        <v/>
      </c>
      <c r="Q5086" s="216">
        <f t="shared" si="487"/>
        <v>0.14400000000000002</v>
      </c>
      <c r="R5086" s="216">
        <f t="shared" si="488"/>
        <v>0.14400000000000002</v>
      </c>
      <c r="S5086" s="217" t="str">
        <f t="shared" si="489"/>
        <v/>
      </c>
    </row>
    <row r="5087" spans="1:19" ht="15.75" hidden="1" thickBot="1" x14ac:dyDescent="0.3">
      <c r="A5087" s="262"/>
      <c r="B5087" s="260"/>
      <c r="C5087" s="35" t="s">
        <v>1018</v>
      </c>
      <c r="D5087" s="35" t="s">
        <v>583</v>
      </c>
      <c r="E5087" s="36">
        <v>0.35099999999999998</v>
      </c>
      <c r="F5087" s="30">
        <v>27.835000000000001</v>
      </c>
      <c r="G5087" s="33">
        <f t="shared" si="490"/>
        <v>9.7700849999999999</v>
      </c>
      <c r="H5087" s="34"/>
      <c r="I5087" s="30"/>
      <c r="J5087" s="152">
        <v>0</v>
      </c>
      <c r="L5087" s="215">
        <v>0.35099999999999998</v>
      </c>
      <c r="M5087" s="30">
        <v>23.82676</v>
      </c>
      <c r="N5087" s="33">
        <f t="shared" si="491"/>
        <v>8.3631927599999987</v>
      </c>
      <c r="O5087" s="34"/>
      <c r="P5087" s="36" t="str">
        <f t="shared" si="486"/>
        <v/>
      </c>
      <c r="Q5087" s="216">
        <f t="shared" si="487"/>
        <v>0.14400000000000002</v>
      </c>
      <c r="R5087" s="216">
        <f t="shared" si="488"/>
        <v>0.14400000000000013</v>
      </c>
      <c r="S5087" s="217" t="str">
        <f t="shared" si="489"/>
        <v/>
      </c>
    </row>
    <row r="5088" spans="1:19" ht="15.75" hidden="1" thickBot="1" x14ac:dyDescent="0.3">
      <c r="A5088" s="263"/>
      <c r="B5088" s="261"/>
      <c r="C5088" s="35"/>
      <c r="D5088" s="35"/>
      <c r="E5088" s="36"/>
      <c r="F5088" s="30" t="s">
        <v>416</v>
      </c>
      <c r="G5088" s="30" t="str">
        <f t="shared" si="490"/>
        <v/>
      </c>
      <c r="H5088" s="34"/>
      <c r="I5088" s="30"/>
      <c r="J5088" s="152">
        <v>0</v>
      </c>
      <c r="L5088" s="215"/>
      <c r="M5088" s="30"/>
      <c r="N5088" s="30" t="str">
        <f t="shared" si="491"/>
        <v/>
      </c>
      <c r="O5088" s="34"/>
      <c r="P5088" s="36" t="str">
        <f t="shared" si="486"/>
        <v/>
      </c>
      <c r="Q5088" s="216" t="str">
        <f t="shared" si="487"/>
        <v/>
      </c>
      <c r="R5088" s="216" t="str">
        <f t="shared" si="488"/>
        <v/>
      </c>
      <c r="S5088" s="217" t="str">
        <f t="shared" si="489"/>
        <v/>
      </c>
    </row>
    <row r="5089" spans="1:19" ht="15.75" hidden="1" thickBot="1" x14ac:dyDescent="0.3">
      <c r="A5089" s="256" t="s">
        <v>3009</v>
      </c>
      <c r="B5089" s="259" t="str">
        <f>INDEX(Orçamentária!A:B,MATCH(Composições!A5089,Orçamentária!A:A,0),2)</f>
        <v>Módulo pulsador – Linha Residencial</v>
      </c>
      <c r="C5089" s="40"/>
      <c r="D5089" s="25" t="s">
        <v>16</v>
      </c>
      <c r="E5089" s="26"/>
      <c r="F5089" s="41" t="s">
        <v>416</v>
      </c>
      <c r="G5089" s="27" t="str">
        <f t="shared" si="490"/>
        <v/>
      </c>
      <c r="H5089" s="28"/>
      <c r="I5089" s="29"/>
      <c r="J5089" s="152">
        <v>0</v>
      </c>
      <c r="L5089" s="218"/>
      <c r="M5089" s="41"/>
      <c r="N5089" s="27" t="str">
        <f t="shared" si="491"/>
        <v/>
      </c>
      <c r="O5089" s="28"/>
      <c r="P5089" s="36" t="str">
        <f t="shared" si="486"/>
        <v/>
      </c>
      <c r="Q5089" s="216" t="str">
        <f t="shared" si="487"/>
        <v/>
      </c>
      <c r="R5089" s="216" t="str">
        <f t="shared" si="488"/>
        <v/>
      </c>
      <c r="S5089" s="217" t="str">
        <f t="shared" si="489"/>
        <v/>
      </c>
    </row>
    <row r="5090" spans="1:19" ht="15.75" hidden="1" thickBot="1" x14ac:dyDescent="0.3">
      <c r="A5090" s="262"/>
      <c r="B5090" s="260"/>
      <c r="C5090" s="31"/>
      <c r="D5090" s="31"/>
      <c r="E5090" s="32"/>
      <c r="F5090" s="42" t="s">
        <v>416</v>
      </c>
      <c r="G5090" s="30" t="str">
        <f t="shared" si="490"/>
        <v/>
      </c>
      <c r="H5090" s="34"/>
      <c r="I5090" s="30"/>
      <c r="J5090" s="152">
        <v>0</v>
      </c>
      <c r="L5090" s="219"/>
      <c r="M5090" s="42"/>
      <c r="N5090" s="30" t="str">
        <f t="shared" si="491"/>
        <v/>
      </c>
      <c r="O5090" s="34"/>
      <c r="P5090" s="36" t="str">
        <f t="shared" si="486"/>
        <v/>
      </c>
      <c r="Q5090" s="216" t="str">
        <f t="shared" si="487"/>
        <v/>
      </c>
      <c r="R5090" s="216" t="str">
        <f t="shared" si="488"/>
        <v/>
      </c>
      <c r="S5090" s="217" t="str">
        <f t="shared" si="489"/>
        <v/>
      </c>
    </row>
    <row r="5091" spans="1:19" ht="15.75" hidden="1" thickBot="1" x14ac:dyDescent="0.3">
      <c r="A5091" s="262"/>
      <c r="B5091" s="260"/>
      <c r="C5091" s="35" t="s">
        <v>2938</v>
      </c>
      <c r="D5091" s="35" t="s">
        <v>213</v>
      </c>
      <c r="E5091" s="36">
        <v>1</v>
      </c>
      <c r="F5091" s="33">
        <v>6.3650000000000002</v>
      </c>
      <c r="G5091" s="30">
        <f t="shared" si="490"/>
        <v>6.3650000000000002</v>
      </c>
      <c r="H5091" s="38">
        <f>SUM(G5091:G5093)</f>
        <v>17.484275</v>
      </c>
      <c r="I5091" s="39"/>
      <c r="J5091" s="152">
        <v>0</v>
      </c>
      <c r="L5091" s="215">
        <v>1</v>
      </c>
      <c r="M5091" s="33">
        <v>5.4484400000000006</v>
      </c>
      <c r="N5091" s="30">
        <f t="shared" si="491"/>
        <v>5.4484400000000006</v>
      </c>
      <c r="O5091" s="38">
        <f>SUM(N5091:N5093)</f>
        <v>14.966539400000002</v>
      </c>
      <c r="P5091" s="36" t="str">
        <f t="shared" si="486"/>
        <v/>
      </c>
      <c r="Q5091" s="216">
        <f t="shared" si="487"/>
        <v>0.14399999999999991</v>
      </c>
      <c r="R5091" s="216">
        <f t="shared" si="488"/>
        <v>0.14399999999999991</v>
      </c>
      <c r="S5091" s="217">
        <f t="shared" si="489"/>
        <v>0.14399999999999991</v>
      </c>
    </row>
    <row r="5092" spans="1:19" ht="15.75" hidden="1" thickBot="1" x14ac:dyDescent="0.3">
      <c r="A5092" s="262"/>
      <c r="B5092" s="260"/>
      <c r="C5092" s="35" t="s">
        <v>1017</v>
      </c>
      <c r="D5092" s="35" t="s">
        <v>583</v>
      </c>
      <c r="E5092" s="36">
        <v>0.22500000000000001</v>
      </c>
      <c r="F5092" s="30">
        <v>21.584</v>
      </c>
      <c r="G5092" s="33">
        <f t="shared" si="490"/>
        <v>4.8563999999999998</v>
      </c>
      <c r="H5092" s="34"/>
      <c r="I5092" s="30"/>
      <c r="J5092" s="152">
        <v>0</v>
      </c>
      <c r="L5092" s="215">
        <v>0.22500000000000001</v>
      </c>
      <c r="M5092" s="30">
        <v>18.475904</v>
      </c>
      <c r="N5092" s="33">
        <f t="shared" si="491"/>
        <v>4.1570784000000005</v>
      </c>
      <c r="O5092" s="34"/>
      <c r="P5092" s="36" t="str">
        <f t="shared" si="486"/>
        <v/>
      </c>
      <c r="Q5092" s="216">
        <f t="shared" si="487"/>
        <v>0.14400000000000002</v>
      </c>
      <c r="R5092" s="216">
        <f t="shared" si="488"/>
        <v>0.14399999999999991</v>
      </c>
      <c r="S5092" s="217" t="str">
        <f t="shared" si="489"/>
        <v/>
      </c>
    </row>
    <row r="5093" spans="1:19" ht="15.75" hidden="1" thickBot="1" x14ac:dyDescent="0.3">
      <c r="A5093" s="262"/>
      <c r="B5093" s="260"/>
      <c r="C5093" s="35" t="s">
        <v>1018</v>
      </c>
      <c r="D5093" s="35" t="s">
        <v>583</v>
      </c>
      <c r="E5093" s="36">
        <v>0.22500000000000001</v>
      </c>
      <c r="F5093" s="30">
        <v>27.835000000000001</v>
      </c>
      <c r="G5093" s="33">
        <f t="shared" si="490"/>
        <v>6.2628750000000002</v>
      </c>
      <c r="H5093" s="34"/>
      <c r="I5093" s="30"/>
      <c r="J5093" s="152">
        <v>0</v>
      </c>
      <c r="L5093" s="215">
        <v>0.22500000000000001</v>
      </c>
      <c r="M5093" s="30">
        <v>23.82676</v>
      </c>
      <c r="N5093" s="33">
        <f t="shared" si="491"/>
        <v>5.361021</v>
      </c>
      <c r="O5093" s="34"/>
      <c r="P5093" s="36" t="str">
        <f t="shared" si="486"/>
        <v/>
      </c>
      <c r="Q5093" s="216">
        <f t="shared" si="487"/>
        <v>0.14400000000000002</v>
      </c>
      <c r="R5093" s="216">
        <f t="shared" si="488"/>
        <v>0.14400000000000002</v>
      </c>
      <c r="S5093" s="217" t="str">
        <f t="shared" si="489"/>
        <v/>
      </c>
    </row>
    <row r="5094" spans="1:19" ht="15.75" hidden="1" thickBot="1" x14ac:dyDescent="0.3">
      <c r="A5094" s="263"/>
      <c r="B5094" s="261"/>
      <c r="C5094" s="35"/>
      <c r="D5094" s="35"/>
      <c r="E5094" s="36"/>
      <c r="F5094" s="30" t="s">
        <v>416</v>
      </c>
      <c r="G5094" s="30" t="str">
        <f t="shared" si="490"/>
        <v/>
      </c>
      <c r="H5094" s="34"/>
      <c r="I5094" s="30"/>
      <c r="J5094" s="152">
        <v>0</v>
      </c>
      <c r="L5094" s="215"/>
      <c r="M5094" s="30"/>
      <c r="N5094" s="30" t="str">
        <f t="shared" si="491"/>
        <v/>
      </c>
      <c r="O5094" s="34"/>
      <c r="P5094" s="36" t="str">
        <f t="shared" si="486"/>
        <v/>
      </c>
      <c r="Q5094" s="216" t="str">
        <f t="shared" si="487"/>
        <v/>
      </c>
      <c r="R5094" s="216" t="str">
        <f t="shared" si="488"/>
        <v/>
      </c>
      <c r="S5094" s="217" t="str">
        <f t="shared" si="489"/>
        <v/>
      </c>
    </row>
    <row r="5095" spans="1:19" ht="15.75" hidden="1" thickBot="1" x14ac:dyDescent="0.3">
      <c r="A5095" s="256" t="s">
        <v>3010</v>
      </c>
      <c r="B5095" s="259" t="str">
        <f>INDEX(Orçamentária!A:B,MATCH(Composições!A5095,Orçamentária!A:A,0),2)</f>
        <v>Luminária redonda de sobrepor (plafond) – Linha Residencial</v>
      </c>
      <c r="C5095" s="40"/>
      <c r="D5095" s="25" t="s">
        <v>16</v>
      </c>
      <c r="E5095" s="26"/>
      <c r="F5095" s="41" t="s">
        <v>416</v>
      </c>
      <c r="G5095" s="27" t="str">
        <f t="shared" si="490"/>
        <v/>
      </c>
      <c r="H5095" s="28"/>
      <c r="I5095" s="29"/>
      <c r="J5095" s="152">
        <v>0</v>
      </c>
      <c r="L5095" s="218"/>
      <c r="M5095" s="41"/>
      <c r="N5095" s="27" t="str">
        <f t="shared" si="491"/>
        <v/>
      </c>
      <c r="O5095" s="28"/>
      <c r="P5095" s="36" t="str">
        <f t="shared" si="486"/>
        <v/>
      </c>
      <c r="Q5095" s="216" t="str">
        <f t="shared" si="487"/>
        <v/>
      </c>
      <c r="R5095" s="216" t="str">
        <f t="shared" si="488"/>
        <v/>
      </c>
      <c r="S5095" s="217" t="str">
        <f t="shared" si="489"/>
        <v/>
      </c>
    </row>
    <row r="5096" spans="1:19" ht="15.75" hidden="1" thickBot="1" x14ac:dyDescent="0.3">
      <c r="A5096" s="262"/>
      <c r="B5096" s="260"/>
      <c r="C5096" s="31"/>
      <c r="D5096" s="31"/>
      <c r="E5096" s="32"/>
      <c r="F5096" s="42" t="s">
        <v>416</v>
      </c>
      <c r="G5096" s="30" t="str">
        <f t="shared" si="490"/>
        <v/>
      </c>
      <c r="H5096" s="34"/>
      <c r="I5096" s="30"/>
      <c r="J5096" s="152">
        <v>0</v>
      </c>
      <c r="L5096" s="219"/>
      <c r="M5096" s="42"/>
      <c r="N5096" s="30" t="str">
        <f t="shared" si="491"/>
        <v/>
      </c>
      <c r="O5096" s="34"/>
      <c r="P5096" s="36" t="str">
        <f t="shared" si="486"/>
        <v/>
      </c>
      <c r="Q5096" s="216" t="str">
        <f t="shared" si="487"/>
        <v/>
      </c>
      <c r="R5096" s="216" t="str">
        <f t="shared" si="488"/>
        <v/>
      </c>
      <c r="S5096" s="217" t="str">
        <f t="shared" si="489"/>
        <v/>
      </c>
    </row>
    <row r="5097" spans="1:19" ht="39" hidden="1" thickBot="1" x14ac:dyDescent="0.3">
      <c r="A5097" s="262"/>
      <c r="B5097" s="260"/>
      <c r="C5097" s="35" t="s">
        <v>2933</v>
      </c>
      <c r="D5097" s="35" t="s">
        <v>213</v>
      </c>
      <c r="E5097" s="36">
        <v>1</v>
      </c>
      <c r="F5097" s="33">
        <v>70.708500000000001</v>
      </c>
      <c r="G5097" s="33">
        <f t="shared" si="490"/>
        <v>70.708500000000001</v>
      </c>
      <c r="H5097" s="38">
        <f>SUM(G5097:G5100)</f>
        <v>124.6169872</v>
      </c>
      <c r="I5097" s="39"/>
      <c r="J5097" s="152">
        <v>0</v>
      </c>
      <c r="L5097" s="215">
        <v>1</v>
      </c>
      <c r="M5097" s="33">
        <v>60.526476000000002</v>
      </c>
      <c r="N5097" s="33">
        <f t="shared" si="491"/>
        <v>60.526476000000002</v>
      </c>
      <c r="O5097" s="38">
        <f>SUM(N5097:N5100)</f>
        <v>106.67214104320001</v>
      </c>
      <c r="P5097" s="36" t="str">
        <f t="shared" si="486"/>
        <v/>
      </c>
      <c r="Q5097" s="216">
        <f t="shared" si="487"/>
        <v>0.14400000000000002</v>
      </c>
      <c r="R5097" s="216">
        <f t="shared" si="488"/>
        <v>0.14400000000000002</v>
      </c>
      <c r="S5097" s="217">
        <f t="shared" si="489"/>
        <v>0.14399999999999991</v>
      </c>
    </row>
    <row r="5098" spans="1:19" ht="26.25" hidden="1" thickBot="1" x14ac:dyDescent="0.3">
      <c r="A5098" s="262"/>
      <c r="B5098" s="260"/>
      <c r="C5098" s="35" t="s">
        <v>2932</v>
      </c>
      <c r="D5098" s="35" t="s">
        <v>213</v>
      </c>
      <c r="E5098" s="36">
        <v>2</v>
      </c>
      <c r="F5098" s="33">
        <v>14.212</v>
      </c>
      <c r="G5098" s="33">
        <f t="shared" si="490"/>
        <v>28.423999999999999</v>
      </c>
      <c r="H5098" s="44"/>
      <c r="I5098" s="45"/>
      <c r="J5098" s="152">
        <v>0</v>
      </c>
      <c r="L5098" s="215">
        <v>2</v>
      </c>
      <c r="M5098" s="33">
        <v>12.165471999999999</v>
      </c>
      <c r="N5098" s="33">
        <f t="shared" si="491"/>
        <v>24.330943999999999</v>
      </c>
      <c r="O5098" s="44"/>
      <c r="P5098" s="36" t="str">
        <f t="shared" si="486"/>
        <v/>
      </c>
      <c r="Q5098" s="216">
        <f t="shared" si="487"/>
        <v>0.14400000000000002</v>
      </c>
      <c r="R5098" s="216">
        <f t="shared" si="488"/>
        <v>0.14400000000000002</v>
      </c>
      <c r="S5098" s="217" t="str">
        <f t="shared" si="489"/>
        <v/>
      </c>
    </row>
    <row r="5099" spans="1:19" ht="15.75" hidden="1" thickBot="1" x14ac:dyDescent="0.3">
      <c r="A5099" s="262"/>
      <c r="B5099" s="260"/>
      <c r="C5099" s="35" t="s">
        <v>1017</v>
      </c>
      <c r="D5099" s="35" t="s">
        <v>583</v>
      </c>
      <c r="E5099" s="36">
        <v>0.2883</v>
      </c>
      <c r="F5099" s="30">
        <v>21.584</v>
      </c>
      <c r="G5099" s="30">
        <f t="shared" si="490"/>
        <v>6.2226672000000001</v>
      </c>
      <c r="H5099" s="34"/>
      <c r="I5099" s="30"/>
      <c r="J5099" s="152">
        <v>0</v>
      </c>
      <c r="L5099" s="215">
        <v>0.2883</v>
      </c>
      <c r="M5099" s="30">
        <v>18.475904</v>
      </c>
      <c r="N5099" s="30">
        <f t="shared" si="491"/>
        <v>5.3266031232</v>
      </c>
      <c r="O5099" s="34"/>
      <c r="P5099" s="36" t="str">
        <f t="shared" si="486"/>
        <v/>
      </c>
      <c r="Q5099" s="216">
        <f t="shared" si="487"/>
        <v>0.14400000000000002</v>
      </c>
      <c r="R5099" s="216">
        <f t="shared" si="488"/>
        <v>0.14400000000000002</v>
      </c>
      <c r="S5099" s="217" t="str">
        <f t="shared" si="489"/>
        <v/>
      </c>
    </row>
    <row r="5100" spans="1:19" ht="15.75" hidden="1" thickBot="1" x14ac:dyDescent="0.3">
      <c r="A5100" s="262"/>
      <c r="B5100" s="260"/>
      <c r="C5100" s="35" t="s">
        <v>1018</v>
      </c>
      <c r="D5100" s="35" t="s">
        <v>583</v>
      </c>
      <c r="E5100" s="36">
        <v>0.69199999999999995</v>
      </c>
      <c r="F5100" s="30">
        <v>27.835000000000001</v>
      </c>
      <c r="G5100" s="30">
        <f t="shared" si="490"/>
        <v>19.26182</v>
      </c>
      <c r="H5100" s="34"/>
      <c r="I5100" s="30"/>
      <c r="J5100" s="152">
        <v>0</v>
      </c>
      <c r="L5100" s="215">
        <v>0.69199999999999995</v>
      </c>
      <c r="M5100" s="30">
        <v>23.82676</v>
      </c>
      <c r="N5100" s="30">
        <f t="shared" si="491"/>
        <v>16.488117920000001</v>
      </c>
      <c r="O5100" s="34"/>
      <c r="P5100" s="36" t="str">
        <f t="shared" si="486"/>
        <v/>
      </c>
      <c r="Q5100" s="216">
        <f t="shared" si="487"/>
        <v>0.14400000000000002</v>
      </c>
      <c r="R5100" s="216">
        <f t="shared" si="488"/>
        <v>0.14400000000000002</v>
      </c>
      <c r="S5100" s="217" t="str">
        <f t="shared" si="489"/>
        <v/>
      </c>
    </row>
    <row r="5101" spans="1:19" ht="15.75" hidden="1" thickBot="1" x14ac:dyDescent="0.3">
      <c r="A5101" s="263"/>
      <c r="B5101" s="261"/>
      <c r="C5101" s="35"/>
      <c r="D5101" s="35"/>
      <c r="E5101" s="36"/>
      <c r="F5101" s="30" t="s">
        <v>416</v>
      </c>
      <c r="G5101" s="30" t="str">
        <f t="shared" si="490"/>
        <v/>
      </c>
      <c r="H5101" s="34"/>
      <c r="I5101" s="30"/>
      <c r="J5101" s="152">
        <v>0</v>
      </c>
      <c r="L5101" s="215"/>
      <c r="M5101" s="30"/>
      <c r="N5101" s="30" t="str">
        <f t="shared" si="491"/>
        <v/>
      </c>
      <c r="O5101" s="34"/>
      <c r="P5101" s="36" t="str">
        <f t="shared" si="486"/>
        <v/>
      </c>
      <c r="Q5101" s="216" t="str">
        <f t="shared" si="487"/>
        <v/>
      </c>
      <c r="R5101" s="216" t="str">
        <f t="shared" si="488"/>
        <v/>
      </c>
      <c r="S5101" s="217" t="str">
        <f t="shared" si="489"/>
        <v/>
      </c>
    </row>
    <row r="5102" spans="1:19" ht="15.75" hidden="1" thickBot="1" x14ac:dyDescent="0.3">
      <c r="A5102" s="256" t="s">
        <v>3116</v>
      </c>
      <c r="B5102" s="259" t="str">
        <f>INDEX(Orçamentária!A:B,MATCH(Composições!A5102,Orçamentária!A:A,0),2)</f>
        <v>Bandeira de porta, em madeira e MDF</v>
      </c>
      <c r="C5102" s="40"/>
      <c r="D5102" s="25" t="s">
        <v>70</v>
      </c>
      <c r="E5102" s="26"/>
      <c r="F5102" s="41" t="s">
        <v>416</v>
      </c>
      <c r="G5102" s="27" t="str">
        <f t="shared" si="490"/>
        <v/>
      </c>
      <c r="H5102" s="28"/>
      <c r="I5102" s="29"/>
      <c r="J5102" s="152">
        <v>0</v>
      </c>
      <c r="L5102" s="218"/>
      <c r="M5102" s="41"/>
      <c r="N5102" s="27" t="str">
        <f t="shared" si="491"/>
        <v/>
      </c>
      <c r="O5102" s="28"/>
      <c r="P5102" s="36" t="str">
        <f t="shared" si="486"/>
        <v/>
      </c>
      <c r="Q5102" s="216" t="str">
        <f t="shared" si="487"/>
        <v/>
      </c>
      <c r="R5102" s="216" t="str">
        <f t="shared" si="488"/>
        <v/>
      </c>
      <c r="S5102" s="217" t="str">
        <f t="shared" si="489"/>
        <v/>
      </c>
    </row>
    <row r="5103" spans="1:19" ht="15.75" hidden="1" thickBot="1" x14ac:dyDescent="0.3">
      <c r="A5103" s="262"/>
      <c r="B5103" s="260"/>
      <c r="C5103" s="31"/>
      <c r="D5103" s="31"/>
      <c r="E5103" s="32"/>
      <c r="F5103" s="42" t="s">
        <v>416</v>
      </c>
      <c r="G5103" s="30" t="str">
        <f t="shared" si="490"/>
        <v/>
      </c>
      <c r="H5103" s="34"/>
      <c r="I5103" s="30"/>
      <c r="J5103" s="152">
        <v>0</v>
      </c>
      <c r="L5103" s="219"/>
      <c r="M5103" s="42"/>
      <c r="N5103" s="30" t="str">
        <f t="shared" si="491"/>
        <v/>
      </c>
      <c r="O5103" s="34"/>
      <c r="P5103" s="36" t="str">
        <f t="shared" si="486"/>
        <v/>
      </c>
      <c r="Q5103" s="216" t="str">
        <f t="shared" si="487"/>
        <v/>
      </c>
      <c r="R5103" s="216" t="str">
        <f t="shared" si="488"/>
        <v/>
      </c>
      <c r="S5103" s="217" t="str">
        <f t="shared" si="489"/>
        <v/>
      </c>
    </row>
    <row r="5104" spans="1:19" ht="51.75" hidden="1" thickBot="1" x14ac:dyDescent="0.3">
      <c r="A5104" s="262"/>
      <c r="B5104" s="260"/>
      <c r="C5104" s="35" t="s">
        <v>8331</v>
      </c>
      <c r="D5104" s="35" t="s">
        <v>213</v>
      </c>
      <c r="E5104" s="36">
        <f>1/(0.8*2.1)</f>
        <v>0.59523809523809523</v>
      </c>
      <c r="F5104" s="33">
        <v>289.12299999999999</v>
      </c>
      <c r="G5104" s="33">
        <f t="shared" si="490"/>
        <v>172.09702380952379</v>
      </c>
      <c r="H5104" s="38">
        <f>SUM(G5104:G5107)</f>
        <v>223.08651155952376</v>
      </c>
      <c r="I5104" s="39"/>
      <c r="J5104" s="152">
        <v>0</v>
      </c>
      <c r="L5104" s="215">
        <v>0.59523809523809523</v>
      </c>
      <c r="M5104" s="33">
        <v>247.48928799999999</v>
      </c>
      <c r="N5104" s="33">
        <f t="shared" si="491"/>
        <v>147.31505238095238</v>
      </c>
      <c r="O5104" s="38">
        <f>SUM(N5104:N5107)</f>
        <v>190.96205389495239</v>
      </c>
      <c r="P5104" s="36" t="str">
        <f t="shared" si="486"/>
        <v/>
      </c>
      <c r="Q5104" s="216">
        <f t="shared" si="487"/>
        <v>0.14400000000000002</v>
      </c>
      <c r="R5104" s="216">
        <f t="shared" si="488"/>
        <v>0.14399999999999991</v>
      </c>
      <c r="S5104" s="217">
        <f t="shared" si="489"/>
        <v>0.14399999999999979</v>
      </c>
    </row>
    <row r="5105" spans="1:19" ht="15.75" hidden="1" thickBot="1" x14ac:dyDescent="0.3">
      <c r="A5105" s="262"/>
      <c r="B5105" s="260"/>
      <c r="C5105" s="35" t="s">
        <v>2924</v>
      </c>
      <c r="D5105" s="35" t="s">
        <v>385</v>
      </c>
      <c r="E5105" s="36">
        <f>1/0.8</f>
        <v>1.25</v>
      </c>
      <c r="F5105" s="30">
        <v>19.683999999999997</v>
      </c>
      <c r="G5105" s="33">
        <f t="shared" si="490"/>
        <v>24.604999999999997</v>
      </c>
      <c r="H5105" s="34"/>
      <c r="I5105" s="30"/>
      <c r="J5105" s="152">
        <v>0</v>
      </c>
      <c r="L5105" s="215">
        <v>1.25</v>
      </c>
      <c r="M5105" s="30">
        <v>16.849504</v>
      </c>
      <c r="N5105" s="33">
        <f t="shared" si="491"/>
        <v>21.061879999999999</v>
      </c>
      <c r="O5105" s="34"/>
      <c r="P5105" s="36" t="str">
        <f t="shared" si="486"/>
        <v/>
      </c>
      <c r="Q5105" s="216">
        <f t="shared" si="487"/>
        <v>0.14399999999999991</v>
      </c>
      <c r="R5105" s="216">
        <f t="shared" si="488"/>
        <v>0.14399999999999991</v>
      </c>
      <c r="S5105" s="217" t="str">
        <f t="shared" si="489"/>
        <v/>
      </c>
    </row>
    <row r="5106" spans="1:19" ht="15.75" hidden="1" thickBot="1" x14ac:dyDescent="0.3">
      <c r="A5106" s="262"/>
      <c r="B5106" s="260"/>
      <c r="C5106" s="35" t="s">
        <v>582</v>
      </c>
      <c r="D5106" s="35" t="s">
        <v>583</v>
      </c>
      <c r="E5106" s="36">
        <f>ROUND(1.546*0.8/(2.1*0.8),4)</f>
        <v>0.73619999999999997</v>
      </c>
      <c r="F5106" s="30">
        <v>25.725999999999996</v>
      </c>
      <c r="G5106" s="33">
        <f t="shared" si="490"/>
        <v>18.939481199999996</v>
      </c>
      <c r="H5106" s="34"/>
      <c r="I5106" s="30"/>
      <c r="J5106" s="152">
        <v>0</v>
      </c>
      <c r="L5106" s="215">
        <v>0.73619999999999997</v>
      </c>
      <c r="M5106" s="30">
        <v>22.021455999999997</v>
      </c>
      <c r="N5106" s="33">
        <f t="shared" si="491"/>
        <v>16.212195907199998</v>
      </c>
      <c r="O5106" s="34"/>
      <c r="P5106" s="36" t="str">
        <f t="shared" si="486"/>
        <v/>
      </c>
      <c r="Q5106" s="216">
        <f t="shared" si="487"/>
        <v>0.14400000000000002</v>
      </c>
      <c r="R5106" s="216">
        <f t="shared" si="488"/>
        <v>0.14399999999999991</v>
      </c>
      <c r="S5106" s="217" t="str">
        <f t="shared" si="489"/>
        <v/>
      </c>
    </row>
    <row r="5107" spans="1:19" ht="15.75" hidden="1" thickBot="1" x14ac:dyDescent="0.3">
      <c r="A5107" s="262"/>
      <c r="B5107" s="260"/>
      <c r="C5107" s="35" t="s">
        <v>584</v>
      </c>
      <c r="D5107" s="35" t="s">
        <v>583</v>
      </c>
      <c r="E5107" s="36">
        <f>ROUND(0.773*0.8/(2.1*0.8),4)</f>
        <v>0.36809999999999998</v>
      </c>
      <c r="F5107" s="30">
        <v>20.225499999999997</v>
      </c>
      <c r="G5107" s="33">
        <f t="shared" si="490"/>
        <v>7.4450065499999987</v>
      </c>
      <c r="H5107" s="34"/>
      <c r="I5107" s="30"/>
      <c r="J5107" s="152">
        <v>0</v>
      </c>
      <c r="L5107" s="215">
        <v>0.36809999999999998</v>
      </c>
      <c r="M5107" s="30">
        <v>17.313027999999996</v>
      </c>
      <c r="N5107" s="33">
        <f t="shared" si="491"/>
        <v>6.3729256067999982</v>
      </c>
      <c r="O5107" s="34"/>
      <c r="P5107" s="36" t="str">
        <f t="shared" si="486"/>
        <v/>
      </c>
      <c r="Q5107" s="216">
        <f t="shared" si="487"/>
        <v>0.14400000000000013</v>
      </c>
      <c r="R5107" s="216">
        <f t="shared" si="488"/>
        <v>0.14400000000000013</v>
      </c>
      <c r="S5107" s="217" t="str">
        <f t="shared" si="489"/>
        <v/>
      </c>
    </row>
    <row r="5108" spans="1:19" ht="15.75" hidden="1" thickBot="1" x14ac:dyDescent="0.3">
      <c r="A5108" s="262"/>
      <c r="B5108" s="260"/>
      <c r="C5108" s="35"/>
      <c r="D5108" s="46"/>
      <c r="E5108" s="36"/>
      <c r="F5108" s="33" t="s">
        <v>416</v>
      </c>
      <c r="G5108" s="33" t="str">
        <f t="shared" si="490"/>
        <v/>
      </c>
      <c r="H5108" s="34"/>
      <c r="I5108" s="30"/>
      <c r="J5108" s="152">
        <v>0</v>
      </c>
      <c r="L5108" s="215"/>
      <c r="M5108" s="33"/>
      <c r="N5108" s="33" t="str">
        <f t="shared" si="491"/>
        <v/>
      </c>
      <c r="O5108" s="34"/>
      <c r="P5108" s="36" t="str">
        <f t="shared" si="486"/>
        <v/>
      </c>
      <c r="Q5108" s="216" t="str">
        <f t="shared" si="487"/>
        <v/>
      </c>
      <c r="R5108" s="216" t="str">
        <f t="shared" si="488"/>
        <v/>
      </c>
      <c r="S5108" s="217" t="str">
        <f t="shared" si="489"/>
        <v/>
      </c>
    </row>
    <row r="5109" spans="1:19" ht="15.75" hidden="1" thickBot="1" x14ac:dyDescent="0.3">
      <c r="A5109" s="256" t="s">
        <v>3118</v>
      </c>
      <c r="B5109" s="259" t="str">
        <f>INDEX(Orçamentária!A:B,MATCH(Composições!A5109,Orçamentária!A:A,0),2)</f>
        <v>Bandeira de porta, em madeira pintada</v>
      </c>
      <c r="C5109" s="40"/>
      <c r="D5109" s="25" t="s">
        <v>70</v>
      </c>
      <c r="E5109" s="26"/>
      <c r="F5109" s="41" t="s">
        <v>416</v>
      </c>
      <c r="G5109" s="27" t="str">
        <f t="shared" si="490"/>
        <v/>
      </c>
      <c r="H5109" s="28"/>
      <c r="I5109" s="29"/>
      <c r="J5109" s="152">
        <v>0</v>
      </c>
      <c r="L5109" s="218"/>
      <c r="M5109" s="41"/>
      <c r="N5109" s="27" t="str">
        <f t="shared" si="491"/>
        <v/>
      </c>
      <c r="O5109" s="28"/>
      <c r="P5109" s="36" t="str">
        <f t="shared" si="486"/>
        <v/>
      </c>
      <c r="Q5109" s="216" t="str">
        <f t="shared" si="487"/>
        <v/>
      </c>
      <c r="R5109" s="216" t="str">
        <f t="shared" si="488"/>
        <v/>
      </c>
      <c r="S5109" s="217" t="str">
        <f t="shared" si="489"/>
        <v/>
      </c>
    </row>
    <row r="5110" spans="1:19" ht="15.75" hidden="1" thickBot="1" x14ac:dyDescent="0.3">
      <c r="A5110" s="262"/>
      <c r="B5110" s="260"/>
      <c r="C5110" s="31"/>
      <c r="D5110" s="31"/>
      <c r="E5110" s="32"/>
      <c r="F5110" s="42" t="s">
        <v>416</v>
      </c>
      <c r="G5110" s="30" t="str">
        <f t="shared" si="490"/>
        <v/>
      </c>
      <c r="H5110" s="34"/>
      <c r="I5110" s="30"/>
      <c r="J5110" s="152">
        <v>0</v>
      </c>
      <c r="L5110" s="219"/>
      <c r="M5110" s="42"/>
      <c r="N5110" s="30" t="str">
        <f t="shared" si="491"/>
        <v/>
      </c>
      <c r="O5110" s="34"/>
      <c r="P5110" s="36" t="str">
        <f t="shared" si="486"/>
        <v/>
      </c>
      <c r="Q5110" s="216" t="str">
        <f t="shared" si="487"/>
        <v/>
      </c>
      <c r="R5110" s="216" t="str">
        <f t="shared" si="488"/>
        <v/>
      </c>
      <c r="S5110" s="217" t="str">
        <f t="shared" si="489"/>
        <v/>
      </c>
    </row>
    <row r="5111" spans="1:19" ht="51.75" hidden="1" thickBot="1" x14ac:dyDescent="0.3">
      <c r="A5111" s="262"/>
      <c r="B5111" s="260"/>
      <c r="C5111" s="35" t="s">
        <v>8332</v>
      </c>
      <c r="D5111" s="35" t="s">
        <v>213</v>
      </c>
      <c r="E5111" s="36">
        <f>1/(0.8*2.1)</f>
        <v>0.59523809523809523</v>
      </c>
      <c r="F5111" s="33">
        <v>282.4255</v>
      </c>
      <c r="G5111" s="33">
        <f t="shared" si="490"/>
        <v>168.11041666666665</v>
      </c>
      <c r="H5111" s="38">
        <f>SUM(G5111:G5116)</f>
        <v>239.38078181666663</v>
      </c>
      <c r="I5111" s="39"/>
      <c r="J5111" s="152">
        <v>0</v>
      </c>
      <c r="L5111" s="215">
        <v>0.59523809523809523</v>
      </c>
      <c r="M5111" s="33">
        <v>241.75622799999999</v>
      </c>
      <c r="N5111" s="33">
        <f t="shared" si="491"/>
        <v>143.90251666666666</v>
      </c>
      <c r="O5111" s="38">
        <f>SUM(N5111:N5116)</f>
        <v>204.90994923506668</v>
      </c>
      <c r="P5111" s="36" t="str">
        <f t="shared" si="486"/>
        <v/>
      </c>
      <c r="Q5111" s="216">
        <f t="shared" si="487"/>
        <v>0.14400000000000002</v>
      </c>
      <c r="R5111" s="216">
        <f t="shared" si="488"/>
        <v>0.14400000000000002</v>
      </c>
      <c r="S5111" s="217">
        <f t="shared" si="489"/>
        <v>0.14399999999999979</v>
      </c>
    </row>
    <row r="5112" spans="1:19" ht="15.75" hidden="1" thickBot="1" x14ac:dyDescent="0.3">
      <c r="A5112" s="262"/>
      <c r="B5112" s="260"/>
      <c r="C5112" s="35" t="s">
        <v>2924</v>
      </c>
      <c r="D5112" s="35" t="s">
        <v>385</v>
      </c>
      <c r="E5112" s="36">
        <f>1/0.8</f>
        <v>1.25</v>
      </c>
      <c r="F5112" s="30">
        <v>19.683999999999997</v>
      </c>
      <c r="G5112" s="33">
        <f t="shared" si="490"/>
        <v>24.604999999999997</v>
      </c>
      <c r="H5112" s="34"/>
      <c r="I5112" s="30"/>
      <c r="J5112" s="152">
        <v>0</v>
      </c>
      <c r="L5112" s="215">
        <v>1.25</v>
      </c>
      <c r="M5112" s="30">
        <v>16.849504</v>
      </c>
      <c r="N5112" s="33">
        <f t="shared" si="491"/>
        <v>21.061879999999999</v>
      </c>
      <c r="O5112" s="34"/>
      <c r="P5112" s="36" t="str">
        <f t="shared" si="486"/>
        <v/>
      </c>
      <c r="Q5112" s="216">
        <f t="shared" si="487"/>
        <v>0.14399999999999991</v>
      </c>
      <c r="R5112" s="216">
        <f t="shared" si="488"/>
        <v>0.14399999999999991</v>
      </c>
      <c r="S5112" s="217" t="str">
        <f t="shared" si="489"/>
        <v/>
      </c>
    </row>
    <row r="5113" spans="1:19" ht="15.75" hidden="1" thickBot="1" x14ac:dyDescent="0.3">
      <c r="A5113" s="262"/>
      <c r="B5113" s="260"/>
      <c r="C5113" s="35" t="s">
        <v>582</v>
      </c>
      <c r="D5113" s="35" t="s">
        <v>583</v>
      </c>
      <c r="E5113" s="36">
        <f>ROUND(1.546*0.8/(0.8*2.1),4)</f>
        <v>0.73619999999999997</v>
      </c>
      <c r="F5113" s="30">
        <v>25.725999999999996</v>
      </c>
      <c r="G5113" s="33">
        <f t="shared" si="490"/>
        <v>18.939481199999996</v>
      </c>
      <c r="H5113" s="34"/>
      <c r="I5113" s="30"/>
      <c r="J5113" s="152">
        <v>0</v>
      </c>
      <c r="L5113" s="215">
        <v>0.73619999999999997</v>
      </c>
      <c r="M5113" s="30">
        <v>22.021455999999997</v>
      </c>
      <c r="N5113" s="33">
        <f t="shared" si="491"/>
        <v>16.212195907199998</v>
      </c>
      <c r="O5113" s="34"/>
      <c r="P5113" s="36" t="str">
        <f t="shared" si="486"/>
        <v/>
      </c>
      <c r="Q5113" s="216">
        <f t="shared" si="487"/>
        <v>0.14400000000000002</v>
      </c>
      <c r="R5113" s="216">
        <f t="shared" si="488"/>
        <v>0.14399999999999991</v>
      </c>
      <c r="S5113" s="217" t="str">
        <f t="shared" si="489"/>
        <v/>
      </c>
    </row>
    <row r="5114" spans="1:19" ht="15.75" hidden="1" thickBot="1" x14ac:dyDescent="0.3">
      <c r="A5114" s="262"/>
      <c r="B5114" s="260"/>
      <c r="C5114" s="35" t="s">
        <v>584</v>
      </c>
      <c r="D5114" s="35" t="s">
        <v>583</v>
      </c>
      <c r="E5114" s="36">
        <f>ROUND(0.773*0.8/(0.8*2.1),4)</f>
        <v>0.36809999999999998</v>
      </c>
      <c r="F5114" s="30">
        <v>20.225499999999997</v>
      </c>
      <c r="G5114" s="33">
        <f t="shared" si="490"/>
        <v>7.4450065499999987</v>
      </c>
      <c r="H5114" s="34"/>
      <c r="I5114" s="30"/>
      <c r="J5114" s="152">
        <v>0</v>
      </c>
      <c r="L5114" s="215">
        <v>0.36809999999999998</v>
      </c>
      <c r="M5114" s="30">
        <v>17.313027999999996</v>
      </c>
      <c r="N5114" s="33">
        <f t="shared" si="491"/>
        <v>6.3729256067999982</v>
      </c>
      <c r="O5114" s="34"/>
      <c r="P5114" s="36" t="str">
        <f t="shared" si="486"/>
        <v/>
      </c>
      <c r="Q5114" s="216">
        <f t="shared" si="487"/>
        <v>0.14400000000000013</v>
      </c>
      <c r="R5114" s="216">
        <f t="shared" si="488"/>
        <v>0.14400000000000013</v>
      </c>
      <c r="S5114" s="217" t="str">
        <f t="shared" si="489"/>
        <v/>
      </c>
    </row>
    <row r="5115" spans="1:19" ht="15.75" hidden="1" thickBot="1" x14ac:dyDescent="0.3">
      <c r="A5115" s="262"/>
      <c r="B5115" s="260"/>
      <c r="C5115" s="35" t="s">
        <v>143</v>
      </c>
      <c r="D5115" s="49" t="s">
        <v>75</v>
      </c>
      <c r="E5115" s="36">
        <v>0.108</v>
      </c>
      <c r="F5115" s="33" t="s">
        <v>416</v>
      </c>
      <c r="G5115" s="30" t="str">
        <f t="shared" si="490"/>
        <v/>
      </c>
      <c r="H5115" s="34"/>
      <c r="I5115" s="30"/>
      <c r="J5115" s="152">
        <v>0</v>
      </c>
      <c r="L5115" s="215">
        <v>0.108</v>
      </c>
      <c r="M5115" s="33"/>
      <c r="N5115" s="30" t="str">
        <f t="shared" si="491"/>
        <v/>
      </c>
      <c r="O5115" s="34"/>
      <c r="P5115" s="36" t="str">
        <f t="shared" si="486"/>
        <v/>
      </c>
      <c r="Q5115" s="216" t="str">
        <f t="shared" si="487"/>
        <v/>
      </c>
      <c r="R5115" s="216" t="str">
        <f t="shared" si="488"/>
        <v/>
      </c>
      <c r="S5115" s="217" t="str">
        <f t="shared" si="489"/>
        <v/>
      </c>
    </row>
    <row r="5116" spans="1:19" ht="15.75" hidden="1" thickBot="1" x14ac:dyDescent="0.3">
      <c r="A5116" s="262"/>
      <c r="B5116" s="260"/>
      <c r="C5116" s="35" t="s">
        <v>956</v>
      </c>
      <c r="D5116" s="35" t="s">
        <v>583</v>
      </c>
      <c r="E5116" s="36">
        <v>0.70760000000000001</v>
      </c>
      <c r="F5116" s="30">
        <v>28.6615</v>
      </c>
      <c r="G5116" s="30">
        <f t="shared" si="490"/>
        <v>20.280877400000001</v>
      </c>
      <c r="H5116" s="34"/>
      <c r="I5116" s="30"/>
      <c r="J5116" s="152">
        <v>0</v>
      </c>
      <c r="L5116" s="215">
        <v>0.70760000000000001</v>
      </c>
      <c r="M5116" s="30">
        <v>24.534244000000001</v>
      </c>
      <c r="N5116" s="30">
        <f t="shared" si="491"/>
        <v>17.360431054399999</v>
      </c>
      <c r="O5116" s="34"/>
      <c r="P5116" s="36" t="str">
        <f t="shared" si="486"/>
        <v/>
      </c>
      <c r="Q5116" s="216">
        <f t="shared" si="487"/>
        <v>0.14400000000000002</v>
      </c>
      <c r="R5116" s="216">
        <f t="shared" si="488"/>
        <v>0.14400000000000013</v>
      </c>
      <c r="S5116" s="217" t="str">
        <f t="shared" si="489"/>
        <v/>
      </c>
    </row>
    <row r="5117" spans="1:19" ht="15.75" hidden="1" thickBot="1" x14ac:dyDescent="0.3">
      <c r="A5117" s="262"/>
      <c r="B5117" s="260"/>
      <c r="C5117" s="35"/>
      <c r="D5117" s="35"/>
      <c r="E5117" s="36"/>
      <c r="F5117" s="30" t="s">
        <v>416</v>
      </c>
      <c r="G5117" s="30"/>
      <c r="H5117" s="34"/>
      <c r="I5117" s="30"/>
      <c r="J5117" s="152">
        <v>0</v>
      </c>
      <c r="L5117" s="215"/>
      <c r="M5117" s="30"/>
      <c r="N5117" s="30"/>
      <c r="O5117" s="34"/>
      <c r="P5117" s="36" t="str">
        <f t="shared" si="486"/>
        <v/>
      </c>
      <c r="Q5117" s="216" t="str">
        <f t="shared" si="487"/>
        <v/>
      </c>
      <c r="R5117" s="216" t="str">
        <f t="shared" si="488"/>
        <v/>
      </c>
      <c r="S5117" s="217" t="str">
        <f t="shared" si="489"/>
        <v/>
      </c>
    </row>
    <row r="5118" spans="1:19" ht="39" hidden="1" thickBot="1" x14ac:dyDescent="0.3">
      <c r="A5118" s="262"/>
      <c r="B5118" s="260"/>
      <c r="C5118" s="51" t="s">
        <v>2954</v>
      </c>
      <c r="D5118" s="35"/>
      <c r="E5118" s="36"/>
      <c r="F5118" s="30" t="s">
        <v>416</v>
      </c>
      <c r="G5118" s="30"/>
      <c r="H5118" s="34"/>
      <c r="I5118" s="30"/>
      <c r="J5118" s="152">
        <v>0</v>
      </c>
      <c r="L5118" s="215"/>
      <c r="M5118" s="30"/>
      <c r="N5118" s="30"/>
      <c r="O5118" s="34"/>
      <c r="P5118" s="36" t="str">
        <f t="shared" si="486"/>
        <v/>
      </c>
      <c r="Q5118" s="216" t="str">
        <f t="shared" si="487"/>
        <v/>
      </c>
      <c r="R5118" s="216" t="str">
        <f t="shared" si="488"/>
        <v/>
      </c>
      <c r="S5118" s="217" t="str">
        <f t="shared" si="489"/>
        <v/>
      </c>
    </row>
    <row r="5119" spans="1:19" ht="15.75" hidden="1" thickBot="1" x14ac:dyDescent="0.3">
      <c r="A5119" s="262"/>
      <c r="B5119" s="260"/>
      <c r="C5119" s="35"/>
      <c r="D5119" s="46"/>
      <c r="E5119" s="36"/>
      <c r="F5119" s="33" t="s">
        <v>416</v>
      </c>
      <c r="G5119" s="33" t="str">
        <f t="shared" ref="G5119:G5150" si="492">IF(ISNUMBER(F5119),E5119*F5119,"")</f>
        <v/>
      </c>
      <c r="H5119" s="34"/>
      <c r="I5119" s="30"/>
      <c r="J5119" s="152">
        <v>0</v>
      </c>
      <c r="L5119" s="215"/>
      <c r="M5119" s="33"/>
      <c r="N5119" s="33" t="str">
        <f t="shared" ref="N5119:N5182" si="493">IF(ISNUMBER(M5119),L5119*M5119,"")</f>
        <v/>
      </c>
      <c r="O5119" s="34"/>
      <c r="P5119" s="36" t="str">
        <f t="shared" si="486"/>
        <v/>
      </c>
      <c r="Q5119" s="216" t="str">
        <f t="shared" si="487"/>
        <v/>
      </c>
      <c r="R5119" s="216" t="str">
        <f t="shared" si="488"/>
        <v/>
      </c>
      <c r="S5119" s="217" t="str">
        <f t="shared" si="489"/>
        <v/>
      </c>
    </row>
    <row r="5120" spans="1:19" ht="15.75" hidden="1" thickBot="1" x14ac:dyDescent="0.3">
      <c r="A5120" s="256" t="s">
        <v>3146</v>
      </c>
      <c r="B5120" s="259" t="str">
        <f>INDEX(Orçamentária!A:B,MATCH(Composições!A5120,Orçamentária!A:A,0),2)</f>
        <v>Cambota elastomérica de 8”</v>
      </c>
      <c r="C5120" s="40"/>
      <c r="D5120" s="25" t="s">
        <v>16</v>
      </c>
      <c r="E5120" s="26"/>
      <c r="F5120" s="48" t="s">
        <v>416</v>
      </c>
      <c r="G5120" s="27" t="str">
        <f t="shared" si="492"/>
        <v/>
      </c>
      <c r="H5120" s="28"/>
      <c r="I5120" s="29"/>
      <c r="J5120" s="152">
        <v>0</v>
      </c>
      <c r="L5120" s="218"/>
      <c r="M5120" s="48"/>
      <c r="N5120" s="27" t="str">
        <f t="shared" si="493"/>
        <v/>
      </c>
      <c r="O5120" s="28"/>
      <c r="P5120" s="36" t="str">
        <f t="shared" si="486"/>
        <v/>
      </c>
      <c r="Q5120" s="216" t="str">
        <f t="shared" si="487"/>
        <v/>
      </c>
      <c r="R5120" s="216" t="str">
        <f t="shared" si="488"/>
        <v/>
      </c>
      <c r="S5120" s="217" t="str">
        <f t="shared" si="489"/>
        <v/>
      </c>
    </row>
    <row r="5121" spans="1:19" ht="15.75" hidden="1" thickBot="1" x14ac:dyDescent="0.3">
      <c r="A5121" s="257"/>
      <c r="B5121" s="260"/>
      <c r="C5121" s="31"/>
      <c r="D5121" s="31"/>
      <c r="E5121" s="32"/>
      <c r="F5121" s="53" t="s">
        <v>416</v>
      </c>
      <c r="G5121" s="53" t="str">
        <f t="shared" si="492"/>
        <v/>
      </c>
      <c r="H5121" s="72"/>
      <c r="I5121" s="73"/>
      <c r="J5121" s="152">
        <v>0</v>
      </c>
      <c r="L5121" s="219"/>
      <c r="M5121" s="53"/>
      <c r="N5121" s="53" t="str">
        <f t="shared" si="493"/>
        <v/>
      </c>
      <c r="O5121" s="72"/>
      <c r="P5121" s="36" t="str">
        <f t="shared" si="486"/>
        <v/>
      </c>
      <c r="Q5121" s="216" t="str">
        <f t="shared" si="487"/>
        <v/>
      </c>
      <c r="R5121" s="216" t="str">
        <f t="shared" si="488"/>
        <v/>
      </c>
      <c r="S5121" s="217" t="str">
        <f t="shared" si="489"/>
        <v/>
      </c>
    </row>
    <row r="5122" spans="1:19" ht="26.25" hidden="1" thickBot="1" x14ac:dyDescent="0.3">
      <c r="A5122" s="257"/>
      <c r="B5122" s="260"/>
      <c r="C5122" s="35" t="s">
        <v>824</v>
      </c>
      <c r="D5122" s="35" t="s">
        <v>583</v>
      </c>
      <c r="E5122" s="36">
        <v>0.93</v>
      </c>
      <c r="F5122" s="30">
        <v>21.166</v>
      </c>
      <c r="G5122" s="53">
        <f t="shared" si="492"/>
        <v>19.684380000000001</v>
      </c>
      <c r="H5122" s="38">
        <f>SUM(G5122:G5124)</f>
        <v>44.607915000000006</v>
      </c>
      <c r="I5122" s="39"/>
      <c r="J5122" s="152">
        <v>0</v>
      </c>
      <c r="L5122" s="215">
        <v>0.93</v>
      </c>
      <c r="M5122" s="30">
        <v>18.118096000000001</v>
      </c>
      <c r="N5122" s="53">
        <f t="shared" si="493"/>
        <v>16.849829280000002</v>
      </c>
      <c r="O5122" s="38">
        <f>SUM(N5122:N5124)</f>
        <v>38.184375240000001</v>
      </c>
      <c r="P5122" s="36" t="str">
        <f t="shared" si="486"/>
        <v/>
      </c>
      <c r="Q5122" s="216">
        <f t="shared" si="487"/>
        <v>0.14399999999999991</v>
      </c>
      <c r="R5122" s="216">
        <f t="shared" si="488"/>
        <v>0.14399999999999991</v>
      </c>
      <c r="S5122" s="217">
        <f t="shared" si="489"/>
        <v>0.14400000000000013</v>
      </c>
    </row>
    <row r="5123" spans="1:19" ht="26.25" hidden="1" thickBot="1" x14ac:dyDescent="0.3">
      <c r="A5123" s="257"/>
      <c r="B5123" s="260"/>
      <c r="C5123" s="35" t="s">
        <v>825</v>
      </c>
      <c r="D5123" s="35" t="s">
        <v>583</v>
      </c>
      <c r="E5123" s="36">
        <v>0.93</v>
      </c>
      <c r="F5123" s="30">
        <v>26.799499999999998</v>
      </c>
      <c r="G5123" s="53">
        <f t="shared" si="492"/>
        <v>24.923535000000001</v>
      </c>
      <c r="H5123" s="72"/>
      <c r="I5123" s="73"/>
      <c r="J5123" s="152">
        <v>0</v>
      </c>
      <c r="L5123" s="215">
        <v>0.93</v>
      </c>
      <c r="M5123" s="30">
        <v>22.940372</v>
      </c>
      <c r="N5123" s="53">
        <f t="shared" si="493"/>
        <v>21.33454596</v>
      </c>
      <c r="O5123" s="72"/>
      <c r="P5123" s="36" t="str">
        <f t="shared" si="486"/>
        <v/>
      </c>
      <c r="Q5123" s="216">
        <f t="shared" si="487"/>
        <v>0.14399999999999991</v>
      </c>
      <c r="R5123" s="216">
        <f t="shared" si="488"/>
        <v>0.14400000000000002</v>
      </c>
      <c r="S5123" s="217" t="str">
        <f t="shared" si="489"/>
        <v/>
      </c>
    </row>
    <row r="5124" spans="1:19" ht="15.75" hidden="1" thickBot="1" x14ac:dyDescent="0.3">
      <c r="A5124" s="257"/>
      <c r="B5124" s="260"/>
      <c r="C5124" s="35" t="s">
        <v>3204</v>
      </c>
      <c r="D5124" s="35" t="s">
        <v>213</v>
      </c>
      <c r="E5124" s="36">
        <v>1</v>
      </c>
      <c r="F5124" s="30" t="s">
        <v>416</v>
      </c>
      <c r="G5124" s="53" t="str">
        <f t="shared" si="492"/>
        <v/>
      </c>
      <c r="H5124" s="72"/>
      <c r="I5124" s="73"/>
      <c r="J5124" s="152">
        <v>0</v>
      </c>
      <c r="L5124" s="215">
        <v>1</v>
      </c>
      <c r="M5124" s="30"/>
      <c r="N5124" s="53" t="str">
        <f t="shared" si="493"/>
        <v/>
      </c>
      <c r="O5124" s="72"/>
      <c r="P5124" s="36" t="str">
        <f t="shared" si="486"/>
        <v/>
      </c>
      <c r="Q5124" s="216" t="str">
        <f t="shared" si="487"/>
        <v/>
      </c>
      <c r="R5124" s="216" t="str">
        <f t="shared" si="488"/>
        <v/>
      </c>
      <c r="S5124" s="217" t="str">
        <f t="shared" si="489"/>
        <v/>
      </c>
    </row>
    <row r="5125" spans="1:19" ht="15.75" hidden="1" thickBot="1" x14ac:dyDescent="0.3">
      <c r="A5125" s="257"/>
      <c r="B5125" s="260"/>
      <c r="C5125" s="35"/>
      <c r="D5125" s="46"/>
      <c r="E5125" s="36"/>
      <c r="F5125" s="53" t="s">
        <v>416</v>
      </c>
      <c r="G5125" s="53" t="str">
        <f t="shared" si="492"/>
        <v/>
      </c>
      <c r="H5125" s="72"/>
      <c r="I5125" s="73"/>
      <c r="J5125" s="152">
        <v>0</v>
      </c>
      <c r="L5125" s="215"/>
      <c r="M5125" s="53"/>
      <c r="N5125" s="53" t="str">
        <f t="shared" si="493"/>
        <v/>
      </c>
      <c r="O5125" s="72"/>
      <c r="P5125" s="36" t="str">
        <f t="shared" si="486"/>
        <v/>
      </c>
      <c r="Q5125" s="216" t="str">
        <f t="shared" si="487"/>
        <v/>
      </c>
      <c r="R5125" s="216" t="str">
        <f t="shared" si="488"/>
        <v/>
      </c>
      <c r="S5125" s="217" t="str">
        <f t="shared" si="489"/>
        <v/>
      </c>
    </row>
    <row r="5126" spans="1:19" ht="15.75" hidden="1" thickBot="1" x14ac:dyDescent="0.3">
      <c r="A5126" s="256" t="s">
        <v>3148</v>
      </c>
      <c r="B5126" s="259" t="str">
        <f>INDEX(Orçamentária!A:B,MATCH(Composições!A5126,Orçamentária!A:A,0),2)</f>
        <v>Curva raio curto 45° em aço carbono para solda de topo DN 125 (5" NPS)</v>
      </c>
      <c r="C5126" s="40"/>
      <c r="D5126" s="25" t="s">
        <v>16</v>
      </c>
      <c r="E5126" s="26"/>
      <c r="F5126" s="48" t="s">
        <v>416</v>
      </c>
      <c r="G5126" s="27" t="str">
        <f t="shared" si="492"/>
        <v/>
      </c>
      <c r="H5126" s="28"/>
      <c r="I5126" s="29"/>
      <c r="J5126" s="152">
        <v>0</v>
      </c>
      <c r="L5126" s="218"/>
      <c r="M5126" s="48"/>
      <c r="N5126" s="27" t="str">
        <f t="shared" si="493"/>
        <v/>
      </c>
      <c r="O5126" s="28"/>
      <c r="P5126" s="36" t="str">
        <f t="shared" si="486"/>
        <v/>
      </c>
      <c r="Q5126" s="216" t="str">
        <f t="shared" si="487"/>
        <v/>
      </c>
      <c r="R5126" s="216" t="str">
        <f t="shared" si="488"/>
        <v/>
      </c>
      <c r="S5126" s="217" t="str">
        <f t="shared" si="489"/>
        <v/>
      </c>
    </row>
    <row r="5127" spans="1:19" ht="15.75" hidden="1" thickBot="1" x14ac:dyDescent="0.3">
      <c r="A5127" s="257"/>
      <c r="B5127" s="260"/>
      <c r="C5127" s="31"/>
      <c r="D5127" s="31"/>
      <c r="E5127" s="32"/>
      <c r="F5127" s="53" t="s">
        <v>416</v>
      </c>
      <c r="G5127" s="53" t="str">
        <f t="shared" si="492"/>
        <v/>
      </c>
      <c r="H5127" s="72"/>
      <c r="I5127" s="73"/>
      <c r="J5127" s="152">
        <v>0</v>
      </c>
      <c r="L5127" s="219"/>
      <c r="M5127" s="53"/>
      <c r="N5127" s="53" t="str">
        <f t="shared" si="493"/>
        <v/>
      </c>
      <c r="O5127" s="72"/>
      <c r="P5127" s="36" t="str">
        <f t="shared" si="486"/>
        <v/>
      </c>
      <c r="Q5127" s="216" t="str">
        <f t="shared" si="487"/>
        <v/>
      </c>
      <c r="R5127" s="216" t="str">
        <f t="shared" si="488"/>
        <v/>
      </c>
      <c r="S5127" s="217" t="str">
        <f t="shared" si="489"/>
        <v/>
      </c>
    </row>
    <row r="5128" spans="1:19" ht="15.75" hidden="1" thickBot="1" x14ac:dyDescent="0.3">
      <c r="A5128" s="257"/>
      <c r="B5128" s="260"/>
      <c r="C5128" s="35" t="s">
        <v>1037</v>
      </c>
      <c r="D5128" s="35" t="s">
        <v>773</v>
      </c>
      <c r="E5128" s="36">
        <f>ROUND(0.089*1.3,4)</f>
        <v>0.1157</v>
      </c>
      <c r="F5128" s="30">
        <v>36.489499999999992</v>
      </c>
      <c r="G5128" s="53">
        <f t="shared" si="492"/>
        <v>4.2218351499999986</v>
      </c>
      <c r="H5128" s="38">
        <f>SUM(G5128:G5132)</f>
        <v>95.78424115</v>
      </c>
      <c r="I5128" s="39"/>
      <c r="J5128" s="152">
        <v>0</v>
      </c>
      <c r="L5128" s="215">
        <v>0.1157</v>
      </c>
      <c r="M5128" s="30">
        <v>31.235011999999994</v>
      </c>
      <c r="N5128" s="53">
        <f t="shared" si="493"/>
        <v>3.6138908883999994</v>
      </c>
      <c r="O5128" s="38">
        <f>SUM(N5128:N5132)</f>
        <v>81.991310424400012</v>
      </c>
      <c r="P5128" s="36" t="str">
        <f t="shared" ref="P5128:P5191" si="494">IF(ISBLANK(L5128),"",IF($E5128&lt;&gt;L5128,"SIM",""))</f>
        <v/>
      </c>
      <c r="Q5128" s="216">
        <f t="shared" ref="Q5128:Q5191" si="495">IF(M5128="","",1-M5128/$F5128)</f>
        <v>0.14400000000000002</v>
      </c>
      <c r="R5128" s="216">
        <f t="shared" ref="R5128:R5191" si="496">IF(N5128="","",1-N5128/$G5128)</f>
        <v>0.14399999999999991</v>
      </c>
      <c r="S5128" s="217">
        <f t="shared" ref="S5128:S5191" si="497">IF(O5128="","",1-O5128/$H5128)</f>
        <v>0.14399999999999991</v>
      </c>
    </row>
    <row r="5129" spans="1:19" ht="26.25" hidden="1" thickBot="1" x14ac:dyDescent="0.3">
      <c r="A5129" s="257"/>
      <c r="B5129" s="260"/>
      <c r="C5129" s="35" t="s">
        <v>3205</v>
      </c>
      <c r="D5129" s="35" t="s">
        <v>213</v>
      </c>
      <c r="E5129" s="36">
        <v>1</v>
      </c>
      <c r="F5129" s="30" t="s">
        <v>416</v>
      </c>
      <c r="G5129" s="53" t="str">
        <f t="shared" si="492"/>
        <v/>
      </c>
      <c r="H5129" s="72"/>
      <c r="I5129" s="73"/>
      <c r="J5129" s="152">
        <v>0</v>
      </c>
      <c r="L5129" s="215">
        <v>1</v>
      </c>
      <c r="M5129" s="30"/>
      <c r="N5129" s="53" t="str">
        <f t="shared" si="493"/>
        <v/>
      </c>
      <c r="O5129" s="72"/>
      <c r="P5129" s="36" t="str">
        <f t="shared" si="494"/>
        <v/>
      </c>
      <c r="Q5129" s="216" t="str">
        <f t="shared" si="495"/>
        <v/>
      </c>
      <c r="R5129" s="216" t="str">
        <f t="shared" si="496"/>
        <v/>
      </c>
      <c r="S5129" s="217" t="str">
        <f t="shared" si="497"/>
        <v/>
      </c>
    </row>
    <row r="5130" spans="1:19" ht="26.25" hidden="1" thickBot="1" x14ac:dyDescent="0.3">
      <c r="A5130" s="257"/>
      <c r="B5130" s="260"/>
      <c r="C5130" s="35" t="s">
        <v>824</v>
      </c>
      <c r="D5130" s="35" t="s">
        <v>583</v>
      </c>
      <c r="E5130" s="36">
        <f>ROUND(0.93*1.3,4)</f>
        <v>1.2090000000000001</v>
      </c>
      <c r="F5130" s="30">
        <v>21.166</v>
      </c>
      <c r="G5130" s="53">
        <f t="shared" si="492"/>
        <v>25.589694000000001</v>
      </c>
      <c r="H5130" s="72"/>
      <c r="I5130" s="73"/>
      <c r="J5130" s="152">
        <v>0</v>
      </c>
      <c r="L5130" s="215">
        <v>1.2090000000000001</v>
      </c>
      <c r="M5130" s="30">
        <v>18.118096000000001</v>
      </c>
      <c r="N5130" s="53">
        <f t="shared" si="493"/>
        <v>21.904778064000002</v>
      </c>
      <c r="O5130" s="72"/>
      <c r="P5130" s="36" t="str">
        <f t="shared" si="494"/>
        <v/>
      </c>
      <c r="Q5130" s="216">
        <f t="shared" si="495"/>
        <v>0.14399999999999991</v>
      </c>
      <c r="R5130" s="216">
        <f t="shared" si="496"/>
        <v>0.14400000000000002</v>
      </c>
      <c r="S5130" s="217" t="str">
        <f t="shared" si="497"/>
        <v/>
      </c>
    </row>
    <row r="5131" spans="1:19" ht="26.25" hidden="1" thickBot="1" x14ac:dyDescent="0.3">
      <c r="A5131" s="257"/>
      <c r="B5131" s="260"/>
      <c r="C5131" s="35" t="s">
        <v>825</v>
      </c>
      <c r="D5131" s="35" t="s">
        <v>583</v>
      </c>
      <c r="E5131" s="36">
        <f>ROUND(0.93*1.3,4)</f>
        <v>1.2090000000000001</v>
      </c>
      <c r="F5131" s="30">
        <v>26.799499999999998</v>
      </c>
      <c r="G5131" s="53">
        <f t="shared" si="492"/>
        <v>32.400595500000001</v>
      </c>
      <c r="H5131" s="72"/>
      <c r="I5131" s="73"/>
      <c r="J5131" s="152">
        <v>0</v>
      </c>
      <c r="L5131" s="215">
        <v>1.2090000000000001</v>
      </c>
      <c r="M5131" s="30">
        <v>22.940372</v>
      </c>
      <c r="N5131" s="53">
        <f t="shared" si="493"/>
        <v>27.734909748000003</v>
      </c>
      <c r="O5131" s="72"/>
      <c r="P5131" s="36" t="str">
        <f t="shared" si="494"/>
        <v/>
      </c>
      <c r="Q5131" s="216">
        <f t="shared" si="495"/>
        <v>0.14399999999999991</v>
      </c>
      <c r="R5131" s="216">
        <f t="shared" si="496"/>
        <v>0.14399999999999991</v>
      </c>
      <c r="S5131" s="217" t="str">
        <f t="shared" si="497"/>
        <v/>
      </c>
    </row>
    <row r="5132" spans="1:19" ht="15.75" hidden="1" thickBot="1" x14ac:dyDescent="0.3">
      <c r="A5132" s="257"/>
      <c r="B5132" s="260"/>
      <c r="C5132" s="35" t="s">
        <v>2908</v>
      </c>
      <c r="D5132" s="35" t="s">
        <v>583</v>
      </c>
      <c r="E5132" s="36">
        <f>ROUND(0.93*1.3,4)</f>
        <v>1.2090000000000001</v>
      </c>
      <c r="F5132" s="53">
        <v>27.7685</v>
      </c>
      <c r="G5132" s="53">
        <f t="shared" si="492"/>
        <v>33.5721165</v>
      </c>
      <c r="H5132" s="72"/>
      <c r="I5132" s="73"/>
      <c r="J5132" s="152">
        <v>0</v>
      </c>
      <c r="L5132" s="215">
        <v>1.2090000000000001</v>
      </c>
      <c r="M5132" s="53">
        <v>23.769835999999998</v>
      </c>
      <c r="N5132" s="53">
        <f t="shared" si="493"/>
        <v>28.737731724</v>
      </c>
      <c r="O5132" s="72"/>
      <c r="P5132" s="36" t="str">
        <f t="shared" si="494"/>
        <v/>
      </c>
      <c r="Q5132" s="216">
        <f t="shared" si="495"/>
        <v>0.14400000000000002</v>
      </c>
      <c r="R5132" s="216">
        <f t="shared" si="496"/>
        <v>0.14400000000000002</v>
      </c>
      <c r="S5132" s="217" t="str">
        <f t="shared" si="497"/>
        <v/>
      </c>
    </row>
    <row r="5133" spans="1:19" ht="15.75" hidden="1" thickBot="1" x14ac:dyDescent="0.3">
      <c r="A5133" s="257"/>
      <c r="B5133" s="260"/>
      <c r="C5133" s="35"/>
      <c r="D5133" s="46"/>
      <c r="E5133" s="36"/>
      <c r="F5133" s="53" t="s">
        <v>416</v>
      </c>
      <c r="G5133" s="53" t="str">
        <f t="shared" si="492"/>
        <v/>
      </c>
      <c r="H5133" s="72"/>
      <c r="I5133" s="73"/>
      <c r="J5133" s="152">
        <v>0</v>
      </c>
      <c r="L5133" s="215"/>
      <c r="M5133" s="53"/>
      <c r="N5133" s="53" t="str">
        <f t="shared" si="493"/>
        <v/>
      </c>
      <c r="O5133" s="72"/>
      <c r="P5133" s="36" t="str">
        <f t="shared" si="494"/>
        <v/>
      </c>
      <c r="Q5133" s="216" t="str">
        <f t="shared" si="495"/>
        <v/>
      </c>
      <c r="R5133" s="216" t="str">
        <f t="shared" si="496"/>
        <v/>
      </c>
      <c r="S5133" s="217" t="str">
        <f t="shared" si="497"/>
        <v/>
      </c>
    </row>
    <row r="5134" spans="1:19" ht="15.75" hidden="1" thickBot="1" x14ac:dyDescent="0.3">
      <c r="A5134" s="256" t="s">
        <v>3150</v>
      </c>
      <c r="B5134" s="259" t="str">
        <f>INDEX(Orçamentária!A:B,MATCH(Composições!A5134,Orçamentária!A:A,0),2)</f>
        <v>Curva raio curto 90° em aço carbono para solda de topo DN 125 (5" NPS)</v>
      </c>
      <c r="C5134" s="40"/>
      <c r="D5134" s="25" t="s">
        <v>16</v>
      </c>
      <c r="E5134" s="26"/>
      <c r="F5134" s="48" t="s">
        <v>416</v>
      </c>
      <c r="G5134" s="27" t="str">
        <f t="shared" si="492"/>
        <v/>
      </c>
      <c r="H5134" s="28"/>
      <c r="I5134" s="29"/>
      <c r="J5134" s="152">
        <v>0</v>
      </c>
      <c r="L5134" s="218"/>
      <c r="M5134" s="48"/>
      <c r="N5134" s="27" t="str">
        <f t="shared" si="493"/>
        <v/>
      </c>
      <c r="O5134" s="28"/>
      <c r="P5134" s="36" t="str">
        <f t="shared" si="494"/>
        <v/>
      </c>
      <c r="Q5134" s="216" t="str">
        <f t="shared" si="495"/>
        <v/>
      </c>
      <c r="R5134" s="216" t="str">
        <f t="shared" si="496"/>
        <v/>
      </c>
      <c r="S5134" s="217" t="str">
        <f t="shared" si="497"/>
        <v/>
      </c>
    </row>
    <row r="5135" spans="1:19" ht="15.75" hidden="1" thickBot="1" x14ac:dyDescent="0.3">
      <c r="A5135" s="257"/>
      <c r="B5135" s="260"/>
      <c r="C5135" s="31"/>
      <c r="D5135" s="31"/>
      <c r="E5135" s="32"/>
      <c r="F5135" s="53" t="s">
        <v>416</v>
      </c>
      <c r="G5135" s="53" t="str">
        <f t="shared" si="492"/>
        <v/>
      </c>
      <c r="H5135" s="72"/>
      <c r="I5135" s="73"/>
      <c r="J5135" s="152">
        <v>0</v>
      </c>
      <c r="L5135" s="219"/>
      <c r="M5135" s="53"/>
      <c r="N5135" s="53" t="str">
        <f t="shared" si="493"/>
        <v/>
      </c>
      <c r="O5135" s="72"/>
      <c r="P5135" s="36" t="str">
        <f t="shared" si="494"/>
        <v/>
      </c>
      <c r="Q5135" s="216" t="str">
        <f t="shared" si="495"/>
        <v/>
      </c>
      <c r="R5135" s="216" t="str">
        <f t="shared" si="496"/>
        <v/>
      </c>
      <c r="S5135" s="217" t="str">
        <f t="shared" si="497"/>
        <v/>
      </c>
    </row>
    <row r="5136" spans="1:19" ht="15.75" hidden="1" thickBot="1" x14ac:dyDescent="0.3">
      <c r="A5136" s="257"/>
      <c r="B5136" s="260"/>
      <c r="C5136" s="35" t="s">
        <v>1037</v>
      </c>
      <c r="D5136" s="35" t="s">
        <v>773</v>
      </c>
      <c r="E5136" s="36">
        <f>ROUND(0.089*1.3,4)</f>
        <v>0.1157</v>
      </c>
      <c r="F5136" s="30">
        <v>36.489499999999992</v>
      </c>
      <c r="G5136" s="53">
        <f t="shared" si="492"/>
        <v>4.2218351499999986</v>
      </c>
      <c r="H5136" s="38">
        <f>SUM(G5136:G5140)</f>
        <v>95.78424115</v>
      </c>
      <c r="I5136" s="39"/>
      <c r="J5136" s="152">
        <v>0</v>
      </c>
      <c r="L5136" s="215">
        <v>0.1157</v>
      </c>
      <c r="M5136" s="30">
        <v>31.235011999999994</v>
      </c>
      <c r="N5136" s="53">
        <f t="shared" si="493"/>
        <v>3.6138908883999994</v>
      </c>
      <c r="O5136" s="38">
        <f>SUM(N5136:N5140)</f>
        <v>81.991310424400012</v>
      </c>
      <c r="P5136" s="36" t="str">
        <f t="shared" si="494"/>
        <v/>
      </c>
      <c r="Q5136" s="216">
        <f t="shared" si="495"/>
        <v>0.14400000000000002</v>
      </c>
      <c r="R5136" s="216">
        <f t="shared" si="496"/>
        <v>0.14399999999999991</v>
      </c>
      <c r="S5136" s="217">
        <f t="shared" si="497"/>
        <v>0.14399999999999991</v>
      </c>
    </row>
    <row r="5137" spans="1:19" ht="26.25" hidden="1" thickBot="1" x14ac:dyDescent="0.3">
      <c r="A5137" s="257"/>
      <c r="B5137" s="260"/>
      <c r="C5137" s="35" t="s">
        <v>3206</v>
      </c>
      <c r="D5137" s="35" t="s">
        <v>213</v>
      </c>
      <c r="E5137" s="36">
        <v>1</v>
      </c>
      <c r="F5137" s="30" t="s">
        <v>416</v>
      </c>
      <c r="G5137" s="53" t="str">
        <f t="shared" si="492"/>
        <v/>
      </c>
      <c r="H5137" s="72"/>
      <c r="I5137" s="73"/>
      <c r="J5137" s="152">
        <v>0</v>
      </c>
      <c r="L5137" s="215">
        <v>1</v>
      </c>
      <c r="M5137" s="30"/>
      <c r="N5137" s="53" t="str">
        <f t="shared" si="493"/>
        <v/>
      </c>
      <c r="O5137" s="72"/>
      <c r="P5137" s="36" t="str">
        <f t="shared" si="494"/>
        <v/>
      </c>
      <c r="Q5137" s="216" t="str">
        <f t="shared" si="495"/>
        <v/>
      </c>
      <c r="R5137" s="216" t="str">
        <f t="shared" si="496"/>
        <v/>
      </c>
      <c r="S5137" s="217" t="str">
        <f t="shared" si="497"/>
        <v/>
      </c>
    </row>
    <row r="5138" spans="1:19" ht="26.25" hidden="1" thickBot="1" x14ac:dyDescent="0.3">
      <c r="A5138" s="257"/>
      <c r="B5138" s="260"/>
      <c r="C5138" s="35" t="s">
        <v>824</v>
      </c>
      <c r="D5138" s="35" t="s">
        <v>583</v>
      </c>
      <c r="E5138" s="36">
        <f>ROUND(0.93*1.3,4)</f>
        <v>1.2090000000000001</v>
      </c>
      <c r="F5138" s="30">
        <v>21.166</v>
      </c>
      <c r="G5138" s="53">
        <f t="shared" si="492"/>
        <v>25.589694000000001</v>
      </c>
      <c r="H5138" s="72"/>
      <c r="I5138" s="73"/>
      <c r="J5138" s="152">
        <v>0</v>
      </c>
      <c r="L5138" s="215">
        <v>1.2090000000000001</v>
      </c>
      <c r="M5138" s="30">
        <v>18.118096000000001</v>
      </c>
      <c r="N5138" s="53">
        <f t="shared" si="493"/>
        <v>21.904778064000002</v>
      </c>
      <c r="O5138" s="72"/>
      <c r="P5138" s="36" t="str">
        <f t="shared" si="494"/>
        <v/>
      </c>
      <c r="Q5138" s="216">
        <f t="shared" si="495"/>
        <v>0.14399999999999991</v>
      </c>
      <c r="R5138" s="216">
        <f t="shared" si="496"/>
        <v>0.14400000000000002</v>
      </c>
      <c r="S5138" s="217" t="str">
        <f t="shared" si="497"/>
        <v/>
      </c>
    </row>
    <row r="5139" spans="1:19" ht="26.25" hidden="1" thickBot="1" x14ac:dyDescent="0.3">
      <c r="A5139" s="257"/>
      <c r="B5139" s="260"/>
      <c r="C5139" s="35" t="s">
        <v>825</v>
      </c>
      <c r="D5139" s="35" t="s">
        <v>583</v>
      </c>
      <c r="E5139" s="36">
        <f>ROUND(0.93*1.3,4)</f>
        <v>1.2090000000000001</v>
      </c>
      <c r="F5139" s="30">
        <v>26.799499999999998</v>
      </c>
      <c r="G5139" s="53">
        <f t="shared" si="492"/>
        <v>32.400595500000001</v>
      </c>
      <c r="H5139" s="72"/>
      <c r="I5139" s="73"/>
      <c r="J5139" s="152">
        <v>0</v>
      </c>
      <c r="L5139" s="215">
        <v>1.2090000000000001</v>
      </c>
      <c r="M5139" s="30">
        <v>22.940372</v>
      </c>
      <c r="N5139" s="53">
        <f t="shared" si="493"/>
        <v>27.734909748000003</v>
      </c>
      <c r="O5139" s="72"/>
      <c r="P5139" s="36" t="str">
        <f t="shared" si="494"/>
        <v/>
      </c>
      <c r="Q5139" s="216">
        <f t="shared" si="495"/>
        <v>0.14399999999999991</v>
      </c>
      <c r="R5139" s="216">
        <f t="shared" si="496"/>
        <v>0.14399999999999991</v>
      </c>
      <c r="S5139" s="217" t="str">
        <f t="shared" si="497"/>
        <v/>
      </c>
    </row>
    <row r="5140" spans="1:19" ht="15.75" hidden="1" thickBot="1" x14ac:dyDescent="0.3">
      <c r="A5140" s="257"/>
      <c r="B5140" s="260"/>
      <c r="C5140" s="35" t="s">
        <v>2908</v>
      </c>
      <c r="D5140" s="35" t="s">
        <v>583</v>
      </c>
      <c r="E5140" s="36">
        <f>ROUND(0.93*1.3,4)</f>
        <v>1.2090000000000001</v>
      </c>
      <c r="F5140" s="53">
        <v>27.7685</v>
      </c>
      <c r="G5140" s="53">
        <f t="shared" si="492"/>
        <v>33.5721165</v>
      </c>
      <c r="H5140" s="72"/>
      <c r="I5140" s="73"/>
      <c r="J5140" s="152">
        <v>0</v>
      </c>
      <c r="L5140" s="215">
        <v>1.2090000000000001</v>
      </c>
      <c r="M5140" s="53">
        <v>23.769835999999998</v>
      </c>
      <c r="N5140" s="53">
        <f t="shared" si="493"/>
        <v>28.737731724</v>
      </c>
      <c r="O5140" s="72"/>
      <c r="P5140" s="36" t="str">
        <f t="shared" si="494"/>
        <v/>
      </c>
      <c r="Q5140" s="216">
        <f t="shared" si="495"/>
        <v>0.14400000000000002</v>
      </c>
      <c r="R5140" s="216">
        <f t="shared" si="496"/>
        <v>0.14400000000000002</v>
      </c>
      <c r="S5140" s="217" t="str">
        <f t="shared" si="497"/>
        <v/>
      </c>
    </row>
    <row r="5141" spans="1:19" ht="15.75" hidden="1" thickBot="1" x14ac:dyDescent="0.3">
      <c r="A5141" s="257"/>
      <c r="B5141" s="260"/>
      <c r="C5141" s="35"/>
      <c r="D5141" s="46"/>
      <c r="E5141" s="36"/>
      <c r="F5141" s="53" t="s">
        <v>416</v>
      </c>
      <c r="G5141" s="53" t="str">
        <f t="shared" si="492"/>
        <v/>
      </c>
      <c r="H5141" s="72"/>
      <c r="I5141" s="73"/>
      <c r="J5141" s="152">
        <v>0</v>
      </c>
      <c r="L5141" s="215"/>
      <c r="M5141" s="53"/>
      <c r="N5141" s="53" t="str">
        <f t="shared" si="493"/>
        <v/>
      </c>
      <c r="O5141" s="72"/>
      <c r="P5141" s="36" t="str">
        <f t="shared" si="494"/>
        <v/>
      </c>
      <c r="Q5141" s="216" t="str">
        <f t="shared" si="495"/>
        <v/>
      </c>
      <c r="R5141" s="216" t="str">
        <f t="shared" si="496"/>
        <v/>
      </c>
      <c r="S5141" s="217" t="str">
        <f t="shared" si="497"/>
        <v/>
      </c>
    </row>
    <row r="5142" spans="1:19" ht="15.75" hidden="1" thickBot="1" x14ac:dyDescent="0.3">
      <c r="A5142" s="256" t="s">
        <v>3152</v>
      </c>
      <c r="B5142" s="259" t="str">
        <f>INDEX(Orçamentária!A:B,MATCH(Composições!A5142,Orçamentária!A:A,0),2)</f>
        <v>Curva raio longo 90° em aço carbono para solda de topo DN 125 (5" NPS)</v>
      </c>
      <c r="C5142" s="40"/>
      <c r="D5142" s="25" t="s">
        <v>16</v>
      </c>
      <c r="E5142" s="26"/>
      <c r="F5142" s="48" t="s">
        <v>416</v>
      </c>
      <c r="G5142" s="27" t="str">
        <f t="shared" si="492"/>
        <v/>
      </c>
      <c r="H5142" s="28"/>
      <c r="I5142" s="29"/>
      <c r="J5142" s="152">
        <v>0</v>
      </c>
      <c r="L5142" s="218"/>
      <c r="M5142" s="48"/>
      <c r="N5142" s="27" t="str">
        <f t="shared" si="493"/>
        <v/>
      </c>
      <c r="O5142" s="28"/>
      <c r="P5142" s="36" t="str">
        <f t="shared" si="494"/>
        <v/>
      </c>
      <c r="Q5142" s="216" t="str">
        <f t="shared" si="495"/>
        <v/>
      </c>
      <c r="R5142" s="216" t="str">
        <f t="shared" si="496"/>
        <v/>
      </c>
      <c r="S5142" s="217" t="str">
        <f t="shared" si="497"/>
        <v/>
      </c>
    </row>
    <row r="5143" spans="1:19" ht="15.75" hidden="1" thickBot="1" x14ac:dyDescent="0.3">
      <c r="A5143" s="257"/>
      <c r="B5143" s="260"/>
      <c r="C5143" s="31"/>
      <c r="D5143" s="31"/>
      <c r="E5143" s="32"/>
      <c r="F5143" s="53" t="s">
        <v>416</v>
      </c>
      <c r="G5143" s="53" t="str">
        <f t="shared" si="492"/>
        <v/>
      </c>
      <c r="H5143" s="72"/>
      <c r="I5143" s="73"/>
      <c r="J5143" s="152">
        <v>0</v>
      </c>
      <c r="L5143" s="219"/>
      <c r="M5143" s="53"/>
      <c r="N5143" s="53" t="str">
        <f t="shared" si="493"/>
        <v/>
      </c>
      <c r="O5143" s="72"/>
      <c r="P5143" s="36" t="str">
        <f t="shared" si="494"/>
        <v/>
      </c>
      <c r="Q5143" s="216" t="str">
        <f t="shared" si="495"/>
        <v/>
      </c>
      <c r="R5143" s="216" t="str">
        <f t="shared" si="496"/>
        <v/>
      </c>
      <c r="S5143" s="217" t="str">
        <f t="shared" si="497"/>
        <v/>
      </c>
    </row>
    <row r="5144" spans="1:19" ht="15.75" hidden="1" thickBot="1" x14ac:dyDescent="0.3">
      <c r="A5144" s="257"/>
      <c r="B5144" s="260"/>
      <c r="C5144" s="35" t="s">
        <v>1037</v>
      </c>
      <c r="D5144" s="35" t="s">
        <v>773</v>
      </c>
      <c r="E5144" s="36">
        <f>ROUND(0.089*1.3,4)</f>
        <v>0.1157</v>
      </c>
      <c r="F5144" s="30">
        <v>36.489499999999992</v>
      </c>
      <c r="G5144" s="53">
        <f t="shared" si="492"/>
        <v>4.2218351499999986</v>
      </c>
      <c r="H5144" s="38">
        <f>SUM(G5144:G5148)</f>
        <v>95.78424115</v>
      </c>
      <c r="I5144" s="39"/>
      <c r="J5144" s="152">
        <v>0</v>
      </c>
      <c r="L5144" s="215">
        <v>0.1157</v>
      </c>
      <c r="M5144" s="30">
        <v>31.235011999999994</v>
      </c>
      <c r="N5144" s="53">
        <f t="shared" si="493"/>
        <v>3.6138908883999994</v>
      </c>
      <c r="O5144" s="38">
        <f>SUM(N5144:N5148)</f>
        <v>81.991310424400012</v>
      </c>
      <c r="P5144" s="36" t="str">
        <f t="shared" si="494"/>
        <v/>
      </c>
      <c r="Q5144" s="216">
        <f t="shared" si="495"/>
        <v>0.14400000000000002</v>
      </c>
      <c r="R5144" s="216">
        <f t="shared" si="496"/>
        <v>0.14399999999999991</v>
      </c>
      <c r="S5144" s="217">
        <f t="shared" si="497"/>
        <v>0.14399999999999991</v>
      </c>
    </row>
    <row r="5145" spans="1:19" ht="26.25" hidden="1" thickBot="1" x14ac:dyDescent="0.3">
      <c r="A5145" s="257"/>
      <c r="B5145" s="260"/>
      <c r="C5145" s="35" t="s">
        <v>3207</v>
      </c>
      <c r="D5145" s="35" t="s">
        <v>213</v>
      </c>
      <c r="E5145" s="36">
        <v>1</v>
      </c>
      <c r="F5145" s="30" t="s">
        <v>416</v>
      </c>
      <c r="G5145" s="53" t="str">
        <f t="shared" si="492"/>
        <v/>
      </c>
      <c r="H5145" s="72"/>
      <c r="I5145" s="73"/>
      <c r="J5145" s="152">
        <v>0</v>
      </c>
      <c r="L5145" s="215">
        <v>1</v>
      </c>
      <c r="M5145" s="30"/>
      <c r="N5145" s="53" t="str">
        <f t="shared" si="493"/>
        <v/>
      </c>
      <c r="O5145" s="72"/>
      <c r="P5145" s="36" t="str">
        <f t="shared" si="494"/>
        <v/>
      </c>
      <c r="Q5145" s="216" t="str">
        <f t="shared" si="495"/>
        <v/>
      </c>
      <c r="R5145" s="216" t="str">
        <f t="shared" si="496"/>
        <v/>
      </c>
      <c r="S5145" s="217" t="str">
        <f t="shared" si="497"/>
        <v/>
      </c>
    </row>
    <row r="5146" spans="1:19" ht="26.25" hidden="1" thickBot="1" x14ac:dyDescent="0.3">
      <c r="A5146" s="257"/>
      <c r="B5146" s="260"/>
      <c r="C5146" s="35" t="s">
        <v>824</v>
      </c>
      <c r="D5146" s="35" t="s">
        <v>583</v>
      </c>
      <c r="E5146" s="36">
        <f>ROUND(0.93*1.3,4)</f>
        <v>1.2090000000000001</v>
      </c>
      <c r="F5146" s="30">
        <v>21.166</v>
      </c>
      <c r="G5146" s="53">
        <f t="shared" si="492"/>
        <v>25.589694000000001</v>
      </c>
      <c r="H5146" s="72"/>
      <c r="I5146" s="73"/>
      <c r="J5146" s="152">
        <v>0</v>
      </c>
      <c r="L5146" s="215">
        <v>1.2090000000000001</v>
      </c>
      <c r="M5146" s="30">
        <v>18.118096000000001</v>
      </c>
      <c r="N5146" s="53">
        <f t="shared" si="493"/>
        <v>21.904778064000002</v>
      </c>
      <c r="O5146" s="72"/>
      <c r="P5146" s="36" t="str">
        <f t="shared" si="494"/>
        <v/>
      </c>
      <c r="Q5146" s="216">
        <f t="shared" si="495"/>
        <v>0.14399999999999991</v>
      </c>
      <c r="R5146" s="216">
        <f t="shared" si="496"/>
        <v>0.14400000000000002</v>
      </c>
      <c r="S5146" s="217" t="str">
        <f t="shared" si="497"/>
        <v/>
      </c>
    </row>
    <row r="5147" spans="1:19" ht="26.25" hidden="1" thickBot="1" x14ac:dyDescent="0.3">
      <c r="A5147" s="257"/>
      <c r="B5147" s="260"/>
      <c r="C5147" s="35" t="s">
        <v>825</v>
      </c>
      <c r="D5147" s="35" t="s">
        <v>583</v>
      </c>
      <c r="E5147" s="36">
        <f>ROUND(0.93*1.3,4)</f>
        <v>1.2090000000000001</v>
      </c>
      <c r="F5147" s="30">
        <v>26.799499999999998</v>
      </c>
      <c r="G5147" s="53">
        <f t="shared" si="492"/>
        <v>32.400595500000001</v>
      </c>
      <c r="H5147" s="72"/>
      <c r="I5147" s="73"/>
      <c r="J5147" s="152">
        <v>0</v>
      </c>
      <c r="L5147" s="215">
        <v>1.2090000000000001</v>
      </c>
      <c r="M5147" s="30">
        <v>22.940372</v>
      </c>
      <c r="N5147" s="53">
        <f t="shared" si="493"/>
        <v>27.734909748000003</v>
      </c>
      <c r="O5147" s="72"/>
      <c r="P5147" s="36" t="str">
        <f t="shared" si="494"/>
        <v/>
      </c>
      <c r="Q5147" s="216">
        <f t="shared" si="495"/>
        <v>0.14399999999999991</v>
      </c>
      <c r="R5147" s="216">
        <f t="shared" si="496"/>
        <v>0.14399999999999991</v>
      </c>
      <c r="S5147" s="217" t="str">
        <f t="shared" si="497"/>
        <v/>
      </c>
    </row>
    <row r="5148" spans="1:19" ht="15.75" hidden="1" thickBot="1" x14ac:dyDescent="0.3">
      <c r="A5148" s="257"/>
      <c r="B5148" s="260"/>
      <c r="C5148" s="35" t="s">
        <v>2908</v>
      </c>
      <c r="D5148" s="35" t="s">
        <v>583</v>
      </c>
      <c r="E5148" s="36">
        <f>ROUND(0.93*1.3,4)</f>
        <v>1.2090000000000001</v>
      </c>
      <c r="F5148" s="53">
        <v>27.7685</v>
      </c>
      <c r="G5148" s="53">
        <f t="shared" si="492"/>
        <v>33.5721165</v>
      </c>
      <c r="H5148" s="72"/>
      <c r="I5148" s="73"/>
      <c r="J5148" s="152">
        <v>0</v>
      </c>
      <c r="L5148" s="215">
        <v>1.2090000000000001</v>
      </c>
      <c r="M5148" s="53">
        <v>23.769835999999998</v>
      </c>
      <c r="N5148" s="53">
        <f t="shared" si="493"/>
        <v>28.737731724</v>
      </c>
      <c r="O5148" s="72"/>
      <c r="P5148" s="36" t="str">
        <f t="shared" si="494"/>
        <v/>
      </c>
      <c r="Q5148" s="216">
        <f t="shared" si="495"/>
        <v>0.14400000000000002</v>
      </c>
      <c r="R5148" s="216">
        <f t="shared" si="496"/>
        <v>0.14400000000000002</v>
      </c>
      <c r="S5148" s="217" t="str">
        <f t="shared" si="497"/>
        <v/>
      </c>
    </row>
    <row r="5149" spans="1:19" ht="15.75" hidden="1" thickBot="1" x14ac:dyDescent="0.3">
      <c r="A5149" s="257"/>
      <c r="B5149" s="260"/>
      <c r="C5149" s="35"/>
      <c r="D5149" s="46"/>
      <c r="E5149" s="36"/>
      <c r="F5149" s="53" t="s">
        <v>416</v>
      </c>
      <c r="G5149" s="53" t="str">
        <f t="shared" si="492"/>
        <v/>
      </c>
      <c r="H5149" s="72"/>
      <c r="I5149" s="73"/>
      <c r="J5149" s="152">
        <v>0</v>
      </c>
      <c r="L5149" s="215"/>
      <c r="M5149" s="53"/>
      <c r="N5149" s="53" t="str">
        <f t="shared" si="493"/>
        <v/>
      </c>
      <c r="O5149" s="72"/>
      <c r="P5149" s="36" t="str">
        <f t="shared" si="494"/>
        <v/>
      </c>
      <c r="Q5149" s="216" t="str">
        <f t="shared" si="495"/>
        <v/>
      </c>
      <c r="R5149" s="216" t="str">
        <f t="shared" si="496"/>
        <v/>
      </c>
      <c r="S5149" s="217" t="str">
        <f t="shared" si="497"/>
        <v/>
      </c>
    </row>
    <row r="5150" spans="1:19" ht="15.75" hidden="1" thickBot="1" x14ac:dyDescent="0.3">
      <c r="A5150" s="256" t="s">
        <v>3154</v>
      </c>
      <c r="B5150" s="259" t="str">
        <f>INDEX(Orçamentária!A:B,MATCH(Composições!A5150,Orçamentária!A:A,0),2)</f>
        <v>Curva raio longo 90° em aço carbono para solda de topo DN 200 (8" NPS)</v>
      </c>
      <c r="C5150" s="40"/>
      <c r="D5150" s="25" t="s">
        <v>16</v>
      </c>
      <c r="E5150" s="26"/>
      <c r="F5150" s="48" t="s">
        <v>416</v>
      </c>
      <c r="G5150" s="27" t="str">
        <f t="shared" si="492"/>
        <v/>
      </c>
      <c r="H5150" s="28"/>
      <c r="I5150" s="29"/>
      <c r="J5150" s="152">
        <v>0</v>
      </c>
      <c r="L5150" s="218"/>
      <c r="M5150" s="48"/>
      <c r="N5150" s="27" t="str">
        <f t="shared" si="493"/>
        <v/>
      </c>
      <c r="O5150" s="28"/>
      <c r="P5150" s="36" t="str">
        <f t="shared" si="494"/>
        <v/>
      </c>
      <c r="Q5150" s="216" t="str">
        <f t="shared" si="495"/>
        <v/>
      </c>
      <c r="R5150" s="216" t="str">
        <f t="shared" si="496"/>
        <v/>
      </c>
      <c r="S5150" s="217" t="str">
        <f t="shared" si="497"/>
        <v/>
      </c>
    </row>
    <row r="5151" spans="1:19" ht="15.75" hidden="1" thickBot="1" x14ac:dyDescent="0.3">
      <c r="A5151" s="257"/>
      <c r="B5151" s="260"/>
      <c r="C5151" s="31"/>
      <c r="D5151" s="31"/>
      <c r="E5151" s="32"/>
      <c r="F5151" s="53" t="s">
        <v>416</v>
      </c>
      <c r="G5151" s="53" t="str">
        <f t="shared" ref="G5151:G5182" si="498">IF(ISNUMBER(F5151),E5151*F5151,"")</f>
        <v/>
      </c>
      <c r="H5151" s="72"/>
      <c r="I5151" s="73"/>
      <c r="J5151" s="152">
        <v>0</v>
      </c>
      <c r="L5151" s="219"/>
      <c r="M5151" s="53"/>
      <c r="N5151" s="53" t="str">
        <f t="shared" si="493"/>
        <v/>
      </c>
      <c r="O5151" s="72"/>
      <c r="P5151" s="36" t="str">
        <f t="shared" si="494"/>
        <v/>
      </c>
      <c r="Q5151" s="216" t="str">
        <f t="shared" si="495"/>
        <v/>
      </c>
      <c r="R5151" s="216" t="str">
        <f t="shared" si="496"/>
        <v/>
      </c>
      <c r="S5151" s="217" t="str">
        <f t="shared" si="497"/>
        <v/>
      </c>
    </row>
    <row r="5152" spans="1:19" ht="15.75" hidden="1" thickBot="1" x14ac:dyDescent="0.3">
      <c r="A5152" s="257"/>
      <c r="B5152" s="260"/>
      <c r="C5152" s="35" t="s">
        <v>1037</v>
      </c>
      <c r="D5152" s="35" t="s">
        <v>773</v>
      </c>
      <c r="E5152" s="36">
        <f>ROUND(0.089*1.5,4)</f>
        <v>0.13350000000000001</v>
      </c>
      <c r="F5152" s="30">
        <v>36.489499999999992</v>
      </c>
      <c r="G5152" s="53">
        <f t="shared" si="498"/>
        <v>4.8713482499999996</v>
      </c>
      <c r="H5152" s="38">
        <f>SUM(G5152:G5156)</f>
        <v>110.52027824999999</v>
      </c>
      <c r="I5152" s="39"/>
      <c r="J5152" s="152">
        <v>0</v>
      </c>
      <c r="L5152" s="215">
        <v>0.13350000000000001</v>
      </c>
      <c r="M5152" s="30">
        <v>31.235011999999994</v>
      </c>
      <c r="N5152" s="53">
        <f t="shared" si="493"/>
        <v>4.1698741019999996</v>
      </c>
      <c r="O5152" s="38">
        <f>SUM(N5152:N5156)</f>
        <v>94.605358182000003</v>
      </c>
      <c r="P5152" s="36" t="str">
        <f t="shared" si="494"/>
        <v/>
      </c>
      <c r="Q5152" s="216">
        <f t="shared" si="495"/>
        <v>0.14400000000000002</v>
      </c>
      <c r="R5152" s="216">
        <f t="shared" si="496"/>
        <v>0.14400000000000002</v>
      </c>
      <c r="S5152" s="217">
        <f t="shared" si="497"/>
        <v>0.14399999999999991</v>
      </c>
    </row>
    <row r="5153" spans="1:19" ht="26.25" hidden="1" thickBot="1" x14ac:dyDescent="0.3">
      <c r="A5153" s="257"/>
      <c r="B5153" s="260"/>
      <c r="C5153" s="35" t="s">
        <v>3208</v>
      </c>
      <c r="D5153" s="35" t="s">
        <v>213</v>
      </c>
      <c r="E5153" s="36">
        <v>1</v>
      </c>
      <c r="F5153" s="30" t="s">
        <v>416</v>
      </c>
      <c r="G5153" s="53" t="str">
        <f t="shared" si="498"/>
        <v/>
      </c>
      <c r="H5153" s="72"/>
      <c r="I5153" s="73"/>
      <c r="J5153" s="152">
        <v>0</v>
      </c>
      <c r="L5153" s="215">
        <v>1</v>
      </c>
      <c r="M5153" s="30"/>
      <c r="N5153" s="53" t="str">
        <f t="shared" si="493"/>
        <v/>
      </c>
      <c r="O5153" s="72"/>
      <c r="P5153" s="36" t="str">
        <f t="shared" si="494"/>
        <v/>
      </c>
      <c r="Q5153" s="216" t="str">
        <f t="shared" si="495"/>
        <v/>
      </c>
      <c r="R5153" s="216" t="str">
        <f t="shared" si="496"/>
        <v/>
      </c>
      <c r="S5153" s="217" t="str">
        <f t="shared" si="497"/>
        <v/>
      </c>
    </row>
    <row r="5154" spans="1:19" ht="26.25" hidden="1" thickBot="1" x14ac:dyDescent="0.3">
      <c r="A5154" s="257"/>
      <c r="B5154" s="260"/>
      <c r="C5154" s="35" t="s">
        <v>824</v>
      </c>
      <c r="D5154" s="35" t="s">
        <v>583</v>
      </c>
      <c r="E5154" s="36">
        <f>ROUND(0.93*1.5,4)</f>
        <v>1.395</v>
      </c>
      <c r="F5154" s="30">
        <v>21.166</v>
      </c>
      <c r="G5154" s="53">
        <f t="shared" si="498"/>
        <v>29.52657</v>
      </c>
      <c r="H5154" s="72"/>
      <c r="I5154" s="73"/>
      <c r="J5154" s="152">
        <v>0</v>
      </c>
      <c r="L5154" s="215">
        <v>1.395</v>
      </c>
      <c r="M5154" s="30">
        <v>18.118096000000001</v>
      </c>
      <c r="N5154" s="53">
        <f t="shared" si="493"/>
        <v>25.274743920000002</v>
      </c>
      <c r="O5154" s="72"/>
      <c r="P5154" s="36" t="str">
        <f t="shared" si="494"/>
        <v/>
      </c>
      <c r="Q5154" s="216">
        <f t="shared" si="495"/>
        <v>0.14399999999999991</v>
      </c>
      <c r="R5154" s="216">
        <f t="shared" si="496"/>
        <v>0.14399999999999991</v>
      </c>
      <c r="S5154" s="217" t="str">
        <f t="shared" si="497"/>
        <v/>
      </c>
    </row>
    <row r="5155" spans="1:19" ht="26.25" hidden="1" thickBot="1" x14ac:dyDescent="0.3">
      <c r="A5155" s="257"/>
      <c r="B5155" s="260"/>
      <c r="C5155" s="35" t="s">
        <v>825</v>
      </c>
      <c r="D5155" s="35" t="s">
        <v>583</v>
      </c>
      <c r="E5155" s="36">
        <f>ROUND(0.93*1.5,4)</f>
        <v>1.395</v>
      </c>
      <c r="F5155" s="30">
        <v>26.799499999999998</v>
      </c>
      <c r="G5155" s="53">
        <f t="shared" si="498"/>
        <v>37.385302500000002</v>
      </c>
      <c r="H5155" s="72"/>
      <c r="I5155" s="73"/>
      <c r="J5155" s="152">
        <v>0</v>
      </c>
      <c r="L5155" s="215">
        <v>1.395</v>
      </c>
      <c r="M5155" s="30">
        <v>22.940372</v>
      </c>
      <c r="N5155" s="53">
        <f t="shared" si="493"/>
        <v>32.00181894</v>
      </c>
      <c r="O5155" s="72"/>
      <c r="P5155" s="36" t="str">
        <f t="shared" si="494"/>
        <v/>
      </c>
      <c r="Q5155" s="216">
        <f t="shared" si="495"/>
        <v>0.14399999999999991</v>
      </c>
      <c r="R5155" s="216">
        <f t="shared" si="496"/>
        <v>0.14400000000000002</v>
      </c>
      <c r="S5155" s="217" t="str">
        <f t="shared" si="497"/>
        <v/>
      </c>
    </row>
    <row r="5156" spans="1:19" ht="15.75" hidden="1" thickBot="1" x14ac:dyDescent="0.3">
      <c r="A5156" s="257"/>
      <c r="B5156" s="260"/>
      <c r="C5156" s="35" t="s">
        <v>2908</v>
      </c>
      <c r="D5156" s="35" t="s">
        <v>583</v>
      </c>
      <c r="E5156" s="36">
        <f>ROUND(0.93*1.5,4)</f>
        <v>1.395</v>
      </c>
      <c r="F5156" s="53">
        <v>27.7685</v>
      </c>
      <c r="G5156" s="53">
        <f t="shared" si="498"/>
        <v>38.737057499999999</v>
      </c>
      <c r="H5156" s="72"/>
      <c r="I5156" s="73"/>
      <c r="J5156" s="152">
        <v>0</v>
      </c>
      <c r="L5156" s="215">
        <v>1.395</v>
      </c>
      <c r="M5156" s="53">
        <v>23.769835999999998</v>
      </c>
      <c r="N5156" s="53">
        <f t="shared" si="493"/>
        <v>33.158921219999996</v>
      </c>
      <c r="O5156" s="72"/>
      <c r="P5156" s="36" t="str">
        <f t="shared" si="494"/>
        <v/>
      </c>
      <c r="Q5156" s="216">
        <f t="shared" si="495"/>
        <v>0.14400000000000002</v>
      </c>
      <c r="R5156" s="216">
        <f t="shared" si="496"/>
        <v>0.14400000000000002</v>
      </c>
      <c r="S5156" s="217" t="str">
        <f t="shared" si="497"/>
        <v/>
      </c>
    </row>
    <row r="5157" spans="1:19" ht="15.75" hidden="1" thickBot="1" x14ac:dyDescent="0.3">
      <c r="A5157" s="257"/>
      <c r="B5157" s="260"/>
      <c r="C5157" s="35"/>
      <c r="D5157" s="46"/>
      <c r="E5157" s="36"/>
      <c r="F5157" s="53" t="s">
        <v>416</v>
      </c>
      <c r="G5157" s="53" t="str">
        <f t="shared" si="498"/>
        <v/>
      </c>
      <c r="H5157" s="72"/>
      <c r="I5157" s="73"/>
      <c r="J5157" s="152">
        <v>0</v>
      </c>
      <c r="L5157" s="215"/>
      <c r="M5157" s="53"/>
      <c r="N5157" s="53" t="str">
        <f t="shared" si="493"/>
        <v/>
      </c>
      <c r="O5157" s="72"/>
      <c r="P5157" s="36" t="str">
        <f t="shared" si="494"/>
        <v/>
      </c>
      <c r="Q5157" s="216" t="str">
        <f t="shared" si="495"/>
        <v/>
      </c>
      <c r="R5157" s="216" t="str">
        <f t="shared" si="496"/>
        <v/>
      </c>
      <c r="S5157" s="217" t="str">
        <f t="shared" si="497"/>
        <v/>
      </c>
    </row>
    <row r="5158" spans="1:19" ht="15.75" hidden="1" thickBot="1" x14ac:dyDescent="0.3">
      <c r="A5158" s="256" t="s">
        <v>3156</v>
      </c>
      <c r="B5158" s="259" t="str">
        <f>INDEX(Orçamentária!A:B,MATCH(Composições!A5158,Orçamentária!A:A,0),2)</f>
        <v>Eliminador de ar para líquidos DN 20 (3/4" NPS)</v>
      </c>
      <c r="C5158" s="40"/>
      <c r="D5158" s="25" t="s">
        <v>16</v>
      </c>
      <c r="E5158" s="26"/>
      <c r="F5158" s="48" t="s">
        <v>416</v>
      </c>
      <c r="G5158" s="27" t="str">
        <f t="shared" si="498"/>
        <v/>
      </c>
      <c r="H5158" s="28"/>
      <c r="I5158" s="29"/>
      <c r="J5158" s="152">
        <v>0</v>
      </c>
      <c r="L5158" s="218"/>
      <c r="M5158" s="48"/>
      <c r="N5158" s="27" t="str">
        <f t="shared" si="493"/>
        <v/>
      </c>
      <c r="O5158" s="28"/>
      <c r="P5158" s="36" t="str">
        <f t="shared" si="494"/>
        <v/>
      </c>
      <c r="Q5158" s="216" t="str">
        <f t="shared" si="495"/>
        <v/>
      </c>
      <c r="R5158" s="216" t="str">
        <f t="shared" si="496"/>
        <v/>
      </c>
      <c r="S5158" s="217" t="str">
        <f t="shared" si="497"/>
        <v/>
      </c>
    </row>
    <row r="5159" spans="1:19" ht="15.75" hidden="1" thickBot="1" x14ac:dyDescent="0.3">
      <c r="A5159" s="257"/>
      <c r="B5159" s="260"/>
      <c r="C5159" s="31"/>
      <c r="D5159" s="31"/>
      <c r="E5159" s="32"/>
      <c r="F5159" s="53" t="s">
        <v>416</v>
      </c>
      <c r="G5159" s="53" t="str">
        <f t="shared" si="498"/>
        <v/>
      </c>
      <c r="H5159" s="72"/>
      <c r="I5159" s="73"/>
      <c r="J5159" s="152">
        <v>0</v>
      </c>
      <c r="L5159" s="219"/>
      <c r="M5159" s="53"/>
      <c r="N5159" s="53" t="str">
        <f t="shared" si="493"/>
        <v/>
      </c>
      <c r="O5159" s="72"/>
      <c r="P5159" s="36" t="str">
        <f t="shared" si="494"/>
        <v/>
      </c>
      <c r="Q5159" s="216" t="str">
        <f t="shared" si="495"/>
        <v/>
      </c>
      <c r="R5159" s="216" t="str">
        <f t="shared" si="496"/>
        <v/>
      </c>
      <c r="S5159" s="217" t="str">
        <f t="shared" si="497"/>
        <v/>
      </c>
    </row>
    <row r="5160" spans="1:19" ht="26.25" hidden="1" thickBot="1" x14ac:dyDescent="0.3">
      <c r="A5160" s="257"/>
      <c r="B5160" s="260"/>
      <c r="C5160" s="35" t="s">
        <v>3209</v>
      </c>
      <c r="D5160" s="35" t="s">
        <v>213</v>
      </c>
      <c r="E5160" s="36">
        <v>1</v>
      </c>
      <c r="F5160" s="30" t="s">
        <v>416</v>
      </c>
      <c r="G5160" s="53" t="str">
        <f t="shared" si="498"/>
        <v/>
      </c>
      <c r="H5160" s="38">
        <f>SUM(G5160:G5162)</f>
        <v>18.802475999999999</v>
      </c>
      <c r="I5160" s="39"/>
      <c r="J5160" s="152">
        <v>0</v>
      </c>
      <c r="L5160" s="215">
        <v>1</v>
      </c>
      <c r="M5160" s="30"/>
      <c r="N5160" s="53" t="str">
        <f t="shared" si="493"/>
        <v/>
      </c>
      <c r="O5160" s="38">
        <f>SUM(N5160:N5162)</f>
        <v>16.094919456000003</v>
      </c>
      <c r="P5160" s="36" t="str">
        <f t="shared" si="494"/>
        <v/>
      </c>
      <c r="Q5160" s="216" t="str">
        <f t="shared" si="495"/>
        <v/>
      </c>
      <c r="R5160" s="216" t="str">
        <f t="shared" si="496"/>
        <v/>
      </c>
      <c r="S5160" s="217">
        <f t="shared" si="497"/>
        <v>0.14399999999999979</v>
      </c>
    </row>
    <row r="5161" spans="1:19" ht="26.25" hidden="1" thickBot="1" x14ac:dyDescent="0.3">
      <c r="A5161" s="257"/>
      <c r="B5161" s="260"/>
      <c r="C5161" s="35" t="s">
        <v>824</v>
      </c>
      <c r="D5161" s="35" t="s">
        <v>583</v>
      </c>
      <c r="E5161" s="36">
        <v>0.39200000000000002</v>
      </c>
      <c r="F5161" s="30">
        <v>21.166</v>
      </c>
      <c r="G5161" s="53">
        <f t="shared" si="498"/>
        <v>8.297072</v>
      </c>
      <c r="H5161" s="72"/>
      <c r="I5161" s="73"/>
      <c r="J5161" s="152">
        <v>0</v>
      </c>
      <c r="L5161" s="215">
        <v>0.39200000000000002</v>
      </c>
      <c r="M5161" s="30">
        <v>18.118096000000001</v>
      </c>
      <c r="N5161" s="53">
        <f t="shared" si="493"/>
        <v>7.1022936320000012</v>
      </c>
      <c r="O5161" s="72"/>
      <c r="P5161" s="36" t="str">
        <f t="shared" si="494"/>
        <v/>
      </c>
      <c r="Q5161" s="216">
        <f t="shared" si="495"/>
        <v>0.14399999999999991</v>
      </c>
      <c r="R5161" s="216">
        <f t="shared" si="496"/>
        <v>0.14399999999999991</v>
      </c>
      <c r="S5161" s="217" t="str">
        <f t="shared" si="497"/>
        <v/>
      </c>
    </row>
    <row r="5162" spans="1:19" ht="26.25" hidden="1" thickBot="1" x14ac:dyDescent="0.3">
      <c r="A5162" s="257"/>
      <c r="B5162" s="260"/>
      <c r="C5162" s="35" t="s">
        <v>825</v>
      </c>
      <c r="D5162" s="35" t="s">
        <v>583</v>
      </c>
      <c r="E5162" s="36">
        <v>0.39200000000000002</v>
      </c>
      <c r="F5162" s="30">
        <v>26.799499999999998</v>
      </c>
      <c r="G5162" s="53">
        <f t="shared" si="498"/>
        <v>10.505404</v>
      </c>
      <c r="H5162" s="72"/>
      <c r="I5162" s="73"/>
      <c r="J5162" s="152">
        <v>0</v>
      </c>
      <c r="L5162" s="215">
        <v>0.39200000000000002</v>
      </c>
      <c r="M5162" s="30">
        <v>22.940372</v>
      </c>
      <c r="N5162" s="53">
        <f t="shared" si="493"/>
        <v>8.992625824000001</v>
      </c>
      <c r="O5162" s="72"/>
      <c r="P5162" s="36" t="str">
        <f t="shared" si="494"/>
        <v/>
      </c>
      <c r="Q5162" s="216">
        <f t="shared" si="495"/>
        <v>0.14399999999999991</v>
      </c>
      <c r="R5162" s="216">
        <f t="shared" si="496"/>
        <v>0.14399999999999991</v>
      </c>
      <c r="S5162" s="217" t="str">
        <f t="shared" si="497"/>
        <v/>
      </c>
    </row>
    <row r="5163" spans="1:19" ht="15.75" hidden="1" thickBot="1" x14ac:dyDescent="0.3">
      <c r="A5163" s="257"/>
      <c r="B5163" s="260"/>
      <c r="C5163" s="35"/>
      <c r="D5163" s="46"/>
      <c r="E5163" s="36"/>
      <c r="F5163" s="53" t="s">
        <v>416</v>
      </c>
      <c r="G5163" s="53" t="str">
        <f t="shared" si="498"/>
        <v/>
      </c>
      <c r="H5163" s="72"/>
      <c r="I5163" s="73"/>
      <c r="J5163" s="152">
        <v>0</v>
      </c>
      <c r="L5163" s="215"/>
      <c r="M5163" s="53"/>
      <c r="N5163" s="53" t="str">
        <f t="shared" si="493"/>
        <v/>
      </c>
      <c r="O5163" s="72"/>
      <c r="P5163" s="36" t="str">
        <f t="shared" si="494"/>
        <v/>
      </c>
      <c r="Q5163" s="216" t="str">
        <f t="shared" si="495"/>
        <v/>
      </c>
      <c r="R5163" s="216" t="str">
        <f t="shared" si="496"/>
        <v/>
      </c>
      <c r="S5163" s="217" t="str">
        <f t="shared" si="497"/>
        <v/>
      </c>
    </row>
    <row r="5164" spans="1:19" ht="15.75" hidden="1" thickBot="1" x14ac:dyDescent="0.3">
      <c r="A5164" s="256" t="s">
        <v>3158</v>
      </c>
      <c r="B5164" s="259" t="str">
        <f>INDEX(Orçamentária!A:B,MATCH(Composições!A5164,Orçamentária!A:A,0),2)</f>
        <v>Flange de pescoço, aço carbono, classe 150, DN 125 (5" NPS)</v>
      </c>
      <c r="C5164" s="40"/>
      <c r="D5164" s="25" t="s">
        <v>16</v>
      </c>
      <c r="E5164" s="26"/>
      <c r="F5164" s="48" t="s">
        <v>416</v>
      </c>
      <c r="G5164" s="27" t="str">
        <f t="shared" si="498"/>
        <v/>
      </c>
      <c r="H5164" s="28"/>
      <c r="I5164" s="29"/>
      <c r="J5164" s="152">
        <v>0</v>
      </c>
      <c r="L5164" s="218"/>
      <c r="M5164" s="48"/>
      <c r="N5164" s="27" t="str">
        <f t="shared" si="493"/>
        <v/>
      </c>
      <c r="O5164" s="28"/>
      <c r="P5164" s="36" t="str">
        <f t="shared" si="494"/>
        <v/>
      </c>
      <c r="Q5164" s="216" t="str">
        <f t="shared" si="495"/>
        <v/>
      </c>
      <c r="R5164" s="216" t="str">
        <f t="shared" si="496"/>
        <v/>
      </c>
      <c r="S5164" s="217" t="str">
        <f t="shared" si="497"/>
        <v/>
      </c>
    </row>
    <row r="5165" spans="1:19" ht="15.75" hidden="1" thickBot="1" x14ac:dyDescent="0.3">
      <c r="A5165" s="257"/>
      <c r="B5165" s="260"/>
      <c r="C5165" s="31"/>
      <c r="D5165" s="31"/>
      <c r="E5165" s="32"/>
      <c r="F5165" s="53" t="s">
        <v>416</v>
      </c>
      <c r="G5165" s="53" t="str">
        <f t="shared" si="498"/>
        <v/>
      </c>
      <c r="H5165" s="72"/>
      <c r="I5165" s="73"/>
      <c r="J5165" s="152">
        <v>0</v>
      </c>
      <c r="L5165" s="219"/>
      <c r="M5165" s="53"/>
      <c r="N5165" s="53" t="str">
        <f t="shared" si="493"/>
        <v/>
      </c>
      <c r="O5165" s="72"/>
      <c r="P5165" s="36" t="str">
        <f t="shared" si="494"/>
        <v/>
      </c>
      <c r="Q5165" s="216" t="str">
        <f t="shared" si="495"/>
        <v/>
      </c>
      <c r="R5165" s="216" t="str">
        <f t="shared" si="496"/>
        <v/>
      </c>
      <c r="S5165" s="217" t="str">
        <f t="shared" si="497"/>
        <v/>
      </c>
    </row>
    <row r="5166" spans="1:19" ht="15.75" hidden="1" thickBot="1" x14ac:dyDescent="0.3">
      <c r="A5166" s="257"/>
      <c r="B5166" s="260"/>
      <c r="C5166" s="35" t="s">
        <v>1037</v>
      </c>
      <c r="D5166" s="35" t="s">
        <v>773</v>
      </c>
      <c r="E5166" s="36">
        <f>ROUND(0.089*1.3,4)</f>
        <v>0.1157</v>
      </c>
      <c r="F5166" s="30">
        <v>36.489499999999992</v>
      </c>
      <c r="G5166" s="53">
        <f t="shared" si="498"/>
        <v>4.2218351499999986</v>
      </c>
      <c r="H5166" s="38">
        <f>SUM(G5166:G5170)</f>
        <v>95.78424115</v>
      </c>
      <c r="I5166" s="39"/>
      <c r="J5166" s="152">
        <v>0</v>
      </c>
      <c r="L5166" s="215">
        <v>0.1157</v>
      </c>
      <c r="M5166" s="30">
        <v>31.235011999999994</v>
      </c>
      <c r="N5166" s="53">
        <f t="shared" si="493"/>
        <v>3.6138908883999994</v>
      </c>
      <c r="O5166" s="38">
        <f>SUM(N5166:N5170)</f>
        <v>81.991310424400012</v>
      </c>
      <c r="P5166" s="36" t="str">
        <f t="shared" si="494"/>
        <v/>
      </c>
      <c r="Q5166" s="216">
        <f t="shared" si="495"/>
        <v>0.14400000000000002</v>
      </c>
      <c r="R5166" s="216">
        <f t="shared" si="496"/>
        <v>0.14399999999999991</v>
      </c>
      <c r="S5166" s="217">
        <f t="shared" si="497"/>
        <v>0.14399999999999991</v>
      </c>
    </row>
    <row r="5167" spans="1:19" ht="15.75" hidden="1" thickBot="1" x14ac:dyDescent="0.3">
      <c r="A5167" s="257"/>
      <c r="B5167" s="260"/>
      <c r="C5167" s="35" t="s">
        <v>3210</v>
      </c>
      <c r="D5167" s="35" t="s">
        <v>213</v>
      </c>
      <c r="E5167" s="36">
        <v>1</v>
      </c>
      <c r="F5167" s="30" t="s">
        <v>416</v>
      </c>
      <c r="G5167" s="53" t="str">
        <f t="shared" si="498"/>
        <v/>
      </c>
      <c r="H5167" s="72"/>
      <c r="I5167" s="73"/>
      <c r="J5167" s="152">
        <v>0</v>
      </c>
      <c r="L5167" s="215">
        <v>1</v>
      </c>
      <c r="M5167" s="30"/>
      <c r="N5167" s="53" t="str">
        <f t="shared" si="493"/>
        <v/>
      </c>
      <c r="O5167" s="72"/>
      <c r="P5167" s="36" t="str">
        <f t="shared" si="494"/>
        <v/>
      </c>
      <c r="Q5167" s="216" t="str">
        <f t="shared" si="495"/>
        <v/>
      </c>
      <c r="R5167" s="216" t="str">
        <f t="shared" si="496"/>
        <v/>
      </c>
      <c r="S5167" s="217" t="str">
        <f t="shared" si="497"/>
        <v/>
      </c>
    </row>
    <row r="5168" spans="1:19" ht="26.25" hidden="1" thickBot="1" x14ac:dyDescent="0.3">
      <c r="A5168" s="257"/>
      <c r="B5168" s="260"/>
      <c r="C5168" s="35" t="s">
        <v>824</v>
      </c>
      <c r="D5168" s="35" t="s">
        <v>583</v>
      </c>
      <c r="E5168" s="36">
        <f>ROUND(0.93*1.3,4)</f>
        <v>1.2090000000000001</v>
      </c>
      <c r="F5168" s="30">
        <v>21.166</v>
      </c>
      <c r="G5168" s="53">
        <f t="shared" si="498"/>
        <v>25.589694000000001</v>
      </c>
      <c r="H5168" s="72"/>
      <c r="I5168" s="73"/>
      <c r="J5168" s="152">
        <v>0</v>
      </c>
      <c r="L5168" s="215">
        <v>1.2090000000000001</v>
      </c>
      <c r="M5168" s="30">
        <v>18.118096000000001</v>
      </c>
      <c r="N5168" s="53">
        <f t="shared" si="493"/>
        <v>21.904778064000002</v>
      </c>
      <c r="O5168" s="72"/>
      <c r="P5168" s="36" t="str">
        <f t="shared" si="494"/>
        <v/>
      </c>
      <c r="Q5168" s="216">
        <f t="shared" si="495"/>
        <v>0.14399999999999991</v>
      </c>
      <c r="R5168" s="216">
        <f t="shared" si="496"/>
        <v>0.14400000000000002</v>
      </c>
      <c r="S5168" s="217" t="str">
        <f t="shared" si="497"/>
        <v/>
      </c>
    </row>
    <row r="5169" spans="1:19" ht="26.25" hidden="1" thickBot="1" x14ac:dyDescent="0.3">
      <c r="A5169" s="257"/>
      <c r="B5169" s="260"/>
      <c r="C5169" s="35" t="s">
        <v>825</v>
      </c>
      <c r="D5169" s="35" t="s">
        <v>583</v>
      </c>
      <c r="E5169" s="36">
        <f>ROUND(0.93*1.3,4)</f>
        <v>1.2090000000000001</v>
      </c>
      <c r="F5169" s="30">
        <v>26.799499999999998</v>
      </c>
      <c r="G5169" s="53">
        <f t="shared" si="498"/>
        <v>32.400595500000001</v>
      </c>
      <c r="H5169" s="72"/>
      <c r="I5169" s="73"/>
      <c r="J5169" s="152">
        <v>0</v>
      </c>
      <c r="L5169" s="215">
        <v>1.2090000000000001</v>
      </c>
      <c r="M5169" s="30">
        <v>22.940372</v>
      </c>
      <c r="N5169" s="53">
        <f t="shared" si="493"/>
        <v>27.734909748000003</v>
      </c>
      <c r="O5169" s="72"/>
      <c r="P5169" s="36" t="str">
        <f t="shared" si="494"/>
        <v/>
      </c>
      <c r="Q5169" s="216">
        <f t="shared" si="495"/>
        <v>0.14399999999999991</v>
      </c>
      <c r="R5169" s="216">
        <f t="shared" si="496"/>
        <v>0.14399999999999991</v>
      </c>
      <c r="S5169" s="217" t="str">
        <f t="shared" si="497"/>
        <v/>
      </c>
    </row>
    <row r="5170" spans="1:19" ht="15.75" hidden="1" thickBot="1" x14ac:dyDescent="0.3">
      <c r="A5170" s="257"/>
      <c r="B5170" s="260"/>
      <c r="C5170" s="35" t="s">
        <v>2908</v>
      </c>
      <c r="D5170" s="35" t="s">
        <v>583</v>
      </c>
      <c r="E5170" s="36">
        <f>ROUND(0.93*1.3,4)</f>
        <v>1.2090000000000001</v>
      </c>
      <c r="F5170" s="53">
        <v>27.7685</v>
      </c>
      <c r="G5170" s="53">
        <f t="shared" si="498"/>
        <v>33.5721165</v>
      </c>
      <c r="H5170" s="72"/>
      <c r="I5170" s="73"/>
      <c r="J5170" s="152">
        <v>0</v>
      </c>
      <c r="L5170" s="215">
        <v>1.2090000000000001</v>
      </c>
      <c r="M5170" s="53">
        <v>23.769835999999998</v>
      </c>
      <c r="N5170" s="53">
        <f t="shared" si="493"/>
        <v>28.737731724</v>
      </c>
      <c r="O5170" s="72"/>
      <c r="P5170" s="36" t="str">
        <f t="shared" si="494"/>
        <v/>
      </c>
      <c r="Q5170" s="216">
        <f t="shared" si="495"/>
        <v>0.14400000000000002</v>
      </c>
      <c r="R5170" s="216">
        <f t="shared" si="496"/>
        <v>0.14400000000000002</v>
      </c>
      <c r="S5170" s="217" t="str">
        <f t="shared" si="497"/>
        <v/>
      </c>
    </row>
    <row r="5171" spans="1:19" ht="15.75" hidden="1" thickBot="1" x14ac:dyDescent="0.3">
      <c r="A5171" s="257"/>
      <c r="B5171" s="260"/>
      <c r="C5171" s="35"/>
      <c r="D5171" s="46"/>
      <c r="E5171" s="36"/>
      <c r="F5171" s="53" t="s">
        <v>416</v>
      </c>
      <c r="G5171" s="53" t="str">
        <f t="shared" si="498"/>
        <v/>
      </c>
      <c r="H5171" s="72"/>
      <c r="I5171" s="73"/>
      <c r="J5171" s="152">
        <v>0</v>
      </c>
      <c r="L5171" s="215"/>
      <c r="M5171" s="53"/>
      <c r="N5171" s="53" t="str">
        <f t="shared" si="493"/>
        <v/>
      </c>
      <c r="O5171" s="72"/>
      <c r="P5171" s="36" t="str">
        <f t="shared" si="494"/>
        <v/>
      </c>
      <c r="Q5171" s="216" t="str">
        <f t="shared" si="495"/>
        <v/>
      </c>
      <c r="R5171" s="216" t="str">
        <f t="shared" si="496"/>
        <v/>
      </c>
      <c r="S5171" s="217" t="str">
        <f t="shared" si="497"/>
        <v/>
      </c>
    </row>
    <row r="5172" spans="1:19" ht="15.75" hidden="1" thickBot="1" x14ac:dyDescent="0.3">
      <c r="A5172" s="256" t="s">
        <v>3160</v>
      </c>
      <c r="B5172" s="259" t="str">
        <f>INDEX(Orçamentária!A:B,MATCH(Composições!A5172,Orçamentária!A:A,0),2)</f>
        <v>Isolamento elastomérico para tubulações de ferro de 5”</v>
      </c>
      <c r="C5172" s="40"/>
      <c r="D5172" s="25" t="s">
        <v>69</v>
      </c>
      <c r="E5172" s="26"/>
      <c r="F5172" s="48" t="s">
        <v>416</v>
      </c>
      <c r="G5172" s="27" t="str">
        <f t="shared" si="498"/>
        <v/>
      </c>
      <c r="H5172" s="28"/>
      <c r="I5172" s="29"/>
      <c r="J5172" s="152">
        <v>0</v>
      </c>
      <c r="L5172" s="218"/>
      <c r="M5172" s="48"/>
      <c r="N5172" s="27" t="str">
        <f t="shared" si="493"/>
        <v/>
      </c>
      <c r="O5172" s="28"/>
      <c r="P5172" s="36" t="str">
        <f t="shared" si="494"/>
        <v/>
      </c>
      <c r="Q5172" s="216" t="str">
        <f t="shared" si="495"/>
        <v/>
      </c>
      <c r="R5172" s="216" t="str">
        <f t="shared" si="496"/>
        <v/>
      </c>
      <c r="S5172" s="217" t="str">
        <f t="shared" si="497"/>
        <v/>
      </c>
    </row>
    <row r="5173" spans="1:19" ht="15.75" hidden="1" thickBot="1" x14ac:dyDescent="0.3">
      <c r="A5173" s="257"/>
      <c r="B5173" s="260"/>
      <c r="C5173" s="31"/>
      <c r="D5173" s="31"/>
      <c r="E5173" s="32"/>
      <c r="F5173" s="53" t="s">
        <v>416</v>
      </c>
      <c r="G5173" s="53" t="str">
        <f t="shared" si="498"/>
        <v/>
      </c>
      <c r="H5173" s="72"/>
      <c r="I5173" s="73"/>
      <c r="J5173" s="152">
        <v>0</v>
      </c>
      <c r="L5173" s="219"/>
      <c r="M5173" s="53"/>
      <c r="N5173" s="53" t="str">
        <f t="shared" si="493"/>
        <v/>
      </c>
      <c r="O5173" s="72"/>
      <c r="P5173" s="36" t="str">
        <f t="shared" si="494"/>
        <v/>
      </c>
      <c r="Q5173" s="216" t="str">
        <f t="shared" si="495"/>
        <v/>
      </c>
      <c r="R5173" s="216" t="str">
        <f t="shared" si="496"/>
        <v/>
      </c>
      <c r="S5173" s="217" t="str">
        <f t="shared" si="497"/>
        <v/>
      </c>
    </row>
    <row r="5174" spans="1:19" ht="39" hidden="1" thickBot="1" x14ac:dyDescent="0.3">
      <c r="A5174" s="257"/>
      <c r="B5174" s="260"/>
      <c r="C5174" s="35" t="s">
        <v>3211</v>
      </c>
      <c r="D5174" s="35" t="s">
        <v>69</v>
      </c>
      <c r="E5174" s="36">
        <v>1.0210999999999999</v>
      </c>
      <c r="F5174" s="30" t="s">
        <v>416</v>
      </c>
      <c r="G5174" s="53" t="str">
        <f t="shared" si="498"/>
        <v/>
      </c>
      <c r="H5174" s="38">
        <f>SUM(G5174:G5176)</f>
        <v>4.6046879999999994</v>
      </c>
      <c r="I5174" s="39"/>
      <c r="J5174" s="152">
        <v>0</v>
      </c>
      <c r="L5174" s="215">
        <v>1.0210999999999999</v>
      </c>
      <c r="M5174" s="30"/>
      <c r="N5174" s="53" t="str">
        <f t="shared" si="493"/>
        <v/>
      </c>
      <c r="O5174" s="38">
        <f>SUM(N5174:N5176)</f>
        <v>3.9416129280000005</v>
      </c>
      <c r="P5174" s="36" t="str">
        <f t="shared" si="494"/>
        <v/>
      </c>
      <c r="Q5174" s="216" t="str">
        <f t="shared" si="495"/>
        <v/>
      </c>
      <c r="R5174" s="216" t="str">
        <f t="shared" si="496"/>
        <v/>
      </c>
      <c r="S5174" s="217">
        <f t="shared" si="497"/>
        <v>0.14399999999999979</v>
      </c>
    </row>
    <row r="5175" spans="1:19" ht="26.25" hidden="1" thickBot="1" x14ac:dyDescent="0.3">
      <c r="A5175" s="257"/>
      <c r="B5175" s="260"/>
      <c r="C5175" s="35" t="s">
        <v>824</v>
      </c>
      <c r="D5175" s="35" t="s">
        <v>583</v>
      </c>
      <c r="E5175" s="36">
        <f>5*0.064*0.3</f>
        <v>9.6000000000000002E-2</v>
      </c>
      <c r="F5175" s="30">
        <v>21.166</v>
      </c>
      <c r="G5175" s="53">
        <f t="shared" si="498"/>
        <v>2.031936</v>
      </c>
      <c r="H5175" s="72"/>
      <c r="I5175" s="73"/>
      <c r="J5175" s="152">
        <v>0</v>
      </c>
      <c r="L5175" s="215">
        <v>9.6000000000000002E-2</v>
      </c>
      <c r="M5175" s="30">
        <v>18.118096000000001</v>
      </c>
      <c r="N5175" s="53">
        <f t="shared" si="493"/>
        <v>1.7393372160000002</v>
      </c>
      <c r="O5175" s="72"/>
      <c r="P5175" s="36" t="str">
        <f t="shared" si="494"/>
        <v/>
      </c>
      <c r="Q5175" s="216">
        <f t="shared" si="495"/>
        <v>0.14399999999999991</v>
      </c>
      <c r="R5175" s="216">
        <f t="shared" si="496"/>
        <v>0.14399999999999991</v>
      </c>
      <c r="S5175" s="217" t="str">
        <f t="shared" si="497"/>
        <v/>
      </c>
    </row>
    <row r="5176" spans="1:19" ht="26.25" hidden="1" thickBot="1" x14ac:dyDescent="0.3">
      <c r="A5176" s="257"/>
      <c r="B5176" s="260"/>
      <c r="C5176" s="35" t="s">
        <v>825</v>
      </c>
      <c r="D5176" s="35" t="s">
        <v>583</v>
      </c>
      <c r="E5176" s="36">
        <f>5*0.064*0.3</f>
        <v>9.6000000000000002E-2</v>
      </c>
      <c r="F5176" s="30">
        <v>26.799499999999998</v>
      </c>
      <c r="G5176" s="53">
        <f t="shared" si="498"/>
        <v>2.5727519999999999</v>
      </c>
      <c r="H5176" s="72"/>
      <c r="I5176" s="73"/>
      <c r="J5176" s="152">
        <v>0</v>
      </c>
      <c r="L5176" s="215">
        <v>9.6000000000000002E-2</v>
      </c>
      <c r="M5176" s="30">
        <v>22.940372</v>
      </c>
      <c r="N5176" s="53">
        <f t="shared" si="493"/>
        <v>2.2022757120000001</v>
      </c>
      <c r="O5176" s="72"/>
      <c r="P5176" s="36" t="str">
        <f t="shared" si="494"/>
        <v/>
      </c>
      <c r="Q5176" s="216">
        <f t="shared" si="495"/>
        <v>0.14399999999999991</v>
      </c>
      <c r="R5176" s="216">
        <f t="shared" si="496"/>
        <v>0.14399999999999991</v>
      </c>
      <c r="S5176" s="217" t="str">
        <f t="shared" si="497"/>
        <v/>
      </c>
    </row>
    <row r="5177" spans="1:19" ht="15.75" hidden="1" thickBot="1" x14ac:dyDescent="0.3">
      <c r="A5177" s="257"/>
      <c r="B5177" s="260"/>
      <c r="C5177" s="35"/>
      <c r="D5177" s="46"/>
      <c r="E5177" s="36"/>
      <c r="F5177" s="53" t="s">
        <v>416</v>
      </c>
      <c r="G5177" s="53" t="str">
        <f t="shared" si="498"/>
        <v/>
      </c>
      <c r="H5177" s="72"/>
      <c r="I5177" s="73"/>
      <c r="J5177" s="152">
        <v>0</v>
      </c>
      <c r="L5177" s="215"/>
      <c r="M5177" s="53"/>
      <c r="N5177" s="53" t="str">
        <f t="shared" si="493"/>
        <v/>
      </c>
      <c r="O5177" s="72"/>
      <c r="P5177" s="36" t="str">
        <f t="shared" si="494"/>
        <v/>
      </c>
      <c r="Q5177" s="216" t="str">
        <f t="shared" si="495"/>
        <v/>
      </c>
      <c r="R5177" s="216" t="str">
        <f t="shared" si="496"/>
        <v/>
      </c>
      <c r="S5177" s="217" t="str">
        <f t="shared" si="497"/>
        <v/>
      </c>
    </row>
    <row r="5178" spans="1:19" ht="15.75" hidden="1" thickBot="1" x14ac:dyDescent="0.3">
      <c r="A5178" s="256" t="s">
        <v>3162</v>
      </c>
      <c r="B5178" s="259" t="str">
        <f>INDEX(Orçamentária!A:B,MATCH(Composições!A5178,Orçamentária!A:A,0),2)</f>
        <v>Meia luva em aço carbono DN 15 (1/2" NPS)</v>
      </c>
      <c r="C5178" s="40"/>
      <c r="D5178" s="25" t="s">
        <v>16</v>
      </c>
      <c r="E5178" s="26"/>
      <c r="F5178" s="48" t="s">
        <v>416</v>
      </c>
      <c r="G5178" s="27" t="str">
        <f t="shared" si="498"/>
        <v/>
      </c>
      <c r="H5178" s="28"/>
      <c r="I5178" s="29"/>
      <c r="J5178" s="152">
        <v>0</v>
      </c>
      <c r="L5178" s="218"/>
      <c r="M5178" s="48"/>
      <c r="N5178" s="27" t="str">
        <f t="shared" si="493"/>
        <v/>
      </c>
      <c r="O5178" s="28"/>
      <c r="P5178" s="36" t="str">
        <f t="shared" si="494"/>
        <v/>
      </c>
      <c r="Q5178" s="216" t="str">
        <f t="shared" si="495"/>
        <v/>
      </c>
      <c r="R5178" s="216" t="str">
        <f t="shared" si="496"/>
        <v/>
      </c>
      <c r="S5178" s="217" t="str">
        <f t="shared" si="497"/>
        <v/>
      </c>
    </row>
    <row r="5179" spans="1:19" ht="15.75" hidden="1" thickBot="1" x14ac:dyDescent="0.3">
      <c r="A5179" s="257"/>
      <c r="B5179" s="260"/>
      <c r="C5179" s="31"/>
      <c r="D5179" s="31"/>
      <c r="E5179" s="32"/>
      <c r="F5179" s="53" t="s">
        <v>416</v>
      </c>
      <c r="G5179" s="53" t="str">
        <f t="shared" si="498"/>
        <v/>
      </c>
      <c r="H5179" s="72"/>
      <c r="I5179" s="73"/>
      <c r="J5179" s="152">
        <v>0</v>
      </c>
      <c r="L5179" s="219"/>
      <c r="M5179" s="53"/>
      <c r="N5179" s="53" t="str">
        <f t="shared" si="493"/>
        <v/>
      </c>
      <c r="O5179" s="72"/>
      <c r="P5179" s="36" t="str">
        <f t="shared" si="494"/>
        <v/>
      </c>
      <c r="Q5179" s="216" t="str">
        <f t="shared" si="495"/>
        <v/>
      </c>
      <c r="R5179" s="216" t="str">
        <f t="shared" si="496"/>
        <v/>
      </c>
      <c r="S5179" s="217" t="str">
        <f t="shared" si="497"/>
        <v/>
      </c>
    </row>
    <row r="5180" spans="1:19" ht="15.75" hidden="1" thickBot="1" x14ac:dyDescent="0.3">
      <c r="A5180" s="257"/>
      <c r="B5180" s="260"/>
      <c r="C5180" s="35" t="s">
        <v>1037</v>
      </c>
      <c r="D5180" s="35" t="s">
        <v>773</v>
      </c>
      <c r="E5180" s="36">
        <v>8.9999999999999993E-3</v>
      </c>
      <c r="F5180" s="30">
        <v>36.489499999999992</v>
      </c>
      <c r="G5180" s="53">
        <f t="shared" si="498"/>
        <v>0.32840549999999991</v>
      </c>
      <c r="H5180" s="38">
        <f>SUM(G5180:G5184)</f>
        <v>8.9620815</v>
      </c>
      <c r="I5180" s="39"/>
      <c r="J5180" s="152">
        <v>0</v>
      </c>
      <c r="L5180" s="215">
        <v>8.9999999999999993E-3</v>
      </c>
      <c r="M5180" s="30">
        <v>31.235011999999994</v>
      </c>
      <c r="N5180" s="53">
        <f t="shared" si="493"/>
        <v>0.28111510799999995</v>
      </c>
      <c r="O5180" s="38">
        <f>SUM(N5180:N5184)</f>
        <v>7.6715417639999997</v>
      </c>
      <c r="P5180" s="36" t="str">
        <f t="shared" si="494"/>
        <v/>
      </c>
      <c r="Q5180" s="216">
        <f t="shared" si="495"/>
        <v>0.14400000000000002</v>
      </c>
      <c r="R5180" s="216">
        <f t="shared" si="496"/>
        <v>0.14399999999999991</v>
      </c>
      <c r="S5180" s="217">
        <f t="shared" si="497"/>
        <v>0.14400000000000002</v>
      </c>
    </row>
    <row r="5181" spans="1:19" ht="26.25" hidden="1" thickBot="1" x14ac:dyDescent="0.3">
      <c r="A5181" s="257"/>
      <c r="B5181" s="260"/>
      <c r="C5181" s="35" t="s">
        <v>3212</v>
      </c>
      <c r="D5181" s="35" t="s">
        <v>213</v>
      </c>
      <c r="E5181" s="36">
        <v>1</v>
      </c>
      <c r="F5181" s="30" t="s">
        <v>416</v>
      </c>
      <c r="G5181" s="53" t="str">
        <f t="shared" si="498"/>
        <v/>
      </c>
      <c r="H5181" s="72"/>
      <c r="I5181" s="73"/>
      <c r="J5181" s="152">
        <v>0</v>
      </c>
      <c r="L5181" s="215">
        <v>1</v>
      </c>
      <c r="M5181" s="30"/>
      <c r="N5181" s="53" t="str">
        <f t="shared" si="493"/>
        <v/>
      </c>
      <c r="O5181" s="72"/>
      <c r="P5181" s="36" t="str">
        <f t="shared" si="494"/>
        <v/>
      </c>
      <c r="Q5181" s="216" t="str">
        <f t="shared" si="495"/>
        <v/>
      </c>
      <c r="R5181" s="216" t="str">
        <f t="shared" si="496"/>
        <v/>
      </c>
      <c r="S5181" s="217" t="str">
        <f t="shared" si="497"/>
        <v/>
      </c>
    </row>
    <row r="5182" spans="1:19" ht="26.25" hidden="1" thickBot="1" x14ac:dyDescent="0.3">
      <c r="A5182" s="257"/>
      <c r="B5182" s="260"/>
      <c r="C5182" s="35" t="s">
        <v>824</v>
      </c>
      <c r="D5182" s="35" t="s">
        <v>583</v>
      </c>
      <c r="E5182" s="36">
        <v>0.114</v>
      </c>
      <c r="F5182" s="30">
        <v>21.166</v>
      </c>
      <c r="G5182" s="53">
        <f t="shared" si="498"/>
        <v>2.4129240000000003</v>
      </c>
      <c r="H5182" s="72"/>
      <c r="I5182" s="73"/>
      <c r="J5182" s="152">
        <v>0</v>
      </c>
      <c r="L5182" s="215">
        <v>0.114</v>
      </c>
      <c r="M5182" s="30">
        <v>18.118096000000001</v>
      </c>
      <c r="N5182" s="53">
        <f t="shared" si="493"/>
        <v>2.0654629440000001</v>
      </c>
      <c r="O5182" s="72"/>
      <c r="P5182" s="36" t="str">
        <f t="shared" si="494"/>
        <v/>
      </c>
      <c r="Q5182" s="216">
        <f t="shared" si="495"/>
        <v>0.14399999999999991</v>
      </c>
      <c r="R5182" s="216">
        <f t="shared" si="496"/>
        <v>0.14400000000000002</v>
      </c>
      <c r="S5182" s="217" t="str">
        <f t="shared" si="497"/>
        <v/>
      </c>
    </row>
    <row r="5183" spans="1:19" ht="26.25" hidden="1" thickBot="1" x14ac:dyDescent="0.3">
      <c r="A5183" s="257"/>
      <c r="B5183" s="260"/>
      <c r="C5183" s="35" t="s">
        <v>825</v>
      </c>
      <c r="D5183" s="35" t="s">
        <v>583</v>
      </c>
      <c r="E5183" s="36">
        <v>0.114</v>
      </c>
      <c r="F5183" s="30">
        <v>26.799499999999998</v>
      </c>
      <c r="G5183" s="53">
        <f t="shared" ref="G5183:G5214" si="499">IF(ISNUMBER(F5183),E5183*F5183,"")</f>
        <v>3.0551429999999997</v>
      </c>
      <c r="H5183" s="72"/>
      <c r="I5183" s="73"/>
      <c r="J5183" s="152">
        <v>0</v>
      </c>
      <c r="L5183" s="215">
        <v>0.114</v>
      </c>
      <c r="M5183" s="30">
        <v>22.940372</v>
      </c>
      <c r="N5183" s="53">
        <f t="shared" ref="N5183:N5228" si="500">IF(ISNUMBER(M5183),L5183*M5183,"")</f>
        <v>2.615202408</v>
      </c>
      <c r="O5183" s="72"/>
      <c r="P5183" s="36" t="str">
        <f t="shared" si="494"/>
        <v/>
      </c>
      <c r="Q5183" s="216">
        <f t="shared" si="495"/>
        <v>0.14399999999999991</v>
      </c>
      <c r="R5183" s="216">
        <f t="shared" si="496"/>
        <v>0.14399999999999991</v>
      </c>
      <c r="S5183" s="217" t="str">
        <f t="shared" si="497"/>
        <v/>
      </c>
    </row>
    <row r="5184" spans="1:19" ht="15.75" hidden="1" thickBot="1" x14ac:dyDescent="0.3">
      <c r="A5184" s="257"/>
      <c r="B5184" s="260"/>
      <c r="C5184" s="35" t="s">
        <v>2908</v>
      </c>
      <c r="D5184" s="35" t="s">
        <v>583</v>
      </c>
      <c r="E5184" s="36">
        <v>0.114</v>
      </c>
      <c r="F5184" s="53">
        <v>27.7685</v>
      </c>
      <c r="G5184" s="53">
        <f t="shared" si="499"/>
        <v>3.1656089999999999</v>
      </c>
      <c r="H5184" s="72"/>
      <c r="I5184" s="73"/>
      <c r="J5184" s="152">
        <v>0</v>
      </c>
      <c r="L5184" s="215">
        <v>0.114</v>
      </c>
      <c r="M5184" s="53">
        <v>23.769835999999998</v>
      </c>
      <c r="N5184" s="53">
        <f t="shared" si="500"/>
        <v>2.7097613039999997</v>
      </c>
      <c r="O5184" s="72"/>
      <c r="P5184" s="36" t="str">
        <f t="shared" si="494"/>
        <v/>
      </c>
      <c r="Q5184" s="216">
        <f t="shared" si="495"/>
        <v>0.14400000000000002</v>
      </c>
      <c r="R5184" s="216">
        <f t="shared" si="496"/>
        <v>0.14400000000000002</v>
      </c>
      <c r="S5184" s="217" t="str">
        <f t="shared" si="497"/>
        <v/>
      </c>
    </row>
    <row r="5185" spans="1:19" ht="15.75" hidden="1" thickBot="1" x14ac:dyDescent="0.3">
      <c r="A5185" s="257"/>
      <c r="B5185" s="260"/>
      <c r="C5185" s="35"/>
      <c r="D5185" s="46"/>
      <c r="E5185" s="36"/>
      <c r="F5185" s="53" t="s">
        <v>416</v>
      </c>
      <c r="G5185" s="53" t="str">
        <f t="shared" si="499"/>
        <v/>
      </c>
      <c r="H5185" s="72"/>
      <c r="I5185" s="73"/>
      <c r="J5185" s="152">
        <v>0</v>
      </c>
      <c r="L5185" s="215"/>
      <c r="M5185" s="53"/>
      <c r="N5185" s="53" t="str">
        <f t="shared" si="500"/>
        <v/>
      </c>
      <c r="O5185" s="72"/>
      <c r="P5185" s="36" t="str">
        <f t="shared" si="494"/>
        <v/>
      </c>
      <c r="Q5185" s="216" t="str">
        <f t="shared" si="495"/>
        <v/>
      </c>
      <c r="R5185" s="216" t="str">
        <f t="shared" si="496"/>
        <v/>
      </c>
      <c r="S5185" s="217" t="str">
        <f t="shared" si="497"/>
        <v/>
      </c>
    </row>
    <row r="5186" spans="1:19" ht="15.75" hidden="1" thickBot="1" x14ac:dyDescent="0.3">
      <c r="A5186" s="256" t="s">
        <v>3164</v>
      </c>
      <c r="B5186" s="259" t="str">
        <f>INDEX(Orçamentária!A:B,MATCH(Composições!A5186,Orçamentária!A:A,0),2)</f>
        <v>Redução concêntrica em aço carbono para solda de topo DN 200 (8" NPS) × DN 125 (5" NPS)</v>
      </c>
      <c r="C5186" s="40"/>
      <c r="D5186" s="25" t="s">
        <v>16</v>
      </c>
      <c r="E5186" s="26"/>
      <c r="F5186" s="48" t="s">
        <v>416</v>
      </c>
      <c r="G5186" s="27" t="str">
        <f t="shared" si="499"/>
        <v/>
      </c>
      <c r="H5186" s="28"/>
      <c r="I5186" s="29"/>
      <c r="J5186" s="152">
        <v>0</v>
      </c>
      <c r="L5186" s="218"/>
      <c r="M5186" s="48"/>
      <c r="N5186" s="27" t="str">
        <f t="shared" si="500"/>
        <v/>
      </c>
      <c r="O5186" s="28"/>
      <c r="P5186" s="36" t="str">
        <f t="shared" si="494"/>
        <v/>
      </c>
      <c r="Q5186" s="216" t="str">
        <f t="shared" si="495"/>
        <v/>
      </c>
      <c r="R5186" s="216" t="str">
        <f t="shared" si="496"/>
        <v/>
      </c>
      <c r="S5186" s="217" t="str">
        <f t="shared" si="497"/>
        <v/>
      </c>
    </row>
    <row r="5187" spans="1:19" ht="15.75" hidden="1" thickBot="1" x14ac:dyDescent="0.3">
      <c r="A5187" s="257"/>
      <c r="B5187" s="260"/>
      <c r="C5187" s="31"/>
      <c r="D5187" s="31"/>
      <c r="E5187" s="32"/>
      <c r="F5187" s="53" t="s">
        <v>416</v>
      </c>
      <c r="G5187" s="53" t="str">
        <f t="shared" si="499"/>
        <v/>
      </c>
      <c r="H5187" s="72"/>
      <c r="I5187" s="73"/>
      <c r="J5187" s="152">
        <v>0</v>
      </c>
      <c r="L5187" s="219"/>
      <c r="M5187" s="53"/>
      <c r="N5187" s="53" t="str">
        <f t="shared" si="500"/>
        <v/>
      </c>
      <c r="O5187" s="72"/>
      <c r="P5187" s="36" t="str">
        <f t="shared" si="494"/>
        <v/>
      </c>
      <c r="Q5187" s="216" t="str">
        <f t="shared" si="495"/>
        <v/>
      </c>
      <c r="R5187" s="216" t="str">
        <f t="shared" si="496"/>
        <v/>
      </c>
      <c r="S5187" s="217" t="str">
        <f t="shared" si="497"/>
        <v/>
      </c>
    </row>
    <row r="5188" spans="1:19" ht="15.75" hidden="1" thickBot="1" x14ac:dyDescent="0.3">
      <c r="A5188" s="257"/>
      <c r="B5188" s="260"/>
      <c r="C5188" s="35" t="s">
        <v>1037</v>
      </c>
      <c r="D5188" s="35" t="s">
        <v>773</v>
      </c>
      <c r="E5188" s="36">
        <f>ROUND(0.089*1.3,4)</f>
        <v>0.1157</v>
      </c>
      <c r="F5188" s="30">
        <v>36.489499999999992</v>
      </c>
      <c r="G5188" s="53">
        <f t="shared" si="499"/>
        <v>4.2218351499999986</v>
      </c>
      <c r="H5188" s="38">
        <f>SUM(G5188:G5192)</f>
        <v>65.263439150000011</v>
      </c>
      <c r="I5188" s="39"/>
      <c r="J5188" s="152">
        <v>0</v>
      </c>
      <c r="L5188" s="215">
        <v>0.1157</v>
      </c>
      <c r="M5188" s="30">
        <v>31.235011999999994</v>
      </c>
      <c r="N5188" s="53">
        <f t="shared" si="500"/>
        <v>3.6138908883999994</v>
      </c>
      <c r="O5188" s="38">
        <f>SUM(N5188:N5192)</f>
        <v>55.865503912400001</v>
      </c>
      <c r="P5188" s="36" t="str">
        <f t="shared" si="494"/>
        <v/>
      </c>
      <c r="Q5188" s="216">
        <f t="shared" si="495"/>
        <v>0.14400000000000002</v>
      </c>
      <c r="R5188" s="216">
        <f t="shared" si="496"/>
        <v>0.14399999999999991</v>
      </c>
      <c r="S5188" s="217">
        <f t="shared" si="497"/>
        <v>0.14400000000000013</v>
      </c>
    </row>
    <row r="5189" spans="1:19" ht="26.25" hidden="1" thickBot="1" x14ac:dyDescent="0.3">
      <c r="A5189" s="257"/>
      <c r="B5189" s="260"/>
      <c r="C5189" s="35" t="s">
        <v>3213</v>
      </c>
      <c r="D5189" s="35" t="s">
        <v>213</v>
      </c>
      <c r="E5189" s="36">
        <v>1</v>
      </c>
      <c r="F5189" s="30" t="s">
        <v>416</v>
      </c>
      <c r="G5189" s="53" t="str">
        <f t="shared" si="499"/>
        <v/>
      </c>
      <c r="H5189" s="72"/>
      <c r="I5189" s="73"/>
      <c r="J5189" s="152">
        <v>0</v>
      </c>
      <c r="L5189" s="215">
        <v>1</v>
      </c>
      <c r="M5189" s="30"/>
      <c r="N5189" s="53" t="str">
        <f t="shared" si="500"/>
        <v/>
      </c>
      <c r="O5189" s="72"/>
      <c r="P5189" s="36" t="str">
        <f t="shared" si="494"/>
        <v/>
      </c>
      <c r="Q5189" s="216" t="str">
        <f t="shared" si="495"/>
        <v/>
      </c>
      <c r="R5189" s="216" t="str">
        <f t="shared" si="496"/>
        <v/>
      </c>
      <c r="S5189" s="217" t="str">
        <f t="shared" si="497"/>
        <v/>
      </c>
    </row>
    <row r="5190" spans="1:19" ht="26.25" hidden="1" thickBot="1" x14ac:dyDescent="0.3">
      <c r="A5190" s="257"/>
      <c r="B5190" s="260"/>
      <c r="C5190" s="35" t="s">
        <v>824</v>
      </c>
      <c r="D5190" s="35" t="s">
        <v>583</v>
      </c>
      <c r="E5190" s="36">
        <f>ROUND(0.62*1.3,4)</f>
        <v>0.80600000000000005</v>
      </c>
      <c r="F5190" s="30">
        <v>21.166</v>
      </c>
      <c r="G5190" s="53">
        <f t="shared" si="499"/>
        <v>17.059796000000002</v>
      </c>
      <c r="H5190" s="72"/>
      <c r="I5190" s="73"/>
      <c r="J5190" s="152">
        <v>0</v>
      </c>
      <c r="L5190" s="215">
        <v>0.80600000000000005</v>
      </c>
      <c r="M5190" s="30">
        <v>18.118096000000001</v>
      </c>
      <c r="N5190" s="53">
        <f t="shared" si="500"/>
        <v>14.603185376000003</v>
      </c>
      <c r="O5190" s="72"/>
      <c r="P5190" s="36" t="str">
        <f t="shared" si="494"/>
        <v/>
      </c>
      <c r="Q5190" s="216">
        <f t="shared" si="495"/>
        <v>0.14399999999999991</v>
      </c>
      <c r="R5190" s="216">
        <f t="shared" si="496"/>
        <v>0.14399999999999991</v>
      </c>
      <c r="S5190" s="217" t="str">
        <f t="shared" si="497"/>
        <v/>
      </c>
    </row>
    <row r="5191" spans="1:19" ht="26.25" hidden="1" thickBot="1" x14ac:dyDescent="0.3">
      <c r="A5191" s="257"/>
      <c r="B5191" s="260"/>
      <c r="C5191" s="35" t="s">
        <v>825</v>
      </c>
      <c r="D5191" s="35" t="s">
        <v>583</v>
      </c>
      <c r="E5191" s="36">
        <f>ROUND(0.62*1.3,4)</f>
        <v>0.80600000000000005</v>
      </c>
      <c r="F5191" s="30">
        <v>26.799499999999998</v>
      </c>
      <c r="G5191" s="53">
        <f t="shared" si="499"/>
        <v>21.600397000000001</v>
      </c>
      <c r="H5191" s="72"/>
      <c r="I5191" s="73"/>
      <c r="J5191" s="152">
        <v>0</v>
      </c>
      <c r="L5191" s="215">
        <v>0.80600000000000005</v>
      </c>
      <c r="M5191" s="30">
        <v>22.940372</v>
      </c>
      <c r="N5191" s="53">
        <f t="shared" si="500"/>
        <v>18.489939832000001</v>
      </c>
      <c r="O5191" s="72"/>
      <c r="P5191" s="36" t="str">
        <f t="shared" si="494"/>
        <v/>
      </c>
      <c r="Q5191" s="216">
        <f t="shared" si="495"/>
        <v>0.14399999999999991</v>
      </c>
      <c r="R5191" s="216">
        <f t="shared" si="496"/>
        <v>0.14400000000000002</v>
      </c>
      <c r="S5191" s="217" t="str">
        <f t="shared" si="497"/>
        <v/>
      </c>
    </row>
    <row r="5192" spans="1:19" ht="15.75" hidden="1" thickBot="1" x14ac:dyDescent="0.3">
      <c r="A5192" s="257"/>
      <c r="B5192" s="260"/>
      <c r="C5192" s="35" t="s">
        <v>2908</v>
      </c>
      <c r="D5192" s="35" t="s">
        <v>583</v>
      </c>
      <c r="E5192" s="36">
        <f>ROUND(0.62*1.3,4)</f>
        <v>0.80600000000000005</v>
      </c>
      <c r="F5192" s="53">
        <v>27.7685</v>
      </c>
      <c r="G5192" s="53">
        <f t="shared" si="499"/>
        <v>22.381411</v>
      </c>
      <c r="H5192" s="72"/>
      <c r="I5192" s="73"/>
      <c r="J5192" s="152">
        <v>0</v>
      </c>
      <c r="L5192" s="215">
        <v>0.80600000000000005</v>
      </c>
      <c r="M5192" s="53">
        <v>23.769835999999998</v>
      </c>
      <c r="N5192" s="53">
        <f t="shared" si="500"/>
        <v>19.158487816000001</v>
      </c>
      <c r="O5192" s="72"/>
      <c r="P5192" s="36" t="str">
        <f t="shared" ref="P5192:P5255" si="501">IF(ISBLANK(L5192),"",IF($E5192&lt;&gt;L5192,"SIM",""))</f>
        <v/>
      </c>
      <c r="Q5192" s="216">
        <f t="shared" ref="Q5192:Q5255" si="502">IF(M5192="","",1-M5192/$F5192)</f>
        <v>0.14400000000000002</v>
      </c>
      <c r="R5192" s="216">
        <f t="shared" ref="R5192:R5255" si="503">IF(N5192="","",1-N5192/$G5192)</f>
        <v>0.14399999999999991</v>
      </c>
      <c r="S5192" s="217" t="str">
        <f t="shared" ref="S5192:S5255" si="504">IF(O5192="","",1-O5192/$H5192)</f>
        <v/>
      </c>
    </row>
    <row r="5193" spans="1:19" ht="15.75" hidden="1" thickBot="1" x14ac:dyDescent="0.3">
      <c r="A5193" s="257"/>
      <c r="B5193" s="260"/>
      <c r="C5193" s="35"/>
      <c r="D5193" s="46"/>
      <c r="E5193" s="36"/>
      <c r="F5193" s="53" t="s">
        <v>416</v>
      </c>
      <c r="G5193" s="53" t="str">
        <f t="shared" si="499"/>
        <v/>
      </c>
      <c r="H5193" s="72"/>
      <c r="I5193" s="73"/>
      <c r="J5193" s="152">
        <v>0</v>
      </c>
      <c r="L5193" s="215"/>
      <c r="M5193" s="53"/>
      <c r="N5193" s="53" t="str">
        <f t="shared" si="500"/>
        <v/>
      </c>
      <c r="O5193" s="72"/>
      <c r="P5193" s="36" t="str">
        <f t="shared" si="501"/>
        <v/>
      </c>
      <c r="Q5193" s="216" t="str">
        <f t="shared" si="502"/>
        <v/>
      </c>
      <c r="R5193" s="216" t="str">
        <f t="shared" si="503"/>
        <v/>
      </c>
      <c r="S5193" s="217" t="str">
        <f t="shared" si="504"/>
        <v/>
      </c>
    </row>
    <row r="5194" spans="1:19" ht="15.75" hidden="1" thickBot="1" x14ac:dyDescent="0.3">
      <c r="A5194" s="256" t="s">
        <v>3176</v>
      </c>
      <c r="B5194" s="259" t="str">
        <f>INDEX(Orçamentária!A:B,MATCH(Composições!A5194,Orçamentária!A:A,0),2)</f>
        <v>Tê em aço carbono para solda de topo DN 200 (8" NPS)</v>
      </c>
      <c r="C5194" s="40"/>
      <c r="D5194" s="25" t="s">
        <v>16</v>
      </c>
      <c r="E5194" s="26"/>
      <c r="F5194" s="48" t="s">
        <v>416</v>
      </c>
      <c r="G5194" s="27" t="str">
        <f t="shared" si="499"/>
        <v/>
      </c>
      <c r="H5194" s="28"/>
      <c r="I5194" s="29"/>
      <c r="J5194" s="152">
        <v>0</v>
      </c>
      <c r="L5194" s="218"/>
      <c r="M5194" s="48"/>
      <c r="N5194" s="27" t="str">
        <f t="shared" si="500"/>
        <v/>
      </c>
      <c r="O5194" s="28"/>
      <c r="P5194" s="36" t="str">
        <f t="shared" si="501"/>
        <v/>
      </c>
      <c r="Q5194" s="216" t="str">
        <f t="shared" si="502"/>
        <v/>
      </c>
      <c r="R5194" s="216" t="str">
        <f t="shared" si="503"/>
        <v/>
      </c>
      <c r="S5194" s="217" t="str">
        <f t="shared" si="504"/>
        <v/>
      </c>
    </row>
    <row r="5195" spans="1:19" ht="15.75" hidden="1" thickBot="1" x14ac:dyDescent="0.3">
      <c r="A5195" s="257"/>
      <c r="B5195" s="260"/>
      <c r="C5195" s="31"/>
      <c r="D5195" s="31"/>
      <c r="E5195" s="32"/>
      <c r="F5195" s="53" t="s">
        <v>416</v>
      </c>
      <c r="G5195" s="53" t="str">
        <f t="shared" si="499"/>
        <v/>
      </c>
      <c r="H5195" s="72"/>
      <c r="I5195" s="73"/>
      <c r="J5195" s="152">
        <v>0</v>
      </c>
      <c r="L5195" s="219"/>
      <c r="M5195" s="53"/>
      <c r="N5195" s="53" t="str">
        <f t="shared" si="500"/>
        <v/>
      </c>
      <c r="O5195" s="72"/>
      <c r="P5195" s="36" t="str">
        <f t="shared" si="501"/>
        <v/>
      </c>
      <c r="Q5195" s="216" t="str">
        <f t="shared" si="502"/>
        <v/>
      </c>
      <c r="R5195" s="216" t="str">
        <f t="shared" si="503"/>
        <v/>
      </c>
      <c r="S5195" s="217" t="str">
        <f t="shared" si="504"/>
        <v/>
      </c>
    </row>
    <row r="5196" spans="1:19" ht="15.75" hidden="1" thickBot="1" x14ac:dyDescent="0.3">
      <c r="A5196" s="257"/>
      <c r="B5196" s="260"/>
      <c r="C5196" s="35" t="s">
        <v>1037</v>
      </c>
      <c r="D5196" s="35" t="s">
        <v>773</v>
      </c>
      <c r="E5196" s="36">
        <f>ROUND(0.133*1.3,4)</f>
        <v>0.1729</v>
      </c>
      <c r="F5196" s="30">
        <v>36.489499999999992</v>
      </c>
      <c r="G5196" s="53">
        <f t="shared" si="499"/>
        <v>6.3090345499999989</v>
      </c>
      <c r="H5196" s="38">
        <f>SUM(G5196:G5200)</f>
        <v>101.02197495</v>
      </c>
      <c r="I5196" s="39"/>
      <c r="J5196" s="152">
        <v>0</v>
      </c>
      <c r="L5196" s="215">
        <v>0.1729</v>
      </c>
      <c r="M5196" s="30">
        <v>31.235011999999994</v>
      </c>
      <c r="N5196" s="53">
        <f t="shared" si="500"/>
        <v>5.400533574799999</v>
      </c>
      <c r="O5196" s="38">
        <f>SUM(N5196:N5200)</f>
        <v>86.474810557199987</v>
      </c>
      <c r="P5196" s="36" t="str">
        <f t="shared" si="501"/>
        <v/>
      </c>
      <c r="Q5196" s="216">
        <f t="shared" si="502"/>
        <v>0.14400000000000002</v>
      </c>
      <c r="R5196" s="216">
        <f t="shared" si="503"/>
        <v>0.14400000000000002</v>
      </c>
      <c r="S5196" s="217">
        <f t="shared" si="504"/>
        <v>0.14400000000000013</v>
      </c>
    </row>
    <row r="5197" spans="1:19" ht="15.75" hidden="1" thickBot="1" x14ac:dyDescent="0.3">
      <c r="A5197" s="257"/>
      <c r="B5197" s="260"/>
      <c r="C5197" s="35" t="s">
        <v>3214</v>
      </c>
      <c r="D5197" s="35" t="s">
        <v>213</v>
      </c>
      <c r="E5197" s="36">
        <v>1</v>
      </c>
      <c r="F5197" s="30" t="s">
        <v>416</v>
      </c>
      <c r="G5197" s="53" t="str">
        <f t="shared" si="499"/>
        <v/>
      </c>
      <c r="H5197" s="72"/>
      <c r="I5197" s="73"/>
      <c r="J5197" s="152">
        <v>0</v>
      </c>
      <c r="L5197" s="215">
        <v>1</v>
      </c>
      <c r="M5197" s="30"/>
      <c r="N5197" s="53" t="str">
        <f t="shared" si="500"/>
        <v/>
      </c>
      <c r="O5197" s="72"/>
      <c r="P5197" s="36" t="str">
        <f t="shared" si="501"/>
        <v/>
      </c>
      <c r="Q5197" s="216" t="str">
        <f t="shared" si="502"/>
        <v/>
      </c>
      <c r="R5197" s="216" t="str">
        <f t="shared" si="503"/>
        <v/>
      </c>
      <c r="S5197" s="217" t="str">
        <f t="shared" si="504"/>
        <v/>
      </c>
    </row>
    <row r="5198" spans="1:19" ht="26.25" hidden="1" thickBot="1" x14ac:dyDescent="0.3">
      <c r="A5198" s="257"/>
      <c r="B5198" s="260"/>
      <c r="C5198" s="35" t="s">
        <v>824</v>
      </c>
      <c r="D5198" s="35" t="s">
        <v>583</v>
      </c>
      <c r="E5198" s="36">
        <f>ROUND(0.962*1.3,4)</f>
        <v>1.2505999999999999</v>
      </c>
      <c r="F5198" s="30">
        <v>21.166</v>
      </c>
      <c r="G5198" s="53">
        <f t="shared" si="499"/>
        <v>26.470199600000001</v>
      </c>
      <c r="H5198" s="72"/>
      <c r="I5198" s="73"/>
      <c r="J5198" s="152">
        <v>0</v>
      </c>
      <c r="L5198" s="215">
        <v>1.2505999999999999</v>
      </c>
      <c r="M5198" s="30">
        <v>18.118096000000001</v>
      </c>
      <c r="N5198" s="53">
        <f t="shared" si="500"/>
        <v>22.6584908576</v>
      </c>
      <c r="O5198" s="72"/>
      <c r="P5198" s="36" t="str">
        <f t="shared" si="501"/>
        <v/>
      </c>
      <c r="Q5198" s="216">
        <f t="shared" si="502"/>
        <v>0.14399999999999991</v>
      </c>
      <c r="R5198" s="216">
        <f t="shared" si="503"/>
        <v>0.14400000000000002</v>
      </c>
      <c r="S5198" s="217" t="str">
        <f t="shared" si="504"/>
        <v/>
      </c>
    </row>
    <row r="5199" spans="1:19" ht="26.25" hidden="1" thickBot="1" x14ac:dyDescent="0.3">
      <c r="A5199" s="257"/>
      <c r="B5199" s="260"/>
      <c r="C5199" s="35" t="s">
        <v>825</v>
      </c>
      <c r="D5199" s="35" t="s">
        <v>583</v>
      </c>
      <c r="E5199" s="36">
        <f>ROUND(0.962*1.3,4)</f>
        <v>1.2505999999999999</v>
      </c>
      <c r="F5199" s="30">
        <v>26.799499999999998</v>
      </c>
      <c r="G5199" s="53">
        <f t="shared" si="499"/>
        <v>33.515454699999999</v>
      </c>
      <c r="H5199" s="72"/>
      <c r="I5199" s="73"/>
      <c r="J5199" s="152">
        <v>0</v>
      </c>
      <c r="L5199" s="215">
        <v>1.2505999999999999</v>
      </c>
      <c r="M5199" s="30">
        <v>22.940372</v>
      </c>
      <c r="N5199" s="53">
        <f t="shared" si="500"/>
        <v>28.689229223199998</v>
      </c>
      <c r="O5199" s="72"/>
      <c r="P5199" s="36" t="str">
        <f t="shared" si="501"/>
        <v/>
      </c>
      <c r="Q5199" s="216">
        <f t="shared" si="502"/>
        <v>0.14399999999999991</v>
      </c>
      <c r="R5199" s="216">
        <f t="shared" si="503"/>
        <v>0.14400000000000002</v>
      </c>
      <c r="S5199" s="217" t="str">
        <f t="shared" si="504"/>
        <v/>
      </c>
    </row>
    <row r="5200" spans="1:19" ht="15.75" hidden="1" thickBot="1" x14ac:dyDescent="0.3">
      <c r="A5200" s="257"/>
      <c r="B5200" s="260"/>
      <c r="C5200" s="35" t="s">
        <v>2908</v>
      </c>
      <c r="D5200" s="35" t="s">
        <v>583</v>
      </c>
      <c r="E5200" s="36">
        <f>ROUND(0.962*1.3,4)</f>
        <v>1.2505999999999999</v>
      </c>
      <c r="F5200" s="53">
        <v>27.7685</v>
      </c>
      <c r="G5200" s="53">
        <f t="shared" si="499"/>
        <v>34.727286100000001</v>
      </c>
      <c r="H5200" s="72"/>
      <c r="I5200" s="73"/>
      <c r="J5200" s="152">
        <v>0</v>
      </c>
      <c r="L5200" s="215">
        <v>1.2505999999999999</v>
      </c>
      <c r="M5200" s="53">
        <v>23.769835999999998</v>
      </c>
      <c r="N5200" s="53">
        <f t="shared" si="500"/>
        <v>29.726556901599995</v>
      </c>
      <c r="O5200" s="72"/>
      <c r="P5200" s="36" t="str">
        <f t="shared" si="501"/>
        <v/>
      </c>
      <c r="Q5200" s="216">
        <f t="shared" si="502"/>
        <v>0.14400000000000002</v>
      </c>
      <c r="R5200" s="216">
        <f t="shared" si="503"/>
        <v>0.14400000000000013</v>
      </c>
      <c r="S5200" s="217" t="str">
        <f t="shared" si="504"/>
        <v/>
      </c>
    </row>
    <row r="5201" spans="1:19" ht="15.75" hidden="1" thickBot="1" x14ac:dyDescent="0.3">
      <c r="A5201" s="257"/>
      <c r="B5201" s="260"/>
      <c r="C5201" s="35"/>
      <c r="D5201" s="46"/>
      <c r="E5201" s="36"/>
      <c r="F5201" s="53" t="s">
        <v>416</v>
      </c>
      <c r="G5201" s="53" t="str">
        <f t="shared" si="499"/>
        <v/>
      </c>
      <c r="H5201" s="72"/>
      <c r="I5201" s="73"/>
      <c r="J5201" s="152">
        <v>0</v>
      </c>
      <c r="L5201" s="215"/>
      <c r="M5201" s="53"/>
      <c r="N5201" s="53" t="str">
        <f t="shared" si="500"/>
        <v/>
      </c>
      <c r="O5201" s="72"/>
      <c r="P5201" s="36" t="str">
        <f t="shared" si="501"/>
        <v/>
      </c>
      <c r="Q5201" s="216" t="str">
        <f t="shared" si="502"/>
        <v/>
      </c>
      <c r="R5201" s="216" t="str">
        <f t="shared" si="503"/>
        <v/>
      </c>
      <c r="S5201" s="217" t="str">
        <f t="shared" si="504"/>
        <v/>
      </c>
    </row>
    <row r="5202" spans="1:19" ht="15.75" hidden="1" thickBot="1" x14ac:dyDescent="0.3">
      <c r="A5202" s="256" t="s">
        <v>3178</v>
      </c>
      <c r="B5202" s="259" t="str">
        <f>INDEX(Orçamentária!A:B,MATCH(Composições!A5202,Orçamentária!A:A,0),2)</f>
        <v>Tubo de aço-carbono preto DN 125 (5" NPS)</v>
      </c>
      <c r="C5202" s="40"/>
      <c r="D5202" s="25" t="s">
        <v>69</v>
      </c>
      <c r="E5202" s="26"/>
      <c r="F5202" s="48" t="s">
        <v>416</v>
      </c>
      <c r="G5202" s="27" t="str">
        <f t="shared" si="499"/>
        <v/>
      </c>
      <c r="H5202" s="28"/>
      <c r="I5202" s="29"/>
      <c r="J5202" s="152">
        <v>0</v>
      </c>
      <c r="L5202" s="218"/>
      <c r="M5202" s="48"/>
      <c r="N5202" s="27" t="str">
        <f t="shared" si="500"/>
        <v/>
      </c>
      <c r="O5202" s="28"/>
      <c r="P5202" s="36" t="str">
        <f t="shared" si="501"/>
        <v/>
      </c>
      <c r="Q5202" s="216" t="str">
        <f t="shared" si="502"/>
        <v/>
      </c>
      <c r="R5202" s="216" t="str">
        <f t="shared" si="503"/>
        <v/>
      </c>
      <c r="S5202" s="217" t="str">
        <f t="shared" si="504"/>
        <v/>
      </c>
    </row>
    <row r="5203" spans="1:19" ht="15.75" hidden="1" thickBot="1" x14ac:dyDescent="0.3">
      <c r="A5203" s="257"/>
      <c r="B5203" s="260"/>
      <c r="C5203" s="31"/>
      <c r="D5203" s="31"/>
      <c r="E5203" s="32"/>
      <c r="F5203" s="53" t="s">
        <v>416</v>
      </c>
      <c r="G5203" s="53" t="str">
        <f t="shared" si="499"/>
        <v/>
      </c>
      <c r="H5203" s="72"/>
      <c r="I5203" s="73"/>
      <c r="J5203" s="152">
        <v>0</v>
      </c>
      <c r="L5203" s="219"/>
      <c r="M5203" s="53"/>
      <c r="N5203" s="53" t="str">
        <f t="shared" si="500"/>
        <v/>
      </c>
      <c r="O5203" s="72"/>
      <c r="P5203" s="36" t="str">
        <f t="shared" si="501"/>
        <v/>
      </c>
      <c r="Q5203" s="216" t="str">
        <f t="shared" si="502"/>
        <v/>
      </c>
      <c r="R5203" s="216" t="str">
        <f t="shared" si="503"/>
        <v/>
      </c>
      <c r="S5203" s="217" t="str">
        <f t="shared" si="504"/>
        <v/>
      </c>
    </row>
    <row r="5204" spans="1:19" ht="39" hidden="1" thickBot="1" x14ac:dyDescent="0.3">
      <c r="A5204" s="257"/>
      <c r="B5204" s="260"/>
      <c r="C5204" s="35" t="s">
        <v>2862</v>
      </c>
      <c r="D5204" s="35" t="s">
        <v>813</v>
      </c>
      <c r="E5204" s="36">
        <v>2.1100000000000001E-2</v>
      </c>
      <c r="F5204" s="30">
        <v>193.6575</v>
      </c>
      <c r="G5204" s="53">
        <f t="shared" si="499"/>
        <v>4.0861732499999999</v>
      </c>
      <c r="H5204" s="38">
        <f>SUM(G5204:G5213)</f>
        <v>307.44434534326399</v>
      </c>
      <c r="I5204" s="39"/>
      <c r="J5204" s="152">
        <v>0</v>
      </c>
      <c r="L5204" s="215">
        <v>2.1100000000000001E-2</v>
      </c>
      <c r="M5204" s="30">
        <v>165.77082000000001</v>
      </c>
      <c r="N5204" s="53">
        <f t="shared" si="500"/>
        <v>3.4977643020000002</v>
      </c>
      <c r="O5204" s="38">
        <f>SUM(N5204:N5213)</f>
        <v>263.17235961383403</v>
      </c>
      <c r="P5204" s="36" t="str">
        <f t="shared" si="501"/>
        <v/>
      </c>
      <c r="Q5204" s="216">
        <f t="shared" si="502"/>
        <v>0.14399999999999991</v>
      </c>
      <c r="R5204" s="216">
        <f t="shared" si="503"/>
        <v>0.14399999999999991</v>
      </c>
      <c r="S5204" s="217">
        <f t="shared" si="504"/>
        <v>0.14399999999999979</v>
      </c>
    </row>
    <row r="5205" spans="1:19" ht="39" hidden="1" thickBot="1" x14ac:dyDescent="0.3">
      <c r="A5205" s="257"/>
      <c r="B5205" s="260"/>
      <c r="C5205" s="35" t="s">
        <v>2869</v>
      </c>
      <c r="D5205" s="35" t="s">
        <v>815</v>
      </c>
      <c r="E5205" s="36">
        <v>4.0300000000000002E-2</v>
      </c>
      <c r="F5205" s="30">
        <v>76.36099999999999</v>
      </c>
      <c r="G5205" s="53">
        <f t="shared" si="499"/>
        <v>3.0773482999999997</v>
      </c>
      <c r="H5205" s="72"/>
      <c r="I5205" s="73"/>
      <c r="J5205" s="152">
        <v>0</v>
      </c>
      <c r="L5205" s="215">
        <v>4.0300000000000002E-2</v>
      </c>
      <c r="M5205" s="30">
        <v>65.365015999999997</v>
      </c>
      <c r="N5205" s="53">
        <f t="shared" si="500"/>
        <v>2.6342101447999999</v>
      </c>
      <c r="O5205" s="72"/>
      <c r="P5205" s="36" t="str">
        <f t="shared" si="501"/>
        <v/>
      </c>
      <c r="Q5205" s="216">
        <f t="shared" si="502"/>
        <v>0.14399999999999991</v>
      </c>
      <c r="R5205" s="216">
        <f t="shared" si="503"/>
        <v>0.14399999999999991</v>
      </c>
      <c r="S5205" s="217" t="str">
        <f t="shared" si="504"/>
        <v/>
      </c>
    </row>
    <row r="5206" spans="1:19" ht="15.75" hidden="1" thickBot="1" x14ac:dyDescent="0.3">
      <c r="A5206" s="257"/>
      <c r="B5206" s="260"/>
      <c r="C5206" s="35" t="s">
        <v>97</v>
      </c>
      <c r="D5206" s="35" t="s">
        <v>773</v>
      </c>
      <c r="E5206" s="36">
        <v>0.1125</v>
      </c>
      <c r="F5206" s="30">
        <v>38</v>
      </c>
      <c r="G5206" s="53">
        <f t="shared" si="499"/>
        <v>4.2750000000000004</v>
      </c>
      <c r="H5206" s="72"/>
      <c r="I5206" s="73"/>
      <c r="J5206" s="152">
        <v>0</v>
      </c>
      <c r="L5206" s="215">
        <v>0.1125</v>
      </c>
      <c r="M5206" s="30">
        <v>32.527999999999999</v>
      </c>
      <c r="N5206" s="53">
        <f t="shared" si="500"/>
        <v>3.6593999999999998</v>
      </c>
      <c r="O5206" s="72"/>
      <c r="P5206" s="36" t="str">
        <f t="shared" si="501"/>
        <v/>
      </c>
      <c r="Q5206" s="216">
        <f t="shared" si="502"/>
        <v>0.14400000000000002</v>
      </c>
      <c r="R5206" s="216">
        <f t="shared" si="503"/>
        <v>0.14400000000000013</v>
      </c>
      <c r="S5206" s="217" t="str">
        <f t="shared" si="504"/>
        <v/>
      </c>
    </row>
    <row r="5207" spans="1:19" ht="15.75" hidden="1" thickBot="1" x14ac:dyDescent="0.3">
      <c r="A5207" s="257"/>
      <c r="B5207" s="260"/>
      <c r="C5207" s="35" t="s">
        <v>2902</v>
      </c>
      <c r="D5207" s="35" t="s">
        <v>583</v>
      </c>
      <c r="E5207" s="36">
        <v>6.5600000000000006E-2</v>
      </c>
      <c r="F5207" s="30">
        <v>21.213499999999996</v>
      </c>
      <c r="G5207" s="53">
        <f t="shared" si="499"/>
        <v>1.3916055999999999</v>
      </c>
      <c r="H5207" s="72"/>
      <c r="I5207" s="73"/>
      <c r="J5207" s="152">
        <v>0</v>
      </c>
      <c r="L5207" s="215">
        <v>6.5600000000000006E-2</v>
      </c>
      <c r="M5207" s="30">
        <v>18.158755999999997</v>
      </c>
      <c r="N5207" s="53">
        <f t="shared" si="500"/>
        <v>1.1912143935999999</v>
      </c>
      <c r="O5207" s="72"/>
      <c r="P5207" s="36" t="str">
        <f t="shared" si="501"/>
        <v/>
      </c>
      <c r="Q5207" s="216">
        <f t="shared" si="502"/>
        <v>0.14400000000000002</v>
      </c>
      <c r="R5207" s="216">
        <f t="shared" si="503"/>
        <v>0.14400000000000002</v>
      </c>
      <c r="S5207" s="217" t="str">
        <f t="shared" si="504"/>
        <v/>
      </c>
    </row>
    <row r="5208" spans="1:19" ht="15.75" hidden="1" thickBot="1" x14ac:dyDescent="0.3">
      <c r="A5208" s="257"/>
      <c r="B5208" s="260"/>
      <c r="C5208" s="35" t="s">
        <v>584</v>
      </c>
      <c r="D5208" s="35" t="s">
        <v>583</v>
      </c>
      <c r="E5208" s="36">
        <v>6.5600000000000006E-2</v>
      </c>
      <c r="F5208" s="53">
        <v>20.225499999999997</v>
      </c>
      <c r="G5208" s="53">
        <f t="shared" si="499"/>
        <v>1.3267928</v>
      </c>
      <c r="H5208" s="72"/>
      <c r="I5208" s="73"/>
      <c r="J5208" s="152">
        <v>0</v>
      </c>
      <c r="L5208" s="215">
        <v>6.5600000000000006E-2</v>
      </c>
      <c r="M5208" s="53">
        <v>17.313027999999996</v>
      </c>
      <c r="N5208" s="53">
        <f t="shared" si="500"/>
        <v>1.1357346367999999</v>
      </c>
      <c r="O5208" s="72"/>
      <c r="P5208" s="36" t="str">
        <f t="shared" si="501"/>
        <v/>
      </c>
      <c r="Q5208" s="216">
        <f t="shared" si="502"/>
        <v>0.14400000000000013</v>
      </c>
      <c r="R5208" s="216">
        <f t="shared" si="503"/>
        <v>0.14400000000000013</v>
      </c>
      <c r="S5208" s="217" t="str">
        <f t="shared" si="504"/>
        <v/>
      </c>
    </row>
    <row r="5209" spans="1:19" ht="15.75" hidden="1" thickBot="1" x14ac:dyDescent="0.3">
      <c r="A5209" s="257"/>
      <c r="B5209" s="260"/>
      <c r="C5209" s="35" t="s">
        <v>2908</v>
      </c>
      <c r="D5209" s="35" t="s">
        <v>583</v>
      </c>
      <c r="E5209" s="36">
        <v>0.28749999999999998</v>
      </c>
      <c r="F5209" s="53">
        <v>27.7685</v>
      </c>
      <c r="G5209" s="53">
        <f t="shared" si="499"/>
        <v>7.9834437499999993</v>
      </c>
      <c r="H5209" s="72"/>
      <c r="I5209" s="73"/>
      <c r="J5209" s="152">
        <v>0</v>
      </c>
      <c r="L5209" s="215">
        <v>0.28749999999999998</v>
      </c>
      <c r="M5209" s="53">
        <v>23.769835999999998</v>
      </c>
      <c r="N5209" s="53">
        <f t="shared" si="500"/>
        <v>6.8338278499999987</v>
      </c>
      <c r="O5209" s="72"/>
      <c r="P5209" s="36" t="str">
        <f t="shared" si="501"/>
        <v/>
      </c>
      <c r="Q5209" s="216">
        <f t="shared" si="502"/>
        <v>0.14400000000000002</v>
      </c>
      <c r="R5209" s="216">
        <f t="shared" si="503"/>
        <v>0.14400000000000013</v>
      </c>
      <c r="S5209" s="217" t="str">
        <f t="shared" si="504"/>
        <v/>
      </c>
    </row>
    <row r="5210" spans="1:19" ht="26.25" hidden="1" thickBot="1" x14ac:dyDescent="0.3">
      <c r="A5210" s="257"/>
      <c r="B5210" s="260"/>
      <c r="C5210" s="35" t="s">
        <v>3065</v>
      </c>
      <c r="D5210" s="35" t="s">
        <v>385</v>
      </c>
      <c r="E5210" s="36">
        <v>1</v>
      </c>
      <c r="F5210" s="53">
        <v>260.59449999999998</v>
      </c>
      <c r="G5210" s="53">
        <f t="shared" si="499"/>
        <v>260.59449999999998</v>
      </c>
      <c r="H5210" s="72"/>
      <c r="I5210" s="73"/>
      <c r="J5210" s="152">
        <v>0</v>
      </c>
      <c r="L5210" s="215">
        <v>1</v>
      </c>
      <c r="M5210" s="53">
        <v>223.06889200000001</v>
      </c>
      <c r="N5210" s="53">
        <f t="shared" si="500"/>
        <v>223.06889200000001</v>
      </c>
      <c r="O5210" s="72"/>
      <c r="P5210" s="36" t="str">
        <f t="shared" si="501"/>
        <v/>
      </c>
      <c r="Q5210" s="216">
        <f t="shared" si="502"/>
        <v>0.14399999999999991</v>
      </c>
      <c r="R5210" s="216">
        <f t="shared" si="503"/>
        <v>0.14399999999999991</v>
      </c>
      <c r="S5210" s="217" t="str">
        <f t="shared" si="504"/>
        <v/>
      </c>
    </row>
    <row r="5211" spans="1:19" ht="39" hidden="1" thickBot="1" x14ac:dyDescent="0.3">
      <c r="A5211" s="257"/>
      <c r="B5211" s="260"/>
      <c r="C5211" s="35" t="s">
        <v>3073</v>
      </c>
      <c r="D5211" s="35" t="s">
        <v>1141</v>
      </c>
      <c r="E5211" s="36">
        <v>2.1760000000000002E-2</v>
      </c>
      <c r="F5211" s="53">
        <v>35.766722900000005</v>
      </c>
      <c r="G5211" s="53">
        <f t="shared" si="499"/>
        <v>0.77828389030400014</v>
      </c>
      <c r="H5211" s="72"/>
      <c r="I5211" s="73"/>
      <c r="J5211" s="152">
        <v>0</v>
      </c>
      <c r="L5211" s="215">
        <v>2.1760000000000002E-2</v>
      </c>
      <c r="M5211" s="53">
        <v>30.616314802400005</v>
      </c>
      <c r="N5211" s="53">
        <f t="shared" si="500"/>
        <v>0.66621101010022421</v>
      </c>
      <c r="O5211" s="72"/>
      <c r="P5211" s="36" t="str">
        <f t="shared" si="501"/>
        <v/>
      </c>
      <c r="Q5211" s="216">
        <f t="shared" si="502"/>
        <v>0.14400000000000002</v>
      </c>
      <c r="R5211" s="216">
        <f t="shared" si="503"/>
        <v>0.14399999999999991</v>
      </c>
      <c r="S5211" s="217" t="str">
        <f t="shared" si="504"/>
        <v/>
      </c>
    </row>
    <row r="5212" spans="1:19" ht="39" hidden="1" thickBot="1" x14ac:dyDescent="0.3">
      <c r="A5212" s="257"/>
      <c r="B5212" s="260"/>
      <c r="C5212" s="35" t="s">
        <v>3069</v>
      </c>
      <c r="D5212" s="35" t="s">
        <v>1270</v>
      </c>
      <c r="E5212" s="36">
        <v>0.65280000000000005</v>
      </c>
      <c r="F5212" s="53">
        <v>2.5693519499999997</v>
      </c>
      <c r="G5212" s="53">
        <f t="shared" si="499"/>
        <v>1.6772729529599999</v>
      </c>
      <c r="H5212" s="72"/>
      <c r="I5212" s="73"/>
      <c r="J5212" s="152">
        <v>0</v>
      </c>
      <c r="L5212" s="215">
        <v>0.65280000000000005</v>
      </c>
      <c r="M5212" s="53">
        <v>2.1993652691999999</v>
      </c>
      <c r="N5212" s="53">
        <f t="shared" si="500"/>
        <v>1.43574564773376</v>
      </c>
      <c r="O5212" s="72"/>
      <c r="P5212" s="36" t="str">
        <f t="shared" si="501"/>
        <v/>
      </c>
      <c r="Q5212" s="216">
        <f t="shared" si="502"/>
        <v>0.14399999999999991</v>
      </c>
      <c r="R5212" s="216">
        <f t="shared" si="503"/>
        <v>0.14399999999999991</v>
      </c>
      <c r="S5212" s="217" t="str">
        <f t="shared" si="504"/>
        <v/>
      </c>
    </row>
    <row r="5213" spans="1:19" ht="51.75" hidden="1" thickBot="1" x14ac:dyDescent="0.3">
      <c r="A5213" s="257"/>
      <c r="B5213" s="260"/>
      <c r="C5213" s="35" t="s">
        <v>3070</v>
      </c>
      <c r="D5213" s="35" t="s">
        <v>1270</v>
      </c>
      <c r="E5213" s="36">
        <v>21.76</v>
      </c>
      <c r="F5213" s="53">
        <v>1.0226987500000002</v>
      </c>
      <c r="G5213" s="53">
        <f t="shared" si="499"/>
        <v>22.253924800000007</v>
      </c>
      <c r="H5213" s="72"/>
      <c r="I5213" s="73"/>
      <c r="J5213" s="152">
        <v>0</v>
      </c>
      <c r="L5213" s="215">
        <v>21.76</v>
      </c>
      <c r="M5213" s="53">
        <v>0.87543013000000025</v>
      </c>
      <c r="N5213" s="53">
        <f t="shared" si="500"/>
        <v>19.049359628800008</v>
      </c>
      <c r="O5213" s="72"/>
      <c r="P5213" s="36" t="str">
        <f t="shared" si="501"/>
        <v/>
      </c>
      <c r="Q5213" s="216">
        <f t="shared" si="502"/>
        <v>0.14399999999999991</v>
      </c>
      <c r="R5213" s="216">
        <f t="shared" si="503"/>
        <v>0.14399999999999991</v>
      </c>
      <c r="S5213" s="217" t="str">
        <f t="shared" si="504"/>
        <v/>
      </c>
    </row>
    <row r="5214" spans="1:19" ht="15.75" hidden="1" thickBot="1" x14ac:dyDescent="0.3">
      <c r="A5214" s="257"/>
      <c r="B5214" s="260"/>
      <c r="C5214" s="35"/>
      <c r="D5214" s="35"/>
      <c r="E5214" s="36"/>
      <c r="F5214" s="53" t="s">
        <v>416</v>
      </c>
      <c r="G5214" s="53" t="str">
        <f t="shared" si="499"/>
        <v/>
      </c>
      <c r="H5214" s="72"/>
      <c r="I5214" s="73"/>
      <c r="J5214" s="152">
        <v>0</v>
      </c>
      <c r="L5214" s="215"/>
      <c r="M5214" s="53"/>
      <c r="N5214" s="53" t="str">
        <f t="shared" si="500"/>
        <v/>
      </c>
      <c r="O5214" s="72"/>
      <c r="P5214" s="36" t="str">
        <f t="shared" si="501"/>
        <v/>
      </c>
      <c r="Q5214" s="216" t="str">
        <f t="shared" si="502"/>
        <v/>
      </c>
      <c r="R5214" s="216" t="str">
        <f t="shared" si="503"/>
        <v/>
      </c>
      <c r="S5214" s="217" t="str">
        <f t="shared" si="504"/>
        <v/>
      </c>
    </row>
    <row r="5215" spans="1:19" ht="15.75" hidden="1" thickBot="1" x14ac:dyDescent="0.3">
      <c r="A5215" s="257"/>
      <c r="B5215" s="260"/>
      <c r="C5215" s="47" t="s">
        <v>5863</v>
      </c>
      <c r="D5215" s="35"/>
      <c r="E5215" s="36"/>
      <c r="F5215" s="53" t="s">
        <v>416</v>
      </c>
      <c r="G5215" s="53" t="str">
        <f t="shared" ref="G5215:G5228" si="505">IF(ISNUMBER(F5215),E5215*F5215,"")</f>
        <v/>
      </c>
      <c r="H5215" s="72"/>
      <c r="I5215" s="73"/>
      <c r="J5215" s="152">
        <v>0</v>
      </c>
      <c r="L5215" s="215"/>
      <c r="M5215" s="53"/>
      <c r="N5215" s="53" t="str">
        <f t="shared" si="500"/>
        <v/>
      </c>
      <c r="O5215" s="72"/>
      <c r="P5215" s="36" t="str">
        <f t="shared" si="501"/>
        <v/>
      </c>
      <c r="Q5215" s="216" t="str">
        <f t="shared" si="502"/>
        <v/>
      </c>
      <c r="R5215" s="216" t="str">
        <f t="shared" si="503"/>
        <v/>
      </c>
      <c r="S5215" s="217" t="str">
        <f t="shared" si="504"/>
        <v/>
      </c>
    </row>
    <row r="5216" spans="1:19" ht="15.75" hidden="1" thickBot="1" x14ac:dyDescent="0.3">
      <c r="A5216" s="257"/>
      <c r="B5216" s="260"/>
      <c r="C5216" s="35"/>
      <c r="D5216" s="46"/>
      <c r="E5216" s="36"/>
      <c r="F5216" s="53" t="s">
        <v>416</v>
      </c>
      <c r="G5216" s="53" t="str">
        <f t="shared" si="505"/>
        <v/>
      </c>
      <c r="H5216" s="72"/>
      <c r="I5216" s="73"/>
      <c r="J5216" s="152">
        <v>0</v>
      </c>
      <c r="L5216" s="215"/>
      <c r="M5216" s="53"/>
      <c r="N5216" s="53" t="str">
        <f t="shared" si="500"/>
        <v/>
      </c>
      <c r="O5216" s="72"/>
      <c r="P5216" s="36" t="str">
        <f t="shared" si="501"/>
        <v/>
      </c>
      <c r="Q5216" s="216" t="str">
        <f t="shared" si="502"/>
        <v/>
      </c>
      <c r="R5216" s="216" t="str">
        <f t="shared" si="503"/>
        <v/>
      </c>
      <c r="S5216" s="217" t="str">
        <f t="shared" si="504"/>
        <v/>
      </c>
    </row>
    <row r="5217" spans="1:19" ht="15.75" hidden="1" thickBot="1" x14ac:dyDescent="0.3">
      <c r="A5217" s="256" t="s">
        <v>3180</v>
      </c>
      <c r="B5217" s="259" t="str">
        <f>INDEX(Orçamentária!A:B,MATCH(Composições!A5217,Orçamentária!A:A,0),2)</f>
        <v>Tubo de aço-carbono preto DN 200 (8" NPS)</v>
      </c>
      <c r="C5217" s="40"/>
      <c r="D5217" s="25" t="s">
        <v>69</v>
      </c>
      <c r="E5217" s="26"/>
      <c r="F5217" s="48" t="s">
        <v>416</v>
      </c>
      <c r="G5217" s="27" t="str">
        <f t="shared" si="505"/>
        <v/>
      </c>
      <c r="H5217" s="28"/>
      <c r="I5217" s="29"/>
      <c r="J5217" s="152">
        <v>0</v>
      </c>
      <c r="L5217" s="218"/>
      <c r="M5217" s="48"/>
      <c r="N5217" s="27" t="str">
        <f t="shared" si="500"/>
        <v/>
      </c>
      <c r="O5217" s="28"/>
      <c r="P5217" s="36" t="str">
        <f t="shared" si="501"/>
        <v/>
      </c>
      <c r="Q5217" s="216" t="str">
        <f t="shared" si="502"/>
        <v/>
      </c>
      <c r="R5217" s="216" t="str">
        <f t="shared" si="503"/>
        <v/>
      </c>
      <c r="S5217" s="217" t="str">
        <f t="shared" si="504"/>
        <v/>
      </c>
    </row>
    <row r="5218" spans="1:19" ht="15.75" hidden="1" thickBot="1" x14ac:dyDescent="0.3">
      <c r="A5218" s="257"/>
      <c r="B5218" s="260"/>
      <c r="C5218" s="31"/>
      <c r="D5218" s="31"/>
      <c r="E5218" s="32"/>
      <c r="F5218" s="53" t="s">
        <v>416</v>
      </c>
      <c r="G5218" s="53" t="str">
        <f t="shared" si="505"/>
        <v/>
      </c>
      <c r="H5218" s="72"/>
      <c r="I5218" s="73"/>
      <c r="J5218" s="152">
        <v>0</v>
      </c>
      <c r="L5218" s="219"/>
      <c r="M5218" s="53"/>
      <c r="N5218" s="53" t="str">
        <f t="shared" si="500"/>
        <v/>
      </c>
      <c r="O5218" s="72"/>
      <c r="P5218" s="36" t="str">
        <f t="shared" si="501"/>
        <v/>
      </c>
      <c r="Q5218" s="216" t="str">
        <f t="shared" si="502"/>
        <v/>
      </c>
      <c r="R5218" s="216" t="str">
        <f t="shared" si="503"/>
        <v/>
      </c>
      <c r="S5218" s="217" t="str">
        <f t="shared" si="504"/>
        <v/>
      </c>
    </row>
    <row r="5219" spans="1:19" ht="39" hidden="1" thickBot="1" x14ac:dyDescent="0.3">
      <c r="A5219" s="257"/>
      <c r="B5219" s="260"/>
      <c r="C5219" s="35" t="s">
        <v>2862</v>
      </c>
      <c r="D5219" s="35" t="s">
        <v>813</v>
      </c>
      <c r="E5219" s="36">
        <v>2.1100000000000001E-2</v>
      </c>
      <c r="F5219" s="30">
        <v>193.6575</v>
      </c>
      <c r="G5219" s="53">
        <f t="shared" si="505"/>
        <v>4.0861732499999999</v>
      </c>
      <c r="H5219" s="38">
        <f>SUM(G5219:G5230)</f>
        <v>515.86146289004751</v>
      </c>
      <c r="I5219" s="39"/>
      <c r="J5219" s="152">
        <v>0</v>
      </c>
      <c r="L5219" s="215">
        <v>2.1100000000000001E-2</v>
      </c>
      <c r="M5219" s="30">
        <v>165.77082000000001</v>
      </c>
      <c r="N5219" s="53">
        <f t="shared" si="500"/>
        <v>3.4977643020000002</v>
      </c>
      <c r="O5219" s="38">
        <f>SUM(N5219:N5230)</f>
        <v>441.57741223388069</v>
      </c>
      <c r="P5219" s="36" t="str">
        <f t="shared" si="501"/>
        <v/>
      </c>
      <c r="Q5219" s="216">
        <f t="shared" si="502"/>
        <v>0.14399999999999991</v>
      </c>
      <c r="R5219" s="216">
        <f t="shared" si="503"/>
        <v>0.14399999999999991</v>
      </c>
      <c r="S5219" s="217">
        <f t="shared" si="504"/>
        <v>0.14399999999999991</v>
      </c>
    </row>
    <row r="5220" spans="1:19" ht="39" hidden="1" thickBot="1" x14ac:dyDescent="0.3">
      <c r="A5220" s="257"/>
      <c r="B5220" s="260"/>
      <c r="C5220" s="35" t="s">
        <v>2869</v>
      </c>
      <c r="D5220" s="35" t="s">
        <v>815</v>
      </c>
      <c r="E5220" s="36">
        <v>4.0300000000000002E-2</v>
      </c>
      <c r="F5220" s="30">
        <v>76.36099999999999</v>
      </c>
      <c r="G5220" s="53">
        <f t="shared" si="505"/>
        <v>3.0773482999999997</v>
      </c>
      <c r="H5220" s="72"/>
      <c r="I5220" s="73"/>
      <c r="J5220" s="152">
        <v>0</v>
      </c>
      <c r="L5220" s="215">
        <v>4.0300000000000002E-2</v>
      </c>
      <c r="M5220" s="30">
        <v>65.365015999999997</v>
      </c>
      <c r="N5220" s="53">
        <f t="shared" si="500"/>
        <v>2.6342101447999999</v>
      </c>
      <c r="O5220" s="72"/>
      <c r="P5220" s="36" t="str">
        <f t="shared" si="501"/>
        <v/>
      </c>
      <c r="Q5220" s="216">
        <f t="shared" si="502"/>
        <v>0.14399999999999991</v>
      </c>
      <c r="R5220" s="216">
        <f t="shared" si="503"/>
        <v>0.14399999999999991</v>
      </c>
      <c r="S5220" s="217" t="str">
        <f t="shared" si="504"/>
        <v/>
      </c>
    </row>
    <row r="5221" spans="1:19" ht="15.75" hidden="1" thickBot="1" x14ac:dyDescent="0.3">
      <c r="A5221" s="257"/>
      <c r="B5221" s="260"/>
      <c r="C5221" s="35" t="s">
        <v>97</v>
      </c>
      <c r="D5221" s="35" t="s">
        <v>773</v>
      </c>
      <c r="E5221" s="36">
        <v>0.15</v>
      </c>
      <c r="F5221" s="30">
        <v>38</v>
      </c>
      <c r="G5221" s="53">
        <f t="shared" si="505"/>
        <v>5.7</v>
      </c>
      <c r="H5221" s="72"/>
      <c r="I5221" s="73"/>
      <c r="J5221" s="152">
        <v>0</v>
      </c>
      <c r="L5221" s="215">
        <v>0.15</v>
      </c>
      <c r="M5221" s="30">
        <v>32.527999999999999</v>
      </c>
      <c r="N5221" s="53">
        <f t="shared" si="500"/>
        <v>4.8792</v>
      </c>
      <c r="O5221" s="72"/>
      <c r="P5221" s="36" t="str">
        <f t="shared" si="501"/>
        <v/>
      </c>
      <c r="Q5221" s="216">
        <f t="shared" si="502"/>
        <v>0.14400000000000002</v>
      </c>
      <c r="R5221" s="216">
        <f t="shared" si="503"/>
        <v>0.14400000000000002</v>
      </c>
      <c r="S5221" s="217" t="str">
        <f t="shared" si="504"/>
        <v/>
      </c>
    </row>
    <row r="5222" spans="1:19" ht="15.75" hidden="1" thickBot="1" x14ac:dyDescent="0.3">
      <c r="A5222" s="257"/>
      <c r="B5222" s="260"/>
      <c r="C5222" s="35" t="s">
        <v>2902</v>
      </c>
      <c r="D5222" s="35" t="s">
        <v>583</v>
      </c>
      <c r="E5222" s="36">
        <v>6.5600000000000006E-2</v>
      </c>
      <c r="F5222" s="30">
        <v>21.213499999999996</v>
      </c>
      <c r="G5222" s="53">
        <f t="shared" si="505"/>
        <v>1.3916055999999999</v>
      </c>
      <c r="H5222" s="72"/>
      <c r="I5222" s="73"/>
      <c r="J5222" s="152">
        <v>0</v>
      </c>
      <c r="L5222" s="215">
        <v>6.5600000000000006E-2</v>
      </c>
      <c r="M5222" s="30">
        <v>18.158755999999997</v>
      </c>
      <c r="N5222" s="53">
        <f t="shared" si="500"/>
        <v>1.1912143935999999</v>
      </c>
      <c r="O5222" s="72"/>
      <c r="P5222" s="36" t="str">
        <f t="shared" si="501"/>
        <v/>
      </c>
      <c r="Q5222" s="216">
        <f t="shared" si="502"/>
        <v>0.14400000000000002</v>
      </c>
      <c r="R5222" s="216">
        <f t="shared" si="503"/>
        <v>0.14400000000000002</v>
      </c>
      <c r="S5222" s="217" t="str">
        <f t="shared" si="504"/>
        <v/>
      </c>
    </row>
    <row r="5223" spans="1:19" ht="15.75" hidden="1" thickBot="1" x14ac:dyDescent="0.3">
      <c r="A5223" s="257"/>
      <c r="B5223" s="260"/>
      <c r="C5223" s="35" t="s">
        <v>584</v>
      </c>
      <c r="D5223" s="35" t="s">
        <v>583</v>
      </c>
      <c r="E5223" s="36">
        <v>6.5600000000000006E-2</v>
      </c>
      <c r="F5223" s="53">
        <v>20.225499999999997</v>
      </c>
      <c r="G5223" s="53">
        <f t="shared" si="505"/>
        <v>1.3267928</v>
      </c>
      <c r="H5223" s="72"/>
      <c r="I5223" s="73"/>
      <c r="J5223" s="152">
        <v>0</v>
      </c>
      <c r="L5223" s="215">
        <v>6.5600000000000006E-2</v>
      </c>
      <c r="M5223" s="53">
        <v>17.313027999999996</v>
      </c>
      <c r="N5223" s="53">
        <f t="shared" si="500"/>
        <v>1.1357346367999999</v>
      </c>
      <c r="O5223" s="72"/>
      <c r="P5223" s="36" t="str">
        <f t="shared" si="501"/>
        <v/>
      </c>
      <c r="Q5223" s="216">
        <f t="shared" si="502"/>
        <v>0.14400000000000013</v>
      </c>
      <c r="R5223" s="216">
        <f t="shared" si="503"/>
        <v>0.14400000000000013</v>
      </c>
      <c r="S5223" s="217" t="str">
        <f t="shared" si="504"/>
        <v/>
      </c>
    </row>
    <row r="5224" spans="1:19" ht="15.75" hidden="1" thickBot="1" x14ac:dyDescent="0.3">
      <c r="A5224" s="257"/>
      <c r="B5224" s="260"/>
      <c r="C5224" s="35" t="s">
        <v>2908</v>
      </c>
      <c r="D5224" s="35" t="s">
        <v>583</v>
      </c>
      <c r="E5224" s="36">
        <v>0.38340000000000002</v>
      </c>
      <c r="F5224" s="53">
        <v>27.7685</v>
      </c>
      <c r="G5224" s="53">
        <f t="shared" si="505"/>
        <v>10.6464429</v>
      </c>
      <c r="H5224" s="72"/>
      <c r="I5224" s="73"/>
      <c r="J5224" s="152">
        <v>0</v>
      </c>
      <c r="L5224" s="215">
        <v>0.38340000000000002</v>
      </c>
      <c r="M5224" s="53">
        <v>23.769835999999998</v>
      </c>
      <c r="N5224" s="53">
        <f t="shared" si="500"/>
        <v>9.1133551223999998</v>
      </c>
      <c r="O5224" s="72"/>
      <c r="P5224" s="36" t="str">
        <f t="shared" si="501"/>
        <v/>
      </c>
      <c r="Q5224" s="216">
        <f t="shared" si="502"/>
        <v>0.14400000000000002</v>
      </c>
      <c r="R5224" s="216">
        <f t="shared" si="503"/>
        <v>0.14400000000000002</v>
      </c>
      <c r="S5224" s="217" t="str">
        <f t="shared" si="504"/>
        <v/>
      </c>
    </row>
    <row r="5225" spans="1:19" ht="26.25" hidden="1" thickBot="1" x14ac:dyDescent="0.3">
      <c r="A5225" s="257"/>
      <c r="B5225" s="260"/>
      <c r="C5225" s="35" t="s">
        <v>2947</v>
      </c>
      <c r="D5225" s="35" t="s">
        <v>385</v>
      </c>
      <c r="E5225" s="36">
        <v>1</v>
      </c>
      <c r="F5225" s="53">
        <v>441.68349999999998</v>
      </c>
      <c r="G5225" s="53">
        <f t="shared" si="505"/>
        <v>441.68349999999998</v>
      </c>
      <c r="H5225" s="72"/>
      <c r="I5225" s="73"/>
      <c r="J5225" s="152">
        <v>0</v>
      </c>
      <c r="L5225" s="215">
        <v>1</v>
      </c>
      <c r="M5225" s="53">
        <v>378.081076</v>
      </c>
      <c r="N5225" s="53">
        <f t="shared" si="500"/>
        <v>378.081076</v>
      </c>
      <c r="O5225" s="72"/>
      <c r="P5225" s="36" t="str">
        <f t="shared" si="501"/>
        <v/>
      </c>
      <c r="Q5225" s="216">
        <f t="shared" si="502"/>
        <v>0.14400000000000002</v>
      </c>
      <c r="R5225" s="216">
        <f t="shared" si="503"/>
        <v>0.14400000000000002</v>
      </c>
      <c r="S5225" s="217" t="str">
        <f t="shared" si="504"/>
        <v/>
      </c>
    </row>
    <row r="5226" spans="1:19" ht="39" hidden="1" thickBot="1" x14ac:dyDescent="0.3">
      <c r="A5226" s="257"/>
      <c r="B5226" s="260"/>
      <c r="C5226" s="35" t="s">
        <v>3074</v>
      </c>
      <c r="D5226" s="35" t="s">
        <v>1141</v>
      </c>
      <c r="E5226" s="36">
        <v>4.2549999999999998E-2</v>
      </c>
      <c r="F5226" s="53">
        <v>27.120809949999998</v>
      </c>
      <c r="G5226" s="53">
        <f t="shared" si="505"/>
        <v>1.1539904633724998</v>
      </c>
      <c r="H5226" s="72"/>
      <c r="I5226" s="73"/>
      <c r="J5226" s="152">
        <v>0</v>
      </c>
      <c r="L5226" s="215">
        <v>4.2549999999999998E-2</v>
      </c>
      <c r="M5226" s="53">
        <v>23.215413317199999</v>
      </c>
      <c r="N5226" s="53">
        <f t="shared" si="500"/>
        <v>0.9878158366468599</v>
      </c>
      <c r="O5226" s="72"/>
      <c r="P5226" s="36" t="str">
        <f t="shared" si="501"/>
        <v/>
      </c>
      <c r="Q5226" s="216">
        <f t="shared" si="502"/>
        <v>0.14400000000000002</v>
      </c>
      <c r="R5226" s="216">
        <f t="shared" si="503"/>
        <v>0.14399999999999991</v>
      </c>
      <c r="S5226" s="217" t="str">
        <f t="shared" si="504"/>
        <v/>
      </c>
    </row>
    <row r="5227" spans="1:19" ht="39" hidden="1" thickBot="1" x14ac:dyDescent="0.3">
      <c r="A5227" s="257"/>
      <c r="B5227" s="260"/>
      <c r="C5227" s="35" t="s">
        <v>3069</v>
      </c>
      <c r="D5227" s="35" t="s">
        <v>1270</v>
      </c>
      <c r="E5227" s="36">
        <v>1.2765</v>
      </c>
      <c r="F5227" s="53">
        <v>2.5693519499999997</v>
      </c>
      <c r="G5227" s="53">
        <f t="shared" si="505"/>
        <v>3.2797777641749994</v>
      </c>
      <c r="H5227" s="72"/>
      <c r="I5227" s="73"/>
      <c r="J5227" s="152">
        <v>0</v>
      </c>
      <c r="L5227" s="215">
        <v>1.2765</v>
      </c>
      <c r="M5227" s="53">
        <v>2.1993652691999999</v>
      </c>
      <c r="N5227" s="53">
        <f t="shared" si="500"/>
        <v>2.8074897661337999</v>
      </c>
      <c r="O5227" s="72"/>
      <c r="P5227" s="36" t="str">
        <f t="shared" si="501"/>
        <v/>
      </c>
      <c r="Q5227" s="216">
        <f t="shared" si="502"/>
        <v>0.14399999999999991</v>
      </c>
      <c r="R5227" s="216">
        <f t="shared" si="503"/>
        <v>0.14399999999999991</v>
      </c>
      <c r="S5227" s="217" t="str">
        <f t="shared" si="504"/>
        <v/>
      </c>
    </row>
    <row r="5228" spans="1:19" ht="51.75" hidden="1" thickBot="1" x14ac:dyDescent="0.3">
      <c r="A5228" s="257"/>
      <c r="B5228" s="260"/>
      <c r="C5228" s="35" t="s">
        <v>3070</v>
      </c>
      <c r="D5228" s="35" t="s">
        <v>1270</v>
      </c>
      <c r="E5228" s="36">
        <v>42.55</v>
      </c>
      <c r="F5228" s="53">
        <v>1.0226987500000002</v>
      </c>
      <c r="G5228" s="53">
        <f t="shared" si="505"/>
        <v>43.515831812500004</v>
      </c>
      <c r="H5228" s="72"/>
      <c r="I5228" s="73"/>
      <c r="J5228" s="152">
        <v>0</v>
      </c>
      <c r="L5228" s="215">
        <v>42.55</v>
      </c>
      <c r="M5228" s="53">
        <v>0.87543013000000025</v>
      </c>
      <c r="N5228" s="53">
        <f t="shared" si="500"/>
        <v>37.249552031500009</v>
      </c>
      <c r="O5228" s="72"/>
      <c r="P5228" s="36" t="str">
        <f t="shared" si="501"/>
        <v/>
      </c>
      <c r="Q5228" s="216">
        <f t="shared" si="502"/>
        <v>0.14399999999999991</v>
      </c>
      <c r="R5228" s="216">
        <f t="shared" si="503"/>
        <v>0.14399999999999991</v>
      </c>
      <c r="S5228" s="217" t="str">
        <f t="shared" si="504"/>
        <v/>
      </c>
    </row>
    <row r="5229" spans="1:19" ht="15.75" hidden="1" thickBot="1" x14ac:dyDescent="0.3">
      <c r="A5229" s="257"/>
      <c r="B5229" s="260"/>
      <c r="C5229" s="35"/>
      <c r="D5229" s="35"/>
      <c r="E5229" s="36"/>
      <c r="F5229" s="53"/>
      <c r="G5229" s="53"/>
      <c r="H5229" s="72"/>
      <c r="I5229" s="73"/>
      <c r="J5229" s="152">
        <v>0</v>
      </c>
      <c r="L5229" s="215"/>
      <c r="M5229" s="53">
        <v>0</v>
      </c>
      <c r="N5229" s="53"/>
      <c r="O5229" s="72"/>
      <c r="P5229" s="36" t="str">
        <f t="shared" si="501"/>
        <v/>
      </c>
      <c r="Q5229" s="216" t="e">
        <f t="shared" si="502"/>
        <v>#DIV/0!</v>
      </c>
      <c r="R5229" s="216" t="str">
        <f t="shared" si="503"/>
        <v/>
      </c>
      <c r="S5229" s="217" t="str">
        <f t="shared" si="504"/>
        <v/>
      </c>
    </row>
    <row r="5230" spans="1:19" ht="15.75" hidden="1" thickBot="1" x14ac:dyDescent="0.3">
      <c r="A5230" s="257"/>
      <c r="B5230" s="260"/>
      <c r="C5230" s="47" t="s">
        <v>5863</v>
      </c>
      <c r="D5230" s="35"/>
      <c r="E5230" s="36"/>
      <c r="F5230" s="53" t="s">
        <v>416</v>
      </c>
      <c r="G5230" s="53" t="str">
        <f t="shared" ref="G5230:G5293" si="506">IF(ISNUMBER(F5230),E5230*F5230,"")</f>
        <v/>
      </c>
      <c r="H5230" s="72"/>
      <c r="I5230" s="73"/>
      <c r="J5230" s="152">
        <v>0</v>
      </c>
      <c r="L5230" s="215"/>
      <c r="M5230" s="53"/>
      <c r="N5230" s="53" t="str">
        <f t="shared" ref="N5230:N5293" si="507">IF(ISNUMBER(M5230),L5230*M5230,"")</f>
        <v/>
      </c>
      <c r="O5230" s="72"/>
      <c r="P5230" s="36" t="str">
        <f t="shared" si="501"/>
        <v/>
      </c>
      <c r="Q5230" s="216" t="str">
        <f t="shared" si="502"/>
        <v/>
      </c>
      <c r="R5230" s="216" t="str">
        <f t="shared" si="503"/>
        <v/>
      </c>
      <c r="S5230" s="217" t="str">
        <f t="shared" si="504"/>
        <v/>
      </c>
    </row>
    <row r="5231" spans="1:19" ht="15.75" hidden="1" thickBot="1" x14ac:dyDescent="0.3">
      <c r="A5231" s="257"/>
      <c r="B5231" s="260"/>
      <c r="C5231" s="35"/>
      <c r="D5231" s="46"/>
      <c r="E5231" s="36"/>
      <c r="F5231" s="53" t="s">
        <v>416</v>
      </c>
      <c r="G5231" s="53" t="str">
        <f t="shared" si="506"/>
        <v/>
      </c>
      <c r="H5231" s="72"/>
      <c r="I5231" s="73"/>
      <c r="J5231" s="152">
        <v>0</v>
      </c>
      <c r="L5231" s="215"/>
      <c r="M5231" s="53"/>
      <c r="N5231" s="53" t="str">
        <f t="shared" si="507"/>
        <v/>
      </c>
      <c r="O5231" s="72"/>
      <c r="P5231" s="36" t="str">
        <f t="shared" si="501"/>
        <v/>
      </c>
      <c r="Q5231" s="216" t="str">
        <f t="shared" si="502"/>
        <v/>
      </c>
      <c r="R5231" s="216" t="str">
        <f t="shared" si="503"/>
        <v/>
      </c>
      <c r="S5231" s="217" t="str">
        <f t="shared" si="504"/>
        <v/>
      </c>
    </row>
    <row r="5232" spans="1:19" ht="15.75" hidden="1" thickBot="1" x14ac:dyDescent="0.3">
      <c r="A5232" s="256" t="s">
        <v>3182</v>
      </c>
      <c r="B5232" s="259" t="str">
        <f>INDEX(Orçamentária!A:B,MATCH(Composições!A5232,Orçamentária!A:A,0),2)</f>
        <v>Válvula de esfera em bronze 1/2”</v>
      </c>
      <c r="C5232" s="40"/>
      <c r="D5232" s="25" t="s">
        <v>16</v>
      </c>
      <c r="E5232" s="26"/>
      <c r="F5232" s="48" t="s">
        <v>416</v>
      </c>
      <c r="G5232" s="27" t="str">
        <f t="shared" si="506"/>
        <v/>
      </c>
      <c r="H5232" s="28"/>
      <c r="I5232" s="29"/>
      <c r="J5232" s="152">
        <v>0</v>
      </c>
      <c r="L5232" s="218"/>
      <c r="M5232" s="48"/>
      <c r="N5232" s="27" t="str">
        <f t="shared" si="507"/>
        <v/>
      </c>
      <c r="O5232" s="28"/>
      <c r="P5232" s="36" t="str">
        <f t="shared" si="501"/>
        <v/>
      </c>
      <c r="Q5232" s="216" t="str">
        <f t="shared" si="502"/>
        <v/>
      </c>
      <c r="R5232" s="216" t="str">
        <f t="shared" si="503"/>
        <v/>
      </c>
      <c r="S5232" s="217" t="str">
        <f t="shared" si="504"/>
        <v/>
      </c>
    </row>
    <row r="5233" spans="1:19" ht="15.75" hidden="1" thickBot="1" x14ac:dyDescent="0.3">
      <c r="A5233" s="257"/>
      <c r="B5233" s="260"/>
      <c r="C5233" s="31"/>
      <c r="D5233" s="31"/>
      <c r="E5233" s="32"/>
      <c r="F5233" s="53" t="s">
        <v>416</v>
      </c>
      <c r="G5233" s="53" t="str">
        <f t="shared" si="506"/>
        <v/>
      </c>
      <c r="H5233" s="72"/>
      <c r="I5233" s="73"/>
      <c r="J5233" s="152">
        <v>0</v>
      </c>
      <c r="L5233" s="219"/>
      <c r="M5233" s="53"/>
      <c r="N5233" s="53" t="str">
        <f t="shared" si="507"/>
        <v/>
      </c>
      <c r="O5233" s="72"/>
      <c r="P5233" s="36" t="str">
        <f t="shared" si="501"/>
        <v/>
      </c>
      <c r="Q5233" s="216" t="str">
        <f t="shared" si="502"/>
        <v/>
      </c>
      <c r="R5233" s="216" t="str">
        <f t="shared" si="503"/>
        <v/>
      </c>
      <c r="S5233" s="217" t="str">
        <f t="shared" si="504"/>
        <v/>
      </c>
    </row>
    <row r="5234" spans="1:19" ht="15.75" hidden="1" thickBot="1" x14ac:dyDescent="0.3">
      <c r="A5234" s="257"/>
      <c r="B5234" s="260"/>
      <c r="C5234" s="35" t="s">
        <v>244</v>
      </c>
      <c r="D5234" s="35" t="s">
        <v>213</v>
      </c>
      <c r="E5234" s="36">
        <v>8.3999999999999995E-3</v>
      </c>
      <c r="F5234" s="30">
        <v>14.8865</v>
      </c>
      <c r="G5234" s="53">
        <f t="shared" si="506"/>
        <v>0.12504659999999998</v>
      </c>
      <c r="H5234" s="38">
        <f>SUM(G5234:G5237)</f>
        <v>56.973266049999992</v>
      </c>
      <c r="I5234" s="39"/>
      <c r="J5234" s="152">
        <v>0</v>
      </c>
      <c r="L5234" s="215">
        <v>8.3999999999999995E-3</v>
      </c>
      <c r="M5234" s="30">
        <v>12.742844</v>
      </c>
      <c r="N5234" s="53">
        <f t="shared" si="507"/>
        <v>0.10703988959999999</v>
      </c>
      <c r="O5234" s="38">
        <f>SUM(N5234:N5237)</f>
        <v>48.769115738799997</v>
      </c>
      <c r="P5234" s="36" t="str">
        <f t="shared" si="501"/>
        <v/>
      </c>
      <c r="Q5234" s="216">
        <f t="shared" si="502"/>
        <v>0.14400000000000002</v>
      </c>
      <c r="R5234" s="216">
        <f t="shared" si="503"/>
        <v>0.14399999999999991</v>
      </c>
      <c r="S5234" s="217">
        <f t="shared" si="504"/>
        <v>0.14399999999999991</v>
      </c>
    </row>
    <row r="5235" spans="1:19" ht="15.75" hidden="1" thickBot="1" x14ac:dyDescent="0.3">
      <c r="A5235" s="257"/>
      <c r="B5235" s="260"/>
      <c r="C5235" s="35" t="s">
        <v>1003</v>
      </c>
      <c r="D5235" s="35" t="s">
        <v>213</v>
      </c>
      <c r="E5235" s="36">
        <v>1</v>
      </c>
      <c r="F5235" s="30">
        <v>53.399499999999996</v>
      </c>
      <c r="G5235" s="53">
        <f t="shared" si="506"/>
        <v>53.399499999999996</v>
      </c>
      <c r="H5235" s="72"/>
      <c r="I5235" s="73"/>
      <c r="J5235" s="152">
        <v>0</v>
      </c>
      <c r="L5235" s="215">
        <v>1</v>
      </c>
      <c r="M5235" s="30">
        <v>45.709971999999993</v>
      </c>
      <c r="N5235" s="53">
        <f t="shared" si="507"/>
        <v>45.709971999999993</v>
      </c>
      <c r="O5235" s="72"/>
      <c r="P5235" s="36" t="str">
        <f t="shared" si="501"/>
        <v/>
      </c>
      <c r="Q5235" s="216">
        <f t="shared" si="502"/>
        <v>0.14400000000000002</v>
      </c>
      <c r="R5235" s="216">
        <f t="shared" si="503"/>
        <v>0.14400000000000002</v>
      </c>
      <c r="S5235" s="217" t="str">
        <f t="shared" si="504"/>
        <v/>
      </c>
    </row>
    <row r="5236" spans="1:19" ht="26.25" hidden="1" thickBot="1" x14ac:dyDescent="0.3">
      <c r="A5236" s="257"/>
      <c r="B5236" s="260"/>
      <c r="C5236" s="35" t="s">
        <v>824</v>
      </c>
      <c r="D5236" s="35" t="s">
        <v>583</v>
      </c>
      <c r="E5236" s="36">
        <v>7.1900000000000006E-2</v>
      </c>
      <c r="F5236" s="30">
        <v>21.166</v>
      </c>
      <c r="G5236" s="53">
        <f t="shared" si="506"/>
        <v>1.5218354000000001</v>
      </c>
      <c r="H5236" s="72"/>
      <c r="I5236" s="73"/>
      <c r="J5236" s="152">
        <v>0</v>
      </c>
      <c r="L5236" s="215">
        <v>7.1900000000000006E-2</v>
      </c>
      <c r="M5236" s="30">
        <v>18.118096000000001</v>
      </c>
      <c r="N5236" s="53">
        <f t="shared" si="507"/>
        <v>1.3026911024000003</v>
      </c>
      <c r="O5236" s="72"/>
      <c r="P5236" s="36" t="str">
        <f t="shared" si="501"/>
        <v/>
      </c>
      <c r="Q5236" s="216">
        <f t="shared" si="502"/>
        <v>0.14399999999999991</v>
      </c>
      <c r="R5236" s="216">
        <f t="shared" si="503"/>
        <v>0.14399999999999979</v>
      </c>
      <c r="S5236" s="217" t="str">
        <f t="shared" si="504"/>
        <v/>
      </c>
    </row>
    <row r="5237" spans="1:19" ht="26.25" hidden="1" thickBot="1" x14ac:dyDescent="0.3">
      <c r="A5237" s="257"/>
      <c r="B5237" s="260"/>
      <c r="C5237" s="35" t="s">
        <v>825</v>
      </c>
      <c r="D5237" s="35" t="s">
        <v>583</v>
      </c>
      <c r="E5237" s="36">
        <v>7.1900000000000006E-2</v>
      </c>
      <c r="F5237" s="30">
        <v>26.799499999999998</v>
      </c>
      <c r="G5237" s="53">
        <f t="shared" si="506"/>
        <v>1.92688405</v>
      </c>
      <c r="H5237" s="72"/>
      <c r="I5237" s="73"/>
      <c r="J5237" s="152">
        <v>0</v>
      </c>
      <c r="L5237" s="215">
        <v>7.1900000000000006E-2</v>
      </c>
      <c r="M5237" s="30">
        <v>22.940372</v>
      </c>
      <c r="N5237" s="53">
        <f t="shared" si="507"/>
        <v>1.6494127468000002</v>
      </c>
      <c r="O5237" s="72"/>
      <c r="P5237" s="36" t="str">
        <f t="shared" si="501"/>
        <v/>
      </c>
      <c r="Q5237" s="216">
        <f t="shared" si="502"/>
        <v>0.14399999999999991</v>
      </c>
      <c r="R5237" s="216">
        <f t="shared" si="503"/>
        <v>0.14399999999999991</v>
      </c>
      <c r="S5237" s="217" t="str">
        <f t="shared" si="504"/>
        <v/>
      </c>
    </row>
    <row r="5238" spans="1:19" ht="15.75" hidden="1" thickBot="1" x14ac:dyDescent="0.3">
      <c r="A5238" s="257"/>
      <c r="B5238" s="260"/>
      <c r="C5238" s="35"/>
      <c r="D5238" s="46"/>
      <c r="E5238" s="36"/>
      <c r="F5238" s="53" t="s">
        <v>416</v>
      </c>
      <c r="G5238" s="53" t="str">
        <f t="shared" si="506"/>
        <v/>
      </c>
      <c r="H5238" s="72"/>
      <c r="I5238" s="73"/>
      <c r="J5238" s="152">
        <v>0</v>
      </c>
      <c r="L5238" s="215"/>
      <c r="M5238" s="53"/>
      <c r="N5238" s="53" t="str">
        <f t="shared" si="507"/>
        <v/>
      </c>
      <c r="O5238" s="72"/>
      <c r="P5238" s="36" t="str">
        <f t="shared" si="501"/>
        <v/>
      </c>
      <c r="Q5238" s="216" t="str">
        <f t="shared" si="502"/>
        <v/>
      </c>
      <c r="R5238" s="216" t="str">
        <f t="shared" si="503"/>
        <v/>
      </c>
      <c r="S5238" s="217" t="str">
        <f t="shared" si="504"/>
        <v/>
      </c>
    </row>
    <row r="5239" spans="1:19" ht="15.75" hidden="1" thickBot="1" x14ac:dyDescent="0.3">
      <c r="A5239" s="256" t="s">
        <v>3184</v>
      </c>
      <c r="B5239" s="259" t="str">
        <f>INDEX(Orçamentária!A:B,MATCH(Composições!A5239,Orçamentária!A:A,0),2)</f>
        <v>Válvula gaveta com flange DN 125 (5" NPS)</v>
      </c>
      <c r="C5239" s="40"/>
      <c r="D5239" s="25" t="s">
        <v>16</v>
      </c>
      <c r="E5239" s="26"/>
      <c r="F5239" s="48" t="s">
        <v>416</v>
      </c>
      <c r="G5239" s="27" t="str">
        <f t="shared" si="506"/>
        <v/>
      </c>
      <c r="H5239" s="28"/>
      <c r="I5239" s="29"/>
      <c r="J5239" s="152">
        <v>0</v>
      </c>
      <c r="L5239" s="218"/>
      <c r="M5239" s="48"/>
      <c r="N5239" s="27" t="str">
        <f t="shared" si="507"/>
        <v/>
      </c>
      <c r="O5239" s="28"/>
      <c r="P5239" s="36" t="str">
        <f t="shared" si="501"/>
        <v/>
      </c>
      <c r="Q5239" s="216" t="str">
        <f t="shared" si="502"/>
        <v/>
      </c>
      <c r="R5239" s="216" t="str">
        <f t="shared" si="503"/>
        <v/>
      </c>
      <c r="S5239" s="217" t="str">
        <f t="shared" si="504"/>
        <v/>
      </c>
    </row>
    <row r="5240" spans="1:19" ht="15.75" hidden="1" thickBot="1" x14ac:dyDescent="0.3">
      <c r="A5240" s="257"/>
      <c r="B5240" s="260"/>
      <c r="C5240" s="31"/>
      <c r="D5240" s="31"/>
      <c r="E5240" s="32"/>
      <c r="F5240" s="53" t="s">
        <v>416</v>
      </c>
      <c r="G5240" s="53" t="str">
        <f t="shared" si="506"/>
        <v/>
      </c>
      <c r="H5240" s="72"/>
      <c r="I5240" s="73"/>
      <c r="J5240" s="152">
        <v>0</v>
      </c>
      <c r="L5240" s="219"/>
      <c r="M5240" s="53"/>
      <c r="N5240" s="53" t="str">
        <f t="shared" si="507"/>
        <v/>
      </c>
      <c r="O5240" s="72"/>
      <c r="P5240" s="36" t="str">
        <f t="shared" si="501"/>
        <v/>
      </c>
      <c r="Q5240" s="216" t="str">
        <f t="shared" si="502"/>
        <v/>
      </c>
      <c r="R5240" s="216" t="str">
        <f t="shared" si="503"/>
        <v/>
      </c>
      <c r="S5240" s="217" t="str">
        <f t="shared" si="504"/>
        <v/>
      </c>
    </row>
    <row r="5241" spans="1:19" ht="15.75" hidden="1" thickBot="1" x14ac:dyDescent="0.3">
      <c r="A5241" s="257"/>
      <c r="B5241" s="260"/>
      <c r="C5241" s="35" t="s">
        <v>244</v>
      </c>
      <c r="D5241" s="35" t="s">
        <v>213</v>
      </c>
      <c r="E5241" s="36">
        <v>4.5199999999999997E-2</v>
      </c>
      <c r="F5241" s="30">
        <v>14.8865</v>
      </c>
      <c r="G5241" s="53">
        <f t="shared" si="506"/>
        <v>0.67286979999999996</v>
      </c>
      <c r="H5241" s="38">
        <f>SUM(G5241:G5244)</f>
        <v>35.327943550000001</v>
      </c>
      <c r="I5241" s="39"/>
      <c r="J5241" s="152">
        <v>0</v>
      </c>
      <c r="L5241" s="215">
        <v>4.5199999999999997E-2</v>
      </c>
      <c r="M5241" s="30">
        <v>12.742844</v>
      </c>
      <c r="N5241" s="53">
        <f t="shared" si="507"/>
        <v>0.57597654879999993</v>
      </c>
      <c r="O5241" s="38">
        <f>SUM(N5241:N5244)</f>
        <v>30.240719678800005</v>
      </c>
      <c r="P5241" s="36" t="str">
        <f t="shared" si="501"/>
        <v/>
      </c>
      <c r="Q5241" s="216">
        <f t="shared" si="502"/>
        <v>0.14400000000000002</v>
      </c>
      <c r="R5241" s="216">
        <f t="shared" si="503"/>
        <v>0.14400000000000002</v>
      </c>
      <c r="S5241" s="217">
        <f t="shared" si="504"/>
        <v>0.14399999999999991</v>
      </c>
    </row>
    <row r="5242" spans="1:19" ht="15.75" hidden="1" thickBot="1" x14ac:dyDescent="0.3">
      <c r="A5242" s="257"/>
      <c r="B5242" s="260"/>
      <c r="C5242" s="35" t="s">
        <v>3185</v>
      </c>
      <c r="D5242" s="35" t="s">
        <v>213</v>
      </c>
      <c r="E5242" s="36">
        <v>1</v>
      </c>
      <c r="F5242" s="30" t="s">
        <v>416</v>
      </c>
      <c r="G5242" s="53" t="str">
        <f t="shared" si="506"/>
        <v/>
      </c>
      <c r="H5242" s="72"/>
      <c r="I5242" s="73"/>
      <c r="J5242" s="152">
        <v>0</v>
      </c>
      <c r="L5242" s="215">
        <v>1</v>
      </c>
      <c r="M5242" s="30"/>
      <c r="N5242" s="53" t="str">
        <f t="shared" si="507"/>
        <v/>
      </c>
      <c r="O5242" s="72"/>
      <c r="P5242" s="36" t="str">
        <f t="shared" si="501"/>
        <v/>
      </c>
      <c r="Q5242" s="216" t="str">
        <f t="shared" si="502"/>
        <v/>
      </c>
      <c r="R5242" s="216" t="str">
        <f t="shared" si="503"/>
        <v/>
      </c>
      <c r="S5242" s="217" t="str">
        <f t="shared" si="504"/>
        <v/>
      </c>
    </row>
    <row r="5243" spans="1:19" ht="26.25" hidden="1" thickBot="1" x14ac:dyDescent="0.3">
      <c r="A5243" s="257"/>
      <c r="B5243" s="260"/>
      <c r="C5243" s="35" t="s">
        <v>824</v>
      </c>
      <c r="D5243" s="35" t="s">
        <v>583</v>
      </c>
      <c r="E5243" s="36">
        <v>0.72250000000000003</v>
      </c>
      <c r="F5243" s="30">
        <v>21.166</v>
      </c>
      <c r="G5243" s="53">
        <f t="shared" si="506"/>
        <v>15.292435000000001</v>
      </c>
      <c r="H5243" s="72"/>
      <c r="I5243" s="73"/>
      <c r="J5243" s="152">
        <v>0</v>
      </c>
      <c r="L5243" s="215">
        <v>0.72250000000000003</v>
      </c>
      <c r="M5243" s="30">
        <v>18.118096000000001</v>
      </c>
      <c r="N5243" s="53">
        <f t="shared" si="507"/>
        <v>13.090324360000002</v>
      </c>
      <c r="O5243" s="72"/>
      <c r="P5243" s="36" t="str">
        <f t="shared" si="501"/>
        <v/>
      </c>
      <c r="Q5243" s="216">
        <f t="shared" si="502"/>
        <v>0.14399999999999991</v>
      </c>
      <c r="R5243" s="216">
        <f t="shared" si="503"/>
        <v>0.14399999999999991</v>
      </c>
      <c r="S5243" s="217" t="str">
        <f t="shared" si="504"/>
        <v/>
      </c>
    </row>
    <row r="5244" spans="1:19" ht="26.25" hidden="1" thickBot="1" x14ac:dyDescent="0.3">
      <c r="A5244" s="257"/>
      <c r="B5244" s="260"/>
      <c r="C5244" s="35" t="s">
        <v>825</v>
      </c>
      <c r="D5244" s="35" t="s">
        <v>583</v>
      </c>
      <c r="E5244" s="36">
        <v>0.72250000000000003</v>
      </c>
      <c r="F5244" s="30">
        <v>26.799499999999998</v>
      </c>
      <c r="G5244" s="53">
        <f t="shared" si="506"/>
        <v>19.362638749999999</v>
      </c>
      <c r="H5244" s="72"/>
      <c r="I5244" s="73"/>
      <c r="J5244" s="152">
        <v>0</v>
      </c>
      <c r="L5244" s="215">
        <v>0.72250000000000003</v>
      </c>
      <c r="M5244" s="30">
        <v>22.940372</v>
      </c>
      <c r="N5244" s="53">
        <f t="shared" si="507"/>
        <v>16.574418770000001</v>
      </c>
      <c r="O5244" s="72"/>
      <c r="P5244" s="36" t="str">
        <f t="shared" si="501"/>
        <v/>
      </c>
      <c r="Q5244" s="216">
        <f t="shared" si="502"/>
        <v>0.14399999999999991</v>
      </c>
      <c r="R5244" s="216">
        <f t="shared" si="503"/>
        <v>0.14399999999999991</v>
      </c>
      <c r="S5244" s="217" t="str">
        <f t="shared" si="504"/>
        <v/>
      </c>
    </row>
    <row r="5245" spans="1:19" ht="15.75" hidden="1" thickBot="1" x14ac:dyDescent="0.3">
      <c r="A5245" s="257"/>
      <c r="B5245" s="260"/>
      <c r="C5245" s="35"/>
      <c r="D5245" s="46"/>
      <c r="E5245" s="36"/>
      <c r="F5245" s="53" t="s">
        <v>416</v>
      </c>
      <c r="G5245" s="53" t="str">
        <f t="shared" si="506"/>
        <v/>
      </c>
      <c r="H5245" s="72"/>
      <c r="I5245" s="73"/>
      <c r="J5245" s="152">
        <v>0</v>
      </c>
      <c r="L5245" s="215"/>
      <c r="M5245" s="53"/>
      <c r="N5245" s="53" t="str">
        <f t="shared" si="507"/>
        <v/>
      </c>
      <c r="O5245" s="72"/>
      <c r="P5245" s="36" t="str">
        <f t="shared" si="501"/>
        <v/>
      </c>
      <c r="Q5245" s="216" t="str">
        <f t="shared" si="502"/>
        <v/>
      </c>
      <c r="R5245" s="216" t="str">
        <f t="shared" si="503"/>
        <v/>
      </c>
      <c r="S5245" s="217" t="str">
        <f t="shared" si="504"/>
        <v/>
      </c>
    </row>
    <row r="5246" spans="1:19" ht="15.75" hidden="1" thickBot="1" x14ac:dyDescent="0.3">
      <c r="A5246" s="256" t="s">
        <v>3188</v>
      </c>
      <c r="B5246" s="259" t="str">
        <f>INDEX(Orçamentária!A:B,MATCH(Composições!A5246,Orçamentária!A:A,0),2)</f>
        <v>Cabo de fibra óptica monomodo 12 fibras</v>
      </c>
      <c r="C5246" s="40"/>
      <c r="D5246" s="25" t="s">
        <v>69</v>
      </c>
      <c r="E5246" s="26"/>
      <c r="F5246" s="48" t="s">
        <v>416</v>
      </c>
      <c r="G5246" s="27" t="str">
        <f t="shared" si="506"/>
        <v/>
      </c>
      <c r="H5246" s="28"/>
      <c r="I5246" s="29"/>
      <c r="J5246" s="152">
        <v>0</v>
      </c>
      <c r="L5246" s="218"/>
      <c r="M5246" s="48"/>
      <c r="N5246" s="27" t="str">
        <f t="shared" si="507"/>
        <v/>
      </c>
      <c r="O5246" s="28"/>
      <c r="P5246" s="36" t="str">
        <f t="shared" si="501"/>
        <v/>
      </c>
      <c r="Q5246" s="216" t="str">
        <f t="shared" si="502"/>
        <v/>
      </c>
      <c r="R5246" s="216" t="str">
        <f t="shared" si="503"/>
        <v/>
      </c>
      <c r="S5246" s="217" t="str">
        <f t="shared" si="504"/>
        <v/>
      </c>
    </row>
    <row r="5247" spans="1:19" ht="15.75" hidden="1" thickBot="1" x14ac:dyDescent="0.3">
      <c r="A5247" s="257"/>
      <c r="B5247" s="260"/>
      <c r="C5247" s="31"/>
      <c r="D5247" s="31"/>
      <c r="E5247" s="32"/>
      <c r="F5247" s="53" t="s">
        <v>416</v>
      </c>
      <c r="G5247" s="53" t="str">
        <f t="shared" si="506"/>
        <v/>
      </c>
      <c r="H5247" s="72"/>
      <c r="I5247" s="73"/>
      <c r="J5247" s="152">
        <v>0</v>
      </c>
      <c r="L5247" s="219"/>
      <c r="M5247" s="53"/>
      <c r="N5247" s="53" t="str">
        <f t="shared" si="507"/>
        <v/>
      </c>
      <c r="O5247" s="72"/>
      <c r="P5247" s="36" t="str">
        <f t="shared" si="501"/>
        <v/>
      </c>
      <c r="Q5247" s="216" t="str">
        <f t="shared" si="502"/>
        <v/>
      </c>
      <c r="R5247" s="216" t="str">
        <f t="shared" si="503"/>
        <v/>
      </c>
      <c r="S5247" s="217" t="str">
        <f t="shared" si="504"/>
        <v/>
      </c>
    </row>
    <row r="5248" spans="1:19" ht="15.75" hidden="1" thickBot="1" x14ac:dyDescent="0.3">
      <c r="A5248" s="257"/>
      <c r="B5248" s="260"/>
      <c r="C5248" s="35" t="s">
        <v>3215</v>
      </c>
      <c r="D5248" s="35" t="s">
        <v>69</v>
      </c>
      <c r="E5248" s="36">
        <v>1.05</v>
      </c>
      <c r="F5248" s="30" t="s">
        <v>416</v>
      </c>
      <c r="G5248" s="53" t="str">
        <f t="shared" si="506"/>
        <v/>
      </c>
      <c r="H5248" s="38">
        <f>SUM(G5248:G5250)</f>
        <v>3.5136908999999998</v>
      </c>
      <c r="I5248" s="39"/>
      <c r="J5248" s="152">
        <v>0</v>
      </c>
      <c r="L5248" s="215">
        <v>1.05</v>
      </c>
      <c r="M5248" s="30"/>
      <c r="N5248" s="53" t="str">
        <f t="shared" si="507"/>
        <v/>
      </c>
      <c r="O5248" s="38">
        <f>SUM(N5248:N5250)</f>
        <v>3.0077194104</v>
      </c>
      <c r="P5248" s="36" t="str">
        <f t="shared" si="501"/>
        <v/>
      </c>
      <c r="Q5248" s="216" t="str">
        <f t="shared" si="502"/>
        <v/>
      </c>
      <c r="R5248" s="216" t="str">
        <f t="shared" si="503"/>
        <v/>
      </c>
      <c r="S5248" s="217">
        <f t="shared" si="504"/>
        <v>0.14399999999999991</v>
      </c>
    </row>
    <row r="5249" spans="1:19" ht="15.75" hidden="1" thickBot="1" x14ac:dyDescent="0.3">
      <c r="A5249" s="257"/>
      <c r="B5249" s="260"/>
      <c r="C5249" s="35" t="s">
        <v>1017</v>
      </c>
      <c r="D5249" s="35" t="s">
        <v>583</v>
      </c>
      <c r="E5249" s="36">
        <v>7.1099999999999997E-2</v>
      </c>
      <c r="F5249" s="30">
        <v>21.584</v>
      </c>
      <c r="G5249" s="53">
        <f t="shared" si="506"/>
        <v>1.5346223999999999</v>
      </c>
      <c r="H5249" s="72"/>
      <c r="I5249" s="73"/>
      <c r="J5249" s="152">
        <v>0</v>
      </c>
      <c r="L5249" s="215">
        <v>7.1099999999999997E-2</v>
      </c>
      <c r="M5249" s="30">
        <v>18.475904</v>
      </c>
      <c r="N5249" s="53">
        <f t="shared" si="507"/>
        <v>1.3136367743999999</v>
      </c>
      <c r="O5249" s="72"/>
      <c r="P5249" s="36" t="str">
        <f t="shared" si="501"/>
        <v/>
      </c>
      <c r="Q5249" s="216">
        <f t="shared" si="502"/>
        <v>0.14400000000000002</v>
      </c>
      <c r="R5249" s="216">
        <f t="shared" si="503"/>
        <v>0.14400000000000002</v>
      </c>
      <c r="S5249" s="217" t="str">
        <f t="shared" si="504"/>
        <v/>
      </c>
    </row>
    <row r="5250" spans="1:19" ht="15.75" hidden="1" thickBot="1" x14ac:dyDescent="0.3">
      <c r="A5250" s="257"/>
      <c r="B5250" s="260"/>
      <c r="C5250" s="35" t="s">
        <v>1018</v>
      </c>
      <c r="D5250" s="35" t="s">
        <v>583</v>
      </c>
      <c r="E5250" s="36">
        <v>7.1099999999999997E-2</v>
      </c>
      <c r="F5250" s="30">
        <v>27.835000000000001</v>
      </c>
      <c r="G5250" s="53">
        <f t="shared" si="506"/>
        <v>1.9790684999999999</v>
      </c>
      <c r="H5250" s="72"/>
      <c r="I5250" s="73"/>
      <c r="J5250" s="152">
        <v>0</v>
      </c>
      <c r="L5250" s="215">
        <v>7.1099999999999997E-2</v>
      </c>
      <c r="M5250" s="30">
        <v>23.82676</v>
      </c>
      <c r="N5250" s="53">
        <f t="shared" si="507"/>
        <v>1.6940826359999999</v>
      </c>
      <c r="O5250" s="72"/>
      <c r="P5250" s="36" t="str">
        <f t="shared" si="501"/>
        <v/>
      </c>
      <c r="Q5250" s="216">
        <f t="shared" si="502"/>
        <v>0.14400000000000002</v>
      </c>
      <c r="R5250" s="216">
        <f t="shared" si="503"/>
        <v>0.14400000000000002</v>
      </c>
      <c r="S5250" s="217" t="str">
        <f t="shared" si="504"/>
        <v/>
      </c>
    </row>
    <row r="5251" spans="1:19" ht="15.75" hidden="1" thickBot="1" x14ac:dyDescent="0.3">
      <c r="A5251" s="257"/>
      <c r="B5251" s="260"/>
      <c r="C5251" s="35"/>
      <c r="D5251" s="46"/>
      <c r="E5251" s="36"/>
      <c r="F5251" s="53" t="s">
        <v>416</v>
      </c>
      <c r="G5251" s="53" t="str">
        <f t="shared" si="506"/>
        <v/>
      </c>
      <c r="H5251" s="72"/>
      <c r="I5251" s="73"/>
      <c r="J5251" s="152">
        <v>0</v>
      </c>
      <c r="L5251" s="215"/>
      <c r="M5251" s="53"/>
      <c r="N5251" s="53" t="str">
        <f t="shared" si="507"/>
        <v/>
      </c>
      <c r="O5251" s="72"/>
      <c r="P5251" s="36" t="str">
        <f t="shared" si="501"/>
        <v/>
      </c>
      <c r="Q5251" s="216" t="str">
        <f t="shared" si="502"/>
        <v/>
      </c>
      <c r="R5251" s="216" t="str">
        <f t="shared" si="503"/>
        <v/>
      </c>
      <c r="S5251" s="217" t="str">
        <f t="shared" si="504"/>
        <v/>
      </c>
    </row>
    <row r="5252" spans="1:19" ht="15.75" hidden="1" thickBot="1" x14ac:dyDescent="0.3">
      <c r="A5252" s="256" t="s">
        <v>3190</v>
      </c>
      <c r="B5252" s="259" t="str">
        <f>INDEX(Orçamentária!A:B,MATCH(Composições!A5252,Orçamentária!A:A,0),2)</f>
        <v>Cabo de fibra óptica monomodo 144 fibras</v>
      </c>
      <c r="C5252" s="40"/>
      <c r="D5252" s="25" t="s">
        <v>69</v>
      </c>
      <c r="E5252" s="26"/>
      <c r="F5252" s="48" t="s">
        <v>416</v>
      </c>
      <c r="G5252" s="27" t="str">
        <f t="shared" si="506"/>
        <v/>
      </c>
      <c r="H5252" s="28"/>
      <c r="I5252" s="29"/>
      <c r="J5252" s="152">
        <v>0</v>
      </c>
      <c r="L5252" s="218"/>
      <c r="M5252" s="48"/>
      <c r="N5252" s="27" t="str">
        <f t="shared" si="507"/>
        <v/>
      </c>
      <c r="O5252" s="28"/>
      <c r="P5252" s="36" t="str">
        <f t="shared" si="501"/>
        <v/>
      </c>
      <c r="Q5252" s="216" t="str">
        <f t="shared" si="502"/>
        <v/>
      </c>
      <c r="R5252" s="216" t="str">
        <f t="shared" si="503"/>
        <v/>
      </c>
      <c r="S5252" s="217" t="str">
        <f t="shared" si="504"/>
        <v/>
      </c>
    </row>
    <row r="5253" spans="1:19" ht="15.75" hidden="1" thickBot="1" x14ac:dyDescent="0.3">
      <c r="A5253" s="257"/>
      <c r="B5253" s="260"/>
      <c r="C5253" s="31"/>
      <c r="D5253" s="31"/>
      <c r="E5253" s="32"/>
      <c r="F5253" s="53" t="s">
        <v>416</v>
      </c>
      <c r="G5253" s="53" t="str">
        <f t="shared" si="506"/>
        <v/>
      </c>
      <c r="H5253" s="72"/>
      <c r="I5253" s="73"/>
      <c r="J5253" s="152">
        <v>0</v>
      </c>
      <c r="L5253" s="219"/>
      <c r="M5253" s="53"/>
      <c r="N5253" s="53" t="str">
        <f t="shared" si="507"/>
        <v/>
      </c>
      <c r="O5253" s="72"/>
      <c r="P5253" s="36" t="str">
        <f t="shared" si="501"/>
        <v/>
      </c>
      <c r="Q5253" s="216" t="str">
        <f t="shared" si="502"/>
        <v/>
      </c>
      <c r="R5253" s="216" t="str">
        <f t="shared" si="503"/>
        <v/>
      </c>
      <c r="S5253" s="217" t="str">
        <f t="shared" si="504"/>
        <v/>
      </c>
    </row>
    <row r="5254" spans="1:19" ht="15.75" hidden="1" thickBot="1" x14ac:dyDescent="0.3">
      <c r="A5254" s="257"/>
      <c r="B5254" s="260"/>
      <c r="C5254" s="35" t="s">
        <v>3216</v>
      </c>
      <c r="D5254" s="35" t="s">
        <v>69</v>
      </c>
      <c r="E5254" s="36">
        <v>1.05</v>
      </c>
      <c r="F5254" s="30" t="s">
        <v>416</v>
      </c>
      <c r="G5254" s="53" t="str">
        <f t="shared" si="506"/>
        <v/>
      </c>
      <c r="H5254" s="38">
        <f>SUM(G5254:G5256)</f>
        <v>6.8593571999999998</v>
      </c>
      <c r="I5254" s="39"/>
      <c r="J5254" s="152">
        <v>0</v>
      </c>
      <c r="L5254" s="215">
        <v>1.05</v>
      </c>
      <c r="M5254" s="30"/>
      <c r="N5254" s="53" t="str">
        <f t="shared" si="507"/>
        <v/>
      </c>
      <c r="O5254" s="38">
        <f>SUM(N5254:N5256)</f>
        <v>5.8716097632000004</v>
      </c>
      <c r="P5254" s="36" t="str">
        <f t="shared" si="501"/>
        <v/>
      </c>
      <c r="Q5254" s="216" t="str">
        <f t="shared" si="502"/>
        <v/>
      </c>
      <c r="R5254" s="216" t="str">
        <f t="shared" si="503"/>
        <v/>
      </c>
      <c r="S5254" s="217">
        <f t="shared" si="504"/>
        <v>0.14399999999999991</v>
      </c>
    </row>
    <row r="5255" spans="1:19" ht="15.75" hidden="1" thickBot="1" x14ac:dyDescent="0.3">
      <c r="A5255" s="257"/>
      <c r="B5255" s="260"/>
      <c r="C5255" s="35" t="s">
        <v>1017</v>
      </c>
      <c r="D5255" s="35" t="s">
        <v>583</v>
      </c>
      <c r="E5255" s="36">
        <v>0.13880000000000001</v>
      </c>
      <c r="F5255" s="30">
        <v>21.584</v>
      </c>
      <c r="G5255" s="53">
        <f t="shared" si="506"/>
        <v>2.9958591999999999</v>
      </c>
      <c r="H5255" s="72"/>
      <c r="I5255" s="73"/>
      <c r="J5255" s="152">
        <v>0</v>
      </c>
      <c r="L5255" s="215">
        <v>0.13880000000000001</v>
      </c>
      <c r="M5255" s="30">
        <v>18.475904</v>
      </c>
      <c r="N5255" s="53">
        <f t="shared" si="507"/>
        <v>2.5644554751999999</v>
      </c>
      <c r="O5255" s="72"/>
      <c r="P5255" s="36" t="str">
        <f t="shared" si="501"/>
        <v/>
      </c>
      <c r="Q5255" s="216">
        <f t="shared" si="502"/>
        <v>0.14400000000000002</v>
      </c>
      <c r="R5255" s="216">
        <f t="shared" si="503"/>
        <v>0.14400000000000002</v>
      </c>
      <c r="S5255" s="217" t="str">
        <f t="shared" si="504"/>
        <v/>
      </c>
    </row>
    <row r="5256" spans="1:19" ht="15.75" hidden="1" thickBot="1" x14ac:dyDescent="0.3">
      <c r="A5256" s="257"/>
      <c r="B5256" s="260"/>
      <c r="C5256" s="35" t="s">
        <v>1018</v>
      </c>
      <c r="D5256" s="35" t="s">
        <v>583</v>
      </c>
      <c r="E5256" s="36">
        <v>0.13880000000000001</v>
      </c>
      <c r="F5256" s="30">
        <v>27.835000000000001</v>
      </c>
      <c r="G5256" s="53">
        <f t="shared" si="506"/>
        <v>3.8634980000000003</v>
      </c>
      <c r="H5256" s="72"/>
      <c r="I5256" s="73"/>
      <c r="J5256" s="152">
        <v>0</v>
      </c>
      <c r="L5256" s="215">
        <v>0.13880000000000001</v>
      </c>
      <c r="M5256" s="30">
        <v>23.82676</v>
      </c>
      <c r="N5256" s="53">
        <f t="shared" si="507"/>
        <v>3.307154288</v>
      </c>
      <c r="O5256" s="72"/>
      <c r="P5256" s="36" t="str">
        <f t="shared" ref="P5256:P5319" si="508">IF(ISBLANK(L5256),"",IF($E5256&lt;&gt;L5256,"SIM",""))</f>
        <v/>
      </c>
      <c r="Q5256" s="216">
        <f t="shared" ref="Q5256:Q5319" si="509">IF(M5256="","",1-M5256/$F5256)</f>
        <v>0.14400000000000002</v>
      </c>
      <c r="R5256" s="216">
        <f t="shared" ref="R5256:R5319" si="510">IF(N5256="","",1-N5256/$G5256)</f>
        <v>0.14400000000000002</v>
      </c>
      <c r="S5256" s="217" t="str">
        <f t="shared" ref="S5256:S5319" si="511">IF(O5256="","",1-O5256/$H5256)</f>
        <v/>
      </c>
    </row>
    <row r="5257" spans="1:19" ht="15.75" hidden="1" thickBot="1" x14ac:dyDescent="0.3">
      <c r="A5257" s="257"/>
      <c r="B5257" s="260"/>
      <c r="C5257" s="35"/>
      <c r="D5257" s="46"/>
      <c r="E5257" s="36"/>
      <c r="F5257" s="53" t="s">
        <v>416</v>
      </c>
      <c r="G5257" s="53" t="str">
        <f t="shared" si="506"/>
        <v/>
      </c>
      <c r="H5257" s="72"/>
      <c r="I5257" s="73"/>
      <c r="J5257" s="152">
        <v>0</v>
      </c>
      <c r="L5257" s="215"/>
      <c r="M5257" s="53"/>
      <c r="N5257" s="53" t="str">
        <f t="shared" si="507"/>
        <v/>
      </c>
      <c r="O5257" s="72"/>
      <c r="P5257" s="36" t="str">
        <f t="shared" si="508"/>
        <v/>
      </c>
      <c r="Q5257" s="216" t="str">
        <f t="shared" si="509"/>
        <v/>
      </c>
      <c r="R5257" s="216" t="str">
        <f t="shared" si="510"/>
        <v/>
      </c>
      <c r="S5257" s="217" t="str">
        <f t="shared" si="511"/>
        <v/>
      </c>
    </row>
    <row r="5258" spans="1:19" ht="15.75" hidden="1" thickBot="1" x14ac:dyDescent="0.3">
      <c r="A5258" s="256" t="s">
        <v>3192</v>
      </c>
      <c r="B5258" s="259" t="str">
        <f>INDEX(Orçamentária!A:B,MATCH(Composições!A5258,Orçamentária!A:A,0),2)</f>
        <v>Eletroduto PEAD 1 1/4" - fornecimento e instalação</v>
      </c>
      <c r="C5258" s="40"/>
      <c r="D5258" s="25" t="s">
        <v>69</v>
      </c>
      <c r="E5258" s="26"/>
      <c r="F5258" s="41" t="s">
        <v>416</v>
      </c>
      <c r="G5258" s="27" t="str">
        <f t="shared" si="506"/>
        <v/>
      </c>
      <c r="H5258" s="28"/>
      <c r="I5258" s="29"/>
      <c r="J5258" s="152">
        <v>0</v>
      </c>
      <c r="L5258" s="218"/>
      <c r="M5258" s="41"/>
      <c r="N5258" s="27" t="str">
        <f t="shared" si="507"/>
        <v/>
      </c>
      <c r="O5258" s="28"/>
      <c r="P5258" s="36" t="str">
        <f t="shared" si="508"/>
        <v/>
      </c>
      <c r="Q5258" s="216" t="str">
        <f t="shared" si="509"/>
        <v/>
      </c>
      <c r="R5258" s="216" t="str">
        <f t="shared" si="510"/>
        <v/>
      </c>
      <c r="S5258" s="217" t="str">
        <f t="shared" si="511"/>
        <v/>
      </c>
    </row>
    <row r="5259" spans="1:19" ht="15.75" hidden="1" thickBot="1" x14ac:dyDescent="0.3">
      <c r="A5259" s="262"/>
      <c r="B5259" s="260"/>
      <c r="C5259" s="31"/>
      <c r="D5259" s="31"/>
      <c r="E5259" s="32"/>
      <c r="F5259" s="42" t="s">
        <v>416</v>
      </c>
      <c r="G5259" s="30" t="str">
        <f t="shared" si="506"/>
        <v/>
      </c>
      <c r="H5259" s="34"/>
      <c r="I5259" s="30"/>
      <c r="J5259" s="152">
        <v>0</v>
      </c>
      <c r="L5259" s="219"/>
      <c r="M5259" s="42"/>
      <c r="N5259" s="30" t="str">
        <f t="shared" si="507"/>
        <v/>
      </c>
      <c r="O5259" s="34"/>
      <c r="P5259" s="36" t="str">
        <f t="shared" si="508"/>
        <v/>
      </c>
      <c r="Q5259" s="216" t="str">
        <f t="shared" si="509"/>
        <v/>
      </c>
      <c r="R5259" s="216" t="str">
        <f t="shared" si="510"/>
        <v/>
      </c>
      <c r="S5259" s="217" t="str">
        <f t="shared" si="511"/>
        <v/>
      </c>
    </row>
    <row r="5260" spans="1:19" ht="39" hidden="1" thickBot="1" x14ac:dyDescent="0.3">
      <c r="A5260" s="262"/>
      <c r="B5260" s="260"/>
      <c r="C5260" s="35" t="s">
        <v>8152</v>
      </c>
      <c r="D5260" s="35" t="s">
        <v>385</v>
      </c>
      <c r="E5260" s="36">
        <v>1.1000000000000001</v>
      </c>
      <c r="F5260" s="30">
        <v>3.3344999999999998</v>
      </c>
      <c r="G5260" s="33">
        <f t="shared" si="506"/>
        <v>3.6679500000000003</v>
      </c>
      <c r="H5260" s="38">
        <f>SUM(G5260:G5263)</f>
        <v>12.251722500000001</v>
      </c>
      <c r="I5260" s="39"/>
      <c r="J5260" s="152">
        <v>0</v>
      </c>
      <c r="L5260" s="215">
        <v>1.1000000000000001</v>
      </c>
      <c r="M5260" s="30">
        <v>2.8543319999999999</v>
      </c>
      <c r="N5260" s="33">
        <f t="shared" si="507"/>
        <v>3.1397652000000003</v>
      </c>
      <c r="O5260" s="38">
        <f>SUM(N5260:N5263)</f>
        <v>10.487474460000001</v>
      </c>
      <c r="P5260" s="36" t="str">
        <f t="shared" si="508"/>
        <v/>
      </c>
      <c r="Q5260" s="216">
        <f t="shared" si="509"/>
        <v>0.14400000000000002</v>
      </c>
      <c r="R5260" s="216">
        <f t="shared" si="510"/>
        <v>0.14400000000000002</v>
      </c>
      <c r="S5260" s="217">
        <f t="shared" si="511"/>
        <v>0.14400000000000002</v>
      </c>
    </row>
    <row r="5261" spans="1:19" ht="15.75" hidden="1" thickBot="1" x14ac:dyDescent="0.3">
      <c r="A5261" s="262"/>
      <c r="B5261" s="260"/>
      <c r="C5261" s="35" t="s">
        <v>1017</v>
      </c>
      <c r="D5261" s="35" t="s">
        <v>583</v>
      </c>
      <c r="E5261" s="36">
        <v>0.113</v>
      </c>
      <c r="F5261" s="30">
        <v>21.584</v>
      </c>
      <c r="G5261" s="33">
        <f t="shared" si="506"/>
        <v>2.4389919999999998</v>
      </c>
      <c r="H5261" s="34"/>
      <c r="I5261" s="30"/>
      <c r="J5261" s="152">
        <v>0</v>
      </c>
      <c r="L5261" s="215">
        <v>0.113</v>
      </c>
      <c r="M5261" s="30">
        <v>18.475904</v>
      </c>
      <c r="N5261" s="33">
        <f t="shared" si="507"/>
        <v>2.0877771520000001</v>
      </c>
      <c r="O5261" s="34"/>
      <c r="P5261" s="36" t="str">
        <f t="shared" si="508"/>
        <v/>
      </c>
      <c r="Q5261" s="216">
        <f t="shared" si="509"/>
        <v>0.14400000000000002</v>
      </c>
      <c r="R5261" s="216">
        <f t="shared" si="510"/>
        <v>0.14399999999999991</v>
      </c>
      <c r="S5261" s="217" t="str">
        <f t="shared" si="511"/>
        <v/>
      </c>
    </row>
    <row r="5262" spans="1:19" ht="15.75" hidden="1" thickBot="1" x14ac:dyDescent="0.3">
      <c r="A5262" s="262"/>
      <c r="B5262" s="260"/>
      <c r="C5262" s="35" t="s">
        <v>1018</v>
      </c>
      <c r="D5262" s="35" t="s">
        <v>583</v>
      </c>
      <c r="E5262" s="36">
        <v>0.113</v>
      </c>
      <c r="F5262" s="30">
        <v>27.835000000000001</v>
      </c>
      <c r="G5262" s="33">
        <f t="shared" si="506"/>
        <v>3.1453550000000003</v>
      </c>
      <c r="H5262" s="34"/>
      <c r="I5262" s="30"/>
      <c r="J5262" s="152">
        <v>0</v>
      </c>
      <c r="L5262" s="215">
        <v>0.113</v>
      </c>
      <c r="M5262" s="30">
        <v>23.82676</v>
      </c>
      <c r="N5262" s="33">
        <f t="shared" si="507"/>
        <v>2.6924238800000002</v>
      </c>
      <c r="O5262" s="34"/>
      <c r="P5262" s="36" t="str">
        <f t="shared" si="508"/>
        <v/>
      </c>
      <c r="Q5262" s="216">
        <f t="shared" si="509"/>
        <v>0.14400000000000002</v>
      </c>
      <c r="R5262" s="216">
        <f t="shared" si="510"/>
        <v>0.14400000000000002</v>
      </c>
      <c r="S5262" s="217" t="str">
        <f t="shared" si="511"/>
        <v/>
      </c>
    </row>
    <row r="5263" spans="1:19" ht="51.75" hidden="1" thickBot="1" x14ac:dyDescent="0.3">
      <c r="A5263" s="262"/>
      <c r="B5263" s="260"/>
      <c r="C5263" s="35" t="s">
        <v>2889</v>
      </c>
      <c r="D5263" s="35" t="s">
        <v>385</v>
      </c>
      <c r="E5263" s="36">
        <v>1</v>
      </c>
      <c r="F5263" s="33">
        <v>2.9994255000000005</v>
      </c>
      <c r="G5263" s="30">
        <f t="shared" si="506"/>
        <v>2.9994255000000005</v>
      </c>
      <c r="H5263" s="34"/>
      <c r="I5263" s="30"/>
      <c r="J5263" s="152">
        <v>0</v>
      </c>
      <c r="L5263" s="215">
        <v>1</v>
      </c>
      <c r="M5263" s="33">
        <v>2.5675082280000003</v>
      </c>
      <c r="N5263" s="30">
        <f t="shared" si="507"/>
        <v>2.5675082280000003</v>
      </c>
      <c r="O5263" s="34"/>
      <c r="P5263" s="36" t="str">
        <f t="shared" si="508"/>
        <v/>
      </c>
      <c r="Q5263" s="216">
        <f t="shared" si="509"/>
        <v>0.14400000000000002</v>
      </c>
      <c r="R5263" s="216">
        <f t="shared" si="510"/>
        <v>0.14400000000000002</v>
      </c>
      <c r="S5263" s="217" t="str">
        <f t="shared" si="511"/>
        <v/>
      </c>
    </row>
    <row r="5264" spans="1:19" ht="15.75" hidden="1" thickBot="1" x14ac:dyDescent="0.3">
      <c r="A5264" s="263"/>
      <c r="B5264" s="261"/>
      <c r="C5264" s="35"/>
      <c r="D5264" s="35"/>
      <c r="E5264" s="36"/>
      <c r="F5264" s="30" t="s">
        <v>416</v>
      </c>
      <c r="G5264" s="30" t="str">
        <f t="shared" si="506"/>
        <v/>
      </c>
      <c r="H5264" s="34"/>
      <c r="I5264" s="30"/>
      <c r="J5264" s="152">
        <v>0</v>
      </c>
      <c r="L5264" s="215"/>
      <c r="M5264" s="30"/>
      <c r="N5264" s="30" t="str">
        <f t="shared" si="507"/>
        <v/>
      </c>
      <c r="O5264" s="34"/>
      <c r="P5264" s="36" t="str">
        <f t="shared" si="508"/>
        <v/>
      </c>
      <c r="Q5264" s="216" t="str">
        <f t="shared" si="509"/>
        <v/>
      </c>
      <c r="R5264" s="216" t="str">
        <f t="shared" si="510"/>
        <v/>
      </c>
      <c r="S5264" s="217" t="str">
        <f t="shared" si="511"/>
        <v/>
      </c>
    </row>
    <row r="5265" spans="1:19" ht="15.75" hidden="1" thickBot="1" x14ac:dyDescent="0.3">
      <c r="A5265" s="256" t="s">
        <v>3193</v>
      </c>
      <c r="B5265" s="259" t="str">
        <f>INDEX(Orçamentária!A:B,MATCH(Composições!A5265,Orçamentária!A:A,0),2)</f>
        <v>Caixa de Passagem Subterrânea 1600 x 2000 mm</v>
      </c>
      <c r="C5265" s="40"/>
      <c r="D5265" s="25" t="s">
        <v>16</v>
      </c>
      <c r="E5265" s="26"/>
      <c r="F5265" s="41" t="s">
        <v>416</v>
      </c>
      <c r="G5265" s="27" t="str">
        <f t="shared" si="506"/>
        <v/>
      </c>
      <c r="H5265" s="28"/>
      <c r="I5265" s="29"/>
      <c r="J5265" s="152">
        <v>0</v>
      </c>
      <c r="L5265" s="218"/>
      <c r="M5265" s="41"/>
      <c r="N5265" s="27" t="str">
        <f t="shared" si="507"/>
        <v/>
      </c>
      <c r="O5265" s="28"/>
      <c r="P5265" s="36" t="str">
        <f t="shared" si="508"/>
        <v/>
      </c>
      <c r="Q5265" s="216" t="str">
        <f t="shared" si="509"/>
        <v/>
      </c>
      <c r="R5265" s="216" t="str">
        <f t="shared" si="510"/>
        <v/>
      </c>
      <c r="S5265" s="217" t="str">
        <f t="shared" si="511"/>
        <v/>
      </c>
    </row>
    <row r="5266" spans="1:19" ht="15.75" hidden="1" thickBot="1" x14ac:dyDescent="0.3">
      <c r="A5266" s="262"/>
      <c r="B5266" s="260"/>
      <c r="C5266" s="31"/>
      <c r="D5266" s="31"/>
      <c r="E5266" s="32"/>
      <c r="F5266" s="42" t="s">
        <v>416</v>
      </c>
      <c r="G5266" s="30" t="str">
        <f t="shared" si="506"/>
        <v/>
      </c>
      <c r="H5266" s="34"/>
      <c r="I5266" s="30"/>
      <c r="J5266" s="152">
        <v>0</v>
      </c>
      <c r="L5266" s="219"/>
      <c r="M5266" s="42"/>
      <c r="N5266" s="30" t="str">
        <f t="shared" si="507"/>
        <v/>
      </c>
      <c r="O5266" s="34"/>
      <c r="P5266" s="36" t="str">
        <f t="shared" si="508"/>
        <v/>
      </c>
      <c r="Q5266" s="216" t="str">
        <f t="shared" si="509"/>
        <v/>
      </c>
      <c r="R5266" s="216" t="str">
        <f t="shared" si="510"/>
        <v/>
      </c>
      <c r="S5266" s="217" t="str">
        <f t="shared" si="511"/>
        <v/>
      </c>
    </row>
    <row r="5267" spans="1:19" ht="64.5" hidden="1" thickBot="1" x14ac:dyDescent="0.3">
      <c r="A5267" s="262"/>
      <c r="B5267" s="260"/>
      <c r="C5267" s="35" t="s">
        <v>2863</v>
      </c>
      <c r="D5267" s="35" t="s">
        <v>813</v>
      </c>
      <c r="E5267" s="36">
        <f>ROUND(0.0087*3.33,4)</f>
        <v>2.9000000000000001E-2</v>
      </c>
      <c r="F5267" s="30">
        <v>134.55799999999999</v>
      </c>
      <c r="G5267" s="33">
        <f t="shared" si="506"/>
        <v>3.9021819999999998</v>
      </c>
      <c r="H5267" s="38">
        <f>SUM(G5267:G5275)</f>
        <v>1904.9566248985502</v>
      </c>
      <c r="I5267" s="39"/>
      <c r="J5267" s="152">
        <v>0</v>
      </c>
      <c r="L5267" s="215">
        <v>2.9000000000000001E-2</v>
      </c>
      <c r="M5267" s="30">
        <v>115.181648</v>
      </c>
      <c r="N5267" s="33">
        <f t="shared" si="507"/>
        <v>3.3402677920000001</v>
      </c>
      <c r="O5267" s="38">
        <f>SUM(N5267:N5275)</f>
        <v>1630.642870913159</v>
      </c>
      <c r="P5267" s="36" t="str">
        <f t="shared" si="508"/>
        <v/>
      </c>
      <c r="Q5267" s="216">
        <f t="shared" si="509"/>
        <v>0.14400000000000002</v>
      </c>
      <c r="R5267" s="216">
        <f t="shared" si="510"/>
        <v>0.14399999999999991</v>
      </c>
      <c r="S5267" s="217">
        <f t="shared" si="511"/>
        <v>0.14400000000000002</v>
      </c>
    </row>
    <row r="5268" spans="1:19" ht="64.5" hidden="1" thickBot="1" x14ac:dyDescent="0.3">
      <c r="A5268" s="262"/>
      <c r="B5268" s="260"/>
      <c r="C5268" s="35" t="s">
        <v>2870</v>
      </c>
      <c r="D5268" s="35" t="s">
        <v>815</v>
      </c>
      <c r="E5268" s="36">
        <f>ROUND(0.0294*3.33,4)</f>
        <v>9.7900000000000001E-2</v>
      </c>
      <c r="F5268" s="30">
        <v>54.34</v>
      </c>
      <c r="G5268" s="33">
        <f t="shared" si="506"/>
        <v>5.3198860000000003</v>
      </c>
      <c r="H5268" s="34"/>
      <c r="I5268" s="30"/>
      <c r="J5268" s="152">
        <v>0</v>
      </c>
      <c r="L5268" s="215">
        <v>9.7900000000000001E-2</v>
      </c>
      <c r="M5268" s="30">
        <v>46.515040000000006</v>
      </c>
      <c r="N5268" s="33">
        <f t="shared" si="507"/>
        <v>4.5538224160000009</v>
      </c>
      <c r="O5268" s="34"/>
      <c r="P5268" s="36" t="str">
        <f t="shared" si="508"/>
        <v/>
      </c>
      <c r="Q5268" s="216">
        <f t="shared" si="509"/>
        <v>0.14399999999999991</v>
      </c>
      <c r="R5268" s="216">
        <f t="shared" si="510"/>
        <v>0.14399999999999991</v>
      </c>
      <c r="S5268" s="217" t="str">
        <f t="shared" si="511"/>
        <v/>
      </c>
    </row>
    <row r="5269" spans="1:19" ht="15.75" hidden="1" thickBot="1" x14ac:dyDescent="0.3">
      <c r="A5269" s="262"/>
      <c r="B5269" s="260"/>
      <c r="C5269" s="35" t="s">
        <v>3062</v>
      </c>
      <c r="D5269" s="35" t="s">
        <v>213</v>
      </c>
      <c r="E5269" s="36">
        <f>ROUND(169.8027*3.33,4)</f>
        <v>565.44299999999998</v>
      </c>
      <c r="F5269" s="33">
        <v>0.56999999999999995</v>
      </c>
      <c r="G5269" s="30">
        <f t="shared" si="506"/>
        <v>322.30250999999998</v>
      </c>
      <c r="H5269" s="34"/>
      <c r="I5269" s="30"/>
      <c r="J5269" s="152">
        <v>0</v>
      </c>
      <c r="L5269" s="215">
        <v>565.44299999999998</v>
      </c>
      <c r="M5269" s="33">
        <v>0.48791999999999996</v>
      </c>
      <c r="N5269" s="30">
        <f t="shared" si="507"/>
        <v>275.89094855999997</v>
      </c>
      <c r="O5269" s="34"/>
      <c r="P5269" s="36" t="str">
        <f t="shared" si="508"/>
        <v/>
      </c>
      <c r="Q5269" s="216">
        <f t="shared" si="509"/>
        <v>0.14400000000000002</v>
      </c>
      <c r="R5269" s="216">
        <f t="shared" si="510"/>
        <v>0.14400000000000002</v>
      </c>
      <c r="S5269" s="217" t="str">
        <f t="shared" si="511"/>
        <v/>
      </c>
    </row>
    <row r="5270" spans="1:19" ht="39" hidden="1" thickBot="1" x14ac:dyDescent="0.3">
      <c r="A5270" s="262"/>
      <c r="B5270" s="260"/>
      <c r="C5270" s="35" t="s">
        <v>871</v>
      </c>
      <c r="D5270" s="35" t="s">
        <v>87</v>
      </c>
      <c r="E5270" s="36">
        <f>ROUND(0.0014*3.33,4)</f>
        <v>4.7000000000000002E-3</v>
      </c>
      <c r="F5270" s="30">
        <v>584.3403605609999</v>
      </c>
      <c r="G5270" s="33">
        <f t="shared" si="506"/>
        <v>2.7463996946366995</v>
      </c>
      <c r="H5270" s="34"/>
      <c r="I5270" s="39"/>
      <c r="J5270" s="152">
        <v>0</v>
      </c>
      <c r="L5270" s="215">
        <v>4.7000000000000002E-3</v>
      </c>
      <c r="M5270" s="30">
        <v>500.19534864021591</v>
      </c>
      <c r="N5270" s="33">
        <f t="shared" si="507"/>
        <v>2.350918138609015</v>
      </c>
      <c r="O5270" s="34"/>
      <c r="P5270" s="36" t="str">
        <f t="shared" si="508"/>
        <v/>
      </c>
      <c r="Q5270" s="216">
        <f t="shared" si="509"/>
        <v>0.14400000000000002</v>
      </c>
      <c r="R5270" s="216">
        <f t="shared" si="510"/>
        <v>0.14399999999999991</v>
      </c>
      <c r="S5270" s="217" t="str">
        <f t="shared" si="511"/>
        <v/>
      </c>
    </row>
    <row r="5271" spans="1:19" ht="15.75" hidden="1" thickBot="1" x14ac:dyDescent="0.3">
      <c r="A5271" s="262"/>
      <c r="B5271" s="260"/>
      <c r="C5271" s="35" t="s">
        <v>591</v>
      </c>
      <c r="D5271" s="35" t="s">
        <v>583</v>
      </c>
      <c r="E5271" s="36">
        <f>ROUND(5.4392*3.33,4)</f>
        <v>18.112500000000001</v>
      </c>
      <c r="F5271" s="30">
        <v>27.160499999999999</v>
      </c>
      <c r="G5271" s="33">
        <f t="shared" si="506"/>
        <v>491.94455625000001</v>
      </c>
      <c r="H5271" s="34"/>
      <c r="I5271" s="30"/>
      <c r="J5271" s="152">
        <v>0</v>
      </c>
      <c r="L5271" s="215">
        <v>18.112500000000001</v>
      </c>
      <c r="M5271" s="30">
        <v>23.249388</v>
      </c>
      <c r="N5271" s="33">
        <f t="shared" si="507"/>
        <v>421.10454014999999</v>
      </c>
      <c r="O5271" s="34"/>
      <c r="P5271" s="36" t="str">
        <f t="shared" si="508"/>
        <v/>
      </c>
      <c r="Q5271" s="216">
        <f t="shared" si="509"/>
        <v>0.14400000000000002</v>
      </c>
      <c r="R5271" s="216">
        <f t="shared" si="510"/>
        <v>0.14400000000000002</v>
      </c>
      <c r="S5271" s="217" t="str">
        <f t="shared" si="511"/>
        <v/>
      </c>
    </row>
    <row r="5272" spans="1:19" ht="15.75" hidden="1" thickBot="1" x14ac:dyDescent="0.3">
      <c r="A5272" s="262"/>
      <c r="B5272" s="260"/>
      <c r="C5272" s="35" t="s">
        <v>584</v>
      </c>
      <c r="D5272" s="35" t="s">
        <v>583</v>
      </c>
      <c r="E5272" s="36">
        <f>ROUND(5.4392*3.33,4)</f>
        <v>18.112500000000001</v>
      </c>
      <c r="F5272" s="33">
        <v>20.225499999999997</v>
      </c>
      <c r="G5272" s="30">
        <f t="shared" si="506"/>
        <v>366.33436874999995</v>
      </c>
      <c r="H5272" s="34"/>
      <c r="I5272" s="30"/>
      <c r="J5272" s="152">
        <v>0</v>
      </c>
      <c r="L5272" s="215">
        <v>18.112500000000001</v>
      </c>
      <c r="M5272" s="33">
        <v>17.313027999999996</v>
      </c>
      <c r="N5272" s="30">
        <f t="shared" si="507"/>
        <v>313.58221964999996</v>
      </c>
      <c r="O5272" s="34"/>
      <c r="P5272" s="36" t="str">
        <f t="shared" si="508"/>
        <v/>
      </c>
      <c r="Q5272" s="216">
        <f t="shared" si="509"/>
        <v>0.14400000000000013</v>
      </c>
      <c r="R5272" s="216">
        <f t="shared" si="510"/>
        <v>0.14400000000000002</v>
      </c>
      <c r="S5272" s="217" t="str">
        <f t="shared" si="511"/>
        <v/>
      </c>
    </row>
    <row r="5273" spans="1:19" ht="26.25" hidden="1" thickBot="1" x14ac:dyDescent="0.3">
      <c r="A5273" s="262"/>
      <c r="B5273" s="260"/>
      <c r="C5273" s="35" t="s">
        <v>2898</v>
      </c>
      <c r="D5273" s="35" t="s">
        <v>87</v>
      </c>
      <c r="E5273" s="36">
        <f>ROUND(0.1012*3.33,4)</f>
        <v>0.33700000000000002</v>
      </c>
      <c r="F5273" s="30">
        <v>657.09798058849992</v>
      </c>
      <c r="G5273" s="33">
        <f t="shared" si="506"/>
        <v>221.44201945832449</v>
      </c>
      <c r="H5273" s="34"/>
      <c r="I5273" s="39"/>
      <c r="J5273" s="152">
        <v>0</v>
      </c>
      <c r="L5273" s="215">
        <v>0.33700000000000002</v>
      </c>
      <c r="M5273" s="30">
        <v>562.47587138375593</v>
      </c>
      <c r="N5273" s="33">
        <f t="shared" si="507"/>
        <v>189.55436865632575</v>
      </c>
      <c r="O5273" s="34"/>
      <c r="P5273" s="36" t="str">
        <f t="shared" si="508"/>
        <v/>
      </c>
      <c r="Q5273" s="216">
        <f t="shared" si="509"/>
        <v>0.14400000000000002</v>
      </c>
      <c r="R5273" s="216">
        <f t="shared" si="510"/>
        <v>0.14400000000000013</v>
      </c>
      <c r="S5273" s="217" t="str">
        <f t="shared" si="511"/>
        <v/>
      </c>
    </row>
    <row r="5274" spans="1:19" ht="26.25" hidden="1" thickBot="1" x14ac:dyDescent="0.3">
      <c r="A5274" s="262"/>
      <c r="B5274" s="260"/>
      <c r="C5274" s="35" t="s">
        <v>2888</v>
      </c>
      <c r="D5274" s="35" t="s">
        <v>87</v>
      </c>
      <c r="E5274" s="36">
        <f>ROUND(0.0448*3.33,4)</f>
        <v>0.1492</v>
      </c>
      <c r="F5274" s="30">
        <v>2567.9175087184358</v>
      </c>
      <c r="G5274" s="33">
        <f t="shared" si="506"/>
        <v>383.13329230079063</v>
      </c>
      <c r="H5274" s="34"/>
      <c r="I5274" s="30"/>
      <c r="J5274" s="152">
        <v>0</v>
      </c>
      <c r="L5274" s="215">
        <v>0.1492</v>
      </c>
      <c r="M5274" s="30">
        <v>2198.1373874629812</v>
      </c>
      <c r="N5274" s="33">
        <f t="shared" si="507"/>
        <v>327.96209820947678</v>
      </c>
      <c r="O5274" s="34"/>
      <c r="P5274" s="36" t="str">
        <f t="shared" si="508"/>
        <v/>
      </c>
      <c r="Q5274" s="216">
        <f t="shared" si="509"/>
        <v>0.14399999999999991</v>
      </c>
      <c r="R5274" s="216">
        <f t="shared" si="510"/>
        <v>0.14400000000000002</v>
      </c>
      <c r="S5274" s="217" t="str">
        <f t="shared" si="511"/>
        <v/>
      </c>
    </row>
    <row r="5275" spans="1:19" ht="26.25" hidden="1" thickBot="1" x14ac:dyDescent="0.3">
      <c r="A5275" s="262"/>
      <c r="B5275" s="260"/>
      <c r="C5275" s="35" t="s">
        <v>3224</v>
      </c>
      <c r="D5275" s="35" t="s">
        <v>87</v>
      </c>
      <c r="E5275" s="36">
        <f>ROUND(0.081*3.33,4)</f>
        <v>0.2697</v>
      </c>
      <c r="F5275" s="33">
        <v>399.81983850500001</v>
      </c>
      <c r="G5275" s="30">
        <f t="shared" si="506"/>
        <v>107.83141044479849</v>
      </c>
      <c r="H5275" s="34"/>
      <c r="I5275" s="30"/>
      <c r="J5275" s="152">
        <v>0</v>
      </c>
      <c r="L5275" s="215">
        <v>0.2697</v>
      </c>
      <c r="M5275" s="33">
        <v>342.24578176028001</v>
      </c>
      <c r="N5275" s="30">
        <f t="shared" si="507"/>
        <v>92.303687340747516</v>
      </c>
      <c r="O5275" s="34"/>
      <c r="P5275" s="36" t="str">
        <f t="shared" si="508"/>
        <v/>
      </c>
      <c r="Q5275" s="216">
        <f t="shared" si="509"/>
        <v>0.14400000000000002</v>
      </c>
      <c r="R5275" s="216">
        <f t="shared" si="510"/>
        <v>0.14399999999999991</v>
      </c>
      <c r="S5275" s="217" t="str">
        <f t="shared" si="511"/>
        <v/>
      </c>
    </row>
    <row r="5276" spans="1:19" ht="15.75" hidden="1" thickBot="1" x14ac:dyDescent="0.3">
      <c r="A5276" s="263"/>
      <c r="B5276" s="261"/>
      <c r="C5276" s="35"/>
      <c r="D5276" s="35"/>
      <c r="E5276" s="36"/>
      <c r="F5276" s="30" t="s">
        <v>416</v>
      </c>
      <c r="G5276" s="30" t="str">
        <f t="shared" si="506"/>
        <v/>
      </c>
      <c r="H5276" s="34"/>
      <c r="I5276" s="30"/>
      <c r="J5276" s="152">
        <v>0</v>
      </c>
      <c r="L5276" s="215"/>
      <c r="M5276" s="30"/>
      <c r="N5276" s="30" t="str">
        <f t="shared" si="507"/>
        <v/>
      </c>
      <c r="O5276" s="34"/>
      <c r="P5276" s="36" t="str">
        <f t="shared" si="508"/>
        <v/>
      </c>
      <c r="Q5276" s="216" t="str">
        <f t="shared" si="509"/>
        <v/>
      </c>
      <c r="R5276" s="216" t="str">
        <f t="shared" si="510"/>
        <v/>
      </c>
      <c r="S5276" s="217" t="str">
        <f t="shared" si="511"/>
        <v/>
      </c>
    </row>
    <row r="5277" spans="1:19" ht="15.75" hidden="1" thickBot="1" x14ac:dyDescent="0.3">
      <c r="A5277" s="256" t="s">
        <v>3194</v>
      </c>
      <c r="B5277" s="259" t="str">
        <f>INDEX(Orçamentária!A:B,MATCH(Composições!A5277,Orçamentária!A:A,0),2)</f>
        <v>Projeto Executivo de Rede de Telecomunicações Backbone</v>
      </c>
      <c r="C5277" s="40"/>
      <c r="D5277" s="25" t="s">
        <v>16</v>
      </c>
      <c r="E5277" s="26"/>
      <c r="F5277" s="41" t="s">
        <v>416</v>
      </c>
      <c r="G5277" s="27" t="str">
        <f t="shared" si="506"/>
        <v/>
      </c>
      <c r="H5277" s="28"/>
      <c r="I5277" s="29"/>
      <c r="J5277" s="152">
        <v>0</v>
      </c>
      <c r="L5277" s="218"/>
      <c r="M5277" s="41"/>
      <c r="N5277" s="27" t="str">
        <f t="shared" si="507"/>
        <v/>
      </c>
      <c r="O5277" s="28"/>
      <c r="P5277" s="36" t="str">
        <f t="shared" si="508"/>
        <v/>
      </c>
      <c r="Q5277" s="216" t="str">
        <f t="shared" si="509"/>
        <v/>
      </c>
      <c r="R5277" s="216" t="str">
        <f t="shared" si="510"/>
        <v/>
      </c>
      <c r="S5277" s="217" t="str">
        <f t="shared" si="511"/>
        <v/>
      </c>
    </row>
    <row r="5278" spans="1:19" ht="15.75" hidden="1" thickBot="1" x14ac:dyDescent="0.3">
      <c r="A5278" s="262"/>
      <c r="B5278" s="260"/>
      <c r="C5278" s="31"/>
      <c r="D5278" s="31"/>
      <c r="E5278" s="32"/>
      <c r="F5278" s="42" t="s">
        <v>416</v>
      </c>
      <c r="G5278" s="30" t="str">
        <f t="shared" si="506"/>
        <v/>
      </c>
      <c r="H5278" s="34"/>
      <c r="I5278" s="30"/>
      <c r="J5278" s="152">
        <v>0</v>
      </c>
      <c r="L5278" s="219"/>
      <c r="M5278" s="42"/>
      <c r="N5278" s="30" t="str">
        <f t="shared" si="507"/>
        <v/>
      </c>
      <c r="O5278" s="34"/>
      <c r="P5278" s="36" t="str">
        <f t="shared" si="508"/>
        <v/>
      </c>
      <c r="Q5278" s="216" t="str">
        <f t="shared" si="509"/>
        <v/>
      </c>
      <c r="R5278" s="216" t="str">
        <f t="shared" si="510"/>
        <v/>
      </c>
      <c r="S5278" s="217" t="str">
        <f t="shared" si="511"/>
        <v/>
      </c>
    </row>
    <row r="5279" spans="1:19" ht="15.75" hidden="1" thickBot="1" x14ac:dyDescent="0.3">
      <c r="A5279" s="262"/>
      <c r="B5279" s="260"/>
      <c r="C5279" s="35" t="s">
        <v>1069</v>
      </c>
      <c r="D5279" s="35" t="s">
        <v>583</v>
      </c>
      <c r="E5279" s="36">
        <v>40</v>
      </c>
      <c r="F5279" s="30">
        <v>118.465</v>
      </c>
      <c r="G5279" s="33">
        <f t="shared" si="506"/>
        <v>4738.6000000000004</v>
      </c>
      <c r="H5279" s="38">
        <f>SUM(G5279:G5283)</f>
        <v>5945.09</v>
      </c>
      <c r="I5279" s="39"/>
      <c r="J5279" s="152">
        <v>0</v>
      </c>
      <c r="L5279" s="215">
        <v>40</v>
      </c>
      <c r="M5279" s="30">
        <v>101.40604</v>
      </c>
      <c r="N5279" s="33">
        <f t="shared" si="507"/>
        <v>4056.2416000000003</v>
      </c>
      <c r="O5279" s="38">
        <f>SUM(N5279:N5283)</f>
        <v>5088.9970399999993</v>
      </c>
      <c r="P5279" s="36" t="str">
        <f t="shared" si="508"/>
        <v/>
      </c>
      <c r="Q5279" s="216">
        <f t="shared" si="509"/>
        <v>0.14400000000000002</v>
      </c>
      <c r="R5279" s="216">
        <f t="shared" si="510"/>
        <v>0.14400000000000002</v>
      </c>
      <c r="S5279" s="217">
        <f t="shared" si="511"/>
        <v>0.14400000000000013</v>
      </c>
    </row>
    <row r="5280" spans="1:19" ht="15.75" hidden="1" thickBot="1" x14ac:dyDescent="0.3">
      <c r="A5280" s="262"/>
      <c r="B5280" s="260"/>
      <c r="C5280" s="35" t="s">
        <v>2912</v>
      </c>
      <c r="D5280" s="35" t="s">
        <v>583</v>
      </c>
      <c r="E5280" s="36">
        <v>20</v>
      </c>
      <c r="F5280" s="30">
        <v>15.9125</v>
      </c>
      <c r="G5280" s="33">
        <f t="shared" si="506"/>
        <v>318.25</v>
      </c>
      <c r="H5280" s="34"/>
      <c r="I5280" s="30"/>
      <c r="J5280" s="152">
        <v>0</v>
      </c>
      <c r="L5280" s="215">
        <v>20</v>
      </c>
      <c r="M5280" s="30">
        <v>13.6211</v>
      </c>
      <c r="N5280" s="33">
        <f t="shared" si="507"/>
        <v>272.42200000000003</v>
      </c>
      <c r="O5280" s="34"/>
      <c r="P5280" s="36" t="str">
        <f t="shared" si="508"/>
        <v/>
      </c>
      <c r="Q5280" s="216">
        <f t="shared" si="509"/>
        <v>0.14400000000000002</v>
      </c>
      <c r="R5280" s="216">
        <f t="shared" si="510"/>
        <v>0.14399999999999991</v>
      </c>
      <c r="S5280" s="217" t="str">
        <f t="shared" si="511"/>
        <v/>
      </c>
    </row>
    <row r="5281" spans="1:19" ht="15.75" hidden="1" thickBot="1" x14ac:dyDescent="0.3">
      <c r="A5281" s="262"/>
      <c r="B5281" s="260"/>
      <c r="C5281" s="35" t="s">
        <v>2916</v>
      </c>
      <c r="D5281" s="35" t="s">
        <v>583</v>
      </c>
      <c r="E5281" s="36">
        <v>20</v>
      </c>
      <c r="F5281" s="30">
        <v>21.156499999999998</v>
      </c>
      <c r="G5281" s="33">
        <f t="shared" si="506"/>
        <v>423.12999999999994</v>
      </c>
      <c r="H5281" s="34"/>
      <c r="I5281" s="30"/>
      <c r="J5281" s="152">
        <v>0</v>
      </c>
      <c r="L5281" s="215">
        <v>20</v>
      </c>
      <c r="M5281" s="30">
        <v>18.109963999999998</v>
      </c>
      <c r="N5281" s="33">
        <f t="shared" si="507"/>
        <v>362.19927999999993</v>
      </c>
      <c r="O5281" s="34"/>
      <c r="P5281" s="36" t="str">
        <f t="shared" si="508"/>
        <v/>
      </c>
      <c r="Q5281" s="216">
        <f t="shared" si="509"/>
        <v>0.14400000000000002</v>
      </c>
      <c r="R5281" s="216">
        <f t="shared" si="510"/>
        <v>0.14400000000000002</v>
      </c>
      <c r="S5281" s="217" t="str">
        <f t="shared" si="511"/>
        <v/>
      </c>
    </row>
    <row r="5282" spans="1:19" ht="15.75" hidden="1" thickBot="1" x14ac:dyDescent="0.3">
      <c r="A5282" s="262"/>
      <c r="B5282" s="260"/>
      <c r="C5282" s="35" t="s">
        <v>2903</v>
      </c>
      <c r="D5282" s="35" t="s">
        <v>583</v>
      </c>
      <c r="E5282" s="36">
        <v>20</v>
      </c>
      <c r="F5282" s="30">
        <v>10.526</v>
      </c>
      <c r="G5282" s="33">
        <f t="shared" si="506"/>
        <v>210.51999999999998</v>
      </c>
      <c r="H5282" s="34"/>
      <c r="I5282" s="30"/>
      <c r="J5282" s="152">
        <v>0</v>
      </c>
      <c r="L5282" s="215">
        <v>20</v>
      </c>
      <c r="M5282" s="30">
        <v>9.010256</v>
      </c>
      <c r="N5282" s="33">
        <f t="shared" si="507"/>
        <v>180.20511999999999</v>
      </c>
      <c r="O5282" s="34"/>
      <c r="P5282" s="36" t="str">
        <f t="shared" si="508"/>
        <v/>
      </c>
      <c r="Q5282" s="216">
        <f t="shared" si="509"/>
        <v>0.14400000000000002</v>
      </c>
      <c r="R5282" s="216">
        <f t="shared" si="510"/>
        <v>0.14399999999999991</v>
      </c>
      <c r="S5282" s="217" t="str">
        <f t="shared" si="511"/>
        <v/>
      </c>
    </row>
    <row r="5283" spans="1:19" ht="15.75" hidden="1" thickBot="1" x14ac:dyDescent="0.3">
      <c r="A5283" s="262"/>
      <c r="B5283" s="260"/>
      <c r="C5283" s="35" t="s">
        <v>15</v>
      </c>
      <c r="D5283" s="35" t="s">
        <v>16</v>
      </c>
      <c r="E5283" s="36">
        <v>1</v>
      </c>
      <c r="F5283" s="33">
        <v>254.59</v>
      </c>
      <c r="G5283" s="30">
        <f t="shared" si="506"/>
        <v>254.59</v>
      </c>
      <c r="H5283" s="34"/>
      <c r="I5283" s="30"/>
      <c r="J5283" s="152">
        <v>0</v>
      </c>
      <c r="L5283" s="215">
        <v>1</v>
      </c>
      <c r="M5283" s="33">
        <v>217.92904000000001</v>
      </c>
      <c r="N5283" s="30">
        <f t="shared" si="507"/>
        <v>217.92904000000001</v>
      </c>
      <c r="O5283" s="34"/>
      <c r="P5283" s="36" t="str">
        <f t="shared" si="508"/>
        <v/>
      </c>
      <c r="Q5283" s="216">
        <f t="shared" si="509"/>
        <v>0.14399999999999991</v>
      </c>
      <c r="R5283" s="216">
        <f t="shared" si="510"/>
        <v>0.14399999999999991</v>
      </c>
      <c r="S5283" s="217" t="str">
        <f t="shared" si="511"/>
        <v/>
      </c>
    </row>
    <row r="5284" spans="1:19" ht="15.75" hidden="1" thickBot="1" x14ac:dyDescent="0.3">
      <c r="A5284" s="263"/>
      <c r="B5284" s="261"/>
      <c r="C5284" s="35"/>
      <c r="D5284" s="35"/>
      <c r="E5284" s="36"/>
      <c r="F5284" s="30" t="s">
        <v>416</v>
      </c>
      <c r="G5284" s="30" t="str">
        <f t="shared" si="506"/>
        <v/>
      </c>
      <c r="H5284" s="34"/>
      <c r="I5284" s="30"/>
      <c r="J5284" s="152">
        <v>0</v>
      </c>
      <c r="L5284" s="215"/>
      <c r="M5284" s="30"/>
      <c r="N5284" s="30" t="str">
        <f t="shared" si="507"/>
        <v/>
      </c>
      <c r="O5284" s="34"/>
      <c r="P5284" s="36" t="str">
        <f t="shared" si="508"/>
        <v/>
      </c>
      <c r="Q5284" s="216" t="str">
        <f t="shared" si="509"/>
        <v/>
      </c>
      <c r="R5284" s="216" t="str">
        <f t="shared" si="510"/>
        <v/>
      </c>
      <c r="S5284" s="217" t="str">
        <f t="shared" si="511"/>
        <v/>
      </c>
    </row>
    <row r="5285" spans="1:19" ht="15.75" hidden="1" thickBot="1" x14ac:dyDescent="0.3">
      <c r="A5285" s="256" t="s">
        <v>3196</v>
      </c>
      <c r="B5285" s="259" t="str">
        <f>INDEX(Orçamentária!A:B,MATCH(Composições!A5285,Orçamentária!A:A,0),2)</f>
        <v>Eletroduto PEAD 2”</v>
      </c>
      <c r="C5285" s="40"/>
      <c r="D5285" s="25" t="s">
        <v>69</v>
      </c>
      <c r="E5285" s="26"/>
      <c r="F5285" s="41" t="s">
        <v>416</v>
      </c>
      <c r="G5285" s="27" t="str">
        <f t="shared" si="506"/>
        <v/>
      </c>
      <c r="H5285" s="28"/>
      <c r="I5285" s="29"/>
      <c r="J5285" s="152">
        <v>0</v>
      </c>
      <c r="L5285" s="218"/>
      <c r="M5285" s="41"/>
      <c r="N5285" s="27" t="str">
        <f t="shared" si="507"/>
        <v/>
      </c>
      <c r="O5285" s="28"/>
      <c r="P5285" s="36" t="str">
        <f t="shared" si="508"/>
        <v/>
      </c>
      <c r="Q5285" s="216" t="str">
        <f t="shared" si="509"/>
        <v/>
      </c>
      <c r="R5285" s="216" t="str">
        <f t="shared" si="510"/>
        <v/>
      </c>
      <c r="S5285" s="217" t="str">
        <f t="shared" si="511"/>
        <v/>
      </c>
    </row>
    <row r="5286" spans="1:19" ht="15.75" hidden="1" thickBot="1" x14ac:dyDescent="0.3">
      <c r="A5286" s="262"/>
      <c r="B5286" s="260"/>
      <c r="C5286" s="31"/>
      <c r="D5286" s="31"/>
      <c r="E5286" s="32"/>
      <c r="F5286" s="42" t="s">
        <v>416</v>
      </c>
      <c r="G5286" s="30" t="str">
        <f t="shared" si="506"/>
        <v/>
      </c>
      <c r="H5286" s="34"/>
      <c r="I5286" s="30"/>
      <c r="J5286" s="152">
        <v>0</v>
      </c>
      <c r="L5286" s="219"/>
      <c r="M5286" s="42"/>
      <c r="N5286" s="30" t="str">
        <f t="shared" si="507"/>
        <v/>
      </c>
      <c r="O5286" s="34"/>
      <c r="P5286" s="36" t="str">
        <f t="shared" si="508"/>
        <v/>
      </c>
      <c r="Q5286" s="216" t="str">
        <f t="shared" si="509"/>
        <v/>
      </c>
      <c r="R5286" s="216" t="str">
        <f t="shared" si="510"/>
        <v/>
      </c>
      <c r="S5286" s="217" t="str">
        <f t="shared" si="511"/>
        <v/>
      </c>
    </row>
    <row r="5287" spans="1:19" ht="39" hidden="1" thickBot="1" x14ac:dyDescent="0.3">
      <c r="A5287" s="262"/>
      <c r="B5287" s="260"/>
      <c r="C5287" s="35" t="s">
        <v>8533</v>
      </c>
      <c r="D5287" s="35" t="s">
        <v>385</v>
      </c>
      <c r="E5287" s="36">
        <v>1.1000000000000001</v>
      </c>
      <c r="F5287" s="30">
        <v>5.4909999999999997</v>
      </c>
      <c r="G5287" s="33">
        <f t="shared" si="506"/>
        <v>6.0400999999999998</v>
      </c>
      <c r="H5287" s="38">
        <f>SUM(G5287:G5289)</f>
        <v>10.710195500000001</v>
      </c>
      <c r="I5287" s="39"/>
      <c r="J5287" s="152">
        <v>0</v>
      </c>
      <c r="L5287" s="215">
        <v>1.1000000000000001</v>
      </c>
      <c r="M5287" s="30">
        <v>4.7002959999999998</v>
      </c>
      <c r="N5287" s="33">
        <f t="shared" si="507"/>
        <v>5.1703256</v>
      </c>
      <c r="O5287" s="38">
        <f>SUM(N5287:N5289)</f>
        <v>9.167927348000001</v>
      </c>
      <c r="P5287" s="36" t="str">
        <f t="shared" si="508"/>
        <v/>
      </c>
      <c r="Q5287" s="216">
        <f t="shared" si="509"/>
        <v>0.14400000000000002</v>
      </c>
      <c r="R5287" s="216">
        <f t="shared" si="510"/>
        <v>0.14400000000000002</v>
      </c>
      <c r="S5287" s="217">
        <f t="shared" si="511"/>
        <v>0.14400000000000002</v>
      </c>
    </row>
    <row r="5288" spans="1:19" ht="15.75" hidden="1" thickBot="1" x14ac:dyDescent="0.3">
      <c r="A5288" s="262"/>
      <c r="B5288" s="260"/>
      <c r="C5288" s="35" t="s">
        <v>1017</v>
      </c>
      <c r="D5288" s="35" t="s">
        <v>583</v>
      </c>
      <c r="E5288" s="36">
        <v>9.4500000000000001E-2</v>
      </c>
      <c r="F5288" s="30">
        <v>21.584</v>
      </c>
      <c r="G5288" s="33">
        <f t="shared" si="506"/>
        <v>2.0396879999999999</v>
      </c>
      <c r="H5288" s="34"/>
      <c r="I5288" s="30"/>
      <c r="J5288" s="152">
        <v>0</v>
      </c>
      <c r="L5288" s="215">
        <v>9.4500000000000001E-2</v>
      </c>
      <c r="M5288" s="30">
        <v>18.475904</v>
      </c>
      <c r="N5288" s="33">
        <f t="shared" si="507"/>
        <v>1.745972928</v>
      </c>
      <c r="O5288" s="34"/>
      <c r="P5288" s="36" t="str">
        <f t="shared" si="508"/>
        <v/>
      </c>
      <c r="Q5288" s="216">
        <f t="shared" si="509"/>
        <v>0.14400000000000002</v>
      </c>
      <c r="R5288" s="216">
        <f t="shared" si="510"/>
        <v>0.14399999999999991</v>
      </c>
      <c r="S5288" s="217" t="str">
        <f t="shared" si="511"/>
        <v/>
      </c>
    </row>
    <row r="5289" spans="1:19" ht="15.75" hidden="1" thickBot="1" x14ac:dyDescent="0.3">
      <c r="A5289" s="262"/>
      <c r="B5289" s="260"/>
      <c r="C5289" s="35" t="s">
        <v>1018</v>
      </c>
      <c r="D5289" s="35" t="s">
        <v>583</v>
      </c>
      <c r="E5289" s="36">
        <v>9.4500000000000001E-2</v>
      </c>
      <c r="F5289" s="33">
        <v>27.835000000000001</v>
      </c>
      <c r="G5289" s="30">
        <f t="shared" si="506"/>
        <v>2.6304075</v>
      </c>
      <c r="H5289" s="34"/>
      <c r="I5289" s="30"/>
      <c r="J5289" s="152">
        <v>0</v>
      </c>
      <c r="L5289" s="215">
        <v>9.4500000000000001E-2</v>
      </c>
      <c r="M5289" s="33">
        <v>23.82676</v>
      </c>
      <c r="N5289" s="30">
        <f t="shared" si="507"/>
        <v>2.2516288200000001</v>
      </c>
      <c r="O5289" s="34"/>
      <c r="P5289" s="36" t="str">
        <f t="shared" si="508"/>
        <v/>
      </c>
      <c r="Q5289" s="216">
        <f t="shared" si="509"/>
        <v>0.14400000000000002</v>
      </c>
      <c r="R5289" s="216">
        <f t="shared" si="510"/>
        <v>0.14400000000000002</v>
      </c>
      <c r="S5289" s="217" t="str">
        <f t="shared" si="511"/>
        <v/>
      </c>
    </row>
    <row r="5290" spans="1:19" ht="15.75" hidden="1" thickBot="1" x14ac:dyDescent="0.3">
      <c r="A5290" s="263"/>
      <c r="B5290" s="261"/>
      <c r="C5290" s="35"/>
      <c r="D5290" s="35"/>
      <c r="E5290" s="36"/>
      <c r="F5290" s="30" t="s">
        <v>416</v>
      </c>
      <c r="G5290" s="30" t="str">
        <f t="shared" si="506"/>
        <v/>
      </c>
      <c r="H5290" s="34"/>
      <c r="I5290" s="30"/>
      <c r="J5290" s="152">
        <v>0</v>
      </c>
      <c r="L5290" s="215"/>
      <c r="M5290" s="30"/>
      <c r="N5290" s="30" t="str">
        <f t="shared" si="507"/>
        <v/>
      </c>
      <c r="O5290" s="34"/>
      <c r="P5290" s="36" t="str">
        <f t="shared" si="508"/>
        <v/>
      </c>
      <c r="Q5290" s="216" t="str">
        <f t="shared" si="509"/>
        <v/>
      </c>
      <c r="R5290" s="216" t="str">
        <f t="shared" si="510"/>
        <v/>
      </c>
      <c r="S5290" s="217" t="str">
        <f t="shared" si="511"/>
        <v/>
      </c>
    </row>
    <row r="5291" spans="1:19" ht="15.75" hidden="1" thickBot="1" x14ac:dyDescent="0.3">
      <c r="A5291" s="256" t="s">
        <v>3202</v>
      </c>
      <c r="B5291" s="259" t="str">
        <f>INDEX(Orçamentária!A:B,MATCH(Composições!A5291,Orçamentária!A:A,0),2)</f>
        <v>Tampa em Ferro Fundido - Circular DN-600 mm Classe 400</v>
      </c>
      <c r="C5291" s="40"/>
      <c r="D5291" s="25" t="s">
        <v>16</v>
      </c>
      <c r="E5291" s="26"/>
      <c r="F5291" s="48" t="s">
        <v>416</v>
      </c>
      <c r="G5291" s="27" t="str">
        <f t="shared" si="506"/>
        <v/>
      </c>
      <c r="H5291" s="28"/>
      <c r="I5291" s="29"/>
      <c r="J5291" s="152">
        <v>0</v>
      </c>
      <c r="L5291" s="218"/>
      <c r="M5291" s="48"/>
      <c r="N5291" s="27" t="str">
        <f t="shared" si="507"/>
        <v/>
      </c>
      <c r="O5291" s="28"/>
      <c r="P5291" s="36" t="str">
        <f t="shared" si="508"/>
        <v/>
      </c>
      <c r="Q5291" s="216" t="str">
        <f t="shared" si="509"/>
        <v/>
      </c>
      <c r="R5291" s="216" t="str">
        <f t="shared" si="510"/>
        <v/>
      </c>
      <c r="S5291" s="217" t="str">
        <f t="shared" si="511"/>
        <v/>
      </c>
    </row>
    <row r="5292" spans="1:19" ht="15.75" hidden="1" thickBot="1" x14ac:dyDescent="0.3">
      <c r="A5292" s="257"/>
      <c r="B5292" s="260"/>
      <c r="C5292" s="31"/>
      <c r="D5292" s="31"/>
      <c r="E5292" s="32"/>
      <c r="F5292" s="53" t="s">
        <v>416</v>
      </c>
      <c r="G5292" s="53" t="str">
        <f t="shared" si="506"/>
        <v/>
      </c>
      <c r="H5292" s="72"/>
      <c r="I5292" s="73"/>
      <c r="J5292" s="152">
        <v>0</v>
      </c>
      <c r="L5292" s="219"/>
      <c r="M5292" s="53"/>
      <c r="N5292" s="53" t="str">
        <f t="shared" si="507"/>
        <v/>
      </c>
      <c r="O5292" s="72"/>
      <c r="P5292" s="36" t="str">
        <f t="shared" si="508"/>
        <v/>
      </c>
      <c r="Q5292" s="216" t="str">
        <f t="shared" si="509"/>
        <v/>
      </c>
      <c r="R5292" s="216" t="str">
        <f t="shared" si="510"/>
        <v/>
      </c>
      <c r="S5292" s="217" t="str">
        <f t="shared" si="511"/>
        <v/>
      </c>
    </row>
    <row r="5293" spans="1:19" ht="39" hidden="1" thickBot="1" x14ac:dyDescent="0.3">
      <c r="A5293" s="257"/>
      <c r="B5293" s="260"/>
      <c r="C5293" s="35" t="s">
        <v>8390</v>
      </c>
      <c r="D5293" s="35" t="s">
        <v>213</v>
      </c>
      <c r="E5293" s="36">
        <v>1</v>
      </c>
      <c r="F5293" s="30">
        <v>736.80100000000004</v>
      </c>
      <c r="G5293" s="53">
        <f t="shared" si="506"/>
        <v>736.80100000000004</v>
      </c>
      <c r="H5293" s="38">
        <f>SUM(G5293:G5296)</f>
        <v>783.12721341458939</v>
      </c>
      <c r="I5293" s="39"/>
      <c r="J5293" s="152">
        <v>0</v>
      </c>
      <c r="L5293" s="215">
        <v>1</v>
      </c>
      <c r="M5293" s="30">
        <v>630.70165600000007</v>
      </c>
      <c r="N5293" s="53">
        <f t="shared" si="507"/>
        <v>630.70165600000007</v>
      </c>
      <c r="O5293" s="38">
        <f>SUM(N5293:N5296)</f>
        <v>670.35689468288854</v>
      </c>
      <c r="P5293" s="36" t="str">
        <f t="shared" si="508"/>
        <v/>
      </c>
      <c r="Q5293" s="216">
        <f t="shared" si="509"/>
        <v>0.14399999999999991</v>
      </c>
      <c r="R5293" s="216">
        <f t="shared" si="510"/>
        <v>0.14399999999999991</v>
      </c>
      <c r="S5293" s="217">
        <f t="shared" si="511"/>
        <v>0.14400000000000002</v>
      </c>
    </row>
    <row r="5294" spans="1:19" ht="15.75" hidden="1" thickBot="1" x14ac:dyDescent="0.3">
      <c r="A5294" s="257"/>
      <c r="B5294" s="260"/>
      <c r="C5294" s="35" t="s">
        <v>591</v>
      </c>
      <c r="D5294" s="35" t="s">
        <v>583</v>
      </c>
      <c r="E5294" s="36">
        <v>1.0088999999999999</v>
      </c>
      <c r="F5294" s="30">
        <v>27.160499999999999</v>
      </c>
      <c r="G5294" s="53">
        <f t="shared" ref="G5294:G5357" si="512">IF(ISNUMBER(F5294),E5294*F5294,"")</f>
        <v>27.402228449999996</v>
      </c>
      <c r="H5294" s="72"/>
      <c r="I5294" s="73"/>
      <c r="J5294" s="152">
        <v>0</v>
      </c>
      <c r="L5294" s="215">
        <v>1.0088999999999999</v>
      </c>
      <c r="M5294" s="30">
        <v>23.249388</v>
      </c>
      <c r="N5294" s="53">
        <f t="shared" ref="N5294:N5357" si="513">IF(ISNUMBER(M5294),L5294*M5294,"")</f>
        <v>23.456307553199998</v>
      </c>
      <c r="O5294" s="72"/>
      <c r="P5294" s="36" t="str">
        <f t="shared" si="508"/>
        <v/>
      </c>
      <c r="Q5294" s="216">
        <f t="shared" si="509"/>
        <v>0.14400000000000002</v>
      </c>
      <c r="R5294" s="216">
        <f t="shared" si="510"/>
        <v>0.14399999999999991</v>
      </c>
      <c r="S5294" s="217" t="str">
        <f t="shared" si="511"/>
        <v/>
      </c>
    </row>
    <row r="5295" spans="1:19" ht="15.75" hidden="1" thickBot="1" x14ac:dyDescent="0.3">
      <c r="A5295" s="257"/>
      <c r="B5295" s="260"/>
      <c r="C5295" s="35" t="s">
        <v>584</v>
      </c>
      <c r="D5295" s="35" t="s">
        <v>583</v>
      </c>
      <c r="E5295" s="36">
        <v>0.79269999999999996</v>
      </c>
      <c r="F5295" s="30">
        <v>20.225499999999997</v>
      </c>
      <c r="G5295" s="53">
        <f t="shared" si="512"/>
        <v>16.032753849999995</v>
      </c>
      <c r="H5295" s="72"/>
      <c r="I5295" s="73"/>
      <c r="J5295" s="152">
        <v>0</v>
      </c>
      <c r="L5295" s="215">
        <v>0.79269999999999996</v>
      </c>
      <c r="M5295" s="30">
        <v>17.313027999999996</v>
      </c>
      <c r="N5295" s="53">
        <f t="shared" si="513"/>
        <v>13.724037295599995</v>
      </c>
      <c r="O5295" s="72"/>
      <c r="P5295" s="36" t="str">
        <f t="shared" si="508"/>
        <v/>
      </c>
      <c r="Q5295" s="216">
        <f t="shared" si="509"/>
        <v>0.14400000000000013</v>
      </c>
      <c r="R5295" s="216">
        <f t="shared" si="510"/>
        <v>0.14400000000000002</v>
      </c>
      <c r="S5295" s="217" t="str">
        <f t="shared" si="511"/>
        <v/>
      </c>
    </row>
    <row r="5296" spans="1:19" ht="26.25" hidden="1" thickBot="1" x14ac:dyDescent="0.3">
      <c r="A5296" s="257"/>
      <c r="B5296" s="260"/>
      <c r="C5296" s="35" t="s">
        <v>2898</v>
      </c>
      <c r="D5296" s="35" t="s">
        <v>87</v>
      </c>
      <c r="E5296" s="36">
        <v>4.4000000000000003E-3</v>
      </c>
      <c r="F5296" s="30">
        <v>657.09798058849992</v>
      </c>
      <c r="G5296" s="53">
        <f t="shared" si="512"/>
        <v>2.8912311145893996</v>
      </c>
      <c r="H5296" s="72"/>
      <c r="I5296" s="73"/>
      <c r="J5296" s="152">
        <v>0</v>
      </c>
      <c r="L5296" s="215">
        <v>4.4000000000000003E-3</v>
      </c>
      <c r="M5296" s="30">
        <v>562.47587138375593</v>
      </c>
      <c r="N5296" s="53">
        <f t="shared" si="513"/>
        <v>2.474893834088526</v>
      </c>
      <c r="O5296" s="72"/>
      <c r="P5296" s="36" t="str">
        <f t="shared" si="508"/>
        <v/>
      </c>
      <c r="Q5296" s="216">
        <f t="shared" si="509"/>
        <v>0.14400000000000002</v>
      </c>
      <c r="R5296" s="216">
        <f t="shared" si="510"/>
        <v>0.14400000000000002</v>
      </c>
      <c r="S5296" s="217" t="str">
        <f t="shared" si="511"/>
        <v/>
      </c>
    </row>
    <row r="5297" spans="1:19" ht="15.75" hidden="1" thickBot="1" x14ac:dyDescent="0.3">
      <c r="A5297" s="258"/>
      <c r="B5297" s="261"/>
      <c r="C5297" s="54"/>
      <c r="D5297" s="155"/>
      <c r="E5297" s="65"/>
      <c r="F5297" s="75" t="s">
        <v>416</v>
      </c>
      <c r="G5297" s="75" t="str">
        <f t="shared" si="512"/>
        <v/>
      </c>
      <c r="H5297" s="76"/>
      <c r="I5297" s="73"/>
      <c r="J5297" s="152">
        <v>0</v>
      </c>
      <c r="L5297" s="222"/>
      <c r="M5297" s="75"/>
      <c r="N5297" s="75" t="str">
        <f t="shared" si="513"/>
        <v/>
      </c>
      <c r="O5297" s="76"/>
      <c r="P5297" s="36" t="str">
        <f t="shared" si="508"/>
        <v/>
      </c>
      <c r="Q5297" s="216" t="str">
        <f t="shared" si="509"/>
        <v/>
      </c>
      <c r="R5297" s="216" t="str">
        <f t="shared" si="510"/>
        <v/>
      </c>
      <c r="S5297" s="217" t="str">
        <f t="shared" si="511"/>
        <v/>
      </c>
    </row>
    <row r="5298" spans="1:19" ht="15.75" hidden="1" thickBot="1" x14ac:dyDescent="0.3">
      <c r="A5298" s="256" t="s">
        <v>3241</v>
      </c>
      <c r="B5298" s="259" t="str">
        <f>INDEX(Orçamentária!A:B,MATCH(Composições!A5298,Orçamentária!A:A,0),2)</f>
        <v>Tubo multicamadas flexível 20 mm para gás</v>
      </c>
      <c r="C5298" s="40"/>
      <c r="D5298" s="25" t="s">
        <v>69</v>
      </c>
      <c r="E5298" s="26"/>
      <c r="F5298" s="48" t="s">
        <v>416</v>
      </c>
      <c r="G5298" s="27" t="str">
        <f t="shared" si="512"/>
        <v/>
      </c>
      <c r="H5298" s="28"/>
      <c r="I5298" s="29"/>
      <c r="J5298" s="152">
        <v>0</v>
      </c>
      <c r="L5298" s="218"/>
      <c r="M5298" s="48"/>
      <c r="N5298" s="27" t="str">
        <f t="shared" si="513"/>
        <v/>
      </c>
      <c r="O5298" s="28"/>
      <c r="P5298" s="36" t="str">
        <f t="shared" si="508"/>
        <v/>
      </c>
      <c r="Q5298" s="216" t="str">
        <f t="shared" si="509"/>
        <v/>
      </c>
      <c r="R5298" s="216" t="str">
        <f t="shared" si="510"/>
        <v/>
      </c>
      <c r="S5298" s="217" t="str">
        <f t="shared" si="511"/>
        <v/>
      </c>
    </row>
    <row r="5299" spans="1:19" ht="15.75" hidden="1" thickBot="1" x14ac:dyDescent="0.3">
      <c r="A5299" s="257"/>
      <c r="B5299" s="260"/>
      <c r="C5299" s="31"/>
      <c r="D5299" s="31"/>
      <c r="E5299" s="32"/>
      <c r="F5299" s="53" t="s">
        <v>416</v>
      </c>
      <c r="G5299" s="53" t="str">
        <f t="shared" si="512"/>
        <v/>
      </c>
      <c r="H5299" s="72"/>
      <c r="I5299" s="73"/>
      <c r="J5299" s="152">
        <v>0</v>
      </c>
      <c r="L5299" s="219"/>
      <c r="M5299" s="53"/>
      <c r="N5299" s="53" t="str">
        <f t="shared" si="513"/>
        <v/>
      </c>
      <c r="O5299" s="72"/>
      <c r="P5299" s="36" t="str">
        <f t="shared" si="508"/>
        <v/>
      </c>
      <c r="Q5299" s="216" t="str">
        <f t="shared" si="509"/>
        <v/>
      </c>
      <c r="R5299" s="216" t="str">
        <f t="shared" si="510"/>
        <v/>
      </c>
      <c r="S5299" s="217" t="str">
        <f t="shared" si="511"/>
        <v/>
      </c>
    </row>
    <row r="5300" spans="1:19" ht="26.25" hidden="1" thickBot="1" x14ac:dyDescent="0.3">
      <c r="A5300" s="257"/>
      <c r="B5300" s="260"/>
      <c r="C5300" s="35" t="s">
        <v>2951</v>
      </c>
      <c r="D5300" s="35" t="s">
        <v>385</v>
      </c>
      <c r="E5300" s="36">
        <v>1.0216000000000001</v>
      </c>
      <c r="F5300" s="30">
        <v>17.166499999999999</v>
      </c>
      <c r="G5300" s="53">
        <f t="shared" si="512"/>
        <v>17.537296399999999</v>
      </c>
      <c r="H5300" s="38">
        <f>SUM(G5300:G5302)</f>
        <v>26.504540199999997</v>
      </c>
      <c r="I5300" s="39"/>
      <c r="J5300" s="152">
        <v>0</v>
      </c>
      <c r="L5300" s="215">
        <v>1.0216000000000001</v>
      </c>
      <c r="M5300" s="30">
        <v>14.694523999999999</v>
      </c>
      <c r="N5300" s="53">
        <f t="shared" si="513"/>
        <v>15.011925718400001</v>
      </c>
      <c r="O5300" s="38">
        <f>SUM(N5300:N5302)</f>
        <v>22.687886411200001</v>
      </c>
      <c r="P5300" s="36" t="str">
        <f t="shared" si="508"/>
        <v/>
      </c>
      <c r="Q5300" s="216">
        <f t="shared" si="509"/>
        <v>0.14400000000000002</v>
      </c>
      <c r="R5300" s="216">
        <f t="shared" si="510"/>
        <v>0.14399999999999991</v>
      </c>
      <c r="S5300" s="217">
        <f t="shared" si="511"/>
        <v>0.14399999999999991</v>
      </c>
    </row>
    <row r="5301" spans="1:19" ht="26.25" hidden="1" thickBot="1" x14ac:dyDescent="0.3">
      <c r="A5301" s="257"/>
      <c r="B5301" s="260"/>
      <c r="C5301" s="35" t="s">
        <v>824</v>
      </c>
      <c r="D5301" s="35" t="s">
        <v>583</v>
      </c>
      <c r="E5301" s="36">
        <v>8.1799999999999998E-2</v>
      </c>
      <c r="F5301" s="30">
        <v>21.166</v>
      </c>
      <c r="G5301" s="53">
        <f t="shared" si="512"/>
        <v>1.7313787999999999</v>
      </c>
      <c r="H5301" s="72"/>
      <c r="I5301" s="73"/>
      <c r="J5301" s="152">
        <v>0</v>
      </c>
      <c r="L5301" s="215">
        <v>8.1799999999999998E-2</v>
      </c>
      <c r="M5301" s="30">
        <v>18.118096000000001</v>
      </c>
      <c r="N5301" s="53">
        <f t="shared" si="513"/>
        <v>1.4820602528</v>
      </c>
      <c r="O5301" s="72"/>
      <c r="P5301" s="36" t="str">
        <f t="shared" si="508"/>
        <v/>
      </c>
      <c r="Q5301" s="216">
        <f t="shared" si="509"/>
        <v>0.14399999999999991</v>
      </c>
      <c r="R5301" s="216">
        <f t="shared" si="510"/>
        <v>0.14399999999999991</v>
      </c>
      <c r="S5301" s="217" t="str">
        <f t="shared" si="511"/>
        <v/>
      </c>
    </row>
    <row r="5302" spans="1:19" ht="26.25" hidden="1" thickBot="1" x14ac:dyDescent="0.3">
      <c r="A5302" s="257"/>
      <c r="B5302" s="260"/>
      <c r="C5302" s="35" t="s">
        <v>825</v>
      </c>
      <c r="D5302" s="35" t="s">
        <v>583</v>
      </c>
      <c r="E5302" s="36">
        <v>0.27</v>
      </c>
      <c r="F5302" s="30">
        <v>26.799499999999998</v>
      </c>
      <c r="G5302" s="53">
        <f t="shared" si="512"/>
        <v>7.2358650000000004</v>
      </c>
      <c r="H5302" s="72"/>
      <c r="I5302" s="73"/>
      <c r="J5302" s="152">
        <v>0</v>
      </c>
      <c r="L5302" s="215">
        <v>0.27</v>
      </c>
      <c r="M5302" s="30">
        <v>22.940372</v>
      </c>
      <c r="N5302" s="53">
        <f t="shared" si="513"/>
        <v>6.1939004400000002</v>
      </c>
      <c r="O5302" s="72"/>
      <c r="P5302" s="36" t="str">
        <f t="shared" si="508"/>
        <v/>
      </c>
      <c r="Q5302" s="216">
        <f t="shared" si="509"/>
        <v>0.14399999999999991</v>
      </c>
      <c r="R5302" s="216">
        <f t="shared" si="510"/>
        <v>0.14400000000000002</v>
      </c>
      <c r="S5302" s="217" t="str">
        <f t="shared" si="511"/>
        <v/>
      </c>
    </row>
    <row r="5303" spans="1:19" ht="15.75" hidden="1" thickBot="1" x14ac:dyDescent="0.3">
      <c r="A5303" s="257"/>
      <c r="B5303" s="260"/>
      <c r="C5303" s="35"/>
      <c r="D5303" s="46"/>
      <c r="E5303" s="36"/>
      <c r="F5303" s="53" t="s">
        <v>416</v>
      </c>
      <c r="G5303" s="53" t="str">
        <f t="shared" si="512"/>
        <v/>
      </c>
      <c r="H5303" s="72"/>
      <c r="I5303" s="73"/>
      <c r="J5303" s="152">
        <v>0</v>
      </c>
      <c r="L5303" s="215"/>
      <c r="M5303" s="53"/>
      <c r="N5303" s="53" t="str">
        <f t="shared" si="513"/>
        <v/>
      </c>
      <c r="O5303" s="72"/>
      <c r="P5303" s="36" t="str">
        <f t="shared" si="508"/>
        <v/>
      </c>
      <c r="Q5303" s="216" t="str">
        <f t="shared" si="509"/>
        <v/>
      </c>
      <c r="R5303" s="216" t="str">
        <f t="shared" si="510"/>
        <v/>
      </c>
      <c r="S5303" s="217" t="str">
        <f t="shared" si="511"/>
        <v/>
      </c>
    </row>
    <row r="5304" spans="1:19" ht="15.75" hidden="1" thickBot="1" x14ac:dyDescent="0.3">
      <c r="A5304" s="256" t="s">
        <v>3242</v>
      </c>
      <c r="B5304" s="259" t="str">
        <f>INDEX(Orçamentária!A:B,MATCH(Composições!A5304,Orçamentária!A:A,0),2)</f>
        <v>Tubo multicamadas flexível 26 mm para gás</v>
      </c>
      <c r="C5304" s="40"/>
      <c r="D5304" s="25" t="s">
        <v>69</v>
      </c>
      <c r="E5304" s="26"/>
      <c r="F5304" s="48" t="s">
        <v>416</v>
      </c>
      <c r="G5304" s="27" t="str">
        <f t="shared" si="512"/>
        <v/>
      </c>
      <c r="H5304" s="28"/>
      <c r="I5304" s="29"/>
      <c r="J5304" s="152">
        <v>0</v>
      </c>
      <c r="L5304" s="218"/>
      <c r="M5304" s="48"/>
      <c r="N5304" s="27" t="str">
        <f t="shared" si="513"/>
        <v/>
      </c>
      <c r="O5304" s="28"/>
      <c r="P5304" s="36" t="str">
        <f t="shared" si="508"/>
        <v/>
      </c>
      <c r="Q5304" s="216" t="str">
        <f t="shared" si="509"/>
        <v/>
      </c>
      <c r="R5304" s="216" t="str">
        <f t="shared" si="510"/>
        <v/>
      </c>
      <c r="S5304" s="217" t="str">
        <f t="shared" si="511"/>
        <v/>
      </c>
    </row>
    <row r="5305" spans="1:19" ht="15.75" hidden="1" thickBot="1" x14ac:dyDescent="0.3">
      <c r="A5305" s="257"/>
      <c r="B5305" s="260"/>
      <c r="C5305" s="31"/>
      <c r="D5305" s="31"/>
      <c r="E5305" s="32"/>
      <c r="F5305" s="53" t="s">
        <v>416</v>
      </c>
      <c r="G5305" s="53" t="str">
        <f t="shared" si="512"/>
        <v/>
      </c>
      <c r="H5305" s="72"/>
      <c r="I5305" s="73"/>
      <c r="J5305" s="152">
        <v>0</v>
      </c>
      <c r="L5305" s="219"/>
      <c r="M5305" s="53"/>
      <c r="N5305" s="53" t="str">
        <f t="shared" si="513"/>
        <v/>
      </c>
      <c r="O5305" s="72"/>
      <c r="P5305" s="36" t="str">
        <f t="shared" si="508"/>
        <v/>
      </c>
      <c r="Q5305" s="216" t="str">
        <f t="shared" si="509"/>
        <v/>
      </c>
      <c r="R5305" s="216" t="str">
        <f t="shared" si="510"/>
        <v/>
      </c>
      <c r="S5305" s="217" t="str">
        <f t="shared" si="511"/>
        <v/>
      </c>
    </row>
    <row r="5306" spans="1:19" ht="26.25" hidden="1" thickBot="1" x14ac:dyDescent="0.3">
      <c r="A5306" s="257"/>
      <c r="B5306" s="260"/>
      <c r="C5306" s="35" t="s">
        <v>2950</v>
      </c>
      <c r="D5306" s="35" t="s">
        <v>385</v>
      </c>
      <c r="E5306" s="36">
        <v>1.0216000000000001</v>
      </c>
      <c r="F5306" s="30">
        <v>23.778500000000001</v>
      </c>
      <c r="G5306" s="53">
        <f t="shared" si="512"/>
        <v>24.292115600000002</v>
      </c>
      <c r="H5306" s="38">
        <f>SUM(G5306:G5308)</f>
        <v>35.020505499999999</v>
      </c>
      <c r="I5306" s="39"/>
      <c r="J5306" s="152">
        <v>0</v>
      </c>
      <c r="L5306" s="215">
        <v>1.0216000000000001</v>
      </c>
      <c r="M5306" s="30">
        <v>20.354396000000001</v>
      </c>
      <c r="N5306" s="53">
        <f t="shared" si="513"/>
        <v>20.794050953600003</v>
      </c>
      <c r="O5306" s="38">
        <f>SUM(N5306:N5308)</f>
        <v>29.977552708000005</v>
      </c>
      <c r="P5306" s="36" t="str">
        <f t="shared" si="508"/>
        <v/>
      </c>
      <c r="Q5306" s="216">
        <f t="shared" si="509"/>
        <v>0.14400000000000002</v>
      </c>
      <c r="R5306" s="216">
        <f t="shared" si="510"/>
        <v>0.14400000000000002</v>
      </c>
      <c r="S5306" s="217">
        <f t="shared" si="511"/>
        <v>0.14399999999999979</v>
      </c>
    </row>
    <row r="5307" spans="1:19" ht="26.25" hidden="1" thickBot="1" x14ac:dyDescent="0.3">
      <c r="A5307" s="257"/>
      <c r="B5307" s="260"/>
      <c r="C5307" s="35" t="s">
        <v>824</v>
      </c>
      <c r="D5307" s="35" t="s">
        <v>583</v>
      </c>
      <c r="E5307" s="36">
        <v>9.7900000000000001E-2</v>
      </c>
      <c r="F5307" s="30">
        <v>21.166</v>
      </c>
      <c r="G5307" s="53">
        <f t="shared" si="512"/>
        <v>2.0721514000000001</v>
      </c>
      <c r="H5307" s="72"/>
      <c r="I5307" s="73"/>
      <c r="J5307" s="152">
        <v>0</v>
      </c>
      <c r="L5307" s="215">
        <v>9.7900000000000001E-2</v>
      </c>
      <c r="M5307" s="30">
        <v>18.118096000000001</v>
      </c>
      <c r="N5307" s="53">
        <f t="shared" si="513"/>
        <v>1.7737615984000001</v>
      </c>
      <c r="O5307" s="72"/>
      <c r="P5307" s="36" t="str">
        <f t="shared" si="508"/>
        <v/>
      </c>
      <c r="Q5307" s="216">
        <f t="shared" si="509"/>
        <v>0.14399999999999991</v>
      </c>
      <c r="R5307" s="216">
        <f t="shared" si="510"/>
        <v>0.14400000000000002</v>
      </c>
      <c r="S5307" s="217" t="str">
        <f t="shared" si="511"/>
        <v/>
      </c>
    </row>
    <row r="5308" spans="1:19" ht="26.25" hidden="1" thickBot="1" x14ac:dyDescent="0.3">
      <c r="A5308" s="257"/>
      <c r="B5308" s="260"/>
      <c r="C5308" s="35" t="s">
        <v>825</v>
      </c>
      <c r="D5308" s="35" t="s">
        <v>583</v>
      </c>
      <c r="E5308" s="36">
        <v>0.32300000000000001</v>
      </c>
      <c r="F5308" s="30">
        <v>26.799499999999998</v>
      </c>
      <c r="G5308" s="53">
        <f t="shared" si="512"/>
        <v>8.6562384999999988</v>
      </c>
      <c r="H5308" s="72"/>
      <c r="I5308" s="73"/>
      <c r="J5308" s="152">
        <v>0</v>
      </c>
      <c r="L5308" s="215">
        <v>0.32300000000000001</v>
      </c>
      <c r="M5308" s="30">
        <v>22.940372</v>
      </c>
      <c r="N5308" s="53">
        <f t="shared" si="513"/>
        <v>7.4097401559999998</v>
      </c>
      <c r="O5308" s="72"/>
      <c r="P5308" s="36" t="str">
        <f t="shared" si="508"/>
        <v/>
      </c>
      <c r="Q5308" s="216">
        <f t="shared" si="509"/>
        <v>0.14399999999999991</v>
      </c>
      <c r="R5308" s="216">
        <f t="shared" si="510"/>
        <v>0.14399999999999991</v>
      </c>
      <c r="S5308" s="217" t="str">
        <f t="shared" si="511"/>
        <v/>
      </c>
    </row>
    <row r="5309" spans="1:19" ht="15.75" hidden="1" thickBot="1" x14ac:dyDescent="0.3">
      <c r="A5309" s="258"/>
      <c r="B5309" s="261"/>
      <c r="C5309" s="54"/>
      <c r="D5309" s="155"/>
      <c r="E5309" s="65"/>
      <c r="F5309" s="75" t="s">
        <v>416</v>
      </c>
      <c r="G5309" s="75" t="str">
        <f t="shared" si="512"/>
        <v/>
      </c>
      <c r="H5309" s="76"/>
      <c r="I5309" s="73"/>
      <c r="J5309" s="152">
        <v>0</v>
      </c>
      <c r="L5309" s="222"/>
      <c r="M5309" s="75"/>
      <c r="N5309" s="75" t="str">
        <f t="shared" si="513"/>
        <v/>
      </c>
      <c r="O5309" s="76"/>
      <c r="P5309" s="36" t="str">
        <f t="shared" si="508"/>
        <v/>
      </c>
      <c r="Q5309" s="216" t="str">
        <f t="shared" si="509"/>
        <v/>
      </c>
      <c r="R5309" s="216" t="str">
        <f t="shared" si="510"/>
        <v/>
      </c>
      <c r="S5309" s="217" t="str">
        <f t="shared" si="511"/>
        <v/>
      </c>
    </row>
    <row r="5310" spans="1:19" ht="15.75" hidden="1" thickBot="1" x14ac:dyDescent="0.3">
      <c r="A5310" s="256" t="s">
        <v>3265</v>
      </c>
      <c r="B5310" s="259" t="str">
        <f>INDEX(Orçamentária!A:B,MATCH(Composições!A5310,Orçamentária!A:A,0),2)</f>
        <v>Bloco autônomo de emergência 1000 lumens – fornecimento e instalação</v>
      </c>
      <c r="C5310" s="40"/>
      <c r="D5310" s="25" t="s">
        <v>16</v>
      </c>
      <c r="E5310" s="26"/>
      <c r="F5310" s="48" t="s">
        <v>416</v>
      </c>
      <c r="G5310" s="27" t="str">
        <f t="shared" si="512"/>
        <v/>
      </c>
      <c r="H5310" s="28"/>
      <c r="I5310" s="29"/>
      <c r="J5310" s="152">
        <v>0</v>
      </c>
      <c r="L5310" s="218"/>
      <c r="M5310" s="48"/>
      <c r="N5310" s="27" t="str">
        <f t="shared" si="513"/>
        <v/>
      </c>
      <c r="O5310" s="28"/>
      <c r="P5310" s="36" t="str">
        <f t="shared" si="508"/>
        <v/>
      </c>
      <c r="Q5310" s="216" t="str">
        <f t="shared" si="509"/>
        <v/>
      </c>
      <c r="R5310" s="216" t="str">
        <f t="shared" si="510"/>
        <v/>
      </c>
      <c r="S5310" s="217" t="str">
        <f t="shared" si="511"/>
        <v/>
      </c>
    </row>
    <row r="5311" spans="1:19" ht="15.75" hidden="1" thickBot="1" x14ac:dyDescent="0.3">
      <c r="A5311" s="257"/>
      <c r="B5311" s="260"/>
      <c r="C5311" s="31"/>
      <c r="D5311" s="31"/>
      <c r="E5311" s="32"/>
      <c r="F5311" s="53" t="s">
        <v>416</v>
      </c>
      <c r="G5311" s="53" t="str">
        <f t="shared" si="512"/>
        <v/>
      </c>
      <c r="H5311" s="72"/>
      <c r="I5311" s="73"/>
      <c r="J5311" s="152">
        <v>0</v>
      </c>
      <c r="L5311" s="219"/>
      <c r="M5311" s="53"/>
      <c r="N5311" s="53" t="str">
        <f t="shared" si="513"/>
        <v/>
      </c>
      <c r="O5311" s="72"/>
      <c r="P5311" s="36" t="str">
        <f t="shared" si="508"/>
        <v/>
      </c>
      <c r="Q5311" s="216" t="str">
        <f t="shared" si="509"/>
        <v/>
      </c>
      <c r="R5311" s="216" t="str">
        <f t="shared" si="510"/>
        <v/>
      </c>
      <c r="S5311" s="217" t="str">
        <f t="shared" si="511"/>
        <v/>
      </c>
    </row>
    <row r="5312" spans="1:19" ht="15.75" hidden="1" thickBot="1" x14ac:dyDescent="0.3">
      <c r="A5312" s="257"/>
      <c r="B5312" s="260"/>
      <c r="C5312" s="35" t="s">
        <v>5555</v>
      </c>
      <c r="D5312" s="35" t="s">
        <v>213</v>
      </c>
      <c r="E5312" s="36">
        <v>1</v>
      </c>
      <c r="F5312" s="30" t="s">
        <v>416</v>
      </c>
      <c r="G5312" s="53" t="str">
        <f t="shared" si="512"/>
        <v/>
      </c>
      <c r="H5312" s="38">
        <f>SUM(G5312:G5314)</f>
        <v>6.6108656999999997</v>
      </c>
      <c r="I5312" s="39"/>
      <c r="J5312" s="152">
        <v>0</v>
      </c>
      <c r="L5312" s="215">
        <v>1</v>
      </c>
      <c r="M5312" s="30"/>
      <c r="N5312" s="53" t="str">
        <f t="shared" si="513"/>
        <v/>
      </c>
      <c r="O5312" s="38">
        <f>SUM(N5312:N5314)</f>
        <v>5.6589010391999999</v>
      </c>
      <c r="P5312" s="36" t="str">
        <f t="shared" si="508"/>
        <v/>
      </c>
      <c r="Q5312" s="216" t="str">
        <f t="shared" si="509"/>
        <v/>
      </c>
      <c r="R5312" s="216" t="str">
        <f t="shared" si="510"/>
        <v/>
      </c>
      <c r="S5312" s="217">
        <f t="shared" si="511"/>
        <v>0.14400000000000002</v>
      </c>
    </row>
    <row r="5313" spans="1:19" ht="15.75" hidden="1" thickBot="1" x14ac:dyDescent="0.3">
      <c r="A5313" s="257"/>
      <c r="B5313" s="260"/>
      <c r="C5313" s="35" t="s">
        <v>1017</v>
      </c>
      <c r="D5313" s="35" t="s">
        <v>583</v>
      </c>
      <c r="E5313" s="36">
        <v>7.4800000000000005E-2</v>
      </c>
      <c r="F5313" s="30">
        <v>21.584</v>
      </c>
      <c r="G5313" s="53">
        <f t="shared" si="512"/>
        <v>1.6144832</v>
      </c>
      <c r="H5313" s="72"/>
      <c r="I5313" s="73"/>
      <c r="J5313" s="152">
        <v>0</v>
      </c>
      <c r="L5313" s="215">
        <v>7.4800000000000005E-2</v>
      </c>
      <c r="M5313" s="30">
        <v>18.475904</v>
      </c>
      <c r="N5313" s="53">
        <f t="shared" si="513"/>
        <v>1.3819976192000001</v>
      </c>
      <c r="O5313" s="72"/>
      <c r="P5313" s="36" t="str">
        <f t="shared" si="508"/>
        <v/>
      </c>
      <c r="Q5313" s="216">
        <f t="shared" si="509"/>
        <v>0.14400000000000002</v>
      </c>
      <c r="R5313" s="216">
        <f t="shared" si="510"/>
        <v>0.14399999999999991</v>
      </c>
      <c r="S5313" s="217" t="str">
        <f t="shared" si="511"/>
        <v/>
      </c>
    </row>
    <row r="5314" spans="1:19" ht="15.75" hidden="1" thickBot="1" x14ac:dyDescent="0.3">
      <c r="A5314" s="257"/>
      <c r="B5314" s="260"/>
      <c r="C5314" s="35" t="s">
        <v>1018</v>
      </c>
      <c r="D5314" s="35" t="s">
        <v>583</v>
      </c>
      <c r="E5314" s="36">
        <v>0.17949999999999999</v>
      </c>
      <c r="F5314" s="30">
        <v>27.835000000000001</v>
      </c>
      <c r="G5314" s="53">
        <f t="shared" si="512"/>
        <v>4.9963825000000002</v>
      </c>
      <c r="H5314" s="72"/>
      <c r="I5314" s="73"/>
      <c r="J5314" s="152">
        <v>0</v>
      </c>
      <c r="L5314" s="215">
        <v>0.17949999999999999</v>
      </c>
      <c r="M5314" s="30">
        <v>23.82676</v>
      </c>
      <c r="N5314" s="53">
        <f t="shared" si="513"/>
        <v>4.27690342</v>
      </c>
      <c r="O5314" s="72"/>
      <c r="P5314" s="36" t="str">
        <f t="shared" si="508"/>
        <v/>
      </c>
      <c r="Q5314" s="216">
        <f t="shared" si="509"/>
        <v>0.14400000000000002</v>
      </c>
      <c r="R5314" s="216">
        <f t="shared" si="510"/>
        <v>0.14400000000000002</v>
      </c>
      <c r="S5314" s="217" t="str">
        <f t="shared" si="511"/>
        <v/>
      </c>
    </row>
    <row r="5315" spans="1:19" ht="15.75" hidden="1" thickBot="1" x14ac:dyDescent="0.3">
      <c r="A5315" s="258"/>
      <c r="B5315" s="261"/>
      <c r="C5315" s="54"/>
      <c r="D5315" s="155"/>
      <c r="E5315" s="65"/>
      <c r="F5315" s="75" t="s">
        <v>416</v>
      </c>
      <c r="G5315" s="75" t="str">
        <f t="shared" si="512"/>
        <v/>
      </c>
      <c r="H5315" s="76"/>
      <c r="I5315" s="73"/>
      <c r="J5315" s="152">
        <v>0</v>
      </c>
      <c r="L5315" s="222"/>
      <c r="M5315" s="75"/>
      <c r="N5315" s="75" t="str">
        <f t="shared" si="513"/>
        <v/>
      </c>
      <c r="O5315" s="76"/>
      <c r="P5315" s="36" t="str">
        <f t="shared" si="508"/>
        <v/>
      </c>
      <c r="Q5315" s="216" t="str">
        <f t="shared" si="509"/>
        <v/>
      </c>
      <c r="R5315" s="216" t="str">
        <f t="shared" si="510"/>
        <v/>
      </c>
      <c r="S5315" s="217" t="str">
        <f t="shared" si="511"/>
        <v/>
      </c>
    </row>
    <row r="5316" spans="1:19" ht="15.75" hidden="1" thickBot="1" x14ac:dyDescent="0.3">
      <c r="A5316" s="256" t="s">
        <v>3266</v>
      </c>
      <c r="B5316" s="259" t="str">
        <f>INDEX(Orçamentária!A:B,MATCH(Composições!A5316,Orçamentária!A:A,0),2)</f>
        <v>Cabo Ethernet blindado</v>
      </c>
      <c r="C5316" s="40"/>
      <c r="D5316" s="25" t="s">
        <v>69</v>
      </c>
      <c r="E5316" s="26"/>
      <c r="F5316" s="48" t="s">
        <v>416</v>
      </c>
      <c r="G5316" s="27" t="str">
        <f t="shared" si="512"/>
        <v/>
      </c>
      <c r="H5316" s="28"/>
      <c r="I5316" s="29"/>
      <c r="J5316" s="152">
        <v>0</v>
      </c>
      <c r="L5316" s="218"/>
      <c r="M5316" s="48"/>
      <c r="N5316" s="27" t="str">
        <f t="shared" si="513"/>
        <v/>
      </c>
      <c r="O5316" s="28"/>
      <c r="P5316" s="36" t="str">
        <f t="shared" si="508"/>
        <v/>
      </c>
      <c r="Q5316" s="216" t="str">
        <f t="shared" si="509"/>
        <v/>
      </c>
      <c r="R5316" s="216" t="str">
        <f t="shared" si="510"/>
        <v/>
      </c>
      <c r="S5316" s="217" t="str">
        <f t="shared" si="511"/>
        <v/>
      </c>
    </row>
    <row r="5317" spans="1:19" ht="15.75" hidden="1" thickBot="1" x14ac:dyDescent="0.3">
      <c r="A5317" s="257"/>
      <c r="B5317" s="260"/>
      <c r="C5317" s="31"/>
      <c r="D5317" s="31"/>
      <c r="E5317" s="32"/>
      <c r="F5317" s="53" t="s">
        <v>416</v>
      </c>
      <c r="G5317" s="53" t="str">
        <f t="shared" si="512"/>
        <v/>
      </c>
      <c r="H5317" s="72"/>
      <c r="I5317" s="73"/>
      <c r="J5317" s="152">
        <v>0</v>
      </c>
      <c r="L5317" s="219"/>
      <c r="M5317" s="53"/>
      <c r="N5317" s="53" t="str">
        <f t="shared" si="513"/>
        <v/>
      </c>
      <c r="O5317" s="72"/>
      <c r="P5317" s="36" t="str">
        <f t="shared" si="508"/>
        <v/>
      </c>
      <c r="Q5317" s="216" t="str">
        <f t="shared" si="509"/>
        <v/>
      </c>
      <c r="R5317" s="216" t="str">
        <f t="shared" si="510"/>
        <v/>
      </c>
      <c r="S5317" s="217" t="str">
        <f t="shared" si="511"/>
        <v/>
      </c>
    </row>
    <row r="5318" spans="1:19" ht="15.75" hidden="1" thickBot="1" x14ac:dyDescent="0.3">
      <c r="A5318" s="257"/>
      <c r="B5318" s="260"/>
      <c r="C5318" s="35" t="s">
        <v>5556</v>
      </c>
      <c r="D5318" s="35" t="s">
        <v>69</v>
      </c>
      <c r="E5318" s="36">
        <v>1.05</v>
      </c>
      <c r="F5318" s="30" t="s">
        <v>416</v>
      </c>
      <c r="G5318" s="53" t="str">
        <f t="shared" si="512"/>
        <v/>
      </c>
      <c r="H5318" s="38">
        <f>SUM(G5318:G5320)</f>
        <v>0.1383732</v>
      </c>
      <c r="I5318" s="39"/>
      <c r="J5318" s="152">
        <v>0</v>
      </c>
      <c r="L5318" s="215">
        <v>1.05</v>
      </c>
      <c r="M5318" s="30"/>
      <c r="N5318" s="53" t="str">
        <f t="shared" si="513"/>
        <v/>
      </c>
      <c r="O5318" s="38">
        <f>SUM(N5318:N5320)</f>
        <v>0.11844745920000001</v>
      </c>
      <c r="P5318" s="36" t="str">
        <f t="shared" si="508"/>
        <v/>
      </c>
      <c r="Q5318" s="216" t="str">
        <f t="shared" si="509"/>
        <v/>
      </c>
      <c r="R5318" s="216" t="str">
        <f t="shared" si="510"/>
        <v/>
      </c>
      <c r="S5318" s="217">
        <f t="shared" si="511"/>
        <v>0.14399999999999991</v>
      </c>
    </row>
    <row r="5319" spans="1:19" ht="15.75" hidden="1" thickBot="1" x14ac:dyDescent="0.3">
      <c r="A5319" s="257"/>
      <c r="B5319" s="260"/>
      <c r="C5319" s="35" t="s">
        <v>1017</v>
      </c>
      <c r="D5319" s="35" t="s">
        <v>583</v>
      </c>
      <c r="E5319" s="36">
        <v>2.8E-3</v>
      </c>
      <c r="F5319" s="30">
        <v>21.584</v>
      </c>
      <c r="G5319" s="53">
        <f t="shared" si="512"/>
        <v>6.0435200000000001E-2</v>
      </c>
      <c r="H5319" s="72"/>
      <c r="I5319" s="73"/>
      <c r="J5319" s="152">
        <v>0</v>
      </c>
      <c r="L5319" s="215">
        <v>2.8E-3</v>
      </c>
      <c r="M5319" s="30">
        <v>18.475904</v>
      </c>
      <c r="N5319" s="53">
        <f t="shared" si="513"/>
        <v>5.1732531200000001E-2</v>
      </c>
      <c r="O5319" s="72"/>
      <c r="P5319" s="36" t="str">
        <f t="shared" si="508"/>
        <v/>
      </c>
      <c r="Q5319" s="216">
        <f t="shared" si="509"/>
        <v>0.14400000000000002</v>
      </c>
      <c r="R5319" s="216">
        <f t="shared" si="510"/>
        <v>0.14400000000000002</v>
      </c>
      <c r="S5319" s="217" t="str">
        <f t="shared" si="511"/>
        <v/>
      </c>
    </row>
    <row r="5320" spans="1:19" ht="15.75" hidden="1" thickBot="1" x14ac:dyDescent="0.3">
      <c r="A5320" s="257"/>
      <c r="B5320" s="260"/>
      <c r="C5320" s="35" t="s">
        <v>1018</v>
      </c>
      <c r="D5320" s="35" t="s">
        <v>583</v>
      </c>
      <c r="E5320" s="36">
        <v>2.8E-3</v>
      </c>
      <c r="F5320" s="30">
        <v>27.835000000000001</v>
      </c>
      <c r="G5320" s="53">
        <f t="shared" si="512"/>
        <v>7.7938000000000007E-2</v>
      </c>
      <c r="H5320" s="72"/>
      <c r="I5320" s="73"/>
      <c r="J5320" s="152">
        <v>0</v>
      </c>
      <c r="L5320" s="215">
        <v>2.8E-3</v>
      </c>
      <c r="M5320" s="30">
        <v>23.82676</v>
      </c>
      <c r="N5320" s="53">
        <f t="shared" si="513"/>
        <v>6.6714928000000007E-2</v>
      </c>
      <c r="O5320" s="72"/>
      <c r="P5320" s="36" t="str">
        <f t="shared" ref="P5320:P5383" si="514">IF(ISBLANK(L5320),"",IF($E5320&lt;&gt;L5320,"SIM",""))</f>
        <v/>
      </c>
      <c r="Q5320" s="216">
        <f t="shared" ref="Q5320:Q5383" si="515">IF(M5320="","",1-M5320/$F5320)</f>
        <v>0.14400000000000002</v>
      </c>
      <c r="R5320" s="216">
        <f t="shared" ref="R5320:R5383" si="516">IF(N5320="","",1-N5320/$G5320)</f>
        <v>0.14400000000000002</v>
      </c>
      <c r="S5320" s="217" t="str">
        <f t="shared" ref="S5320:S5383" si="517">IF(O5320="","",1-O5320/$H5320)</f>
        <v/>
      </c>
    </row>
    <row r="5321" spans="1:19" ht="15.75" hidden="1" thickBot="1" x14ac:dyDescent="0.3">
      <c r="A5321" s="257"/>
      <c r="B5321" s="260"/>
      <c r="C5321" s="35"/>
      <c r="D5321" s="46"/>
      <c r="E5321" s="36"/>
      <c r="F5321" s="53" t="s">
        <v>416</v>
      </c>
      <c r="G5321" s="53" t="str">
        <f t="shared" si="512"/>
        <v/>
      </c>
      <c r="H5321" s="72"/>
      <c r="I5321" s="73"/>
      <c r="J5321" s="152">
        <v>0</v>
      </c>
      <c r="L5321" s="215"/>
      <c r="M5321" s="53"/>
      <c r="N5321" s="53" t="str">
        <f t="shared" si="513"/>
        <v/>
      </c>
      <c r="O5321" s="72"/>
      <c r="P5321" s="36" t="str">
        <f t="shared" si="514"/>
        <v/>
      </c>
      <c r="Q5321" s="216" t="str">
        <f t="shared" si="515"/>
        <v/>
      </c>
      <c r="R5321" s="216" t="str">
        <f t="shared" si="516"/>
        <v/>
      </c>
      <c r="S5321" s="217" t="str">
        <f t="shared" si="517"/>
        <v/>
      </c>
    </row>
    <row r="5322" spans="1:19" ht="15.75" hidden="1" thickBot="1" x14ac:dyDescent="0.3">
      <c r="A5322" s="256" t="s">
        <v>3267</v>
      </c>
      <c r="B5322" s="259" t="str">
        <f>INDEX(Orçamentária!A:B,MATCH(Composições!A5322,Orçamentária!A:A,0),2)</f>
        <v>Cabo de fibra óptica multimodo 12 fibras</v>
      </c>
      <c r="C5322" s="40"/>
      <c r="D5322" s="25" t="s">
        <v>69</v>
      </c>
      <c r="E5322" s="26"/>
      <c r="F5322" s="48" t="s">
        <v>416</v>
      </c>
      <c r="G5322" s="27" t="str">
        <f t="shared" si="512"/>
        <v/>
      </c>
      <c r="H5322" s="28"/>
      <c r="I5322" s="29"/>
      <c r="J5322" s="152">
        <v>0</v>
      </c>
      <c r="L5322" s="218"/>
      <c r="M5322" s="48"/>
      <c r="N5322" s="27" t="str">
        <f t="shared" si="513"/>
        <v/>
      </c>
      <c r="O5322" s="28"/>
      <c r="P5322" s="36" t="str">
        <f t="shared" si="514"/>
        <v/>
      </c>
      <c r="Q5322" s="216" t="str">
        <f t="shared" si="515"/>
        <v/>
      </c>
      <c r="R5322" s="216" t="str">
        <f t="shared" si="516"/>
        <v/>
      </c>
      <c r="S5322" s="217" t="str">
        <f t="shared" si="517"/>
        <v/>
      </c>
    </row>
    <row r="5323" spans="1:19" ht="15.75" hidden="1" thickBot="1" x14ac:dyDescent="0.3">
      <c r="A5323" s="257"/>
      <c r="B5323" s="260"/>
      <c r="C5323" s="31"/>
      <c r="D5323" s="31"/>
      <c r="E5323" s="32"/>
      <c r="F5323" s="53" t="s">
        <v>416</v>
      </c>
      <c r="G5323" s="53" t="str">
        <f t="shared" si="512"/>
        <v/>
      </c>
      <c r="H5323" s="72"/>
      <c r="I5323" s="73"/>
      <c r="J5323" s="152">
        <v>0</v>
      </c>
      <c r="L5323" s="219"/>
      <c r="M5323" s="53"/>
      <c r="N5323" s="53" t="str">
        <f t="shared" si="513"/>
        <v/>
      </c>
      <c r="O5323" s="72"/>
      <c r="P5323" s="36" t="str">
        <f t="shared" si="514"/>
        <v/>
      </c>
      <c r="Q5323" s="216" t="str">
        <f t="shared" si="515"/>
        <v/>
      </c>
      <c r="R5323" s="216" t="str">
        <f t="shared" si="516"/>
        <v/>
      </c>
      <c r="S5323" s="217" t="str">
        <f t="shared" si="517"/>
        <v/>
      </c>
    </row>
    <row r="5324" spans="1:19" ht="15.75" hidden="1" thickBot="1" x14ac:dyDescent="0.3">
      <c r="A5324" s="257"/>
      <c r="B5324" s="260"/>
      <c r="C5324" s="35" t="s">
        <v>5557</v>
      </c>
      <c r="D5324" s="35" t="s">
        <v>69</v>
      </c>
      <c r="E5324" s="36">
        <v>1.05</v>
      </c>
      <c r="F5324" s="30" t="s">
        <v>416</v>
      </c>
      <c r="G5324" s="53" t="str">
        <f t="shared" si="512"/>
        <v/>
      </c>
      <c r="H5324" s="38">
        <f>SUM(G5324:G5326)</f>
        <v>3.5136908999999998</v>
      </c>
      <c r="I5324" s="39"/>
      <c r="J5324" s="152">
        <v>0</v>
      </c>
      <c r="L5324" s="215">
        <v>1.05</v>
      </c>
      <c r="M5324" s="30"/>
      <c r="N5324" s="53" t="str">
        <f t="shared" si="513"/>
        <v/>
      </c>
      <c r="O5324" s="38">
        <f>SUM(N5324:N5326)</f>
        <v>3.0077194104</v>
      </c>
      <c r="P5324" s="36" t="str">
        <f t="shared" si="514"/>
        <v/>
      </c>
      <c r="Q5324" s="216" t="str">
        <f t="shared" si="515"/>
        <v/>
      </c>
      <c r="R5324" s="216" t="str">
        <f t="shared" si="516"/>
        <v/>
      </c>
      <c r="S5324" s="217">
        <f t="shared" si="517"/>
        <v>0.14399999999999991</v>
      </c>
    </row>
    <row r="5325" spans="1:19" ht="15.75" hidden="1" thickBot="1" x14ac:dyDescent="0.3">
      <c r="A5325" s="257"/>
      <c r="B5325" s="260"/>
      <c r="C5325" s="35" t="s">
        <v>1017</v>
      </c>
      <c r="D5325" s="35" t="s">
        <v>583</v>
      </c>
      <c r="E5325" s="36">
        <v>7.1099999999999997E-2</v>
      </c>
      <c r="F5325" s="30">
        <v>21.584</v>
      </c>
      <c r="G5325" s="53">
        <f t="shared" si="512"/>
        <v>1.5346223999999999</v>
      </c>
      <c r="H5325" s="72"/>
      <c r="I5325" s="73"/>
      <c r="J5325" s="152">
        <v>0</v>
      </c>
      <c r="L5325" s="215">
        <v>7.1099999999999997E-2</v>
      </c>
      <c r="M5325" s="30">
        <v>18.475904</v>
      </c>
      <c r="N5325" s="53">
        <f t="shared" si="513"/>
        <v>1.3136367743999999</v>
      </c>
      <c r="O5325" s="72"/>
      <c r="P5325" s="36" t="str">
        <f t="shared" si="514"/>
        <v/>
      </c>
      <c r="Q5325" s="216">
        <f t="shared" si="515"/>
        <v>0.14400000000000002</v>
      </c>
      <c r="R5325" s="216">
        <f t="shared" si="516"/>
        <v>0.14400000000000002</v>
      </c>
      <c r="S5325" s="217" t="str">
        <f t="shared" si="517"/>
        <v/>
      </c>
    </row>
    <row r="5326" spans="1:19" ht="15.75" hidden="1" thickBot="1" x14ac:dyDescent="0.3">
      <c r="A5326" s="257"/>
      <c r="B5326" s="260"/>
      <c r="C5326" s="35" t="s">
        <v>1018</v>
      </c>
      <c r="D5326" s="35" t="s">
        <v>583</v>
      </c>
      <c r="E5326" s="36">
        <v>7.1099999999999997E-2</v>
      </c>
      <c r="F5326" s="30">
        <v>27.835000000000001</v>
      </c>
      <c r="G5326" s="53">
        <f t="shared" si="512"/>
        <v>1.9790684999999999</v>
      </c>
      <c r="H5326" s="72"/>
      <c r="I5326" s="73"/>
      <c r="J5326" s="152">
        <v>0</v>
      </c>
      <c r="L5326" s="215">
        <v>7.1099999999999997E-2</v>
      </c>
      <c r="M5326" s="30">
        <v>23.82676</v>
      </c>
      <c r="N5326" s="53">
        <f t="shared" si="513"/>
        <v>1.6940826359999999</v>
      </c>
      <c r="O5326" s="72"/>
      <c r="P5326" s="36" t="str">
        <f t="shared" si="514"/>
        <v/>
      </c>
      <c r="Q5326" s="216">
        <f t="shared" si="515"/>
        <v>0.14400000000000002</v>
      </c>
      <c r="R5326" s="216">
        <f t="shared" si="516"/>
        <v>0.14400000000000002</v>
      </c>
      <c r="S5326" s="217" t="str">
        <f t="shared" si="517"/>
        <v/>
      </c>
    </row>
    <row r="5327" spans="1:19" ht="15.75" hidden="1" thickBot="1" x14ac:dyDescent="0.3">
      <c r="A5327" s="257"/>
      <c r="B5327" s="260"/>
      <c r="C5327" s="35"/>
      <c r="D5327" s="46"/>
      <c r="E5327" s="36"/>
      <c r="F5327" s="53" t="s">
        <v>416</v>
      </c>
      <c r="G5327" s="53" t="str">
        <f t="shared" si="512"/>
        <v/>
      </c>
      <c r="H5327" s="72"/>
      <c r="I5327" s="73"/>
      <c r="J5327" s="152">
        <v>0</v>
      </c>
      <c r="L5327" s="215"/>
      <c r="M5327" s="53"/>
      <c r="N5327" s="53" t="str">
        <f t="shared" si="513"/>
        <v/>
      </c>
      <c r="O5327" s="72"/>
      <c r="P5327" s="36" t="str">
        <f t="shared" si="514"/>
        <v/>
      </c>
      <c r="Q5327" s="216" t="str">
        <f t="shared" si="515"/>
        <v/>
      </c>
      <c r="R5327" s="216" t="str">
        <f t="shared" si="516"/>
        <v/>
      </c>
      <c r="S5327" s="217" t="str">
        <f t="shared" si="517"/>
        <v/>
      </c>
    </row>
    <row r="5328" spans="1:19" ht="15.75" hidden="1" thickBot="1" x14ac:dyDescent="0.3">
      <c r="A5328" s="256" t="s">
        <v>3268</v>
      </c>
      <c r="B5328" s="259" t="str">
        <f>INDEX(Orçamentária!A:B,MATCH(Composições!A5328,Orçamentária!A:A,0),2)</f>
        <v>Cabos de cobre para comunicação CANbus</v>
      </c>
      <c r="C5328" s="40"/>
      <c r="D5328" s="25" t="s">
        <v>69</v>
      </c>
      <c r="E5328" s="26"/>
      <c r="F5328" s="48" t="s">
        <v>416</v>
      </c>
      <c r="G5328" s="27" t="str">
        <f t="shared" si="512"/>
        <v/>
      </c>
      <c r="H5328" s="28"/>
      <c r="I5328" s="29"/>
      <c r="J5328" s="152">
        <v>0</v>
      </c>
      <c r="L5328" s="218"/>
      <c r="M5328" s="48"/>
      <c r="N5328" s="27" t="str">
        <f t="shared" si="513"/>
        <v/>
      </c>
      <c r="O5328" s="28"/>
      <c r="P5328" s="36" t="str">
        <f t="shared" si="514"/>
        <v/>
      </c>
      <c r="Q5328" s="216" t="str">
        <f t="shared" si="515"/>
        <v/>
      </c>
      <c r="R5328" s="216" t="str">
        <f t="shared" si="516"/>
        <v/>
      </c>
      <c r="S5328" s="217" t="str">
        <f t="shared" si="517"/>
        <v/>
      </c>
    </row>
    <row r="5329" spans="1:19" ht="15.75" hidden="1" thickBot="1" x14ac:dyDescent="0.3">
      <c r="A5329" s="257"/>
      <c r="B5329" s="260"/>
      <c r="C5329" s="31"/>
      <c r="D5329" s="31"/>
      <c r="E5329" s="32"/>
      <c r="F5329" s="53" t="s">
        <v>416</v>
      </c>
      <c r="G5329" s="53" t="str">
        <f t="shared" si="512"/>
        <v/>
      </c>
      <c r="H5329" s="72"/>
      <c r="I5329" s="73"/>
      <c r="J5329" s="152">
        <v>0</v>
      </c>
      <c r="L5329" s="219"/>
      <c r="M5329" s="53"/>
      <c r="N5329" s="53" t="str">
        <f t="shared" si="513"/>
        <v/>
      </c>
      <c r="O5329" s="72"/>
      <c r="P5329" s="36" t="str">
        <f t="shared" si="514"/>
        <v/>
      </c>
      <c r="Q5329" s="216" t="str">
        <f t="shared" si="515"/>
        <v/>
      </c>
      <c r="R5329" s="216" t="str">
        <f t="shared" si="516"/>
        <v/>
      </c>
      <c r="S5329" s="217" t="str">
        <f t="shared" si="517"/>
        <v/>
      </c>
    </row>
    <row r="5330" spans="1:19" ht="15.75" hidden="1" thickBot="1" x14ac:dyDescent="0.3">
      <c r="A5330" s="257"/>
      <c r="B5330" s="260"/>
      <c r="C5330" s="35" t="s">
        <v>5558</v>
      </c>
      <c r="D5330" s="35" t="s">
        <v>69</v>
      </c>
      <c r="E5330" s="36">
        <v>1.05</v>
      </c>
      <c r="F5330" s="30" t="s">
        <v>416</v>
      </c>
      <c r="G5330" s="53" t="str">
        <f t="shared" si="512"/>
        <v/>
      </c>
      <c r="H5330" s="38">
        <f>SUM(G5330:G5332)</f>
        <v>0.1383732</v>
      </c>
      <c r="I5330" s="39"/>
      <c r="J5330" s="152">
        <v>0</v>
      </c>
      <c r="L5330" s="215">
        <v>1.05</v>
      </c>
      <c r="M5330" s="30"/>
      <c r="N5330" s="53" t="str">
        <f t="shared" si="513"/>
        <v/>
      </c>
      <c r="O5330" s="38">
        <f>SUM(N5330:N5332)</f>
        <v>0.11844745920000001</v>
      </c>
      <c r="P5330" s="36" t="str">
        <f t="shared" si="514"/>
        <v/>
      </c>
      <c r="Q5330" s="216" t="str">
        <f t="shared" si="515"/>
        <v/>
      </c>
      <c r="R5330" s="216" t="str">
        <f t="shared" si="516"/>
        <v/>
      </c>
      <c r="S5330" s="217">
        <f t="shared" si="517"/>
        <v>0.14399999999999991</v>
      </c>
    </row>
    <row r="5331" spans="1:19" ht="15.75" hidden="1" thickBot="1" x14ac:dyDescent="0.3">
      <c r="A5331" s="257"/>
      <c r="B5331" s="260"/>
      <c r="C5331" s="35" t="s">
        <v>1017</v>
      </c>
      <c r="D5331" s="35" t="s">
        <v>583</v>
      </c>
      <c r="E5331" s="36">
        <v>2.8E-3</v>
      </c>
      <c r="F5331" s="30">
        <v>21.584</v>
      </c>
      <c r="G5331" s="53">
        <f t="shared" si="512"/>
        <v>6.0435200000000001E-2</v>
      </c>
      <c r="H5331" s="72"/>
      <c r="I5331" s="73"/>
      <c r="J5331" s="152">
        <v>0</v>
      </c>
      <c r="L5331" s="215">
        <v>2.8E-3</v>
      </c>
      <c r="M5331" s="30">
        <v>18.475904</v>
      </c>
      <c r="N5331" s="53">
        <f t="shared" si="513"/>
        <v>5.1732531200000001E-2</v>
      </c>
      <c r="O5331" s="72"/>
      <c r="P5331" s="36" t="str">
        <f t="shared" si="514"/>
        <v/>
      </c>
      <c r="Q5331" s="216">
        <f t="shared" si="515"/>
        <v>0.14400000000000002</v>
      </c>
      <c r="R5331" s="216">
        <f t="shared" si="516"/>
        <v>0.14400000000000002</v>
      </c>
      <c r="S5331" s="217" t="str">
        <f t="shared" si="517"/>
        <v/>
      </c>
    </row>
    <row r="5332" spans="1:19" ht="15.75" hidden="1" thickBot="1" x14ac:dyDescent="0.3">
      <c r="A5332" s="257"/>
      <c r="B5332" s="260"/>
      <c r="C5332" s="35" t="s">
        <v>1018</v>
      </c>
      <c r="D5332" s="35" t="s">
        <v>583</v>
      </c>
      <c r="E5332" s="36">
        <v>2.8E-3</v>
      </c>
      <c r="F5332" s="30">
        <v>27.835000000000001</v>
      </c>
      <c r="G5332" s="53">
        <f t="shared" si="512"/>
        <v>7.7938000000000007E-2</v>
      </c>
      <c r="H5332" s="72"/>
      <c r="I5332" s="73"/>
      <c r="J5332" s="152">
        <v>0</v>
      </c>
      <c r="L5332" s="215">
        <v>2.8E-3</v>
      </c>
      <c r="M5332" s="30">
        <v>23.82676</v>
      </c>
      <c r="N5332" s="53">
        <f t="shared" si="513"/>
        <v>6.6714928000000007E-2</v>
      </c>
      <c r="O5332" s="72"/>
      <c r="P5332" s="36" t="str">
        <f t="shared" si="514"/>
        <v/>
      </c>
      <c r="Q5332" s="216">
        <f t="shared" si="515"/>
        <v>0.14400000000000002</v>
      </c>
      <c r="R5332" s="216">
        <f t="shared" si="516"/>
        <v>0.14400000000000002</v>
      </c>
      <c r="S5332" s="217" t="str">
        <f t="shared" si="517"/>
        <v/>
      </c>
    </row>
    <row r="5333" spans="1:19" ht="15.75" hidden="1" thickBot="1" x14ac:dyDescent="0.3">
      <c r="A5333" s="257"/>
      <c r="B5333" s="260"/>
      <c r="C5333" s="35"/>
      <c r="D5333" s="46"/>
      <c r="E5333" s="36"/>
      <c r="F5333" s="53" t="s">
        <v>416</v>
      </c>
      <c r="G5333" s="53" t="str">
        <f t="shared" si="512"/>
        <v/>
      </c>
      <c r="H5333" s="72"/>
      <c r="I5333" s="73"/>
      <c r="J5333" s="152">
        <v>0</v>
      </c>
      <c r="L5333" s="215"/>
      <c r="M5333" s="53"/>
      <c r="N5333" s="53" t="str">
        <f t="shared" si="513"/>
        <v/>
      </c>
      <c r="O5333" s="72"/>
      <c r="P5333" s="36" t="str">
        <f t="shared" si="514"/>
        <v/>
      </c>
      <c r="Q5333" s="216" t="str">
        <f t="shared" si="515"/>
        <v/>
      </c>
      <c r="R5333" s="216" t="str">
        <f t="shared" si="516"/>
        <v/>
      </c>
      <c r="S5333" s="217" t="str">
        <f t="shared" si="517"/>
        <v/>
      </c>
    </row>
    <row r="5334" spans="1:19" ht="15.75" hidden="1" thickBot="1" x14ac:dyDescent="0.3">
      <c r="A5334" s="256" t="s">
        <v>3269</v>
      </c>
      <c r="B5334" s="259" t="str">
        <f>INDEX(Orçamentária!A:B,MATCH(Composições!A5334,Orçamentária!A:A,0),2)</f>
        <v>Cabos de cobre para comunicação padrão RS-485</v>
      </c>
      <c r="C5334" s="40"/>
      <c r="D5334" s="25" t="s">
        <v>69</v>
      </c>
      <c r="E5334" s="26"/>
      <c r="F5334" s="48" t="s">
        <v>416</v>
      </c>
      <c r="G5334" s="27" t="str">
        <f t="shared" si="512"/>
        <v/>
      </c>
      <c r="H5334" s="28"/>
      <c r="I5334" s="29"/>
      <c r="J5334" s="152">
        <v>0</v>
      </c>
      <c r="L5334" s="218"/>
      <c r="M5334" s="48"/>
      <c r="N5334" s="27" t="str">
        <f t="shared" si="513"/>
        <v/>
      </c>
      <c r="O5334" s="28"/>
      <c r="P5334" s="36" t="str">
        <f t="shared" si="514"/>
        <v/>
      </c>
      <c r="Q5334" s="216" t="str">
        <f t="shared" si="515"/>
        <v/>
      </c>
      <c r="R5334" s="216" t="str">
        <f t="shared" si="516"/>
        <v/>
      </c>
      <c r="S5334" s="217" t="str">
        <f t="shared" si="517"/>
        <v/>
      </c>
    </row>
    <row r="5335" spans="1:19" ht="15.75" hidden="1" thickBot="1" x14ac:dyDescent="0.3">
      <c r="A5335" s="257"/>
      <c r="B5335" s="260"/>
      <c r="C5335" s="31"/>
      <c r="D5335" s="31"/>
      <c r="E5335" s="32"/>
      <c r="F5335" s="53" t="s">
        <v>416</v>
      </c>
      <c r="G5335" s="53" t="str">
        <f t="shared" si="512"/>
        <v/>
      </c>
      <c r="H5335" s="72"/>
      <c r="I5335" s="73"/>
      <c r="J5335" s="152">
        <v>0</v>
      </c>
      <c r="L5335" s="219"/>
      <c r="M5335" s="53"/>
      <c r="N5335" s="53" t="str">
        <f t="shared" si="513"/>
        <v/>
      </c>
      <c r="O5335" s="72"/>
      <c r="P5335" s="36" t="str">
        <f t="shared" si="514"/>
        <v/>
      </c>
      <c r="Q5335" s="216" t="str">
        <f t="shared" si="515"/>
        <v/>
      </c>
      <c r="R5335" s="216" t="str">
        <f t="shared" si="516"/>
        <v/>
      </c>
      <c r="S5335" s="217" t="str">
        <f t="shared" si="517"/>
        <v/>
      </c>
    </row>
    <row r="5336" spans="1:19" ht="15.75" hidden="1" thickBot="1" x14ac:dyDescent="0.3">
      <c r="A5336" s="257"/>
      <c r="B5336" s="260"/>
      <c r="C5336" s="35" t="s">
        <v>5559</v>
      </c>
      <c r="D5336" s="35" t="s">
        <v>69</v>
      </c>
      <c r="E5336" s="36">
        <v>1.05</v>
      </c>
      <c r="F5336" s="30" t="s">
        <v>416</v>
      </c>
      <c r="G5336" s="53" t="str">
        <f t="shared" si="512"/>
        <v/>
      </c>
      <c r="H5336" s="38">
        <f>SUM(G5336:G5338)</f>
        <v>0.1383732</v>
      </c>
      <c r="I5336" s="39"/>
      <c r="J5336" s="152">
        <v>0</v>
      </c>
      <c r="L5336" s="215">
        <v>1.05</v>
      </c>
      <c r="M5336" s="30"/>
      <c r="N5336" s="53" t="str">
        <f t="shared" si="513"/>
        <v/>
      </c>
      <c r="O5336" s="38">
        <f>SUM(N5336:N5338)</f>
        <v>0.11844745920000001</v>
      </c>
      <c r="P5336" s="36" t="str">
        <f t="shared" si="514"/>
        <v/>
      </c>
      <c r="Q5336" s="216" t="str">
        <f t="shared" si="515"/>
        <v/>
      </c>
      <c r="R5336" s="216" t="str">
        <f t="shared" si="516"/>
        <v/>
      </c>
      <c r="S5336" s="217">
        <f t="shared" si="517"/>
        <v>0.14399999999999991</v>
      </c>
    </row>
    <row r="5337" spans="1:19" ht="15.75" hidden="1" thickBot="1" x14ac:dyDescent="0.3">
      <c r="A5337" s="257"/>
      <c r="B5337" s="260"/>
      <c r="C5337" s="35" t="s">
        <v>1017</v>
      </c>
      <c r="D5337" s="35" t="s">
        <v>583</v>
      </c>
      <c r="E5337" s="36">
        <v>2.8E-3</v>
      </c>
      <c r="F5337" s="30">
        <v>21.584</v>
      </c>
      <c r="G5337" s="53">
        <f t="shared" si="512"/>
        <v>6.0435200000000001E-2</v>
      </c>
      <c r="H5337" s="72"/>
      <c r="I5337" s="73"/>
      <c r="J5337" s="152">
        <v>0</v>
      </c>
      <c r="L5337" s="215">
        <v>2.8E-3</v>
      </c>
      <c r="M5337" s="30">
        <v>18.475904</v>
      </c>
      <c r="N5337" s="53">
        <f t="shared" si="513"/>
        <v>5.1732531200000001E-2</v>
      </c>
      <c r="O5337" s="72"/>
      <c r="P5337" s="36" t="str">
        <f t="shared" si="514"/>
        <v/>
      </c>
      <c r="Q5337" s="216">
        <f t="shared" si="515"/>
        <v>0.14400000000000002</v>
      </c>
      <c r="R5337" s="216">
        <f t="shared" si="516"/>
        <v>0.14400000000000002</v>
      </c>
      <c r="S5337" s="217" t="str">
        <f t="shared" si="517"/>
        <v/>
      </c>
    </row>
    <row r="5338" spans="1:19" ht="15.75" hidden="1" thickBot="1" x14ac:dyDescent="0.3">
      <c r="A5338" s="257"/>
      <c r="B5338" s="260"/>
      <c r="C5338" s="35" t="s">
        <v>1018</v>
      </c>
      <c r="D5338" s="35" t="s">
        <v>583</v>
      </c>
      <c r="E5338" s="36">
        <v>2.8E-3</v>
      </c>
      <c r="F5338" s="30">
        <v>27.835000000000001</v>
      </c>
      <c r="G5338" s="53">
        <f t="shared" si="512"/>
        <v>7.7938000000000007E-2</v>
      </c>
      <c r="H5338" s="72"/>
      <c r="I5338" s="73"/>
      <c r="J5338" s="152">
        <v>0</v>
      </c>
      <c r="L5338" s="215">
        <v>2.8E-3</v>
      </c>
      <c r="M5338" s="30">
        <v>23.82676</v>
      </c>
      <c r="N5338" s="53">
        <f t="shared" si="513"/>
        <v>6.6714928000000007E-2</v>
      </c>
      <c r="O5338" s="72"/>
      <c r="P5338" s="36" t="str">
        <f t="shared" si="514"/>
        <v/>
      </c>
      <c r="Q5338" s="216">
        <f t="shared" si="515"/>
        <v>0.14400000000000002</v>
      </c>
      <c r="R5338" s="216">
        <f t="shared" si="516"/>
        <v>0.14400000000000002</v>
      </c>
      <c r="S5338" s="217" t="str">
        <f t="shared" si="517"/>
        <v/>
      </c>
    </row>
    <row r="5339" spans="1:19" ht="15.75" hidden="1" thickBot="1" x14ac:dyDescent="0.3">
      <c r="A5339" s="257"/>
      <c r="B5339" s="260"/>
      <c r="C5339" s="35"/>
      <c r="D5339" s="46"/>
      <c r="E5339" s="36"/>
      <c r="F5339" s="53" t="s">
        <v>416</v>
      </c>
      <c r="G5339" s="53" t="str">
        <f t="shared" si="512"/>
        <v/>
      </c>
      <c r="H5339" s="72"/>
      <c r="I5339" s="73"/>
      <c r="J5339" s="152">
        <v>0</v>
      </c>
      <c r="L5339" s="215"/>
      <c r="M5339" s="53"/>
      <c r="N5339" s="53" t="str">
        <f t="shared" si="513"/>
        <v/>
      </c>
      <c r="O5339" s="72"/>
      <c r="P5339" s="36" t="str">
        <f t="shared" si="514"/>
        <v/>
      </c>
      <c r="Q5339" s="216" t="str">
        <f t="shared" si="515"/>
        <v/>
      </c>
      <c r="R5339" s="216" t="str">
        <f t="shared" si="516"/>
        <v/>
      </c>
      <c r="S5339" s="217" t="str">
        <f t="shared" si="517"/>
        <v/>
      </c>
    </row>
    <row r="5340" spans="1:19" ht="15.75" hidden="1" thickBot="1" x14ac:dyDescent="0.3">
      <c r="A5340" s="256" t="s">
        <v>3270</v>
      </c>
      <c r="B5340" s="259" t="str">
        <f>INDEX(Orçamentária!A:B,MATCH(Composições!A5340,Orçamentária!A:A,0),2)</f>
        <v>Condulete de alumínio de 2”</v>
      </c>
      <c r="C5340" s="40"/>
      <c r="D5340" s="25" t="s">
        <v>16</v>
      </c>
      <c r="E5340" s="26"/>
      <c r="F5340" s="41" t="s">
        <v>416</v>
      </c>
      <c r="G5340" s="27" t="str">
        <f t="shared" si="512"/>
        <v/>
      </c>
      <c r="H5340" s="28"/>
      <c r="I5340" s="29"/>
      <c r="J5340" s="152">
        <v>0</v>
      </c>
      <c r="L5340" s="218"/>
      <c r="M5340" s="41"/>
      <c r="N5340" s="27" t="str">
        <f t="shared" si="513"/>
        <v/>
      </c>
      <c r="O5340" s="28"/>
      <c r="P5340" s="36" t="str">
        <f t="shared" si="514"/>
        <v/>
      </c>
      <c r="Q5340" s="216" t="str">
        <f t="shared" si="515"/>
        <v/>
      </c>
      <c r="R5340" s="216" t="str">
        <f t="shared" si="516"/>
        <v/>
      </c>
      <c r="S5340" s="217" t="str">
        <f t="shared" si="517"/>
        <v/>
      </c>
    </row>
    <row r="5341" spans="1:19" ht="15.75" hidden="1" thickBot="1" x14ac:dyDescent="0.3">
      <c r="A5341" s="262"/>
      <c r="B5341" s="260"/>
      <c r="C5341" s="31"/>
      <c r="D5341" s="31"/>
      <c r="E5341" s="32"/>
      <c r="F5341" s="42" t="s">
        <v>416</v>
      </c>
      <c r="G5341" s="30" t="str">
        <f t="shared" si="512"/>
        <v/>
      </c>
      <c r="H5341" s="34"/>
      <c r="I5341" s="30"/>
      <c r="J5341" s="152">
        <v>0</v>
      </c>
      <c r="L5341" s="219"/>
      <c r="M5341" s="42"/>
      <c r="N5341" s="30" t="str">
        <f t="shared" si="513"/>
        <v/>
      </c>
      <c r="O5341" s="34"/>
      <c r="P5341" s="36" t="str">
        <f t="shared" si="514"/>
        <v/>
      </c>
      <c r="Q5341" s="216" t="str">
        <f t="shared" si="515"/>
        <v/>
      </c>
      <c r="R5341" s="216" t="str">
        <f t="shared" si="516"/>
        <v/>
      </c>
      <c r="S5341" s="217" t="str">
        <f t="shared" si="517"/>
        <v/>
      </c>
    </row>
    <row r="5342" spans="1:19" ht="15.75" hidden="1" thickBot="1" x14ac:dyDescent="0.3">
      <c r="A5342" s="262"/>
      <c r="B5342" s="260"/>
      <c r="C5342" s="35" t="s">
        <v>1017</v>
      </c>
      <c r="D5342" s="35" t="s">
        <v>583</v>
      </c>
      <c r="E5342" s="36">
        <v>0.5121</v>
      </c>
      <c r="F5342" s="30">
        <v>21.584</v>
      </c>
      <c r="G5342" s="33">
        <f t="shared" si="512"/>
        <v>11.0531664</v>
      </c>
      <c r="H5342" s="38">
        <f>SUM(G5342:G5345)</f>
        <v>71.762469899999999</v>
      </c>
      <c r="I5342" s="39"/>
      <c r="J5342" s="152">
        <v>0</v>
      </c>
      <c r="L5342" s="215">
        <v>0.5121</v>
      </c>
      <c r="M5342" s="30">
        <v>18.475904</v>
      </c>
      <c r="N5342" s="33">
        <f t="shared" si="513"/>
        <v>9.4615104383999995</v>
      </c>
      <c r="O5342" s="38">
        <f>SUM(N5342:N5345)</f>
        <v>61.428674234399992</v>
      </c>
      <c r="P5342" s="36" t="str">
        <f t="shared" si="514"/>
        <v/>
      </c>
      <c r="Q5342" s="216">
        <f t="shared" si="515"/>
        <v>0.14400000000000002</v>
      </c>
      <c r="R5342" s="216">
        <f t="shared" si="516"/>
        <v>0.14400000000000002</v>
      </c>
      <c r="S5342" s="217">
        <f t="shared" si="517"/>
        <v>0.14400000000000013</v>
      </c>
    </row>
    <row r="5343" spans="1:19" ht="15.75" hidden="1" thickBot="1" x14ac:dyDescent="0.3">
      <c r="A5343" s="262"/>
      <c r="B5343" s="260"/>
      <c r="C5343" s="35" t="s">
        <v>1018</v>
      </c>
      <c r="D5343" s="35" t="s">
        <v>583</v>
      </c>
      <c r="E5343" s="36">
        <v>0.5121</v>
      </c>
      <c r="F5343" s="30">
        <v>27.835000000000001</v>
      </c>
      <c r="G5343" s="33">
        <f t="shared" si="512"/>
        <v>14.254303500000001</v>
      </c>
      <c r="H5343" s="34"/>
      <c r="I5343" s="30"/>
      <c r="J5343" s="152">
        <v>0</v>
      </c>
      <c r="L5343" s="215">
        <v>0.5121</v>
      </c>
      <c r="M5343" s="30">
        <v>23.82676</v>
      </c>
      <c r="N5343" s="33">
        <f t="shared" si="513"/>
        <v>12.201683795999999</v>
      </c>
      <c r="O5343" s="34"/>
      <c r="P5343" s="36" t="str">
        <f t="shared" si="514"/>
        <v/>
      </c>
      <c r="Q5343" s="216">
        <f t="shared" si="515"/>
        <v>0.14400000000000002</v>
      </c>
      <c r="R5343" s="216">
        <f t="shared" si="516"/>
        <v>0.14400000000000013</v>
      </c>
      <c r="S5343" s="217" t="str">
        <f t="shared" si="517"/>
        <v/>
      </c>
    </row>
    <row r="5344" spans="1:19" ht="39" hidden="1" thickBot="1" x14ac:dyDescent="0.3">
      <c r="A5344" s="262"/>
      <c r="B5344" s="260"/>
      <c r="C5344" s="35" t="s">
        <v>8010</v>
      </c>
      <c r="D5344" s="35" t="s">
        <v>213</v>
      </c>
      <c r="E5344" s="36">
        <v>2</v>
      </c>
      <c r="F5344" s="33">
        <v>0.3705</v>
      </c>
      <c r="G5344" s="33">
        <f t="shared" si="512"/>
        <v>0.74099999999999999</v>
      </c>
      <c r="H5344" s="34"/>
      <c r="I5344" s="30"/>
      <c r="J5344" s="152">
        <v>0</v>
      </c>
      <c r="L5344" s="215">
        <v>2</v>
      </c>
      <c r="M5344" s="33">
        <v>0.31714799999999999</v>
      </c>
      <c r="N5344" s="33">
        <f t="shared" si="513"/>
        <v>0.63429599999999997</v>
      </c>
      <c r="O5344" s="34"/>
      <c r="P5344" s="36" t="str">
        <f t="shared" si="514"/>
        <v/>
      </c>
      <c r="Q5344" s="216">
        <f t="shared" si="515"/>
        <v>0.14400000000000002</v>
      </c>
      <c r="R5344" s="216">
        <f t="shared" si="516"/>
        <v>0.14400000000000002</v>
      </c>
      <c r="S5344" s="217" t="str">
        <f t="shared" si="517"/>
        <v/>
      </c>
    </row>
    <row r="5345" spans="1:19" ht="26.25" hidden="1" thickBot="1" x14ac:dyDescent="0.3">
      <c r="A5345" s="262"/>
      <c r="B5345" s="260"/>
      <c r="C5345" s="35" t="s">
        <v>8077</v>
      </c>
      <c r="D5345" s="35" t="s">
        <v>213</v>
      </c>
      <c r="E5345" s="36">
        <v>1</v>
      </c>
      <c r="F5345" s="33">
        <v>45.713999999999999</v>
      </c>
      <c r="G5345" s="30">
        <f t="shared" si="512"/>
        <v>45.713999999999999</v>
      </c>
      <c r="H5345" s="34"/>
      <c r="I5345" s="30"/>
      <c r="J5345" s="152">
        <v>0</v>
      </c>
      <c r="L5345" s="215">
        <v>1</v>
      </c>
      <c r="M5345" s="33">
        <v>39.131183999999998</v>
      </c>
      <c r="N5345" s="30">
        <f t="shared" si="513"/>
        <v>39.131183999999998</v>
      </c>
      <c r="O5345" s="34"/>
      <c r="P5345" s="36" t="str">
        <f t="shared" si="514"/>
        <v/>
      </c>
      <c r="Q5345" s="216">
        <f t="shared" si="515"/>
        <v>0.14400000000000002</v>
      </c>
      <c r="R5345" s="216">
        <f t="shared" si="516"/>
        <v>0.14400000000000002</v>
      </c>
      <c r="S5345" s="217" t="str">
        <f t="shared" si="517"/>
        <v/>
      </c>
    </row>
    <row r="5346" spans="1:19" ht="15.75" hidden="1" thickBot="1" x14ac:dyDescent="0.3">
      <c r="A5346" s="263"/>
      <c r="B5346" s="261"/>
      <c r="C5346" s="35"/>
      <c r="D5346" s="35"/>
      <c r="E5346" s="36"/>
      <c r="F5346" s="30" t="s">
        <v>416</v>
      </c>
      <c r="G5346" s="30" t="str">
        <f t="shared" si="512"/>
        <v/>
      </c>
      <c r="H5346" s="34"/>
      <c r="I5346" s="30"/>
      <c r="J5346" s="152">
        <v>0</v>
      </c>
      <c r="L5346" s="215"/>
      <c r="M5346" s="30"/>
      <c r="N5346" s="30" t="str">
        <f t="shared" si="513"/>
        <v/>
      </c>
      <c r="O5346" s="34"/>
      <c r="P5346" s="36" t="str">
        <f t="shared" si="514"/>
        <v/>
      </c>
      <c r="Q5346" s="216" t="str">
        <f t="shared" si="515"/>
        <v/>
      </c>
      <c r="R5346" s="216" t="str">
        <f t="shared" si="516"/>
        <v/>
      </c>
      <c r="S5346" s="217" t="str">
        <f t="shared" si="517"/>
        <v/>
      </c>
    </row>
    <row r="5347" spans="1:19" ht="15.75" hidden="1" thickBot="1" x14ac:dyDescent="0.3">
      <c r="A5347" s="256" t="s">
        <v>3271</v>
      </c>
      <c r="B5347" s="259" t="str">
        <f>INDEX(Orçamentária!A:B,MATCH(Composições!A5347,Orçamentária!A:A,0),2)</f>
        <v>Cabo de potência, 8,7 kV / 15 kV, 95 mm²</v>
      </c>
      <c r="C5347" s="40"/>
      <c r="D5347" s="25" t="s">
        <v>69</v>
      </c>
      <c r="E5347" s="26"/>
      <c r="F5347" s="41" t="s">
        <v>416</v>
      </c>
      <c r="G5347" s="27" t="str">
        <f t="shared" si="512"/>
        <v/>
      </c>
      <c r="H5347" s="28"/>
      <c r="I5347" s="29"/>
      <c r="J5347" s="152">
        <v>0</v>
      </c>
      <c r="L5347" s="218"/>
      <c r="M5347" s="41"/>
      <c r="N5347" s="27" t="str">
        <f t="shared" si="513"/>
        <v/>
      </c>
      <c r="O5347" s="28"/>
      <c r="P5347" s="36" t="str">
        <f t="shared" si="514"/>
        <v/>
      </c>
      <c r="Q5347" s="216" t="str">
        <f t="shared" si="515"/>
        <v/>
      </c>
      <c r="R5347" s="216" t="str">
        <f t="shared" si="516"/>
        <v/>
      </c>
      <c r="S5347" s="217" t="str">
        <f t="shared" si="517"/>
        <v/>
      </c>
    </row>
    <row r="5348" spans="1:19" ht="15.75" hidden="1" thickBot="1" x14ac:dyDescent="0.3">
      <c r="A5348" s="262"/>
      <c r="B5348" s="260"/>
      <c r="C5348" s="31"/>
      <c r="D5348" s="31"/>
      <c r="E5348" s="32"/>
      <c r="F5348" s="42" t="s">
        <v>416</v>
      </c>
      <c r="G5348" s="30" t="str">
        <f t="shared" si="512"/>
        <v/>
      </c>
      <c r="H5348" s="34"/>
      <c r="I5348" s="30"/>
      <c r="J5348" s="152">
        <v>0</v>
      </c>
      <c r="L5348" s="219"/>
      <c r="M5348" s="42"/>
      <c r="N5348" s="30" t="str">
        <f t="shared" si="513"/>
        <v/>
      </c>
      <c r="O5348" s="34"/>
      <c r="P5348" s="36" t="str">
        <f t="shared" si="514"/>
        <v/>
      </c>
      <c r="Q5348" s="216" t="str">
        <f t="shared" si="515"/>
        <v/>
      </c>
      <c r="R5348" s="216" t="str">
        <f t="shared" si="516"/>
        <v/>
      </c>
      <c r="S5348" s="217" t="str">
        <f t="shared" si="517"/>
        <v/>
      </c>
    </row>
    <row r="5349" spans="1:19" ht="15.75" hidden="1" thickBot="1" x14ac:dyDescent="0.3">
      <c r="A5349" s="262"/>
      <c r="B5349" s="260"/>
      <c r="C5349" s="35" t="s">
        <v>1017</v>
      </c>
      <c r="D5349" s="35" t="s">
        <v>583</v>
      </c>
      <c r="E5349" s="36">
        <v>0.128</v>
      </c>
      <c r="F5349" s="30">
        <v>21.584</v>
      </c>
      <c r="G5349" s="33">
        <f t="shared" si="512"/>
        <v>2.7627519999999999</v>
      </c>
      <c r="H5349" s="38">
        <f>SUM(G5349:G5352)</f>
        <v>6.3608580000000003</v>
      </c>
      <c r="I5349" s="39"/>
      <c r="J5349" s="152">
        <v>0</v>
      </c>
      <c r="L5349" s="215">
        <v>0.128</v>
      </c>
      <c r="M5349" s="30">
        <v>18.475904</v>
      </c>
      <c r="N5349" s="33">
        <f t="shared" si="513"/>
        <v>2.3649157120000002</v>
      </c>
      <c r="O5349" s="38">
        <f>SUM(N5349:N5352)</f>
        <v>5.4448944480000003</v>
      </c>
      <c r="P5349" s="36" t="str">
        <f t="shared" si="514"/>
        <v/>
      </c>
      <c r="Q5349" s="216">
        <f t="shared" si="515"/>
        <v>0.14400000000000002</v>
      </c>
      <c r="R5349" s="216">
        <f t="shared" si="516"/>
        <v>0.14399999999999991</v>
      </c>
      <c r="S5349" s="217">
        <f t="shared" si="517"/>
        <v>0.14400000000000002</v>
      </c>
    </row>
    <row r="5350" spans="1:19" ht="15.75" hidden="1" thickBot="1" x14ac:dyDescent="0.3">
      <c r="A5350" s="262"/>
      <c r="B5350" s="260"/>
      <c r="C5350" s="35" t="s">
        <v>1018</v>
      </c>
      <c r="D5350" s="35" t="s">
        <v>583</v>
      </c>
      <c r="E5350" s="36">
        <v>0.128</v>
      </c>
      <c r="F5350" s="30">
        <v>27.835000000000001</v>
      </c>
      <c r="G5350" s="33">
        <f t="shared" si="512"/>
        <v>3.5628800000000003</v>
      </c>
      <c r="H5350" s="34"/>
      <c r="I5350" s="30"/>
      <c r="J5350" s="152">
        <v>0</v>
      </c>
      <c r="L5350" s="215">
        <v>0.128</v>
      </c>
      <c r="M5350" s="30">
        <v>23.82676</v>
      </c>
      <c r="N5350" s="33">
        <f t="shared" si="513"/>
        <v>3.0498252800000003</v>
      </c>
      <c r="O5350" s="34"/>
      <c r="P5350" s="36" t="str">
        <f t="shared" si="514"/>
        <v/>
      </c>
      <c r="Q5350" s="216">
        <f t="shared" si="515"/>
        <v>0.14400000000000002</v>
      </c>
      <c r="R5350" s="216">
        <f t="shared" si="516"/>
        <v>0.14400000000000002</v>
      </c>
      <c r="S5350" s="217" t="str">
        <f t="shared" si="517"/>
        <v/>
      </c>
    </row>
    <row r="5351" spans="1:19" ht="26.25" hidden="1" thickBot="1" x14ac:dyDescent="0.3">
      <c r="A5351" s="262"/>
      <c r="B5351" s="260"/>
      <c r="C5351" s="35" t="s">
        <v>8169</v>
      </c>
      <c r="D5351" s="35" t="s">
        <v>213</v>
      </c>
      <c r="E5351" s="36">
        <v>8.9999999999999993E-3</v>
      </c>
      <c r="F5351" s="33">
        <v>3.9139999999999997</v>
      </c>
      <c r="G5351" s="33">
        <f t="shared" si="512"/>
        <v>3.5225999999999993E-2</v>
      </c>
      <c r="H5351" s="34"/>
      <c r="I5351" s="30"/>
      <c r="J5351" s="152">
        <v>0</v>
      </c>
      <c r="L5351" s="215">
        <v>8.9999999999999993E-3</v>
      </c>
      <c r="M5351" s="33">
        <v>3.350384</v>
      </c>
      <c r="N5351" s="33">
        <f t="shared" si="513"/>
        <v>3.0153455999999999E-2</v>
      </c>
      <c r="O5351" s="34"/>
      <c r="P5351" s="36" t="str">
        <f t="shared" si="514"/>
        <v/>
      </c>
      <c r="Q5351" s="216">
        <f t="shared" si="515"/>
        <v>0.14399999999999991</v>
      </c>
      <c r="R5351" s="216">
        <f t="shared" si="516"/>
        <v>0.14399999999999991</v>
      </c>
      <c r="S5351" s="217" t="str">
        <f t="shared" si="517"/>
        <v/>
      </c>
    </row>
    <row r="5352" spans="1:19" ht="15.75" hidden="1" thickBot="1" x14ac:dyDescent="0.3">
      <c r="A5352" s="262"/>
      <c r="B5352" s="260"/>
      <c r="C5352" s="35" t="s">
        <v>5560</v>
      </c>
      <c r="D5352" s="35" t="s">
        <v>69</v>
      </c>
      <c r="E5352" s="36">
        <v>1.0149999999999999</v>
      </c>
      <c r="F5352" s="33" t="s">
        <v>416</v>
      </c>
      <c r="G5352" s="30" t="str">
        <f t="shared" si="512"/>
        <v/>
      </c>
      <c r="H5352" s="34"/>
      <c r="I5352" s="30"/>
      <c r="J5352" s="152">
        <v>0</v>
      </c>
      <c r="L5352" s="215">
        <v>1.0149999999999999</v>
      </c>
      <c r="M5352" s="33"/>
      <c r="N5352" s="30" t="str">
        <f t="shared" si="513"/>
        <v/>
      </c>
      <c r="O5352" s="34"/>
      <c r="P5352" s="36" t="str">
        <f t="shared" si="514"/>
        <v/>
      </c>
      <c r="Q5352" s="216" t="str">
        <f t="shared" si="515"/>
        <v/>
      </c>
      <c r="R5352" s="216" t="str">
        <f t="shared" si="516"/>
        <v/>
      </c>
      <c r="S5352" s="217" t="str">
        <f t="shared" si="517"/>
        <v/>
      </c>
    </row>
    <row r="5353" spans="1:19" ht="15.75" hidden="1" thickBot="1" x14ac:dyDescent="0.3">
      <c r="A5353" s="263"/>
      <c r="B5353" s="261"/>
      <c r="C5353" s="35"/>
      <c r="D5353" s="35"/>
      <c r="E5353" s="36"/>
      <c r="F5353" s="30" t="s">
        <v>416</v>
      </c>
      <c r="G5353" s="30" t="str">
        <f t="shared" si="512"/>
        <v/>
      </c>
      <c r="H5353" s="34"/>
      <c r="I5353" s="30"/>
      <c r="J5353" s="152">
        <v>0</v>
      </c>
      <c r="L5353" s="215"/>
      <c r="M5353" s="30"/>
      <c r="N5353" s="30" t="str">
        <f t="shared" si="513"/>
        <v/>
      </c>
      <c r="O5353" s="34"/>
      <c r="P5353" s="36" t="str">
        <f t="shared" si="514"/>
        <v/>
      </c>
      <c r="Q5353" s="216" t="str">
        <f t="shared" si="515"/>
        <v/>
      </c>
      <c r="R5353" s="216" t="str">
        <f t="shared" si="516"/>
        <v/>
      </c>
      <c r="S5353" s="217" t="str">
        <f t="shared" si="517"/>
        <v/>
      </c>
    </row>
    <row r="5354" spans="1:19" ht="15.75" hidden="1" thickBot="1" x14ac:dyDescent="0.3">
      <c r="A5354" s="256" t="s">
        <v>3272</v>
      </c>
      <c r="B5354" s="259" t="str">
        <f>INDEX(Orçamentária!A:B,MATCH(Composições!A5354,Orçamentária!A:A,0),2)</f>
        <v>Cabo de potência, 8,7 kV / 15 kV, 240 mm²</v>
      </c>
      <c r="C5354" s="40"/>
      <c r="D5354" s="25" t="s">
        <v>69</v>
      </c>
      <c r="E5354" s="26"/>
      <c r="F5354" s="41" t="s">
        <v>416</v>
      </c>
      <c r="G5354" s="27" t="str">
        <f t="shared" si="512"/>
        <v/>
      </c>
      <c r="H5354" s="28"/>
      <c r="I5354" s="29"/>
      <c r="J5354" s="152">
        <v>0</v>
      </c>
      <c r="L5354" s="218"/>
      <c r="M5354" s="41"/>
      <c r="N5354" s="27" t="str">
        <f t="shared" si="513"/>
        <v/>
      </c>
      <c r="O5354" s="28"/>
      <c r="P5354" s="36" t="str">
        <f t="shared" si="514"/>
        <v/>
      </c>
      <c r="Q5354" s="216" t="str">
        <f t="shared" si="515"/>
        <v/>
      </c>
      <c r="R5354" s="216" t="str">
        <f t="shared" si="516"/>
        <v/>
      </c>
      <c r="S5354" s="217" t="str">
        <f t="shared" si="517"/>
        <v/>
      </c>
    </row>
    <row r="5355" spans="1:19" ht="15.75" hidden="1" thickBot="1" x14ac:dyDescent="0.3">
      <c r="A5355" s="262"/>
      <c r="B5355" s="260"/>
      <c r="C5355" s="31"/>
      <c r="D5355" s="31"/>
      <c r="E5355" s="32"/>
      <c r="F5355" s="42" t="s">
        <v>416</v>
      </c>
      <c r="G5355" s="30" t="str">
        <f t="shared" si="512"/>
        <v/>
      </c>
      <c r="H5355" s="34"/>
      <c r="I5355" s="30"/>
      <c r="J5355" s="152">
        <v>0</v>
      </c>
      <c r="L5355" s="219"/>
      <c r="M5355" s="42"/>
      <c r="N5355" s="30" t="str">
        <f t="shared" si="513"/>
        <v/>
      </c>
      <c r="O5355" s="34"/>
      <c r="P5355" s="36" t="str">
        <f t="shared" si="514"/>
        <v/>
      </c>
      <c r="Q5355" s="216" t="str">
        <f t="shared" si="515"/>
        <v/>
      </c>
      <c r="R5355" s="216" t="str">
        <f t="shared" si="516"/>
        <v/>
      </c>
      <c r="S5355" s="217" t="str">
        <f t="shared" si="517"/>
        <v/>
      </c>
    </row>
    <row r="5356" spans="1:19" ht="15.75" hidden="1" thickBot="1" x14ac:dyDescent="0.3">
      <c r="A5356" s="262"/>
      <c r="B5356" s="260"/>
      <c r="C5356" s="35" t="s">
        <v>1017</v>
      </c>
      <c r="D5356" s="35" t="s">
        <v>583</v>
      </c>
      <c r="E5356" s="36">
        <v>0.26300000000000001</v>
      </c>
      <c r="F5356" s="30">
        <v>21.584</v>
      </c>
      <c r="G5356" s="33">
        <f t="shared" si="512"/>
        <v>5.6765920000000003</v>
      </c>
      <c r="H5356" s="38">
        <f>SUM(G5356:G5359)</f>
        <v>13.032423</v>
      </c>
      <c r="I5356" s="39"/>
      <c r="J5356" s="152">
        <v>0</v>
      </c>
      <c r="L5356" s="215">
        <v>0.26300000000000001</v>
      </c>
      <c r="M5356" s="30">
        <v>18.475904</v>
      </c>
      <c r="N5356" s="33">
        <f t="shared" si="513"/>
        <v>4.8591627520000005</v>
      </c>
      <c r="O5356" s="38">
        <f>SUM(N5356:N5359)</f>
        <v>11.155754088000002</v>
      </c>
      <c r="P5356" s="36" t="str">
        <f t="shared" si="514"/>
        <v/>
      </c>
      <c r="Q5356" s="216">
        <f t="shared" si="515"/>
        <v>0.14400000000000002</v>
      </c>
      <c r="R5356" s="216">
        <f t="shared" si="516"/>
        <v>0.14400000000000002</v>
      </c>
      <c r="S5356" s="217">
        <f t="shared" si="517"/>
        <v>0.14399999999999979</v>
      </c>
    </row>
    <row r="5357" spans="1:19" ht="15.75" hidden="1" thickBot="1" x14ac:dyDescent="0.3">
      <c r="A5357" s="262"/>
      <c r="B5357" s="260"/>
      <c r="C5357" s="35" t="s">
        <v>1018</v>
      </c>
      <c r="D5357" s="35" t="s">
        <v>583</v>
      </c>
      <c r="E5357" s="36">
        <v>0.26300000000000001</v>
      </c>
      <c r="F5357" s="30">
        <v>27.835000000000001</v>
      </c>
      <c r="G5357" s="33">
        <f t="shared" si="512"/>
        <v>7.3206050000000005</v>
      </c>
      <c r="H5357" s="34"/>
      <c r="I5357" s="30"/>
      <c r="J5357" s="152">
        <v>0</v>
      </c>
      <c r="L5357" s="215">
        <v>0.26300000000000001</v>
      </c>
      <c r="M5357" s="30">
        <v>23.82676</v>
      </c>
      <c r="N5357" s="33">
        <f t="shared" si="513"/>
        <v>6.2664378800000007</v>
      </c>
      <c r="O5357" s="34"/>
      <c r="P5357" s="36" t="str">
        <f t="shared" si="514"/>
        <v/>
      </c>
      <c r="Q5357" s="216">
        <f t="shared" si="515"/>
        <v>0.14400000000000002</v>
      </c>
      <c r="R5357" s="216">
        <f t="shared" si="516"/>
        <v>0.14400000000000002</v>
      </c>
      <c r="S5357" s="217" t="str">
        <f t="shared" si="517"/>
        <v/>
      </c>
    </row>
    <row r="5358" spans="1:19" ht="26.25" hidden="1" thickBot="1" x14ac:dyDescent="0.3">
      <c r="A5358" s="262"/>
      <c r="B5358" s="260"/>
      <c r="C5358" s="35" t="s">
        <v>8169</v>
      </c>
      <c r="D5358" s="35" t="s">
        <v>213</v>
      </c>
      <c r="E5358" s="36">
        <v>8.9999999999999993E-3</v>
      </c>
      <c r="F5358" s="33">
        <v>3.9139999999999997</v>
      </c>
      <c r="G5358" s="33">
        <f t="shared" ref="G5358:G5421" si="518">IF(ISNUMBER(F5358),E5358*F5358,"")</f>
        <v>3.5225999999999993E-2</v>
      </c>
      <c r="H5358" s="34"/>
      <c r="I5358" s="30"/>
      <c r="J5358" s="152">
        <v>0</v>
      </c>
      <c r="L5358" s="215">
        <v>8.9999999999999993E-3</v>
      </c>
      <c r="M5358" s="33">
        <v>3.350384</v>
      </c>
      <c r="N5358" s="33">
        <f t="shared" ref="N5358:N5421" si="519">IF(ISNUMBER(M5358),L5358*M5358,"")</f>
        <v>3.0153455999999999E-2</v>
      </c>
      <c r="O5358" s="34"/>
      <c r="P5358" s="36" t="str">
        <f t="shared" si="514"/>
        <v/>
      </c>
      <c r="Q5358" s="216">
        <f t="shared" si="515"/>
        <v>0.14399999999999991</v>
      </c>
      <c r="R5358" s="216">
        <f t="shared" si="516"/>
        <v>0.14399999999999991</v>
      </c>
      <c r="S5358" s="217" t="str">
        <f t="shared" si="517"/>
        <v/>
      </c>
    </row>
    <row r="5359" spans="1:19" ht="15.75" hidden="1" thickBot="1" x14ac:dyDescent="0.3">
      <c r="A5359" s="262"/>
      <c r="B5359" s="260"/>
      <c r="C5359" s="35" t="s">
        <v>5561</v>
      </c>
      <c r="D5359" s="35" t="s">
        <v>69</v>
      </c>
      <c r="E5359" s="36">
        <v>1.0149999999999999</v>
      </c>
      <c r="F5359" s="33" t="s">
        <v>416</v>
      </c>
      <c r="G5359" s="30" t="str">
        <f t="shared" si="518"/>
        <v/>
      </c>
      <c r="H5359" s="34"/>
      <c r="I5359" s="30"/>
      <c r="J5359" s="152">
        <v>0</v>
      </c>
      <c r="L5359" s="215">
        <v>1.0149999999999999</v>
      </c>
      <c r="M5359" s="33"/>
      <c r="N5359" s="30" t="str">
        <f t="shared" si="519"/>
        <v/>
      </c>
      <c r="O5359" s="34"/>
      <c r="P5359" s="36" t="str">
        <f t="shared" si="514"/>
        <v/>
      </c>
      <c r="Q5359" s="216" t="str">
        <f t="shared" si="515"/>
        <v/>
      </c>
      <c r="R5359" s="216" t="str">
        <f t="shared" si="516"/>
        <v/>
      </c>
      <c r="S5359" s="217" t="str">
        <f t="shared" si="517"/>
        <v/>
      </c>
    </row>
    <row r="5360" spans="1:19" ht="15.75" hidden="1" thickBot="1" x14ac:dyDescent="0.3">
      <c r="A5360" s="263"/>
      <c r="B5360" s="261"/>
      <c r="C5360" s="35"/>
      <c r="D5360" s="35"/>
      <c r="E5360" s="36"/>
      <c r="F5360" s="30" t="s">
        <v>416</v>
      </c>
      <c r="G5360" s="30" t="str">
        <f t="shared" si="518"/>
        <v/>
      </c>
      <c r="H5360" s="34"/>
      <c r="I5360" s="30"/>
      <c r="J5360" s="152">
        <v>0</v>
      </c>
      <c r="L5360" s="215"/>
      <c r="M5360" s="30"/>
      <c r="N5360" s="30" t="str">
        <f t="shared" si="519"/>
        <v/>
      </c>
      <c r="O5360" s="34"/>
      <c r="P5360" s="36" t="str">
        <f t="shared" si="514"/>
        <v/>
      </c>
      <c r="Q5360" s="216" t="str">
        <f t="shared" si="515"/>
        <v/>
      </c>
      <c r="R5360" s="216" t="str">
        <f t="shared" si="516"/>
        <v/>
      </c>
      <c r="S5360" s="217" t="str">
        <f t="shared" si="517"/>
        <v/>
      </c>
    </row>
    <row r="5361" spans="1:19" ht="15.75" hidden="1" thickBot="1" x14ac:dyDescent="0.3">
      <c r="A5361" s="256" t="s">
        <v>3273</v>
      </c>
      <c r="B5361" s="259" t="str">
        <f>INDEX(Orçamentária!A:B,MATCH(Composições!A5361,Orçamentária!A:A,0),2)</f>
        <v>Distribuidor Interno Óptico Industrial – fornecimento e instalação</v>
      </c>
      <c r="C5361" s="40"/>
      <c r="D5361" s="25" t="s">
        <v>16</v>
      </c>
      <c r="E5361" s="26"/>
      <c r="F5361" s="48" t="s">
        <v>416</v>
      </c>
      <c r="G5361" s="27" t="str">
        <f t="shared" si="518"/>
        <v/>
      </c>
      <c r="H5361" s="28"/>
      <c r="I5361" s="29"/>
      <c r="J5361" s="152">
        <v>0</v>
      </c>
      <c r="L5361" s="218"/>
      <c r="M5361" s="48"/>
      <c r="N5361" s="27" t="str">
        <f t="shared" si="519"/>
        <v/>
      </c>
      <c r="O5361" s="28"/>
      <c r="P5361" s="36" t="str">
        <f t="shared" si="514"/>
        <v/>
      </c>
      <c r="Q5361" s="216" t="str">
        <f t="shared" si="515"/>
        <v/>
      </c>
      <c r="R5361" s="216" t="str">
        <f t="shared" si="516"/>
        <v/>
      </c>
      <c r="S5361" s="217" t="str">
        <f t="shared" si="517"/>
        <v/>
      </c>
    </row>
    <row r="5362" spans="1:19" ht="15.75" hidden="1" thickBot="1" x14ac:dyDescent="0.3">
      <c r="A5362" s="257"/>
      <c r="B5362" s="260"/>
      <c r="C5362" s="31"/>
      <c r="D5362" s="31"/>
      <c r="E5362" s="32"/>
      <c r="F5362" s="53" t="s">
        <v>416</v>
      </c>
      <c r="G5362" s="53" t="str">
        <f t="shared" si="518"/>
        <v/>
      </c>
      <c r="H5362" s="72"/>
      <c r="I5362" s="73"/>
      <c r="J5362" s="152">
        <v>0</v>
      </c>
      <c r="L5362" s="219"/>
      <c r="M5362" s="53"/>
      <c r="N5362" s="53" t="str">
        <f t="shared" si="519"/>
        <v/>
      </c>
      <c r="O5362" s="72"/>
      <c r="P5362" s="36" t="str">
        <f t="shared" si="514"/>
        <v/>
      </c>
      <c r="Q5362" s="216" t="str">
        <f t="shared" si="515"/>
        <v/>
      </c>
      <c r="R5362" s="216" t="str">
        <f t="shared" si="516"/>
        <v/>
      </c>
      <c r="S5362" s="217" t="str">
        <f t="shared" si="517"/>
        <v/>
      </c>
    </row>
    <row r="5363" spans="1:19" ht="15.75" hidden="1" thickBot="1" x14ac:dyDescent="0.3">
      <c r="A5363" s="257"/>
      <c r="B5363" s="260"/>
      <c r="C5363" s="35" t="s">
        <v>5562</v>
      </c>
      <c r="D5363" s="35" t="s">
        <v>16</v>
      </c>
      <c r="E5363" s="36">
        <v>1</v>
      </c>
      <c r="F5363" s="30" t="s">
        <v>416</v>
      </c>
      <c r="G5363" s="53" t="str">
        <f t="shared" si="518"/>
        <v/>
      </c>
      <c r="H5363" s="38">
        <f>SUM(G5363:G5365)</f>
        <v>123.54750000000001</v>
      </c>
      <c r="I5363" s="39"/>
      <c r="J5363" s="152">
        <v>0</v>
      </c>
      <c r="L5363" s="215">
        <v>1</v>
      </c>
      <c r="M5363" s="30"/>
      <c r="N5363" s="53" t="str">
        <f t="shared" si="519"/>
        <v/>
      </c>
      <c r="O5363" s="38">
        <f>SUM(N5363:N5365)</f>
        <v>105.75666000000001</v>
      </c>
      <c r="P5363" s="36" t="str">
        <f t="shared" si="514"/>
        <v/>
      </c>
      <c r="Q5363" s="216" t="str">
        <f t="shared" si="515"/>
        <v/>
      </c>
      <c r="R5363" s="216" t="str">
        <f t="shared" si="516"/>
        <v/>
      </c>
      <c r="S5363" s="217">
        <f t="shared" si="517"/>
        <v>0.14400000000000002</v>
      </c>
    </row>
    <row r="5364" spans="1:19" ht="15.75" hidden="1" thickBot="1" x14ac:dyDescent="0.3">
      <c r="A5364" s="257"/>
      <c r="B5364" s="260"/>
      <c r="C5364" s="35" t="s">
        <v>1017</v>
      </c>
      <c r="D5364" s="35" t="s">
        <v>583</v>
      </c>
      <c r="E5364" s="36">
        <v>2.5</v>
      </c>
      <c r="F5364" s="30">
        <v>21.584</v>
      </c>
      <c r="G5364" s="53">
        <f t="shared" si="518"/>
        <v>53.96</v>
      </c>
      <c r="H5364" s="72"/>
      <c r="I5364" s="73"/>
      <c r="J5364" s="152">
        <v>0</v>
      </c>
      <c r="L5364" s="215">
        <v>2.5</v>
      </c>
      <c r="M5364" s="30">
        <v>18.475904</v>
      </c>
      <c r="N5364" s="53">
        <f t="shared" si="519"/>
        <v>46.18976</v>
      </c>
      <c r="O5364" s="72"/>
      <c r="P5364" s="36" t="str">
        <f t="shared" si="514"/>
        <v/>
      </c>
      <c r="Q5364" s="216">
        <f t="shared" si="515"/>
        <v>0.14400000000000002</v>
      </c>
      <c r="R5364" s="216">
        <f t="shared" si="516"/>
        <v>0.14400000000000002</v>
      </c>
      <c r="S5364" s="217" t="str">
        <f t="shared" si="517"/>
        <v/>
      </c>
    </row>
    <row r="5365" spans="1:19" ht="15.75" hidden="1" thickBot="1" x14ac:dyDescent="0.3">
      <c r="A5365" s="257"/>
      <c r="B5365" s="260"/>
      <c r="C5365" s="35" t="s">
        <v>1018</v>
      </c>
      <c r="D5365" s="35" t="s">
        <v>583</v>
      </c>
      <c r="E5365" s="36">
        <v>2.5</v>
      </c>
      <c r="F5365" s="30">
        <v>27.835000000000001</v>
      </c>
      <c r="G5365" s="53">
        <f t="shared" si="518"/>
        <v>69.587500000000006</v>
      </c>
      <c r="H5365" s="72"/>
      <c r="I5365" s="73"/>
      <c r="J5365" s="152">
        <v>0</v>
      </c>
      <c r="L5365" s="215">
        <v>2.5</v>
      </c>
      <c r="M5365" s="30">
        <v>23.82676</v>
      </c>
      <c r="N5365" s="53">
        <f t="shared" si="519"/>
        <v>59.566900000000004</v>
      </c>
      <c r="O5365" s="72"/>
      <c r="P5365" s="36" t="str">
        <f t="shared" si="514"/>
        <v/>
      </c>
      <c r="Q5365" s="216">
        <f t="shared" si="515"/>
        <v>0.14400000000000002</v>
      </c>
      <c r="R5365" s="216">
        <f t="shared" si="516"/>
        <v>0.14400000000000002</v>
      </c>
      <c r="S5365" s="217" t="str">
        <f t="shared" si="517"/>
        <v/>
      </c>
    </row>
    <row r="5366" spans="1:19" ht="15.75" hidden="1" thickBot="1" x14ac:dyDescent="0.3">
      <c r="A5366" s="257"/>
      <c r="B5366" s="260"/>
      <c r="C5366" s="35"/>
      <c r="D5366" s="46"/>
      <c r="E5366" s="36"/>
      <c r="F5366" s="53" t="s">
        <v>416</v>
      </c>
      <c r="G5366" s="53" t="str">
        <f t="shared" si="518"/>
        <v/>
      </c>
      <c r="H5366" s="72"/>
      <c r="I5366" s="73"/>
      <c r="J5366" s="152">
        <v>0</v>
      </c>
      <c r="L5366" s="215"/>
      <c r="M5366" s="53"/>
      <c r="N5366" s="53" t="str">
        <f t="shared" si="519"/>
        <v/>
      </c>
      <c r="O5366" s="72"/>
      <c r="P5366" s="36" t="str">
        <f t="shared" si="514"/>
        <v/>
      </c>
      <c r="Q5366" s="216" t="str">
        <f t="shared" si="515"/>
        <v/>
      </c>
      <c r="R5366" s="216" t="str">
        <f t="shared" si="516"/>
        <v/>
      </c>
      <c r="S5366" s="217" t="str">
        <f t="shared" si="517"/>
        <v/>
      </c>
    </row>
    <row r="5367" spans="1:19" ht="15.75" hidden="1" thickBot="1" x14ac:dyDescent="0.3">
      <c r="A5367" s="256" t="s">
        <v>3274</v>
      </c>
      <c r="B5367" s="259" t="str">
        <f>INDEX(Orçamentária!A:B,MATCH(Composições!A5367,Orçamentária!A:A,0),2)</f>
        <v>Eletroduto PEAD 5”</v>
      </c>
      <c r="C5367" s="40"/>
      <c r="D5367" s="25" t="s">
        <v>69</v>
      </c>
      <c r="E5367" s="26"/>
      <c r="F5367" s="41" t="s">
        <v>416</v>
      </c>
      <c r="G5367" s="27" t="str">
        <f t="shared" si="518"/>
        <v/>
      </c>
      <c r="H5367" s="28"/>
      <c r="I5367" s="29"/>
      <c r="J5367" s="152">
        <v>0</v>
      </c>
      <c r="L5367" s="218"/>
      <c r="M5367" s="41"/>
      <c r="N5367" s="27" t="str">
        <f t="shared" si="519"/>
        <v/>
      </c>
      <c r="O5367" s="28"/>
      <c r="P5367" s="36" t="str">
        <f t="shared" si="514"/>
        <v/>
      </c>
      <c r="Q5367" s="216" t="str">
        <f t="shared" si="515"/>
        <v/>
      </c>
      <c r="R5367" s="216" t="str">
        <f t="shared" si="516"/>
        <v/>
      </c>
      <c r="S5367" s="217" t="str">
        <f t="shared" si="517"/>
        <v/>
      </c>
    </row>
    <row r="5368" spans="1:19" ht="15.75" hidden="1" thickBot="1" x14ac:dyDescent="0.3">
      <c r="A5368" s="262"/>
      <c r="B5368" s="260"/>
      <c r="C5368" s="31"/>
      <c r="D5368" s="31"/>
      <c r="E5368" s="32"/>
      <c r="F5368" s="42" t="s">
        <v>416</v>
      </c>
      <c r="G5368" s="30" t="str">
        <f t="shared" si="518"/>
        <v/>
      </c>
      <c r="H5368" s="34"/>
      <c r="I5368" s="30"/>
      <c r="J5368" s="152">
        <v>0</v>
      </c>
      <c r="L5368" s="219"/>
      <c r="M5368" s="42"/>
      <c r="N5368" s="30" t="str">
        <f t="shared" si="519"/>
        <v/>
      </c>
      <c r="O5368" s="34"/>
      <c r="P5368" s="36" t="str">
        <f t="shared" si="514"/>
        <v/>
      </c>
      <c r="Q5368" s="216" t="str">
        <f t="shared" si="515"/>
        <v/>
      </c>
      <c r="R5368" s="216" t="str">
        <f t="shared" si="516"/>
        <v/>
      </c>
      <c r="S5368" s="217" t="str">
        <f t="shared" si="517"/>
        <v/>
      </c>
    </row>
    <row r="5369" spans="1:19" ht="39" hidden="1" thickBot="1" x14ac:dyDescent="0.3">
      <c r="A5369" s="262"/>
      <c r="B5369" s="260"/>
      <c r="C5369" s="35" t="s">
        <v>5563</v>
      </c>
      <c r="D5369" s="35" t="s">
        <v>385</v>
      </c>
      <c r="E5369" s="36">
        <v>1.1000000000000001</v>
      </c>
      <c r="F5369" s="30">
        <v>0</v>
      </c>
      <c r="G5369" s="33">
        <f t="shared" si="518"/>
        <v>0</v>
      </c>
      <c r="H5369" s="38">
        <f>SUM(G5369:G5371)</f>
        <v>11.36637</v>
      </c>
      <c r="I5369" s="39"/>
      <c r="J5369" s="152">
        <v>0</v>
      </c>
      <c r="L5369" s="215">
        <v>1.1000000000000001</v>
      </c>
      <c r="M5369" s="30">
        <v>0</v>
      </c>
      <c r="N5369" s="33">
        <f t="shared" si="519"/>
        <v>0</v>
      </c>
      <c r="O5369" s="38">
        <f>SUM(N5369:N5371)</f>
        <v>9.7296127200000004</v>
      </c>
      <c r="P5369" s="36" t="str">
        <f t="shared" si="514"/>
        <v/>
      </c>
      <c r="Q5369" s="216" t="e">
        <f t="shared" si="515"/>
        <v>#DIV/0!</v>
      </c>
      <c r="R5369" s="216" t="e">
        <f t="shared" si="516"/>
        <v>#DIV/0!</v>
      </c>
      <c r="S5369" s="217">
        <f t="shared" si="517"/>
        <v>0.14399999999999991</v>
      </c>
    </row>
    <row r="5370" spans="1:19" ht="15.75" hidden="1" thickBot="1" x14ac:dyDescent="0.3">
      <c r="A5370" s="262"/>
      <c r="B5370" s="260"/>
      <c r="C5370" s="35" t="s">
        <v>1017</v>
      </c>
      <c r="D5370" s="35" t="s">
        <v>583</v>
      </c>
      <c r="E5370" s="36">
        <v>0.23</v>
      </c>
      <c r="F5370" s="30">
        <v>21.584</v>
      </c>
      <c r="G5370" s="33">
        <f t="shared" si="518"/>
        <v>4.9643199999999998</v>
      </c>
      <c r="H5370" s="34"/>
      <c r="I5370" s="30"/>
      <c r="J5370" s="152">
        <v>0</v>
      </c>
      <c r="L5370" s="215">
        <v>0.23</v>
      </c>
      <c r="M5370" s="30">
        <v>18.475904</v>
      </c>
      <c r="N5370" s="33">
        <f t="shared" si="519"/>
        <v>4.2494579200000002</v>
      </c>
      <c r="O5370" s="34"/>
      <c r="P5370" s="36" t="str">
        <f t="shared" si="514"/>
        <v/>
      </c>
      <c r="Q5370" s="216">
        <f t="shared" si="515"/>
        <v>0.14400000000000002</v>
      </c>
      <c r="R5370" s="216">
        <f t="shared" si="516"/>
        <v>0.14399999999999991</v>
      </c>
      <c r="S5370" s="217" t="str">
        <f t="shared" si="517"/>
        <v/>
      </c>
    </row>
    <row r="5371" spans="1:19" ht="15.75" hidden="1" thickBot="1" x14ac:dyDescent="0.3">
      <c r="A5371" s="262"/>
      <c r="B5371" s="260"/>
      <c r="C5371" s="35" t="s">
        <v>1018</v>
      </c>
      <c r="D5371" s="35" t="s">
        <v>583</v>
      </c>
      <c r="E5371" s="36">
        <v>0.23</v>
      </c>
      <c r="F5371" s="33">
        <v>27.835000000000001</v>
      </c>
      <c r="G5371" s="30">
        <f t="shared" si="518"/>
        <v>6.4020500000000009</v>
      </c>
      <c r="H5371" s="34"/>
      <c r="I5371" s="30"/>
      <c r="J5371" s="152">
        <v>0</v>
      </c>
      <c r="L5371" s="215">
        <v>0.23</v>
      </c>
      <c r="M5371" s="33">
        <v>23.82676</v>
      </c>
      <c r="N5371" s="30">
        <f t="shared" si="519"/>
        <v>5.4801548000000002</v>
      </c>
      <c r="O5371" s="34"/>
      <c r="P5371" s="36" t="str">
        <f t="shared" si="514"/>
        <v/>
      </c>
      <c r="Q5371" s="216">
        <f t="shared" si="515"/>
        <v>0.14400000000000002</v>
      </c>
      <c r="R5371" s="216">
        <f t="shared" si="516"/>
        <v>0.14400000000000013</v>
      </c>
      <c r="S5371" s="217" t="str">
        <f t="shared" si="517"/>
        <v/>
      </c>
    </row>
    <row r="5372" spans="1:19" ht="15.75" hidden="1" thickBot="1" x14ac:dyDescent="0.3">
      <c r="A5372" s="263"/>
      <c r="B5372" s="261"/>
      <c r="C5372" s="35"/>
      <c r="D5372" s="35"/>
      <c r="E5372" s="36"/>
      <c r="F5372" s="30" t="s">
        <v>416</v>
      </c>
      <c r="G5372" s="30" t="str">
        <f t="shared" si="518"/>
        <v/>
      </c>
      <c r="H5372" s="34"/>
      <c r="I5372" s="30"/>
      <c r="J5372" s="152">
        <v>0</v>
      </c>
      <c r="L5372" s="215"/>
      <c r="M5372" s="30"/>
      <c r="N5372" s="30" t="str">
        <f t="shared" si="519"/>
        <v/>
      </c>
      <c r="O5372" s="34"/>
      <c r="P5372" s="36" t="str">
        <f t="shared" si="514"/>
        <v/>
      </c>
      <c r="Q5372" s="216" t="str">
        <f t="shared" si="515"/>
        <v/>
      </c>
      <c r="R5372" s="216" t="str">
        <f t="shared" si="516"/>
        <v/>
      </c>
      <c r="S5372" s="217" t="str">
        <f t="shared" si="517"/>
        <v/>
      </c>
    </row>
    <row r="5373" spans="1:19" ht="15.75" hidden="1" thickBot="1" x14ac:dyDescent="0.3">
      <c r="A5373" s="256" t="s">
        <v>3276</v>
      </c>
      <c r="B5373" s="259" t="str">
        <f>INDEX(Orçamentária!A:B,MATCH(Composições!A5373,Orçamentária!A:A,0),2)</f>
        <v>Interruptor duplo para condulete</v>
      </c>
      <c r="C5373" s="40"/>
      <c r="D5373" s="25" t="s">
        <v>16</v>
      </c>
      <c r="E5373" s="26"/>
      <c r="F5373" s="41" t="s">
        <v>416</v>
      </c>
      <c r="G5373" s="27" t="str">
        <f t="shared" si="518"/>
        <v/>
      </c>
      <c r="H5373" s="28"/>
      <c r="I5373" s="29"/>
      <c r="J5373" s="152">
        <v>0</v>
      </c>
      <c r="L5373" s="218"/>
      <c r="M5373" s="41"/>
      <c r="N5373" s="27" t="str">
        <f t="shared" si="519"/>
        <v/>
      </c>
      <c r="O5373" s="28"/>
      <c r="P5373" s="36" t="str">
        <f t="shared" si="514"/>
        <v/>
      </c>
      <c r="Q5373" s="216" t="str">
        <f t="shared" si="515"/>
        <v/>
      </c>
      <c r="R5373" s="216" t="str">
        <f t="shared" si="516"/>
        <v/>
      </c>
      <c r="S5373" s="217" t="str">
        <f t="shared" si="517"/>
        <v/>
      </c>
    </row>
    <row r="5374" spans="1:19" ht="15.75" hidden="1" thickBot="1" x14ac:dyDescent="0.3">
      <c r="A5374" s="262"/>
      <c r="B5374" s="260"/>
      <c r="C5374" s="31"/>
      <c r="D5374" s="31"/>
      <c r="E5374" s="32"/>
      <c r="F5374" s="42" t="s">
        <v>416</v>
      </c>
      <c r="G5374" s="30" t="str">
        <f t="shared" si="518"/>
        <v/>
      </c>
      <c r="H5374" s="34"/>
      <c r="I5374" s="30"/>
      <c r="J5374" s="152">
        <v>0</v>
      </c>
      <c r="L5374" s="219"/>
      <c r="M5374" s="42"/>
      <c r="N5374" s="30" t="str">
        <f t="shared" si="519"/>
        <v/>
      </c>
      <c r="O5374" s="34"/>
      <c r="P5374" s="36" t="str">
        <f t="shared" si="514"/>
        <v/>
      </c>
      <c r="Q5374" s="216" t="str">
        <f t="shared" si="515"/>
        <v/>
      </c>
      <c r="R5374" s="216" t="str">
        <f t="shared" si="516"/>
        <v/>
      </c>
      <c r="S5374" s="217" t="str">
        <f t="shared" si="517"/>
        <v/>
      </c>
    </row>
    <row r="5375" spans="1:19" ht="15.75" hidden="1" thickBot="1" x14ac:dyDescent="0.3">
      <c r="A5375" s="262"/>
      <c r="B5375" s="260"/>
      <c r="C5375" s="35" t="s">
        <v>1018</v>
      </c>
      <c r="D5375" s="35" t="s">
        <v>583</v>
      </c>
      <c r="E5375" s="36">
        <f>0.3/2</f>
        <v>0.15</v>
      </c>
      <c r="F5375" s="30">
        <v>27.835000000000001</v>
      </c>
      <c r="G5375" s="33">
        <f t="shared" si="518"/>
        <v>4.1752500000000001</v>
      </c>
      <c r="H5375" s="38">
        <f>SUM(G5375:G5378)</f>
        <v>13.62285</v>
      </c>
      <c r="I5375" s="39"/>
      <c r="J5375" s="152">
        <v>0</v>
      </c>
      <c r="L5375" s="215">
        <v>0.15</v>
      </c>
      <c r="M5375" s="30">
        <v>23.82676</v>
      </c>
      <c r="N5375" s="33">
        <f t="shared" si="519"/>
        <v>3.574014</v>
      </c>
      <c r="O5375" s="38">
        <f>SUM(N5375:N5378)</f>
        <v>11.661159600000001</v>
      </c>
      <c r="P5375" s="36" t="str">
        <f t="shared" si="514"/>
        <v/>
      </c>
      <c r="Q5375" s="216">
        <f t="shared" si="515"/>
        <v>0.14400000000000002</v>
      </c>
      <c r="R5375" s="216">
        <f t="shared" si="516"/>
        <v>0.14400000000000002</v>
      </c>
      <c r="S5375" s="217">
        <f t="shared" si="517"/>
        <v>0.14399999999999991</v>
      </c>
    </row>
    <row r="5376" spans="1:19" ht="15.75" hidden="1" thickBot="1" x14ac:dyDescent="0.3">
      <c r="A5376" s="262"/>
      <c r="B5376" s="260"/>
      <c r="C5376" s="35" t="s">
        <v>1017</v>
      </c>
      <c r="D5376" s="35" t="s">
        <v>583</v>
      </c>
      <c r="E5376" s="36">
        <f>0.3/2</f>
        <v>0.15</v>
      </c>
      <c r="F5376" s="30">
        <v>21.584</v>
      </c>
      <c r="G5376" s="33">
        <f t="shared" si="518"/>
        <v>3.2376</v>
      </c>
      <c r="H5376" s="34"/>
      <c r="I5376" s="30"/>
      <c r="J5376" s="152">
        <v>0</v>
      </c>
      <c r="L5376" s="215">
        <v>0.15</v>
      </c>
      <c r="M5376" s="30">
        <v>18.475904</v>
      </c>
      <c r="N5376" s="33">
        <f t="shared" si="519"/>
        <v>2.7713855999999999</v>
      </c>
      <c r="O5376" s="34"/>
      <c r="P5376" s="36" t="str">
        <f t="shared" si="514"/>
        <v/>
      </c>
      <c r="Q5376" s="216">
        <f t="shared" si="515"/>
        <v>0.14400000000000002</v>
      </c>
      <c r="R5376" s="216">
        <f t="shared" si="516"/>
        <v>0.14400000000000002</v>
      </c>
      <c r="S5376" s="217" t="str">
        <f t="shared" si="517"/>
        <v/>
      </c>
    </row>
    <row r="5377" spans="1:19" ht="26.25" hidden="1" thickBot="1" x14ac:dyDescent="0.3">
      <c r="A5377" s="262"/>
      <c r="B5377" s="260"/>
      <c r="C5377" s="35" t="s">
        <v>403</v>
      </c>
      <c r="D5377" s="35" t="s">
        <v>16</v>
      </c>
      <c r="E5377" s="36">
        <v>1</v>
      </c>
      <c r="F5377" s="33">
        <v>6.21</v>
      </c>
      <c r="G5377" s="33">
        <f t="shared" si="518"/>
        <v>6.21</v>
      </c>
      <c r="H5377" s="34"/>
      <c r="I5377" s="30"/>
      <c r="J5377" s="152">
        <v>0</v>
      </c>
      <c r="L5377" s="215">
        <v>1</v>
      </c>
      <c r="M5377" s="33">
        <v>5.31576</v>
      </c>
      <c r="N5377" s="33">
        <f t="shared" si="519"/>
        <v>5.31576</v>
      </c>
      <c r="O5377" s="34"/>
      <c r="P5377" s="36" t="str">
        <f t="shared" si="514"/>
        <v/>
      </c>
      <c r="Q5377" s="216">
        <f t="shared" si="515"/>
        <v>0.14400000000000002</v>
      </c>
      <c r="R5377" s="216">
        <f t="shared" si="516"/>
        <v>0.14400000000000002</v>
      </c>
      <c r="S5377" s="217" t="str">
        <f t="shared" si="517"/>
        <v/>
      </c>
    </row>
    <row r="5378" spans="1:19" ht="26.25" hidden="1" thickBot="1" x14ac:dyDescent="0.3">
      <c r="A5378" s="262"/>
      <c r="B5378" s="260"/>
      <c r="C5378" s="35" t="s">
        <v>5564</v>
      </c>
      <c r="D5378" s="35" t="s">
        <v>16</v>
      </c>
      <c r="E5378" s="36">
        <v>1</v>
      </c>
      <c r="F5378" s="33" t="s">
        <v>416</v>
      </c>
      <c r="G5378" s="30" t="str">
        <f t="shared" si="518"/>
        <v/>
      </c>
      <c r="H5378" s="34"/>
      <c r="I5378" s="30"/>
      <c r="J5378" s="152">
        <v>0</v>
      </c>
      <c r="L5378" s="215">
        <v>1</v>
      </c>
      <c r="M5378" s="33"/>
      <c r="N5378" s="30" t="str">
        <f t="shared" si="519"/>
        <v/>
      </c>
      <c r="O5378" s="34"/>
      <c r="P5378" s="36" t="str">
        <f t="shared" si="514"/>
        <v/>
      </c>
      <c r="Q5378" s="216" t="str">
        <f t="shared" si="515"/>
        <v/>
      </c>
      <c r="R5378" s="216" t="str">
        <f t="shared" si="516"/>
        <v/>
      </c>
      <c r="S5378" s="217" t="str">
        <f t="shared" si="517"/>
        <v/>
      </c>
    </row>
    <row r="5379" spans="1:19" ht="15.75" hidden="1" thickBot="1" x14ac:dyDescent="0.3">
      <c r="A5379" s="263"/>
      <c r="B5379" s="261"/>
      <c r="C5379" s="35"/>
      <c r="D5379" s="35"/>
      <c r="E5379" s="36"/>
      <c r="F5379" s="30" t="s">
        <v>416</v>
      </c>
      <c r="G5379" s="30" t="str">
        <f t="shared" si="518"/>
        <v/>
      </c>
      <c r="H5379" s="34"/>
      <c r="I5379" s="30"/>
      <c r="J5379" s="152">
        <v>0</v>
      </c>
      <c r="L5379" s="215"/>
      <c r="M5379" s="30"/>
      <c r="N5379" s="30" t="str">
        <f t="shared" si="519"/>
        <v/>
      </c>
      <c r="O5379" s="34"/>
      <c r="P5379" s="36" t="str">
        <f t="shared" si="514"/>
        <v/>
      </c>
      <c r="Q5379" s="216" t="str">
        <f t="shared" si="515"/>
        <v/>
      </c>
      <c r="R5379" s="216" t="str">
        <f t="shared" si="516"/>
        <v/>
      </c>
      <c r="S5379" s="217" t="str">
        <f t="shared" si="517"/>
        <v/>
      </c>
    </row>
    <row r="5380" spans="1:19" ht="15.75" hidden="1" thickBot="1" x14ac:dyDescent="0.3">
      <c r="A5380" s="256" t="s">
        <v>3277</v>
      </c>
      <c r="B5380" s="259" t="str">
        <f>INDEX(Orçamentária!A:B,MATCH(Composições!A5380,Orçamentária!A:A,0),2)</f>
        <v>Leito 400 x 100 mm</v>
      </c>
      <c r="C5380" s="40"/>
      <c r="D5380" s="25" t="s">
        <v>69</v>
      </c>
      <c r="E5380" s="26"/>
      <c r="F5380" s="41" t="s">
        <v>416</v>
      </c>
      <c r="G5380" s="27" t="str">
        <f t="shared" si="518"/>
        <v/>
      </c>
      <c r="H5380" s="28"/>
      <c r="I5380" s="29"/>
      <c r="J5380" s="152">
        <v>0</v>
      </c>
      <c r="L5380" s="218"/>
      <c r="M5380" s="41"/>
      <c r="N5380" s="27" t="str">
        <f t="shared" si="519"/>
        <v/>
      </c>
      <c r="O5380" s="28"/>
      <c r="P5380" s="36" t="str">
        <f t="shared" si="514"/>
        <v/>
      </c>
      <c r="Q5380" s="216" t="str">
        <f t="shared" si="515"/>
        <v/>
      </c>
      <c r="R5380" s="216" t="str">
        <f t="shared" si="516"/>
        <v/>
      </c>
      <c r="S5380" s="217" t="str">
        <f t="shared" si="517"/>
        <v/>
      </c>
    </row>
    <row r="5381" spans="1:19" ht="15.75" hidden="1" thickBot="1" x14ac:dyDescent="0.3">
      <c r="A5381" s="262"/>
      <c r="B5381" s="260"/>
      <c r="C5381" s="31"/>
      <c r="D5381" s="31"/>
      <c r="E5381" s="32"/>
      <c r="F5381" s="42" t="s">
        <v>416</v>
      </c>
      <c r="G5381" s="30" t="str">
        <f t="shared" si="518"/>
        <v/>
      </c>
      <c r="H5381" s="34"/>
      <c r="I5381" s="30"/>
      <c r="J5381" s="152">
        <v>0</v>
      </c>
      <c r="L5381" s="219"/>
      <c r="M5381" s="42"/>
      <c r="N5381" s="30" t="str">
        <f t="shared" si="519"/>
        <v/>
      </c>
      <c r="O5381" s="34"/>
      <c r="P5381" s="36" t="str">
        <f t="shared" si="514"/>
        <v/>
      </c>
      <c r="Q5381" s="216" t="str">
        <f t="shared" si="515"/>
        <v/>
      </c>
      <c r="R5381" s="216" t="str">
        <f t="shared" si="516"/>
        <v/>
      </c>
      <c r="S5381" s="217" t="str">
        <f t="shared" si="517"/>
        <v/>
      </c>
    </row>
    <row r="5382" spans="1:19" ht="15.75" hidden="1" thickBot="1" x14ac:dyDescent="0.3">
      <c r="A5382" s="262"/>
      <c r="B5382" s="260"/>
      <c r="C5382" s="35" t="s">
        <v>1018</v>
      </c>
      <c r="D5382" s="35" t="s">
        <v>583</v>
      </c>
      <c r="E5382" s="36">
        <v>0.6</v>
      </c>
      <c r="F5382" s="30">
        <v>27.835000000000001</v>
      </c>
      <c r="G5382" s="33">
        <f t="shared" si="518"/>
        <v>16.701000000000001</v>
      </c>
      <c r="H5382" s="38">
        <f>SUM(G5382:G5384)</f>
        <v>29.651400000000002</v>
      </c>
      <c r="I5382" s="39"/>
      <c r="J5382" s="152">
        <v>0</v>
      </c>
      <c r="L5382" s="215">
        <v>0.6</v>
      </c>
      <c r="M5382" s="30">
        <v>23.82676</v>
      </c>
      <c r="N5382" s="33">
        <f t="shared" si="519"/>
        <v>14.296056</v>
      </c>
      <c r="O5382" s="38">
        <f>SUM(N5382:N5384)</f>
        <v>25.381598400000001</v>
      </c>
      <c r="P5382" s="36" t="str">
        <f t="shared" si="514"/>
        <v/>
      </c>
      <c r="Q5382" s="216">
        <f t="shared" si="515"/>
        <v>0.14400000000000002</v>
      </c>
      <c r="R5382" s="216">
        <f t="shared" si="516"/>
        <v>0.14400000000000002</v>
      </c>
      <c r="S5382" s="217">
        <f t="shared" si="517"/>
        <v>0.14400000000000002</v>
      </c>
    </row>
    <row r="5383" spans="1:19" ht="15.75" hidden="1" thickBot="1" x14ac:dyDescent="0.3">
      <c r="A5383" s="262"/>
      <c r="B5383" s="260"/>
      <c r="C5383" s="35" t="s">
        <v>1017</v>
      </c>
      <c r="D5383" s="35" t="s">
        <v>583</v>
      </c>
      <c r="E5383" s="36">
        <v>0.6</v>
      </c>
      <c r="F5383" s="30">
        <v>21.584</v>
      </c>
      <c r="G5383" s="33">
        <f t="shared" si="518"/>
        <v>12.9504</v>
      </c>
      <c r="H5383" s="34"/>
      <c r="I5383" s="30"/>
      <c r="J5383" s="152">
        <v>0</v>
      </c>
      <c r="L5383" s="215">
        <v>0.6</v>
      </c>
      <c r="M5383" s="30">
        <v>18.475904</v>
      </c>
      <c r="N5383" s="33">
        <f t="shared" si="519"/>
        <v>11.0855424</v>
      </c>
      <c r="O5383" s="34"/>
      <c r="P5383" s="36" t="str">
        <f t="shared" si="514"/>
        <v/>
      </c>
      <c r="Q5383" s="216">
        <f t="shared" si="515"/>
        <v>0.14400000000000002</v>
      </c>
      <c r="R5383" s="216">
        <f t="shared" si="516"/>
        <v>0.14400000000000002</v>
      </c>
      <c r="S5383" s="217" t="str">
        <f t="shared" si="517"/>
        <v/>
      </c>
    </row>
    <row r="5384" spans="1:19" ht="26.25" hidden="1" thickBot="1" x14ac:dyDescent="0.3">
      <c r="A5384" s="262"/>
      <c r="B5384" s="260"/>
      <c r="C5384" s="35" t="s">
        <v>5565</v>
      </c>
      <c r="D5384" s="35" t="s">
        <v>69</v>
      </c>
      <c r="E5384" s="36">
        <v>1.05</v>
      </c>
      <c r="F5384" s="30" t="s">
        <v>416</v>
      </c>
      <c r="G5384" s="33" t="str">
        <f t="shared" si="518"/>
        <v/>
      </c>
      <c r="H5384" s="34"/>
      <c r="I5384" s="30"/>
      <c r="J5384" s="152">
        <v>0</v>
      </c>
      <c r="L5384" s="215">
        <v>1.05</v>
      </c>
      <c r="M5384" s="30"/>
      <c r="N5384" s="33" t="str">
        <f t="shared" si="519"/>
        <v/>
      </c>
      <c r="O5384" s="34"/>
      <c r="P5384" s="36" t="str">
        <f t="shared" ref="P5384:P5447" si="520">IF(ISBLANK(L5384),"",IF($E5384&lt;&gt;L5384,"SIM",""))</f>
        <v/>
      </c>
      <c r="Q5384" s="216" t="str">
        <f t="shared" ref="Q5384:Q5447" si="521">IF(M5384="","",1-M5384/$F5384)</f>
        <v/>
      </c>
      <c r="R5384" s="216" t="str">
        <f t="shared" ref="R5384:R5447" si="522">IF(N5384="","",1-N5384/$G5384)</f>
        <v/>
      </c>
      <c r="S5384" s="217" t="str">
        <f t="shared" ref="S5384:S5447" si="523">IF(O5384="","",1-O5384/$H5384)</f>
        <v/>
      </c>
    </row>
    <row r="5385" spans="1:19" ht="15.75" hidden="1" thickBot="1" x14ac:dyDescent="0.3">
      <c r="A5385" s="263"/>
      <c r="B5385" s="261"/>
      <c r="C5385" s="35"/>
      <c r="D5385" s="35"/>
      <c r="E5385" s="36"/>
      <c r="F5385" s="30" t="s">
        <v>416</v>
      </c>
      <c r="G5385" s="30" t="str">
        <f t="shared" si="518"/>
        <v/>
      </c>
      <c r="H5385" s="34"/>
      <c r="I5385" s="30"/>
      <c r="J5385" s="152">
        <v>0</v>
      </c>
      <c r="L5385" s="215"/>
      <c r="M5385" s="30"/>
      <c r="N5385" s="30" t="str">
        <f t="shared" si="519"/>
        <v/>
      </c>
      <c r="O5385" s="34"/>
      <c r="P5385" s="36" t="str">
        <f t="shared" si="520"/>
        <v/>
      </c>
      <c r="Q5385" s="216" t="str">
        <f t="shared" si="521"/>
        <v/>
      </c>
      <c r="R5385" s="216" t="str">
        <f t="shared" si="522"/>
        <v/>
      </c>
      <c r="S5385" s="217" t="str">
        <f t="shared" si="523"/>
        <v/>
      </c>
    </row>
    <row r="5386" spans="1:19" ht="15.75" hidden="1" thickBot="1" x14ac:dyDescent="0.3">
      <c r="A5386" s="256" t="s">
        <v>3278</v>
      </c>
      <c r="B5386" s="259" t="str">
        <f>INDEX(Orçamentária!A:B,MATCH(Composições!A5386,Orçamentária!A:A,0),2)</f>
        <v>Leito 600 x 100 mm</v>
      </c>
      <c r="C5386" s="40"/>
      <c r="D5386" s="25" t="s">
        <v>69</v>
      </c>
      <c r="E5386" s="26"/>
      <c r="F5386" s="41" t="s">
        <v>416</v>
      </c>
      <c r="G5386" s="27" t="str">
        <f t="shared" si="518"/>
        <v/>
      </c>
      <c r="H5386" s="28"/>
      <c r="I5386" s="29"/>
      <c r="J5386" s="152">
        <v>0</v>
      </c>
      <c r="L5386" s="218"/>
      <c r="M5386" s="41"/>
      <c r="N5386" s="27" t="str">
        <f t="shared" si="519"/>
        <v/>
      </c>
      <c r="O5386" s="28"/>
      <c r="P5386" s="36" t="str">
        <f t="shared" si="520"/>
        <v/>
      </c>
      <c r="Q5386" s="216" t="str">
        <f t="shared" si="521"/>
        <v/>
      </c>
      <c r="R5386" s="216" t="str">
        <f t="shared" si="522"/>
        <v/>
      </c>
      <c r="S5386" s="217" t="str">
        <f t="shared" si="523"/>
        <v/>
      </c>
    </row>
    <row r="5387" spans="1:19" ht="15.75" hidden="1" thickBot="1" x14ac:dyDescent="0.3">
      <c r="A5387" s="262"/>
      <c r="B5387" s="260"/>
      <c r="C5387" s="31"/>
      <c r="D5387" s="31"/>
      <c r="E5387" s="32"/>
      <c r="F5387" s="42" t="s">
        <v>416</v>
      </c>
      <c r="G5387" s="30" t="str">
        <f t="shared" si="518"/>
        <v/>
      </c>
      <c r="H5387" s="34"/>
      <c r="I5387" s="30"/>
      <c r="J5387" s="152">
        <v>0</v>
      </c>
      <c r="L5387" s="219"/>
      <c r="M5387" s="42"/>
      <c r="N5387" s="30" t="str">
        <f t="shared" si="519"/>
        <v/>
      </c>
      <c r="O5387" s="34"/>
      <c r="P5387" s="36" t="str">
        <f t="shared" si="520"/>
        <v/>
      </c>
      <c r="Q5387" s="216" t="str">
        <f t="shared" si="521"/>
        <v/>
      </c>
      <c r="R5387" s="216" t="str">
        <f t="shared" si="522"/>
        <v/>
      </c>
      <c r="S5387" s="217" t="str">
        <f t="shared" si="523"/>
        <v/>
      </c>
    </row>
    <row r="5388" spans="1:19" ht="15.75" hidden="1" thickBot="1" x14ac:dyDescent="0.3">
      <c r="A5388" s="262"/>
      <c r="B5388" s="260"/>
      <c r="C5388" s="35" t="s">
        <v>1018</v>
      </c>
      <c r="D5388" s="35" t="s">
        <v>583</v>
      </c>
      <c r="E5388" s="36">
        <v>0.7</v>
      </c>
      <c r="F5388" s="30">
        <v>27.835000000000001</v>
      </c>
      <c r="G5388" s="33">
        <f t="shared" si="518"/>
        <v>19.484500000000001</v>
      </c>
      <c r="H5388" s="38">
        <f>SUM(G5388:G5390)</f>
        <v>34.593299999999999</v>
      </c>
      <c r="I5388" s="39"/>
      <c r="J5388" s="152">
        <v>0</v>
      </c>
      <c r="L5388" s="215">
        <v>0.7</v>
      </c>
      <c r="M5388" s="30">
        <v>23.82676</v>
      </c>
      <c r="N5388" s="33">
        <f t="shared" si="519"/>
        <v>16.678732</v>
      </c>
      <c r="O5388" s="38">
        <f>SUM(N5388:N5390)</f>
        <v>29.611864799999999</v>
      </c>
      <c r="P5388" s="36" t="str">
        <f t="shared" si="520"/>
        <v/>
      </c>
      <c r="Q5388" s="216">
        <f t="shared" si="521"/>
        <v>0.14400000000000002</v>
      </c>
      <c r="R5388" s="216">
        <f t="shared" si="522"/>
        <v>0.14400000000000002</v>
      </c>
      <c r="S5388" s="217">
        <f t="shared" si="523"/>
        <v>0.14400000000000002</v>
      </c>
    </row>
    <row r="5389" spans="1:19" ht="15.75" hidden="1" thickBot="1" x14ac:dyDescent="0.3">
      <c r="A5389" s="262"/>
      <c r="B5389" s="260"/>
      <c r="C5389" s="35" t="s">
        <v>1017</v>
      </c>
      <c r="D5389" s="35" t="s">
        <v>583</v>
      </c>
      <c r="E5389" s="36">
        <v>0.7</v>
      </c>
      <c r="F5389" s="30">
        <v>21.584</v>
      </c>
      <c r="G5389" s="33">
        <f t="shared" si="518"/>
        <v>15.108799999999999</v>
      </c>
      <c r="H5389" s="34"/>
      <c r="I5389" s="30"/>
      <c r="J5389" s="152">
        <v>0</v>
      </c>
      <c r="L5389" s="215">
        <v>0.7</v>
      </c>
      <c r="M5389" s="30">
        <v>18.475904</v>
      </c>
      <c r="N5389" s="33">
        <f t="shared" si="519"/>
        <v>12.933132799999999</v>
      </c>
      <c r="O5389" s="34"/>
      <c r="P5389" s="36" t="str">
        <f t="shared" si="520"/>
        <v/>
      </c>
      <c r="Q5389" s="216">
        <f t="shared" si="521"/>
        <v>0.14400000000000002</v>
      </c>
      <c r="R5389" s="216">
        <f t="shared" si="522"/>
        <v>0.14400000000000002</v>
      </c>
      <c r="S5389" s="217" t="str">
        <f t="shared" si="523"/>
        <v/>
      </c>
    </row>
    <row r="5390" spans="1:19" ht="26.25" hidden="1" thickBot="1" x14ac:dyDescent="0.3">
      <c r="A5390" s="262"/>
      <c r="B5390" s="260"/>
      <c r="C5390" s="35" t="s">
        <v>5566</v>
      </c>
      <c r="D5390" s="35" t="s">
        <v>69</v>
      </c>
      <c r="E5390" s="36">
        <v>1.05</v>
      </c>
      <c r="F5390" s="30" t="s">
        <v>416</v>
      </c>
      <c r="G5390" s="33" t="str">
        <f t="shared" si="518"/>
        <v/>
      </c>
      <c r="H5390" s="34"/>
      <c r="I5390" s="30"/>
      <c r="J5390" s="152">
        <v>0</v>
      </c>
      <c r="L5390" s="215">
        <v>1.05</v>
      </c>
      <c r="M5390" s="30"/>
      <c r="N5390" s="33" t="str">
        <f t="shared" si="519"/>
        <v/>
      </c>
      <c r="O5390" s="34"/>
      <c r="P5390" s="36" t="str">
        <f t="shared" si="520"/>
        <v/>
      </c>
      <c r="Q5390" s="216" t="str">
        <f t="shared" si="521"/>
        <v/>
      </c>
      <c r="R5390" s="216" t="str">
        <f t="shared" si="522"/>
        <v/>
      </c>
      <c r="S5390" s="217" t="str">
        <f t="shared" si="523"/>
        <v/>
      </c>
    </row>
    <row r="5391" spans="1:19" ht="15.75" hidden="1" thickBot="1" x14ac:dyDescent="0.3">
      <c r="A5391" s="263"/>
      <c r="B5391" s="261"/>
      <c r="C5391" s="35"/>
      <c r="D5391" s="35"/>
      <c r="E5391" s="36"/>
      <c r="F5391" s="30" t="s">
        <v>416</v>
      </c>
      <c r="G5391" s="30" t="str">
        <f t="shared" si="518"/>
        <v/>
      </c>
      <c r="H5391" s="34"/>
      <c r="I5391" s="30"/>
      <c r="J5391" s="152">
        <v>0</v>
      </c>
      <c r="L5391" s="215"/>
      <c r="M5391" s="30"/>
      <c r="N5391" s="30" t="str">
        <f t="shared" si="519"/>
        <v/>
      </c>
      <c r="O5391" s="34"/>
      <c r="P5391" s="36" t="str">
        <f t="shared" si="520"/>
        <v/>
      </c>
      <c r="Q5391" s="216" t="str">
        <f t="shared" si="521"/>
        <v/>
      </c>
      <c r="R5391" s="216" t="str">
        <f t="shared" si="522"/>
        <v/>
      </c>
      <c r="S5391" s="217" t="str">
        <f t="shared" si="523"/>
        <v/>
      </c>
    </row>
    <row r="5392" spans="1:19" ht="15.75" hidden="1" thickBot="1" x14ac:dyDescent="0.3">
      <c r="A5392" s="256" t="s">
        <v>3279</v>
      </c>
      <c r="B5392" s="259" t="str">
        <f>INDEX(Orçamentária!A:B,MATCH(Composições!A5392,Orçamentária!A:A,0),2)</f>
        <v>Luminária 2x28 W hermética de sobrepor</v>
      </c>
      <c r="C5392" s="40"/>
      <c r="D5392" s="25" t="s">
        <v>16</v>
      </c>
      <c r="E5392" s="26"/>
      <c r="F5392" s="41" t="s">
        <v>416</v>
      </c>
      <c r="G5392" s="27" t="str">
        <f t="shared" si="518"/>
        <v/>
      </c>
      <c r="H5392" s="28"/>
      <c r="I5392" s="29"/>
      <c r="J5392" s="152">
        <v>0</v>
      </c>
      <c r="L5392" s="218"/>
      <c r="M5392" s="41"/>
      <c r="N5392" s="27" t="str">
        <f t="shared" si="519"/>
        <v/>
      </c>
      <c r="O5392" s="28"/>
      <c r="P5392" s="36" t="str">
        <f t="shared" si="520"/>
        <v/>
      </c>
      <c r="Q5392" s="216" t="str">
        <f t="shared" si="521"/>
        <v/>
      </c>
      <c r="R5392" s="216" t="str">
        <f t="shared" si="522"/>
        <v/>
      </c>
      <c r="S5392" s="217" t="str">
        <f t="shared" si="523"/>
        <v/>
      </c>
    </row>
    <row r="5393" spans="1:19" ht="15.75" hidden="1" thickBot="1" x14ac:dyDescent="0.3">
      <c r="A5393" s="262"/>
      <c r="B5393" s="260"/>
      <c r="C5393" s="31"/>
      <c r="D5393" s="31"/>
      <c r="E5393" s="32"/>
      <c r="F5393" s="42" t="s">
        <v>416</v>
      </c>
      <c r="G5393" s="30" t="str">
        <f t="shared" si="518"/>
        <v/>
      </c>
      <c r="H5393" s="34"/>
      <c r="I5393" s="30"/>
      <c r="J5393" s="152">
        <v>0</v>
      </c>
      <c r="L5393" s="219"/>
      <c r="M5393" s="42"/>
      <c r="N5393" s="30" t="str">
        <f t="shared" si="519"/>
        <v/>
      </c>
      <c r="O5393" s="34"/>
      <c r="P5393" s="36" t="str">
        <f t="shared" si="520"/>
        <v/>
      </c>
      <c r="Q5393" s="216" t="str">
        <f t="shared" si="521"/>
        <v/>
      </c>
      <c r="R5393" s="216" t="str">
        <f t="shared" si="522"/>
        <v/>
      </c>
      <c r="S5393" s="217" t="str">
        <f t="shared" si="523"/>
        <v/>
      </c>
    </row>
    <row r="5394" spans="1:19" ht="51.75" hidden="1" thickBot="1" x14ac:dyDescent="0.3">
      <c r="A5394" s="262"/>
      <c r="B5394" s="260"/>
      <c r="C5394" s="35" t="s">
        <v>5567</v>
      </c>
      <c r="D5394" s="35" t="s">
        <v>107</v>
      </c>
      <c r="E5394" s="36">
        <v>1</v>
      </c>
      <c r="F5394" s="33" t="s">
        <v>416</v>
      </c>
      <c r="G5394" s="30" t="str">
        <f t="shared" si="518"/>
        <v/>
      </c>
      <c r="H5394" s="38">
        <f>SUM(G5394:G5398)</f>
        <v>15.262380800000001</v>
      </c>
      <c r="I5394" s="39"/>
      <c r="J5394" s="152">
        <v>0</v>
      </c>
      <c r="L5394" s="215">
        <v>1</v>
      </c>
      <c r="M5394" s="33"/>
      <c r="N5394" s="30" t="str">
        <f t="shared" si="519"/>
        <v/>
      </c>
      <c r="O5394" s="38">
        <f>SUM(N5394:N5398)</f>
        <v>13.064597964799999</v>
      </c>
      <c r="P5394" s="36" t="str">
        <f t="shared" si="520"/>
        <v/>
      </c>
      <c r="Q5394" s="216" t="str">
        <f t="shared" si="521"/>
        <v/>
      </c>
      <c r="R5394" s="216" t="str">
        <f t="shared" si="522"/>
        <v/>
      </c>
      <c r="S5394" s="217">
        <f t="shared" si="523"/>
        <v>0.14400000000000013</v>
      </c>
    </row>
    <row r="5395" spans="1:19" ht="26.25" hidden="1" thickBot="1" x14ac:dyDescent="0.3">
      <c r="A5395" s="262"/>
      <c r="B5395" s="260"/>
      <c r="C5395" s="35" t="s">
        <v>5552</v>
      </c>
      <c r="D5395" s="35" t="s">
        <v>107</v>
      </c>
      <c r="E5395" s="36">
        <v>1</v>
      </c>
      <c r="F5395" s="33" t="s">
        <v>416</v>
      </c>
      <c r="G5395" s="30" t="str">
        <f t="shared" si="518"/>
        <v/>
      </c>
      <c r="H5395" s="44"/>
      <c r="I5395" s="45"/>
      <c r="J5395" s="152">
        <v>0</v>
      </c>
      <c r="L5395" s="215">
        <v>1</v>
      </c>
      <c r="M5395" s="33"/>
      <c r="N5395" s="30" t="str">
        <f t="shared" si="519"/>
        <v/>
      </c>
      <c r="O5395" s="44"/>
      <c r="P5395" s="36" t="str">
        <f t="shared" si="520"/>
        <v/>
      </c>
      <c r="Q5395" s="216" t="str">
        <f t="shared" si="521"/>
        <v/>
      </c>
      <c r="R5395" s="216" t="str">
        <f t="shared" si="522"/>
        <v/>
      </c>
      <c r="S5395" s="217" t="str">
        <f t="shared" si="523"/>
        <v/>
      </c>
    </row>
    <row r="5396" spans="1:19" ht="26.25" hidden="1" thickBot="1" x14ac:dyDescent="0.3">
      <c r="A5396" s="262"/>
      <c r="B5396" s="260"/>
      <c r="C5396" s="35" t="s">
        <v>443</v>
      </c>
      <c r="D5396" s="35" t="s">
        <v>107</v>
      </c>
      <c r="E5396" s="36">
        <v>2</v>
      </c>
      <c r="F5396" s="33" t="s">
        <v>416</v>
      </c>
      <c r="G5396" s="30" t="str">
        <f t="shared" si="518"/>
        <v/>
      </c>
      <c r="H5396" s="44"/>
      <c r="I5396" s="45"/>
      <c r="J5396" s="152">
        <v>0</v>
      </c>
      <c r="L5396" s="215">
        <v>2</v>
      </c>
      <c r="M5396" s="33"/>
      <c r="N5396" s="30" t="str">
        <f t="shared" si="519"/>
        <v/>
      </c>
      <c r="O5396" s="44"/>
      <c r="P5396" s="36" t="str">
        <f t="shared" si="520"/>
        <v/>
      </c>
      <c r="Q5396" s="216" t="str">
        <f t="shared" si="521"/>
        <v/>
      </c>
      <c r="R5396" s="216" t="str">
        <f t="shared" si="522"/>
        <v/>
      </c>
      <c r="S5396" s="217" t="str">
        <f t="shared" si="523"/>
        <v/>
      </c>
    </row>
    <row r="5397" spans="1:19" ht="15.75" hidden="1" thickBot="1" x14ac:dyDescent="0.3">
      <c r="A5397" s="262"/>
      <c r="B5397" s="260"/>
      <c r="C5397" s="35" t="s">
        <v>1017</v>
      </c>
      <c r="D5397" s="35" t="s">
        <v>583</v>
      </c>
      <c r="E5397" s="36">
        <v>0.17269999999999999</v>
      </c>
      <c r="F5397" s="30">
        <v>21.584</v>
      </c>
      <c r="G5397" s="30">
        <f t="shared" si="518"/>
        <v>3.7275567999999999</v>
      </c>
      <c r="H5397" s="34"/>
      <c r="I5397" s="30"/>
      <c r="J5397" s="152">
        <v>0</v>
      </c>
      <c r="L5397" s="215">
        <v>0.17269999999999999</v>
      </c>
      <c r="M5397" s="30">
        <v>18.475904</v>
      </c>
      <c r="N5397" s="30">
        <f t="shared" si="519"/>
        <v>3.1907886207999998</v>
      </c>
      <c r="O5397" s="34"/>
      <c r="P5397" s="36" t="str">
        <f t="shared" si="520"/>
        <v/>
      </c>
      <c r="Q5397" s="216">
        <f t="shared" si="521"/>
        <v>0.14400000000000002</v>
      </c>
      <c r="R5397" s="216">
        <f t="shared" si="522"/>
        <v>0.14400000000000002</v>
      </c>
      <c r="S5397" s="217" t="str">
        <f t="shared" si="523"/>
        <v/>
      </c>
    </row>
    <row r="5398" spans="1:19" ht="15.75" hidden="1" thickBot="1" x14ac:dyDescent="0.3">
      <c r="A5398" s="262"/>
      <c r="B5398" s="260"/>
      <c r="C5398" s="35" t="s">
        <v>1018</v>
      </c>
      <c r="D5398" s="35" t="s">
        <v>583</v>
      </c>
      <c r="E5398" s="36">
        <v>0.41439999999999999</v>
      </c>
      <c r="F5398" s="30">
        <v>27.835000000000001</v>
      </c>
      <c r="G5398" s="30">
        <f t="shared" si="518"/>
        <v>11.534824</v>
      </c>
      <c r="H5398" s="34"/>
      <c r="I5398" s="30"/>
      <c r="J5398" s="152">
        <v>0</v>
      </c>
      <c r="L5398" s="215">
        <v>0.41439999999999999</v>
      </c>
      <c r="M5398" s="30">
        <v>23.82676</v>
      </c>
      <c r="N5398" s="30">
        <f t="shared" si="519"/>
        <v>9.8738093439999997</v>
      </c>
      <c r="O5398" s="34"/>
      <c r="P5398" s="36" t="str">
        <f t="shared" si="520"/>
        <v/>
      </c>
      <c r="Q5398" s="216">
        <f t="shared" si="521"/>
        <v>0.14400000000000002</v>
      </c>
      <c r="R5398" s="216">
        <f t="shared" si="522"/>
        <v>0.14400000000000002</v>
      </c>
      <c r="S5398" s="217" t="str">
        <f t="shared" si="523"/>
        <v/>
      </c>
    </row>
    <row r="5399" spans="1:19" ht="15.75" hidden="1" thickBot="1" x14ac:dyDescent="0.3">
      <c r="A5399" s="263"/>
      <c r="B5399" s="261"/>
      <c r="C5399" s="35"/>
      <c r="D5399" s="35"/>
      <c r="E5399" s="36"/>
      <c r="F5399" s="30" t="s">
        <v>416</v>
      </c>
      <c r="G5399" s="30" t="str">
        <f t="shared" si="518"/>
        <v/>
      </c>
      <c r="H5399" s="34"/>
      <c r="I5399" s="30"/>
      <c r="J5399" s="152">
        <v>0</v>
      </c>
      <c r="L5399" s="215"/>
      <c r="M5399" s="30"/>
      <c r="N5399" s="30" t="str">
        <f t="shared" si="519"/>
        <v/>
      </c>
      <c r="O5399" s="34"/>
      <c r="P5399" s="36" t="str">
        <f t="shared" si="520"/>
        <v/>
      </c>
      <c r="Q5399" s="216" t="str">
        <f t="shared" si="521"/>
        <v/>
      </c>
      <c r="R5399" s="216" t="str">
        <f t="shared" si="522"/>
        <v/>
      </c>
      <c r="S5399" s="217" t="str">
        <f t="shared" si="523"/>
        <v/>
      </c>
    </row>
    <row r="5400" spans="1:19" ht="15.75" hidden="1" thickBot="1" x14ac:dyDescent="0.3">
      <c r="A5400" s="256" t="s">
        <v>3280</v>
      </c>
      <c r="B5400" s="259" t="str">
        <f>INDEX(Orçamentária!A:B,MATCH(Composições!A5400,Orçamentária!A:A,0),2)</f>
        <v xml:space="preserve">Luminária LED para poste 60 W </v>
      </c>
      <c r="C5400" s="40"/>
      <c r="D5400" s="25" t="s">
        <v>16</v>
      </c>
      <c r="E5400" s="26"/>
      <c r="F5400" s="41" t="s">
        <v>416</v>
      </c>
      <c r="G5400" s="27" t="str">
        <f t="shared" si="518"/>
        <v/>
      </c>
      <c r="H5400" s="28"/>
      <c r="I5400" s="29"/>
      <c r="J5400" s="152">
        <v>0</v>
      </c>
      <c r="L5400" s="218"/>
      <c r="M5400" s="41"/>
      <c r="N5400" s="27" t="str">
        <f t="shared" si="519"/>
        <v/>
      </c>
      <c r="O5400" s="28"/>
      <c r="P5400" s="36" t="str">
        <f t="shared" si="520"/>
        <v/>
      </c>
      <c r="Q5400" s="216" t="str">
        <f t="shared" si="521"/>
        <v/>
      </c>
      <c r="R5400" s="216" t="str">
        <f t="shared" si="522"/>
        <v/>
      </c>
      <c r="S5400" s="217" t="str">
        <f t="shared" si="523"/>
        <v/>
      </c>
    </row>
    <row r="5401" spans="1:19" ht="15.75" hidden="1" thickBot="1" x14ac:dyDescent="0.3">
      <c r="A5401" s="262"/>
      <c r="B5401" s="260"/>
      <c r="C5401" s="31"/>
      <c r="D5401" s="31"/>
      <c r="E5401" s="32"/>
      <c r="F5401" s="42" t="s">
        <v>416</v>
      </c>
      <c r="G5401" s="30" t="str">
        <f t="shared" si="518"/>
        <v/>
      </c>
      <c r="H5401" s="34"/>
      <c r="I5401" s="30"/>
      <c r="J5401" s="152">
        <v>0</v>
      </c>
      <c r="L5401" s="219"/>
      <c r="M5401" s="42"/>
      <c r="N5401" s="30" t="str">
        <f t="shared" si="519"/>
        <v/>
      </c>
      <c r="O5401" s="34"/>
      <c r="P5401" s="36" t="str">
        <f t="shared" si="520"/>
        <v/>
      </c>
      <c r="Q5401" s="216" t="str">
        <f t="shared" si="521"/>
        <v/>
      </c>
      <c r="R5401" s="216" t="str">
        <f t="shared" si="522"/>
        <v/>
      </c>
      <c r="S5401" s="217" t="str">
        <f t="shared" si="523"/>
        <v/>
      </c>
    </row>
    <row r="5402" spans="1:19" ht="51.75" hidden="1" thickBot="1" x14ac:dyDescent="0.3">
      <c r="A5402" s="262"/>
      <c r="B5402" s="260"/>
      <c r="C5402" s="35" t="s">
        <v>2864</v>
      </c>
      <c r="D5402" s="35" t="s">
        <v>813</v>
      </c>
      <c r="E5402" s="36">
        <v>0.23880000000000001</v>
      </c>
      <c r="F5402" s="33">
        <v>252.10149999999999</v>
      </c>
      <c r="G5402" s="30">
        <f t="shared" si="518"/>
        <v>60.201838199999997</v>
      </c>
      <c r="H5402" s="38">
        <f>SUM(G5402:G5406)</f>
        <v>444.71779810000004</v>
      </c>
      <c r="I5402" s="39"/>
      <c r="J5402" s="152">
        <v>0</v>
      </c>
      <c r="L5402" s="215">
        <v>0.23880000000000001</v>
      </c>
      <c r="M5402" s="33">
        <v>215.79888399999999</v>
      </c>
      <c r="N5402" s="30">
        <f t="shared" si="519"/>
        <v>51.532773499199998</v>
      </c>
      <c r="O5402" s="38">
        <f>SUM(N5402:N5406)</f>
        <v>380.67843517360001</v>
      </c>
      <c r="P5402" s="36" t="str">
        <f t="shared" si="520"/>
        <v/>
      </c>
      <c r="Q5402" s="216">
        <f t="shared" si="521"/>
        <v>0.14400000000000002</v>
      </c>
      <c r="R5402" s="216">
        <f t="shared" si="522"/>
        <v>0.14400000000000002</v>
      </c>
      <c r="S5402" s="217">
        <f t="shared" si="523"/>
        <v>0.14400000000000002</v>
      </c>
    </row>
    <row r="5403" spans="1:19" ht="26.25" hidden="1" thickBot="1" x14ac:dyDescent="0.3">
      <c r="A5403" s="262"/>
      <c r="B5403" s="260"/>
      <c r="C5403" s="35" t="s">
        <v>8169</v>
      </c>
      <c r="D5403" s="35" t="s">
        <v>213</v>
      </c>
      <c r="E5403" s="36">
        <v>1.4E-2</v>
      </c>
      <c r="F5403" s="33">
        <v>3.9139999999999997</v>
      </c>
      <c r="G5403" s="30">
        <f t="shared" si="518"/>
        <v>5.4795999999999997E-2</v>
      </c>
      <c r="H5403" s="44"/>
      <c r="I5403" s="45"/>
      <c r="J5403" s="152">
        <v>0</v>
      </c>
      <c r="L5403" s="215">
        <v>1.4E-2</v>
      </c>
      <c r="M5403" s="33">
        <v>3.350384</v>
      </c>
      <c r="N5403" s="30">
        <f t="shared" si="519"/>
        <v>4.6905375999999999E-2</v>
      </c>
      <c r="O5403" s="44"/>
      <c r="P5403" s="36" t="str">
        <f t="shared" si="520"/>
        <v/>
      </c>
      <c r="Q5403" s="216">
        <f t="shared" si="521"/>
        <v>0.14399999999999991</v>
      </c>
      <c r="R5403" s="216">
        <f t="shared" si="522"/>
        <v>0.14400000000000002</v>
      </c>
      <c r="S5403" s="217" t="str">
        <f t="shared" si="523"/>
        <v/>
      </c>
    </row>
    <row r="5404" spans="1:19" ht="26.25" hidden="1" thickBot="1" x14ac:dyDescent="0.3">
      <c r="A5404" s="262"/>
      <c r="B5404" s="260"/>
      <c r="C5404" s="35" t="s">
        <v>8230</v>
      </c>
      <c r="D5404" s="35" t="s">
        <v>213</v>
      </c>
      <c r="E5404" s="36">
        <v>1</v>
      </c>
      <c r="F5404" s="33">
        <v>372.69450000000001</v>
      </c>
      <c r="G5404" s="30">
        <f t="shared" si="518"/>
        <v>372.69450000000001</v>
      </c>
      <c r="H5404" s="44"/>
      <c r="I5404" s="45"/>
      <c r="J5404" s="152">
        <v>0</v>
      </c>
      <c r="L5404" s="215">
        <v>1</v>
      </c>
      <c r="M5404" s="33">
        <v>319.02649200000002</v>
      </c>
      <c r="N5404" s="30">
        <f t="shared" si="519"/>
        <v>319.02649200000002</v>
      </c>
      <c r="O5404" s="44"/>
      <c r="P5404" s="36" t="str">
        <f t="shared" si="520"/>
        <v/>
      </c>
      <c r="Q5404" s="216">
        <f t="shared" si="521"/>
        <v>0.14399999999999991</v>
      </c>
      <c r="R5404" s="216">
        <f t="shared" si="522"/>
        <v>0.14399999999999991</v>
      </c>
      <c r="S5404" s="217" t="str">
        <f t="shared" si="523"/>
        <v/>
      </c>
    </row>
    <row r="5405" spans="1:19" ht="15.75" hidden="1" thickBot="1" x14ac:dyDescent="0.3">
      <c r="A5405" s="262"/>
      <c r="B5405" s="260"/>
      <c r="C5405" s="35" t="s">
        <v>1017</v>
      </c>
      <c r="D5405" s="35" t="s">
        <v>583</v>
      </c>
      <c r="E5405" s="36">
        <v>0.23810000000000001</v>
      </c>
      <c r="F5405" s="30">
        <v>21.584</v>
      </c>
      <c r="G5405" s="30">
        <f t="shared" si="518"/>
        <v>5.1391504000000001</v>
      </c>
      <c r="H5405" s="34"/>
      <c r="I5405" s="30"/>
      <c r="J5405" s="152">
        <v>0</v>
      </c>
      <c r="L5405" s="215">
        <v>0.23810000000000001</v>
      </c>
      <c r="M5405" s="30">
        <v>18.475904</v>
      </c>
      <c r="N5405" s="30">
        <f t="shared" si="519"/>
        <v>4.3991127423999998</v>
      </c>
      <c r="O5405" s="34"/>
      <c r="P5405" s="36" t="str">
        <f t="shared" si="520"/>
        <v/>
      </c>
      <c r="Q5405" s="216">
        <f t="shared" si="521"/>
        <v>0.14400000000000002</v>
      </c>
      <c r="R5405" s="216">
        <f t="shared" si="522"/>
        <v>0.14400000000000002</v>
      </c>
      <c r="S5405" s="217" t="str">
        <f t="shared" si="523"/>
        <v/>
      </c>
    </row>
    <row r="5406" spans="1:19" ht="15.75" hidden="1" thickBot="1" x14ac:dyDescent="0.3">
      <c r="A5406" s="262"/>
      <c r="B5406" s="260"/>
      <c r="C5406" s="35" t="s">
        <v>1018</v>
      </c>
      <c r="D5406" s="35" t="s">
        <v>583</v>
      </c>
      <c r="E5406" s="36">
        <v>0.23810000000000001</v>
      </c>
      <c r="F5406" s="30">
        <v>27.835000000000001</v>
      </c>
      <c r="G5406" s="30">
        <f t="shared" si="518"/>
        <v>6.6275135000000001</v>
      </c>
      <c r="H5406" s="34"/>
      <c r="I5406" s="30"/>
      <c r="J5406" s="152">
        <v>0</v>
      </c>
      <c r="L5406" s="215">
        <v>0.23810000000000001</v>
      </c>
      <c r="M5406" s="30">
        <v>23.82676</v>
      </c>
      <c r="N5406" s="30">
        <f t="shared" si="519"/>
        <v>5.6731515560000005</v>
      </c>
      <c r="O5406" s="34"/>
      <c r="P5406" s="36" t="str">
        <f t="shared" si="520"/>
        <v/>
      </c>
      <c r="Q5406" s="216">
        <f t="shared" si="521"/>
        <v>0.14400000000000002</v>
      </c>
      <c r="R5406" s="216">
        <f t="shared" si="522"/>
        <v>0.14399999999999991</v>
      </c>
      <c r="S5406" s="217" t="str">
        <f t="shared" si="523"/>
        <v/>
      </c>
    </row>
    <row r="5407" spans="1:19" ht="15.75" hidden="1" thickBot="1" x14ac:dyDescent="0.3">
      <c r="A5407" s="263"/>
      <c r="B5407" s="261"/>
      <c r="C5407" s="35"/>
      <c r="D5407" s="35"/>
      <c r="E5407" s="36"/>
      <c r="F5407" s="30" t="s">
        <v>416</v>
      </c>
      <c r="G5407" s="30" t="str">
        <f t="shared" si="518"/>
        <v/>
      </c>
      <c r="H5407" s="34"/>
      <c r="I5407" s="30"/>
      <c r="J5407" s="152">
        <v>0</v>
      </c>
      <c r="L5407" s="215"/>
      <c r="M5407" s="30"/>
      <c r="N5407" s="30" t="str">
        <f t="shared" si="519"/>
        <v/>
      </c>
      <c r="O5407" s="34"/>
      <c r="P5407" s="36" t="str">
        <f t="shared" si="520"/>
        <v/>
      </c>
      <c r="Q5407" s="216" t="str">
        <f t="shared" si="521"/>
        <v/>
      </c>
      <c r="R5407" s="216" t="str">
        <f t="shared" si="522"/>
        <v/>
      </c>
      <c r="S5407" s="217" t="str">
        <f t="shared" si="523"/>
        <v/>
      </c>
    </row>
    <row r="5408" spans="1:19" ht="15.75" hidden="1" thickBot="1" x14ac:dyDescent="0.3">
      <c r="A5408" s="256" t="s">
        <v>3281</v>
      </c>
      <c r="B5408" s="259" t="str">
        <f>INDEX(Orçamentária!A:B,MATCH(Composições!A5408,Orçamentária!A:A,0),2)</f>
        <v xml:space="preserve">Luminária LED para poste 120 W </v>
      </c>
      <c r="C5408" s="40"/>
      <c r="D5408" s="25" t="s">
        <v>16</v>
      </c>
      <c r="E5408" s="26"/>
      <c r="F5408" s="41" t="s">
        <v>416</v>
      </c>
      <c r="G5408" s="27" t="str">
        <f t="shared" si="518"/>
        <v/>
      </c>
      <c r="H5408" s="28"/>
      <c r="I5408" s="29"/>
      <c r="J5408" s="152">
        <v>0</v>
      </c>
      <c r="L5408" s="218"/>
      <c r="M5408" s="41"/>
      <c r="N5408" s="27" t="str">
        <f t="shared" si="519"/>
        <v/>
      </c>
      <c r="O5408" s="28"/>
      <c r="P5408" s="36" t="str">
        <f t="shared" si="520"/>
        <v/>
      </c>
      <c r="Q5408" s="216" t="str">
        <f t="shared" si="521"/>
        <v/>
      </c>
      <c r="R5408" s="216" t="str">
        <f t="shared" si="522"/>
        <v/>
      </c>
      <c r="S5408" s="217" t="str">
        <f t="shared" si="523"/>
        <v/>
      </c>
    </row>
    <row r="5409" spans="1:19" ht="15.75" hidden="1" thickBot="1" x14ac:dyDescent="0.3">
      <c r="A5409" s="262"/>
      <c r="B5409" s="260"/>
      <c r="C5409" s="31"/>
      <c r="D5409" s="31"/>
      <c r="E5409" s="32"/>
      <c r="F5409" s="42" t="s">
        <v>416</v>
      </c>
      <c r="G5409" s="30" t="str">
        <f t="shared" si="518"/>
        <v/>
      </c>
      <c r="H5409" s="34"/>
      <c r="I5409" s="30"/>
      <c r="J5409" s="152">
        <v>0</v>
      </c>
      <c r="L5409" s="219"/>
      <c r="M5409" s="42"/>
      <c r="N5409" s="30" t="str">
        <f t="shared" si="519"/>
        <v/>
      </c>
      <c r="O5409" s="34"/>
      <c r="P5409" s="36" t="str">
        <f t="shared" si="520"/>
        <v/>
      </c>
      <c r="Q5409" s="216" t="str">
        <f t="shared" si="521"/>
        <v/>
      </c>
      <c r="R5409" s="216" t="str">
        <f t="shared" si="522"/>
        <v/>
      </c>
      <c r="S5409" s="217" t="str">
        <f t="shared" si="523"/>
        <v/>
      </c>
    </row>
    <row r="5410" spans="1:19" ht="51.75" hidden="1" thickBot="1" x14ac:dyDescent="0.3">
      <c r="A5410" s="262"/>
      <c r="B5410" s="260"/>
      <c r="C5410" s="35" t="s">
        <v>2864</v>
      </c>
      <c r="D5410" s="35" t="s">
        <v>813</v>
      </c>
      <c r="E5410" s="36">
        <v>0.23880000000000001</v>
      </c>
      <c r="F5410" s="33">
        <v>252.10149999999999</v>
      </c>
      <c r="G5410" s="30">
        <f t="shared" si="518"/>
        <v>60.201838199999997</v>
      </c>
      <c r="H5410" s="38">
        <f>SUM(G5410:G5414)</f>
        <v>569.48129809999989</v>
      </c>
      <c r="I5410" s="39"/>
      <c r="J5410" s="152">
        <v>0</v>
      </c>
      <c r="L5410" s="215">
        <v>0.23880000000000001</v>
      </c>
      <c r="M5410" s="33">
        <v>215.79888399999999</v>
      </c>
      <c r="N5410" s="30">
        <f t="shared" si="519"/>
        <v>51.532773499199998</v>
      </c>
      <c r="O5410" s="38">
        <f>SUM(N5410:N5414)</f>
        <v>487.47599117359994</v>
      </c>
      <c r="P5410" s="36" t="str">
        <f t="shared" si="520"/>
        <v/>
      </c>
      <c r="Q5410" s="216">
        <f t="shared" si="521"/>
        <v>0.14400000000000002</v>
      </c>
      <c r="R5410" s="216">
        <f t="shared" si="522"/>
        <v>0.14400000000000002</v>
      </c>
      <c r="S5410" s="217">
        <f t="shared" si="523"/>
        <v>0.14399999999999991</v>
      </c>
    </row>
    <row r="5411" spans="1:19" ht="26.25" hidden="1" thickBot="1" x14ac:dyDescent="0.3">
      <c r="A5411" s="262"/>
      <c r="B5411" s="260"/>
      <c r="C5411" s="35" t="s">
        <v>8169</v>
      </c>
      <c r="D5411" s="35" t="s">
        <v>213</v>
      </c>
      <c r="E5411" s="36">
        <v>1.4E-2</v>
      </c>
      <c r="F5411" s="33">
        <v>3.9139999999999997</v>
      </c>
      <c r="G5411" s="30">
        <f t="shared" si="518"/>
        <v>5.4795999999999997E-2</v>
      </c>
      <c r="H5411" s="44"/>
      <c r="I5411" s="45"/>
      <c r="J5411" s="152">
        <v>0</v>
      </c>
      <c r="L5411" s="215">
        <v>1.4E-2</v>
      </c>
      <c r="M5411" s="33">
        <v>3.350384</v>
      </c>
      <c r="N5411" s="30">
        <f t="shared" si="519"/>
        <v>4.6905375999999999E-2</v>
      </c>
      <c r="O5411" s="44"/>
      <c r="P5411" s="36" t="str">
        <f t="shared" si="520"/>
        <v/>
      </c>
      <c r="Q5411" s="216">
        <f t="shared" si="521"/>
        <v>0.14399999999999991</v>
      </c>
      <c r="R5411" s="216">
        <f t="shared" si="522"/>
        <v>0.14400000000000002</v>
      </c>
      <c r="S5411" s="217" t="str">
        <f t="shared" si="523"/>
        <v/>
      </c>
    </row>
    <row r="5412" spans="1:19" ht="26.25" hidden="1" thickBot="1" x14ac:dyDescent="0.3">
      <c r="A5412" s="262"/>
      <c r="B5412" s="260"/>
      <c r="C5412" s="35" t="s">
        <v>8231</v>
      </c>
      <c r="D5412" s="35" t="s">
        <v>213</v>
      </c>
      <c r="E5412" s="36">
        <v>1</v>
      </c>
      <c r="F5412" s="33">
        <v>497.45799999999997</v>
      </c>
      <c r="G5412" s="30">
        <f t="shared" si="518"/>
        <v>497.45799999999997</v>
      </c>
      <c r="H5412" s="44"/>
      <c r="I5412" s="45"/>
      <c r="J5412" s="152">
        <v>0</v>
      </c>
      <c r="L5412" s="215">
        <v>1</v>
      </c>
      <c r="M5412" s="33">
        <v>425.82404799999995</v>
      </c>
      <c r="N5412" s="30">
        <f t="shared" si="519"/>
        <v>425.82404799999995</v>
      </c>
      <c r="O5412" s="44"/>
      <c r="P5412" s="36" t="str">
        <f t="shared" si="520"/>
        <v/>
      </c>
      <c r="Q5412" s="216">
        <f t="shared" si="521"/>
        <v>0.14400000000000002</v>
      </c>
      <c r="R5412" s="216">
        <f t="shared" si="522"/>
        <v>0.14400000000000002</v>
      </c>
      <c r="S5412" s="217" t="str">
        <f t="shared" si="523"/>
        <v/>
      </c>
    </row>
    <row r="5413" spans="1:19" ht="15.75" hidden="1" thickBot="1" x14ac:dyDescent="0.3">
      <c r="A5413" s="262"/>
      <c r="B5413" s="260"/>
      <c r="C5413" s="35" t="s">
        <v>1017</v>
      </c>
      <c r="D5413" s="35" t="s">
        <v>583</v>
      </c>
      <c r="E5413" s="36">
        <v>0.23810000000000001</v>
      </c>
      <c r="F5413" s="30">
        <v>21.584</v>
      </c>
      <c r="G5413" s="30">
        <f t="shared" si="518"/>
        <v>5.1391504000000001</v>
      </c>
      <c r="H5413" s="34"/>
      <c r="I5413" s="30"/>
      <c r="J5413" s="152">
        <v>0</v>
      </c>
      <c r="L5413" s="215">
        <v>0.23810000000000001</v>
      </c>
      <c r="M5413" s="30">
        <v>18.475904</v>
      </c>
      <c r="N5413" s="30">
        <f t="shared" si="519"/>
        <v>4.3991127423999998</v>
      </c>
      <c r="O5413" s="34"/>
      <c r="P5413" s="36" t="str">
        <f t="shared" si="520"/>
        <v/>
      </c>
      <c r="Q5413" s="216">
        <f t="shared" si="521"/>
        <v>0.14400000000000002</v>
      </c>
      <c r="R5413" s="216">
        <f t="shared" si="522"/>
        <v>0.14400000000000002</v>
      </c>
      <c r="S5413" s="217" t="str">
        <f t="shared" si="523"/>
        <v/>
      </c>
    </row>
    <row r="5414" spans="1:19" ht="15.75" hidden="1" thickBot="1" x14ac:dyDescent="0.3">
      <c r="A5414" s="262"/>
      <c r="B5414" s="260"/>
      <c r="C5414" s="35" t="s">
        <v>1018</v>
      </c>
      <c r="D5414" s="35" t="s">
        <v>583</v>
      </c>
      <c r="E5414" s="36">
        <v>0.23810000000000001</v>
      </c>
      <c r="F5414" s="30">
        <v>27.835000000000001</v>
      </c>
      <c r="G5414" s="30">
        <f t="shared" si="518"/>
        <v>6.6275135000000001</v>
      </c>
      <c r="H5414" s="34"/>
      <c r="I5414" s="30"/>
      <c r="J5414" s="152">
        <v>0</v>
      </c>
      <c r="L5414" s="215">
        <v>0.23810000000000001</v>
      </c>
      <c r="M5414" s="30">
        <v>23.82676</v>
      </c>
      <c r="N5414" s="30">
        <f t="shared" si="519"/>
        <v>5.6731515560000005</v>
      </c>
      <c r="O5414" s="34"/>
      <c r="P5414" s="36" t="str">
        <f t="shared" si="520"/>
        <v/>
      </c>
      <c r="Q5414" s="216">
        <f t="shared" si="521"/>
        <v>0.14400000000000002</v>
      </c>
      <c r="R5414" s="216">
        <f t="shared" si="522"/>
        <v>0.14399999999999991</v>
      </c>
      <c r="S5414" s="217" t="str">
        <f t="shared" si="523"/>
        <v/>
      </c>
    </row>
    <row r="5415" spans="1:19" ht="15.75" hidden="1" thickBot="1" x14ac:dyDescent="0.3">
      <c r="A5415" s="263"/>
      <c r="B5415" s="261"/>
      <c r="C5415" s="35"/>
      <c r="D5415" s="35"/>
      <c r="E5415" s="36"/>
      <c r="F5415" s="30" t="s">
        <v>416</v>
      </c>
      <c r="G5415" s="30" t="str">
        <f t="shared" si="518"/>
        <v/>
      </c>
      <c r="H5415" s="34"/>
      <c r="I5415" s="30"/>
      <c r="J5415" s="152">
        <v>0</v>
      </c>
      <c r="L5415" s="215"/>
      <c r="M5415" s="30"/>
      <c r="N5415" s="30" t="str">
        <f t="shared" si="519"/>
        <v/>
      </c>
      <c r="O5415" s="34"/>
      <c r="P5415" s="36" t="str">
        <f t="shared" si="520"/>
        <v/>
      </c>
      <c r="Q5415" s="216" t="str">
        <f t="shared" si="521"/>
        <v/>
      </c>
      <c r="R5415" s="216" t="str">
        <f t="shared" si="522"/>
        <v/>
      </c>
      <c r="S5415" s="217" t="str">
        <f t="shared" si="523"/>
        <v/>
      </c>
    </row>
    <row r="5416" spans="1:19" ht="15.75" hidden="1" thickBot="1" x14ac:dyDescent="0.3">
      <c r="A5416" s="256" t="s">
        <v>3287</v>
      </c>
      <c r="B5416" s="259" t="str">
        <f>INDEX(Orçamentária!A:B,MATCH(Composições!A5416,Orçamentária!A:A,0),2)</f>
        <v>Poste curvo simples 8 metros</v>
      </c>
      <c r="C5416" s="40"/>
      <c r="D5416" s="25" t="s">
        <v>16</v>
      </c>
      <c r="E5416" s="26"/>
      <c r="F5416" s="41" t="s">
        <v>416</v>
      </c>
      <c r="G5416" s="27" t="str">
        <f t="shared" si="518"/>
        <v/>
      </c>
      <c r="H5416" s="28"/>
      <c r="I5416" s="29"/>
      <c r="J5416" s="152">
        <v>0</v>
      </c>
      <c r="L5416" s="218"/>
      <c r="M5416" s="41"/>
      <c r="N5416" s="27" t="str">
        <f t="shared" si="519"/>
        <v/>
      </c>
      <c r="O5416" s="28"/>
      <c r="P5416" s="36" t="str">
        <f t="shared" si="520"/>
        <v/>
      </c>
      <c r="Q5416" s="216" t="str">
        <f t="shared" si="521"/>
        <v/>
      </c>
      <c r="R5416" s="216" t="str">
        <f t="shared" si="522"/>
        <v/>
      </c>
      <c r="S5416" s="217" t="str">
        <f t="shared" si="523"/>
        <v/>
      </c>
    </row>
    <row r="5417" spans="1:19" ht="15.75" hidden="1" thickBot="1" x14ac:dyDescent="0.3">
      <c r="A5417" s="262"/>
      <c r="B5417" s="260"/>
      <c r="C5417" s="31"/>
      <c r="D5417" s="31"/>
      <c r="E5417" s="32"/>
      <c r="F5417" s="42" t="s">
        <v>416</v>
      </c>
      <c r="G5417" s="30" t="str">
        <f t="shared" si="518"/>
        <v/>
      </c>
      <c r="H5417" s="34"/>
      <c r="I5417" s="30"/>
      <c r="J5417" s="152">
        <v>0</v>
      </c>
      <c r="L5417" s="219"/>
      <c r="M5417" s="42"/>
      <c r="N5417" s="30" t="str">
        <f t="shared" si="519"/>
        <v/>
      </c>
      <c r="O5417" s="34"/>
      <c r="P5417" s="36" t="str">
        <f t="shared" si="520"/>
        <v/>
      </c>
      <c r="Q5417" s="216" t="str">
        <f t="shared" si="521"/>
        <v/>
      </c>
      <c r="R5417" s="216" t="str">
        <f t="shared" si="522"/>
        <v/>
      </c>
      <c r="S5417" s="217" t="str">
        <f t="shared" si="523"/>
        <v/>
      </c>
    </row>
    <row r="5418" spans="1:19" ht="26.25" hidden="1" thickBot="1" x14ac:dyDescent="0.3">
      <c r="A5418" s="262"/>
      <c r="B5418" s="260"/>
      <c r="C5418" s="35" t="s">
        <v>8534</v>
      </c>
      <c r="D5418" s="35" t="s">
        <v>213</v>
      </c>
      <c r="E5418" s="36">
        <v>1</v>
      </c>
      <c r="F5418" s="33">
        <v>1877.5419999999999</v>
      </c>
      <c r="G5418" s="30">
        <f t="shared" si="518"/>
        <v>1877.5419999999999</v>
      </c>
      <c r="H5418" s="38">
        <f>SUM(G5418:G5421)</f>
        <v>1984.6974399999999</v>
      </c>
      <c r="I5418" s="39"/>
      <c r="J5418" s="152">
        <v>0</v>
      </c>
      <c r="L5418" s="215">
        <v>1</v>
      </c>
      <c r="M5418" s="33">
        <v>1607.1759520000001</v>
      </c>
      <c r="N5418" s="30">
        <f t="shared" si="519"/>
        <v>1607.1759520000001</v>
      </c>
      <c r="O5418" s="38">
        <f>SUM(N5418:N5421)</f>
        <v>1698.9010086399999</v>
      </c>
      <c r="P5418" s="36" t="str">
        <f t="shared" si="520"/>
        <v/>
      </c>
      <c r="Q5418" s="216">
        <f t="shared" si="521"/>
        <v>0.14399999999999991</v>
      </c>
      <c r="R5418" s="216">
        <f t="shared" si="522"/>
        <v>0.14399999999999991</v>
      </c>
      <c r="S5418" s="217">
        <f t="shared" si="523"/>
        <v>0.14400000000000002</v>
      </c>
    </row>
    <row r="5419" spans="1:19" ht="51.75" hidden="1" thickBot="1" x14ac:dyDescent="0.3">
      <c r="A5419" s="262"/>
      <c r="B5419" s="260"/>
      <c r="C5419" s="35" t="s">
        <v>2864</v>
      </c>
      <c r="D5419" s="35" t="s">
        <v>813</v>
      </c>
      <c r="E5419" s="36">
        <v>0.111</v>
      </c>
      <c r="F5419" s="33">
        <v>252.10149999999999</v>
      </c>
      <c r="G5419" s="30">
        <f t="shared" si="518"/>
        <v>27.983266499999999</v>
      </c>
      <c r="H5419" s="44"/>
      <c r="I5419" s="45"/>
      <c r="J5419" s="152">
        <v>0</v>
      </c>
      <c r="L5419" s="215">
        <v>0.111</v>
      </c>
      <c r="M5419" s="33">
        <v>215.79888399999999</v>
      </c>
      <c r="N5419" s="30">
        <f t="shared" si="519"/>
        <v>23.953676123999998</v>
      </c>
      <c r="O5419" s="44"/>
      <c r="P5419" s="36" t="str">
        <f t="shared" si="520"/>
        <v/>
      </c>
      <c r="Q5419" s="216">
        <f t="shared" si="521"/>
        <v>0.14400000000000002</v>
      </c>
      <c r="R5419" s="216">
        <f t="shared" si="522"/>
        <v>0.14400000000000002</v>
      </c>
      <c r="S5419" s="217" t="str">
        <f t="shared" si="523"/>
        <v/>
      </c>
    </row>
    <row r="5420" spans="1:19" ht="15.75" hidden="1" thickBot="1" x14ac:dyDescent="0.3">
      <c r="A5420" s="262"/>
      <c r="B5420" s="260"/>
      <c r="C5420" s="35" t="s">
        <v>1017</v>
      </c>
      <c r="D5420" s="35" t="s">
        <v>583</v>
      </c>
      <c r="E5420" s="36">
        <f>1.413/2</f>
        <v>0.70650000000000002</v>
      </c>
      <c r="F5420" s="33">
        <v>21.584</v>
      </c>
      <c r="G5420" s="30">
        <f t="shared" si="518"/>
        <v>15.249096</v>
      </c>
      <c r="H5420" s="44"/>
      <c r="I5420" s="45"/>
      <c r="J5420" s="152">
        <v>0</v>
      </c>
      <c r="L5420" s="215">
        <v>0.70650000000000002</v>
      </c>
      <c r="M5420" s="33">
        <v>18.475904</v>
      </c>
      <c r="N5420" s="30">
        <f t="shared" si="519"/>
        <v>13.053226176000001</v>
      </c>
      <c r="O5420" s="44"/>
      <c r="P5420" s="36" t="str">
        <f t="shared" si="520"/>
        <v/>
      </c>
      <c r="Q5420" s="216">
        <f t="shared" si="521"/>
        <v>0.14400000000000002</v>
      </c>
      <c r="R5420" s="216">
        <f t="shared" si="522"/>
        <v>0.14399999999999991</v>
      </c>
      <c r="S5420" s="217" t="str">
        <f t="shared" si="523"/>
        <v/>
      </c>
    </row>
    <row r="5421" spans="1:19" ht="15.75" hidden="1" thickBot="1" x14ac:dyDescent="0.3">
      <c r="A5421" s="262"/>
      <c r="B5421" s="260"/>
      <c r="C5421" s="35" t="s">
        <v>1018</v>
      </c>
      <c r="D5421" s="35" t="s">
        <v>583</v>
      </c>
      <c r="E5421" s="36">
        <f>4.593/2</f>
        <v>2.2965</v>
      </c>
      <c r="F5421" s="30">
        <v>27.835000000000001</v>
      </c>
      <c r="G5421" s="30">
        <f t="shared" si="518"/>
        <v>63.923077500000005</v>
      </c>
      <c r="H5421" s="34"/>
      <c r="I5421" s="30"/>
      <c r="J5421" s="152">
        <v>0</v>
      </c>
      <c r="L5421" s="215">
        <v>2.2965</v>
      </c>
      <c r="M5421" s="30">
        <v>23.82676</v>
      </c>
      <c r="N5421" s="30">
        <f t="shared" si="519"/>
        <v>54.718154339999998</v>
      </c>
      <c r="O5421" s="34"/>
      <c r="P5421" s="36" t="str">
        <f t="shared" si="520"/>
        <v/>
      </c>
      <c r="Q5421" s="216">
        <f t="shared" si="521"/>
        <v>0.14400000000000002</v>
      </c>
      <c r="R5421" s="216">
        <f t="shared" si="522"/>
        <v>0.14400000000000013</v>
      </c>
      <c r="S5421" s="217" t="str">
        <f t="shared" si="523"/>
        <v/>
      </c>
    </row>
    <row r="5422" spans="1:19" ht="15.75" hidden="1" thickBot="1" x14ac:dyDescent="0.3">
      <c r="A5422" s="263"/>
      <c r="B5422" s="261"/>
      <c r="C5422" s="35"/>
      <c r="D5422" s="35"/>
      <c r="E5422" s="36"/>
      <c r="F5422" s="30" t="s">
        <v>416</v>
      </c>
      <c r="G5422" s="30" t="str">
        <f t="shared" ref="G5422:G5485" si="524">IF(ISNUMBER(F5422),E5422*F5422,"")</f>
        <v/>
      </c>
      <c r="H5422" s="34"/>
      <c r="I5422" s="30"/>
      <c r="J5422" s="152">
        <v>0</v>
      </c>
      <c r="L5422" s="215"/>
      <c r="M5422" s="30"/>
      <c r="N5422" s="30" t="str">
        <f t="shared" ref="N5422:N5485" si="525">IF(ISNUMBER(M5422),L5422*M5422,"")</f>
        <v/>
      </c>
      <c r="O5422" s="34"/>
      <c r="P5422" s="36" t="str">
        <f t="shared" si="520"/>
        <v/>
      </c>
      <c r="Q5422" s="216" t="str">
        <f t="shared" si="521"/>
        <v/>
      </c>
      <c r="R5422" s="216" t="str">
        <f t="shared" si="522"/>
        <v/>
      </c>
      <c r="S5422" s="217" t="str">
        <f t="shared" si="523"/>
        <v/>
      </c>
    </row>
    <row r="5423" spans="1:19" ht="15.75" hidden="1" thickBot="1" x14ac:dyDescent="0.3">
      <c r="A5423" s="256" t="s">
        <v>3288</v>
      </c>
      <c r="B5423" s="259" t="str">
        <f>INDEX(Orçamentária!A:B,MATCH(Composições!A5423,Orçamentária!A:A,0),2)</f>
        <v>Caixa de Passagem Subterrânea 300 x 300 x 500mm</v>
      </c>
      <c r="C5423" s="40"/>
      <c r="D5423" s="25" t="s">
        <v>16</v>
      </c>
      <c r="E5423" s="26"/>
      <c r="F5423" s="41" t="s">
        <v>416</v>
      </c>
      <c r="G5423" s="27" t="str">
        <f t="shared" si="524"/>
        <v/>
      </c>
      <c r="H5423" s="28"/>
      <c r="I5423" s="29"/>
      <c r="J5423" s="152">
        <v>0</v>
      </c>
      <c r="L5423" s="218"/>
      <c r="M5423" s="41"/>
      <c r="N5423" s="27" t="str">
        <f t="shared" si="525"/>
        <v/>
      </c>
      <c r="O5423" s="28"/>
      <c r="P5423" s="36" t="str">
        <f t="shared" si="520"/>
        <v/>
      </c>
      <c r="Q5423" s="216" t="str">
        <f t="shared" si="521"/>
        <v/>
      </c>
      <c r="R5423" s="216" t="str">
        <f t="shared" si="522"/>
        <v/>
      </c>
      <c r="S5423" s="217" t="str">
        <f t="shared" si="523"/>
        <v/>
      </c>
    </row>
    <row r="5424" spans="1:19" ht="15.75" hidden="1" thickBot="1" x14ac:dyDescent="0.3">
      <c r="A5424" s="262"/>
      <c r="B5424" s="260"/>
      <c r="C5424" s="31"/>
      <c r="D5424" s="31"/>
      <c r="E5424" s="32"/>
      <c r="F5424" s="42" t="s">
        <v>416</v>
      </c>
      <c r="G5424" s="30" t="str">
        <f t="shared" si="524"/>
        <v/>
      </c>
      <c r="H5424" s="34"/>
      <c r="I5424" s="30"/>
      <c r="J5424" s="152">
        <v>0</v>
      </c>
      <c r="L5424" s="219"/>
      <c r="M5424" s="42"/>
      <c r="N5424" s="30" t="str">
        <f t="shared" si="525"/>
        <v/>
      </c>
      <c r="O5424" s="34"/>
      <c r="P5424" s="36" t="str">
        <f t="shared" si="520"/>
        <v/>
      </c>
      <c r="Q5424" s="216" t="str">
        <f t="shared" si="521"/>
        <v/>
      </c>
      <c r="R5424" s="216" t="str">
        <f t="shared" si="522"/>
        <v/>
      </c>
      <c r="S5424" s="217" t="str">
        <f t="shared" si="523"/>
        <v/>
      </c>
    </row>
    <row r="5425" spans="1:19" ht="15.75" hidden="1" thickBot="1" x14ac:dyDescent="0.3">
      <c r="A5425" s="262"/>
      <c r="B5425" s="260"/>
      <c r="C5425" s="35" t="s">
        <v>3062</v>
      </c>
      <c r="D5425" s="35" t="s">
        <v>213</v>
      </c>
      <c r="E5425" s="36">
        <f>48.7507*5/3</f>
        <v>81.251166666666663</v>
      </c>
      <c r="F5425" s="30">
        <v>0.56999999999999995</v>
      </c>
      <c r="G5425" s="33">
        <f t="shared" si="524"/>
        <v>46.313164999999991</v>
      </c>
      <c r="H5425" s="38">
        <f>SUM(G5425:G5431)</f>
        <v>268.03917371116376</v>
      </c>
      <c r="I5425" s="39"/>
      <c r="J5425" s="152">
        <v>0</v>
      </c>
      <c r="L5425" s="215">
        <v>81.251166666666663</v>
      </c>
      <c r="M5425" s="30">
        <v>0.48791999999999996</v>
      </c>
      <c r="N5425" s="33">
        <f t="shared" si="525"/>
        <v>39.644069239999993</v>
      </c>
      <c r="O5425" s="38">
        <f>SUM(N5425:N5431)</f>
        <v>229.44153269675618</v>
      </c>
      <c r="P5425" s="36" t="str">
        <f t="shared" si="520"/>
        <v/>
      </c>
      <c r="Q5425" s="216">
        <f t="shared" si="521"/>
        <v>0.14400000000000002</v>
      </c>
      <c r="R5425" s="216">
        <f t="shared" si="522"/>
        <v>0.14400000000000002</v>
      </c>
      <c r="S5425" s="217">
        <f t="shared" si="523"/>
        <v>0.14400000000000002</v>
      </c>
    </row>
    <row r="5426" spans="1:19" ht="39" hidden="1" thickBot="1" x14ac:dyDescent="0.3">
      <c r="A5426" s="262"/>
      <c r="B5426" s="260"/>
      <c r="C5426" s="35" t="s">
        <v>871</v>
      </c>
      <c r="D5426" s="35" t="s">
        <v>87</v>
      </c>
      <c r="E5426" s="36">
        <f>0.0004*5/3</f>
        <v>6.6666666666666664E-4</v>
      </c>
      <c r="F5426" s="30">
        <v>584.3403605609999</v>
      </c>
      <c r="G5426" s="33">
        <f t="shared" si="524"/>
        <v>0.38956024037399994</v>
      </c>
      <c r="H5426" s="34"/>
      <c r="I5426" s="30"/>
      <c r="J5426" s="152">
        <v>0</v>
      </c>
      <c r="L5426" s="215">
        <v>6.6666666666666664E-4</v>
      </c>
      <c r="M5426" s="30">
        <v>500.19534864021591</v>
      </c>
      <c r="N5426" s="33">
        <f t="shared" si="525"/>
        <v>0.33346356576014391</v>
      </c>
      <c r="O5426" s="34"/>
      <c r="P5426" s="36" t="str">
        <f t="shared" si="520"/>
        <v/>
      </c>
      <c r="Q5426" s="216">
        <f t="shared" si="521"/>
        <v>0.14400000000000002</v>
      </c>
      <c r="R5426" s="216">
        <f t="shared" si="522"/>
        <v>0.14400000000000013</v>
      </c>
      <c r="S5426" s="217" t="str">
        <f t="shared" si="523"/>
        <v/>
      </c>
    </row>
    <row r="5427" spans="1:19" ht="15.75" hidden="1" thickBot="1" x14ac:dyDescent="0.3">
      <c r="A5427" s="262"/>
      <c r="B5427" s="260"/>
      <c r="C5427" s="35" t="s">
        <v>591</v>
      </c>
      <c r="D5427" s="35" t="s">
        <v>583</v>
      </c>
      <c r="E5427" s="36">
        <f>1.5362*5/3</f>
        <v>2.5603333333333333</v>
      </c>
      <c r="F5427" s="33">
        <v>27.160499999999999</v>
      </c>
      <c r="G5427" s="30">
        <f t="shared" si="524"/>
        <v>69.539933500000004</v>
      </c>
      <c r="H5427" s="34"/>
      <c r="I5427" s="30"/>
      <c r="J5427" s="152">
        <v>0</v>
      </c>
      <c r="L5427" s="215">
        <v>2.5603333333333333</v>
      </c>
      <c r="M5427" s="33">
        <v>23.249388</v>
      </c>
      <c r="N5427" s="30">
        <f t="shared" si="525"/>
        <v>59.526183076000002</v>
      </c>
      <c r="O5427" s="34"/>
      <c r="P5427" s="36" t="str">
        <f t="shared" si="520"/>
        <v/>
      </c>
      <c r="Q5427" s="216">
        <f t="shared" si="521"/>
        <v>0.14400000000000002</v>
      </c>
      <c r="R5427" s="216">
        <f t="shared" si="522"/>
        <v>0.14400000000000002</v>
      </c>
      <c r="S5427" s="217" t="str">
        <f t="shared" si="523"/>
        <v/>
      </c>
    </row>
    <row r="5428" spans="1:19" ht="15.75" hidden="1" thickBot="1" x14ac:dyDescent="0.3">
      <c r="A5428" s="262"/>
      <c r="B5428" s="260"/>
      <c r="C5428" s="35" t="s">
        <v>584</v>
      </c>
      <c r="D5428" s="35" t="s">
        <v>583</v>
      </c>
      <c r="E5428" s="36">
        <f>1.5362*5/3</f>
        <v>2.5603333333333333</v>
      </c>
      <c r="F5428" s="30">
        <v>20.225499999999997</v>
      </c>
      <c r="G5428" s="33">
        <f t="shared" si="524"/>
        <v>51.784021833333327</v>
      </c>
      <c r="H5428" s="34"/>
      <c r="I5428" s="39"/>
      <c r="J5428" s="152">
        <v>0</v>
      </c>
      <c r="L5428" s="215">
        <v>2.5603333333333333</v>
      </c>
      <c r="M5428" s="30">
        <v>17.313027999999996</v>
      </c>
      <c r="N5428" s="33">
        <f t="shared" si="525"/>
        <v>44.327122689333322</v>
      </c>
      <c r="O5428" s="34"/>
      <c r="P5428" s="36" t="str">
        <f t="shared" si="520"/>
        <v/>
      </c>
      <c r="Q5428" s="216">
        <f t="shared" si="521"/>
        <v>0.14400000000000013</v>
      </c>
      <c r="R5428" s="216">
        <f t="shared" si="522"/>
        <v>0.14400000000000013</v>
      </c>
      <c r="S5428" s="217" t="str">
        <f t="shared" si="523"/>
        <v/>
      </c>
    </row>
    <row r="5429" spans="1:19" ht="26.25" hidden="1" thickBot="1" x14ac:dyDescent="0.3">
      <c r="A5429" s="262"/>
      <c r="B5429" s="260"/>
      <c r="C5429" s="35" t="s">
        <v>2898</v>
      </c>
      <c r="D5429" s="35" t="s">
        <v>87</v>
      </c>
      <c r="E5429" s="36">
        <f>0.0278*5/3</f>
        <v>4.6333333333333331E-2</v>
      </c>
      <c r="F5429" s="30">
        <v>657.09798058849992</v>
      </c>
      <c r="G5429" s="33">
        <f t="shared" si="524"/>
        <v>30.44553976726716</v>
      </c>
      <c r="H5429" s="34"/>
      <c r="I5429" s="30"/>
      <c r="J5429" s="152">
        <v>0</v>
      </c>
      <c r="L5429" s="215">
        <v>4.6333333333333331E-2</v>
      </c>
      <c r="M5429" s="30">
        <v>562.47587138375593</v>
      </c>
      <c r="N5429" s="33">
        <f t="shared" si="525"/>
        <v>26.061382040780689</v>
      </c>
      <c r="O5429" s="34"/>
      <c r="P5429" s="36" t="str">
        <f t="shared" si="520"/>
        <v/>
      </c>
      <c r="Q5429" s="216">
        <f t="shared" si="521"/>
        <v>0.14400000000000002</v>
      </c>
      <c r="R5429" s="216">
        <f t="shared" si="522"/>
        <v>0.14400000000000002</v>
      </c>
      <c r="S5429" s="217" t="str">
        <f t="shared" si="523"/>
        <v/>
      </c>
    </row>
    <row r="5430" spans="1:19" ht="26.25" hidden="1" thickBot="1" x14ac:dyDescent="0.3">
      <c r="A5430" s="262"/>
      <c r="B5430" s="260"/>
      <c r="C5430" s="35" t="s">
        <v>2887</v>
      </c>
      <c r="D5430" s="35" t="s">
        <v>87</v>
      </c>
      <c r="E5430" s="36">
        <f>0.0175</f>
        <v>1.7500000000000002E-2</v>
      </c>
      <c r="F5430" s="33">
        <v>3073.716808949102</v>
      </c>
      <c r="G5430" s="30">
        <f t="shared" si="524"/>
        <v>53.790044156609291</v>
      </c>
      <c r="H5430" s="34"/>
      <c r="I5430" s="30"/>
      <c r="J5430" s="152">
        <v>0</v>
      </c>
      <c r="L5430" s="215">
        <v>1.7500000000000002E-2</v>
      </c>
      <c r="M5430" s="33">
        <v>2631.1015884604312</v>
      </c>
      <c r="N5430" s="30">
        <f t="shared" si="525"/>
        <v>46.04427779805755</v>
      </c>
      <c r="O5430" s="34"/>
      <c r="P5430" s="36" t="str">
        <f t="shared" si="520"/>
        <v/>
      </c>
      <c r="Q5430" s="216">
        <f t="shared" si="521"/>
        <v>0.14400000000000002</v>
      </c>
      <c r="R5430" s="216">
        <f t="shared" si="522"/>
        <v>0.14400000000000002</v>
      </c>
      <c r="S5430" s="217" t="str">
        <f t="shared" si="523"/>
        <v/>
      </c>
    </row>
    <row r="5431" spans="1:19" ht="26.25" hidden="1" thickBot="1" x14ac:dyDescent="0.3">
      <c r="A5431" s="262"/>
      <c r="B5431" s="260"/>
      <c r="C5431" s="35" t="s">
        <v>3223</v>
      </c>
      <c r="D5431" s="35" t="s">
        <v>87</v>
      </c>
      <c r="E5431" s="36">
        <f>0.036</f>
        <v>3.5999999999999997E-2</v>
      </c>
      <c r="F5431" s="30">
        <v>438.24747815499995</v>
      </c>
      <c r="G5431" s="33">
        <f t="shared" si="524"/>
        <v>15.776909213579998</v>
      </c>
      <c r="H5431" s="34"/>
      <c r="I5431" s="39"/>
      <c r="J5431" s="152">
        <v>0</v>
      </c>
      <c r="L5431" s="215">
        <v>3.5999999999999997E-2</v>
      </c>
      <c r="M5431" s="30">
        <v>375.13984130067996</v>
      </c>
      <c r="N5431" s="33">
        <f t="shared" si="525"/>
        <v>13.505034286824477</v>
      </c>
      <c r="O5431" s="34"/>
      <c r="P5431" s="36" t="str">
        <f t="shared" si="520"/>
        <v/>
      </c>
      <c r="Q5431" s="216">
        <f t="shared" si="521"/>
        <v>0.14400000000000002</v>
      </c>
      <c r="R5431" s="216">
        <f t="shared" si="522"/>
        <v>0.14400000000000002</v>
      </c>
      <c r="S5431" s="217" t="str">
        <f t="shared" si="523"/>
        <v/>
      </c>
    </row>
    <row r="5432" spans="1:19" ht="15.75" hidden="1" thickBot="1" x14ac:dyDescent="0.3">
      <c r="A5432" s="263"/>
      <c r="B5432" s="261"/>
      <c r="C5432" s="35"/>
      <c r="D5432" s="35"/>
      <c r="E5432" s="36"/>
      <c r="F5432" s="30" t="s">
        <v>416</v>
      </c>
      <c r="G5432" s="30" t="str">
        <f t="shared" si="524"/>
        <v/>
      </c>
      <c r="H5432" s="34"/>
      <c r="I5432" s="30"/>
      <c r="J5432" s="152">
        <v>0</v>
      </c>
      <c r="L5432" s="215"/>
      <c r="M5432" s="30"/>
      <c r="N5432" s="30" t="str">
        <f t="shared" si="525"/>
        <v/>
      </c>
      <c r="O5432" s="34"/>
      <c r="P5432" s="36" t="str">
        <f t="shared" si="520"/>
        <v/>
      </c>
      <c r="Q5432" s="216" t="str">
        <f t="shared" si="521"/>
        <v/>
      </c>
      <c r="R5432" s="216" t="str">
        <f t="shared" si="522"/>
        <v/>
      </c>
      <c r="S5432" s="217" t="str">
        <f t="shared" si="523"/>
        <v/>
      </c>
    </row>
    <row r="5433" spans="1:19" ht="15.75" thickBot="1" x14ac:dyDescent="0.3">
      <c r="A5433" s="256" t="s">
        <v>3291</v>
      </c>
      <c r="B5433" s="259" t="str">
        <f>INDEX(Orçamentária!A:B,MATCH(Composições!A5433,Orçamentária!A:A,0),2)</f>
        <v>Caixa de Passagem Subterrânea 600 x 600 x 800mm</v>
      </c>
      <c r="C5433" s="40"/>
      <c r="D5433" s="25" t="s">
        <v>16</v>
      </c>
      <c r="E5433" s="26"/>
      <c r="F5433" s="41" t="s">
        <v>416</v>
      </c>
      <c r="G5433" s="27" t="str">
        <f t="shared" si="524"/>
        <v/>
      </c>
      <c r="H5433" s="28"/>
      <c r="I5433" s="29"/>
      <c r="J5433" s="152">
        <v>2</v>
      </c>
      <c r="L5433" s="218"/>
      <c r="M5433" s="41"/>
      <c r="N5433" s="27" t="str">
        <f t="shared" si="525"/>
        <v/>
      </c>
      <c r="O5433" s="28"/>
      <c r="P5433" s="36" t="str">
        <f t="shared" si="520"/>
        <v/>
      </c>
      <c r="Q5433" s="216" t="str">
        <f t="shared" si="521"/>
        <v/>
      </c>
      <c r="R5433" s="216" t="str">
        <f t="shared" si="522"/>
        <v/>
      </c>
      <c r="S5433" s="217" t="str">
        <f t="shared" si="523"/>
        <v/>
      </c>
    </row>
    <row r="5434" spans="1:19" x14ac:dyDescent="0.25">
      <c r="A5434" s="262"/>
      <c r="B5434" s="260"/>
      <c r="C5434" s="31"/>
      <c r="D5434" s="31"/>
      <c r="E5434" s="32"/>
      <c r="F5434" s="42" t="s">
        <v>416</v>
      </c>
      <c r="G5434" s="30" t="str">
        <f t="shared" si="524"/>
        <v/>
      </c>
      <c r="H5434" s="34"/>
      <c r="I5434" s="30"/>
      <c r="J5434" s="152">
        <v>2</v>
      </c>
      <c r="L5434" s="219"/>
      <c r="M5434" s="42"/>
      <c r="N5434" s="30" t="str">
        <f t="shared" si="525"/>
        <v/>
      </c>
      <c r="O5434" s="34"/>
      <c r="P5434" s="36" t="str">
        <f t="shared" si="520"/>
        <v/>
      </c>
      <c r="Q5434" s="216" t="str">
        <f t="shared" si="521"/>
        <v/>
      </c>
      <c r="R5434" s="216" t="str">
        <f t="shared" si="522"/>
        <v/>
      </c>
      <c r="S5434" s="217" t="str">
        <f t="shared" si="523"/>
        <v/>
      </c>
    </row>
    <row r="5435" spans="1:19" ht="51" x14ac:dyDescent="0.25">
      <c r="A5435" s="262"/>
      <c r="B5435" s="260"/>
      <c r="C5435" s="35" t="s">
        <v>2863</v>
      </c>
      <c r="D5435" s="35" t="s">
        <v>813</v>
      </c>
      <c r="E5435" s="36">
        <f>ROUND(0.0087*8/6,4)</f>
        <v>1.1599999999999999E-2</v>
      </c>
      <c r="F5435" s="30">
        <v>134.55799999999999</v>
      </c>
      <c r="G5435" s="33">
        <f t="shared" si="524"/>
        <v>1.5608727999999998</v>
      </c>
      <c r="H5435" s="38">
        <f>SUM(G5435:G5443)</f>
        <v>713.57941617594531</v>
      </c>
      <c r="I5435" s="39"/>
      <c r="J5435" s="152">
        <v>2</v>
      </c>
      <c r="L5435" s="215">
        <v>1.1599999999999999E-2</v>
      </c>
      <c r="M5435" s="30">
        <v>115.181648</v>
      </c>
      <c r="N5435" s="33">
        <f t="shared" si="525"/>
        <v>1.3361071167999998</v>
      </c>
      <c r="O5435" s="38">
        <f>SUM(N5435:N5443)</f>
        <v>610.82398024660927</v>
      </c>
      <c r="P5435" s="36" t="str">
        <f t="shared" si="520"/>
        <v/>
      </c>
      <c r="Q5435" s="216">
        <f t="shared" si="521"/>
        <v>0.14400000000000002</v>
      </c>
      <c r="R5435" s="216">
        <f t="shared" si="522"/>
        <v>0.14400000000000002</v>
      </c>
      <c r="S5435" s="217">
        <f t="shared" si="523"/>
        <v>0.14399999999999991</v>
      </c>
    </row>
    <row r="5436" spans="1:19" ht="51" x14ac:dyDescent="0.25">
      <c r="A5436" s="262"/>
      <c r="B5436" s="260"/>
      <c r="C5436" s="35" t="s">
        <v>2870</v>
      </c>
      <c r="D5436" s="35" t="s">
        <v>815</v>
      </c>
      <c r="E5436" s="36">
        <f>ROUND(0.0294*8/6,4)</f>
        <v>3.9199999999999999E-2</v>
      </c>
      <c r="F5436" s="30">
        <v>54.34</v>
      </c>
      <c r="G5436" s="33">
        <f t="shared" si="524"/>
        <v>2.130128</v>
      </c>
      <c r="H5436" s="34"/>
      <c r="I5436" s="30"/>
      <c r="J5436" s="152">
        <v>2</v>
      </c>
      <c r="L5436" s="215">
        <v>3.9199999999999999E-2</v>
      </c>
      <c r="M5436" s="30">
        <v>46.515040000000006</v>
      </c>
      <c r="N5436" s="33">
        <f t="shared" si="525"/>
        <v>1.8233895680000001</v>
      </c>
      <c r="O5436" s="34"/>
      <c r="P5436" s="36" t="str">
        <f t="shared" si="520"/>
        <v/>
      </c>
      <c r="Q5436" s="216">
        <f t="shared" si="521"/>
        <v>0.14399999999999991</v>
      </c>
      <c r="R5436" s="216">
        <f t="shared" si="522"/>
        <v>0.14400000000000002</v>
      </c>
      <c r="S5436" s="217" t="str">
        <f t="shared" si="523"/>
        <v/>
      </c>
    </row>
    <row r="5437" spans="1:19" x14ac:dyDescent="0.25">
      <c r="A5437" s="262"/>
      <c r="B5437" s="260"/>
      <c r="C5437" s="35" t="s">
        <v>3062</v>
      </c>
      <c r="D5437" s="35" t="s">
        <v>213</v>
      </c>
      <c r="E5437" s="36">
        <f>ROUND(169.8027*8/6,4)</f>
        <v>226.40360000000001</v>
      </c>
      <c r="F5437" s="33">
        <v>0.56999999999999995</v>
      </c>
      <c r="G5437" s="30">
        <f t="shared" si="524"/>
        <v>129.05005199999999</v>
      </c>
      <c r="H5437" s="34"/>
      <c r="I5437" s="30"/>
      <c r="J5437" s="152">
        <v>2</v>
      </c>
      <c r="L5437" s="215">
        <v>226.40360000000001</v>
      </c>
      <c r="M5437" s="33">
        <v>0.48791999999999996</v>
      </c>
      <c r="N5437" s="30">
        <f t="shared" si="525"/>
        <v>110.46684451199999</v>
      </c>
      <c r="O5437" s="34"/>
      <c r="P5437" s="36" t="str">
        <f t="shared" si="520"/>
        <v/>
      </c>
      <c r="Q5437" s="216">
        <f t="shared" si="521"/>
        <v>0.14400000000000002</v>
      </c>
      <c r="R5437" s="216">
        <f t="shared" si="522"/>
        <v>0.14400000000000002</v>
      </c>
      <c r="S5437" s="217" t="str">
        <f t="shared" si="523"/>
        <v/>
      </c>
    </row>
    <row r="5438" spans="1:19" ht="38.25" x14ac:dyDescent="0.25">
      <c r="A5438" s="262"/>
      <c r="B5438" s="260"/>
      <c r="C5438" s="35" t="s">
        <v>871</v>
      </c>
      <c r="D5438" s="35" t="s">
        <v>87</v>
      </c>
      <c r="E5438" s="36">
        <f>ROUND(0.0014*8/6,4)</f>
        <v>1.9E-3</v>
      </c>
      <c r="F5438" s="30">
        <v>584.3403605609999</v>
      </c>
      <c r="G5438" s="33">
        <f t="shared" si="524"/>
        <v>1.1102466850658999</v>
      </c>
      <c r="H5438" s="34"/>
      <c r="I5438" s="39"/>
      <c r="J5438" s="152">
        <v>2</v>
      </c>
      <c r="L5438" s="215">
        <v>1.9E-3</v>
      </c>
      <c r="M5438" s="30">
        <v>500.19534864021591</v>
      </c>
      <c r="N5438" s="33">
        <f t="shared" si="525"/>
        <v>0.95037116241641018</v>
      </c>
      <c r="O5438" s="34"/>
      <c r="P5438" s="36" t="str">
        <f t="shared" si="520"/>
        <v/>
      </c>
      <c r="Q5438" s="216">
        <f t="shared" si="521"/>
        <v>0.14400000000000002</v>
      </c>
      <c r="R5438" s="216">
        <f t="shared" si="522"/>
        <v>0.14400000000000013</v>
      </c>
      <c r="S5438" s="217" t="str">
        <f t="shared" si="523"/>
        <v/>
      </c>
    </row>
    <row r="5439" spans="1:19" x14ac:dyDescent="0.25">
      <c r="A5439" s="262"/>
      <c r="B5439" s="260"/>
      <c r="C5439" s="35" t="s">
        <v>591</v>
      </c>
      <c r="D5439" s="35" t="s">
        <v>583</v>
      </c>
      <c r="E5439" s="36">
        <f>ROUND(5.4392*8/6,4)</f>
        <v>7.2523</v>
      </c>
      <c r="F5439" s="30">
        <v>27.160499999999999</v>
      </c>
      <c r="G5439" s="33">
        <f t="shared" si="524"/>
        <v>196.97609414999999</v>
      </c>
      <c r="H5439" s="34"/>
      <c r="I5439" s="30"/>
      <c r="J5439" s="152">
        <v>2</v>
      </c>
      <c r="L5439" s="215">
        <v>7.2523</v>
      </c>
      <c r="M5439" s="30">
        <v>23.249388</v>
      </c>
      <c r="N5439" s="33">
        <f t="shared" si="525"/>
        <v>168.6115365924</v>
      </c>
      <c r="O5439" s="34"/>
      <c r="P5439" s="36" t="str">
        <f t="shared" si="520"/>
        <v/>
      </c>
      <c r="Q5439" s="216">
        <f t="shared" si="521"/>
        <v>0.14400000000000002</v>
      </c>
      <c r="R5439" s="216">
        <f t="shared" si="522"/>
        <v>0.14400000000000002</v>
      </c>
      <c r="S5439" s="217" t="str">
        <f t="shared" si="523"/>
        <v/>
      </c>
    </row>
    <row r="5440" spans="1:19" x14ac:dyDescent="0.25">
      <c r="A5440" s="262"/>
      <c r="B5440" s="260"/>
      <c r="C5440" s="35" t="s">
        <v>584</v>
      </c>
      <c r="D5440" s="35" t="s">
        <v>583</v>
      </c>
      <c r="E5440" s="36">
        <f>ROUND(5.4392*8/6,4)</f>
        <v>7.2523</v>
      </c>
      <c r="F5440" s="33">
        <v>20.225499999999997</v>
      </c>
      <c r="G5440" s="30">
        <f t="shared" si="524"/>
        <v>146.68139364999996</v>
      </c>
      <c r="H5440" s="34"/>
      <c r="I5440" s="30"/>
      <c r="J5440" s="152">
        <v>2</v>
      </c>
      <c r="L5440" s="215">
        <v>7.2523</v>
      </c>
      <c r="M5440" s="33">
        <v>17.313027999999996</v>
      </c>
      <c r="N5440" s="30">
        <f t="shared" si="525"/>
        <v>125.55927296439997</v>
      </c>
      <c r="O5440" s="34"/>
      <c r="P5440" s="36" t="str">
        <f t="shared" si="520"/>
        <v/>
      </c>
      <c r="Q5440" s="216">
        <f t="shared" si="521"/>
        <v>0.14400000000000013</v>
      </c>
      <c r="R5440" s="216">
        <f t="shared" si="522"/>
        <v>0.14400000000000002</v>
      </c>
      <c r="S5440" s="217" t="str">
        <f t="shared" si="523"/>
        <v/>
      </c>
    </row>
    <row r="5441" spans="1:19" ht="25.5" x14ac:dyDescent="0.25">
      <c r="A5441" s="262"/>
      <c r="B5441" s="260"/>
      <c r="C5441" s="35" t="s">
        <v>2898</v>
      </c>
      <c r="D5441" s="35" t="s">
        <v>87</v>
      </c>
      <c r="E5441" s="36">
        <f>ROUND(0.1012*8/6,4)</f>
        <v>0.13489999999999999</v>
      </c>
      <c r="F5441" s="30">
        <v>657.09798058849992</v>
      </c>
      <c r="G5441" s="33">
        <f t="shared" si="524"/>
        <v>88.642517581388631</v>
      </c>
      <c r="H5441" s="34"/>
      <c r="I5441" s="39"/>
      <c r="J5441" s="152">
        <v>2</v>
      </c>
      <c r="L5441" s="215">
        <v>0.13489999999999999</v>
      </c>
      <c r="M5441" s="30">
        <v>562.47587138375593</v>
      </c>
      <c r="N5441" s="33">
        <f t="shared" si="525"/>
        <v>75.877995049668669</v>
      </c>
      <c r="O5441" s="34"/>
      <c r="P5441" s="36" t="str">
        <f t="shared" si="520"/>
        <v/>
      </c>
      <c r="Q5441" s="216">
        <f t="shared" si="521"/>
        <v>0.14400000000000002</v>
      </c>
      <c r="R5441" s="216">
        <f t="shared" si="522"/>
        <v>0.14400000000000002</v>
      </c>
      <c r="S5441" s="217" t="str">
        <f t="shared" si="523"/>
        <v/>
      </c>
    </row>
    <row r="5442" spans="1:19" ht="25.5" x14ac:dyDescent="0.25">
      <c r="A5442" s="262"/>
      <c r="B5442" s="260"/>
      <c r="C5442" s="35" t="s">
        <v>2888</v>
      </c>
      <c r="D5442" s="35" t="s">
        <v>87</v>
      </c>
      <c r="E5442" s="36">
        <v>4.48E-2</v>
      </c>
      <c r="F5442" s="30">
        <v>2567.9175087184358</v>
      </c>
      <c r="G5442" s="33">
        <f t="shared" si="524"/>
        <v>115.04270439058593</v>
      </c>
      <c r="H5442" s="34"/>
      <c r="I5442" s="30"/>
      <c r="J5442" s="152">
        <v>2</v>
      </c>
      <c r="L5442" s="215">
        <v>4.48E-2</v>
      </c>
      <c r="M5442" s="30">
        <v>2198.1373874629812</v>
      </c>
      <c r="N5442" s="33">
        <f t="shared" si="525"/>
        <v>98.476554958341552</v>
      </c>
      <c r="O5442" s="34"/>
      <c r="P5442" s="36" t="str">
        <f t="shared" si="520"/>
        <v/>
      </c>
      <c r="Q5442" s="216">
        <f t="shared" si="521"/>
        <v>0.14399999999999991</v>
      </c>
      <c r="R5442" s="216">
        <f t="shared" si="522"/>
        <v>0.14400000000000002</v>
      </c>
      <c r="S5442" s="217" t="str">
        <f t="shared" si="523"/>
        <v/>
      </c>
    </row>
    <row r="5443" spans="1:19" ht="25.5" x14ac:dyDescent="0.25">
      <c r="A5443" s="262"/>
      <c r="B5443" s="260"/>
      <c r="C5443" s="35" t="s">
        <v>3224</v>
      </c>
      <c r="D5443" s="35" t="s">
        <v>87</v>
      </c>
      <c r="E5443" s="36">
        <v>8.1000000000000003E-2</v>
      </c>
      <c r="F5443" s="33">
        <v>399.81983850500001</v>
      </c>
      <c r="G5443" s="30">
        <f t="shared" si="524"/>
        <v>32.385406918905005</v>
      </c>
      <c r="H5443" s="34"/>
      <c r="I5443" s="30"/>
      <c r="J5443" s="152">
        <v>2</v>
      </c>
      <c r="L5443" s="215">
        <v>8.1000000000000003E-2</v>
      </c>
      <c r="M5443" s="33">
        <v>342.24578176028001</v>
      </c>
      <c r="N5443" s="30">
        <f t="shared" si="525"/>
        <v>27.721908322582681</v>
      </c>
      <c r="O5443" s="34"/>
      <c r="P5443" s="36" t="str">
        <f t="shared" si="520"/>
        <v/>
      </c>
      <c r="Q5443" s="216">
        <f t="shared" si="521"/>
        <v>0.14400000000000002</v>
      </c>
      <c r="R5443" s="216">
        <f t="shared" si="522"/>
        <v>0.14400000000000013</v>
      </c>
      <c r="S5443" s="217" t="str">
        <f t="shared" si="523"/>
        <v/>
      </c>
    </row>
    <row r="5444" spans="1:19" ht="15.75" thickBot="1" x14ac:dyDescent="0.3">
      <c r="A5444" s="263"/>
      <c r="B5444" s="261"/>
      <c r="C5444" s="35"/>
      <c r="D5444" s="35"/>
      <c r="E5444" s="36"/>
      <c r="F5444" s="30" t="s">
        <v>416</v>
      </c>
      <c r="G5444" s="30" t="str">
        <f t="shared" si="524"/>
        <v/>
      </c>
      <c r="H5444" s="34"/>
      <c r="I5444" s="30"/>
      <c r="J5444" s="152">
        <v>2</v>
      </c>
      <c r="L5444" s="215"/>
      <c r="M5444" s="30"/>
      <c r="N5444" s="30" t="str">
        <f t="shared" si="525"/>
        <v/>
      </c>
      <c r="O5444" s="34"/>
      <c r="P5444" s="36" t="str">
        <f t="shared" si="520"/>
        <v/>
      </c>
      <c r="Q5444" s="216" t="str">
        <f t="shared" si="521"/>
        <v/>
      </c>
      <c r="R5444" s="216" t="str">
        <f t="shared" si="522"/>
        <v/>
      </c>
      <c r="S5444" s="217" t="str">
        <f t="shared" si="523"/>
        <v/>
      </c>
    </row>
    <row r="5445" spans="1:19" ht="15.75" hidden="1" thickBot="1" x14ac:dyDescent="0.3">
      <c r="A5445" s="256" t="s">
        <v>3293</v>
      </c>
      <c r="B5445" s="259" t="str">
        <f>INDEX(Orçamentária!A:B,MATCH(Composições!A5445,Orçamentária!A:A,0),2)</f>
        <v>Kit terminal para cabo de potência, 8,7 kV / 15 kV, 95 mm²</v>
      </c>
      <c r="C5445" s="40"/>
      <c r="D5445" s="25" t="s">
        <v>16</v>
      </c>
      <c r="E5445" s="26"/>
      <c r="F5445" s="41" t="s">
        <v>416</v>
      </c>
      <c r="G5445" s="27" t="str">
        <f t="shared" si="524"/>
        <v/>
      </c>
      <c r="H5445" s="28"/>
      <c r="I5445" s="29"/>
      <c r="J5445" s="152">
        <v>0</v>
      </c>
      <c r="L5445" s="218"/>
      <c r="M5445" s="41"/>
      <c r="N5445" s="27" t="str">
        <f t="shared" si="525"/>
        <v/>
      </c>
      <c r="O5445" s="28"/>
      <c r="P5445" s="36" t="str">
        <f t="shared" si="520"/>
        <v/>
      </c>
      <c r="Q5445" s="216" t="str">
        <f t="shared" si="521"/>
        <v/>
      </c>
      <c r="R5445" s="216" t="str">
        <f t="shared" si="522"/>
        <v/>
      </c>
      <c r="S5445" s="217" t="str">
        <f t="shared" si="523"/>
        <v/>
      </c>
    </row>
    <row r="5446" spans="1:19" ht="15.75" hidden="1" thickBot="1" x14ac:dyDescent="0.3">
      <c r="A5446" s="262"/>
      <c r="B5446" s="260"/>
      <c r="C5446" s="31"/>
      <c r="D5446" s="31"/>
      <c r="E5446" s="32"/>
      <c r="F5446" s="42" t="s">
        <v>416</v>
      </c>
      <c r="G5446" s="30" t="str">
        <f t="shared" si="524"/>
        <v/>
      </c>
      <c r="H5446" s="34"/>
      <c r="I5446" s="30"/>
      <c r="J5446" s="152">
        <v>0</v>
      </c>
      <c r="L5446" s="219"/>
      <c r="M5446" s="42"/>
      <c r="N5446" s="30" t="str">
        <f t="shared" si="525"/>
        <v/>
      </c>
      <c r="O5446" s="34"/>
      <c r="P5446" s="36" t="str">
        <f t="shared" si="520"/>
        <v/>
      </c>
      <c r="Q5446" s="216" t="str">
        <f t="shared" si="521"/>
        <v/>
      </c>
      <c r="R5446" s="216" t="str">
        <f t="shared" si="522"/>
        <v/>
      </c>
      <c r="S5446" s="217" t="str">
        <f t="shared" si="523"/>
        <v/>
      </c>
    </row>
    <row r="5447" spans="1:19" ht="15.75" hidden="1" thickBot="1" x14ac:dyDescent="0.3">
      <c r="A5447" s="262"/>
      <c r="B5447" s="260"/>
      <c r="C5447" s="35" t="s">
        <v>5568</v>
      </c>
      <c r="D5447" s="35" t="s">
        <v>213</v>
      </c>
      <c r="E5447" s="36">
        <v>1</v>
      </c>
      <c r="F5447" s="33" t="s">
        <v>416</v>
      </c>
      <c r="G5447" s="30" t="str">
        <f t="shared" si="524"/>
        <v/>
      </c>
      <c r="H5447" s="38">
        <f>SUM(G5447:G5449)</f>
        <v>24.709499999999998</v>
      </c>
      <c r="I5447" s="39"/>
      <c r="J5447" s="152">
        <v>0</v>
      </c>
      <c r="L5447" s="215">
        <v>1</v>
      </c>
      <c r="M5447" s="33"/>
      <c r="N5447" s="30" t="str">
        <f t="shared" si="525"/>
        <v/>
      </c>
      <c r="O5447" s="38">
        <f>SUM(N5447:N5449)</f>
        <v>21.151332</v>
      </c>
      <c r="P5447" s="36" t="str">
        <f t="shared" si="520"/>
        <v/>
      </c>
      <c r="Q5447" s="216" t="str">
        <f t="shared" si="521"/>
        <v/>
      </c>
      <c r="R5447" s="216" t="str">
        <f t="shared" si="522"/>
        <v/>
      </c>
      <c r="S5447" s="217">
        <f t="shared" si="523"/>
        <v>0.14399999999999991</v>
      </c>
    </row>
    <row r="5448" spans="1:19" ht="15.75" hidden="1" thickBot="1" x14ac:dyDescent="0.3">
      <c r="A5448" s="262"/>
      <c r="B5448" s="260"/>
      <c r="C5448" s="35" t="s">
        <v>1017</v>
      </c>
      <c r="D5448" s="35" t="s">
        <v>583</v>
      </c>
      <c r="E5448" s="36">
        <v>0.5</v>
      </c>
      <c r="F5448" s="33">
        <v>21.584</v>
      </c>
      <c r="G5448" s="30">
        <f t="shared" si="524"/>
        <v>10.792</v>
      </c>
      <c r="H5448" s="44"/>
      <c r="I5448" s="45"/>
      <c r="J5448" s="152">
        <v>0</v>
      </c>
      <c r="L5448" s="215">
        <v>0.5</v>
      </c>
      <c r="M5448" s="33">
        <v>18.475904</v>
      </c>
      <c r="N5448" s="30">
        <f t="shared" si="525"/>
        <v>9.2379519999999999</v>
      </c>
      <c r="O5448" s="44"/>
      <c r="P5448" s="36" t="str">
        <f t="shared" ref="P5448:P5511" si="526">IF(ISBLANK(L5448),"",IF($E5448&lt;&gt;L5448,"SIM",""))</f>
        <v/>
      </c>
      <c r="Q5448" s="216">
        <f t="shared" ref="Q5448:Q5511" si="527">IF(M5448="","",1-M5448/$F5448)</f>
        <v>0.14400000000000002</v>
      </c>
      <c r="R5448" s="216">
        <f t="shared" ref="R5448:R5511" si="528">IF(N5448="","",1-N5448/$G5448)</f>
        <v>0.14400000000000002</v>
      </c>
      <c r="S5448" s="217" t="str">
        <f t="shared" ref="S5448:S5511" si="529">IF(O5448="","",1-O5448/$H5448)</f>
        <v/>
      </c>
    </row>
    <row r="5449" spans="1:19" ht="15.75" hidden="1" thickBot="1" x14ac:dyDescent="0.3">
      <c r="A5449" s="262"/>
      <c r="B5449" s="260"/>
      <c r="C5449" s="35" t="s">
        <v>1018</v>
      </c>
      <c r="D5449" s="35" t="s">
        <v>583</v>
      </c>
      <c r="E5449" s="36">
        <v>0.5</v>
      </c>
      <c r="F5449" s="30">
        <v>27.835000000000001</v>
      </c>
      <c r="G5449" s="30">
        <f t="shared" si="524"/>
        <v>13.9175</v>
      </c>
      <c r="H5449" s="34"/>
      <c r="I5449" s="30"/>
      <c r="J5449" s="152">
        <v>0</v>
      </c>
      <c r="L5449" s="215">
        <v>0.5</v>
      </c>
      <c r="M5449" s="30">
        <v>23.82676</v>
      </c>
      <c r="N5449" s="30">
        <f t="shared" si="525"/>
        <v>11.91338</v>
      </c>
      <c r="O5449" s="34"/>
      <c r="P5449" s="36" t="str">
        <f t="shared" si="526"/>
        <v/>
      </c>
      <c r="Q5449" s="216">
        <f t="shared" si="527"/>
        <v>0.14400000000000002</v>
      </c>
      <c r="R5449" s="216">
        <f t="shared" si="528"/>
        <v>0.14400000000000002</v>
      </c>
      <c r="S5449" s="217" t="str">
        <f t="shared" si="529"/>
        <v/>
      </c>
    </row>
    <row r="5450" spans="1:19" ht="15.75" hidden="1" thickBot="1" x14ac:dyDescent="0.3">
      <c r="A5450" s="263"/>
      <c r="B5450" s="261"/>
      <c r="C5450" s="35"/>
      <c r="D5450" s="35"/>
      <c r="E5450" s="36"/>
      <c r="F5450" s="30" t="s">
        <v>416</v>
      </c>
      <c r="G5450" s="30" t="str">
        <f t="shared" si="524"/>
        <v/>
      </c>
      <c r="H5450" s="34"/>
      <c r="I5450" s="30"/>
      <c r="J5450" s="152">
        <v>0</v>
      </c>
      <c r="L5450" s="215"/>
      <c r="M5450" s="30"/>
      <c r="N5450" s="30" t="str">
        <f t="shared" si="525"/>
        <v/>
      </c>
      <c r="O5450" s="34"/>
      <c r="P5450" s="36" t="str">
        <f t="shared" si="526"/>
        <v/>
      </c>
      <c r="Q5450" s="216" t="str">
        <f t="shared" si="527"/>
        <v/>
      </c>
      <c r="R5450" s="216" t="str">
        <f t="shared" si="528"/>
        <v/>
      </c>
      <c r="S5450" s="217" t="str">
        <f t="shared" si="529"/>
        <v/>
      </c>
    </row>
    <row r="5451" spans="1:19" ht="15.75" hidden="1" thickBot="1" x14ac:dyDescent="0.3">
      <c r="A5451" s="256" t="s">
        <v>3294</v>
      </c>
      <c r="B5451" s="259" t="str">
        <f>INDEX(Orçamentária!A:B,MATCH(Composições!A5451,Orçamentária!A:A,0),2)</f>
        <v>Kit terminal para cabo de potência, 8,7 kV / 15 kV, 240 mm²</v>
      </c>
      <c r="C5451" s="40"/>
      <c r="D5451" s="25" t="s">
        <v>16</v>
      </c>
      <c r="E5451" s="26"/>
      <c r="F5451" s="41" t="s">
        <v>416</v>
      </c>
      <c r="G5451" s="27" t="str">
        <f t="shared" si="524"/>
        <v/>
      </c>
      <c r="H5451" s="28"/>
      <c r="I5451" s="29"/>
      <c r="J5451" s="152">
        <v>0</v>
      </c>
      <c r="L5451" s="218"/>
      <c r="M5451" s="41"/>
      <c r="N5451" s="27" t="str">
        <f t="shared" si="525"/>
        <v/>
      </c>
      <c r="O5451" s="28"/>
      <c r="P5451" s="36" t="str">
        <f t="shared" si="526"/>
        <v/>
      </c>
      <c r="Q5451" s="216" t="str">
        <f t="shared" si="527"/>
        <v/>
      </c>
      <c r="R5451" s="216" t="str">
        <f t="shared" si="528"/>
        <v/>
      </c>
      <c r="S5451" s="217" t="str">
        <f t="shared" si="529"/>
        <v/>
      </c>
    </row>
    <row r="5452" spans="1:19" ht="15.75" hidden="1" thickBot="1" x14ac:dyDescent="0.3">
      <c r="A5452" s="262"/>
      <c r="B5452" s="260"/>
      <c r="C5452" s="31"/>
      <c r="D5452" s="31"/>
      <c r="E5452" s="32"/>
      <c r="F5452" s="42" t="s">
        <v>416</v>
      </c>
      <c r="G5452" s="30" t="str">
        <f t="shared" si="524"/>
        <v/>
      </c>
      <c r="H5452" s="34"/>
      <c r="I5452" s="30"/>
      <c r="J5452" s="152">
        <v>0</v>
      </c>
      <c r="L5452" s="219"/>
      <c r="M5452" s="42"/>
      <c r="N5452" s="30" t="str">
        <f t="shared" si="525"/>
        <v/>
      </c>
      <c r="O5452" s="34"/>
      <c r="P5452" s="36" t="str">
        <f t="shared" si="526"/>
        <v/>
      </c>
      <c r="Q5452" s="216" t="str">
        <f t="shared" si="527"/>
        <v/>
      </c>
      <c r="R5452" s="216" t="str">
        <f t="shared" si="528"/>
        <v/>
      </c>
      <c r="S5452" s="217" t="str">
        <f t="shared" si="529"/>
        <v/>
      </c>
    </row>
    <row r="5453" spans="1:19" ht="15.75" hidden="1" thickBot="1" x14ac:dyDescent="0.3">
      <c r="A5453" s="262"/>
      <c r="B5453" s="260"/>
      <c r="C5453" s="35" t="s">
        <v>5569</v>
      </c>
      <c r="D5453" s="35" t="s">
        <v>213</v>
      </c>
      <c r="E5453" s="36">
        <v>1</v>
      </c>
      <c r="F5453" s="33" t="s">
        <v>416</v>
      </c>
      <c r="G5453" s="30" t="str">
        <f t="shared" si="524"/>
        <v/>
      </c>
      <c r="H5453" s="38">
        <f>SUM(G5453:G5455)</f>
        <v>24.709499999999998</v>
      </c>
      <c r="I5453" s="39"/>
      <c r="J5453" s="152">
        <v>0</v>
      </c>
      <c r="L5453" s="215">
        <v>1</v>
      </c>
      <c r="M5453" s="33"/>
      <c r="N5453" s="30" t="str">
        <f t="shared" si="525"/>
        <v/>
      </c>
      <c r="O5453" s="38">
        <f>SUM(N5453:N5455)</f>
        <v>21.151332</v>
      </c>
      <c r="P5453" s="36" t="str">
        <f t="shared" si="526"/>
        <v/>
      </c>
      <c r="Q5453" s="216" t="str">
        <f t="shared" si="527"/>
        <v/>
      </c>
      <c r="R5453" s="216" t="str">
        <f t="shared" si="528"/>
        <v/>
      </c>
      <c r="S5453" s="217">
        <f t="shared" si="529"/>
        <v>0.14399999999999991</v>
      </c>
    </row>
    <row r="5454" spans="1:19" ht="15.75" hidden="1" thickBot="1" x14ac:dyDescent="0.3">
      <c r="A5454" s="262"/>
      <c r="B5454" s="260"/>
      <c r="C5454" s="35" t="s">
        <v>1017</v>
      </c>
      <c r="D5454" s="35" t="s">
        <v>583</v>
      </c>
      <c r="E5454" s="36">
        <v>0.5</v>
      </c>
      <c r="F5454" s="33">
        <v>21.584</v>
      </c>
      <c r="G5454" s="30">
        <f t="shared" si="524"/>
        <v>10.792</v>
      </c>
      <c r="H5454" s="44"/>
      <c r="I5454" s="45"/>
      <c r="J5454" s="152">
        <v>0</v>
      </c>
      <c r="L5454" s="215">
        <v>0.5</v>
      </c>
      <c r="M5454" s="33">
        <v>18.475904</v>
      </c>
      <c r="N5454" s="30">
        <f t="shared" si="525"/>
        <v>9.2379519999999999</v>
      </c>
      <c r="O5454" s="44"/>
      <c r="P5454" s="36" t="str">
        <f t="shared" si="526"/>
        <v/>
      </c>
      <c r="Q5454" s="216">
        <f t="shared" si="527"/>
        <v>0.14400000000000002</v>
      </c>
      <c r="R5454" s="216">
        <f t="shared" si="528"/>
        <v>0.14400000000000002</v>
      </c>
      <c r="S5454" s="217" t="str">
        <f t="shared" si="529"/>
        <v/>
      </c>
    </row>
    <row r="5455" spans="1:19" ht="15.75" hidden="1" thickBot="1" x14ac:dyDescent="0.3">
      <c r="A5455" s="262"/>
      <c r="B5455" s="260"/>
      <c r="C5455" s="35" t="s">
        <v>1018</v>
      </c>
      <c r="D5455" s="35" t="s">
        <v>583</v>
      </c>
      <c r="E5455" s="36">
        <v>0.5</v>
      </c>
      <c r="F5455" s="30">
        <v>27.835000000000001</v>
      </c>
      <c r="G5455" s="30">
        <f t="shared" si="524"/>
        <v>13.9175</v>
      </c>
      <c r="H5455" s="34"/>
      <c r="I5455" s="30"/>
      <c r="J5455" s="152">
        <v>0</v>
      </c>
      <c r="L5455" s="215">
        <v>0.5</v>
      </c>
      <c r="M5455" s="30">
        <v>23.82676</v>
      </c>
      <c r="N5455" s="30">
        <f t="shared" si="525"/>
        <v>11.91338</v>
      </c>
      <c r="O5455" s="34"/>
      <c r="P5455" s="36" t="str">
        <f t="shared" si="526"/>
        <v/>
      </c>
      <c r="Q5455" s="216">
        <f t="shared" si="527"/>
        <v>0.14400000000000002</v>
      </c>
      <c r="R5455" s="216">
        <f t="shared" si="528"/>
        <v>0.14400000000000002</v>
      </c>
      <c r="S5455" s="217" t="str">
        <f t="shared" si="529"/>
        <v/>
      </c>
    </row>
    <row r="5456" spans="1:19" ht="15.75" hidden="1" thickBot="1" x14ac:dyDescent="0.3">
      <c r="A5456" s="263"/>
      <c r="B5456" s="261"/>
      <c r="C5456" s="35"/>
      <c r="D5456" s="35"/>
      <c r="E5456" s="36"/>
      <c r="F5456" s="30" t="s">
        <v>416</v>
      </c>
      <c r="G5456" s="30" t="str">
        <f t="shared" si="524"/>
        <v/>
      </c>
      <c r="H5456" s="34"/>
      <c r="I5456" s="30"/>
      <c r="J5456" s="152">
        <v>0</v>
      </c>
      <c r="L5456" s="215"/>
      <c r="M5456" s="30"/>
      <c r="N5456" s="30" t="str">
        <f t="shared" si="525"/>
        <v/>
      </c>
      <c r="O5456" s="34"/>
      <c r="P5456" s="36" t="str">
        <f t="shared" si="526"/>
        <v/>
      </c>
      <c r="Q5456" s="216" t="str">
        <f t="shared" si="527"/>
        <v/>
      </c>
      <c r="R5456" s="216" t="str">
        <f t="shared" si="528"/>
        <v/>
      </c>
      <c r="S5456" s="217" t="str">
        <f t="shared" si="529"/>
        <v/>
      </c>
    </row>
    <row r="5457" spans="1:19" ht="15.75" hidden="1" thickBot="1" x14ac:dyDescent="0.3">
      <c r="A5457" s="256" t="s">
        <v>3295</v>
      </c>
      <c r="B5457" s="259" t="str">
        <f>INDEX(Orçamentária!A:B,MATCH(Composições!A5457,Orçamentária!A:A,0),2)</f>
        <v>Tomada para condulete (20 A)</v>
      </c>
      <c r="C5457" s="40"/>
      <c r="D5457" s="25" t="s">
        <v>16</v>
      </c>
      <c r="E5457" s="26"/>
      <c r="F5457" s="41" t="s">
        <v>416</v>
      </c>
      <c r="G5457" s="27" t="str">
        <f t="shared" si="524"/>
        <v/>
      </c>
      <c r="H5457" s="28"/>
      <c r="I5457" s="29"/>
      <c r="J5457" s="152">
        <v>0</v>
      </c>
      <c r="L5457" s="218"/>
      <c r="M5457" s="41"/>
      <c r="N5457" s="27" t="str">
        <f t="shared" si="525"/>
        <v/>
      </c>
      <c r="O5457" s="28"/>
      <c r="P5457" s="36" t="str">
        <f t="shared" si="526"/>
        <v/>
      </c>
      <c r="Q5457" s="216" t="str">
        <f t="shared" si="527"/>
        <v/>
      </c>
      <c r="R5457" s="216" t="str">
        <f t="shared" si="528"/>
        <v/>
      </c>
      <c r="S5457" s="217" t="str">
        <f t="shared" si="529"/>
        <v/>
      </c>
    </row>
    <row r="5458" spans="1:19" ht="15.75" hidden="1" thickBot="1" x14ac:dyDescent="0.3">
      <c r="A5458" s="262"/>
      <c r="B5458" s="260"/>
      <c r="C5458" s="31"/>
      <c r="D5458" s="31"/>
      <c r="E5458" s="32"/>
      <c r="F5458" s="42" t="s">
        <v>416</v>
      </c>
      <c r="G5458" s="30" t="str">
        <f t="shared" si="524"/>
        <v/>
      </c>
      <c r="H5458" s="34"/>
      <c r="I5458" s="30"/>
      <c r="J5458" s="152">
        <v>0</v>
      </c>
      <c r="L5458" s="219"/>
      <c r="M5458" s="42"/>
      <c r="N5458" s="30" t="str">
        <f t="shared" si="525"/>
        <v/>
      </c>
      <c r="O5458" s="34"/>
      <c r="P5458" s="36" t="str">
        <f t="shared" si="526"/>
        <v/>
      </c>
      <c r="Q5458" s="216" t="str">
        <f t="shared" si="527"/>
        <v/>
      </c>
      <c r="R5458" s="216" t="str">
        <f t="shared" si="528"/>
        <v/>
      </c>
      <c r="S5458" s="217" t="str">
        <f t="shared" si="529"/>
        <v/>
      </c>
    </row>
    <row r="5459" spans="1:19" ht="15.75" hidden="1" thickBot="1" x14ac:dyDescent="0.3">
      <c r="A5459" s="262"/>
      <c r="B5459" s="260"/>
      <c r="C5459" s="35" t="s">
        <v>1018</v>
      </c>
      <c r="D5459" s="35" t="s">
        <v>583</v>
      </c>
      <c r="E5459" s="36">
        <v>0.308</v>
      </c>
      <c r="F5459" s="30">
        <v>27.835000000000001</v>
      </c>
      <c r="G5459" s="33">
        <f t="shared" si="524"/>
        <v>8.5731800000000007</v>
      </c>
      <c r="H5459" s="38">
        <f>SUM(G5459:G5462)</f>
        <v>21.431052000000001</v>
      </c>
      <c r="I5459" s="39"/>
      <c r="J5459" s="152">
        <v>0</v>
      </c>
      <c r="L5459" s="215">
        <v>0.308</v>
      </c>
      <c r="M5459" s="30">
        <v>23.82676</v>
      </c>
      <c r="N5459" s="33">
        <f t="shared" si="525"/>
        <v>7.3386420799999996</v>
      </c>
      <c r="O5459" s="38">
        <f>SUM(N5459:N5462)</f>
        <v>18.344980511999999</v>
      </c>
      <c r="P5459" s="36" t="str">
        <f t="shared" si="526"/>
        <v/>
      </c>
      <c r="Q5459" s="216">
        <f t="shared" si="527"/>
        <v>0.14400000000000002</v>
      </c>
      <c r="R5459" s="216">
        <f t="shared" si="528"/>
        <v>0.14400000000000013</v>
      </c>
      <c r="S5459" s="217">
        <f t="shared" si="529"/>
        <v>0.14400000000000013</v>
      </c>
    </row>
    <row r="5460" spans="1:19" ht="15.75" hidden="1" thickBot="1" x14ac:dyDescent="0.3">
      <c r="A5460" s="262"/>
      <c r="B5460" s="260"/>
      <c r="C5460" s="35" t="s">
        <v>1017</v>
      </c>
      <c r="D5460" s="35" t="s">
        <v>583</v>
      </c>
      <c r="E5460" s="36">
        <v>0.308</v>
      </c>
      <c r="F5460" s="30">
        <v>21.584</v>
      </c>
      <c r="G5460" s="33">
        <f t="shared" si="524"/>
        <v>6.6478719999999996</v>
      </c>
      <c r="H5460" s="34"/>
      <c r="I5460" s="30"/>
      <c r="J5460" s="152">
        <v>0</v>
      </c>
      <c r="L5460" s="215">
        <v>0.308</v>
      </c>
      <c r="M5460" s="30">
        <v>18.475904</v>
      </c>
      <c r="N5460" s="33">
        <f t="shared" si="525"/>
        <v>5.6905784319999997</v>
      </c>
      <c r="O5460" s="34"/>
      <c r="P5460" s="36" t="str">
        <f t="shared" si="526"/>
        <v/>
      </c>
      <c r="Q5460" s="216">
        <f t="shared" si="527"/>
        <v>0.14400000000000002</v>
      </c>
      <c r="R5460" s="216">
        <f t="shared" si="528"/>
        <v>0.14400000000000002</v>
      </c>
      <c r="S5460" s="217" t="str">
        <f t="shared" si="529"/>
        <v/>
      </c>
    </row>
    <row r="5461" spans="1:19" ht="26.25" hidden="1" thickBot="1" x14ac:dyDescent="0.3">
      <c r="A5461" s="262"/>
      <c r="B5461" s="260"/>
      <c r="C5461" s="35" t="s">
        <v>403</v>
      </c>
      <c r="D5461" s="35" t="s">
        <v>16</v>
      </c>
      <c r="E5461" s="36">
        <v>1</v>
      </c>
      <c r="F5461" s="33">
        <v>6.21</v>
      </c>
      <c r="G5461" s="33">
        <f t="shared" si="524"/>
        <v>6.21</v>
      </c>
      <c r="H5461" s="34"/>
      <c r="I5461" s="30"/>
      <c r="J5461" s="152">
        <v>0</v>
      </c>
      <c r="L5461" s="215">
        <v>1</v>
      </c>
      <c r="M5461" s="33">
        <v>5.31576</v>
      </c>
      <c r="N5461" s="33">
        <f t="shared" si="525"/>
        <v>5.31576</v>
      </c>
      <c r="O5461" s="34"/>
      <c r="P5461" s="36" t="str">
        <f t="shared" si="526"/>
        <v/>
      </c>
      <c r="Q5461" s="216">
        <f t="shared" si="527"/>
        <v>0.14400000000000002</v>
      </c>
      <c r="R5461" s="216">
        <f t="shared" si="528"/>
        <v>0.14400000000000002</v>
      </c>
      <c r="S5461" s="217" t="str">
        <f t="shared" si="529"/>
        <v/>
      </c>
    </row>
    <row r="5462" spans="1:19" ht="26.25" hidden="1" thickBot="1" x14ac:dyDescent="0.3">
      <c r="A5462" s="262"/>
      <c r="B5462" s="260"/>
      <c r="C5462" s="35" t="s">
        <v>5570</v>
      </c>
      <c r="D5462" s="35" t="s">
        <v>16</v>
      </c>
      <c r="E5462" s="36">
        <v>1</v>
      </c>
      <c r="F5462" s="33" t="s">
        <v>416</v>
      </c>
      <c r="G5462" s="30" t="str">
        <f t="shared" si="524"/>
        <v/>
      </c>
      <c r="H5462" s="34"/>
      <c r="I5462" s="30"/>
      <c r="J5462" s="152">
        <v>0</v>
      </c>
      <c r="L5462" s="215">
        <v>1</v>
      </c>
      <c r="M5462" s="33"/>
      <c r="N5462" s="30" t="str">
        <f t="shared" si="525"/>
        <v/>
      </c>
      <c r="O5462" s="34"/>
      <c r="P5462" s="36" t="str">
        <f t="shared" si="526"/>
        <v/>
      </c>
      <c r="Q5462" s="216" t="str">
        <f t="shared" si="527"/>
        <v/>
      </c>
      <c r="R5462" s="216" t="str">
        <f t="shared" si="528"/>
        <v/>
      </c>
      <c r="S5462" s="217" t="str">
        <f t="shared" si="529"/>
        <v/>
      </c>
    </row>
    <row r="5463" spans="1:19" ht="15.75" hidden="1" thickBot="1" x14ac:dyDescent="0.3">
      <c r="A5463" s="263"/>
      <c r="B5463" s="261"/>
      <c r="C5463" s="35"/>
      <c r="D5463" s="35"/>
      <c r="E5463" s="36"/>
      <c r="F5463" s="30" t="s">
        <v>416</v>
      </c>
      <c r="G5463" s="30" t="str">
        <f t="shared" si="524"/>
        <v/>
      </c>
      <c r="H5463" s="34"/>
      <c r="I5463" s="30"/>
      <c r="J5463" s="152">
        <v>0</v>
      </c>
      <c r="L5463" s="215"/>
      <c r="M5463" s="30"/>
      <c r="N5463" s="30" t="str">
        <f t="shared" si="525"/>
        <v/>
      </c>
      <c r="O5463" s="34"/>
      <c r="P5463" s="36" t="str">
        <f t="shared" si="526"/>
        <v/>
      </c>
      <c r="Q5463" s="216" t="str">
        <f t="shared" si="527"/>
        <v/>
      </c>
      <c r="R5463" s="216" t="str">
        <f t="shared" si="528"/>
        <v/>
      </c>
      <c r="S5463" s="217" t="str">
        <f t="shared" si="529"/>
        <v/>
      </c>
    </row>
    <row r="5464" spans="1:19" ht="15.75" hidden="1" thickBot="1" x14ac:dyDescent="0.3">
      <c r="A5464" s="256" t="s">
        <v>4173</v>
      </c>
      <c r="B5464" s="259" t="str">
        <f>INDEX(Orçamentária!A:B,MATCH(Composições!A5464,Orçamentária!A:A,0),2)</f>
        <v>Cabo de cobre nu 50 mm²</v>
      </c>
      <c r="C5464" s="40"/>
      <c r="D5464" s="25" t="s">
        <v>69</v>
      </c>
      <c r="E5464" s="26"/>
      <c r="F5464" s="41" t="s">
        <v>416</v>
      </c>
      <c r="G5464" s="27" t="str">
        <f t="shared" si="524"/>
        <v/>
      </c>
      <c r="H5464" s="28"/>
      <c r="I5464" s="29"/>
      <c r="J5464" s="152">
        <v>0</v>
      </c>
      <c r="L5464" s="218"/>
      <c r="M5464" s="41"/>
      <c r="N5464" s="27" t="str">
        <f t="shared" si="525"/>
        <v/>
      </c>
      <c r="O5464" s="28"/>
      <c r="P5464" s="36" t="str">
        <f t="shared" si="526"/>
        <v/>
      </c>
      <c r="Q5464" s="216" t="str">
        <f t="shared" si="527"/>
        <v/>
      </c>
      <c r="R5464" s="216" t="str">
        <f t="shared" si="528"/>
        <v/>
      </c>
      <c r="S5464" s="217" t="str">
        <f t="shared" si="529"/>
        <v/>
      </c>
    </row>
    <row r="5465" spans="1:19" ht="15.75" hidden="1" thickBot="1" x14ac:dyDescent="0.3">
      <c r="A5465" s="262"/>
      <c r="B5465" s="260"/>
      <c r="C5465" s="31"/>
      <c r="D5465" s="31"/>
      <c r="E5465" s="32"/>
      <c r="F5465" s="42" t="s">
        <v>416</v>
      </c>
      <c r="G5465" s="30" t="str">
        <f t="shared" si="524"/>
        <v/>
      </c>
      <c r="H5465" s="34"/>
      <c r="I5465" s="30"/>
      <c r="J5465" s="152">
        <v>0</v>
      </c>
      <c r="L5465" s="219"/>
      <c r="M5465" s="42"/>
      <c r="N5465" s="30" t="str">
        <f t="shared" si="525"/>
        <v/>
      </c>
      <c r="O5465" s="34"/>
      <c r="P5465" s="36" t="str">
        <f t="shared" si="526"/>
        <v/>
      </c>
      <c r="Q5465" s="216" t="str">
        <f t="shared" si="527"/>
        <v/>
      </c>
      <c r="R5465" s="216" t="str">
        <f t="shared" si="528"/>
        <v/>
      </c>
      <c r="S5465" s="217" t="str">
        <f t="shared" si="529"/>
        <v/>
      </c>
    </row>
    <row r="5466" spans="1:19" ht="15.75" hidden="1" thickBot="1" x14ac:dyDescent="0.3">
      <c r="A5466" s="262"/>
      <c r="B5466" s="260"/>
      <c r="C5466" s="35" t="s">
        <v>8028</v>
      </c>
      <c r="D5466" s="35" t="s">
        <v>385</v>
      </c>
      <c r="E5466" s="36">
        <v>1.1000000000000001</v>
      </c>
      <c r="F5466" s="33">
        <v>53.865000000000002</v>
      </c>
      <c r="G5466" s="30">
        <f t="shared" si="524"/>
        <v>59.251500000000007</v>
      </c>
      <c r="H5466" s="38">
        <f>SUM(G5466:G5468)</f>
        <v>60.916920300000008</v>
      </c>
      <c r="I5466" s="39"/>
      <c r="J5466" s="152">
        <v>0</v>
      </c>
      <c r="L5466" s="215">
        <v>1.1000000000000001</v>
      </c>
      <c r="M5466" s="33">
        <v>46.108440000000002</v>
      </c>
      <c r="N5466" s="30">
        <f t="shared" si="525"/>
        <v>50.719284000000009</v>
      </c>
      <c r="O5466" s="38">
        <f>SUM(N5466:N5468)</f>
        <v>52.144883776800008</v>
      </c>
      <c r="P5466" s="36" t="str">
        <f t="shared" si="526"/>
        <v/>
      </c>
      <c r="Q5466" s="216">
        <f t="shared" si="527"/>
        <v>0.14400000000000002</v>
      </c>
      <c r="R5466" s="216">
        <f t="shared" si="528"/>
        <v>0.14399999999999991</v>
      </c>
      <c r="S5466" s="217">
        <f t="shared" si="529"/>
        <v>0.14400000000000002</v>
      </c>
    </row>
    <row r="5467" spans="1:19" ht="15.75" hidden="1" thickBot="1" x14ac:dyDescent="0.3">
      <c r="A5467" s="262"/>
      <c r="B5467" s="260"/>
      <c r="C5467" s="35" t="s">
        <v>1017</v>
      </c>
      <c r="D5467" s="35" t="s">
        <v>583</v>
      </c>
      <c r="E5467" s="36">
        <v>3.3700000000000001E-2</v>
      </c>
      <c r="F5467" s="33">
        <v>21.584</v>
      </c>
      <c r="G5467" s="30">
        <f t="shared" si="524"/>
        <v>0.72738080000000005</v>
      </c>
      <c r="H5467" s="44"/>
      <c r="I5467" s="45"/>
      <c r="J5467" s="152">
        <v>0</v>
      </c>
      <c r="L5467" s="215">
        <v>3.3700000000000001E-2</v>
      </c>
      <c r="M5467" s="33">
        <v>18.475904</v>
      </c>
      <c r="N5467" s="30">
        <f t="shared" si="525"/>
        <v>0.6226379648</v>
      </c>
      <c r="O5467" s="44"/>
      <c r="P5467" s="36" t="str">
        <f t="shared" si="526"/>
        <v/>
      </c>
      <c r="Q5467" s="216">
        <f t="shared" si="527"/>
        <v>0.14400000000000002</v>
      </c>
      <c r="R5467" s="216">
        <f t="shared" si="528"/>
        <v>0.14400000000000002</v>
      </c>
      <c r="S5467" s="217" t="str">
        <f t="shared" si="529"/>
        <v/>
      </c>
    </row>
    <row r="5468" spans="1:19" ht="15.75" hidden="1" thickBot="1" x14ac:dyDescent="0.3">
      <c r="A5468" s="262"/>
      <c r="B5468" s="260"/>
      <c r="C5468" s="35" t="s">
        <v>1018</v>
      </c>
      <c r="D5468" s="35" t="s">
        <v>583</v>
      </c>
      <c r="E5468" s="36">
        <v>3.3700000000000001E-2</v>
      </c>
      <c r="F5468" s="30">
        <v>27.835000000000001</v>
      </c>
      <c r="G5468" s="30">
        <f t="shared" si="524"/>
        <v>0.93803950000000003</v>
      </c>
      <c r="H5468" s="34"/>
      <c r="I5468" s="30"/>
      <c r="J5468" s="152">
        <v>0</v>
      </c>
      <c r="L5468" s="215">
        <v>3.3700000000000001E-2</v>
      </c>
      <c r="M5468" s="30">
        <v>23.82676</v>
      </c>
      <c r="N5468" s="30">
        <f t="shared" si="525"/>
        <v>0.80296181200000005</v>
      </c>
      <c r="O5468" s="34"/>
      <c r="P5468" s="36" t="str">
        <f t="shared" si="526"/>
        <v/>
      </c>
      <c r="Q5468" s="216">
        <f t="shared" si="527"/>
        <v>0.14400000000000002</v>
      </c>
      <c r="R5468" s="216">
        <f t="shared" si="528"/>
        <v>0.14400000000000002</v>
      </c>
      <c r="S5468" s="217" t="str">
        <f t="shared" si="529"/>
        <v/>
      </c>
    </row>
    <row r="5469" spans="1:19" ht="15.75" hidden="1" thickBot="1" x14ac:dyDescent="0.3">
      <c r="A5469" s="263"/>
      <c r="B5469" s="261"/>
      <c r="C5469" s="35"/>
      <c r="D5469" s="35"/>
      <c r="E5469" s="36"/>
      <c r="F5469" s="30" t="s">
        <v>416</v>
      </c>
      <c r="G5469" s="30" t="str">
        <f t="shared" si="524"/>
        <v/>
      </c>
      <c r="H5469" s="34"/>
      <c r="I5469" s="30"/>
      <c r="J5469" s="152">
        <v>0</v>
      </c>
      <c r="L5469" s="215"/>
      <c r="M5469" s="30"/>
      <c r="N5469" s="30" t="str">
        <f t="shared" si="525"/>
        <v/>
      </c>
      <c r="O5469" s="34"/>
      <c r="P5469" s="36" t="str">
        <f t="shared" si="526"/>
        <v/>
      </c>
      <c r="Q5469" s="216" t="str">
        <f t="shared" si="527"/>
        <v/>
      </c>
      <c r="R5469" s="216" t="str">
        <f t="shared" si="528"/>
        <v/>
      </c>
      <c r="S5469" s="217" t="str">
        <f t="shared" si="529"/>
        <v/>
      </c>
    </row>
    <row r="5470" spans="1:19" ht="15.75" hidden="1" thickBot="1" x14ac:dyDescent="0.3">
      <c r="A5470" s="256" t="s">
        <v>4175</v>
      </c>
      <c r="B5470" s="259" t="str">
        <f>INDEX(Orçamentária!A:B,MATCH(Composições!A5470,Orçamentária!A:A,0),2)</f>
        <v>Haste de aterramento 3/4” x 3 m</v>
      </c>
      <c r="C5470" s="40"/>
      <c r="D5470" s="25" t="s">
        <v>16</v>
      </c>
      <c r="E5470" s="26"/>
      <c r="F5470" s="41" t="s">
        <v>416</v>
      </c>
      <c r="G5470" s="27" t="str">
        <f t="shared" si="524"/>
        <v/>
      </c>
      <c r="H5470" s="28"/>
      <c r="I5470" s="29"/>
      <c r="J5470" s="152">
        <v>0</v>
      </c>
      <c r="L5470" s="218"/>
      <c r="M5470" s="41"/>
      <c r="N5470" s="27" t="str">
        <f t="shared" si="525"/>
        <v/>
      </c>
      <c r="O5470" s="28"/>
      <c r="P5470" s="36" t="str">
        <f t="shared" si="526"/>
        <v/>
      </c>
      <c r="Q5470" s="216" t="str">
        <f t="shared" si="527"/>
        <v/>
      </c>
      <c r="R5470" s="216" t="str">
        <f t="shared" si="528"/>
        <v/>
      </c>
      <c r="S5470" s="217" t="str">
        <f t="shared" si="529"/>
        <v/>
      </c>
    </row>
    <row r="5471" spans="1:19" ht="15.75" hidden="1" thickBot="1" x14ac:dyDescent="0.3">
      <c r="A5471" s="262"/>
      <c r="B5471" s="260"/>
      <c r="C5471" s="31"/>
      <c r="D5471" s="31"/>
      <c r="E5471" s="32"/>
      <c r="F5471" s="42" t="s">
        <v>416</v>
      </c>
      <c r="G5471" s="30" t="str">
        <f t="shared" si="524"/>
        <v/>
      </c>
      <c r="H5471" s="34"/>
      <c r="I5471" s="30"/>
      <c r="J5471" s="152">
        <v>0</v>
      </c>
      <c r="L5471" s="219"/>
      <c r="M5471" s="42"/>
      <c r="N5471" s="30" t="str">
        <f t="shared" si="525"/>
        <v/>
      </c>
      <c r="O5471" s="34"/>
      <c r="P5471" s="36" t="str">
        <f t="shared" si="526"/>
        <v/>
      </c>
      <c r="Q5471" s="216" t="str">
        <f t="shared" si="527"/>
        <v/>
      </c>
      <c r="R5471" s="216" t="str">
        <f t="shared" si="528"/>
        <v/>
      </c>
      <c r="S5471" s="217" t="str">
        <f t="shared" si="529"/>
        <v/>
      </c>
    </row>
    <row r="5472" spans="1:19" ht="15.75" hidden="1" thickBot="1" x14ac:dyDescent="0.3">
      <c r="A5472" s="262"/>
      <c r="B5472" s="260"/>
      <c r="C5472" s="35" t="s">
        <v>5571</v>
      </c>
      <c r="D5472" s="35" t="s">
        <v>16</v>
      </c>
      <c r="E5472" s="36">
        <v>1</v>
      </c>
      <c r="F5472" s="33" t="s">
        <v>416</v>
      </c>
      <c r="G5472" s="30" t="str">
        <f t="shared" si="524"/>
        <v/>
      </c>
      <c r="H5472" s="38">
        <f>SUM(G5472:G5474)</f>
        <v>19.5452145</v>
      </c>
      <c r="I5472" s="39"/>
      <c r="J5472" s="152">
        <v>0</v>
      </c>
      <c r="L5472" s="215">
        <v>1</v>
      </c>
      <c r="M5472" s="33"/>
      <c r="N5472" s="30" t="str">
        <f t="shared" si="525"/>
        <v/>
      </c>
      <c r="O5472" s="38">
        <f>SUM(N5472:N5474)</f>
        <v>16.730703611999999</v>
      </c>
      <c r="P5472" s="36" t="str">
        <f t="shared" si="526"/>
        <v/>
      </c>
      <c r="Q5472" s="216" t="str">
        <f t="shared" si="527"/>
        <v/>
      </c>
      <c r="R5472" s="216" t="str">
        <f t="shared" si="528"/>
        <v/>
      </c>
      <c r="S5472" s="217">
        <f t="shared" si="529"/>
        <v>0.14400000000000002</v>
      </c>
    </row>
    <row r="5473" spans="1:19" ht="15.75" hidden="1" thickBot="1" x14ac:dyDescent="0.3">
      <c r="A5473" s="262"/>
      <c r="B5473" s="260"/>
      <c r="C5473" s="35" t="s">
        <v>1017</v>
      </c>
      <c r="D5473" s="35" t="s">
        <v>583</v>
      </c>
      <c r="E5473" s="36">
        <v>0.39550000000000002</v>
      </c>
      <c r="F5473" s="33">
        <v>21.584</v>
      </c>
      <c r="G5473" s="30">
        <f t="shared" si="524"/>
        <v>8.5364719999999998</v>
      </c>
      <c r="H5473" s="44"/>
      <c r="I5473" s="45"/>
      <c r="J5473" s="152">
        <v>0</v>
      </c>
      <c r="L5473" s="215">
        <v>0.39550000000000002</v>
      </c>
      <c r="M5473" s="33">
        <v>18.475904</v>
      </c>
      <c r="N5473" s="30">
        <f t="shared" si="525"/>
        <v>7.307220032</v>
      </c>
      <c r="O5473" s="44"/>
      <c r="P5473" s="36" t="str">
        <f t="shared" si="526"/>
        <v/>
      </c>
      <c r="Q5473" s="216">
        <f t="shared" si="527"/>
        <v>0.14400000000000002</v>
      </c>
      <c r="R5473" s="216">
        <f t="shared" si="528"/>
        <v>0.14400000000000002</v>
      </c>
      <c r="S5473" s="217" t="str">
        <f t="shared" si="529"/>
        <v/>
      </c>
    </row>
    <row r="5474" spans="1:19" ht="15.75" hidden="1" thickBot="1" x14ac:dyDescent="0.3">
      <c r="A5474" s="262"/>
      <c r="B5474" s="260"/>
      <c r="C5474" s="35" t="s">
        <v>1018</v>
      </c>
      <c r="D5474" s="35" t="s">
        <v>583</v>
      </c>
      <c r="E5474" s="36">
        <v>0.39550000000000002</v>
      </c>
      <c r="F5474" s="30">
        <v>27.835000000000001</v>
      </c>
      <c r="G5474" s="30">
        <f t="shared" si="524"/>
        <v>11.0087425</v>
      </c>
      <c r="H5474" s="34"/>
      <c r="I5474" s="30"/>
      <c r="J5474" s="152">
        <v>0</v>
      </c>
      <c r="L5474" s="215">
        <v>0.39550000000000002</v>
      </c>
      <c r="M5474" s="30">
        <v>23.82676</v>
      </c>
      <c r="N5474" s="30">
        <f t="shared" si="525"/>
        <v>9.423483580000001</v>
      </c>
      <c r="O5474" s="34"/>
      <c r="P5474" s="36" t="str">
        <f t="shared" si="526"/>
        <v/>
      </c>
      <c r="Q5474" s="216">
        <f t="shared" si="527"/>
        <v>0.14400000000000002</v>
      </c>
      <c r="R5474" s="216">
        <f t="shared" si="528"/>
        <v>0.14399999999999991</v>
      </c>
      <c r="S5474" s="217" t="str">
        <f t="shared" si="529"/>
        <v/>
      </c>
    </row>
    <row r="5475" spans="1:19" ht="15.75" hidden="1" thickBot="1" x14ac:dyDescent="0.3">
      <c r="A5475" s="263"/>
      <c r="B5475" s="261"/>
      <c r="C5475" s="35"/>
      <c r="D5475" s="35"/>
      <c r="E5475" s="36"/>
      <c r="F5475" s="30" t="s">
        <v>416</v>
      </c>
      <c r="G5475" s="30" t="str">
        <f t="shared" si="524"/>
        <v/>
      </c>
      <c r="H5475" s="34"/>
      <c r="I5475" s="30"/>
      <c r="J5475" s="152">
        <v>0</v>
      </c>
      <c r="L5475" s="215"/>
      <c r="M5475" s="30"/>
      <c r="N5475" s="30" t="str">
        <f t="shared" si="525"/>
        <v/>
      </c>
      <c r="O5475" s="34"/>
      <c r="P5475" s="36" t="str">
        <f t="shared" si="526"/>
        <v/>
      </c>
      <c r="Q5475" s="216" t="str">
        <f t="shared" si="527"/>
        <v/>
      </c>
      <c r="R5475" s="216" t="str">
        <f t="shared" si="528"/>
        <v/>
      </c>
      <c r="S5475" s="217" t="str">
        <f t="shared" si="529"/>
        <v/>
      </c>
    </row>
    <row r="5476" spans="1:19" ht="15.75" hidden="1" thickBot="1" x14ac:dyDescent="0.3">
      <c r="A5476" s="256" t="s">
        <v>4176</v>
      </c>
      <c r="B5476" s="259" t="str">
        <f>INDEX(Orçamentária!A:B,MATCH(Composições!A5476,Orçamentária!A:A,0),2)</f>
        <v>Leito 800 x 100 mm</v>
      </c>
      <c r="C5476" s="40"/>
      <c r="D5476" s="25" t="s">
        <v>69</v>
      </c>
      <c r="E5476" s="26"/>
      <c r="F5476" s="41" t="s">
        <v>416</v>
      </c>
      <c r="G5476" s="27" t="str">
        <f t="shared" si="524"/>
        <v/>
      </c>
      <c r="H5476" s="28"/>
      <c r="I5476" s="29"/>
      <c r="J5476" s="152">
        <v>0</v>
      </c>
      <c r="L5476" s="218"/>
      <c r="M5476" s="41"/>
      <c r="N5476" s="27" t="str">
        <f t="shared" si="525"/>
        <v/>
      </c>
      <c r="O5476" s="28"/>
      <c r="P5476" s="36" t="str">
        <f t="shared" si="526"/>
        <v/>
      </c>
      <c r="Q5476" s="216" t="str">
        <f t="shared" si="527"/>
        <v/>
      </c>
      <c r="R5476" s="216" t="str">
        <f t="shared" si="528"/>
        <v/>
      </c>
      <c r="S5476" s="217" t="str">
        <f t="shared" si="529"/>
        <v/>
      </c>
    </row>
    <row r="5477" spans="1:19" ht="15.75" hidden="1" thickBot="1" x14ac:dyDescent="0.3">
      <c r="A5477" s="262"/>
      <c r="B5477" s="260"/>
      <c r="C5477" s="31"/>
      <c r="D5477" s="31"/>
      <c r="E5477" s="32"/>
      <c r="F5477" s="42" t="s">
        <v>416</v>
      </c>
      <c r="G5477" s="30" t="str">
        <f t="shared" si="524"/>
        <v/>
      </c>
      <c r="H5477" s="34"/>
      <c r="I5477" s="30"/>
      <c r="J5477" s="152">
        <v>0</v>
      </c>
      <c r="L5477" s="219"/>
      <c r="M5477" s="42"/>
      <c r="N5477" s="30" t="str">
        <f t="shared" si="525"/>
        <v/>
      </c>
      <c r="O5477" s="34"/>
      <c r="P5477" s="36" t="str">
        <f t="shared" si="526"/>
        <v/>
      </c>
      <c r="Q5477" s="216" t="str">
        <f t="shared" si="527"/>
        <v/>
      </c>
      <c r="R5477" s="216" t="str">
        <f t="shared" si="528"/>
        <v/>
      </c>
      <c r="S5477" s="217" t="str">
        <f t="shared" si="529"/>
        <v/>
      </c>
    </row>
    <row r="5478" spans="1:19" ht="15.75" hidden="1" thickBot="1" x14ac:dyDescent="0.3">
      <c r="A5478" s="262"/>
      <c r="B5478" s="260"/>
      <c r="C5478" s="35" t="s">
        <v>1018</v>
      </c>
      <c r="D5478" s="35" t="s">
        <v>583</v>
      </c>
      <c r="E5478" s="36">
        <v>0.75</v>
      </c>
      <c r="F5478" s="30">
        <v>27.835000000000001</v>
      </c>
      <c r="G5478" s="33">
        <f t="shared" si="524"/>
        <v>20.876249999999999</v>
      </c>
      <c r="H5478" s="38">
        <f>SUM(G5478:G5480)</f>
        <v>37.064250000000001</v>
      </c>
      <c r="I5478" s="39"/>
      <c r="J5478" s="152">
        <v>0</v>
      </c>
      <c r="L5478" s="215">
        <v>0.75</v>
      </c>
      <c r="M5478" s="30">
        <v>23.82676</v>
      </c>
      <c r="N5478" s="33">
        <f t="shared" si="525"/>
        <v>17.870069999999998</v>
      </c>
      <c r="O5478" s="38">
        <f>SUM(N5478:N5480)</f>
        <v>31.726997999999998</v>
      </c>
      <c r="P5478" s="36" t="str">
        <f t="shared" si="526"/>
        <v/>
      </c>
      <c r="Q5478" s="216">
        <f t="shared" si="527"/>
        <v>0.14400000000000002</v>
      </c>
      <c r="R5478" s="216">
        <f t="shared" si="528"/>
        <v>0.14400000000000002</v>
      </c>
      <c r="S5478" s="217">
        <f t="shared" si="529"/>
        <v>0.14400000000000013</v>
      </c>
    </row>
    <row r="5479" spans="1:19" ht="15.75" hidden="1" thickBot="1" x14ac:dyDescent="0.3">
      <c r="A5479" s="262"/>
      <c r="B5479" s="260"/>
      <c r="C5479" s="35" t="s">
        <v>1017</v>
      </c>
      <c r="D5479" s="35" t="s">
        <v>583</v>
      </c>
      <c r="E5479" s="36">
        <v>0.75</v>
      </c>
      <c r="F5479" s="30">
        <v>21.584</v>
      </c>
      <c r="G5479" s="33">
        <f t="shared" si="524"/>
        <v>16.187999999999999</v>
      </c>
      <c r="H5479" s="34"/>
      <c r="I5479" s="30"/>
      <c r="J5479" s="152">
        <v>0</v>
      </c>
      <c r="L5479" s="215">
        <v>0.75</v>
      </c>
      <c r="M5479" s="30">
        <v>18.475904</v>
      </c>
      <c r="N5479" s="33">
        <f t="shared" si="525"/>
        <v>13.856928</v>
      </c>
      <c r="O5479" s="34"/>
      <c r="P5479" s="36" t="str">
        <f t="shared" si="526"/>
        <v/>
      </c>
      <c r="Q5479" s="216">
        <f t="shared" si="527"/>
        <v>0.14400000000000002</v>
      </c>
      <c r="R5479" s="216">
        <f t="shared" si="528"/>
        <v>0.14399999999999991</v>
      </c>
      <c r="S5479" s="217" t="str">
        <f t="shared" si="529"/>
        <v/>
      </c>
    </row>
    <row r="5480" spans="1:19" ht="26.25" hidden="1" thickBot="1" x14ac:dyDescent="0.3">
      <c r="A5480" s="262"/>
      <c r="B5480" s="260"/>
      <c r="C5480" s="35" t="s">
        <v>5572</v>
      </c>
      <c r="D5480" s="35" t="s">
        <v>69</v>
      </c>
      <c r="E5480" s="36">
        <v>1.05</v>
      </c>
      <c r="F5480" s="30" t="s">
        <v>416</v>
      </c>
      <c r="G5480" s="33" t="str">
        <f t="shared" si="524"/>
        <v/>
      </c>
      <c r="H5480" s="34"/>
      <c r="I5480" s="30"/>
      <c r="J5480" s="152">
        <v>0</v>
      </c>
      <c r="L5480" s="215">
        <v>1.05</v>
      </c>
      <c r="M5480" s="30"/>
      <c r="N5480" s="33" t="str">
        <f t="shared" si="525"/>
        <v/>
      </c>
      <c r="O5480" s="34"/>
      <c r="P5480" s="36" t="str">
        <f t="shared" si="526"/>
        <v/>
      </c>
      <c r="Q5480" s="216" t="str">
        <f t="shared" si="527"/>
        <v/>
      </c>
      <c r="R5480" s="216" t="str">
        <f t="shared" si="528"/>
        <v/>
      </c>
      <c r="S5480" s="217" t="str">
        <f t="shared" si="529"/>
        <v/>
      </c>
    </row>
    <row r="5481" spans="1:19" ht="15.75" hidden="1" thickBot="1" x14ac:dyDescent="0.3">
      <c r="A5481" s="263"/>
      <c r="B5481" s="261"/>
      <c r="C5481" s="35"/>
      <c r="D5481" s="35"/>
      <c r="E5481" s="36"/>
      <c r="F5481" s="30" t="s">
        <v>416</v>
      </c>
      <c r="G5481" s="30" t="str">
        <f t="shared" si="524"/>
        <v/>
      </c>
      <c r="H5481" s="34"/>
      <c r="I5481" s="30"/>
      <c r="J5481" s="152">
        <v>0</v>
      </c>
      <c r="L5481" s="215"/>
      <c r="M5481" s="30"/>
      <c r="N5481" s="30" t="str">
        <f t="shared" si="525"/>
        <v/>
      </c>
      <c r="O5481" s="34"/>
      <c r="P5481" s="36" t="str">
        <f t="shared" si="526"/>
        <v/>
      </c>
      <c r="Q5481" s="216" t="str">
        <f t="shared" si="527"/>
        <v/>
      </c>
      <c r="R5481" s="216" t="str">
        <f t="shared" si="528"/>
        <v/>
      </c>
      <c r="S5481" s="217" t="str">
        <f t="shared" si="529"/>
        <v/>
      </c>
    </row>
    <row r="5482" spans="1:19" ht="15.75" hidden="1" thickBot="1" x14ac:dyDescent="0.3">
      <c r="A5482" s="256" t="s">
        <v>4177</v>
      </c>
      <c r="B5482" s="259" t="str">
        <f>INDEX(Orçamentária!A:B,MATCH(Composições!A5482,Orçamentária!A:A,0),2)</f>
        <v>Engenheiro(a) eletricista pleno</v>
      </c>
      <c r="C5482" s="40"/>
      <c r="D5482" s="25" t="s">
        <v>1286</v>
      </c>
      <c r="E5482" s="26"/>
      <c r="F5482" s="41" t="s">
        <v>416</v>
      </c>
      <c r="G5482" s="27" t="str">
        <f t="shared" si="524"/>
        <v/>
      </c>
      <c r="H5482" s="28"/>
      <c r="I5482" s="29"/>
      <c r="J5482" s="152">
        <v>0</v>
      </c>
      <c r="L5482" s="218"/>
      <c r="M5482" s="41"/>
      <c r="N5482" s="27" t="str">
        <f t="shared" si="525"/>
        <v/>
      </c>
      <c r="O5482" s="28"/>
      <c r="P5482" s="36" t="str">
        <f t="shared" si="526"/>
        <v/>
      </c>
      <c r="Q5482" s="216" t="str">
        <f t="shared" si="527"/>
        <v/>
      </c>
      <c r="R5482" s="216" t="str">
        <f t="shared" si="528"/>
        <v/>
      </c>
      <c r="S5482" s="217" t="str">
        <f t="shared" si="529"/>
        <v/>
      </c>
    </row>
    <row r="5483" spans="1:19" ht="15.75" hidden="1" thickBot="1" x14ac:dyDescent="0.3">
      <c r="A5483" s="262"/>
      <c r="B5483" s="260"/>
      <c r="C5483" s="31"/>
      <c r="D5483" s="31"/>
      <c r="E5483" s="32"/>
      <c r="F5483" s="42" t="s">
        <v>416</v>
      </c>
      <c r="G5483" s="30" t="str">
        <f t="shared" si="524"/>
        <v/>
      </c>
      <c r="H5483" s="34"/>
      <c r="I5483" s="30"/>
      <c r="J5483" s="152">
        <v>0</v>
      </c>
      <c r="L5483" s="219"/>
      <c r="M5483" s="42"/>
      <c r="N5483" s="30" t="str">
        <f t="shared" si="525"/>
        <v/>
      </c>
      <c r="O5483" s="34"/>
      <c r="P5483" s="36" t="str">
        <f t="shared" si="526"/>
        <v/>
      </c>
      <c r="Q5483" s="216" t="str">
        <f t="shared" si="527"/>
        <v/>
      </c>
      <c r="R5483" s="216" t="str">
        <f t="shared" si="528"/>
        <v/>
      </c>
      <c r="S5483" s="217" t="str">
        <f t="shared" si="529"/>
        <v/>
      </c>
    </row>
    <row r="5484" spans="1:19" ht="15.75" hidden="1" thickBot="1" x14ac:dyDescent="0.3">
      <c r="A5484" s="262"/>
      <c r="B5484" s="260"/>
      <c r="C5484" s="35" t="s">
        <v>2917</v>
      </c>
      <c r="D5484" s="35" t="s">
        <v>583</v>
      </c>
      <c r="E5484" s="36">
        <v>1</v>
      </c>
      <c r="F5484" s="30">
        <v>124.203</v>
      </c>
      <c r="G5484" s="33">
        <f t="shared" si="524"/>
        <v>124.203</v>
      </c>
      <c r="H5484" s="38">
        <f>SUM(G5484:G5484)</f>
        <v>124.203</v>
      </c>
      <c r="I5484" s="39"/>
      <c r="J5484" s="152">
        <v>0</v>
      </c>
      <c r="L5484" s="215">
        <v>1</v>
      </c>
      <c r="M5484" s="30">
        <v>106.317768</v>
      </c>
      <c r="N5484" s="33">
        <f t="shared" si="525"/>
        <v>106.317768</v>
      </c>
      <c r="O5484" s="38">
        <f>SUM(N5484:N5484)</f>
        <v>106.317768</v>
      </c>
      <c r="P5484" s="36" t="str">
        <f t="shared" si="526"/>
        <v/>
      </c>
      <c r="Q5484" s="216">
        <f t="shared" si="527"/>
        <v>0.14400000000000002</v>
      </c>
      <c r="R5484" s="216">
        <f t="shared" si="528"/>
        <v>0.14400000000000002</v>
      </c>
      <c r="S5484" s="217">
        <f t="shared" si="529"/>
        <v>0.14400000000000002</v>
      </c>
    </row>
    <row r="5485" spans="1:19" ht="15.75" hidden="1" thickBot="1" x14ac:dyDescent="0.3">
      <c r="A5485" s="263"/>
      <c r="B5485" s="261"/>
      <c r="C5485" s="35"/>
      <c r="D5485" s="35"/>
      <c r="E5485" s="36"/>
      <c r="F5485" s="30" t="s">
        <v>416</v>
      </c>
      <c r="G5485" s="30" t="str">
        <f t="shared" si="524"/>
        <v/>
      </c>
      <c r="H5485" s="34"/>
      <c r="I5485" s="30"/>
      <c r="J5485" s="152">
        <v>0</v>
      </c>
      <c r="L5485" s="215"/>
      <c r="M5485" s="30"/>
      <c r="N5485" s="30" t="str">
        <f t="shared" si="525"/>
        <v/>
      </c>
      <c r="O5485" s="34"/>
      <c r="P5485" s="36" t="str">
        <f t="shared" si="526"/>
        <v/>
      </c>
      <c r="Q5485" s="216" t="str">
        <f t="shared" si="527"/>
        <v/>
      </c>
      <c r="R5485" s="216" t="str">
        <f t="shared" si="528"/>
        <v/>
      </c>
      <c r="S5485" s="217" t="str">
        <f t="shared" si="529"/>
        <v/>
      </c>
    </row>
    <row r="5486" spans="1:19" ht="15.75" hidden="1" thickBot="1" x14ac:dyDescent="0.3">
      <c r="A5486" s="256" t="s">
        <v>4179</v>
      </c>
      <c r="B5486" s="259" t="str">
        <f>INDEX(Orçamentária!A:B,MATCH(Composições!A5486,Orçamentária!A:A,0),2)</f>
        <v>Mão francesa metálica dupla</v>
      </c>
      <c r="C5486" s="40"/>
      <c r="D5486" s="25" t="s">
        <v>16</v>
      </c>
      <c r="E5486" s="26"/>
      <c r="F5486" s="41" t="s">
        <v>416</v>
      </c>
      <c r="G5486" s="27" t="str">
        <f t="shared" ref="G5486:G5549" si="530">IF(ISNUMBER(F5486),E5486*F5486,"")</f>
        <v/>
      </c>
      <c r="H5486" s="28"/>
      <c r="I5486" s="29"/>
      <c r="J5486" s="152">
        <v>0</v>
      </c>
      <c r="L5486" s="218"/>
      <c r="M5486" s="41"/>
      <c r="N5486" s="27" t="str">
        <f t="shared" ref="N5486:N5549" si="531">IF(ISNUMBER(M5486),L5486*M5486,"")</f>
        <v/>
      </c>
      <c r="O5486" s="28"/>
      <c r="P5486" s="36" t="str">
        <f t="shared" si="526"/>
        <v/>
      </c>
      <c r="Q5486" s="216" t="str">
        <f t="shared" si="527"/>
        <v/>
      </c>
      <c r="R5486" s="216" t="str">
        <f t="shared" si="528"/>
        <v/>
      </c>
      <c r="S5486" s="217" t="str">
        <f t="shared" si="529"/>
        <v/>
      </c>
    </row>
    <row r="5487" spans="1:19" ht="15.75" hidden="1" thickBot="1" x14ac:dyDescent="0.3">
      <c r="A5487" s="262"/>
      <c r="B5487" s="260"/>
      <c r="C5487" s="31"/>
      <c r="D5487" s="31"/>
      <c r="E5487" s="32"/>
      <c r="F5487" s="42" t="s">
        <v>416</v>
      </c>
      <c r="G5487" s="30" t="str">
        <f t="shared" si="530"/>
        <v/>
      </c>
      <c r="H5487" s="34"/>
      <c r="I5487" s="30"/>
      <c r="J5487" s="152">
        <v>0</v>
      </c>
      <c r="L5487" s="219"/>
      <c r="M5487" s="42"/>
      <c r="N5487" s="30" t="str">
        <f t="shared" si="531"/>
        <v/>
      </c>
      <c r="O5487" s="34"/>
      <c r="P5487" s="36" t="str">
        <f t="shared" si="526"/>
        <v/>
      </c>
      <c r="Q5487" s="216" t="str">
        <f t="shared" si="527"/>
        <v/>
      </c>
      <c r="R5487" s="216" t="str">
        <f t="shared" si="528"/>
        <v/>
      </c>
      <c r="S5487" s="217" t="str">
        <f t="shared" si="529"/>
        <v/>
      </c>
    </row>
    <row r="5488" spans="1:19" ht="39" hidden="1" thickBot="1" x14ac:dyDescent="0.3">
      <c r="A5488" s="262"/>
      <c r="B5488" s="260"/>
      <c r="C5488" s="35" t="s">
        <v>991</v>
      </c>
      <c r="D5488" s="35" t="s">
        <v>213</v>
      </c>
      <c r="E5488" s="36">
        <v>3</v>
      </c>
      <c r="F5488" s="30">
        <v>1.1019999999999999</v>
      </c>
      <c r="G5488" s="33">
        <f t="shared" si="530"/>
        <v>3.3059999999999996</v>
      </c>
      <c r="H5488" s="38">
        <f>SUM(G5488:G5491)</f>
        <v>19.732790099999999</v>
      </c>
      <c r="I5488" s="39"/>
      <c r="J5488" s="152">
        <v>0</v>
      </c>
      <c r="L5488" s="215">
        <v>3</v>
      </c>
      <c r="M5488" s="30">
        <v>0.94331199999999993</v>
      </c>
      <c r="N5488" s="33">
        <f t="shared" si="531"/>
        <v>2.829936</v>
      </c>
      <c r="O5488" s="38">
        <f>SUM(N5488:N5491)</f>
        <v>16.891268325599999</v>
      </c>
      <c r="P5488" s="36" t="str">
        <f t="shared" si="526"/>
        <v/>
      </c>
      <c r="Q5488" s="216">
        <f t="shared" si="527"/>
        <v>0.14400000000000002</v>
      </c>
      <c r="R5488" s="216">
        <f t="shared" si="528"/>
        <v>0.14399999999999991</v>
      </c>
      <c r="S5488" s="217">
        <f t="shared" si="529"/>
        <v>0.14400000000000002</v>
      </c>
    </row>
    <row r="5489" spans="1:19" ht="26.25" hidden="1" thickBot="1" x14ac:dyDescent="0.3">
      <c r="A5489" s="262"/>
      <c r="B5489" s="260"/>
      <c r="C5489" s="35" t="s">
        <v>5573</v>
      </c>
      <c r="D5489" s="35" t="s">
        <v>213</v>
      </c>
      <c r="E5489" s="36">
        <v>1</v>
      </c>
      <c r="F5489" s="30" t="s">
        <v>416</v>
      </c>
      <c r="G5489" s="33" t="str">
        <f t="shared" si="530"/>
        <v/>
      </c>
      <c r="H5489" s="34"/>
      <c r="I5489" s="30"/>
      <c r="J5489" s="152">
        <v>0</v>
      </c>
      <c r="L5489" s="215">
        <v>1</v>
      </c>
      <c r="M5489" s="30"/>
      <c r="N5489" s="33" t="str">
        <f t="shared" si="531"/>
        <v/>
      </c>
      <c r="O5489" s="34"/>
      <c r="P5489" s="36" t="str">
        <f t="shared" si="526"/>
        <v/>
      </c>
      <c r="Q5489" s="216" t="str">
        <f t="shared" si="527"/>
        <v/>
      </c>
      <c r="R5489" s="216" t="str">
        <f t="shared" si="528"/>
        <v/>
      </c>
      <c r="S5489" s="217" t="str">
        <f t="shared" si="529"/>
        <v/>
      </c>
    </row>
    <row r="5490" spans="1:19" ht="15.75" hidden="1" thickBot="1" x14ac:dyDescent="0.3">
      <c r="A5490" s="262"/>
      <c r="B5490" s="260"/>
      <c r="C5490" s="35" t="s">
        <v>1018</v>
      </c>
      <c r="D5490" s="35" t="s">
        <v>583</v>
      </c>
      <c r="E5490" s="36">
        <v>0.4743</v>
      </c>
      <c r="F5490" s="30">
        <v>27.835000000000001</v>
      </c>
      <c r="G5490" s="33">
        <f t="shared" si="530"/>
        <v>13.202140500000001</v>
      </c>
      <c r="H5490" s="34"/>
      <c r="I5490" s="30"/>
      <c r="J5490" s="152">
        <v>0</v>
      </c>
      <c r="L5490" s="215">
        <v>0.4743</v>
      </c>
      <c r="M5490" s="30">
        <v>23.82676</v>
      </c>
      <c r="N5490" s="33">
        <f t="shared" si="531"/>
        <v>11.301032268</v>
      </c>
      <c r="O5490" s="34"/>
      <c r="P5490" s="36" t="str">
        <f t="shared" si="526"/>
        <v/>
      </c>
      <c r="Q5490" s="216">
        <f t="shared" si="527"/>
        <v>0.14400000000000002</v>
      </c>
      <c r="R5490" s="216">
        <f t="shared" si="528"/>
        <v>0.14400000000000002</v>
      </c>
      <c r="S5490" s="217" t="str">
        <f t="shared" si="529"/>
        <v/>
      </c>
    </row>
    <row r="5491" spans="1:19" ht="15.75" hidden="1" thickBot="1" x14ac:dyDescent="0.3">
      <c r="A5491" s="262"/>
      <c r="B5491" s="260"/>
      <c r="C5491" s="35" t="s">
        <v>1017</v>
      </c>
      <c r="D5491" s="35" t="s">
        <v>583</v>
      </c>
      <c r="E5491" s="36">
        <v>0.14940000000000001</v>
      </c>
      <c r="F5491" s="30">
        <v>21.584</v>
      </c>
      <c r="G5491" s="33">
        <f t="shared" si="530"/>
        <v>3.2246496000000002</v>
      </c>
      <c r="H5491" s="34"/>
      <c r="I5491" s="30"/>
      <c r="J5491" s="152">
        <v>0</v>
      </c>
      <c r="L5491" s="215">
        <v>0.14940000000000001</v>
      </c>
      <c r="M5491" s="30">
        <v>18.475904</v>
      </c>
      <c r="N5491" s="33">
        <f t="shared" si="531"/>
        <v>2.7603000575999999</v>
      </c>
      <c r="O5491" s="34"/>
      <c r="P5491" s="36" t="str">
        <f t="shared" si="526"/>
        <v/>
      </c>
      <c r="Q5491" s="216">
        <f t="shared" si="527"/>
        <v>0.14400000000000002</v>
      </c>
      <c r="R5491" s="216">
        <f t="shared" si="528"/>
        <v>0.14400000000000013</v>
      </c>
      <c r="S5491" s="217" t="str">
        <f t="shared" si="529"/>
        <v/>
      </c>
    </row>
    <row r="5492" spans="1:19" ht="15.75" hidden="1" thickBot="1" x14ac:dyDescent="0.3">
      <c r="A5492" s="263"/>
      <c r="B5492" s="261"/>
      <c r="C5492" s="35"/>
      <c r="D5492" s="35"/>
      <c r="E5492" s="36"/>
      <c r="F5492" s="30" t="s">
        <v>416</v>
      </c>
      <c r="G5492" s="30" t="str">
        <f t="shared" si="530"/>
        <v/>
      </c>
      <c r="H5492" s="34"/>
      <c r="I5492" s="30"/>
      <c r="J5492" s="152">
        <v>0</v>
      </c>
      <c r="L5492" s="215"/>
      <c r="M5492" s="30"/>
      <c r="N5492" s="30" t="str">
        <f t="shared" si="531"/>
        <v/>
      </c>
      <c r="O5492" s="34"/>
      <c r="P5492" s="36" t="str">
        <f t="shared" si="526"/>
        <v/>
      </c>
      <c r="Q5492" s="216" t="str">
        <f t="shared" si="527"/>
        <v/>
      </c>
      <c r="R5492" s="216" t="str">
        <f t="shared" si="528"/>
        <v/>
      </c>
      <c r="S5492" s="217" t="str">
        <f t="shared" si="529"/>
        <v/>
      </c>
    </row>
    <row r="5493" spans="1:19" ht="15.75" hidden="1" thickBot="1" x14ac:dyDescent="0.3">
      <c r="A5493" s="256" t="s">
        <v>4180</v>
      </c>
      <c r="B5493" s="259" t="str">
        <f>INDEX(Orçamentária!A:B,MATCH(Composições!A5493,Orçamentária!A:A,0),2)</f>
        <v>Óleo diesel</v>
      </c>
      <c r="C5493" s="40"/>
      <c r="D5493" s="25" t="s">
        <v>75</v>
      </c>
      <c r="E5493" s="26"/>
      <c r="F5493" s="41" t="s">
        <v>416</v>
      </c>
      <c r="G5493" s="27" t="str">
        <f t="shared" si="530"/>
        <v/>
      </c>
      <c r="H5493" s="28"/>
      <c r="I5493" s="29"/>
      <c r="J5493" s="152">
        <v>0</v>
      </c>
      <c r="L5493" s="218"/>
      <c r="M5493" s="41"/>
      <c r="N5493" s="27" t="str">
        <f t="shared" si="531"/>
        <v/>
      </c>
      <c r="O5493" s="28"/>
      <c r="P5493" s="36" t="str">
        <f t="shared" si="526"/>
        <v/>
      </c>
      <c r="Q5493" s="216" t="str">
        <f t="shared" si="527"/>
        <v/>
      </c>
      <c r="R5493" s="216" t="str">
        <f t="shared" si="528"/>
        <v/>
      </c>
      <c r="S5493" s="217" t="str">
        <f t="shared" si="529"/>
        <v/>
      </c>
    </row>
    <row r="5494" spans="1:19" ht="15.75" hidden="1" thickBot="1" x14ac:dyDescent="0.3">
      <c r="A5494" s="262"/>
      <c r="B5494" s="260"/>
      <c r="C5494" s="31"/>
      <c r="D5494" s="31"/>
      <c r="E5494" s="32"/>
      <c r="F5494" s="42" t="s">
        <v>416</v>
      </c>
      <c r="G5494" s="30" t="str">
        <f t="shared" si="530"/>
        <v/>
      </c>
      <c r="H5494" s="34"/>
      <c r="I5494" s="30"/>
      <c r="J5494" s="152">
        <v>0</v>
      </c>
      <c r="L5494" s="219"/>
      <c r="M5494" s="42"/>
      <c r="N5494" s="30" t="str">
        <f t="shared" si="531"/>
        <v/>
      </c>
      <c r="O5494" s="34"/>
      <c r="P5494" s="36" t="str">
        <f t="shared" si="526"/>
        <v/>
      </c>
      <c r="Q5494" s="216" t="str">
        <f t="shared" si="527"/>
        <v/>
      </c>
      <c r="R5494" s="216" t="str">
        <f t="shared" si="528"/>
        <v/>
      </c>
      <c r="S5494" s="217" t="str">
        <f t="shared" si="529"/>
        <v/>
      </c>
    </row>
    <row r="5495" spans="1:19" ht="15.75" hidden="1" thickBot="1" x14ac:dyDescent="0.3">
      <c r="A5495" s="262"/>
      <c r="B5495" s="260"/>
      <c r="C5495" s="35" t="s">
        <v>8302</v>
      </c>
      <c r="D5495" s="35" t="s">
        <v>75</v>
      </c>
      <c r="E5495" s="36">
        <v>1</v>
      </c>
      <c r="F5495" s="30">
        <v>5.7285000000000004</v>
      </c>
      <c r="G5495" s="33">
        <f t="shared" si="530"/>
        <v>5.7285000000000004</v>
      </c>
      <c r="H5495" s="38">
        <f>SUM(G5495:G5495)</f>
        <v>5.7285000000000004</v>
      </c>
      <c r="I5495" s="39"/>
      <c r="J5495" s="152">
        <v>0</v>
      </c>
      <c r="L5495" s="215">
        <v>1</v>
      </c>
      <c r="M5495" s="30">
        <v>4.9035960000000003</v>
      </c>
      <c r="N5495" s="33">
        <f t="shared" si="531"/>
        <v>4.9035960000000003</v>
      </c>
      <c r="O5495" s="38">
        <f>SUM(N5495:N5495)</f>
        <v>4.9035960000000003</v>
      </c>
      <c r="P5495" s="36" t="str">
        <f t="shared" si="526"/>
        <v/>
      </c>
      <c r="Q5495" s="216">
        <f t="shared" si="527"/>
        <v>0.14400000000000002</v>
      </c>
      <c r="R5495" s="216">
        <f t="shared" si="528"/>
        <v>0.14400000000000002</v>
      </c>
      <c r="S5495" s="217">
        <f t="shared" si="529"/>
        <v>0.14400000000000002</v>
      </c>
    </row>
    <row r="5496" spans="1:19" ht="15.75" hidden="1" thickBot="1" x14ac:dyDescent="0.3">
      <c r="A5496" s="263"/>
      <c r="B5496" s="261"/>
      <c r="C5496" s="35"/>
      <c r="D5496" s="35"/>
      <c r="E5496" s="36"/>
      <c r="F5496" s="30" t="s">
        <v>416</v>
      </c>
      <c r="G5496" s="30" t="str">
        <f t="shared" si="530"/>
        <v/>
      </c>
      <c r="H5496" s="34"/>
      <c r="I5496" s="30"/>
      <c r="J5496" s="152">
        <v>0</v>
      </c>
      <c r="L5496" s="215"/>
      <c r="M5496" s="30"/>
      <c r="N5496" s="30" t="str">
        <f t="shared" si="531"/>
        <v/>
      </c>
      <c r="O5496" s="34"/>
      <c r="P5496" s="36" t="str">
        <f t="shared" si="526"/>
        <v/>
      </c>
      <c r="Q5496" s="216" t="str">
        <f t="shared" si="527"/>
        <v/>
      </c>
      <c r="R5496" s="216" t="str">
        <f t="shared" si="528"/>
        <v/>
      </c>
      <c r="S5496" s="217" t="str">
        <f t="shared" si="529"/>
        <v/>
      </c>
    </row>
    <row r="5497" spans="1:19" ht="15.75" hidden="1" thickBot="1" x14ac:dyDescent="0.3">
      <c r="A5497" s="256" t="s">
        <v>4192</v>
      </c>
      <c r="B5497" s="259" t="str">
        <f>INDEX(Orçamentária!A:B,MATCH(Composições!A5497,Orçamentária!A:A,0),2)</f>
        <v>Supervisor Técnico – Sistema Elétrico</v>
      </c>
      <c r="C5497" s="40"/>
      <c r="D5497" s="25" t="s">
        <v>2177</v>
      </c>
      <c r="E5497" s="26"/>
      <c r="F5497" s="48" t="s">
        <v>416</v>
      </c>
      <c r="G5497" s="27" t="str">
        <f t="shared" si="530"/>
        <v/>
      </c>
      <c r="H5497" s="28"/>
      <c r="I5497" s="29"/>
      <c r="J5497" s="152">
        <v>0</v>
      </c>
      <c r="L5497" s="218"/>
      <c r="M5497" s="48"/>
      <c r="N5497" s="27" t="str">
        <f t="shared" si="531"/>
        <v/>
      </c>
      <c r="O5497" s="28"/>
      <c r="P5497" s="36" t="str">
        <f t="shared" si="526"/>
        <v/>
      </c>
      <c r="Q5497" s="216" t="str">
        <f t="shared" si="527"/>
        <v/>
      </c>
      <c r="R5497" s="216" t="str">
        <f t="shared" si="528"/>
        <v/>
      </c>
      <c r="S5497" s="217" t="str">
        <f t="shared" si="529"/>
        <v/>
      </c>
    </row>
    <row r="5498" spans="1:19" ht="15.75" hidden="1" thickBot="1" x14ac:dyDescent="0.3">
      <c r="A5498" s="257"/>
      <c r="B5498" s="260"/>
      <c r="C5498" s="31"/>
      <c r="D5498" s="31"/>
      <c r="E5498" s="32"/>
      <c r="F5498" s="53" t="s">
        <v>416</v>
      </c>
      <c r="G5498" s="53" t="str">
        <f t="shared" si="530"/>
        <v/>
      </c>
      <c r="H5498" s="72"/>
      <c r="I5498" s="73"/>
      <c r="J5498" s="152">
        <v>0</v>
      </c>
      <c r="L5498" s="219"/>
      <c r="M5498" s="53"/>
      <c r="N5498" s="53" t="str">
        <f t="shared" si="531"/>
        <v/>
      </c>
      <c r="O5498" s="72"/>
      <c r="P5498" s="36" t="str">
        <f t="shared" si="526"/>
        <v/>
      </c>
      <c r="Q5498" s="216" t="str">
        <f t="shared" si="527"/>
        <v/>
      </c>
      <c r="R5498" s="216" t="str">
        <f t="shared" si="528"/>
        <v/>
      </c>
      <c r="S5498" s="217" t="str">
        <f t="shared" si="529"/>
        <v/>
      </c>
    </row>
    <row r="5499" spans="1:19" ht="15.75" hidden="1" thickBot="1" x14ac:dyDescent="0.3">
      <c r="A5499" s="257"/>
      <c r="B5499" s="260"/>
      <c r="C5499" s="35" t="s">
        <v>2917</v>
      </c>
      <c r="D5499" s="35" t="s">
        <v>583</v>
      </c>
      <c r="E5499" s="36">
        <f>ROUND(220/(1+110.14%),4)</f>
        <v>104.6921</v>
      </c>
      <c r="F5499" s="30">
        <v>124.203</v>
      </c>
      <c r="G5499" s="53">
        <f t="shared" si="530"/>
        <v>13003.0728963</v>
      </c>
      <c r="H5499" s="38">
        <f>SUM(G5499:G5499)</f>
        <v>13003.0728963</v>
      </c>
      <c r="I5499" s="39"/>
      <c r="J5499" s="152">
        <v>0</v>
      </c>
      <c r="L5499" s="215">
        <v>104.6921</v>
      </c>
      <c r="M5499" s="30">
        <v>106.317768</v>
      </c>
      <c r="N5499" s="53">
        <f t="shared" si="531"/>
        <v>11130.630399232799</v>
      </c>
      <c r="O5499" s="38">
        <f>SUM(N5499:N5499)</f>
        <v>11130.630399232799</v>
      </c>
      <c r="P5499" s="36" t="str">
        <f t="shared" si="526"/>
        <v/>
      </c>
      <c r="Q5499" s="216">
        <f t="shared" si="527"/>
        <v>0.14400000000000002</v>
      </c>
      <c r="R5499" s="216">
        <f t="shared" si="528"/>
        <v>0.14400000000000002</v>
      </c>
      <c r="S5499" s="217">
        <f t="shared" si="529"/>
        <v>0.14400000000000002</v>
      </c>
    </row>
    <row r="5500" spans="1:19" ht="15.75" hidden="1" thickBot="1" x14ac:dyDescent="0.3">
      <c r="A5500" s="257"/>
      <c r="B5500" s="260"/>
      <c r="C5500" s="31"/>
      <c r="D5500" s="31"/>
      <c r="E5500" s="32"/>
      <c r="F5500" s="53" t="s">
        <v>416</v>
      </c>
      <c r="G5500" s="53" t="str">
        <f t="shared" si="530"/>
        <v/>
      </c>
      <c r="H5500" s="72"/>
      <c r="I5500" s="73"/>
      <c r="J5500" s="152">
        <v>0</v>
      </c>
      <c r="L5500" s="219"/>
      <c r="M5500" s="53"/>
      <c r="N5500" s="53" t="str">
        <f t="shared" si="531"/>
        <v/>
      </c>
      <c r="O5500" s="72"/>
      <c r="P5500" s="36" t="str">
        <f t="shared" si="526"/>
        <v/>
      </c>
      <c r="Q5500" s="216" t="str">
        <f t="shared" si="527"/>
        <v/>
      </c>
      <c r="R5500" s="216" t="str">
        <f t="shared" si="528"/>
        <v/>
      </c>
      <c r="S5500" s="217" t="str">
        <f t="shared" si="529"/>
        <v/>
      </c>
    </row>
    <row r="5501" spans="1:19" ht="26.25" hidden="1" thickBot="1" x14ac:dyDescent="0.3">
      <c r="A5501" s="257"/>
      <c r="B5501" s="260"/>
      <c r="C5501" s="47" t="s">
        <v>655</v>
      </c>
      <c r="D5501" s="31"/>
      <c r="E5501" s="32"/>
      <c r="F5501" s="53" t="s">
        <v>416</v>
      </c>
      <c r="G5501" s="53" t="str">
        <f t="shared" si="530"/>
        <v/>
      </c>
      <c r="H5501" s="72"/>
      <c r="I5501" s="73"/>
      <c r="J5501" s="152">
        <v>0</v>
      </c>
      <c r="L5501" s="219"/>
      <c r="M5501" s="53"/>
      <c r="N5501" s="53" t="str">
        <f t="shared" si="531"/>
        <v/>
      </c>
      <c r="O5501" s="72"/>
      <c r="P5501" s="36" t="str">
        <f t="shared" si="526"/>
        <v/>
      </c>
      <c r="Q5501" s="216" t="str">
        <f t="shared" si="527"/>
        <v/>
      </c>
      <c r="R5501" s="216" t="str">
        <f t="shared" si="528"/>
        <v/>
      </c>
      <c r="S5501" s="217" t="str">
        <f t="shared" si="529"/>
        <v/>
      </c>
    </row>
    <row r="5502" spans="1:19" ht="15.75" hidden="1" thickBot="1" x14ac:dyDescent="0.3">
      <c r="A5502" s="258"/>
      <c r="B5502" s="261"/>
      <c r="C5502" s="54"/>
      <c r="D5502" s="155"/>
      <c r="E5502" s="65"/>
      <c r="F5502" s="75" t="s">
        <v>416</v>
      </c>
      <c r="G5502" s="75" t="str">
        <f t="shared" si="530"/>
        <v/>
      </c>
      <c r="H5502" s="76"/>
      <c r="I5502" s="73"/>
      <c r="J5502" s="152">
        <v>0</v>
      </c>
      <c r="L5502" s="222"/>
      <c r="M5502" s="75"/>
      <c r="N5502" s="75" t="str">
        <f t="shared" si="531"/>
        <v/>
      </c>
      <c r="O5502" s="76"/>
      <c r="P5502" s="36" t="str">
        <f t="shared" si="526"/>
        <v/>
      </c>
      <c r="Q5502" s="216" t="str">
        <f t="shared" si="527"/>
        <v/>
      </c>
      <c r="R5502" s="216" t="str">
        <f t="shared" si="528"/>
        <v/>
      </c>
      <c r="S5502" s="217" t="str">
        <f t="shared" si="529"/>
        <v/>
      </c>
    </row>
    <row r="5503" spans="1:19" ht="15.75" hidden="1" thickBot="1" x14ac:dyDescent="0.3">
      <c r="A5503" s="256" t="s">
        <v>4193</v>
      </c>
      <c r="B5503" s="259" t="str">
        <f>INDEX(Orçamentária!A:B,MATCH(Composições!A5503,Orçamentária!A:A,0),2)</f>
        <v>Supervisor Técnico – Sistema Elétrico e Segurança do Trabalho</v>
      </c>
      <c r="C5503" s="40"/>
      <c r="D5503" s="25" t="s">
        <v>2177</v>
      </c>
      <c r="E5503" s="26"/>
      <c r="F5503" s="48" t="s">
        <v>416</v>
      </c>
      <c r="G5503" s="27" t="str">
        <f t="shared" si="530"/>
        <v/>
      </c>
      <c r="H5503" s="28"/>
      <c r="I5503" s="29"/>
      <c r="J5503" s="152">
        <v>0</v>
      </c>
      <c r="L5503" s="218"/>
      <c r="M5503" s="48"/>
      <c r="N5503" s="27" t="str">
        <f t="shared" si="531"/>
        <v/>
      </c>
      <c r="O5503" s="28"/>
      <c r="P5503" s="36" t="str">
        <f t="shared" si="526"/>
        <v/>
      </c>
      <c r="Q5503" s="216" t="str">
        <f t="shared" si="527"/>
        <v/>
      </c>
      <c r="R5503" s="216" t="str">
        <f t="shared" si="528"/>
        <v/>
      </c>
      <c r="S5503" s="217" t="str">
        <f t="shared" si="529"/>
        <v/>
      </c>
    </row>
    <row r="5504" spans="1:19" ht="15.75" hidden="1" thickBot="1" x14ac:dyDescent="0.3">
      <c r="A5504" s="257"/>
      <c r="B5504" s="260"/>
      <c r="C5504" s="31"/>
      <c r="D5504" s="31"/>
      <c r="E5504" s="32"/>
      <c r="F5504" s="53" t="s">
        <v>416</v>
      </c>
      <c r="G5504" s="53" t="str">
        <f t="shared" si="530"/>
        <v/>
      </c>
      <c r="H5504" s="72"/>
      <c r="I5504" s="73"/>
      <c r="J5504" s="152">
        <v>0</v>
      </c>
      <c r="L5504" s="219"/>
      <c r="M5504" s="53"/>
      <c r="N5504" s="53" t="str">
        <f t="shared" si="531"/>
        <v/>
      </c>
      <c r="O5504" s="72"/>
      <c r="P5504" s="36" t="str">
        <f t="shared" si="526"/>
        <v/>
      </c>
      <c r="Q5504" s="216" t="str">
        <f t="shared" si="527"/>
        <v/>
      </c>
      <c r="R5504" s="216" t="str">
        <f t="shared" si="528"/>
        <v/>
      </c>
      <c r="S5504" s="217" t="str">
        <f t="shared" si="529"/>
        <v/>
      </c>
    </row>
    <row r="5505" spans="1:19" ht="15.75" hidden="1" thickBot="1" x14ac:dyDescent="0.3">
      <c r="A5505" s="257"/>
      <c r="B5505" s="260"/>
      <c r="C5505" s="35" t="s">
        <v>2917</v>
      </c>
      <c r="D5505" s="35" t="s">
        <v>583</v>
      </c>
      <c r="E5505" s="36">
        <f>ROUND(220/(1+110.14%),4)</f>
        <v>104.6921</v>
      </c>
      <c r="F5505" s="30">
        <v>124.203</v>
      </c>
      <c r="G5505" s="53">
        <f t="shared" si="530"/>
        <v>13003.0728963</v>
      </c>
      <c r="H5505" s="38">
        <f>SUM(G5505:G5505)</f>
        <v>13003.0728963</v>
      </c>
      <c r="I5505" s="39"/>
      <c r="J5505" s="152">
        <v>0</v>
      </c>
      <c r="L5505" s="215">
        <v>104.6921</v>
      </c>
      <c r="M5505" s="30">
        <v>106.317768</v>
      </c>
      <c r="N5505" s="53">
        <f t="shared" si="531"/>
        <v>11130.630399232799</v>
      </c>
      <c r="O5505" s="38">
        <f>SUM(N5505:N5505)</f>
        <v>11130.630399232799</v>
      </c>
      <c r="P5505" s="36" t="str">
        <f t="shared" si="526"/>
        <v/>
      </c>
      <c r="Q5505" s="216">
        <f t="shared" si="527"/>
        <v>0.14400000000000002</v>
      </c>
      <c r="R5505" s="216">
        <f t="shared" si="528"/>
        <v>0.14400000000000002</v>
      </c>
      <c r="S5505" s="217">
        <f t="shared" si="529"/>
        <v>0.14400000000000002</v>
      </c>
    </row>
    <row r="5506" spans="1:19" ht="15.75" hidden="1" thickBot="1" x14ac:dyDescent="0.3">
      <c r="A5506" s="257"/>
      <c r="B5506" s="260"/>
      <c r="C5506" s="31"/>
      <c r="D5506" s="31"/>
      <c r="E5506" s="32"/>
      <c r="F5506" s="53" t="s">
        <v>416</v>
      </c>
      <c r="G5506" s="53" t="str">
        <f t="shared" si="530"/>
        <v/>
      </c>
      <c r="H5506" s="72"/>
      <c r="I5506" s="73"/>
      <c r="J5506" s="152">
        <v>0</v>
      </c>
      <c r="L5506" s="219"/>
      <c r="M5506" s="53"/>
      <c r="N5506" s="53" t="str">
        <f t="shared" si="531"/>
        <v/>
      </c>
      <c r="O5506" s="72"/>
      <c r="P5506" s="36" t="str">
        <f t="shared" si="526"/>
        <v/>
      </c>
      <c r="Q5506" s="216" t="str">
        <f t="shared" si="527"/>
        <v/>
      </c>
      <c r="R5506" s="216" t="str">
        <f t="shared" si="528"/>
        <v/>
      </c>
      <c r="S5506" s="217" t="str">
        <f t="shared" si="529"/>
        <v/>
      </c>
    </row>
    <row r="5507" spans="1:19" ht="26.25" hidden="1" thickBot="1" x14ac:dyDescent="0.3">
      <c r="A5507" s="257"/>
      <c r="B5507" s="260"/>
      <c r="C5507" s="47" t="s">
        <v>655</v>
      </c>
      <c r="D5507" s="31"/>
      <c r="E5507" s="32"/>
      <c r="F5507" s="53" t="s">
        <v>416</v>
      </c>
      <c r="G5507" s="53" t="str">
        <f t="shared" si="530"/>
        <v/>
      </c>
      <c r="H5507" s="72"/>
      <c r="I5507" s="73"/>
      <c r="J5507" s="152">
        <v>0</v>
      </c>
      <c r="L5507" s="219"/>
      <c r="M5507" s="53"/>
      <c r="N5507" s="53" t="str">
        <f t="shared" si="531"/>
        <v/>
      </c>
      <c r="O5507" s="72"/>
      <c r="P5507" s="36" t="str">
        <f t="shared" si="526"/>
        <v/>
      </c>
      <c r="Q5507" s="216" t="str">
        <f t="shared" si="527"/>
        <v/>
      </c>
      <c r="R5507" s="216" t="str">
        <f t="shared" si="528"/>
        <v/>
      </c>
      <c r="S5507" s="217" t="str">
        <f t="shared" si="529"/>
        <v/>
      </c>
    </row>
    <row r="5508" spans="1:19" ht="15.75" hidden="1" thickBot="1" x14ac:dyDescent="0.3">
      <c r="A5508" s="258"/>
      <c r="B5508" s="261"/>
      <c r="C5508" s="54"/>
      <c r="D5508" s="155"/>
      <c r="E5508" s="65"/>
      <c r="F5508" s="75" t="s">
        <v>416</v>
      </c>
      <c r="G5508" s="75" t="str">
        <f t="shared" si="530"/>
        <v/>
      </c>
      <c r="H5508" s="76"/>
      <c r="I5508" s="73"/>
      <c r="J5508" s="152">
        <v>0</v>
      </c>
      <c r="L5508" s="222"/>
      <c r="M5508" s="75"/>
      <c r="N5508" s="75" t="str">
        <f t="shared" si="531"/>
        <v/>
      </c>
      <c r="O5508" s="76"/>
      <c r="P5508" s="36" t="str">
        <f t="shared" si="526"/>
        <v/>
      </c>
      <c r="Q5508" s="216" t="str">
        <f t="shared" si="527"/>
        <v/>
      </c>
      <c r="R5508" s="216" t="str">
        <f t="shared" si="528"/>
        <v/>
      </c>
      <c r="S5508" s="217" t="str">
        <f t="shared" si="529"/>
        <v/>
      </c>
    </row>
    <row r="5509" spans="1:19" ht="15.75" hidden="1" thickBot="1" x14ac:dyDescent="0.3">
      <c r="A5509" s="256" t="s">
        <v>4194</v>
      </c>
      <c r="B5509" s="259" t="str">
        <f>INDEX(Orçamentária!A:B,MATCH(Composições!A5509,Orçamentária!A:A,0),2)</f>
        <v>Técnico de Segurança do Trabalho</v>
      </c>
      <c r="C5509" s="40"/>
      <c r="D5509" s="25" t="s">
        <v>2177</v>
      </c>
      <c r="E5509" s="26"/>
      <c r="F5509" s="48" t="s">
        <v>416</v>
      </c>
      <c r="G5509" s="27" t="str">
        <f t="shared" si="530"/>
        <v/>
      </c>
      <c r="H5509" s="28"/>
      <c r="I5509" s="29"/>
      <c r="J5509" s="152">
        <v>0</v>
      </c>
      <c r="L5509" s="218"/>
      <c r="M5509" s="48"/>
      <c r="N5509" s="27" t="str">
        <f t="shared" si="531"/>
        <v/>
      </c>
      <c r="O5509" s="28"/>
      <c r="P5509" s="36" t="str">
        <f t="shared" si="526"/>
        <v/>
      </c>
      <c r="Q5509" s="216" t="str">
        <f t="shared" si="527"/>
        <v/>
      </c>
      <c r="R5509" s="216" t="str">
        <f t="shared" si="528"/>
        <v/>
      </c>
      <c r="S5509" s="217" t="str">
        <f t="shared" si="529"/>
        <v/>
      </c>
    </row>
    <row r="5510" spans="1:19" ht="15.75" hidden="1" thickBot="1" x14ac:dyDescent="0.3">
      <c r="A5510" s="257"/>
      <c r="B5510" s="260"/>
      <c r="C5510" s="31"/>
      <c r="D5510" s="31"/>
      <c r="E5510" s="32"/>
      <c r="F5510" s="53" t="s">
        <v>416</v>
      </c>
      <c r="G5510" s="53" t="str">
        <f t="shared" si="530"/>
        <v/>
      </c>
      <c r="H5510" s="72"/>
      <c r="I5510" s="73"/>
      <c r="J5510" s="152">
        <v>0</v>
      </c>
      <c r="L5510" s="219"/>
      <c r="M5510" s="53"/>
      <c r="N5510" s="53" t="str">
        <f t="shared" si="531"/>
        <v/>
      </c>
      <c r="O5510" s="72"/>
      <c r="P5510" s="36" t="str">
        <f t="shared" si="526"/>
        <v/>
      </c>
      <c r="Q5510" s="216" t="str">
        <f t="shared" si="527"/>
        <v/>
      </c>
      <c r="R5510" s="216" t="str">
        <f t="shared" si="528"/>
        <v/>
      </c>
      <c r="S5510" s="217" t="str">
        <f t="shared" si="529"/>
        <v/>
      </c>
    </row>
    <row r="5511" spans="1:19" ht="26.25" hidden="1" thickBot="1" x14ac:dyDescent="0.3">
      <c r="A5511" s="257"/>
      <c r="B5511" s="260"/>
      <c r="C5511" s="35" t="s">
        <v>982</v>
      </c>
      <c r="D5511" s="35" t="s">
        <v>583</v>
      </c>
      <c r="E5511" s="36">
        <f>ROUND(220/(1+110.14%),4)</f>
        <v>104.6921</v>
      </c>
      <c r="F5511" s="30">
        <v>44.003999999999998</v>
      </c>
      <c r="G5511" s="53">
        <f t="shared" si="530"/>
        <v>4606.8711684</v>
      </c>
      <c r="H5511" s="38">
        <f>SUM(G5511:G5511)</f>
        <v>4606.8711684</v>
      </c>
      <c r="I5511" s="39"/>
      <c r="J5511" s="152">
        <v>0</v>
      </c>
      <c r="L5511" s="215">
        <v>104.6921</v>
      </c>
      <c r="M5511" s="30">
        <v>37.667423999999997</v>
      </c>
      <c r="N5511" s="53">
        <f t="shared" si="531"/>
        <v>3943.4817201503997</v>
      </c>
      <c r="O5511" s="38">
        <f>SUM(N5511:N5511)</f>
        <v>3943.4817201503997</v>
      </c>
      <c r="P5511" s="36" t="str">
        <f t="shared" si="526"/>
        <v/>
      </c>
      <c r="Q5511" s="216">
        <f t="shared" si="527"/>
        <v>0.14400000000000002</v>
      </c>
      <c r="R5511" s="216">
        <f t="shared" si="528"/>
        <v>0.14400000000000002</v>
      </c>
      <c r="S5511" s="217">
        <f t="shared" si="529"/>
        <v>0.14400000000000002</v>
      </c>
    </row>
    <row r="5512" spans="1:19" ht="15.75" hidden="1" thickBot="1" x14ac:dyDescent="0.3">
      <c r="A5512" s="257"/>
      <c r="B5512" s="260"/>
      <c r="C5512" s="31"/>
      <c r="D5512" s="31"/>
      <c r="E5512" s="32"/>
      <c r="F5512" s="53" t="s">
        <v>416</v>
      </c>
      <c r="G5512" s="53" t="str">
        <f t="shared" si="530"/>
        <v/>
      </c>
      <c r="H5512" s="72"/>
      <c r="I5512" s="73"/>
      <c r="J5512" s="152">
        <v>0</v>
      </c>
      <c r="L5512" s="219"/>
      <c r="M5512" s="53"/>
      <c r="N5512" s="53" t="str">
        <f t="shared" si="531"/>
        <v/>
      </c>
      <c r="O5512" s="72"/>
      <c r="P5512" s="36" t="str">
        <f t="shared" ref="P5512:P5575" si="532">IF(ISBLANK(L5512),"",IF($E5512&lt;&gt;L5512,"SIM",""))</f>
        <v/>
      </c>
      <c r="Q5512" s="216" t="str">
        <f t="shared" ref="Q5512:Q5575" si="533">IF(M5512="","",1-M5512/$F5512)</f>
        <v/>
      </c>
      <c r="R5512" s="216" t="str">
        <f t="shared" ref="R5512:R5575" si="534">IF(N5512="","",1-N5512/$G5512)</f>
        <v/>
      </c>
      <c r="S5512" s="217" t="str">
        <f t="shared" ref="S5512:S5575" si="535">IF(O5512="","",1-O5512/$H5512)</f>
        <v/>
      </c>
    </row>
    <row r="5513" spans="1:19" ht="26.25" hidden="1" thickBot="1" x14ac:dyDescent="0.3">
      <c r="A5513" s="257"/>
      <c r="B5513" s="260"/>
      <c r="C5513" s="47" t="s">
        <v>655</v>
      </c>
      <c r="D5513" s="31"/>
      <c r="E5513" s="32"/>
      <c r="F5513" s="53" t="s">
        <v>416</v>
      </c>
      <c r="G5513" s="53" t="str">
        <f t="shared" si="530"/>
        <v/>
      </c>
      <c r="H5513" s="72"/>
      <c r="I5513" s="73"/>
      <c r="J5513" s="152">
        <v>0</v>
      </c>
      <c r="L5513" s="219"/>
      <c r="M5513" s="53"/>
      <c r="N5513" s="53" t="str">
        <f t="shared" si="531"/>
        <v/>
      </c>
      <c r="O5513" s="72"/>
      <c r="P5513" s="36" t="str">
        <f t="shared" si="532"/>
        <v/>
      </c>
      <c r="Q5513" s="216" t="str">
        <f t="shared" si="533"/>
        <v/>
      </c>
      <c r="R5513" s="216" t="str">
        <f t="shared" si="534"/>
        <v/>
      </c>
      <c r="S5513" s="217" t="str">
        <f t="shared" si="535"/>
        <v/>
      </c>
    </row>
    <row r="5514" spans="1:19" ht="15.75" hidden="1" thickBot="1" x14ac:dyDescent="0.3">
      <c r="A5514" s="258"/>
      <c r="B5514" s="261"/>
      <c r="C5514" s="54"/>
      <c r="D5514" s="155"/>
      <c r="E5514" s="65"/>
      <c r="F5514" s="75" t="s">
        <v>416</v>
      </c>
      <c r="G5514" s="75" t="str">
        <f t="shared" si="530"/>
        <v/>
      </c>
      <c r="H5514" s="76"/>
      <c r="I5514" s="73"/>
      <c r="J5514" s="152">
        <v>0</v>
      </c>
      <c r="L5514" s="222"/>
      <c r="M5514" s="75"/>
      <c r="N5514" s="75" t="str">
        <f t="shared" si="531"/>
        <v/>
      </c>
      <c r="O5514" s="76"/>
      <c r="P5514" s="36" t="str">
        <f t="shared" si="532"/>
        <v/>
      </c>
      <c r="Q5514" s="216" t="str">
        <f t="shared" si="533"/>
        <v/>
      </c>
      <c r="R5514" s="216" t="str">
        <f t="shared" si="534"/>
        <v/>
      </c>
      <c r="S5514" s="217" t="str">
        <f t="shared" si="535"/>
        <v/>
      </c>
    </row>
    <row r="5515" spans="1:19" ht="15.75" hidden="1" thickBot="1" x14ac:dyDescent="0.3">
      <c r="A5515" s="256" t="s">
        <v>4195</v>
      </c>
      <c r="B5515" s="259" t="str">
        <f>INDEX(Orçamentária!A:B,MATCH(Composições!A5515,Orçamentária!A:A,0),2)</f>
        <v>Auxiliar de Almoxarifado</v>
      </c>
      <c r="C5515" s="40"/>
      <c r="D5515" s="25" t="s">
        <v>2177</v>
      </c>
      <c r="E5515" s="26"/>
      <c r="F5515" s="48" t="s">
        <v>416</v>
      </c>
      <c r="G5515" s="27" t="str">
        <f t="shared" si="530"/>
        <v/>
      </c>
      <c r="H5515" s="28"/>
      <c r="I5515" s="29"/>
      <c r="J5515" s="152">
        <v>0</v>
      </c>
      <c r="L5515" s="218"/>
      <c r="M5515" s="48"/>
      <c r="N5515" s="27" t="str">
        <f t="shared" si="531"/>
        <v/>
      </c>
      <c r="O5515" s="28"/>
      <c r="P5515" s="36" t="str">
        <f t="shared" si="532"/>
        <v/>
      </c>
      <c r="Q5515" s="216" t="str">
        <f t="shared" si="533"/>
        <v/>
      </c>
      <c r="R5515" s="216" t="str">
        <f t="shared" si="534"/>
        <v/>
      </c>
      <c r="S5515" s="217" t="str">
        <f t="shared" si="535"/>
        <v/>
      </c>
    </row>
    <row r="5516" spans="1:19" ht="15.75" hidden="1" thickBot="1" x14ac:dyDescent="0.3">
      <c r="A5516" s="257"/>
      <c r="B5516" s="260"/>
      <c r="C5516" s="31"/>
      <c r="D5516" s="31"/>
      <c r="E5516" s="32"/>
      <c r="F5516" s="53" t="s">
        <v>416</v>
      </c>
      <c r="G5516" s="53" t="str">
        <f t="shared" si="530"/>
        <v/>
      </c>
      <c r="H5516" s="72"/>
      <c r="I5516" s="73"/>
      <c r="J5516" s="152">
        <v>0</v>
      </c>
      <c r="L5516" s="219"/>
      <c r="M5516" s="53"/>
      <c r="N5516" s="53" t="str">
        <f t="shared" si="531"/>
        <v/>
      </c>
      <c r="O5516" s="72"/>
      <c r="P5516" s="36" t="str">
        <f t="shared" si="532"/>
        <v/>
      </c>
      <c r="Q5516" s="216" t="str">
        <f t="shared" si="533"/>
        <v/>
      </c>
      <c r="R5516" s="216" t="str">
        <f t="shared" si="534"/>
        <v/>
      </c>
      <c r="S5516" s="217" t="str">
        <f t="shared" si="535"/>
        <v/>
      </c>
    </row>
    <row r="5517" spans="1:19" ht="15.75" hidden="1" thickBot="1" x14ac:dyDescent="0.3">
      <c r="A5517" s="257"/>
      <c r="B5517" s="260"/>
      <c r="C5517" s="35" t="s">
        <v>2918</v>
      </c>
      <c r="D5517" s="35" t="s">
        <v>583</v>
      </c>
      <c r="E5517" s="36">
        <f>ROUND(220/(1+110.14%),4)</f>
        <v>104.6921</v>
      </c>
      <c r="F5517" s="30">
        <v>21.061500000000002</v>
      </c>
      <c r="G5517" s="53">
        <f t="shared" si="530"/>
        <v>2204.9726641500001</v>
      </c>
      <c r="H5517" s="38">
        <f>SUM(G5517:G5517)</f>
        <v>2204.9726641500001</v>
      </c>
      <c r="I5517" s="39"/>
      <c r="J5517" s="152">
        <v>0</v>
      </c>
      <c r="L5517" s="215">
        <v>104.6921</v>
      </c>
      <c r="M5517" s="30">
        <v>18.028644000000003</v>
      </c>
      <c r="N5517" s="53">
        <f t="shared" si="531"/>
        <v>1887.4566005124002</v>
      </c>
      <c r="O5517" s="38">
        <f>SUM(N5517:N5517)</f>
        <v>1887.4566005124002</v>
      </c>
      <c r="P5517" s="36" t="str">
        <f t="shared" si="532"/>
        <v/>
      </c>
      <c r="Q5517" s="216">
        <f t="shared" si="533"/>
        <v>0.14399999999999991</v>
      </c>
      <c r="R5517" s="216">
        <f t="shared" si="534"/>
        <v>0.14399999999999991</v>
      </c>
      <c r="S5517" s="217">
        <f t="shared" si="535"/>
        <v>0.14399999999999991</v>
      </c>
    </row>
    <row r="5518" spans="1:19" ht="15.75" hidden="1" thickBot="1" x14ac:dyDescent="0.3">
      <c r="A5518" s="257"/>
      <c r="B5518" s="260"/>
      <c r="C5518" s="31"/>
      <c r="D5518" s="31"/>
      <c r="E5518" s="32"/>
      <c r="F5518" s="53" t="s">
        <v>416</v>
      </c>
      <c r="G5518" s="53" t="str">
        <f t="shared" si="530"/>
        <v/>
      </c>
      <c r="H5518" s="72"/>
      <c r="I5518" s="73"/>
      <c r="J5518" s="152">
        <v>0</v>
      </c>
      <c r="L5518" s="219"/>
      <c r="M5518" s="53"/>
      <c r="N5518" s="53" t="str">
        <f t="shared" si="531"/>
        <v/>
      </c>
      <c r="O5518" s="72"/>
      <c r="P5518" s="36" t="str">
        <f t="shared" si="532"/>
        <v/>
      </c>
      <c r="Q5518" s="216" t="str">
        <f t="shared" si="533"/>
        <v/>
      </c>
      <c r="R5518" s="216" t="str">
        <f t="shared" si="534"/>
        <v/>
      </c>
      <c r="S5518" s="217" t="str">
        <f t="shared" si="535"/>
        <v/>
      </c>
    </row>
    <row r="5519" spans="1:19" ht="26.25" hidden="1" thickBot="1" x14ac:dyDescent="0.3">
      <c r="A5519" s="257"/>
      <c r="B5519" s="260"/>
      <c r="C5519" s="47" t="s">
        <v>655</v>
      </c>
      <c r="D5519" s="31"/>
      <c r="E5519" s="32"/>
      <c r="F5519" s="53" t="s">
        <v>416</v>
      </c>
      <c r="G5519" s="53" t="str">
        <f t="shared" si="530"/>
        <v/>
      </c>
      <c r="H5519" s="72"/>
      <c r="I5519" s="73"/>
      <c r="J5519" s="152">
        <v>0</v>
      </c>
      <c r="L5519" s="219"/>
      <c r="M5519" s="53"/>
      <c r="N5519" s="53" t="str">
        <f t="shared" si="531"/>
        <v/>
      </c>
      <c r="O5519" s="72"/>
      <c r="P5519" s="36" t="str">
        <f t="shared" si="532"/>
        <v/>
      </c>
      <c r="Q5519" s="216" t="str">
        <f t="shared" si="533"/>
        <v/>
      </c>
      <c r="R5519" s="216" t="str">
        <f t="shared" si="534"/>
        <v/>
      </c>
      <c r="S5519" s="217" t="str">
        <f t="shared" si="535"/>
        <v/>
      </c>
    </row>
    <row r="5520" spans="1:19" ht="15.75" hidden="1" thickBot="1" x14ac:dyDescent="0.3">
      <c r="A5520" s="258"/>
      <c r="B5520" s="261"/>
      <c r="C5520" s="54"/>
      <c r="D5520" s="155"/>
      <c r="E5520" s="65"/>
      <c r="F5520" s="75" t="s">
        <v>416</v>
      </c>
      <c r="G5520" s="75" t="str">
        <f t="shared" si="530"/>
        <v/>
      </c>
      <c r="H5520" s="76"/>
      <c r="I5520" s="73"/>
      <c r="J5520" s="152">
        <v>0</v>
      </c>
      <c r="L5520" s="222"/>
      <c r="M5520" s="75"/>
      <c r="N5520" s="75" t="str">
        <f t="shared" si="531"/>
        <v/>
      </c>
      <c r="O5520" s="76"/>
      <c r="P5520" s="36" t="str">
        <f t="shared" si="532"/>
        <v/>
      </c>
      <c r="Q5520" s="216" t="str">
        <f t="shared" si="533"/>
        <v/>
      </c>
      <c r="R5520" s="216" t="str">
        <f t="shared" si="534"/>
        <v/>
      </c>
      <c r="S5520" s="217" t="str">
        <f t="shared" si="535"/>
        <v/>
      </c>
    </row>
    <row r="5521" spans="1:19" ht="15.75" hidden="1" thickBot="1" x14ac:dyDescent="0.3">
      <c r="A5521" s="256" t="s">
        <v>4196</v>
      </c>
      <c r="B5521" s="259" t="str">
        <f>INDEX(Orçamentária!A:B,MATCH(Composições!A5521,Orçamentária!A:A,0),2)</f>
        <v>Auxiliar Administrativo</v>
      </c>
      <c r="C5521" s="40"/>
      <c r="D5521" s="25" t="s">
        <v>2177</v>
      </c>
      <c r="E5521" s="26"/>
      <c r="F5521" s="48" t="s">
        <v>416</v>
      </c>
      <c r="G5521" s="27" t="str">
        <f t="shared" si="530"/>
        <v/>
      </c>
      <c r="H5521" s="28"/>
      <c r="I5521" s="29"/>
      <c r="J5521" s="152">
        <v>0</v>
      </c>
      <c r="L5521" s="218"/>
      <c r="M5521" s="48"/>
      <c r="N5521" s="27" t="str">
        <f t="shared" si="531"/>
        <v/>
      </c>
      <c r="O5521" s="28"/>
      <c r="P5521" s="36" t="str">
        <f t="shared" si="532"/>
        <v/>
      </c>
      <c r="Q5521" s="216" t="str">
        <f t="shared" si="533"/>
        <v/>
      </c>
      <c r="R5521" s="216" t="str">
        <f t="shared" si="534"/>
        <v/>
      </c>
      <c r="S5521" s="217" t="str">
        <f t="shared" si="535"/>
        <v/>
      </c>
    </row>
    <row r="5522" spans="1:19" ht="15.75" hidden="1" thickBot="1" x14ac:dyDescent="0.3">
      <c r="A5522" s="257"/>
      <c r="B5522" s="260"/>
      <c r="C5522" s="31"/>
      <c r="D5522" s="31"/>
      <c r="E5522" s="32"/>
      <c r="F5522" s="53" t="s">
        <v>416</v>
      </c>
      <c r="G5522" s="53" t="str">
        <f t="shared" si="530"/>
        <v/>
      </c>
      <c r="H5522" s="72"/>
      <c r="I5522" s="73"/>
      <c r="J5522" s="152">
        <v>0</v>
      </c>
      <c r="L5522" s="219"/>
      <c r="M5522" s="53"/>
      <c r="N5522" s="53" t="str">
        <f t="shared" si="531"/>
        <v/>
      </c>
      <c r="O5522" s="72"/>
      <c r="P5522" s="36" t="str">
        <f t="shared" si="532"/>
        <v/>
      </c>
      <c r="Q5522" s="216" t="str">
        <f t="shared" si="533"/>
        <v/>
      </c>
      <c r="R5522" s="216" t="str">
        <f t="shared" si="534"/>
        <v/>
      </c>
      <c r="S5522" s="217" t="str">
        <f t="shared" si="535"/>
        <v/>
      </c>
    </row>
    <row r="5523" spans="1:19" ht="15.75" hidden="1" thickBot="1" x14ac:dyDescent="0.3">
      <c r="A5523" s="257"/>
      <c r="B5523" s="260"/>
      <c r="C5523" s="35" t="s">
        <v>2911</v>
      </c>
      <c r="D5523" s="35" t="s">
        <v>583</v>
      </c>
      <c r="E5523" s="36">
        <f>ROUND(220/(1+110.14%),4)</f>
        <v>104.6921</v>
      </c>
      <c r="F5523" s="30">
        <v>23.721499999999999</v>
      </c>
      <c r="G5523" s="53">
        <f t="shared" si="530"/>
        <v>2483.4536501499997</v>
      </c>
      <c r="H5523" s="38">
        <f>SUM(G5523:G5523)</f>
        <v>2483.4536501499997</v>
      </c>
      <c r="I5523" s="39"/>
      <c r="J5523" s="152">
        <v>0</v>
      </c>
      <c r="L5523" s="215">
        <v>104.6921</v>
      </c>
      <c r="M5523" s="30">
        <v>20.305603999999999</v>
      </c>
      <c r="N5523" s="53">
        <f t="shared" si="531"/>
        <v>2125.8363245283999</v>
      </c>
      <c r="O5523" s="38">
        <f>SUM(N5523:N5523)</f>
        <v>2125.8363245283999</v>
      </c>
      <c r="P5523" s="36" t="str">
        <f t="shared" si="532"/>
        <v/>
      </c>
      <c r="Q5523" s="216">
        <f t="shared" si="533"/>
        <v>0.14400000000000002</v>
      </c>
      <c r="R5523" s="216">
        <f t="shared" si="534"/>
        <v>0.14399999999999991</v>
      </c>
      <c r="S5523" s="217">
        <f t="shared" si="535"/>
        <v>0.14399999999999991</v>
      </c>
    </row>
    <row r="5524" spans="1:19" ht="15.75" hidden="1" thickBot="1" x14ac:dyDescent="0.3">
      <c r="A5524" s="257"/>
      <c r="B5524" s="260"/>
      <c r="C5524" s="31"/>
      <c r="D5524" s="31"/>
      <c r="E5524" s="32"/>
      <c r="F5524" s="53" t="s">
        <v>416</v>
      </c>
      <c r="G5524" s="53" t="str">
        <f t="shared" si="530"/>
        <v/>
      </c>
      <c r="H5524" s="72"/>
      <c r="I5524" s="73"/>
      <c r="J5524" s="152">
        <v>0</v>
      </c>
      <c r="L5524" s="219"/>
      <c r="M5524" s="53"/>
      <c r="N5524" s="53" t="str">
        <f t="shared" si="531"/>
        <v/>
      </c>
      <c r="O5524" s="72"/>
      <c r="P5524" s="36" t="str">
        <f t="shared" si="532"/>
        <v/>
      </c>
      <c r="Q5524" s="216" t="str">
        <f t="shared" si="533"/>
        <v/>
      </c>
      <c r="R5524" s="216" t="str">
        <f t="shared" si="534"/>
        <v/>
      </c>
      <c r="S5524" s="217" t="str">
        <f t="shared" si="535"/>
        <v/>
      </c>
    </row>
    <row r="5525" spans="1:19" ht="26.25" hidden="1" thickBot="1" x14ac:dyDescent="0.3">
      <c r="A5525" s="257"/>
      <c r="B5525" s="260"/>
      <c r="C5525" s="47" t="s">
        <v>655</v>
      </c>
      <c r="D5525" s="31"/>
      <c r="E5525" s="32"/>
      <c r="F5525" s="53" t="s">
        <v>416</v>
      </c>
      <c r="G5525" s="53" t="str">
        <f t="shared" si="530"/>
        <v/>
      </c>
      <c r="H5525" s="72"/>
      <c r="I5525" s="73"/>
      <c r="J5525" s="152">
        <v>0</v>
      </c>
      <c r="L5525" s="219"/>
      <c r="M5525" s="53"/>
      <c r="N5525" s="53" t="str">
        <f t="shared" si="531"/>
        <v/>
      </c>
      <c r="O5525" s="72"/>
      <c r="P5525" s="36" t="str">
        <f t="shared" si="532"/>
        <v/>
      </c>
      <c r="Q5525" s="216" t="str">
        <f t="shared" si="533"/>
        <v/>
      </c>
      <c r="R5525" s="216" t="str">
        <f t="shared" si="534"/>
        <v/>
      </c>
      <c r="S5525" s="217" t="str">
        <f t="shared" si="535"/>
        <v/>
      </c>
    </row>
    <row r="5526" spans="1:19" ht="15.75" hidden="1" thickBot="1" x14ac:dyDescent="0.3">
      <c r="A5526" s="258"/>
      <c r="B5526" s="261"/>
      <c r="C5526" s="54"/>
      <c r="D5526" s="155"/>
      <c r="E5526" s="65"/>
      <c r="F5526" s="75" t="s">
        <v>416</v>
      </c>
      <c r="G5526" s="75" t="str">
        <f t="shared" si="530"/>
        <v/>
      </c>
      <c r="H5526" s="76"/>
      <c r="I5526" s="73"/>
      <c r="J5526" s="152">
        <v>0</v>
      </c>
      <c r="L5526" s="222"/>
      <c r="M5526" s="75"/>
      <c r="N5526" s="75" t="str">
        <f t="shared" si="531"/>
        <v/>
      </c>
      <c r="O5526" s="76"/>
      <c r="P5526" s="36" t="str">
        <f t="shared" si="532"/>
        <v/>
      </c>
      <c r="Q5526" s="216" t="str">
        <f t="shared" si="533"/>
        <v/>
      </c>
      <c r="R5526" s="216" t="str">
        <f t="shared" si="534"/>
        <v/>
      </c>
      <c r="S5526" s="217" t="str">
        <f t="shared" si="535"/>
        <v/>
      </c>
    </row>
    <row r="5527" spans="1:19" ht="15.75" hidden="1" thickBot="1" x14ac:dyDescent="0.3">
      <c r="A5527" s="256" t="s">
        <v>4197</v>
      </c>
      <c r="B5527" s="259" t="str">
        <f>INDEX(Orçamentária!A:B,MATCH(Composições!A5527,Orçamentária!A:A,0),2)</f>
        <v>Desenhista Técnico</v>
      </c>
      <c r="C5527" s="40"/>
      <c r="D5527" s="25" t="s">
        <v>2177</v>
      </c>
      <c r="E5527" s="26"/>
      <c r="F5527" s="48" t="s">
        <v>416</v>
      </c>
      <c r="G5527" s="27" t="str">
        <f t="shared" si="530"/>
        <v/>
      </c>
      <c r="H5527" s="28"/>
      <c r="I5527" s="29"/>
      <c r="J5527" s="152">
        <v>0</v>
      </c>
      <c r="L5527" s="218"/>
      <c r="M5527" s="48"/>
      <c r="N5527" s="27" t="str">
        <f t="shared" si="531"/>
        <v/>
      </c>
      <c r="O5527" s="28"/>
      <c r="P5527" s="36" t="str">
        <f t="shared" si="532"/>
        <v/>
      </c>
      <c r="Q5527" s="216" t="str">
        <f t="shared" si="533"/>
        <v/>
      </c>
      <c r="R5527" s="216" t="str">
        <f t="shared" si="534"/>
        <v/>
      </c>
      <c r="S5527" s="217" t="str">
        <f t="shared" si="535"/>
        <v/>
      </c>
    </row>
    <row r="5528" spans="1:19" ht="15.75" hidden="1" thickBot="1" x14ac:dyDescent="0.3">
      <c r="A5528" s="257"/>
      <c r="B5528" s="260"/>
      <c r="C5528" s="31"/>
      <c r="D5528" s="31"/>
      <c r="E5528" s="32"/>
      <c r="F5528" s="53" t="s">
        <v>416</v>
      </c>
      <c r="G5528" s="53" t="str">
        <f t="shared" si="530"/>
        <v/>
      </c>
      <c r="H5528" s="72"/>
      <c r="I5528" s="73"/>
      <c r="J5528" s="152">
        <v>0</v>
      </c>
      <c r="L5528" s="219"/>
      <c r="M5528" s="53"/>
      <c r="N5528" s="53" t="str">
        <f t="shared" si="531"/>
        <v/>
      </c>
      <c r="O5528" s="72"/>
      <c r="P5528" s="36" t="str">
        <f t="shared" si="532"/>
        <v/>
      </c>
      <c r="Q5528" s="216" t="str">
        <f t="shared" si="533"/>
        <v/>
      </c>
      <c r="R5528" s="216" t="str">
        <f t="shared" si="534"/>
        <v/>
      </c>
      <c r="S5528" s="217" t="str">
        <f t="shared" si="535"/>
        <v/>
      </c>
    </row>
    <row r="5529" spans="1:19" ht="15.75" hidden="1" thickBot="1" x14ac:dyDescent="0.3">
      <c r="A5529" s="257"/>
      <c r="B5529" s="260"/>
      <c r="C5529" s="35" t="s">
        <v>2912</v>
      </c>
      <c r="D5529" s="35" t="s">
        <v>583</v>
      </c>
      <c r="E5529" s="36">
        <f>ROUND(220/(1+110.14%),4)</f>
        <v>104.6921</v>
      </c>
      <c r="F5529" s="30">
        <v>15.9125</v>
      </c>
      <c r="G5529" s="53">
        <f t="shared" si="530"/>
        <v>1665.9130412499999</v>
      </c>
      <c r="H5529" s="38">
        <f>SUM(G5529:G5529)</f>
        <v>1665.9130412499999</v>
      </c>
      <c r="I5529" s="39"/>
      <c r="J5529" s="152">
        <v>0</v>
      </c>
      <c r="L5529" s="215">
        <v>104.6921</v>
      </c>
      <c r="M5529" s="30">
        <v>13.6211</v>
      </c>
      <c r="N5529" s="53">
        <f t="shared" si="531"/>
        <v>1426.0215633099999</v>
      </c>
      <c r="O5529" s="38">
        <f>SUM(N5529:N5529)</f>
        <v>1426.0215633099999</v>
      </c>
      <c r="P5529" s="36" t="str">
        <f t="shared" si="532"/>
        <v/>
      </c>
      <c r="Q5529" s="216">
        <f t="shared" si="533"/>
        <v>0.14400000000000002</v>
      </c>
      <c r="R5529" s="216">
        <f t="shared" si="534"/>
        <v>0.14400000000000002</v>
      </c>
      <c r="S5529" s="217">
        <f t="shared" si="535"/>
        <v>0.14400000000000002</v>
      </c>
    </row>
    <row r="5530" spans="1:19" ht="15.75" hidden="1" thickBot="1" x14ac:dyDescent="0.3">
      <c r="A5530" s="257"/>
      <c r="B5530" s="260"/>
      <c r="C5530" s="31"/>
      <c r="D5530" s="31"/>
      <c r="E5530" s="32"/>
      <c r="F5530" s="53" t="s">
        <v>416</v>
      </c>
      <c r="G5530" s="53" t="str">
        <f t="shared" si="530"/>
        <v/>
      </c>
      <c r="H5530" s="72"/>
      <c r="I5530" s="73"/>
      <c r="J5530" s="152">
        <v>0</v>
      </c>
      <c r="L5530" s="219"/>
      <c r="M5530" s="53"/>
      <c r="N5530" s="53" t="str">
        <f t="shared" si="531"/>
        <v/>
      </c>
      <c r="O5530" s="72"/>
      <c r="P5530" s="36" t="str">
        <f t="shared" si="532"/>
        <v/>
      </c>
      <c r="Q5530" s="216" t="str">
        <f t="shared" si="533"/>
        <v/>
      </c>
      <c r="R5530" s="216" t="str">
        <f t="shared" si="534"/>
        <v/>
      </c>
      <c r="S5530" s="217" t="str">
        <f t="shared" si="535"/>
        <v/>
      </c>
    </row>
    <row r="5531" spans="1:19" ht="26.25" hidden="1" thickBot="1" x14ac:dyDescent="0.3">
      <c r="A5531" s="257"/>
      <c r="B5531" s="260"/>
      <c r="C5531" s="47" t="s">
        <v>655</v>
      </c>
      <c r="D5531" s="31"/>
      <c r="E5531" s="32"/>
      <c r="F5531" s="53" t="s">
        <v>416</v>
      </c>
      <c r="G5531" s="53" t="str">
        <f t="shared" si="530"/>
        <v/>
      </c>
      <c r="H5531" s="72"/>
      <c r="I5531" s="73"/>
      <c r="J5531" s="152">
        <v>0</v>
      </c>
      <c r="L5531" s="219"/>
      <c r="M5531" s="53"/>
      <c r="N5531" s="53" t="str">
        <f t="shared" si="531"/>
        <v/>
      </c>
      <c r="O5531" s="72"/>
      <c r="P5531" s="36" t="str">
        <f t="shared" si="532"/>
        <v/>
      </c>
      <c r="Q5531" s="216" t="str">
        <f t="shared" si="533"/>
        <v/>
      </c>
      <c r="R5531" s="216" t="str">
        <f t="shared" si="534"/>
        <v/>
      </c>
      <c r="S5531" s="217" t="str">
        <f t="shared" si="535"/>
        <v/>
      </c>
    </row>
    <row r="5532" spans="1:19" ht="15.75" hidden="1" thickBot="1" x14ac:dyDescent="0.3">
      <c r="A5532" s="258"/>
      <c r="B5532" s="261"/>
      <c r="C5532" s="54"/>
      <c r="D5532" s="155"/>
      <c r="E5532" s="65"/>
      <c r="F5532" s="75" t="s">
        <v>416</v>
      </c>
      <c r="G5532" s="75" t="str">
        <f t="shared" si="530"/>
        <v/>
      </c>
      <c r="H5532" s="76"/>
      <c r="I5532" s="73"/>
      <c r="J5532" s="152">
        <v>0</v>
      </c>
      <c r="L5532" s="222"/>
      <c r="M5532" s="75"/>
      <c r="N5532" s="75" t="str">
        <f t="shared" si="531"/>
        <v/>
      </c>
      <c r="O5532" s="76"/>
      <c r="P5532" s="36" t="str">
        <f t="shared" si="532"/>
        <v/>
      </c>
      <c r="Q5532" s="216" t="str">
        <f t="shared" si="533"/>
        <v/>
      </c>
      <c r="R5532" s="216" t="str">
        <f t="shared" si="534"/>
        <v/>
      </c>
      <c r="S5532" s="217" t="str">
        <f t="shared" si="535"/>
        <v/>
      </c>
    </row>
    <row r="5533" spans="1:19" ht="15.75" hidden="1" thickBot="1" x14ac:dyDescent="0.3">
      <c r="A5533" s="256" t="s">
        <v>4198</v>
      </c>
      <c r="B5533" s="259" t="str">
        <f>INDEX(Orçamentária!A:B,MATCH(Composições!A5533,Orçamentária!A:A,0),2)</f>
        <v>Técnico em Eletrotécnica Encarregado</v>
      </c>
      <c r="C5533" s="40"/>
      <c r="D5533" s="25" t="s">
        <v>2177</v>
      </c>
      <c r="E5533" s="26"/>
      <c r="F5533" s="48" t="s">
        <v>416</v>
      </c>
      <c r="G5533" s="27" t="str">
        <f t="shared" si="530"/>
        <v/>
      </c>
      <c r="H5533" s="28"/>
      <c r="I5533" s="29"/>
      <c r="J5533" s="152">
        <v>0</v>
      </c>
      <c r="L5533" s="218"/>
      <c r="M5533" s="48"/>
      <c r="N5533" s="27" t="str">
        <f t="shared" si="531"/>
        <v/>
      </c>
      <c r="O5533" s="28"/>
      <c r="P5533" s="36" t="str">
        <f t="shared" si="532"/>
        <v/>
      </c>
      <c r="Q5533" s="216" t="str">
        <f t="shared" si="533"/>
        <v/>
      </c>
      <c r="R5533" s="216" t="str">
        <f t="shared" si="534"/>
        <v/>
      </c>
      <c r="S5533" s="217" t="str">
        <f t="shared" si="535"/>
        <v/>
      </c>
    </row>
    <row r="5534" spans="1:19" ht="15.75" hidden="1" thickBot="1" x14ac:dyDescent="0.3">
      <c r="A5534" s="257"/>
      <c r="B5534" s="260"/>
      <c r="C5534" s="31"/>
      <c r="D5534" s="31"/>
      <c r="E5534" s="32"/>
      <c r="F5534" s="53" t="s">
        <v>416</v>
      </c>
      <c r="G5534" s="53" t="str">
        <f t="shared" si="530"/>
        <v/>
      </c>
      <c r="H5534" s="72"/>
      <c r="I5534" s="73"/>
      <c r="J5534" s="152">
        <v>0</v>
      </c>
      <c r="L5534" s="219"/>
      <c r="M5534" s="53"/>
      <c r="N5534" s="53" t="str">
        <f t="shared" si="531"/>
        <v/>
      </c>
      <c r="O5534" s="72"/>
      <c r="P5534" s="36" t="str">
        <f t="shared" si="532"/>
        <v/>
      </c>
      <c r="Q5534" s="216" t="str">
        <f t="shared" si="533"/>
        <v/>
      </c>
      <c r="R5534" s="216" t="str">
        <f t="shared" si="534"/>
        <v/>
      </c>
      <c r="S5534" s="217" t="str">
        <f t="shared" si="535"/>
        <v/>
      </c>
    </row>
    <row r="5535" spans="1:19" ht="15.75" hidden="1" thickBot="1" x14ac:dyDescent="0.3">
      <c r="A5535" s="257"/>
      <c r="B5535" s="260"/>
      <c r="C5535" s="35" t="s">
        <v>2904</v>
      </c>
      <c r="D5535" s="35" t="s">
        <v>583</v>
      </c>
      <c r="E5535" s="36">
        <f>ROUND(220/(1+110.14%),4)</f>
        <v>104.6921</v>
      </c>
      <c r="F5535" s="30">
        <v>33.6965</v>
      </c>
      <c r="G5535" s="53">
        <f t="shared" si="530"/>
        <v>3527.7573476499997</v>
      </c>
      <c r="H5535" s="38">
        <f>SUM(G5535:G5535)</f>
        <v>3527.7573476499997</v>
      </c>
      <c r="I5535" s="39"/>
      <c r="J5535" s="152">
        <v>0</v>
      </c>
      <c r="L5535" s="215">
        <v>104.6921</v>
      </c>
      <c r="M5535" s="30">
        <v>28.844204000000001</v>
      </c>
      <c r="N5535" s="53">
        <f t="shared" si="531"/>
        <v>3019.7602895884002</v>
      </c>
      <c r="O5535" s="38">
        <f>SUM(N5535:N5535)</f>
        <v>3019.7602895884002</v>
      </c>
      <c r="P5535" s="36" t="str">
        <f t="shared" si="532"/>
        <v/>
      </c>
      <c r="Q5535" s="216">
        <f t="shared" si="533"/>
        <v>0.14400000000000002</v>
      </c>
      <c r="R5535" s="216">
        <f t="shared" si="534"/>
        <v>0.14399999999999991</v>
      </c>
      <c r="S5535" s="217">
        <f t="shared" si="535"/>
        <v>0.14399999999999991</v>
      </c>
    </row>
    <row r="5536" spans="1:19" ht="15.75" hidden="1" thickBot="1" x14ac:dyDescent="0.3">
      <c r="A5536" s="257"/>
      <c r="B5536" s="260"/>
      <c r="C5536" s="31"/>
      <c r="D5536" s="31"/>
      <c r="E5536" s="32"/>
      <c r="F5536" s="53" t="s">
        <v>416</v>
      </c>
      <c r="G5536" s="53" t="str">
        <f t="shared" si="530"/>
        <v/>
      </c>
      <c r="H5536" s="72"/>
      <c r="I5536" s="73"/>
      <c r="J5536" s="152">
        <v>0</v>
      </c>
      <c r="L5536" s="219"/>
      <c r="M5536" s="53"/>
      <c r="N5536" s="53" t="str">
        <f t="shared" si="531"/>
        <v/>
      </c>
      <c r="O5536" s="72"/>
      <c r="P5536" s="36" t="str">
        <f t="shared" si="532"/>
        <v/>
      </c>
      <c r="Q5536" s="216" t="str">
        <f t="shared" si="533"/>
        <v/>
      </c>
      <c r="R5536" s="216" t="str">
        <f t="shared" si="534"/>
        <v/>
      </c>
      <c r="S5536" s="217" t="str">
        <f t="shared" si="535"/>
        <v/>
      </c>
    </row>
    <row r="5537" spans="1:19" ht="26.25" hidden="1" thickBot="1" x14ac:dyDescent="0.3">
      <c r="A5537" s="257"/>
      <c r="B5537" s="260"/>
      <c r="C5537" s="47" t="s">
        <v>655</v>
      </c>
      <c r="D5537" s="31"/>
      <c r="E5537" s="32"/>
      <c r="F5537" s="53" t="s">
        <v>416</v>
      </c>
      <c r="G5537" s="53" t="str">
        <f t="shared" si="530"/>
        <v/>
      </c>
      <c r="H5537" s="72"/>
      <c r="I5537" s="73"/>
      <c r="J5537" s="152">
        <v>0</v>
      </c>
      <c r="L5537" s="219"/>
      <c r="M5537" s="53"/>
      <c r="N5537" s="53" t="str">
        <f t="shared" si="531"/>
        <v/>
      </c>
      <c r="O5537" s="72"/>
      <c r="P5537" s="36" t="str">
        <f t="shared" si="532"/>
        <v/>
      </c>
      <c r="Q5537" s="216" t="str">
        <f t="shared" si="533"/>
        <v/>
      </c>
      <c r="R5537" s="216" t="str">
        <f t="shared" si="534"/>
        <v/>
      </c>
      <c r="S5537" s="217" t="str">
        <f t="shared" si="535"/>
        <v/>
      </c>
    </row>
    <row r="5538" spans="1:19" ht="15.75" hidden="1" thickBot="1" x14ac:dyDescent="0.3">
      <c r="A5538" s="258"/>
      <c r="B5538" s="261"/>
      <c r="C5538" s="54"/>
      <c r="D5538" s="155"/>
      <c r="E5538" s="65"/>
      <c r="F5538" s="75" t="s">
        <v>416</v>
      </c>
      <c r="G5538" s="75" t="str">
        <f t="shared" si="530"/>
        <v/>
      </c>
      <c r="H5538" s="76"/>
      <c r="I5538" s="73"/>
      <c r="J5538" s="152">
        <v>0</v>
      </c>
      <c r="L5538" s="222"/>
      <c r="M5538" s="75"/>
      <c r="N5538" s="75" t="str">
        <f t="shared" si="531"/>
        <v/>
      </c>
      <c r="O5538" s="76"/>
      <c r="P5538" s="36" t="str">
        <f t="shared" si="532"/>
        <v/>
      </c>
      <c r="Q5538" s="216" t="str">
        <f t="shared" si="533"/>
        <v/>
      </c>
      <c r="R5538" s="216" t="str">
        <f t="shared" si="534"/>
        <v/>
      </c>
      <c r="S5538" s="217" t="str">
        <f t="shared" si="535"/>
        <v/>
      </c>
    </row>
    <row r="5539" spans="1:19" ht="15.75" hidden="1" thickBot="1" x14ac:dyDescent="0.3">
      <c r="A5539" s="256" t="s">
        <v>4199</v>
      </c>
      <c r="B5539" s="259" t="str">
        <f>INDEX(Orçamentária!A:B,MATCH(Composições!A5539,Orçamentária!A:A,0),2)</f>
        <v>Técnico em Eletrotécnica Planejador de Manutenção</v>
      </c>
      <c r="C5539" s="40"/>
      <c r="D5539" s="25" t="s">
        <v>2177</v>
      </c>
      <c r="E5539" s="26"/>
      <c r="F5539" s="48" t="s">
        <v>416</v>
      </c>
      <c r="G5539" s="27" t="str">
        <f t="shared" si="530"/>
        <v/>
      </c>
      <c r="H5539" s="28"/>
      <c r="I5539" s="29"/>
      <c r="J5539" s="152">
        <v>0</v>
      </c>
      <c r="L5539" s="218"/>
      <c r="M5539" s="48"/>
      <c r="N5539" s="27" t="str">
        <f t="shared" si="531"/>
        <v/>
      </c>
      <c r="O5539" s="28"/>
      <c r="P5539" s="36" t="str">
        <f t="shared" si="532"/>
        <v/>
      </c>
      <c r="Q5539" s="216" t="str">
        <f t="shared" si="533"/>
        <v/>
      </c>
      <c r="R5539" s="216" t="str">
        <f t="shared" si="534"/>
        <v/>
      </c>
      <c r="S5539" s="217" t="str">
        <f t="shared" si="535"/>
        <v/>
      </c>
    </row>
    <row r="5540" spans="1:19" ht="15.75" hidden="1" thickBot="1" x14ac:dyDescent="0.3">
      <c r="A5540" s="257"/>
      <c r="B5540" s="260"/>
      <c r="C5540" s="31"/>
      <c r="D5540" s="31"/>
      <c r="E5540" s="32"/>
      <c r="F5540" s="53" t="s">
        <v>416</v>
      </c>
      <c r="G5540" s="53" t="str">
        <f t="shared" si="530"/>
        <v/>
      </c>
      <c r="H5540" s="72"/>
      <c r="I5540" s="73"/>
      <c r="J5540" s="152">
        <v>0</v>
      </c>
      <c r="L5540" s="219"/>
      <c r="M5540" s="53"/>
      <c r="N5540" s="53" t="str">
        <f t="shared" si="531"/>
        <v/>
      </c>
      <c r="O5540" s="72"/>
      <c r="P5540" s="36" t="str">
        <f t="shared" si="532"/>
        <v/>
      </c>
      <c r="Q5540" s="216" t="str">
        <f t="shared" si="533"/>
        <v/>
      </c>
      <c r="R5540" s="216" t="str">
        <f t="shared" si="534"/>
        <v/>
      </c>
      <c r="S5540" s="217" t="str">
        <f t="shared" si="535"/>
        <v/>
      </c>
    </row>
    <row r="5541" spans="1:19" ht="15.75" hidden="1" thickBot="1" x14ac:dyDescent="0.3">
      <c r="A5541" s="257"/>
      <c r="B5541" s="260"/>
      <c r="C5541" s="35" t="s">
        <v>2904</v>
      </c>
      <c r="D5541" s="35" t="s">
        <v>583</v>
      </c>
      <c r="E5541" s="36">
        <f>ROUND(220/(1+110.14%),4)</f>
        <v>104.6921</v>
      </c>
      <c r="F5541" s="30">
        <v>33.6965</v>
      </c>
      <c r="G5541" s="53">
        <f t="shared" si="530"/>
        <v>3527.7573476499997</v>
      </c>
      <c r="H5541" s="38">
        <f>SUM(G5541:G5541)</f>
        <v>3527.7573476499997</v>
      </c>
      <c r="I5541" s="39"/>
      <c r="J5541" s="152">
        <v>0</v>
      </c>
      <c r="L5541" s="215">
        <v>104.6921</v>
      </c>
      <c r="M5541" s="30">
        <v>28.844204000000001</v>
      </c>
      <c r="N5541" s="53">
        <f t="shared" si="531"/>
        <v>3019.7602895884002</v>
      </c>
      <c r="O5541" s="38">
        <f>SUM(N5541:N5541)</f>
        <v>3019.7602895884002</v>
      </c>
      <c r="P5541" s="36" t="str">
        <f t="shared" si="532"/>
        <v/>
      </c>
      <c r="Q5541" s="216">
        <f t="shared" si="533"/>
        <v>0.14400000000000002</v>
      </c>
      <c r="R5541" s="216">
        <f t="shared" si="534"/>
        <v>0.14399999999999991</v>
      </c>
      <c r="S5541" s="217">
        <f t="shared" si="535"/>
        <v>0.14399999999999991</v>
      </c>
    </row>
    <row r="5542" spans="1:19" ht="15.75" hidden="1" thickBot="1" x14ac:dyDescent="0.3">
      <c r="A5542" s="257"/>
      <c r="B5542" s="260"/>
      <c r="C5542" s="31"/>
      <c r="D5542" s="31"/>
      <c r="E5542" s="32"/>
      <c r="F5542" s="53" t="s">
        <v>416</v>
      </c>
      <c r="G5542" s="53" t="str">
        <f t="shared" si="530"/>
        <v/>
      </c>
      <c r="H5542" s="72"/>
      <c r="I5542" s="73"/>
      <c r="J5542" s="152">
        <v>0</v>
      </c>
      <c r="L5542" s="219"/>
      <c r="M5542" s="53"/>
      <c r="N5542" s="53" t="str">
        <f t="shared" si="531"/>
        <v/>
      </c>
      <c r="O5542" s="72"/>
      <c r="P5542" s="36" t="str">
        <f t="shared" si="532"/>
        <v/>
      </c>
      <c r="Q5542" s="216" t="str">
        <f t="shared" si="533"/>
        <v/>
      </c>
      <c r="R5542" s="216" t="str">
        <f t="shared" si="534"/>
        <v/>
      </c>
      <c r="S5542" s="217" t="str">
        <f t="shared" si="535"/>
        <v/>
      </c>
    </row>
    <row r="5543" spans="1:19" ht="26.25" hidden="1" thickBot="1" x14ac:dyDescent="0.3">
      <c r="A5543" s="257"/>
      <c r="B5543" s="260"/>
      <c r="C5543" s="47" t="s">
        <v>655</v>
      </c>
      <c r="D5543" s="31"/>
      <c r="E5543" s="32"/>
      <c r="F5543" s="53" t="s">
        <v>416</v>
      </c>
      <c r="G5543" s="53" t="str">
        <f t="shared" si="530"/>
        <v/>
      </c>
      <c r="H5543" s="72"/>
      <c r="I5543" s="73"/>
      <c r="J5543" s="152">
        <v>0</v>
      </c>
      <c r="L5543" s="219"/>
      <c r="M5543" s="53"/>
      <c r="N5543" s="53" t="str">
        <f t="shared" si="531"/>
        <v/>
      </c>
      <c r="O5543" s="72"/>
      <c r="P5543" s="36" t="str">
        <f t="shared" si="532"/>
        <v/>
      </c>
      <c r="Q5543" s="216" t="str">
        <f t="shared" si="533"/>
        <v/>
      </c>
      <c r="R5543" s="216" t="str">
        <f t="shared" si="534"/>
        <v/>
      </c>
      <c r="S5543" s="217" t="str">
        <f t="shared" si="535"/>
        <v/>
      </c>
    </row>
    <row r="5544" spans="1:19" ht="15.75" hidden="1" thickBot="1" x14ac:dyDescent="0.3">
      <c r="A5544" s="258"/>
      <c r="B5544" s="261"/>
      <c r="C5544" s="54"/>
      <c r="D5544" s="155"/>
      <c r="E5544" s="65"/>
      <c r="F5544" s="75" t="s">
        <v>416</v>
      </c>
      <c r="G5544" s="75" t="str">
        <f t="shared" si="530"/>
        <v/>
      </c>
      <c r="H5544" s="76"/>
      <c r="I5544" s="73"/>
      <c r="J5544" s="152">
        <v>0</v>
      </c>
      <c r="L5544" s="222"/>
      <c r="M5544" s="75"/>
      <c r="N5544" s="75" t="str">
        <f t="shared" si="531"/>
        <v/>
      </c>
      <c r="O5544" s="76"/>
      <c r="P5544" s="36" t="str">
        <f t="shared" si="532"/>
        <v/>
      </c>
      <c r="Q5544" s="216" t="str">
        <f t="shared" si="533"/>
        <v/>
      </c>
      <c r="R5544" s="216" t="str">
        <f t="shared" si="534"/>
        <v/>
      </c>
      <c r="S5544" s="217" t="str">
        <f t="shared" si="535"/>
        <v/>
      </c>
    </row>
    <row r="5545" spans="1:19" ht="15.75" hidden="1" thickBot="1" x14ac:dyDescent="0.3">
      <c r="A5545" s="256" t="s">
        <v>4200</v>
      </c>
      <c r="B5545" s="259" t="str">
        <f>INDEX(Orçamentária!A:B,MATCH(Composições!A5545,Orçamentária!A:A,0),2)</f>
        <v>Técnico em Eletrotécnica Termografista</v>
      </c>
      <c r="C5545" s="40"/>
      <c r="D5545" s="25" t="s">
        <v>2177</v>
      </c>
      <c r="E5545" s="26"/>
      <c r="F5545" s="48" t="s">
        <v>416</v>
      </c>
      <c r="G5545" s="27" t="str">
        <f t="shared" si="530"/>
        <v/>
      </c>
      <c r="H5545" s="28"/>
      <c r="I5545" s="29"/>
      <c r="J5545" s="152">
        <v>0</v>
      </c>
      <c r="L5545" s="218"/>
      <c r="M5545" s="48"/>
      <c r="N5545" s="27" t="str">
        <f t="shared" si="531"/>
        <v/>
      </c>
      <c r="O5545" s="28"/>
      <c r="P5545" s="36" t="str">
        <f t="shared" si="532"/>
        <v/>
      </c>
      <c r="Q5545" s="216" t="str">
        <f t="shared" si="533"/>
        <v/>
      </c>
      <c r="R5545" s="216" t="str">
        <f t="shared" si="534"/>
        <v/>
      </c>
      <c r="S5545" s="217" t="str">
        <f t="shared" si="535"/>
        <v/>
      </c>
    </row>
    <row r="5546" spans="1:19" ht="15.75" hidden="1" thickBot="1" x14ac:dyDescent="0.3">
      <c r="A5546" s="257"/>
      <c r="B5546" s="260"/>
      <c r="C5546" s="31"/>
      <c r="D5546" s="31"/>
      <c r="E5546" s="32"/>
      <c r="F5546" s="53" t="s">
        <v>416</v>
      </c>
      <c r="G5546" s="53" t="str">
        <f t="shared" si="530"/>
        <v/>
      </c>
      <c r="H5546" s="72"/>
      <c r="I5546" s="73"/>
      <c r="J5546" s="152">
        <v>0</v>
      </c>
      <c r="L5546" s="219"/>
      <c r="M5546" s="53"/>
      <c r="N5546" s="53" t="str">
        <f t="shared" si="531"/>
        <v/>
      </c>
      <c r="O5546" s="72"/>
      <c r="P5546" s="36" t="str">
        <f t="shared" si="532"/>
        <v/>
      </c>
      <c r="Q5546" s="216" t="str">
        <f t="shared" si="533"/>
        <v/>
      </c>
      <c r="R5546" s="216" t="str">
        <f t="shared" si="534"/>
        <v/>
      </c>
      <c r="S5546" s="217" t="str">
        <f t="shared" si="535"/>
        <v/>
      </c>
    </row>
    <row r="5547" spans="1:19" ht="15.75" hidden="1" thickBot="1" x14ac:dyDescent="0.3">
      <c r="A5547" s="257"/>
      <c r="B5547" s="260"/>
      <c r="C5547" s="35" t="s">
        <v>2904</v>
      </c>
      <c r="D5547" s="35" t="s">
        <v>583</v>
      </c>
      <c r="E5547" s="36">
        <f>ROUND(220/(1+110.14%),4)</f>
        <v>104.6921</v>
      </c>
      <c r="F5547" s="30">
        <v>33.6965</v>
      </c>
      <c r="G5547" s="53">
        <f t="shared" si="530"/>
        <v>3527.7573476499997</v>
      </c>
      <c r="H5547" s="38">
        <f>SUM(G5547:G5547)</f>
        <v>3527.7573476499997</v>
      </c>
      <c r="I5547" s="39"/>
      <c r="J5547" s="152">
        <v>0</v>
      </c>
      <c r="L5547" s="215">
        <v>104.6921</v>
      </c>
      <c r="M5547" s="30">
        <v>28.844204000000001</v>
      </c>
      <c r="N5547" s="53">
        <f t="shared" si="531"/>
        <v>3019.7602895884002</v>
      </c>
      <c r="O5547" s="38">
        <f>SUM(N5547:N5547)</f>
        <v>3019.7602895884002</v>
      </c>
      <c r="P5547" s="36" t="str">
        <f t="shared" si="532"/>
        <v/>
      </c>
      <c r="Q5547" s="216">
        <f t="shared" si="533"/>
        <v>0.14400000000000002</v>
      </c>
      <c r="R5547" s="216">
        <f t="shared" si="534"/>
        <v>0.14399999999999991</v>
      </c>
      <c r="S5547" s="217">
        <f t="shared" si="535"/>
        <v>0.14399999999999991</v>
      </c>
    </row>
    <row r="5548" spans="1:19" ht="15.75" hidden="1" thickBot="1" x14ac:dyDescent="0.3">
      <c r="A5548" s="257"/>
      <c r="B5548" s="260"/>
      <c r="C5548" s="31"/>
      <c r="D5548" s="31"/>
      <c r="E5548" s="32"/>
      <c r="F5548" s="53" t="s">
        <v>416</v>
      </c>
      <c r="G5548" s="53" t="str">
        <f t="shared" si="530"/>
        <v/>
      </c>
      <c r="H5548" s="72"/>
      <c r="I5548" s="73"/>
      <c r="J5548" s="152">
        <v>0</v>
      </c>
      <c r="L5548" s="219"/>
      <c r="M5548" s="53"/>
      <c r="N5548" s="53" t="str">
        <f t="shared" si="531"/>
        <v/>
      </c>
      <c r="O5548" s="72"/>
      <c r="P5548" s="36" t="str">
        <f t="shared" si="532"/>
        <v/>
      </c>
      <c r="Q5548" s="216" t="str">
        <f t="shared" si="533"/>
        <v/>
      </c>
      <c r="R5548" s="216" t="str">
        <f t="shared" si="534"/>
        <v/>
      </c>
      <c r="S5548" s="217" t="str">
        <f t="shared" si="535"/>
        <v/>
      </c>
    </row>
    <row r="5549" spans="1:19" ht="26.25" hidden="1" thickBot="1" x14ac:dyDescent="0.3">
      <c r="A5549" s="257"/>
      <c r="B5549" s="260"/>
      <c r="C5549" s="47" t="s">
        <v>655</v>
      </c>
      <c r="D5549" s="31"/>
      <c r="E5549" s="32"/>
      <c r="F5549" s="53" t="s">
        <v>416</v>
      </c>
      <c r="G5549" s="53" t="str">
        <f t="shared" si="530"/>
        <v/>
      </c>
      <c r="H5549" s="72"/>
      <c r="I5549" s="73"/>
      <c r="J5549" s="152">
        <v>0</v>
      </c>
      <c r="L5549" s="219"/>
      <c r="M5549" s="53"/>
      <c r="N5549" s="53" t="str">
        <f t="shared" si="531"/>
        <v/>
      </c>
      <c r="O5549" s="72"/>
      <c r="P5549" s="36" t="str">
        <f t="shared" si="532"/>
        <v/>
      </c>
      <c r="Q5549" s="216" t="str">
        <f t="shared" si="533"/>
        <v/>
      </c>
      <c r="R5549" s="216" t="str">
        <f t="shared" si="534"/>
        <v/>
      </c>
      <c r="S5549" s="217" t="str">
        <f t="shared" si="535"/>
        <v/>
      </c>
    </row>
    <row r="5550" spans="1:19" ht="15.75" hidden="1" thickBot="1" x14ac:dyDescent="0.3">
      <c r="A5550" s="258"/>
      <c r="B5550" s="261"/>
      <c r="C5550" s="54"/>
      <c r="D5550" s="155"/>
      <c r="E5550" s="65"/>
      <c r="F5550" s="75" t="s">
        <v>416</v>
      </c>
      <c r="G5550" s="75" t="str">
        <f t="shared" ref="G5550:G5613" si="536">IF(ISNUMBER(F5550),E5550*F5550,"")</f>
        <v/>
      </c>
      <c r="H5550" s="76"/>
      <c r="I5550" s="73"/>
      <c r="J5550" s="152">
        <v>0</v>
      </c>
      <c r="L5550" s="222"/>
      <c r="M5550" s="75"/>
      <c r="N5550" s="75" t="str">
        <f t="shared" ref="N5550:N5613" si="537">IF(ISNUMBER(M5550),L5550*M5550,"")</f>
        <v/>
      </c>
      <c r="O5550" s="76"/>
      <c r="P5550" s="36" t="str">
        <f t="shared" si="532"/>
        <v/>
      </c>
      <c r="Q5550" s="216" t="str">
        <f t="shared" si="533"/>
        <v/>
      </c>
      <c r="R5550" s="216" t="str">
        <f t="shared" si="534"/>
        <v/>
      </c>
      <c r="S5550" s="217" t="str">
        <f t="shared" si="535"/>
        <v/>
      </c>
    </row>
    <row r="5551" spans="1:19" ht="15.75" hidden="1" thickBot="1" x14ac:dyDescent="0.3">
      <c r="A5551" s="256" t="s">
        <v>4201</v>
      </c>
      <c r="B5551" s="259" t="str">
        <f>INDEX(Orçamentária!A:B,MATCH(Composições!A5551,Orçamentária!A:A,0),2)</f>
        <v>Técnico em Eletrotécnica</v>
      </c>
      <c r="C5551" s="40"/>
      <c r="D5551" s="25" t="s">
        <v>2177</v>
      </c>
      <c r="E5551" s="26"/>
      <c r="F5551" s="48" t="s">
        <v>416</v>
      </c>
      <c r="G5551" s="27" t="str">
        <f t="shared" si="536"/>
        <v/>
      </c>
      <c r="H5551" s="28"/>
      <c r="I5551" s="29"/>
      <c r="J5551" s="152">
        <v>0</v>
      </c>
      <c r="L5551" s="218"/>
      <c r="M5551" s="48"/>
      <c r="N5551" s="27" t="str">
        <f t="shared" si="537"/>
        <v/>
      </c>
      <c r="O5551" s="28"/>
      <c r="P5551" s="36" t="str">
        <f t="shared" si="532"/>
        <v/>
      </c>
      <c r="Q5551" s="216" t="str">
        <f t="shared" si="533"/>
        <v/>
      </c>
      <c r="R5551" s="216" t="str">
        <f t="shared" si="534"/>
        <v/>
      </c>
      <c r="S5551" s="217" t="str">
        <f t="shared" si="535"/>
        <v/>
      </c>
    </row>
    <row r="5552" spans="1:19" ht="15.75" hidden="1" thickBot="1" x14ac:dyDescent="0.3">
      <c r="A5552" s="257"/>
      <c r="B5552" s="260"/>
      <c r="C5552" s="31"/>
      <c r="D5552" s="31"/>
      <c r="E5552" s="32"/>
      <c r="F5552" s="53" t="s">
        <v>416</v>
      </c>
      <c r="G5552" s="53" t="str">
        <f t="shared" si="536"/>
        <v/>
      </c>
      <c r="H5552" s="72"/>
      <c r="I5552" s="73"/>
      <c r="J5552" s="152">
        <v>0</v>
      </c>
      <c r="L5552" s="219"/>
      <c r="M5552" s="53"/>
      <c r="N5552" s="53" t="str">
        <f t="shared" si="537"/>
        <v/>
      </c>
      <c r="O5552" s="72"/>
      <c r="P5552" s="36" t="str">
        <f t="shared" si="532"/>
        <v/>
      </c>
      <c r="Q5552" s="216" t="str">
        <f t="shared" si="533"/>
        <v/>
      </c>
      <c r="R5552" s="216" t="str">
        <f t="shared" si="534"/>
        <v/>
      </c>
      <c r="S5552" s="217" t="str">
        <f t="shared" si="535"/>
        <v/>
      </c>
    </row>
    <row r="5553" spans="1:19" ht="15.75" hidden="1" thickBot="1" x14ac:dyDescent="0.3">
      <c r="A5553" s="257"/>
      <c r="B5553" s="260"/>
      <c r="C5553" s="35" t="s">
        <v>2904</v>
      </c>
      <c r="D5553" s="35" t="s">
        <v>583</v>
      </c>
      <c r="E5553" s="36">
        <f>ROUND(220/(1+110.14%),4)</f>
        <v>104.6921</v>
      </c>
      <c r="F5553" s="30">
        <v>33.6965</v>
      </c>
      <c r="G5553" s="53">
        <f t="shared" si="536"/>
        <v>3527.7573476499997</v>
      </c>
      <c r="H5553" s="38">
        <f>SUM(G5553:G5553)</f>
        <v>3527.7573476499997</v>
      </c>
      <c r="I5553" s="39"/>
      <c r="J5553" s="152">
        <v>0</v>
      </c>
      <c r="L5553" s="215">
        <v>104.6921</v>
      </c>
      <c r="M5553" s="30">
        <v>28.844204000000001</v>
      </c>
      <c r="N5553" s="53">
        <f t="shared" si="537"/>
        <v>3019.7602895884002</v>
      </c>
      <c r="O5553" s="38">
        <f>SUM(N5553:N5553)</f>
        <v>3019.7602895884002</v>
      </c>
      <c r="P5553" s="36" t="str">
        <f t="shared" si="532"/>
        <v/>
      </c>
      <c r="Q5553" s="216">
        <f t="shared" si="533"/>
        <v>0.14400000000000002</v>
      </c>
      <c r="R5553" s="216">
        <f t="shared" si="534"/>
        <v>0.14399999999999991</v>
      </c>
      <c r="S5553" s="217">
        <f t="shared" si="535"/>
        <v>0.14399999999999991</v>
      </c>
    </row>
    <row r="5554" spans="1:19" ht="15.75" hidden="1" thickBot="1" x14ac:dyDescent="0.3">
      <c r="A5554" s="257"/>
      <c r="B5554" s="260"/>
      <c r="C5554" s="31"/>
      <c r="D5554" s="31"/>
      <c r="E5554" s="32"/>
      <c r="F5554" s="53" t="s">
        <v>416</v>
      </c>
      <c r="G5554" s="53" t="str">
        <f t="shared" si="536"/>
        <v/>
      </c>
      <c r="H5554" s="72"/>
      <c r="I5554" s="73"/>
      <c r="J5554" s="152">
        <v>0</v>
      </c>
      <c r="L5554" s="219"/>
      <c r="M5554" s="53"/>
      <c r="N5554" s="53" t="str">
        <f t="shared" si="537"/>
        <v/>
      </c>
      <c r="O5554" s="72"/>
      <c r="P5554" s="36" t="str">
        <f t="shared" si="532"/>
        <v/>
      </c>
      <c r="Q5554" s="216" t="str">
        <f t="shared" si="533"/>
        <v/>
      </c>
      <c r="R5554" s="216" t="str">
        <f t="shared" si="534"/>
        <v/>
      </c>
      <c r="S5554" s="217" t="str">
        <f t="shared" si="535"/>
        <v/>
      </c>
    </row>
    <row r="5555" spans="1:19" ht="26.25" hidden="1" thickBot="1" x14ac:dyDescent="0.3">
      <c r="A5555" s="257"/>
      <c r="B5555" s="260"/>
      <c r="C5555" s="47" t="s">
        <v>655</v>
      </c>
      <c r="D5555" s="31"/>
      <c r="E5555" s="32"/>
      <c r="F5555" s="53" t="s">
        <v>416</v>
      </c>
      <c r="G5555" s="53" t="str">
        <f t="shared" si="536"/>
        <v/>
      </c>
      <c r="H5555" s="72"/>
      <c r="I5555" s="73"/>
      <c r="J5555" s="152">
        <v>0</v>
      </c>
      <c r="L5555" s="219"/>
      <c r="M5555" s="53"/>
      <c r="N5555" s="53" t="str">
        <f t="shared" si="537"/>
        <v/>
      </c>
      <c r="O5555" s="72"/>
      <c r="P5555" s="36" t="str">
        <f t="shared" si="532"/>
        <v/>
      </c>
      <c r="Q5555" s="216" t="str">
        <f t="shared" si="533"/>
        <v/>
      </c>
      <c r="R5555" s="216" t="str">
        <f t="shared" si="534"/>
        <v/>
      </c>
      <c r="S5555" s="217" t="str">
        <f t="shared" si="535"/>
        <v/>
      </c>
    </row>
    <row r="5556" spans="1:19" ht="15.75" hidden="1" thickBot="1" x14ac:dyDescent="0.3">
      <c r="A5556" s="258"/>
      <c r="B5556" s="261"/>
      <c r="C5556" s="54"/>
      <c r="D5556" s="155"/>
      <c r="E5556" s="65"/>
      <c r="F5556" s="75" t="s">
        <v>416</v>
      </c>
      <c r="G5556" s="75" t="str">
        <f t="shared" si="536"/>
        <v/>
      </c>
      <c r="H5556" s="76"/>
      <c r="I5556" s="73"/>
      <c r="J5556" s="152">
        <v>0</v>
      </c>
      <c r="L5556" s="222"/>
      <c r="M5556" s="75"/>
      <c r="N5556" s="75" t="str">
        <f t="shared" si="537"/>
        <v/>
      </c>
      <c r="O5556" s="76"/>
      <c r="P5556" s="36" t="str">
        <f t="shared" si="532"/>
        <v/>
      </c>
      <c r="Q5556" s="216" t="str">
        <f t="shared" si="533"/>
        <v/>
      </c>
      <c r="R5556" s="216" t="str">
        <f t="shared" si="534"/>
        <v/>
      </c>
      <c r="S5556" s="217" t="str">
        <f t="shared" si="535"/>
        <v/>
      </c>
    </row>
    <row r="5557" spans="1:19" ht="15.75" hidden="1" thickBot="1" x14ac:dyDescent="0.3">
      <c r="A5557" s="256" t="s">
        <v>4202</v>
      </c>
      <c r="B5557" s="259" t="str">
        <f>INDEX(Orçamentária!A:B,MATCH(Composições!A5557,Orçamentária!A:A,0),2)</f>
        <v>Eletricista</v>
      </c>
      <c r="C5557" s="40"/>
      <c r="D5557" s="25" t="s">
        <v>2177</v>
      </c>
      <c r="E5557" s="26"/>
      <c r="F5557" s="48" t="s">
        <v>416</v>
      </c>
      <c r="G5557" s="27" t="str">
        <f t="shared" si="536"/>
        <v/>
      </c>
      <c r="H5557" s="28"/>
      <c r="I5557" s="29"/>
      <c r="J5557" s="152">
        <v>0</v>
      </c>
      <c r="L5557" s="218"/>
      <c r="M5557" s="48"/>
      <c r="N5557" s="27" t="str">
        <f t="shared" si="537"/>
        <v/>
      </c>
      <c r="O5557" s="28"/>
      <c r="P5557" s="36" t="str">
        <f t="shared" si="532"/>
        <v/>
      </c>
      <c r="Q5557" s="216" t="str">
        <f t="shared" si="533"/>
        <v/>
      </c>
      <c r="R5557" s="216" t="str">
        <f t="shared" si="534"/>
        <v/>
      </c>
      <c r="S5557" s="217" t="str">
        <f t="shared" si="535"/>
        <v/>
      </c>
    </row>
    <row r="5558" spans="1:19" ht="15.75" hidden="1" thickBot="1" x14ac:dyDescent="0.3">
      <c r="A5558" s="257"/>
      <c r="B5558" s="260"/>
      <c r="C5558" s="31"/>
      <c r="D5558" s="31"/>
      <c r="E5558" s="32"/>
      <c r="F5558" s="53" t="s">
        <v>416</v>
      </c>
      <c r="G5558" s="53" t="str">
        <f t="shared" si="536"/>
        <v/>
      </c>
      <c r="H5558" s="72"/>
      <c r="I5558" s="73"/>
      <c r="J5558" s="152">
        <v>0</v>
      </c>
      <c r="L5558" s="219"/>
      <c r="M5558" s="53"/>
      <c r="N5558" s="53" t="str">
        <f t="shared" si="537"/>
        <v/>
      </c>
      <c r="O5558" s="72"/>
      <c r="P5558" s="36" t="str">
        <f t="shared" si="532"/>
        <v/>
      </c>
      <c r="Q5558" s="216" t="str">
        <f t="shared" si="533"/>
        <v/>
      </c>
      <c r="R5558" s="216" t="str">
        <f t="shared" si="534"/>
        <v/>
      </c>
      <c r="S5558" s="217" t="str">
        <f t="shared" si="535"/>
        <v/>
      </c>
    </row>
    <row r="5559" spans="1:19" ht="15.75" hidden="1" thickBot="1" x14ac:dyDescent="0.3">
      <c r="A5559" s="257"/>
      <c r="B5559" s="260"/>
      <c r="C5559" s="35" t="s">
        <v>1018</v>
      </c>
      <c r="D5559" s="35" t="s">
        <v>583</v>
      </c>
      <c r="E5559" s="36">
        <f>ROUND(220/(1+110.14%),4)</f>
        <v>104.6921</v>
      </c>
      <c r="F5559" s="30">
        <v>27.835000000000001</v>
      </c>
      <c r="G5559" s="53">
        <f t="shared" si="536"/>
        <v>2914.1046034999999</v>
      </c>
      <c r="H5559" s="38">
        <f>SUM(G5559:G5559)</f>
        <v>2914.1046034999999</v>
      </c>
      <c r="I5559" s="39"/>
      <c r="J5559" s="152">
        <v>0</v>
      </c>
      <c r="L5559" s="215">
        <v>104.6921</v>
      </c>
      <c r="M5559" s="30">
        <v>23.82676</v>
      </c>
      <c r="N5559" s="53">
        <f t="shared" si="537"/>
        <v>2494.473540596</v>
      </c>
      <c r="O5559" s="38">
        <f>SUM(N5559:N5559)</f>
        <v>2494.473540596</v>
      </c>
      <c r="P5559" s="36" t="str">
        <f t="shared" si="532"/>
        <v/>
      </c>
      <c r="Q5559" s="216">
        <f t="shared" si="533"/>
        <v>0.14400000000000002</v>
      </c>
      <c r="R5559" s="216">
        <f t="shared" si="534"/>
        <v>0.14400000000000002</v>
      </c>
      <c r="S5559" s="217">
        <f t="shared" si="535"/>
        <v>0.14400000000000002</v>
      </c>
    </row>
    <row r="5560" spans="1:19" ht="15.75" hidden="1" thickBot="1" x14ac:dyDescent="0.3">
      <c r="A5560" s="257"/>
      <c r="B5560" s="260"/>
      <c r="C5560" s="31"/>
      <c r="D5560" s="31"/>
      <c r="E5560" s="32"/>
      <c r="F5560" s="53" t="s">
        <v>416</v>
      </c>
      <c r="G5560" s="53" t="str">
        <f t="shared" si="536"/>
        <v/>
      </c>
      <c r="H5560" s="72"/>
      <c r="I5560" s="73"/>
      <c r="J5560" s="152">
        <v>0</v>
      </c>
      <c r="L5560" s="219"/>
      <c r="M5560" s="53"/>
      <c r="N5560" s="53" t="str">
        <f t="shared" si="537"/>
        <v/>
      </c>
      <c r="O5560" s="72"/>
      <c r="P5560" s="36" t="str">
        <f t="shared" si="532"/>
        <v/>
      </c>
      <c r="Q5560" s="216" t="str">
        <f t="shared" si="533"/>
        <v/>
      </c>
      <c r="R5560" s="216" t="str">
        <f t="shared" si="534"/>
        <v/>
      </c>
      <c r="S5560" s="217" t="str">
        <f t="shared" si="535"/>
        <v/>
      </c>
    </row>
    <row r="5561" spans="1:19" ht="26.25" hidden="1" thickBot="1" x14ac:dyDescent="0.3">
      <c r="A5561" s="257"/>
      <c r="B5561" s="260"/>
      <c r="C5561" s="47" t="s">
        <v>655</v>
      </c>
      <c r="D5561" s="31"/>
      <c r="E5561" s="32"/>
      <c r="F5561" s="53" t="s">
        <v>416</v>
      </c>
      <c r="G5561" s="53" t="str">
        <f t="shared" si="536"/>
        <v/>
      </c>
      <c r="H5561" s="72"/>
      <c r="I5561" s="73"/>
      <c r="J5561" s="152">
        <v>0</v>
      </c>
      <c r="L5561" s="219"/>
      <c r="M5561" s="53"/>
      <c r="N5561" s="53" t="str">
        <f t="shared" si="537"/>
        <v/>
      </c>
      <c r="O5561" s="72"/>
      <c r="P5561" s="36" t="str">
        <f t="shared" si="532"/>
        <v/>
      </c>
      <c r="Q5561" s="216" t="str">
        <f t="shared" si="533"/>
        <v/>
      </c>
      <c r="R5561" s="216" t="str">
        <f t="shared" si="534"/>
        <v/>
      </c>
      <c r="S5561" s="217" t="str">
        <f t="shared" si="535"/>
        <v/>
      </c>
    </row>
    <row r="5562" spans="1:19" ht="15.75" hidden="1" thickBot="1" x14ac:dyDescent="0.3">
      <c r="A5562" s="258"/>
      <c r="B5562" s="261"/>
      <c r="C5562" s="54"/>
      <c r="D5562" s="155"/>
      <c r="E5562" s="65"/>
      <c r="F5562" s="75" t="s">
        <v>416</v>
      </c>
      <c r="G5562" s="75" t="str">
        <f t="shared" si="536"/>
        <v/>
      </c>
      <c r="H5562" s="76"/>
      <c r="I5562" s="73"/>
      <c r="J5562" s="152">
        <v>0</v>
      </c>
      <c r="L5562" s="222"/>
      <c r="M5562" s="75"/>
      <c r="N5562" s="75" t="str">
        <f t="shared" si="537"/>
        <v/>
      </c>
      <c r="O5562" s="76"/>
      <c r="P5562" s="36" t="str">
        <f t="shared" si="532"/>
        <v/>
      </c>
      <c r="Q5562" s="216" t="str">
        <f t="shared" si="533"/>
        <v/>
      </c>
      <c r="R5562" s="216" t="str">
        <f t="shared" si="534"/>
        <v/>
      </c>
      <c r="S5562" s="217" t="str">
        <f t="shared" si="535"/>
        <v/>
      </c>
    </row>
    <row r="5563" spans="1:19" ht="15.75" hidden="1" thickBot="1" x14ac:dyDescent="0.3">
      <c r="A5563" s="256" t="s">
        <v>4203</v>
      </c>
      <c r="B5563" s="259" t="str">
        <f>INDEX(Orçamentária!A:B,MATCH(Composições!A5563,Orçamentária!A:A,0),2)</f>
        <v>Auxiliar de Eletricista</v>
      </c>
      <c r="C5563" s="40"/>
      <c r="D5563" s="25" t="s">
        <v>2177</v>
      </c>
      <c r="E5563" s="26"/>
      <c r="F5563" s="48" t="s">
        <v>416</v>
      </c>
      <c r="G5563" s="27" t="str">
        <f t="shared" si="536"/>
        <v/>
      </c>
      <c r="H5563" s="28"/>
      <c r="I5563" s="29"/>
      <c r="J5563" s="152">
        <v>0</v>
      </c>
      <c r="L5563" s="218"/>
      <c r="M5563" s="48"/>
      <c r="N5563" s="27" t="str">
        <f t="shared" si="537"/>
        <v/>
      </c>
      <c r="O5563" s="28"/>
      <c r="P5563" s="36" t="str">
        <f t="shared" si="532"/>
        <v/>
      </c>
      <c r="Q5563" s="216" t="str">
        <f t="shared" si="533"/>
        <v/>
      </c>
      <c r="R5563" s="216" t="str">
        <f t="shared" si="534"/>
        <v/>
      </c>
      <c r="S5563" s="217" t="str">
        <f t="shared" si="535"/>
        <v/>
      </c>
    </row>
    <row r="5564" spans="1:19" ht="15.75" hidden="1" thickBot="1" x14ac:dyDescent="0.3">
      <c r="A5564" s="257"/>
      <c r="B5564" s="260"/>
      <c r="C5564" s="31"/>
      <c r="D5564" s="31"/>
      <c r="E5564" s="32"/>
      <c r="F5564" s="53" t="s">
        <v>416</v>
      </c>
      <c r="G5564" s="53" t="str">
        <f t="shared" si="536"/>
        <v/>
      </c>
      <c r="H5564" s="72"/>
      <c r="I5564" s="73"/>
      <c r="J5564" s="152">
        <v>0</v>
      </c>
      <c r="L5564" s="219"/>
      <c r="M5564" s="53"/>
      <c r="N5564" s="53" t="str">
        <f t="shared" si="537"/>
        <v/>
      </c>
      <c r="O5564" s="72"/>
      <c r="P5564" s="36" t="str">
        <f t="shared" si="532"/>
        <v/>
      </c>
      <c r="Q5564" s="216" t="str">
        <f t="shared" si="533"/>
        <v/>
      </c>
      <c r="R5564" s="216" t="str">
        <f t="shared" si="534"/>
        <v/>
      </c>
      <c r="S5564" s="217" t="str">
        <f t="shared" si="535"/>
        <v/>
      </c>
    </row>
    <row r="5565" spans="1:19" ht="15.75" hidden="1" thickBot="1" x14ac:dyDescent="0.3">
      <c r="A5565" s="257"/>
      <c r="B5565" s="260"/>
      <c r="C5565" s="35" t="s">
        <v>1017</v>
      </c>
      <c r="D5565" s="35" t="s">
        <v>583</v>
      </c>
      <c r="E5565" s="36">
        <f>ROUND(220/(1+110.14%),4)</f>
        <v>104.6921</v>
      </c>
      <c r="F5565" s="30">
        <v>21.584</v>
      </c>
      <c r="G5565" s="53">
        <f t="shared" si="536"/>
        <v>2259.6742863999998</v>
      </c>
      <c r="H5565" s="38">
        <f>SUM(G5565:G5565)</f>
        <v>2259.6742863999998</v>
      </c>
      <c r="I5565" s="39"/>
      <c r="J5565" s="152">
        <v>0</v>
      </c>
      <c r="L5565" s="215">
        <v>104.6921</v>
      </c>
      <c r="M5565" s="30">
        <v>18.475904</v>
      </c>
      <c r="N5565" s="53">
        <f t="shared" si="537"/>
        <v>1934.2811891583999</v>
      </c>
      <c r="O5565" s="38">
        <f>SUM(N5565:N5565)</f>
        <v>1934.2811891583999</v>
      </c>
      <c r="P5565" s="36" t="str">
        <f t="shared" si="532"/>
        <v/>
      </c>
      <c r="Q5565" s="216">
        <f t="shared" si="533"/>
        <v>0.14400000000000002</v>
      </c>
      <c r="R5565" s="216">
        <f t="shared" si="534"/>
        <v>0.14400000000000002</v>
      </c>
      <c r="S5565" s="217">
        <f t="shared" si="535"/>
        <v>0.14400000000000002</v>
      </c>
    </row>
    <row r="5566" spans="1:19" ht="15.75" hidden="1" thickBot="1" x14ac:dyDescent="0.3">
      <c r="A5566" s="257"/>
      <c r="B5566" s="260"/>
      <c r="C5566" s="31"/>
      <c r="D5566" s="31"/>
      <c r="E5566" s="32"/>
      <c r="F5566" s="53" t="s">
        <v>416</v>
      </c>
      <c r="G5566" s="53" t="str">
        <f t="shared" si="536"/>
        <v/>
      </c>
      <c r="H5566" s="72"/>
      <c r="I5566" s="73"/>
      <c r="J5566" s="152">
        <v>0</v>
      </c>
      <c r="L5566" s="219"/>
      <c r="M5566" s="53"/>
      <c r="N5566" s="53" t="str">
        <f t="shared" si="537"/>
        <v/>
      </c>
      <c r="O5566" s="72"/>
      <c r="P5566" s="36" t="str">
        <f t="shared" si="532"/>
        <v/>
      </c>
      <c r="Q5566" s="216" t="str">
        <f t="shared" si="533"/>
        <v/>
      </c>
      <c r="R5566" s="216" t="str">
        <f t="shared" si="534"/>
        <v/>
      </c>
      <c r="S5566" s="217" t="str">
        <f t="shared" si="535"/>
        <v/>
      </c>
    </row>
    <row r="5567" spans="1:19" ht="26.25" hidden="1" thickBot="1" x14ac:dyDescent="0.3">
      <c r="A5567" s="257"/>
      <c r="B5567" s="260"/>
      <c r="C5567" s="47" t="s">
        <v>655</v>
      </c>
      <c r="D5567" s="31"/>
      <c r="E5567" s="32"/>
      <c r="F5567" s="53" t="s">
        <v>416</v>
      </c>
      <c r="G5567" s="53" t="str">
        <f t="shared" si="536"/>
        <v/>
      </c>
      <c r="H5567" s="72"/>
      <c r="I5567" s="73"/>
      <c r="J5567" s="152">
        <v>0</v>
      </c>
      <c r="L5567" s="219"/>
      <c r="M5567" s="53"/>
      <c r="N5567" s="53" t="str">
        <f t="shared" si="537"/>
        <v/>
      </c>
      <c r="O5567" s="72"/>
      <c r="P5567" s="36" t="str">
        <f t="shared" si="532"/>
        <v/>
      </c>
      <c r="Q5567" s="216" t="str">
        <f t="shared" si="533"/>
        <v/>
      </c>
      <c r="R5567" s="216" t="str">
        <f t="shared" si="534"/>
        <v/>
      </c>
      <c r="S5567" s="217" t="str">
        <f t="shared" si="535"/>
        <v/>
      </c>
    </row>
    <row r="5568" spans="1:19" ht="15.75" hidden="1" thickBot="1" x14ac:dyDescent="0.3">
      <c r="A5568" s="258"/>
      <c r="B5568" s="261"/>
      <c r="C5568" s="54"/>
      <c r="D5568" s="155"/>
      <c r="E5568" s="65"/>
      <c r="F5568" s="75" t="s">
        <v>416</v>
      </c>
      <c r="G5568" s="75" t="str">
        <f t="shared" si="536"/>
        <v/>
      </c>
      <c r="H5568" s="76"/>
      <c r="I5568" s="73"/>
      <c r="J5568" s="152">
        <v>0</v>
      </c>
      <c r="L5568" s="222"/>
      <c r="M5568" s="75"/>
      <c r="N5568" s="75" t="str">
        <f t="shared" si="537"/>
        <v/>
      </c>
      <c r="O5568" s="76"/>
      <c r="P5568" s="36" t="str">
        <f t="shared" si="532"/>
        <v/>
      </c>
      <c r="Q5568" s="216" t="str">
        <f t="shared" si="533"/>
        <v/>
      </c>
      <c r="R5568" s="216" t="str">
        <f t="shared" si="534"/>
        <v/>
      </c>
      <c r="S5568" s="217" t="str">
        <f t="shared" si="535"/>
        <v/>
      </c>
    </row>
    <row r="5569" spans="1:19" ht="15.75" hidden="1" thickBot="1" x14ac:dyDescent="0.3">
      <c r="A5569" s="256" t="s">
        <v>4204</v>
      </c>
      <c r="B5569" s="259" t="str">
        <f>INDEX(Orçamentária!A:B,MATCH(Composições!A5569,Orçamentária!A:A,0),2)</f>
        <v>Técnico em Eletromecânica</v>
      </c>
      <c r="C5569" s="40"/>
      <c r="D5569" s="25" t="s">
        <v>2177</v>
      </c>
      <c r="E5569" s="26"/>
      <c r="F5569" s="48" t="s">
        <v>416</v>
      </c>
      <c r="G5569" s="27" t="str">
        <f t="shared" si="536"/>
        <v/>
      </c>
      <c r="H5569" s="28"/>
      <c r="I5569" s="29"/>
      <c r="J5569" s="152">
        <v>0</v>
      </c>
      <c r="L5569" s="218"/>
      <c r="M5569" s="48"/>
      <c r="N5569" s="27" t="str">
        <f t="shared" si="537"/>
        <v/>
      </c>
      <c r="O5569" s="28"/>
      <c r="P5569" s="36" t="str">
        <f t="shared" si="532"/>
        <v/>
      </c>
      <c r="Q5569" s="216" t="str">
        <f t="shared" si="533"/>
        <v/>
      </c>
      <c r="R5569" s="216" t="str">
        <f t="shared" si="534"/>
        <v/>
      </c>
      <c r="S5569" s="217" t="str">
        <f t="shared" si="535"/>
        <v/>
      </c>
    </row>
    <row r="5570" spans="1:19" ht="15.75" hidden="1" thickBot="1" x14ac:dyDescent="0.3">
      <c r="A5570" s="257"/>
      <c r="B5570" s="260"/>
      <c r="C5570" s="31"/>
      <c r="D5570" s="31"/>
      <c r="E5570" s="32"/>
      <c r="F5570" s="53" t="s">
        <v>416</v>
      </c>
      <c r="G5570" s="53" t="str">
        <f t="shared" si="536"/>
        <v/>
      </c>
      <c r="H5570" s="72"/>
      <c r="I5570" s="73"/>
      <c r="J5570" s="152">
        <v>0</v>
      </c>
      <c r="L5570" s="219"/>
      <c r="M5570" s="53"/>
      <c r="N5570" s="53" t="str">
        <f t="shared" si="537"/>
        <v/>
      </c>
      <c r="O5570" s="72"/>
      <c r="P5570" s="36" t="str">
        <f t="shared" si="532"/>
        <v/>
      </c>
      <c r="Q5570" s="216" t="str">
        <f t="shared" si="533"/>
        <v/>
      </c>
      <c r="R5570" s="216" t="str">
        <f t="shared" si="534"/>
        <v/>
      </c>
      <c r="S5570" s="217" t="str">
        <f t="shared" si="535"/>
        <v/>
      </c>
    </row>
    <row r="5571" spans="1:19" ht="15.75" hidden="1" thickBot="1" x14ac:dyDescent="0.3">
      <c r="A5571" s="257"/>
      <c r="B5571" s="260"/>
      <c r="C5571" s="35" t="s">
        <v>2904</v>
      </c>
      <c r="D5571" s="35" t="s">
        <v>583</v>
      </c>
      <c r="E5571" s="36">
        <f>ROUND(220/(1+110.14%),4)</f>
        <v>104.6921</v>
      </c>
      <c r="F5571" s="30">
        <v>33.6965</v>
      </c>
      <c r="G5571" s="53">
        <f t="shared" si="536"/>
        <v>3527.7573476499997</v>
      </c>
      <c r="H5571" s="38">
        <f>SUM(G5571:G5571)</f>
        <v>3527.7573476499997</v>
      </c>
      <c r="I5571" s="39"/>
      <c r="J5571" s="152">
        <v>0</v>
      </c>
      <c r="L5571" s="215">
        <v>104.6921</v>
      </c>
      <c r="M5571" s="30">
        <v>28.844204000000001</v>
      </c>
      <c r="N5571" s="53">
        <f t="shared" si="537"/>
        <v>3019.7602895884002</v>
      </c>
      <c r="O5571" s="38">
        <f>SUM(N5571:N5571)</f>
        <v>3019.7602895884002</v>
      </c>
      <c r="P5571" s="36" t="str">
        <f t="shared" si="532"/>
        <v/>
      </c>
      <c r="Q5571" s="216">
        <f t="shared" si="533"/>
        <v>0.14400000000000002</v>
      </c>
      <c r="R5571" s="216">
        <f t="shared" si="534"/>
        <v>0.14399999999999991</v>
      </c>
      <c r="S5571" s="217">
        <f t="shared" si="535"/>
        <v>0.14399999999999991</v>
      </c>
    </row>
    <row r="5572" spans="1:19" ht="15.75" hidden="1" thickBot="1" x14ac:dyDescent="0.3">
      <c r="A5572" s="257"/>
      <c r="B5572" s="260"/>
      <c r="C5572" s="31"/>
      <c r="D5572" s="31"/>
      <c r="E5572" s="32"/>
      <c r="F5572" s="53" t="s">
        <v>416</v>
      </c>
      <c r="G5572" s="53" t="str">
        <f t="shared" si="536"/>
        <v/>
      </c>
      <c r="H5572" s="72"/>
      <c r="I5572" s="73"/>
      <c r="J5572" s="152">
        <v>0</v>
      </c>
      <c r="L5572" s="219"/>
      <c r="M5572" s="53"/>
      <c r="N5572" s="53" t="str">
        <f t="shared" si="537"/>
        <v/>
      </c>
      <c r="O5572" s="72"/>
      <c r="P5572" s="36" t="str">
        <f t="shared" si="532"/>
        <v/>
      </c>
      <c r="Q5572" s="216" t="str">
        <f t="shared" si="533"/>
        <v/>
      </c>
      <c r="R5572" s="216" t="str">
        <f t="shared" si="534"/>
        <v/>
      </c>
      <c r="S5572" s="217" t="str">
        <f t="shared" si="535"/>
        <v/>
      </c>
    </row>
    <row r="5573" spans="1:19" ht="26.25" hidden="1" thickBot="1" x14ac:dyDescent="0.3">
      <c r="A5573" s="257"/>
      <c r="B5573" s="260"/>
      <c r="C5573" s="47" t="s">
        <v>655</v>
      </c>
      <c r="D5573" s="31"/>
      <c r="E5573" s="32"/>
      <c r="F5573" s="53" t="s">
        <v>416</v>
      </c>
      <c r="G5573" s="53" t="str">
        <f t="shared" si="536"/>
        <v/>
      </c>
      <c r="H5573" s="72"/>
      <c r="I5573" s="73"/>
      <c r="J5573" s="152">
        <v>0</v>
      </c>
      <c r="L5573" s="219"/>
      <c r="M5573" s="53"/>
      <c r="N5573" s="53" t="str">
        <f t="shared" si="537"/>
        <v/>
      </c>
      <c r="O5573" s="72"/>
      <c r="P5573" s="36" t="str">
        <f t="shared" si="532"/>
        <v/>
      </c>
      <c r="Q5573" s="216" t="str">
        <f t="shared" si="533"/>
        <v/>
      </c>
      <c r="R5573" s="216" t="str">
        <f t="shared" si="534"/>
        <v/>
      </c>
      <c r="S5573" s="217" t="str">
        <f t="shared" si="535"/>
        <v/>
      </c>
    </row>
    <row r="5574" spans="1:19" ht="15.75" hidden="1" thickBot="1" x14ac:dyDescent="0.3">
      <c r="A5574" s="258"/>
      <c r="B5574" s="261"/>
      <c r="C5574" s="54"/>
      <c r="D5574" s="155"/>
      <c r="E5574" s="65"/>
      <c r="F5574" s="75" t="s">
        <v>416</v>
      </c>
      <c r="G5574" s="75" t="str">
        <f t="shared" si="536"/>
        <v/>
      </c>
      <c r="H5574" s="76"/>
      <c r="I5574" s="73"/>
      <c r="J5574" s="152">
        <v>0</v>
      </c>
      <c r="L5574" s="222"/>
      <c r="M5574" s="75"/>
      <c r="N5574" s="75" t="str">
        <f t="shared" si="537"/>
        <v/>
      </c>
      <c r="O5574" s="76"/>
      <c r="P5574" s="36" t="str">
        <f t="shared" si="532"/>
        <v/>
      </c>
      <c r="Q5574" s="216" t="str">
        <f t="shared" si="533"/>
        <v/>
      </c>
      <c r="R5574" s="216" t="str">
        <f t="shared" si="534"/>
        <v/>
      </c>
      <c r="S5574" s="217" t="str">
        <f t="shared" si="535"/>
        <v/>
      </c>
    </row>
    <row r="5575" spans="1:19" ht="15.75" hidden="1" thickBot="1" x14ac:dyDescent="0.3">
      <c r="A5575" s="256" t="s">
        <v>4205</v>
      </c>
      <c r="B5575" s="259" t="str">
        <f>INDEX(Orçamentária!A:B,MATCH(Composições!A5575,Orçamentária!A:A,0),2)</f>
        <v>Técnico em Automação</v>
      </c>
      <c r="C5575" s="40"/>
      <c r="D5575" s="25" t="s">
        <v>2177</v>
      </c>
      <c r="E5575" s="26"/>
      <c r="F5575" s="48" t="s">
        <v>416</v>
      </c>
      <c r="G5575" s="27" t="str">
        <f t="shared" si="536"/>
        <v/>
      </c>
      <c r="H5575" s="28"/>
      <c r="I5575" s="29"/>
      <c r="J5575" s="152">
        <v>0</v>
      </c>
      <c r="L5575" s="218"/>
      <c r="M5575" s="48"/>
      <c r="N5575" s="27" t="str">
        <f t="shared" si="537"/>
        <v/>
      </c>
      <c r="O5575" s="28"/>
      <c r="P5575" s="36" t="str">
        <f t="shared" si="532"/>
        <v/>
      </c>
      <c r="Q5575" s="216" t="str">
        <f t="shared" si="533"/>
        <v/>
      </c>
      <c r="R5575" s="216" t="str">
        <f t="shared" si="534"/>
        <v/>
      </c>
      <c r="S5575" s="217" t="str">
        <f t="shared" si="535"/>
        <v/>
      </c>
    </row>
    <row r="5576" spans="1:19" ht="15.75" hidden="1" thickBot="1" x14ac:dyDescent="0.3">
      <c r="A5576" s="257"/>
      <c r="B5576" s="260"/>
      <c r="C5576" s="31"/>
      <c r="D5576" s="31"/>
      <c r="E5576" s="32"/>
      <c r="F5576" s="53" t="s">
        <v>416</v>
      </c>
      <c r="G5576" s="53" t="str">
        <f t="shared" si="536"/>
        <v/>
      </c>
      <c r="H5576" s="72"/>
      <c r="I5576" s="73"/>
      <c r="J5576" s="152">
        <v>0</v>
      </c>
      <c r="L5576" s="219"/>
      <c r="M5576" s="53"/>
      <c r="N5576" s="53" t="str">
        <f t="shared" si="537"/>
        <v/>
      </c>
      <c r="O5576" s="72"/>
      <c r="P5576" s="36" t="str">
        <f t="shared" ref="P5576:P5639" si="538">IF(ISBLANK(L5576),"",IF($E5576&lt;&gt;L5576,"SIM",""))</f>
        <v/>
      </c>
      <c r="Q5576" s="216" t="str">
        <f t="shared" ref="Q5576:Q5639" si="539">IF(M5576="","",1-M5576/$F5576)</f>
        <v/>
      </c>
      <c r="R5576" s="216" t="str">
        <f t="shared" ref="R5576:R5639" si="540">IF(N5576="","",1-N5576/$G5576)</f>
        <v/>
      </c>
      <c r="S5576" s="217" t="str">
        <f t="shared" ref="S5576:S5639" si="541">IF(O5576="","",1-O5576/$H5576)</f>
        <v/>
      </c>
    </row>
    <row r="5577" spans="1:19" ht="15.75" hidden="1" thickBot="1" x14ac:dyDescent="0.3">
      <c r="A5577" s="257"/>
      <c r="B5577" s="260"/>
      <c r="C5577" s="35" t="s">
        <v>2904</v>
      </c>
      <c r="D5577" s="35" t="s">
        <v>583</v>
      </c>
      <c r="E5577" s="36">
        <f>ROUND(220/(1+110.14%),4)</f>
        <v>104.6921</v>
      </c>
      <c r="F5577" s="30">
        <v>33.6965</v>
      </c>
      <c r="G5577" s="53">
        <f t="shared" si="536"/>
        <v>3527.7573476499997</v>
      </c>
      <c r="H5577" s="38">
        <f>SUM(G5577:G5577)</f>
        <v>3527.7573476499997</v>
      </c>
      <c r="I5577" s="39"/>
      <c r="J5577" s="152">
        <v>0</v>
      </c>
      <c r="L5577" s="215">
        <v>104.6921</v>
      </c>
      <c r="M5577" s="30">
        <v>28.844204000000001</v>
      </c>
      <c r="N5577" s="53">
        <f t="shared" si="537"/>
        <v>3019.7602895884002</v>
      </c>
      <c r="O5577" s="38">
        <f>SUM(N5577:N5577)</f>
        <v>3019.7602895884002</v>
      </c>
      <c r="P5577" s="36" t="str">
        <f t="shared" si="538"/>
        <v/>
      </c>
      <c r="Q5577" s="216">
        <f t="shared" si="539"/>
        <v>0.14400000000000002</v>
      </c>
      <c r="R5577" s="216">
        <f t="shared" si="540"/>
        <v>0.14399999999999991</v>
      </c>
      <c r="S5577" s="217">
        <f t="shared" si="541"/>
        <v>0.14399999999999991</v>
      </c>
    </row>
    <row r="5578" spans="1:19" ht="15.75" hidden="1" thickBot="1" x14ac:dyDescent="0.3">
      <c r="A5578" s="257"/>
      <c r="B5578" s="260"/>
      <c r="C5578" s="31"/>
      <c r="D5578" s="31"/>
      <c r="E5578" s="32"/>
      <c r="F5578" s="53" t="s">
        <v>416</v>
      </c>
      <c r="G5578" s="53" t="str">
        <f t="shared" si="536"/>
        <v/>
      </c>
      <c r="H5578" s="72"/>
      <c r="I5578" s="73"/>
      <c r="J5578" s="152">
        <v>0</v>
      </c>
      <c r="L5578" s="219"/>
      <c r="M5578" s="53"/>
      <c r="N5578" s="53" t="str">
        <f t="shared" si="537"/>
        <v/>
      </c>
      <c r="O5578" s="72"/>
      <c r="P5578" s="36" t="str">
        <f t="shared" si="538"/>
        <v/>
      </c>
      <c r="Q5578" s="216" t="str">
        <f t="shared" si="539"/>
        <v/>
      </c>
      <c r="R5578" s="216" t="str">
        <f t="shared" si="540"/>
        <v/>
      </c>
      <c r="S5578" s="217" t="str">
        <f t="shared" si="541"/>
        <v/>
      </c>
    </row>
    <row r="5579" spans="1:19" ht="26.25" hidden="1" thickBot="1" x14ac:dyDescent="0.3">
      <c r="A5579" s="257"/>
      <c r="B5579" s="260"/>
      <c r="C5579" s="47" t="s">
        <v>655</v>
      </c>
      <c r="D5579" s="31"/>
      <c r="E5579" s="32"/>
      <c r="F5579" s="53" t="s">
        <v>416</v>
      </c>
      <c r="G5579" s="53" t="str">
        <f t="shared" si="536"/>
        <v/>
      </c>
      <c r="H5579" s="72"/>
      <c r="I5579" s="73"/>
      <c r="J5579" s="152">
        <v>0</v>
      </c>
      <c r="L5579" s="219"/>
      <c r="M5579" s="53"/>
      <c r="N5579" s="53" t="str">
        <f t="shared" si="537"/>
        <v/>
      </c>
      <c r="O5579" s="72"/>
      <c r="P5579" s="36" t="str">
        <f t="shared" si="538"/>
        <v/>
      </c>
      <c r="Q5579" s="216" t="str">
        <f t="shared" si="539"/>
        <v/>
      </c>
      <c r="R5579" s="216" t="str">
        <f t="shared" si="540"/>
        <v/>
      </c>
      <c r="S5579" s="217" t="str">
        <f t="shared" si="541"/>
        <v/>
      </c>
    </row>
    <row r="5580" spans="1:19" ht="15.75" hidden="1" thickBot="1" x14ac:dyDescent="0.3">
      <c r="A5580" s="258"/>
      <c r="B5580" s="261"/>
      <c r="C5580" s="54"/>
      <c r="D5580" s="155"/>
      <c r="E5580" s="65"/>
      <c r="F5580" s="75" t="s">
        <v>416</v>
      </c>
      <c r="G5580" s="75" t="str">
        <f t="shared" si="536"/>
        <v/>
      </c>
      <c r="H5580" s="76"/>
      <c r="I5580" s="73"/>
      <c r="J5580" s="152">
        <v>0</v>
      </c>
      <c r="L5580" s="222"/>
      <c r="M5580" s="75"/>
      <c r="N5580" s="75" t="str">
        <f t="shared" si="537"/>
        <v/>
      </c>
      <c r="O5580" s="76"/>
      <c r="P5580" s="36" t="str">
        <f t="shared" si="538"/>
        <v/>
      </c>
      <c r="Q5580" s="216" t="str">
        <f t="shared" si="539"/>
        <v/>
      </c>
      <c r="R5580" s="216" t="str">
        <f t="shared" si="540"/>
        <v/>
      </c>
      <c r="S5580" s="217" t="str">
        <f t="shared" si="541"/>
        <v/>
      </c>
    </row>
    <row r="5581" spans="1:19" ht="15.75" hidden="1" thickBot="1" x14ac:dyDescent="0.3">
      <c r="A5581" s="256" t="s">
        <v>4206</v>
      </c>
      <c r="B5581" s="259" t="str">
        <f>INDEX(Orçamentária!A:B,MATCH(Composições!A5581,Orçamentária!A:A,0),2)</f>
        <v>Técnico em Eletrotécnica Plantonista (diurno)</v>
      </c>
      <c r="C5581" s="40"/>
      <c r="D5581" s="25" t="s">
        <v>2177</v>
      </c>
      <c r="E5581" s="26"/>
      <c r="F5581" s="48" t="s">
        <v>416</v>
      </c>
      <c r="G5581" s="27" t="str">
        <f t="shared" si="536"/>
        <v/>
      </c>
      <c r="H5581" s="28"/>
      <c r="I5581" s="29"/>
      <c r="J5581" s="152">
        <v>0</v>
      </c>
      <c r="L5581" s="218"/>
      <c r="M5581" s="48"/>
      <c r="N5581" s="27" t="str">
        <f t="shared" si="537"/>
        <v/>
      </c>
      <c r="O5581" s="28"/>
      <c r="P5581" s="36" t="str">
        <f t="shared" si="538"/>
        <v/>
      </c>
      <c r="Q5581" s="216" t="str">
        <f t="shared" si="539"/>
        <v/>
      </c>
      <c r="R5581" s="216" t="str">
        <f t="shared" si="540"/>
        <v/>
      </c>
      <c r="S5581" s="217" t="str">
        <f t="shared" si="541"/>
        <v/>
      </c>
    </row>
    <row r="5582" spans="1:19" ht="15.75" hidden="1" thickBot="1" x14ac:dyDescent="0.3">
      <c r="A5582" s="257"/>
      <c r="B5582" s="260"/>
      <c r="C5582" s="31"/>
      <c r="D5582" s="31"/>
      <c r="E5582" s="32"/>
      <c r="F5582" s="53" t="s">
        <v>416</v>
      </c>
      <c r="G5582" s="53" t="str">
        <f t="shared" si="536"/>
        <v/>
      </c>
      <c r="H5582" s="72"/>
      <c r="I5582" s="73"/>
      <c r="J5582" s="152">
        <v>0</v>
      </c>
      <c r="L5582" s="219"/>
      <c r="M5582" s="53"/>
      <c r="N5582" s="53" t="str">
        <f t="shared" si="537"/>
        <v/>
      </c>
      <c r="O5582" s="72"/>
      <c r="P5582" s="36" t="str">
        <f t="shared" si="538"/>
        <v/>
      </c>
      <c r="Q5582" s="216" t="str">
        <f t="shared" si="539"/>
        <v/>
      </c>
      <c r="R5582" s="216" t="str">
        <f t="shared" si="540"/>
        <v/>
      </c>
      <c r="S5582" s="217" t="str">
        <f t="shared" si="541"/>
        <v/>
      </c>
    </row>
    <row r="5583" spans="1:19" ht="15.75" hidden="1" thickBot="1" x14ac:dyDescent="0.3">
      <c r="A5583" s="257"/>
      <c r="B5583" s="260"/>
      <c r="C5583" s="35" t="s">
        <v>2904</v>
      </c>
      <c r="D5583" s="35" t="s">
        <v>583</v>
      </c>
      <c r="E5583" s="36">
        <f>ROUND(220/(1+110.14%),4)</f>
        <v>104.6921</v>
      </c>
      <c r="F5583" s="30">
        <v>33.6965</v>
      </c>
      <c r="G5583" s="53">
        <f t="shared" si="536"/>
        <v>3527.7573476499997</v>
      </c>
      <c r="H5583" s="38">
        <f>SUM(G5583:G5583)</f>
        <v>3527.7573476499997</v>
      </c>
      <c r="I5583" s="39"/>
      <c r="J5583" s="152">
        <v>0</v>
      </c>
      <c r="L5583" s="215">
        <v>104.6921</v>
      </c>
      <c r="M5583" s="30">
        <v>28.844204000000001</v>
      </c>
      <c r="N5583" s="53">
        <f t="shared" si="537"/>
        <v>3019.7602895884002</v>
      </c>
      <c r="O5583" s="38">
        <f>SUM(N5583:N5583)</f>
        <v>3019.7602895884002</v>
      </c>
      <c r="P5583" s="36" t="str">
        <f t="shared" si="538"/>
        <v/>
      </c>
      <c r="Q5583" s="216">
        <f t="shared" si="539"/>
        <v>0.14400000000000002</v>
      </c>
      <c r="R5583" s="216">
        <f t="shared" si="540"/>
        <v>0.14399999999999991</v>
      </c>
      <c r="S5583" s="217">
        <f t="shared" si="541"/>
        <v>0.14399999999999991</v>
      </c>
    </row>
    <row r="5584" spans="1:19" ht="15.75" hidden="1" thickBot="1" x14ac:dyDescent="0.3">
      <c r="A5584" s="257"/>
      <c r="B5584" s="260"/>
      <c r="C5584" s="31"/>
      <c r="D5584" s="31"/>
      <c r="E5584" s="32"/>
      <c r="F5584" s="53" t="s">
        <v>416</v>
      </c>
      <c r="G5584" s="53" t="str">
        <f t="shared" si="536"/>
        <v/>
      </c>
      <c r="H5584" s="72"/>
      <c r="I5584" s="73"/>
      <c r="J5584" s="152">
        <v>0</v>
      </c>
      <c r="L5584" s="219"/>
      <c r="M5584" s="53"/>
      <c r="N5584" s="53" t="str">
        <f t="shared" si="537"/>
        <v/>
      </c>
      <c r="O5584" s="72"/>
      <c r="P5584" s="36" t="str">
        <f t="shared" si="538"/>
        <v/>
      </c>
      <c r="Q5584" s="216" t="str">
        <f t="shared" si="539"/>
        <v/>
      </c>
      <c r="R5584" s="216" t="str">
        <f t="shared" si="540"/>
        <v/>
      </c>
      <c r="S5584" s="217" t="str">
        <f t="shared" si="541"/>
        <v/>
      </c>
    </row>
    <row r="5585" spans="1:19" ht="26.25" hidden="1" thickBot="1" x14ac:dyDescent="0.3">
      <c r="A5585" s="257"/>
      <c r="B5585" s="260"/>
      <c r="C5585" s="47" t="s">
        <v>655</v>
      </c>
      <c r="D5585" s="31"/>
      <c r="E5585" s="32"/>
      <c r="F5585" s="53" t="s">
        <v>416</v>
      </c>
      <c r="G5585" s="53" t="str">
        <f t="shared" si="536"/>
        <v/>
      </c>
      <c r="H5585" s="72"/>
      <c r="I5585" s="73"/>
      <c r="J5585" s="152">
        <v>0</v>
      </c>
      <c r="L5585" s="219"/>
      <c r="M5585" s="53"/>
      <c r="N5585" s="53" t="str">
        <f t="shared" si="537"/>
        <v/>
      </c>
      <c r="O5585" s="72"/>
      <c r="P5585" s="36" t="str">
        <f t="shared" si="538"/>
        <v/>
      </c>
      <c r="Q5585" s="216" t="str">
        <f t="shared" si="539"/>
        <v/>
      </c>
      <c r="R5585" s="216" t="str">
        <f t="shared" si="540"/>
        <v/>
      </c>
      <c r="S5585" s="217" t="str">
        <f t="shared" si="541"/>
        <v/>
      </c>
    </row>
    <row r="5586" spans="1:19" ht="15.75" hidden="1" thickBot="1" x14ac:dyDescent="0.3">
      <c r="A5586" s="258"/>
      <c r="B5586" s="261"/>
      <c r="C5586" s="54"/>
      <c r="D5586" s="155"/>
      <c r="E5586" s="65"/>
      <c r="F5586" s="75" t="s">
        <v>416</v>
      </c>
      <c r="G5586" s="75" t="str">
        <f t="shared" si="536"/>
        <v/>
      </c>
      <c r="H5586" s="76"/>
      <c r="I5586" s="73"/>
      <c r="J5586" s="152">
        <v>0</v>
      </c>
      <c r="L5586" s="222"/>
      <c r="M5586" s="75"/>
      <c r="N5586" s="75" t="str">
        <f t="shared" si="537"/>
        <v/>
      </c>
      <c r="O5586" s="76"/>
      <c r="P5586" s="36" t="str">
        <f t="shared" si="538"/>
        <v/>
      </c>
      <c r="Q5586" s="216" t="str">
        <f t="shared" si="539"/>
        <v/>
      </c>
      <c r="R5586" s="216" t="str">
        <f t="shared" si="540"/>
        <v/>
      </c>
      <c r="S5586" s="217" t="str">
        <f t="shared" si="541"/>
        <v/>
      </c>
    </row>
    <row r="5587" spans="1:19" ht="15.75" hidden="1" thickBot="1" x14ac:dyDescent="0.3">
      <c r="A5587" s="256" t="s">
        <v>4207</v>
      </c>
      <c r="B5587" s="259" t="str">
        <f>INDEX(Orçamentária!A:B,MATCH(Composições!A5587,Orçamentária!A:A,0),2)</f>
        <v>Técnico em Eletrotécnica Plantonista (noturno)</v>
      </c>
      <c r="C5587" s="40"/>
      <c r="D5587" s="25" t="s">
        <v>2177</v>
      </c>
      <c r="E5587" s="26"/>
      <c r="F5587" s="48" t="s">
        <v>416</v>
      </c>
      <c r="G5587" s="27" t="str">
        <f t="shared" si="536"/>
        <v/>
      </c>
      <c r="H5587" s="28"/>
      <c r="I5587" s="29"/>
      <c r="J5587" s="152">
        <v>0</v>
      </c>
      <c r="L5587" s="218"/>
      <c r="M5587" s="48"/>
      <c r="N5587" s="27" t="str">
        <f t="shared" si="537"/>
        <v/>
      </c>
      <c r="O5587" s="28"/>
      <c r="P5587" s="36" t="str">
        <f t="shared" si="538"/>
        <v/>
      </c>
      <c r="Q5587" s="216" t="str">
        <f t="shared" si="539"/>
        <v/>
      </c>
      <c r="R5587" s="216" t="str">
        <f t="shared" si="540"/>
        <v/>
      </c>
      <c r="S5587" s="217" t="str">
        <f t="shared" si="541"/>
        <v/>
      </c>
    </row>
    <row r="5588" spans="1:19" ht="15.75" hidden="1" thickBot="1" x14ac:dyDescent="0.3">
      <c r="A5588" s="257"/>
      <c r="B5588" s="260"/>
      <c r="C5588" s="31"/>
      <c r="D5588" s="31"/>
      <c r="E5588" s="32"/>
      <c r="F5588" s="53" t="s">
        <v>416</v>
      </c>
      <c r="G5588" s="53" t="str">
        <f t="shared" si="536"/>
        <v/>
      </c>
      <c r="H5588" s="72"/>
      <c r="I5588" s="73"/>
      <c r="J5588" s="152">
        <v>0</v>
      </c>
      <c r="L5588" s="219"/>
      <c r="M5588" s="53"/>
      <c r="N5588" s="53" t="str">
        <f t="shared" si="537"/>
        <v/>
      </c>
      <c r="O5588" s="72"/>
      <c r="P5588" s="36" t="str">
        <f t="shared" si="538"/>
        <v/>
      </c>
      <c r="Q5588" s="216" t="str">
        <f t="shared" si="539"/>
        <v/>
      </c>
      <c r="R5588" s="216" t="str">
        <f t="shared" si="540"/>
        <v/>
      </c>
      <c r="S5588" s="217" t="str">
        <f t="shared" si="541"/>
        <v/>
      </c>
    </row>
    <row r="5589" spans="1:19" ht="15.75" hidden="1" thickBot="1" x14ac:dyDescent="0.3">
      <c r="A5589" s="257"/>
      <c r="B5589" s="260"/>
      <c r="C5589" s="35" t="s">
        <v>2904</v>
      </c>
      <c r="D5589" s="35" t="s">
        <v>583</v>
      </c>
      <c r="E5589" s="36">
        <f>ROUND(220/(1+110.14%),4)</f>
        <v>104.6921</v>
      </c>
      <c r="F5589" s="30">
        <v>33.6965</v>
      </c>
      <c r="G5589" s="53">
        <f t="shared" si="536"/>
        <v>3527.7573476499997</v>
      </c>
      <c r="H5589" s="38">
        <f>SUM(G5589:G5589)</f>
        <v>3527.7573476499997</v>
      </c>
      <c r="I5589" s="39"/>
      <c r="J5589" s="152">
        <v>0</v>
      </c>
      <c r="L5589" s="215">
        <v>104.6921</v>
      </c>
      <c r="M5589" s="30">
        <v>28.844204000000001</v>
      </c>
      <c r="N5589" s="53">
        <f t="shared" si="537"/>
        <v>3019.7602895884002</v>
      </c>
      <c r="O5589" s="38">
        <f>SUM(N5589:N5589)</f>
        <v>3019.7602895884002</v>
      </c>
      <c r="P5589" s="36" t="str">
        <f t="shared" si="538"/>
        <v/>
      </c>
      <c r="Q5589" s="216">
        <f t="shared" si="539"/>
        <v>0.14400000000000002</v>
      </c>
      <c r="R5589" s="216">
        <f t="shared" si="540"/>
        <v>0.14399999999999991</v>
      </c>
      <c r="S5589" s="217">
        <f t="shared" si="541"/>
        <v>0.14399999999999991</v>
      </c>
    </row>
    <row r="5590" spans="1:19" ht="15.75" hidden="1" thickBot="1" x14ac:dyDescent="0.3">
      <c r="A5590" s="257"/>
      <c r="B5590" s="260"/>
      <c r="C5590" s="31"/>
      <c r="D5590" s="31"/>
      <c r="E5590" s="32"/>
      <c r="F5590" s="53" t="s">
        <v>416</v>
      </c>
      <c r="G5590" s="53" t="str">
        <f t="shared" si="536"/>
        <v/>
      </c>
      <c r="H5590" s="72"/>
      <c r="I5590" s="73"/>
      <c r="J5590" s="152">
        <v>0</v>
      </c>
      <c r="L5590" s="219"/>
      <c r="M5590" s="53"/>
      <c r="N5590" s="53" t="str">
        <f t="shared" si="537"/>
        <v/>
      </c>
      <c r="O5590" s="72"/>
      <c r="P5590" s="36" t="str">
        <f t="shared" si="538"/>
        <v/>
      </c>
      <c r="Q5590" s="216" t="str">
        <f t="shared" si="539"/>
        <v/>
      </c>
      <c r="R5590" s="216" t="str">
        <f t="shared" si="540"/>
        <v/>
      </c>
      <c r="S5590" s="217" t="str">
        <f t="shared" si="541"/>
        <v/>
      </c>
    </row>
    <row r="5591" spans="1:19" ht="26.25" hidden="1" thickBot="1" x14ac:dyDescent="0.3">
      <c r="A5591" s="257"/>
      <c r="B5591" s="260"/>
      <c r="C5591" s="47" t="s">
        <v>655</v>
      </c>
      <c r="D5591" s="31"/>
      <c r="E5591" s="32"/>
      <c r="F5591" s="53" t="s">
        <v>416</v>
      </c>
      <c r="G5591" s="53" t="str">
        <f t="shared" si="536"/>
        <v/>
      </c>
      <c r="H5591" s="72"/>
      <c r="I5591" s="73"/>
      <c r="J5591" s="152">
        <v>0</v>
      </c>
      <c r="L5591" s="219"/>
      <c r="M5591" s="53"/>
      <c r="N5591" s="53" t="str">
        <f t="shared" si="537"/>
        <v/>
      </c>
      <c r="O5591" s="72"/>
      <c r="P5591" s="36" t="str">
        <f t="shared" si="538"/>
        <v/>
      </c>
      <c r="Q5591" s="216" t="str">
        <f t="shared" si="539"/>
        <v/>
      </c>
      <c r="R5591" s="216" t="str">
        <f t="shared" si="540"/>
        <v/>
      </c>
      <c r="S5591" s="217" t="str">
        <f t="shared" si="541"/>
        <v/>
      </c>
    </row>
    <row r="5592" spans="1:19" ht="15.75" hidden="1" thickBot="1" x14ac:dyDescent="0.3">
      <c r="A5592" s="258"/>
      <c r="B5592" s="261"/>
      <c r="C5592" s="54"/>
      <c r="D5592" s="155"/>
      <c r="E5592" s="65"/>
      <c r="F5592" s="75" t="s">
        <v>416</v>
      </c>
      <c r="G5592" s="75" t="str">
        <f t="shared" si="536"/>
        <v/>
      </c>
      <c r="H5592" s="76"/>
      <c r="I5592" s="73"/>
      <c r="J5592" s="152">
        <v>0</v>
      </c>
      <c r="L5592" s="222"/>
      <c r="M5592" s="75"/>
      <c r="N5592" s="75" t="str">
        <f t="shared" si="537"/>
        <v/>
      </c>
      <c r="O5592" s="76"/>
      <c r="P5592" s="36" t="str">
        <f t="shared" si="538"/>
        <v/>
      </c>
      <c r="Q5592" s="216" t="str">
        <f t="shared" si="539"/>
        <v/>
      </c>
      <c r="R5592" s="216" t="str">
        <f t="shared" si="540"/>
        <v/>
      </c>
      <c r="S5592" s="217" t="str">
        <f t="shared" si="541"/>
        <v/>
      </c>
    </row>
    <row r="5593" spans="1:19" ht="15.75" hidden="1" thickBot="1" x14ac:dyDescent="0.3">
      <c r="A5593" s="256" t="s">
        <v>4208</v>
      </c>
      <c r="B5593" s="259" t="str">
        <f>INDEX(Orçamentária!A:B,MATCH(Composições!A5593,Orçamentária!A:A,0),2)</f>
        <v>Eletricista Plantonista (diurno)</v>
      </c>
      <c r="C5593" s="40"/>
      <c r="D5593" s="25" t="s">
        <v>2177</v>
      </c>
      <c r="E5593" s="26"/>
      <c r="F5593" s="48" t="s">
        <v>416</v>
      </c>
      <c r="G5593" s="27" t="str">
        <f t="shared" si="536"/>
        <v/>
      </c>
      <c r="H5593" s="28"/>
      <c r="I5593" s="29"/>
      <c r="J5593" s="152">
        <v>0</v>
      </c>
      <c r="L5593" s="218"/>
      <c r="M5593" s="48"/>
      <c r="N5593" s="27" t="str">
        <f t="shared" si="537"/>
        <v/>
      </c>
      <c r="O5593" s="28"/>
      <c r="P5593" s="36" t="str">
        <f t="shared" si="538"/>
        <v/>
      </c>
      <c r="Q5593" s="216" t="str">
        <f t="shared" si="539"/>
        <v/>
      </c>
      <c r="R5593" s="216" t="str">
        <f t="shared" si="540"/>
        <v/>
      </c>
      <c r="S5593" s="217" t="str">
        <f t="shared" si="541"/>
        <v/>
      </c>
    </row>
    <row r="5594" spans="1:19" ht="15.75" hidden="1" thickBot="1" x14ac:dyDescent="0.3">
      <c r="A5594" s="257"/>
      <c r="B5594" s="260"/>
      <c r="C5594" s="31"/>
      <c r="D5594" s="31"/>
      <c r="E5594" s="32"/>
      <c r="F5594" s="53" t="s">
        <v>416</v>
      </c>
      <c r="G5594" s="53" t="str">
        <f t="shared" si="536"/>
        <v/>
      </c>
      <c r="H5594" s="72"/>
      <c r="I5594" s="73"/>
      <c r="J5594" s="152">
        <v>0</v>
      </c>
      <c r="L5594" s="219"/>
      <c r="M5594" s="53"/>
      <c r="N5594" s="53" t="str">
        <f t="shared" si="537"/>
        <v/>
      </c>
      <c r="O5594" s="72"/>
      <c r="P5594" s="36" t="str">
        <f t="shared" si="538"/>
        <v/>
      </c>
      <c r="Q5594" s="216" t="str">
        <f t="shared" si="539"/>
        <v/>
      </c>
      <c r="R5594" s="216" t="str">
        <f t="shared" si="540"/>
        <v/>
      </c>
      <c r="S5594" s="217" t="str">
        <f t="shared" si="541"/>
        <v/>
      </c>
    </row>
    <row r="5595" spans="1:19" ht="15.75" hidden="1" thickBot="1" x14ac:dyDescent="0.3">
      <c r="A5595" s="257"/>
      <c r="B5595" s="260"/>
      <c r="C5595" s="35" t="s">
        <v>1018</v>
      </c>
      <c r="D5595" s="35" t="s">
        <v>583</v>
      </c>
      <c r="E5595" s="36">
        <f>ROUND(220/(1+110.14%),4)</f>
        <v>104.6921</v>
      </c>
      <c r="F5595" s="30">
        <v>27.835000000000001</v>
      </c>
      <c r="G5595" s="53">
        <f t="shared" si="536"/>
        <v>2914.1046034999999</v>
      </c>
      <c r="H5595" s="38">
        <f>SUM(G5595:G5595)</f>
        <v>2914.1046034999999</v>
      </c>
      <c r="I5595" s="39"/>
      <c r="J5595" s="152">
        <v>0</v>
      </c>
      <c r="L5595" s="215">
        <v>104.6921</v>
      </c>
      <c r="M5595" s="30">
        <v>23.82676</v>
      </c>
      <c r="N5595" s="53">
        <f t="shared" si="537"/>
        <v>2494.473540596</v>
      </c>
      <c r="O5595" s="38">
        <f>SUM(N5595:N5595)</f>
        <v>2494.473540596</v>
      </c>
      <c r="P5595" s="36" t="str">
        <f t="shared" si="538"/>
        <v/>
      </c>
      <c r="Q5595" s="216">
        <f t="shared" si="539"/>
        <v>0.14400000000000002</v>
      </c>
      <c r="R5595" s="216">
        <f t="shared" si="540"/>
        <v>0.14400000000000002</v>
      </c>
      <c r="S5595" s="217">
        <f t="shared" si="541"/>
        <v>0.14400000000000002</v>
      </c>
    </row>
    <row r="5596" spans="1:19" ht="15.75" hidden="1" thickBot="1" x14ac:dyDescent="0.3">
      <c r="A5596" s="257"/>
      <c r="B5596" s="260"/>
      <c r="C5596" s="31"/>
      <c r="D5596" s="31"/>
      <c r="E5596" s="32"/>
      <c r="F5596" s="53" t="s">
        <v>416</v>
      </c>
      <c r="G5596" s="53" t="str">
        <f t="shared" si="536"/>
        <v/>
      </c>
      <c r="H5596" s="72"/>
      <c r="I5596" s="73"/>
      <c r="J5596" s="152">
        <v>0</v>
      </c>
      <c r="L5596" s="219"/>
      <c r="M5596" s="53"/>
      <c r="N5596" s="53" t="str">
        <f t="shared" si="537"/>
        <v/>
      </c>
      <c r="O5596" s="72"/>
      <c r="P5596" s="36" t="str">
        <f t="shared" si="538"/>
        <v/>
      </c>
      <c r="Q5596" s="216" t="str">
        <f t="shared" si="539"/>
        <v/>
      </c>
      <c r="R5596" s="216" t="str">
        <f t="shared" si="540"/>
        <v/>
      </c>
      <c r="S5596" s="217" t="str">
        <f t="shared" si="541"/>
        <v/>
      </c>
    </row>
    <row r="5597" spans="1:19" ht="26.25" hidden="1" thickBot="1" x14ac:dyDescent="0.3">
      <c r="A5597" s="257"/>
      <c r="B5597" s="260"/>
      <c r="C5597" s="47" t="s">
        <v>655</v>
      </c>
      <c r="D5597" s="31"/>
      <c r="E5597" s="32"/>
      <c r="F5597" s="53" t="s">
        <v>416</v>
      </c>
      <c r="G5597" s="53" t="str">
        <f t="shared" si="536"/>
        <v/>
      </c>
      <c r="H5597" s="72"/>
      <c r="I5597" s="73"/>
      <c r="J5597" s="152">
        <v>0</v>
      </c>
      <c r="L5597" s="219"/>
      <c r="M5597" s="53"/>
      <c r="N5597" s="53" t="str">
        <f t="shared" si="537"/>
        <v/>
      </c>
      <c r="O5597" s="72"/>
      <c r="P5597" s="36" t="str">
        <f t="shared" si="538"/>
        <v/>
      </c>
      <c r="Q5597" s="216" t="str">
        <f t="shared" si="539"/>
        <v/>
      </c>
      <c r="R5597" s="216" t="str">
        <f t="shared" si="540"/>
        <v/>
      </c>
      <c r="S5597" s="217" t="str">
        <f t="shared" si="541"/>
        <v/>
      </c>
    </row>
    <row r="5598" spans="1:19" ht="15.75" hidden="1" thickBot="1" x14ac:dyDescent="0.3">
      <c r="A5598" s="258"/>
      <c r="B5598" s="261"/>
      <c r="C5598" s="54"/>
      <c r="D5598" s="155"/>
      <c r="E5598" s="65"/>
      <c r="F5598" s="75" t="s">
        <v>416</v>
      </c>
      <c r="G5598" s="75" t="str">
        <f t="shared" si="536"/>
        <v/>
      </c>
      <c r="H5598" s="76"/>
      <c r="I5598" s="73"/>
      <c r="J5598" s="152">
        <v>0</v>
      </c>
      <c r="L5598" s="222"/>
      <c r="M5598" s="75"/>
      <c r="N5598" s="75" t="str">
        <f t="shared" si="537"/>
        <v/>
      </c>
      <c r="O5598" s="76"/>
      <c r="P5598" s="36" t="str">
        <f t="shared" si="538"/>
        <v/>
      </c>
      <c r="Q5598" s="216" t="str">
        <f t="shared" si="539"/>
        <v/>
      </c>
      <c r="R5598" s="216" t="str">
        <f t="shared" si="540"/>
        <v/>
      </c>
      <c r="S5598" s="217" t="str">
        <f t="shared" si="541"/>
        <v/>
      </c>
    </row>
    <row r="5599" spans="1:19" ht="15.75" hidden="1" thickBot="1" x14ac:dyDescent="0.3">
      <c r="A5599" s="256" t="s">
        <v>4209</v>
      </c>
      <c r="B5599" s="259" t="str">
        <f>INDEX(Orçamentária!A:B,MATCH(Composições!A5599,Orçamentária!A:A,0),2)</f>
        <v>Eletricista Plantonista (noturno)</v>
      </c>
      <c r="C5599" s="40"/>
      <c r="D5599" s="25" t="s">
        <v>2177</v>
      </c>
      <c r="E5599" s="26"/>
      <c r="F5599" s="48" t="s">
        <v>416</v>
      </c>
      <c r="G5599" s="27" t="str">
        <f t="shared" si="536"/>
        <v/>
      </c>
      <c r="H5599" s="28"/>
      <c r="I5599" s="29"/>
      <c r="J5599" s="152">
        <v>0</v>
      </c>
      <c r="L5599" s="218"/>
      <c r="M5599" s="48"/>
      <c r="N5599" s="27" t="str">
        <f t="shared" si="537"/>
        <v/>
      </c>
      <c r="O5599" s="28"/>
      <c r="P5599" s="36" t="str">
        <f t="shared" si="538"/>
        <v/>
      </c>
      <c r="Q5599" s="216" t="str">
        <f t="shared" si="539"/>
        <v/>
      </c>
      <c r="R5599" s="216" t="str">
        <f t="shared" si="540"/>
        <v/>
      </c>
      <c r="S5599" s="217" t="str">
        <f t="shared" si="541"/>
        <v/>
      </c>
    </row>
    <row r="5600" spans="1:19" ht="15.75" hidden="1" thickBot="1" x14ac:dyDescent="0.3">
      <c r="A5600" s="257"/>
      <c r="B5600" s="260"/>
      <c r="C5600" s="31"/>
      <c r="D5600" s="31"/>
      <c r="E5600" s="32"/>
      <c r="F5600" s="53" t="s">
        <v>416</v>
      </c>
      <c r="G5600" s="53" t="str">
        <f t="shared" si="536"/>
        <v/>
      </c>
      <c r="H5600" s="72"/>
      <c r="I5600" s="73"/>
      <c r="J5600" s="152">
        <v>0</v>
      </c>
      <c r="L5600" s="219"/>
      <c r="M5600" s="53"/>
      <c r="N5600" s="53" t="str">
        <f t="shared" si="537"/>
        <v/>
      </c>
      <c r="O5600" s="72"/>
      <c r="P5600" s="36" t="str">
        <f t="shared" si="538"/>
        <v/>
      </c>
      <c r="Q5600" s="216" t="str">
        <f t="shared" si="539"/>
        <v/>
      </c>
      <c r="R5600" s="216" t="str">
        <f t="shared" si="540"/>
        <v/>
      </c>
      <c r="S5600" s="217" t="str">
        <f t="shared" si="541"/>
        <v/>
      </c>
    </row>
    <row r="5601" spans="1:19" ht="15.75" hidden="1" thickBot="1" x14ac:dyDescent="0.3">
      <c r="A5601" s="257"/>
      <c r="B5601" s="260"/>
      <c r="C5601" s="35" t="s">
        <v>1018</v>
      </c>
      <c r="D5601" s="35" t="s">
        <v>583</v>
      </c>
      <c r="E5601" s="36">
        <f>ROUND(220/(1+110.14%),4)</f>
        <v>104.6921</v>
      </c>
      <c r="F5601" s="30">
        <v>27.835000000000001</v>
      </c>
      <c r="G5601" s="53">
        <f t="shared" si="536"/>
        <v>2914.1046034999999</v>
      </c>
      <c r="H5601" s="38">
        <f>SUM(G5601:G5601)</f>
        <v>2914.1046034999999</v>
      </c>
      <c r="I5601" s="39"/>
      <c r="J5601" s="152">
        <v>0</v>
      </c>
      <c r="L5601" s="215">
        <v>104.6921</v>
      </c>
      <c r="M5601" s="30">
        <v>23.82676</v>
      </c>
      <c r="N5601" s="53">
        <f t="shared" si="537"/>
        <v>2494.473540596</v>
      </c>
      <c r="O5601" s="38">
        <f>SUM(N5601:N5601)</f>
        <v>2494.473540596</v>
      </c>
      <c r="P5601" s="36" t="str">
        <f t="shared" si="538"/>
        <v/>
      </c>
      <c r="Q5601" s="216">
        <f t="shared" si="539"/>
        <v>0.14400000000000002</v>
      </c>
      <c r="R5601" s="216">
        <f t="shared" si="540"/>
        <v>0.14400000000000002</v>
      </c>
      <c r="S5601" s="217">
        <f t="shared" si="541"/>
        <v>0.14400000000000002</v>
      </c>
    </row>
    <row r="5602" spans="1:19" ht="15.75" hidden="1" thickBot="1" x14ac:dyDescent="0.3">
      <c r="A5602" s="257"/>
      <c r="B5602" s="260"/>
      <c r="C5602" s="31"/>
      <c r="D5602" s="31"/>
      <c r="E5602" s="32"/>
      <c r="F5602" s="53" t="s">
        <v>416</v>
      </c>
      <c r="G5602" s="53" t="str">
        <f t="shared" si="536"/>
        <v/>
      </c>
      <c r="H5602" s="72"/>
      <c r="I5602" s="73"/>
      <c r="J5602" s="152">
        <v>0</v>
      </c>
      <c r="L5602" s="219"/>
      <c r="M5602" s="53"/>
      <c r="N5602" s="53" t="str">
        <f t="shared" si="537"/>
        <v/>
      </c>
      <c r="O5602" s="72"/>
      <c r="P5602" s="36" t="str">
        <f t="shared" si="538"/>
        <v/>
      </c>
      <c r="Q5602" s="216" t="str">
        <f t="shared" si="539"/>
        <v/>
      </c>
      <c r="R5602" s="216" t="str">
        <f t="shared" si="540"/>
        <v/>
      </c>
      <c r="S5602" s="217" t="str">
        <f t="shared" si="541"/>
        <v/>
      </c>
    </row>
    <row r="5603" spans="1:19" ht="26.25" hidden="1" thickBot="1" x14ac:dyDescent="0.3">
      <c r="A5603" s="257"/>
      <c r="B5603" s="260"/>
      <c r="C5603" s="47" t="s">
        <v>655</v>
      </c>
      <c r="D5603" s="31"/>
      <c r="E5603" s="32"/>
      <c r="F5603" s="53" t="s">
        <v>416</v>
      </c>
      <c r="G5603" s="53" t="str">
        <f t="shared" si="536"/>
        <v/>
      </c>
      <c r="H5603" s="72"/>
      <c r="I5603" s="73"/>
      <c r="J5603" s="152">
        <v>0</v>
      </c>
      <c r="L5603" s="219"/>
      <c r="M5603" s="53"/>
      <c r="N5603" s="53" t="str">
        <f t="shared" si="537"/>
        <v/>
      </c>
      <c r="O5603" s="72"/>
      <c r="P5603" s="36" t="str">
        <f t="shared" si="538"/>
        <v/>
      </c>
      <c r="Q5603" s="216" t="str">
        <f t="shared" si="539"/>
        <v/>
      </c>
      <c r="R5603" s="216" t="str">
        <f t="shared" si="540"/>
        <v/>
      </c>
      <c r="S5603" s="217" t="str">
        <f t="shared" si="541"/>
        <v/>
      </c>
    </row>
    <row r="5604" spans="1:19" ht="15.75" hidden="1" thickBot="1" x14ac:dyDescent="0.3">
      <c r="A5604" s="258"/>
      <c r="B5604" s="261"/>
      <c r="C5604" s="54"/>
      <c r="D5604" s="155"/>
      <c r="E5604" s="65"/>
      <c r="F5604" s="75" t="s">
        <v>416</v>
      </c>
      <c r="G5604" s="75" t="str">
        <f t="shared" si="536"/>
        <v/>
      </c>
      <c r="H5604" s="76"/>
      <c r="I5604" s="73"/>
      <c r="J5604" s="152">
        <v>0</v>
      </c>
      <c r="L5604" s="222"/>
      <c r="M5604" s="75"/>
      <c r="N5604" s="75" t="str">
        <f t="shared" si="537"/>
        <v/>
      </c>
      <c r="O5604" s="76"/>
      <c r="P5604" s="36" t="str">
        <f t="shared" si="538"/>
        <v/>
      </c>
      <c r="Q5604" s="216" t="str">
        <f t="shared" si="539"/>
        <v/>
      </c>
      <c r="R5604" s="216" t="str">
        <f t="shared" si="540"/>
        <v/>
      </c>
      <c r="S5604" s="217" t="str">
        <f t="shared" si="541"/>
        <v/>
      </c>
    </row>
    <row r="5605" spans="1:19" ht="15.75" hidden="1" thickBot="1" x14ac:dyDescent="0.3">
      <c r="A5605" s="256" t="s">
        <v>4210</v>
      </c>
      <c r="B5605" s="259" t="str">
        <f>INDEX(Orçamentária!A:B,MATCH(Composições!A5605,Orçamentária!A:A,0),2)</f>
        <v>Eletricista Plantonista – Áreas Restritas (diurno)</v>
      </c>
      <c r="C5605" s="40"/>
      <c r="D5605" s="25" t="s">
        <v>2177</v>
      </c>
      <c r="E5605" s="26"/>
      <c r="F5605" s="48" t="s">
        <v>416</v>
      </c>
      <c r="G5605" s="27" t="str">
        <f t="shared" si="536"/>
        <v/>
      </c>
      <c r="H5605" s="28"/>
      <c r="I5605" s="29"/>
      <c r="J5605" s="152">
        <v>0</v>
      </c>
      <c r="L5605" s="218"/>
      <c r="M5605" s="48"/>
      <c r="N5605" s="27" t="str">
        <f t="shared" si="537"/>
        <v/>
      </c>
      <c r="O5605" s="28"/>
      <c r="P5605" s="36" t="str">
        <f t="shared" si="538"/>
        <v/>
      </c>
      <c r="Q5605" s="216" t="str">
        <f t="shared" si="539"/>
        <v/>
      </c>
      <c r="R5605" s="216" t="str">
        <f t="shared" si="540"/>
        <v/>
      </c>
      <c r="S5605" s="217" t="str">
        <f t="shared" si="541"/>
        <v/>
      </c>
    </row>
    <row r="5606" spans="1:19" ht="15.75" hidden="1" thickBot="1" x14ac:dyDescent="0.3">
      <c r="A5606" s="257"/>
      <c r="B5606" s="260"/>
      <c r="C5606" s="31"/>
      <c r="D5606" s="31"/>
      <c r="E5606" s="32"/>
      <c r="F5606" s="53" t="s">
        <v>416</v>
      </c>
      <c r="G5606" s="53" t="str">
        <f t="shared" si="536"/>
        <v/>
      </c>
      <c r="H5606" s="72"/>
      <c r="I5606" s="73"/>
      <c r="J5606" s="152">
        <v>0</v>
      </c>
      <c r="L5606" s="219"/>
      <c r="M5606" s="53"/>
      <c r="N5606" s="53" t="str">
        <f t="shared" si="537"/>
        <v/>
      </c>
      <c r="O5606" s="72"/>
      <c r="P5606" s="36" t="str">
        <f t="shared" si="538"/>
        <v/>
      </c>
      <c r="Q5606" s="216" t="str">
        <f t="shared" si="539"/>
        <v/>
      </c>
      <c r="R5606" s="216" t="str">
        <f t="shared" si="540"/>
        <v/>
      </c>
      <c r="S5606" s="217" t="str">
        <f t="shared" si="541"/>
        <v/>
      </c>
    </row>
    <row r="5607" spans="1:19" ht="15.75" hidden="1" thickBot="1" x14ac:dyDescent="0.3">
      <c r="A5607" s="257"/>
      <c r="B5607" s="260"/>
      <c r="C5607" s="35" t="s">
        <v>1018</v>
      </c>
      <c r="D5607" s="35" t="s">
        <v>583</v>
      </c>
      <c r="E5607" s="36">
        <f>ROUND(220/(1+110.14%),4)</f>
        <v>104.6921</v>
      </c>
      <c r="F5607" s="30">
        <v>27.835000000000001</v>
      </c>
      <c r="G5607" s="53">
        <f t="shared" si="536"/>
        <v>2914.1046034999999</v>
      </c>
      <c r="H5607" s="38">
        <f>SUM(G5607:G5607)</f>
        <v>2914.1046034999999</v>
      </c>
      <c r="I5607" s="39"/>
      <c r="J5607" s="152">
        <v>0</v>
      </c>
      <c r="L5607" s="215">
        <v>104.6921</v>
      </c>
      <c r="M5607" s="30">
        <v>23.82676</v>
      </c>
      <c r="N5607" s="53">
        <f t="shared" si="537"/>
        <v>2494.473540596</v>
      </c>
      <c r="O5607" s="38">
        <f>SUM(N5607:N5607)</f>
        <v>2494.473540596</v>
      </c>
      <c r="P5607" s="36" t="str">
        <f t="shared" si="538"/>
        <v/>
      </c>
      <c r="Q5607" s="216">
        <f t="shared" si="539"/>
        <v>0.14400000000000002</v>
      </c>
      <c r="R5607" s="216">
        <f t="shared" si="540"/>
        <v>0.14400000000000002</v>
      </c>
      <c r="S5607" s="217">
        <f t="shared" si="541"/>
        <v>0.14400000000000002</v>
      </c>
    </row>
    <row r="5608" spans="1:19" ht="15.75" hidden="1" thickBot="1" x14ac:dyDescent="0.3">
      <c r="A5608" s="257"/>
      <c r="B5608" s="260"/>
      <c r="C5608" s="31"/>
      <c r="D5608" s="31"/>
      <c r="E5608" s="32"/>
      <c r="F5608" s="53" t="s">
        <v>416</v>
      </c>
      <c r="G5608" s="53" t="str">
        <f t="shared" si="536"/>
        <v/>
      </c>
      <c r="H5608" s="72"/>
      <c r="I5608" s="73"/>
      <c r="J5608" s="152">
        <v>0</v>
      </c>
      <c r="L5608" s="219"/>
      <c r="M5608" s="53"/>
      <c r="N5608" s="53" t="str">
        <f t="shared" si="537"/>
        <v/>
      </c>
      <c r="O5608" s="72"/>
      <c r="P5608" s="36" t="str">
        <f t="shared" si="538"/>
        <v/>
      </c>
      <c r="Q5608" s="216" t="str">
        <f t="shared" si="539"/>
        <v/>
      </c>
      <c r="R5608" s="216" t="str">
        <f t="shared" si="540"/>
        <v/>
      </c>
      <c r="S5608" s="217" t="str">
        <f t="shared" si="541"/>
        <v/>
      </c>
    </row>
    <row r="5609" spans="1:19" ht="26.25" hidden="1" thickBot="1" x14ac:dyDescent="0.3">
      <c r="A5609" s="257"/>
      <c r="B5609" s="260"/>
      <c r="C5609" s="47" t="s">
        <v>655</v>
      </c>
      <c r="D5609" s="31"/>
      <c r="E5609" s="32"/>
      <c r="F5609" s="53" t="s">
        <v>416</v>
      </c>
      <c r="G5609" s="53" t="str">
        <f t="shared" si="536"/>
        <v/>
      </c>
      <c r="H5609" s="72"/>
      <c r="I5609" s="73"/>
      <c r="J5609" s="152">
        <v>0</v>
      </c>
      <c r="L5609" s="219"/>
      <c r="M5609" s="53"/>
      <c r="N5609" s="53" t="str">
        <f t="shared" si="537"/>
        <v/>
      </c>
      <c r="O5609" s="72"/>
      <c r="P5609" s="36" t="str">
        <f t="shared" si="538"/>
        <v/>
      </c>
      <c r="Q5609" s="216" t="str">
        <f t="shared" si="539"/>
        <v/>
      </c>
      <c r="R5609" s="216" t="str">
        <f t="shared" si="540"/>
        <v/>
      </c>
      <c r="S5609" s="217" t="str">
        <f t="shared" si="541"/>
        <v/>
      </c>
    </row>
    <row r="5610" spans="1:19" ht="15.75" hidden="1" thickBot="1" x14ac:dyDescent="0.3">
      <c r="A5610" s="258"/>
      <c r="B5610" s="261"/>
      <c r="C5610" s="54"/>
      <c r="D5610" s="155"/>
      <c r="E5610" s="65"/>
      <c r="F5610" s="75" t="s">
        <v>416</v>
      </c>
      <c r="G5610" s="75" t="str">
        <f t="shared" si="536"/>
        <v/>
      </c>
      <c r="H5610" s="76"/>
      <c r="I5610" s="73"/>
      <c r="J5610" s="152">
        <v>0</v>
      </c>
      <c r="L5610" s="222"/>
      <c r="M5610" s="75"/>
      <c r="N5610" s="75" t="str">
        <f t="shared" si="537"/>
        <v/>
      </c>
      <c r="O5610" s="76"/>
      <c r="P5610" s="36" t="str">
        <f t="shared" si="538"/>
        <v/>
      </c>
      <c r="Q5610" s="216" t="str">
        <f t="shared" si="539"/>
        <v/>
      </c>
      <c r="R5610" s="216" t="str">
        <f t="shared" si="540"/>
        <v/>
      </c>
      <c r="S5610" s="217" t="str">
        <f t="shared" si="541"/>
        <v/>
      </c>
    </row>
    <row r="5611" spans="1:19" ht="15.75" hidden="1" thickBot="1" x14ac:dyDescent="0.3">
      <c r="A5611" s="256" t="s">
        <v>4211</v>
      </c>
      <c r="B5611" s="259" t="str">
        <f>INDEX(Orçamentária!A:B,MATCH(Composições!A5611,Orçamentária!A:A,0),2)</f>
        <v>Eletricista Plantonista – Áreas Restritas (noturno)</v>
      </c>
      <c r="C5611" s="40"/>
      <c r="D5611" s="25" t="s">
        <v>2177</v>
      </c>
      <c r="E5611" s="26"/>
      <c r="F5611" s="48" t="s">
        <v>416</v>
      </c>
      <c r="G5611" s="27" t="str">
        <f t="shared" si="536"/>
        <v/>
      </c>
      <c r="H5611" s="28"/>
      <c r="I5611" s="29"/>
      <c r="J5611" s="152">
        <v>0</v>
      </c>
      <c r="L5611" s="218"/>
      <c r="M5611" s="48"/>
      <c r="N5611" s="27" t="str">
        <f t="shared" si="537"/>
        <v/>
      </c>
      <c r="O5611" s="28"/>
      <c r="P5611" s="36" t="str">
        <f t="shared" si="538"/>
        <v/>
      </c>
      <c r="Q5611" s="216" t="str">
        <f t="shared" si="539"/>
        <v/>
      </c>
      <c r="R5611" s="216" t="str">
        <f t="shared" si="540"/>
        <v/>
      </c>
      <c r="S5611" s="217" t="str">
        <f t="shared" si="541"/>
        <v/>
      </c>
    </row>
    <row r="5612" spans="1:19" ht="15.75" hidden="1" thickBot="1" x14ac:dyDescent="0.3">
      <c r="A5612" s="257"/>
      <c r="B5612" s="260"/>
      <c r="C5612" s="31"/>
      <c r="D5612" s="31"/>
      <c r="E5612" s="32"/>
      <c r="F5612" s="53" t="s">
        <v>416</v>
      </c>
      <c r="G5612" s="53" t="str">
        <f t="shared" si="536"/>
        <v/>
      </c>
      <c r="H5612" s="72"/>
      <c r="I5612" s="73"/>
      <c r="J5612" s="152">
        <v>0</v>
      </c>
      <c r="L5612" s="219"/>
      <c r="M5612" s="53"/>
      <c r="N5612" s="53" t="str">
        <f t="shared" si="537"/>
        <v/>
      </c>
      <c r="O5612" s="72"/>
      <c r="P5612" s="36" t="str">
        <f t="shared" si="538"/>
        <v/>
      </c>
      <c r="Q5612" s="216" t="str">
        <f t="shared" si="539"/>
        <v/>
      </c>
      <c r="R5612" s="216" t="str">
        <f t="shared" si="540"/>
        <v/>
      </c>
      <c r="S5612" s="217" t="str">
        <f t="shared" si="541"/>
        <v/>
      </c>
    </row>
    <row r="5613" spans="1:19" ht="15.75" hidden="1" thickBot="1" x14ac:dyDescent="0.3">
      <c r="A5613" s="257"/>
      <c r="B5613" s="260"/>
      <c r="C5613" s="35" t="s">
        <v>1018</v>
      </c>
      <c r="D5613" s="35" t="s">
        <v>583</v>
      </c>
      <c r="E5613" s="36">
        <f>ROUND(220/(1+110.14%),4)</f>
        <v>104.6921</v>
      </c>
      <c r="F5613" s="30">
        <v>27.835000000000001</v>
      </c>
      <c r="G5613" s="53">
        <f t="shared" si="536"/>
        <v>2914.1046034999999</v>
      </c>
      <c r="H5613" s="38">
        <f>SUM(G5613:G5613)</f>
        <v>2914.1046034999999</v>
      </c>
      <c r="I5613" s="39"/>
      <c r="J5613" s="152">
        <v>0</v>
      </c>
      <c r="L5613" s="215">
        <v>104.6921</v>
      </c>
      <c r="M5613" s="30">
        <v>23.82676</v>
      </c>
      <c r="N5613" s="53">
        <f t="shared" si="537"/>
        <v>2494.473540596</v>
      </c>
      <c r="O5613" s="38">
        <f>SUM(N5613:N5613)</f>
        <v>2494.473540596</v>
      </c>
      <c r="P5613" s="36" t="str">
        <f t="shared" si="538"/>
        <v/>
      </c>
      <c r="Q5613" s="216">
        <f t="shared" si="539"/>
        <v>0.14400000000000002</v>
      </c>
      <c r="R5613" s="216">
        <f t="shared" si="540"/>
        <v>0.14400000000000002</v>
      </c>
      <c r="S5613" s="217">
        <f t="shared" si="541"/>
        <v>0.14400000000000002</v>
      </c>
    </row>
    <row r="5614" spans="1:19" ht="15.75" hidden="1" thickBot="1" x14ac:dyDescent="0.3">
      <c r="A5614" s="257"/>
      <c r="B5614" s="260"/>
      <c r="C5614" s="31"/>
      <c r="D5614" s="31"/>
      <c r="E5614" s="32"/>
      <c r="F5614" s="53" t="s">
        <v>416</v>
      </c>
      <c r="G5614" s="53" t="str">
        <f t="shared" ref="G5614:G5677" si="542">IF(ISNUMBER(F5614),E5614*F5614,"")</f>
        <v/>
      </c>
      <c r="H5614" s="72"/>
      <c r="I5614" s="73"/>
      <c r="J5614" s="152">
        <v>0</v>
      </c>
      <c r="L5614" s="219"/>
      <c r="M5614" s="53"/>
      <c r="N5614" s="53" t="str">
        <f t="shared" ref="N5614:N5677" si="543">IF(ISNUMBER(M5614),L5614*M5614,"")</f>
        <v/>
      </c>
      <c r="O5614" s="72"/>
      <c r="P5614" s="36" t="str">
        <f t="shared" si="538"/>
        <v/>
      </c>
      <c r="Q5614" s="216" t="str">
        <f t="shared" si="539"/>
        <v/>
      </c>
      <c r="R5614" s="216" t="str">
        <f t="shared" si="540"/>
        <v/>
      </c>
      <c r="S5614" s="217" t="str">
        <f t="shared" si="541"/>
        <v/>
      </c>
    </row>
    <row r="5615" spans="1:19" ht="26.25" hidden="1" thickBot="1" x14ac:dyDescent="0.3">
      <c r="A5615" s="257"/>
      <c r="B5615" s="260"/>
      <c r="C5615" s="47" t="s">
        <v>655</v>
      </c>
      <c r="D5615" s="31"/>
      <c r="E5615" s="32"/>
      <c r="F5615" s="53" t="s">
        <v>416</v>
      </c>
      <c r="G5615" s="53" t="str">
        <f t="shared" si="542"/>
        <v/>
      </c>
      <c r="H5615" s="72"/>
      <c r="I5615" s="73"/>
      <c r="J5615" s="152">
        <v>0</v>
      </c>
      <c r="L5615" s="219"/>
      <c r="M5615" s="53"/>
      <c r="N5615" s="53" t="str">
        <f t="shared" si="543"/>
        <v/>
      </c>
      <c r="O5615" s="72"/>
      <c r="P5615" s="36" t="str">
        <f t="shared" si="538"/>
        <v/>
      </c>
      <c r="Q5615" s="216" t="str">
        <f t="shared" si="539"/>
        <v/>
      </c>
      <c r="R5615" s="216" t="str">
        <f t="shared" si="540"/>
        <v/>
      </c>
      <c r="S5615" s="217" t="str">
        <f t="shared" si="541"/>
        <v/>
      </c>
    </row>
    <row r="5616" spans="1:19" ht="15.75" hidden="1" thickBot="1" x14ac:dyDescent="0.3">
      <c r="A5616" s="258"/>
      <c r="B5616" s="261"/>
      <c r="C5616" s="54"/>
      <c r="D5616" s="155"/>
      <c r="E5616" s="65"/>
      <c r="F5616" s="75" t="s">
        <v>416</v>
      </c>
      <c r="G5616" s="75" t="str">
        <f t="shared" si="542"/>
        <v/>
      </c>
      <c r="H5616" s="76"/>
      <c r="I5616" s="73"/>
      <c r="J5616" s="152">
        <v>0</v>
      </c>
      <c r="L5616" s="222"/>
      <c r="M5616" s="75"/>
      <c r="N5616" s="75" t="str">
        <f t="shared" si="543"/>
        <v/>
      </c>
      <c r="O5616" s="76"/>
      <c r="P5616" s="36" t="str">
        <f t="shared" si="538"/>
        <v/>
      </c>
      <c r="Q5616" s="216" t="str">
        <f t="shared" si="539"/>
        <v/>
      </c>
      <c r="R5616" s="216" t="str">
        <f t="shared" si="540"/>
        <v/>
      </c>
      <c r="S5616" s="217" t="str">
        <f t="shared" si="541"/>
        <v/>
      </c>
    </row>
    <row r="5617" spans="1:19" ht="15.75" hidden="1" thickBot="1" x14ac:dyDescent="0.3">
      <c r="A5617" s="256" t="s">
        <v>4277</v>
      </c>
      <c r="B5617" s="259" t="str">
        <f>INDEX(Orçamentária!A:B,MATCH(Composições!A5617,Orçamentária!A:A,0),2)</f>
        <v>Chapa de aço galvanizado</v>
      </c>
      <c r="C5617" s="40"/>
      <c r="D5617" s="25" t="s">
        <v>28</v>
      </c>
      <c r="E5617" s="26"/>
      <c r="F5617" s="48" t="s">
        <v>416</v>
      </c>
      <c r="G5617" s="27" t="str">
        <f t="shared" si="542"/>
        <v/>
      </c>
      <c r="H5617" s="28"/>
      <c r="I5617" s="29"/>
      <c r="J5617" s="152">
        <v>0</v>
      </c>
      <c r="L5617" s="218"/>
      <c r="M5617" s="48"/>
      <c r="N5617" s="27" t="str">
        <f t="shared" si="543"/>
        <v/>
      </c>
      <c r="O5617" s="28"/>
      <c r="P5617" s="36" t="str">
        <f t="shared" si="538"/>
        <v/>
      </c>
      <c r="Q5617" s="216" t="str">
        <f t="shared" si="539"/>
        <v/>
      </c>
      <c r="R5617" s="216" t="str">
        <f t="shared" si="540"/>
        <v/>
      </c>
      <c r="S5617" s="217" t="str">
        <f t="shared" si="541"/>
        <v/>
      </c>
    </row>
    <row r="5618" spans="1:19" ht="15.75" hidden="1" thickBot="1" x14ac:dyDescent="0.3">
      <c r="A5618" s="257"/>
      <c r="B5618" s="260"/>
      <c r="C5618" s="31"/>
      <c r="D5618" s="31"/>
      <c r="E5618" s="32"/>
      <c r="F5618" s="53" t="s">
        <v>416</v>
      </c>
      <c r="G5618" s="53" t="str">
        <f t="shared" si="542"/>
        <v/>
      </c>
      <c r="H5618" s="72"/>
      <c r="I5618" s="73"/>
      <c r="J5618" s="152">
        <v>0</v>
      </c>
      <c r="L5618" s="219"/>
      <c r="M5618" s="53"/>
      <c r="N5618" s="53" t="str">
        <f t="shared" si="543"/>
        <v/>
      </c>
      <c r="O5618" s="72"/>
      <c r="P5618" s="36" t="str">
        <f t="shared" si="538"/>
        <v/>
      </c>
      <c r="Q5618" s="216" t="str">
        <f t="shared" si="539"/>
        <v/>
      </c>
      <c r="R5618" s="216" t="str">
        <f t="shared" si="540"/>
        <v/>
      </c>
      <c r="S5618" s="217" t="str">
        <f t="shared" si="541"/>
        <v/>
      </c>
    </row>
    <row r="5619" spans="1:19" ht="26.25" hidden="1" thickBot="1" x14ac:dyDescent="0.3">
      <c r="A5619" s="257"/>
      <c r="B5619" s="260"/>
      <c r="C5619" s="35" t="s">
        <v>2925</v>
      </c>
      <c r="D5619" s="35" t="s">
        <v>773</v>
      </c>
      <c r="E5619" s="36">
        <v>1</v>
      </c>
      <c r="F5619" s="30">
        <v>14.420999999999999</v>
      </c>
      <c r="G5619" s="53">
        <f t="shared" si="542"/>
        <v>14.420999999999999</v>
      </c>
      <c r="H5619" s="38">
        <f>SUM(G5619:G5619)</f>
        <v>14.420999999999999</v>
      </c>
      <c r="I5619" s="39"/>
      <c r="J5619" s="152">
        <v>0</v>
      </c>
      <c r="L5619" s="215">
        <v>1</v>
      </c>
      <c r="M5619" s="30">
        <v>12.344376</v>
      </c>
      <c r="N5619" s="53">
        <f t="shared" si="543"/>
        <v>12.344376</v>
      </c>
      <c r="O5619" s="38">
        <f>SUM(N5619:N5619)</f>
        <v>12.344376</v>
      </c>
      <c r="P5619" s="36" t="str">
        <f t="shared" si="538"/>
        <v/>
      </c>
      <c r="Q5619" s="216">
        <f t="shared" si="539"/>
        <v>0.14399999999999991</v>
      </c>
      <c r="R5619" s="216">
        <f t="shared" si="540"/>
        <v>0.14399999999999991</v>
      </c>
      <c r="S5619" s="217">
        <f t="shared" si="541"/>
        <v>0.14399999999999991</v>
      </c>
    </row>
    <row r="5620" spans="1:19" ht="15.75" hidden="1" thickBot="1" x14ac:dyDescent="0.3">
      <c r="A5620" s="258"/>
      <c r="B5620" s="261"/>
      <c r="C5620" s="54"/>
      <c r="D5620" s="155"/>
      <c r="E5620" s="65"/>
      <c r="F5620" s="75" t="s">
        <v>416</v>
      </c>
      <c r="G5620" s="75" t="str">
        <f t="shared" si="542"/>
        <v/>
      </c>
      <c r="H5620" s="76"/>
      <c r="I5620" s="73"/>
      <c r="J5620" s="152">
        <v>0</v>
      </c>
      <c r="L5620" s="222"/>
      <c r="M5620" s="75"/>
      <c r="N5620" s="75" t="str">
        <f t="shared" si="543"/>
        <v/>
      </c>
      <c r="O5620" s="76"/>
      <c r="P5620" s="36" t="str">
        <f t="shared" si="538"/>
        <v/>
      </c>
      <c r="Q5620" s="216" t="str">
        <f t="shared" si="539"/>
        <v/>
      </c>
      <c r="R5620" s="216" t="str">
        <f t="shared" si="540"/>
        <v/>
      </c>
      <c r="S5620" s="217" t="str">
        <f t="shared" si="541"/>
        <v/>
      </c>
    </row>
    <row r="5621" spans="1:19" ht="15.75" hidden="1" thickBot="1" x14ac:dyDescent="0.3">
      <c r="A5621" s="256" t="s">
        <v>4283</v>
      </c>
      <c r="B5621" s="259" t="str">
        <f>INDEX(Orçamentária!A:B,MATCH(Composições!A5621,Orçamentária!A:A,0),2)</f>
        <v>Perfil de aço</v>
      </c>
      <c r="C5621" s="40"/>
      <c r="D5621" s="25" t="s">
        <v>28</v>
      </c>
      <c r="E5621" s="26"/>
      <c r="F5621" s="48" t="s">
        <v>416</v>
      </c>
      <c r="G5621" s="27" t="str">
        <f t="shared" si="542"/>
        <v/>
      </c>
      <c r="H5621" s="28"/>
      <c r="I5621" s="29"/>
      <c r="J5621" s="152">
        <v>0</v>
      </c>
      <c r="L5621" s="218"/>
      <c r="M5621" s="48"/>
      <c r="N5621" s="27" t="str">
        <f t="shared" si="543"/>
        <v/>
      </c>
      <c r="O5621" s="28"/>
      <c r="P5621" s="36" t="str">
        <f t="shared" si="538"/>
        <v/>
      </c>
      <c r="Q5621" s="216" t="str">
        <f t="shared" si="539"/>
        <v/>
      </c>
      <c r="R5621" s="216" t="str">
        <f t="shared" si="540"/>
        <v/>
      </c>
      <c r="S5621" s="217" t="str">
        <f t="shared" si="541"/>
        <v/>
      </c>
    </row>
    <row r="5622" spans="1:19" ht="15.75" hidden="1" thickBot="1" x14ac:dyDescent="0.3">
      <c r="A5622" s="257"/>
      <c r="B5622" s="260"/>
      <c r="C5622" s="31"/>
      <c r="D5622" s="31"/>
      <c r="E5622" s="32"/>
      <c r="F5622" s="53" t="s">
        <v>416</v>
      </c>
      <c r="G5622" s="53" t="str">
        <f t="shared" si="542"/>
        <v/>
      </c>
      <c r="H5622" s="72"/>
      <c r="I5622" s="73"/>
      <c r="J5622" s="152">
        <v>0</v>
      </c>
      <c r="L5622" s="219"/>
      <c r="M5622" s="53"/>
      <c r="N5622" s="53" t="str">
        <f t="shared" si="543"/>
        <v/>
      </c>
      <c r="O5622" s="72"/>
      <c r="P5622" s="36" t="str">
        <f t="shared" si="538"/>
        <v/>
      </c>
      <c r="Q5622" s="216" t="str">
        <f t="shared" si="539"/>
        <v/>
      </c>
      <c r="R5622" s="216" t="str">
        <f t="shared" si="540"/>
        <v/>
      </c>
      <c r="S5622" s="217" t="str">
        <f t="shared" si="541"/>
        <v/>
      </c>
    </row>
    <row r="5623" spans="1:19" ht="26.25" hidden="1" thickBot="1" x14ac:dyDescent="0.3">
      <c r="A5623" s="257"/>
      <c r="B5623" s="260"/>
      <c r="C5623" s="35" t="s">
        <v>95</v>
      </c>
      <c r="D5623" s="35" t="s">
        <v>773</v>
      </c>
      <c r="E5623" s="36">
        <v>1</v>
      </c>
      <c r="F5623" s="30">
        <v>10.069999999999999</v>
      </c>
      <c r="G5623" s="53">
        <f t="shared" si="542"/>
        <v>10.069999999999999</v>
      </c>
      <c r="H5623" s="38">
        <f>SUM(G5623:G5623)</f>
        <v>10.069999999999999</v>
      </c>
      <c r="I5623" s="39"/>
      <c r="J5623" s="152">
        <v>0</v>
      </c>
      <c r="L5623" s="215">
        <v>1</v>
      </c>
      <c r="M5623" s="30">
        <v>8.6199199999999987</v>
      </c>
      <c r="N5623" s="53">
        <f t="shared" si="543"/>
        <v>8.6199199999999987</v>
      </c>
      <c r="O5623" s="38">
        <f>SUM(N5623:N5623)</f>
        <v>8.6199199999999987</v>
      </c>
      <c r="P5623" s="36" t="str">
        <f t="shared" si="538"/>
        <v/>
      </c>
      <c r="Q5623" s="216">
        <f t="shared" si="539"/>
        <v>0.14400000000000002</v>
      </c>
      <c r="R5623" s="216">
        <f t="shared" si="540"/>
        <v>0.14400000000000002</v>
      </c>
      <c r="S5623" s="217">
        <f t="shared" si="541"/>
        <v>0.14400000000000002</v>
      </c>
    </row>
    <row r="5624" spans="1:19" ht="15.75" hidden="1" thickBot="1" x14ac:dyDescent="0.3">
      <c r="A5624" s="258"/>
      <c r="B5624" s="261"/>
      <c r="C5624" s="54"/>
      <c r="D5624" s="155"/>
      <c r="E5624" s="65"/>
      <c r="F5624" s="75" t="s">
        <v>416</v>
      </c>
      <c r="G5624" s="75" t="str">
        <f t="shared" si="542"/>
        <v/>
      </c>
      <c r="H5624" s="76"/>
      <c r="I5624" s="73"/>
      <c r="J5624" s="152">
        <v>0</v>
      </c>
      <c r="L5624" s="222"/>
      <c r="M5624" s="75"/>
      <c r="N5624" s="75" t="str">
        <f t="shared" si="543"/>
        <v/>
      </c>
      <c r="O5624" s="76"/>
      <c r="P5624" s="36" t="str">
        <f t="shared" si="538"/>
        <v/>
      </c>
      <c r="Q5624" s="216" t="str">
        <f t="shared" si="539"/>
        <v/>
      </c>
      <c r="R5624" s="216" t="str">
        <f t="shared" si="540"/>
        <v/>
      </c>
      <c r="S5624" s="217" t="str">
        <f t="shared" si="541"/>
        <v/>
      </c>
    </row>
    <row r="5625" spans="1:19" ht="15.75" hidden="1" thickBot="1" x14ac:dyDescent="0.3">
      <c r="A5625" s="256" t="s">
        <v>4329</v>
      </c>
      <c r="B5625" s="259" t="str">
        <f>INDEX(Orçamentária!A:B,MATCH(Composições!A5625,Orçamentária!A:A,0),2)</f>
        <v>Condulete de alumínio de 3/4”</v>
      </c>
      <c r="C5625" s="40"/>
      <c r="D5625" s="25" t="s">
        <v>16</v>
      </c>
      <c r="E5625" s="26"/>
      <c r="F5625" s="48" t="s">
        <v>416</v>
      </c>
      <c r="G5625" s="27" t="str">
        <f t="shared" si="542"/>
        <v/>
      </c>
      <c r="H5625" s="28"/>
      <c r="I5625" s="29"/>
      <c r="J5625" s="152">
        <v>0</v>
      </c>
      <c r="L5625" s="218"/>
      <c r="M5625" s="48"/>
      <c r="N5625" s="27" t="str">
        <f t="shared" si="543"/>
        <v/>
      </c>
      <c r="O5625" s="28"/>
      <c r="P5625" s="36" t="str">
        <f t="shared" si="538"/>
        <v/>
      </c>
      <c r="Q5625" s="216" t="str">
        <f t="shared" si="539"/>
        <v/>
      </c>
      <c r="R5625" s="216" t="str">
        <f t="shared" si="540"/>
        <v/>
      </c>
      <c r="S5625" s="217" t="str">
        <f t="shared" si="541"/>
        <v/>
      </c>
    </row>
    <row r="5626" spans="1:19" ht="15.75" hidden="1" thickBot="1" x14ac:dyDescent="0.3">
      <c r="A5626" s="257"/>
      <c r="B5626" s="260"/>
      <c r="C5626" s="31"/>
      <c r="D5626" s="31"/>
      <c r="E5626" s="32"/>
      <c r="F5626" s="53" t="s">
        <v>416</v>
      </c>
      <c r="G5626" s="53" t="str">
        <f t="shared" si="542"/>
        <v/>
      </c>
      <c r="H5626" s="72"/>
      <c r="I5626" s="73"/>
      <c r="J5626" s="152">
        <v>0</v>
      </c>
      <c r="L5626" s="219"/>
      <c r="M5626" s="53"/>
      <c r="N5626" s="53" t="str">
        <f t="shared" si="543"/>
        <v/>
      </c>
      <c r="O5626" s="72"/>
      <c r="P5626" s="36" t="str">
        <f t="shared" si="538"/>
        <v/>
      </c>
      <c r="Q5626" s="216" t="str">
        <f t="shared" si="539"/>
        <v/>
      </c>
      <c r="R5626" s="216" t="str">
        <f t="shared" si="540"/>
        <v/>
      </c>
      <c r="S5626" s="217" t="str">
        <f t="shared" si="541"/>
        <v/>
      </c>
    </row>
    <row r="5627" spans="1:19" ht="26.25" hidden="1" thickBot="1" x14ac:dyDescent="0.3">
      <c r="A5627" s="257"/>
      <c r="B5627" s="260"/>
      <c r="C5627" s="35" t="s">
        <v>8074</v>
      </c>
      <c r="D5627" s="35" t="s">
        <v>213</v>
      </c>
      <c r="E5627" s="36">
        <v>1</v>
      </c>
      <c r="F5627" s="30">
        <v>8.8919999999999995</v>
      </c>
      <c r="G5627" s="53">
        <f t="shared" si="542"/>
        <v>8.8919999999999995</v>
      </c>
      <c r="H5627" s="38">
        <f>SUM(G5627:G5627)</f>
        <v>8.8919999999999995</v>
      </c>
      <c r="I5627" s="39"/>
      <c r="J5627" s="152">
        <v>0</v>
      </c>
      <c r="L5627" s="215">
        <v>1</v>
      </c>
      <c r="M5627" s="30">
        <v>7.6115519999999997</v>
      </c>
      <c r="N5627" s="53">
        <f t="shared" si="543"/>
        <v>7.6115519999999997</v>
      </c>
      <c r="O5627" s="38">
        <f>SUM(N5627:N5627)</f>
        <v>7.6115519999999997</v>
      </c>
      <c r="P5627" s="36" t="str">
        <f t="shared" si="538"/>
        <v/>
      </c>
      <c r="Q5627" s="216">
        <f t="shared" si="539"/>
        <v>0.14400000000000002</v>
      </c>
      <c r="R5627" s="216">
        <f t="shared" si="540"/>
        <v>0.14400000000000002</v>
      </c>
      <c r="S5627" s="217">
        <f t="shared" si="541"/>
        <v>0.14400000000000002</v>
      </c>
    </row>
    <row r="5628" spans="1:19" ht="15.75" hidden="1" thickBot="1" x14ac:dyDescent="0.3">
      <c r="A5628" s="258"/>
      <c r="B5628" s="261"/>
      <c r="C5628" s="54"/>
      <c r="D5628" s="155"/>
      <c r="E5628" s="65"/>
      <c r="F5628" s="75" t="s">
        <v>416</v>
      </c>
      <c r="G5628" s="75" t="str">
        <f t="shared" si="542"/>
        <v/>
      </c>
      <c r="H5628" s="76"/>
      <c r="I5628" s="73"/>
      <c r="J5628" s="152">
        <v>0</v>
      </c>
      <c r="L5628" s="222"/>
      <c r="M5628" s="75"/>
      <c r="N5628" s="75" t="str">
        <f t="shared" si="543"/>
        <v/>
      </c>
      <c r="O5628" s="76"/>
      <c r="P5628" s="36" t="str">
        <f t="shared" si="538"/>
        <v/>
      </c>
      <c r="Q5628" s="216" t="str">
        <f t="shared" si="539"/>
        <v/>
      </c>
      <c r="R5628" s="216" t="str">
        <f t="shared" si="540"/>
        <v/>
      </c>
      <c r="S5628" s="217" t="str">
        <f t="shared" si="541"/>
        <v/>
      </c>
    </row>
    <row r="5629" spans="1:19" ht="15.75" hidden="1" thickBot="1" x14ac:dyDescent="0.3">
      <c r="A5629" s="256" t="s">
        <v>4330</v>
      </c>
      <c r="B5629" s="259" t="str">
        <f>INDEX(Orçamentária!A:B,MATCH(Composições!A5629,Orçamentária!A:A,0),2)</f>
        <v>Condulete de alumínio de 1”</v>
      </c>
      <c r="C5629" s="40"/>
      <c r="D5629" s="25" t="s">
        <v>16</v>
      </c>
      <c r="E5629" s="26"/>
      <c r="F5629" s="48" t="s">
        <v>416</v>
      </c>
      <c r="G5629" s="27" t="str">
        <f t="shared" si="542"/>
        <v/>
      </c>
      <c r="H5629" s="28"/>
      <c r="I5629" s="29"/>
      <c r="J5629" s="152">
        <v>0</v>
      </c>
      <c r="L5629" s="218"/>
      <c r="M5629" s="48"/>
      <c r="N5629" s="27" t="str">
        <f t="shared" si="543"/>
        <v/>
      </c>
      <c r="O5629" s="28"/>
      <c r="P5629" s="36" t="str">
        <f t="shared" si="538"/>
        <v/>
      </c>
      <c r="Q5629" s="216" t="str">
        <f t="shared" si="539"/>
        <v/>
      </c>
      <c r="R5629" s="216" t="str">
        <f t="shared" si="540"/>
        <v/>
      </c>
      <c r="S5629" s="217" t="str">
        <f t="shared" si="541"/>
        <v/>
      </c>
    </row>
    <row r="5630" spans="1:19" ht="15.75" hidden="1" thickBot="1" x14ac:dyDescent="0.3">
      <c r="A5630" s="257"/>
      <c r="B5630" s="260"/>
      <c r="C5630" s="31"/>
      <c r="D5630" s="31"/>
      <c r="E5630" s="32"/>
      <c r="F5630" s="53" t="s">
        <v>416</v>
      </c>
      <c r="G5630" s="53" t="str">
        <f t="shared" si="542"/>
        <v/>
      </c>
      <c r="H5630" s="72"/>
      <c r="I5630" s="73"/>
      <c r="J5630" s="152">
        <v>0</v>
      </c>
      <c r="L5630" s="219"/>
      <c r="M5630" s="53"/>
      <c r="N5630" s="53" t="str">
        <f t="shared" si="543"/>
        <v/>
      </c>
      <c r="O5630" s="72"/>
      <c r="P5630" s="36" t="str">
        <f t="shared" si="538"/>
        <v/>
      </c>
      <c r="Q5630" s="216" t="str">
        <f t="shared" si="539"/>
        <v/>
      </c>
      <c r="R5630" s="216" t="str">
        <f t="shared" si="540"/>
        <v/>
      </c>
      <c r="S5630" s="217" t="str">
        <f t="shared" si="541"/>
        <v/>
      </c>
    </row>
    <row r="5631" spans="1:19" ht="26.25" hidden="1" thickBot="1" x14ac:dyDescent="0.3">
      <c r="A5631" s="257"/>
      <c r="B5631" s="260"/>
      <c r="C5631" s="35" t="s">
        <v>8072</v>
      </c>
      <c r="D5631" s="35" t="s">
        <v>213</v>
      </c>
      <c r="E5631" s="36">
        <v>1</v>
      </c>
      <c r="F5631" s="30">
        <v>14.9435</v>
      </c>
      <c r="G5631" s="53">
        <f t="shared" si="542"/>
        <v>14.9435</v>
      </c>
      <c r="H5631" s="38">
        <f>SUM(G5631:G5631)</f>
        <v>14.9435</v>
      </c>
      <c r="I5631" s="39"/>
      <c r="J5631" s="152">
        <v>0</v>
      </c>
      <c r="L5631" s="215">
        <v>1</v>
      </c>
      <c r="M5631" s="30">
        <v>12.791636</v>
      </c>
      <c r="N5631" s="53">
        <f t="shared" si="543"/>
        <v>12.791636</v>
      </c>
      <c r="O5631" s="38">
        <f>SUM(N5631:N5631)</f>
        <v>12.791636</v>
      </c>
      <c r="P5631" s="36" t="str">
        <f t="shared" si="538"/>
        <v/>
      </c>
      <c r="Q5631" s="216">
        <f t="shared" si="539"/>
        <v>0.14400000000000002</v>
      </c>
      <c r="R5631" s="216">
        <f t="shared" si="540"/>
        <v>0.14400000000000002</v>
      </c>
      <c r="S5631" s="217">
        <f t="shared" si="541"/>
        <v>0.14400000000000002</v>
      </c>
    </row>
    <row r="5632" spans="1:19" ht="15.75" hidden="1" thickBot="1" x14ac:dyDescent="0.3">
      <c r="A5632" s="258"/>
      <c r="B5632" s="261"/>
      <c r="C5632" s="54"/>
      <c r="D5632" s="155"/>
      <c r="E5632" s="65"/>
      <c r="F5632" s="75" t="s">
        <v>416</v>
      </c>
      <c r="G5632" s="75" t="str">
        <f t="shared" si="542"/>
        <v/>
      </c>
      <c r="H5632" s="76"/>
      <c r="I5632" s="73"/>
      <c r="J5632" s="152">
        <v>0</v>
      </c>
      <c r="L5632" s="222"/>
      <c r="M5632" s="75"/>
      <c r="N5632" s="75" t="str">
        <f t="shared" si="543"/>
        <v/>
      </c>
      <c r="O5632" s="76"/>
      <c r="P5632" s="36" t="str">
        <f t="shared" si="538"/>
        <v/>
      </c>
      <c r="Q5632" s="216" t="str">
        <f t="shared" si="539"/>
        <v/>
      </c>
      <c r="R5632" s="216" t="str">
        <f t="shared" si="540"/>
        <v/>
      </c>
      <c r="S5632" s="217" t="str">
        <f t="shared" si="541"/>
        <v/>
      </c>
    </row>
    <row r="5633" spans="1:19" ht="15.75" hidden="1" thickBot="1" x14ac:dyDescent="0.3">
      <c r="A5633" s="256" t="s">
        <v>4331</v>
      </c>
      <c r="B5633" s="259" t="str">
        <f>INDEX(Orçamentária!A:B,MATCH(Composições!A5633,Orçamentária!A:A,0),2)</f>
        <v>Condulete de alumínio de 1 1/4”</v>
      </c>
      <c r="C5633" s="40"/>
      <c r="D5633" s="25" t="s">
        <v>16</v>
      </c>
      <c r="E5633" s="26"/>
      <c r="F5633" s="48" t="s">
        <v>416</v>
      </c>
      <c r="G5633" s="27" t="str">
        <f t="shared" si="542"/>
        <v/>
      </c>
      <c r="H5633" s="28"/>
      <c r="I5633" s="29"/>
      <c r="J5633" s="152">
        <v>0</v>
      </c>
      <c r="L5633" s="218"/>
      <c r="M5633" s="48"/>
      <c r="N5633" s="27" t="str">
        <f t="shared" si="543"/>
        <v/>
      </c>
      <c r="O5633" s="28"/>
      <c r="P5633" s="36" t="str">
        <f t="shared" si="538"/>
        <v/>
      </c>
      <c r="Q5633" s="216" t="str">
        <f t="shared" si="539"/>
        <v/>
      </c>
      <c r="R5633" s="216" t="str">
        <f t="shared" si="540"/>
        <v/>
      </c>
      <c r="S5633" s="217" t="str">
        <f t="shared" si="541"/>
        <v/>
      </c>
    </row>
    <row r="5634" spans="1:19" ht="15.75" hidden="1" thickBot="1" x14ac:dyDescent="0.3">
      <c r="A5634" s="257"/>
      <c r="B5634" s="260"/>
      <c r="C5634" s="31"/>
      <c r="D5634" s="31"/>
      <c r="E5634" s="32"/>
      <c r="F5634" s="53" t="s">
        <v>416</v>
      </c>
      <c r="G5634" s="53" t="str">
        <f t="shared" si="542"/>
        <v/>
      </c>
      <c r="H5634" s="72"/>
      <c r="I5634" s="73"/>
      <c r="J5634" s="152">
        <v>0</v>
      </c>
      <c r="L5634" s="219"/>
      <c r="M5634" s="53"/>
      <c r="N5634" s="53" t="str">
        <f t="shared" si="543"/>
        <v/>
      </c>
      <c r="O5634" s="72"/>
      <c r="P5634" s="36" t="str">
        <f t="shared" si="538"/>
        <v/>
      </c>
      <c r="Q5634" s="216" t="str">
        <f t="shared" si="539"/>
        <v/>
      </c>
      <c r="R5634" s="216" t="str">
        <f t="shared" si="540"/>
        <v/>
      </c>
      <c r="S5634" s="217" t="str">
        <f t="shared" si="541"/>
        <v/>
      </c>
    </row>
    <row r="5635" spans="1:19" ht="26.25" hidden="1" thickBot="1" x14ac:dyDescent="0.3">
      <c r="A5635" s="257"/>
      <c r="B5635" s="260"/>
      <c r="C5635" s="35" t="s">
        <v>8535</v>
      </c>
      <c r="D5635" s="35" t="s">
        <v>213</v>
      </c>
      <c r="E5635" s="36">
        <v>1</v>
      </c>
      <c r="F5635" s="30">
        <v>18.315999999999999</v>
      </c>
      <c r="G5635" s="53">
        <f t="shared" si="542"/>
        <v>18.315999999999999</v>
      </c>
      <c r="H5635" s="38">
        <f>SUM(G5635:G5635)</f>
        <v>18.315999999999999</v>
      </c>
      <c r="I5635" s="39"/>
      <c r="J5635" s="152">
        <v>0</v>
      </c>
      <c r="L5635" s="215">
        <v>1</v>
      </c>
      <c r="M5635" s="30">
        <v>15.678495999999999</v>
      </c>
      <c r="N5635" s="53">
        <f t="shared" si="543"/>
        <v>15.678495999999999</v>
      </c>
      <c r="O5635" s="38">
        <f>SUM(N5635:N5635)</f>
        <v>15.678495999999999</v>
      </c>
      <c r="P5635" s="36" t="str">
        <f t="shared" si="538"/>
        <v/>
      </c>
      <c r="Q5635" s="216">
        <f t="shared" si="539"/>
        <v>0.14400000000000002</v>
      </c>
      <c r="R5635" s="216">
        <f t="shared" si="540"/>
        <v>0.14400000000000002</v>
      </c>
      <c r="S5635" s="217">
        <f t="shared" si="541"/>
        <v>0.14400000000000002</v>
      </c>
    </row>
    <row r="5636" spans="1:19" ht="15.75" hidden="1" thickBot="1" x14ac:dyDescent="0.3">
      <c r="A5636" s="258"/>
      <c r="B5636" s="261"/>
      <c r="C5636" s="54"/>
      <c r="D5636" s="155"/>
      <c r="E5636" s="65"/>
      <c r="F5636" s="75" t="s">
        <v>416</v>
      </c>
      <c r="G5636" s="75" t="str">
        <f t="shared" si="542"/>
        <v/>
      </c>
      <c r="H5636" s="76"/>
      <c r="I5636" s="73"/>
      <c r="J5636" s="152">
        <v>0</v>
      </c>
      <c r="L5636" s="222"/>
      <c r="M5636" s="75"/>
      <c r="N5636" s="75" t="str">
        <f t="shared" si="543"/>
        <v/>
      </c>
      <c r="O5636" s="76"/>
      <c r="P5636" s="36" t="str">
        <f t="shared" si="538"/>
        <v/>
      </c>
      <c r="Q5636" s="216" t="str">
        <f t="shared" si="539"/>
        <v/>
      </c>
      <c r="R5636" s="216" t="str">
        <f t="shared" si="540"/>
        <v/>
      </c>
      <c r="S5636" s="217" t="str">
        <f t="shared" si="541"/>
        <v/>
      </c>
    </row>
    <row r="5637" spans="1:19" ht="15.75" hidden="1" thickBot="1" x14ac:dyDescent="0.3">
      <c r="A5637" s="256" t="s">
        <v>4332</v>
      </c>
      <c r="B5637" s="259" t="str">
        <f>INDEX(Orçamentária!A:B,MATCH(Composições!A5637,Orçamentária!A:A,0),2)</f>
        <v>Condulete de alumínio de 1 1/2”</v>
      </c>
      <c r="C5637" s="40"/>
      <c r="D5637" s="25" t="s">
        <v>16</v>
      </c>
      <c r="E5637" s="26"/>
      <c r="F5637" s="48" t="s">
        <v>416</v>
      </c>
      <c r="G5637" s="27" t="str">
        <f t="shared" si="542"/>
        <v/>
      </c>
      <c r="H5637" s="28"/>
      <c r="I5637" s="29"/>
      <c r="J5637" s="152">
        <v>0</v>
      </c>
      <c r="L5637" s="218"/>
      <c r="M5637" s="48"/>
      <c r="N5637" s="27" t="str">
        <f t="shared" si="543"/>
        <v/>
      </c>
      <c r="O5637" s="28"/>
      <c r="P5637" s="36" t="str">
        <f t="shared" si="538"/>
        <v/>
      </c>
      <c r="Q5637" s="216" t="str">
        <f t="shared" si="539"/>
        <v/>
      </c>
      <c r="R5637" s="216" t="str">
        <f t="shared" si="540"/>
        <v/>
      </c>
      <c r="S5637" s="217" t="str">
        <f t="shared" si="541"/>
        <v/>
      </c>
    </row>
    <row r="5638" spans="1:19" ht="15.75" hidden="1" thickBot="1" x14ac:dyDescent="0.3">
      <c r="A5638" s="257"/>
      <c r="B5638" s="260"/>
      <c r="C5638" s="31"/>
      <c r="D5638" s="31"/>
      <c r="E5638" s="32"/>
      <c r="F5638" s="53" t="s">
        <v>416</v>
      </c>
      <c r="G5638" s="53" t="str">
        <f t="shared" si="542"/>
        <v/>
      </c>
      <c r="H5638" s="72"/>
      <c r="I5638" s="73"/>
      <c r="J5638" s="152">
        <v>0</v>
      </c>
      <c r="L5638" s="219"/>
      <c r="M5638" s="53"/>
      <c r="N5638" s="53" t="str">
        <f t="shared" si="543"/>
        <v/>
      </c>
      <c r="O5638" s="72"/>
      <c r="P5638" s="36" t="str">
        <f t="shared" si="538"/>
        <v/>
      </c>
      <c r="Q5638" s="216" t="str">
        <f t="shared" si="539"/>
        <v/>
      </c>
      <c r="R5638" s="216" t="str">
        <f t="shared" si="540"/>
        <v/>
      </c>
      <c r="S5638" s="217" t="str">
        <f t="shared" si="541"/>
        <v/>
      </c>
    </row>
    <row r="5639" spans="1:19" ht="26.25" hidden="1" thickBot="1" x14ac:dyDescent="0.3">
      <c r="A5639" s="257"/>
      <c r="B5639" s="260"/>
      <c r="C5639" s="35" t="s">
        <v>8071</v>
      </c>
      <c r="D5639" s="35" t="s">
        <v>213</v>
      </c>
      <c r="E5639" s="36">
        <v>1</v>
      </c>
      <c r="F5639" s="30">
        <v>24.348499999999998</v>
      </c>
      <c r="G5639" s="53">
        <f t="shared" si="542"/>
        <v>24.348499999999998</v>
      </c>
      <c r="H5639" s="38">
        <f>SUM(G5639:G5639)</f>
        <v>24.348499999999998</v>
      </c>
      <c r="I5639" s="39"/>
      <c r="J5639" s="152">
        <v>0</v>
      </c>
      <c r="L5639" s="215">
        <v>1</v>
      </c>
      <c r="M5639" s="30">
        <v>20.842315999999997</v>
      </c>
      <c r="N5639" s="53">
        <f t="shared" si="543"/>
        <v>20.842315999999997</v>
      </c>
      <c r="O5639" s="38">
        <f>SUM(N5639:N5639)</f>
        <v>20.842315999999997</v>
      </c>
      <c r="P5639" s="36" t="str">
        <f t="shared" si="538"/>
        <v/>
      </c>
      <c r="Q5639" s="216">
        <f t="shared" si="539"/>
        <v>0.14400000000000002</v>
      </c>
      <c r="R5639" s="216">
        <f t="shared" si="540"/>
        <v>0.14400000000000002</v>
      </c>
      <c r="S5639" s="217">
        <f t="shared" si="541"/>
        <v>0.14400000000000002</v>
      </c>
    </row>
    <row r="5640" spans="1:19" ht="15.75" hidden="1" thickBot="1" x14ac:dyDescent="0.3">
      <c r="A5640" s="258"/>
      <c r="B5640" s="261"/>
      <c r="C5640" s="54"/>
      <c r="D5640" s="155"/>
      <c r="E5640" s="65"/>
      <c r="F5640" s="75" t="s">
        <v>416</v>
      </c>
      <c r="G5640" s="75" t="str">
        <f t="shared" si="542"/>
        <v/>
      </c>
      <c r="H5640" s="76"/>
      <c r="I5640" s="73"/>
      <c r="J5640" s="152">
        <v>0</v>
      </c>
      <c r="L5640" s="222"/>
      <c r="M5640" s="75"/>
      <c r="N5640" s="75" t="str">
        <f t="shared" si="543"/>
        <v/>
      </c>
      <c r="O5640" s="76"/>
      <c r="P5640" s="36" t="str">
        <f t="shared" ref="P5640:P5703" si="544">IF(ISBLANK(L5640),"",IF($E5640&lt;&gt;L5640,"SIM",""))</f>
        <v/>
      </c>
      <c r="Q5640" s="216" t="str">
        <f t="shared" ref="Q5640:Q5703" si="545">IF(M5640="","",1-M5640/$F5640)</f>
        <v/>
      </c>
      <c r="R5640" s="216" t="str">
        <f t="shared" ref="R5640:R5703" si="546">IF(N5640="","",1-N5640/$G5640)</f>
        <v/>
      </c>
      <c r="S5640" s="217" t="str">
        <f t="shared" ref="S5640:S5703" si="547">IF(O5640="","",1-O5640/$H5640)</f>
        <v/>
      </c>
    </row>
    <row r="5641" spans="1:19" ht="15.75" hidden="1" thickBot="1" x14ac:dyDescent="0.3">
      <c r="A5641" s="256" t="s">
        <v>4333</v>
      </c>
      <c r="B5641" s="259" t="str">
        <f>INDEX(Orçamentária!A:B,MATCH(Composições!A5641,Orçamentária!A:A,0),2)</f>
        <v xml:space="preserve">Condulete de alumínio de 2” </v>
      </c>
      <c r="C5641" s="40"/>
      <c r="D5641" s="25" t="s">
        <v>16</v>
      </c>
      <c r="E5641" s="26"/>
      <c r="F5641" s="48" t="s">
        <v>416</v>
      </c>
      <c r="G5641" s="27" t="str">
        <f t="shared" si="542"/>
        <v/>
      </c>
      <c r="H5641" s="28"/>
      <c r="I5641" s="29"/>
      <c r="J5641" s="152">
        <v>0</v>
      </c>
      <c r="L5641" s="218"/>
      <c r="M5641" s="48"/>
      <c r="N5641" s="27" t="str">
        <f t="shared" si="543"/>
        <v/>
      </c>
      <c r="O5641" s="28"/>
      <c r="P5641" s="36" t="str">
        <f t="shared" si="544"/>
        <v/>
      </c>
      <c r="Q5641" s="216" t="str">
        <f t="shared" si="545"/>
        <v/>
      </c>
      <c r="R5641" s="216" t="str">
        <f t="shared" si="546"/>
        <v/>
      </c>
      <c r="S5641" s="217" t="str">
        <f t="shared" si="547"/>
        <v/>
      </c>
    </row>
    <row r="5642" spans="1:19" ht="15.75" hidden="1" thickBot="1" x14ac:dyDescent="0.3">
      <c r="A5642" s="257"/>
      <c r="B5642" s="260"/>
      <c r="C5642" s="31"/>
      <c r="D5642" s="31"/>
      <c r="E5642" s="32"/>
      <c r="F5642" s="53" t="s">
        <v>416</v>
      </c>
      <c r="G5642" s="53" t="str">
        <f t="shared" si="542"/>
        <v/>
      </c>
      <c r="H5642" s="72"/>
      <c r="I5642" s="73"/>
      <c r="J5642" s="152">
        <v>0</v>
      </c>
      <c r="L5642" s="219"/>
      <c r="M5642" s="53"/>
      <c r="N5642" s="53" t="str">
        <f t="shared" si="543"/>
        <v/>
      </c>
      <c r="O5642" s="72"/>
      <c r="P5642" s="36" t="str">
        <f t="shared" si="544"/>
        <v/>
      </c>
      <c r="Q5642" s="216" t="str">
        <f t="shared" si="545"/>
        <v/>
      </c>
      <c r="R5642" s="216" t="str">
        <f t="shared" si="546"/>
        <v/>
      </c>
      <c r="S5642" s="217" t="str">
        <f t="shared" si="547"/>
        <v/>
      </c>
    </row>
    <row r="5643" spans="1:19" ht="26.25" hidden="1" thickBot="1" x14ac:dyDescent="0.3">
      <c r="A5643" s="257"/>
      <c r="B5643" s="260"/>
      <c r="C5643" s="35" t="s">
        <v>8073</v>
      </c>
      <c r="D5643" s="35" t="s">
        <v>213</v>
      </c>
      <c r="E5643" s="36">
        <v>1</v>
      </c>
      <c r="F5643" s="30">
        <v>35.72</v>
      </c>
      <c r="G5643" s="53">
        <f t="shared" si="542"/>
        <v>35.72</v>
      </c>
      <c r="H5643" s="38">
        <f>SUM(G5643:G5643)</f>
        <v>35.72</v>
      </c>
      <c r="I5643" s="39"/>
      <c r="J5643" s="152">
        <v>0</v>
      </c>
      <c r="L5643" s="215">
        <v>1</v>
      </c>
      <c r="M5643" s="30">
        <v>30.576319999999999</v>
      </c>
      <c r="N5643" s="53">
        <f t="shared" si="543"/>
        <v>30.576319999999999</v>
      </c>
      <c r="O5643" s="38">
        <f>SUM(N5643:N5643)</f>
        <v>30.576319999999999</v>
      </c>
      <c r="P5643" s="36" t="str">
        <f t="shared" si="544"/>
        <v/>
      </c>
      <c r="Q5643" s="216">
        <f t="shared" si="545"/>
        <v>0.14400000000000002</v>
      </c>
      <c r="R5643" s="216">
        <f t="shared" si="546"/>
        <v>0.14400000000000002</v>
      </c>
      <c r="S5643" s="217">
        <f t="shared" si="547"/>
        <v>0.14400000000000002</v>
      </c>
    </row>
    <row r="5644" spans="1:19" ht="15.75" hidden="1" thickBot="1" x14ac:dyDescent="0.3">
      <c r="A5644" s="258"/>
      <c r="B5644" s="261"/>
      <c r="C5644" s="54"/>
      <c r="D5644" s="155"/>
      <c r="E5644" s="65"/>
      <c r="F5644" s="75" t="s">
        <v>416</v>
      </c>
      <c r="G5644" s="75" t="str">
        <f t="shared" si="542"/>
        <v/>
      </c>
      <c r="H5644" s="76"/>
      <c r="I5644" s="73"/>
      <c r="J5644" s="152">
        <v>0</v>
      </c>
      <c r="L5644" s="222"/>
      <c r="M5644" s="75"/>
      <c r="N5644" s="75" t="str">
        <f t="shared" si="543"/>
        <v/>
      </c>
      <c r="O5644" s="76"/>
      <c r="P5644" s="36" t="str">
        <f t="shared" si="544"/>
        <v/>
      </c>
      <c r="Q5644" s="216" t="str">
        <f t="shared" si="545"/>
        <v/>
      </c>
      <c r="R5644" s="216" t="str">
        <f t="shared" si="546"/>
        <v/>
      </c>
      <c r="S5644" s="217" t="str">
        <f t="shared" si="547"/>
        <v/>
      </c>
    </row>
    <row r="5645" spans="1:19" ht="15.75" hidden="1" thickBot="1" x14ac:dyDescent="0.3">
      <c r="A5645" s="256" t="s">
        <v>4335</v>
      </c>
      <c r="B5645" s="259" t="str">
        <f>INDEX(Orçamentária!A:B,MATCH(Composições!A5645,Orçamentária!A:A,0),2)</f>
        <v>Condulete de alumínio de 3”</v>
      </c>
      <c r="C5645" s="40"/>
      <c r="D5645" s="25" t="s">
        <v>16</v>
      </c>
      <c r="E5645" s="26"/>
      <c r="F5645" s="48" t="s">
        <v>416</v>
      </c>
      <c r="G5645" s="27" t="str">
        <f t="shared" si="542"/>
        <v/>
      </c>
      <c r="H5645" s="28"/>
      <c r="I5645" s="29"/>
      <c r="J5645" s="152">
        <v>0</v>
      </c>
      <c r="L5645" s="218"/>
      <c r="M5645" s="48"/>
      <c r="N5645" s="27" t="str">
        <f t="shared" si="543"/>
        <v/>
      </c>
      <c r="O5645" s="28"/>
      <c r="P5645" s="36" t="str">
        <f t="shared" si="544"/>
        <v/>
      </c>
      <c r="Q5645" s="216" t="str">
        <f t="shared" si="545"/>
        <v/>
      </c>
      <c r="R5645" s="216" t="str">
        <f t="shared" si="546"/>
        <v/>
      </c>
      <c r="S5645" s="217" t="str">
        <f t="shared" si="547"/>
        <v/>
      </c>
    </row>
    <row r="5646" spans="1:19" ht="15.75" hidden="1" thickBot="1" x14ac:dyDescent="0.3">
      <c r="A5646" s="257"/>
      <c r="B5646" s="260"/>
      <c r="C5646" s="31"/>
      <c r="D5646" s="31"/>
      <c r="E5646" s="32"/>
      <c r="F5646" s="53" t="s">
        <v>416</v>
      </c>
      <c r="G5646" s="53" t="str">
        <f t="shared" si="542"/>
        <v/>
      </c>
      <c r="H5646" s="72"/>
      <c r="I5646" s="73"/>
      <c r="J5646" s="152">
        <v>0</v>
      </c>
      <c r="L5646" s="219"/>
      <c r="M5646" s="53"/>
      <c r="N5646" s="53" t="str">
        <f t="shared" si="543"/>
        <v/>
      </c>
      <c r="O5646" s="72"/>
      <c r="P5646" s="36" t="str">
        <f t="shared" si="544"/>
        <v/>
      </c>
      <c r="Q5646" s="216" t="str">
        <f t="shared" si="545"/>
        <v/>
      </c>
      <c r="R5646" s="216" t="str">
        <f t="shared" si="546"/>
        <v/>
      </c>
      <c r="S5646" s="217" t="str">
        <f t="shared" si="547"/>
        <v/>
      </c>
    </row>
    <row r="5647" spans="1:19" ht="26.25" hidden="1" thickBot="1" x14ac:dyDescent="0.3">
      <c r="A5647" s="257"/>
      <c r="B5647" s="260"/>
      <c r="C5647" s="35" t="s">
        <v>8075</v>
      </c>
      <c r="D5647" s="35" t="s">
        <v>213</v>
      </c>
      <c r="E5647" s="36">
        <v>1</v>
      </c>
      <c r="F5647" s="30">
        <v>99.189499999999995</v>
      </c>
      <c r="G5647" s="53">
        <f t="shared" si="542"/>
        <v>99.189499999999995</v>
      </c>
      <c r="H5647" s="38">
        <f>SUM(G5647:G5647)</f>
        <v>99.189499999999995</v>
      </c>
      <c r="I5647" s="39"/>
      <c r="J5647" s="152">
        <v>0</v>
      </c>
      <c r="L5647" s="215">
        <v>1</v>
      </c>
      <c r="M5647" s="30">
        <v>84.906211999999996</v>
      </c>
      <c r="N5647" s="53">
        <f t="shared" si="543"/>
        <v>84.906211999999996</v>
      </c>
      <c r="O5647" s="38">
        <f>SUM(N5647:N5647)</f>
        <v>84.906211999999996</v>
      </c>
      <c r="P5647" s="36" t="str">
        <f t="shared" si="544"/>
        <v/>
      </c>
      <c r="Q5647" s="216">
        <f t="shared" si="545"/>
        <v>0.14400000000000002</v>
      </c>
      <c r="R5647" s="216">
        <f t="shared" si="546"/>
        <v>0.14400000000000002</v>
      </c>
      <c r="S5647" s="217">
        <f t="shared" si="547"/>
        <v>0.14400000000000002</v>
      </c>
    </row>
    <row r="5648" spans="1:19" ht="15.75" hidden="1" thickBot="1" x14ac:dyDescent="0.3">
      <c r="A5648" s="258"/>
      <c r="B5648" s="261"/>
      <c r="C5648" s="54"/>
      <c r="D5648" s="155"/>
      <c r="E5648" s="65"/>
      <c r="F5648" s="75" t="s">
        <v>416</v>
      </c>
      <c r="G5648" s="75" t="str">
        <f t="shared" si="542"/>
        <v/>
      </c>
      <c r="H5648" s="76"/>
      <c r="I5648" s="73"/>
      <c r="J5648" s="152">
        <v>0</v>
      </c>
      <c r="L5648" s="222"/>
      <c r="M5648" s="75"/>
      <c r="N5648" s="75" t="str">
        <f t="shared" si="543"/>
        <v/>
      </c>
      <c r="O5648" s="76"/>
      <c r="P5648" s="36" t="str">
        <f t="shared" si="544"/>
        <v/>
      </c>
      <c r="Q5648" s="216" t="str">
        <f t="shared" si="545"/>
        <v/>
      </c>
      <c r="R5648" s="216" t="str">
        <f t="shared" si="546"/>
        <v/>
      </c>
      <c r="S5648" s="217" t="str">
        <f t="shared" si="547"/>
        <v/>
      </c>
    </row>
    <row r="5649" spans="1:19" ht="15.75" hidden="1" thickBot="1" x14ac:dyDescent="0.3">
      <c r="A5649" s="256" t="s">
        <v>4336</v>
      </c>
      <c r="B5649" s="259" t="str">
        <f>INDEX(Orçamentária!A:B,MATCH(Composições!A5649,Orçamentária!A:A,0),2)</f>
        <v>Condulete de alumínio de 4”</v>
      </c>
      <c r="C5649" s="40"/>
      <c r="D5649" s="25" t="s">
        <v>16</v>
      </c>
      <c r="E5649" s="26"/>
      <c r="F5649" s="48" t="s">
        <v>416</v>
      </c>
      <c r="G5649" s="27" t="str">
        <f t="shared" si="542"/>
        <v/>
      </c>
      <c r="H5649" s="28"/>
      <c r="I5649" s="29"/>
      <c r="J5649" s="152">
        <v>0</v>
      </c>
      <c r="L5649" s="218"/>
      <c r="M5649" s="48"/>
      <c r="N5649" s="27" t="str">
        <f t="shared" si="543"/>
        <v/>
      </c>
      <c r="O5649" s="28"/>
      <c r="P5649" s="36" t="str">
        <f t="shared" si="544"/>
        <v/>
      </c>
      <c r="Q5649" s="216" t="str">
        <f t="shared" si="545"/>
        <v/>
      </c>
      <c r="R5649" s="216" t="str">
        <f t="shared" si="546"/>
        <v/>
      </c>
      <c r="S5649" s="217" t="str">
        <f t="shared" si="547"/>
        <v/>
      </c>
    </row>
    <row r="5650" spans="1:19" ht="15.75" hidden="1" thickBot="1" x14ac:dyDescent="0.3">
      <c r="A5650" s="257"/>
      <c r="B5650" s="260"/>
      <c r="C5650" s="31"/>
      <c r="D5650" s="31"/>
      <c r="E5650" s="32"/>
      <c r="F5650" s="53" t="s">
        <v>416</v>
      </c>
      <c r="G5650" s="53" t="str">
        <f t="shared" si="542"/>
        <v/>
      </c>
      <c r="H5650" s="72"/>
      <c r="I5650" s="73"/>
      <c r="J5650" s="152">
        <v>0</v>
      </c>
      <c r="L5650" s="219"/>
      <c r="M5650" s="53"/>
      <c r="N5650" s="53" t="str">
        <f t="shared" si="543"/>
        <v/>
      </c>
      <c r="O5650" s="72"/>
      <c r="P5650" s="36" t="str">
        <f t="shared" si="544"/>
        <v/>
      </c>
      <c r="Q5650" s="216" t="str">
        <f t="shared" si="545"/>
        <v/>
      </c>
      <c r="R5650" s="216" t="str">
        <f t="shared" si="546"/>
        <v/>
      </c>
      <c r="S5650" s="217" t="str">
        <f t="shared" si="547"/>
        <v/>
      </c>
    </row>
    <row r="5651" spans="1:19" ht="26.25" hidden="1" thickBot="1" x14ac:dyDescent="0.3">
      <c r="A5651" s="257"/>
      <c r="B5651" s="260"/>
      <c r="C5651" s="35" t="s">
        <v>8070</v>
      </c>
      <c r="D5651" s="35" t="s">
        <v>213</v>
      </c>
      <c r="E5651" s="36">
        <v>1</v>
      </c>
      <c r="F5651" s="30">
        <v>182.05799999999999</v>
      </c>
      <c r="G5651" s="53">
        <f t="shared" si="542"/>
        <v>182.05799999999999</v>
      </c>
      <c r="H5651" s="38">
        <f>SUM(G5651:G5651)</f>
        <v>182.05799999999999</v>
      </c>
      <c r="I5651" s="39"/>
      <c r="J5651" s="152">
        <v>0</v>
      </c>
      <c r="L5651" s="215">
        <v>1</v>
      </c>
      <c r="M5651" s="30">
        <v>155.84164799999999</v>
      </c>
      <c r="N5651" s="53">
        <f t="shared" si="543"/>
        <v>155.84164799999999</v>
      </c>
      <c r="O5651" s="38">
        <f>SUM(N5651:N5651)</f>
        <v>155.84164799999999</v>
      </c>
      <c r="P5651" s="36" t="str">
        <f t="shared" si="544"/>
        <v/>
      </c>
      <c r="Q5651" s="216">
        <f t="shared" si="545"/>
        <v>0.14400000000000002</v>
      </c>
      <c r="R5651" s="216">
        <f t="shared" si="546"/>
        <v>0.14400000000000002</v>
      </c>
      <c r="S5651" s="217">
        <f t="shared" si="547"/>
        <v>0.14400000000000002</v>
      </c>
    </row>
    <row r="5652" spans="1:19" ht="15.75" hidden="1" thickBot="1" x14ac:dyDescent="0.3">
      <c r="A5652" s="258"/>
      <c r="B5652" s="261"/>
      <c r="C5652" s="54"/>
      <c r="D5652" s="155"/>
      <c r="E5652" s="65"/>
      <c r="F5652" s="75" t="s">
        <v>416</v>
      </c>
      <c r="G5652" s="75" t="str">
        <f t="shared" si="542"/>
        <v/>
      </c>
      <c r="H5652" s="76"/>
      <c r="I5652" s="73"/>
      <c r="J5652" s="152">
        <v>0</v>
      </c>
      <c r="L5652" s="222"/>
      <c r="M5652" s="75"/>
      <c r="N5652" s="75" t="str">
        <f t="shared" si="543"/>
        <v/>
      </c>
      <c r="O5652" s="76"/>
      <c r="P5652" s="36" t="str">
        <f t="shared" si="544"/>
        <v/>
      </c>
      <c r="Q5652" s="216" t="str">
        <f t="shared" si="545"/>
        <v/>
      </c>
      <c r="R5652" s="216" t="str">
        <f t="shared" si="546"/>
        <v/>
      </c>
      <c r="S5652" s="217" t="str">
        <f t="shared" si="547"/>
        <v/>
      </c>
    </row>
    <row r="5653" spans="1:19" ht="15.75" hidden="1" thickBot="1" x14ac:dyDescent="0.3">
      <c r="A5653" s="256" t="s">
        <v>4350</v>
      </c>
      <c r="B5653" s="259" t="str">
        <f>INDEX(Orçamentária!A:B,MATCH(Composições!A5653,Orçamentária!A:A,0),2)</f>
        <v>Tampa para condulete de PVC</v>
      </c>
      <c r="C5653" s="40"/>
      <c r="D5653" s="25" t="s">
        <v>16</v>
      </c>
      <c r="E5653" s="26"/>
      <c r="F5653" s="48" t="s">
        <v>416</v>
      </c>
      <c r="G5653" s="27" t="str">
        <f t="shared" si="542"/>
        <v/>
      </c>
      <c r="H5653" s="28"/>
      <c r="I5653" s="29"/>
      <c r="J5653" s="152">
        <v>0</v>
      </c>
      <c r="L5653" s="218"/>
      <c r="M5653" s="48"/>
      <c r="N5653" s="27" t="str">
        <f t="shared" si="543"/>
        <v/>
      </c>
      <c r="O5653" s="28"/>
      <c r="P5653" s="36" t="str">
        <f t="shared" si="544"/>
        <v/>
      </c>
      <c r="Q5653" s="216" t="str">
        <f t="shared" si="545"/>
        <v/>
      </c>
      <c r="R5653" s="216" t="str">
        <f t="shared" si="546"/>
        <v/>
      </c>
      <c r="S5653" s="217" t="str">
        <f t="shared" si="547"/>
        <v/>
      </c>
    </row>
    <row r="5654" spans="1:19" ht="15.75" hidden="1" thickBot="1" x14ac:dyDescent="0.3">
      <c r="A5654" s="257"/>
      <c r="B5654" s="260"/>
      <c r="C5654" s="31"/>
      <c r="D5654" s="31"/>
      <c r="E5654" s="32"/>
      <c r="F5654" s="53" t="s">
        <v>416</v>
      </c>
      <c r="G5654" s="53" t="str">
        <f t="shared" si="542"/>
        <v/>
      </c>
      <c r="H5654" s="72"/>
      <c r="I5654" s="73"/>
      <c r="J5654" s="152">
        <v>0</v>
      </c>
      <c r="L5654" s="219"/>
      <c r="M5654" s="53"/>
      <c r="N5654" s="53" t="str">
        <f t="shared" si="543"/>
        <v/>
      </c>
      <c r="O5654" s="72"/>
      <c r="P5654" s="36" t="str">
        <f t="shared" si="544"/>
        <v/>
      </c>
      <c r="Q5654" s="216" t="str">
        <f t="shared" si="545"/>
        <v/>
      </c>
      <c r="R5654" s="216" t="str">
        <f t="shared" si="546"/>
        <v/>
      </c>
      <c r="S5654" s="217" t="str">
        <f t="shared" si="547"/>
        <v/>
      </c>
    </row>
    <row r="5655" spans="1:19" ht="15.75" hidden="1" thickBot="1" x14ac:dyDescent="0.3">
      <c r="A5655" s="257"/>
      <c r="B5655" s="260"/>
      <c r="C5655" s="35" t="s">
        <v>8385</v>
      </c>
      <c r="D5655" s="35" t="s">
        <v>213</v>
      </c>
      <c r="E5655" s="36">
        <v>1</v>
      </c>
      <c r="F5655" s="30">
        <v>4.8449999999999998</v>
      </c>
      <c r="G5655" s="53">
        <f t="shared" si="542"/>
        <v>4.8449999999999998</v>
      </c>
      <c r="H5655" s="38">
        <f>SUM(G5655:G5655)</f>
        <v>4.8449999999999998</v>
      </c>
      <c r="I5655" s="39"/>
      <c r="J5655" s="152">
        <v>0</v>
      </c>
      <c r="L5655" s="215">
        <v>1</v>
      </c>
      <c r="M5655" s="30">
        <v>4.1473199999999997</v>
      </c>
      <c r="N5655" s="53">
        <f t="shared" si="543"/>
        <v>4.1473199999999997</v>
      </c>
      <c r="O5655" s="38">
        <f>SUM(N5655:N5655)</f>
        <v>4.1473199999999997</v>
      </c>
      <c r="P5655" s="36" t="str">
        <f t="shared" si="544"/>
        <v/>
      </c>
      <c r="Q5655" s="216">
        <f t="shared" si="545"/>
        <v>0.14400000000000002</v>
      </c>
      <c r="R5655" s="216">
        <f t="shared" si="546"/>
        <v>0.14400000000000002</v>
      </c>
      <c r="S5655" s="217">
        <f t="shared" si="547"/>
        <v>0.14400000000000002</v>
      </c>
    </row>
    <row r="5656" spans="1:19" ht="15.75" hidden="1" thickBot="1" x14ac:dyDescent="0.3">
      <c r="A5656" s="258"/>
      <c r="B5656" s="261"/>
      <c r="C5656" s="54"/>
      <c r="D5656" s="155"/>
      <c r="E5656" s="65"/>
      <c r="F5656" s="75" t="s">
        <v>416</v>
      </c>
      <c r="G5656" s="75" t="str">
        <f t="shared" si="542"/>
        <v/>
      </c>
      <c r="H5656" s="76"/>
      <c r="I5656" s="73"/>
      <c r="J5656" s="152">
        <v>0</v>
      </c>
      <c r="L5656" s="222"/>
      <c r="M5656" s="75"/>
      <c r="N5656" s="75" t="str">
        <f t="shared" si="543"/>
        <v/>
      </c>
      <c r="O5656" s="76"/>
      <c r="P5656" s="36" t="str">
        <f t="shared" si="544"/>
        <v/>
      </c>
      <c r="Q5656" s="216" t="str">
        <f t="shared" si="545"/>
        <v/>
      </c>
      <c r="R5656" s="216" t="str">
        <f t="shared" si="546"/>
        <v/>
      </c>
      <c r="S5656" s="217" t="str">
        <f t="shared" si="547"/>
        <v/>
      </c>
    </row>
    <row r="5657" spans="1:19" ht="15.75" hidden="1" thickBot="1" x14ac:dyDescent="0.3">
      <c r="A5657" s="256" t="s">
        <v>4352</v>
      </c>
      <c r="B5657" s="259" t="str">
        <f>INDEX(Orçamentária!A:B,MATCH(Composições!A5657,Orçamentária!A:A,0),2)</f>
        <v>Terminal de compressão 25 mm²</v>
      </c>
      <c r="C5657" s="40"/>
      <c r="D5657" s="25" t="s">
        <v>16</v>
      </c>
      <c r="E5657" s="26"/>
      <c r="F5657" s="48" t="s">
        <v>416</v>
      </c>
      <c r="G5657" s="27" t="str">
        <f t="shared" si="542"/>
        <v/>
      </c>
      <c r="H5657" s="28"/>
      <c r="I5657" s="29"/>
      <c r="J5657" s="152">
        <v>0</v>
      </c>
      <c r="L5657" s="218"/>
      <c r="M5657" s="48"/>
      <c r="N5657" s="27" t="str">
        <f t="shared" si="543"/>
        <v/>
      </c>
      <c r="O5657" s="28"/>
      <c r="P5657" s="36" t="str">
        <f t="shared" si="544"/>
        <v/>
      </c>
      <c r="Q5657" s="216" t="str">
        <f t="shared" si="545"/>
        <v/>
      </c>
      <c r="R5657" s="216" t="str">
        <f t="shared" si="546"/>
        <v/>
      </c>
      <c r="S5657" s="217" t="str">
        <f t="shared" si="547"/>
        <v/>
      </c>
    </row>
    <row r="5658" spans="1:19" ht="15.75" hidden="1" thickBot="1" x14ac:dyDescent="0.3">
      <c r="A5658" s="257"/>
      <c r="B5658" s="260"/>
      <c r="C5658" s="31"/>
      <c r="D5658" s="31"/>
      <c r="E5658" s="32"/>
      <c r="F5658" s="53" t="s">
        <v>416</v>
      </c>
      <c r="G5658" s="53" t="str">
        <f t="shared" si="542"/>
        <v/>
      </c>
      <c r="H5658" s="72"/>
      <c r="I5658" s="73"/>
      <c r="J5658" s="152">
        <v>0</v>
      </c>
      <c r="L5658" s="219"/>
      <c r="M5658" s="53"/>
      <c r="N5658" s="53" t="str">
        <f t="shared" si="543"/>
        <v/>
      </c>
      <c r="O5658" s="72"/>
      <c r="P5658" s="36" t="str">
        <f t="shared" si="544"/>
        <v/>
      </c>
      <c r="Q5658" s="216" t="str">
        <f t="shared" si="545"/>
        <v/>
      </c>
      <c r="R5658" s="216" t="str">
        <f t="shared" si="546"/>
        <v/>
      </c>
      <c r="S5658" s="217" t="str">
        <f t="shared" si="547"/>
        <v/>
      </c>
    </row>
    <row r="5659" spans="1:19" ht="26.25" hidden="1" thickBot="1" x14ac:dyDescent="0.3">
      <c r="A5659" s="257"/>
      <c r="B5659" s="260"/>
      <c r="C5659" s="35" t="s">
        <v>8428</v>
      </c>
      <c r="D5659" s="35" t="s">
        <v>213</v>
      </c>
      <c r="E5659" s="36">
        <v>1</v>
      </c>
      <c r="F5659" s="30">
        <v>2.9164999999999996</v>
      </c>
      <c r="G5659" s="53">
        <f t="shared" si="542"/>
        <v>2.9164999999999996</v>
      </c>
      <c r="H5659" s="38">
        <f>SUM(G5659:G5659)</f>
        <v>2.9164999999999996</v>
      </c>
      <c r="I5659" s="39"/>
      <c r="J5659" s="152">
        <v>0</v>
      </c>
      <c r="L5659" s="215">
        <v>1</v>
      </c>
      <c r="M5659" s="30">
        <v>2.496524</v>
      </c>
      <c r="N5659" s="53">
        <f t="shared" si="543"/>
        <v>2.496524</v>
      </c>
      <c r="O5659" s="38">
        <f>SUM(N5659:N5659)</f>
        <v>2.496524</v>
      </c>
      <c r="P5659" s="36" t="str">
        <f t="shared" si="544"/>
        <v/>
      </c>
      <c r="Q5659" s="216">
        <f t="shared" si="545"/>
        <v>0.14399999999999991</v>
      </c>
      <c r="R5659" s="216">
        <f t="shared" si="546"/>
        <v>0.14399999999999991</v>
      </c>
      <c r="S5659" s="217">
        <f t="shared" si="547"/>
        <v>0.14399999999999991</v>
      </c>
    </row>
    <row r="5660" spans="1:19" ht="15.75" hidden="1" thickBot="1" x14ac:dyDescent="0.3">
      <c r="A5660" s="258"/>
      <c r="B5660" s="261"/>
      <c r="C5660" s="54"/>
      <c r="D5660" s="155"/>
      <c r="E5660" s="65"/>
      <c r="F5660" s="75" t="s">
        <v>416</v>
      </c>
      <c r="G5660" s="75" t="str">
        <f t="shared" si="542"/>
        <v/>
      </c>
      <c r="H5660" s="76"/>
      <c r="I5660" s="73"/>
      <c r="J5660" s="152">
        <v>0</v>
      </c>
      <c r="L5660" s="222"/>
      <c r="M5660" s="75"/>
      <c r="N5660" s="75" t="str">
        <f t="shared" si="543"/>
        <v/>
      </c>
      <c r="O5660" s="76"/>
      <c r="P5660" s="36" t="str">
        <f t="shared" si="544"/>
        <v/>
      </c>
      <c r="Q5660" s="216" t="str">
        <f t="shared" si="545"/>
        <v/>
      </c>
      <c r="R5660" s="216" t="str">
        <f t="shared" si="546"/>
        <v/>
      </c>
      <c r="S5660" s="217" t="str">
        <f t="shared" si="547"/>
        <v/>
      </c>
    </row>
    <row r="5661" spans="1:19" ht="15.75" hidden="1" thickBot="1" x14ac:dyDescent="0.3">
      <c r="A5661" s="256" t="s">
        <v>4353</v>
      </c>
      <c r="B5661" s="259" t="str">
        <f>INDEX(Orçamentária!A:B,MATCH(Composições!A5661,Orçamentária!A:A,0),2)</f>
        <v>Terminal de compressão 35 mm²</v>
      </c>
      <c r="C5661" s="40"/>
      <c r="D5661" s="25" t="s">
        <v>16</v>
      </c>
      <c r="E5661" s="26"/>
      <c r="F5661" s="48" t="s">
        <v>416</v>
      </c>
      <c r="G5661" s="27" t="str">
        <f t="shared" si="542"/>
        <v/>
      </c>
      <c r="H5661" s="28"/>
      <c r="I5661" s="29"/>
      <c r="J5661" s="152">
        <v>0</v>
      </c>
      <c r="L5661" s="218"/>
      <c r="M5661" s="48"/>
      <c r="N5661" s="27" t="str">
        <f t="shared" si="543"/>
        <v/>
      </c>
      <c r="O5661" s="28"/>
      <c r="P5661" s="36" t="str">
        <f t="shared" si="544"/>
        <v/>
      </c>
      <c r="Q5661" s="216" t="str">
        <f t="shared" si="545"/>
        <v/>
      </c>
      <c r="R5661" s="216" t="str">
        <f t="shared" si="546"/>
        <v/>
      </c>
      <c r="S5661" s="217" t="str">
        <f t="shared" si="547"/>
        <v/>
      </c>
    </row>
    <row r="5662" spans="1:19" ht="15.75" hidden="1" thickBot="1" x14ac:dyDescent="0.3">
      <c r="A5662" s="257"/>
      <c r="B5662" s="260"/>
      <c r="C5662" s="31"/>
      <c r="D5662" s="31"/>
      <c r="E5662" s="32"/>
      <c r="F5662" s="53" t="s">
        <v>416</v>
      </c>
      <c r="G5662" s="53" t="str">
        <f t="shared" si="542"/>
        <v/>
      </c>
      <c r="H5662" s="72"/>
      <c r="I5662" s="73"/>
      <c r="J5662" s="152">
        <v>0</v>
      </c>
      <c r="L5662" s="219"/>
      <c r="M5662" s="53"/>
      <c r="N5662" s="53" t="str">
        <f t="shared" si="543"/>
        <v/>
      </c>
      <c r="O5662" s="72"/>
      <c r="P5662" s="36" t="str">
        <f t="shared" si="544"/>
        <v/>
      </c>
      <c r="Q5662" s="216" t="str">
        <f t="shared" si="545"/>
        <v/>
      </c>
      <c r="R5662" s="216" t="str">
        <f t="shared" si="546"/>
        <v/>
      </c>
      <c r="S5662" s="217" t="str">
        <f t="shared" si="547"/>
        <v/>
      </c>
    </row>
    <row r="5663" spans="1:19" ht="26.25" hidden="1" thickBot="1" x14ac:dyDescent="0.3">
      <c r="A5663" s="257"/>
      <c r="B5663" s="260"/>
      <c r="C5663" s="35" t="s">
        <v>8429</v>
      </c>
      <c r="D5663" s="35" t="s">
        <v>213</v>
      </c>
      <c r="E5663" s="36">
        <v>1</v>
      </c>
      <c r="F5663" s="30">
        <v>3.2869999999999999</v>
      </c>
      <c r="G5663" s="53">
        <f t="shared" si="542"/>
        <v>3.2869999999999999</v>
      </c>
      <c r="H5663" s="38">
        <f>SUM(G5663:G5663)</f>
        <v>3.2869999999999999</v>
      </c>
      <c r="I5663" s="39"/>
      <c r="J5663" s="152">
        <v>0</v>
      </c>
      <c r="L5663" s="215">
        <v>1</v>
      </c>
      <c r="M5663" s="30">
        <v>2.813672</v>
      </c>
      <c r="N5663" s="53">
        <f t="shared" si="543"/>
        <v>2.813672</v>
      </c>
      <c r="O5663" s="38">
        <f>SUM(N5663:N5663)</f>
        <v>2.813672</v>
      </c>
      <c r="P5663" s="36" t="str">
        <f t="shared" si="544"/>
        <v/>
      </c>
      <c r="Q5663" s="216">
        <f t="shared" si="545"/>
        <v>0.14400000000000002</v>
      </c>
      <c r="R5663" s="216">
        <f t="shared" si="546"/>
        <v>0.14400000000000002</v>
      </c>
      <c r="S5663" s="217">
        <f t="shared" si="547"/>
        <v>0.14400000000000002</v>
      </c>
    </row>
    <row r="5664" spans="1:19" ht="15.75" hidden="1" thickBot="1" x14ac:dyDescent="0.3">
      <c r="A5664" s="258"/>
      <c r="B5664" s="261"/>
      <c r="C5664" s="54"/>
      <c r="D5664" s="155"/>
      <c r="E5664" s="65"/>
      <c r="F5664" s="75" t="s">
        <v>416</v>
      </c>
      <c r="G5664" s="75" t="str">
        <f t="shared" si="542"/>
        <v/>
      </c>
      <c r="H5664" s="76"/>
      <c r="I5664" s="73"/>
      <c r="J5664" s="152">
        <v>0</v>
      </c>
      <c r="L5664" s="222"/>
      <c r="M5664" s="75"/>
      <c r="N5664" s="75" t="str">
        <f t="shared" si="543"/>
        <v/>
      </c>
      <c r="O5664" s="76"/>
      <c r="P5664" s="36" t="str">
        <f t="shared" si="544"/>
        <v/>
      </c>
      <c r="Q5664" s="216" t="str">
        <f t="shared" si="545"/>
        <v/>
      </c>
      <c r="R5664" s="216" t="str">
        <f t="shared" si="546"/>
        <v/>
      </c>
      <c r="S5664" s="217" t="str">
        <f t="shared" si="547"/>
        <v/>
      </c>
    </row>
    <row r="5665" spans="1:19" ht="15.75" hidden="1" thickBot="1" x14ac:dyDescent="0.3">
      <c r="A5665" s="256" t="s">
        <v>4354</v>
      </c>
      <c r="B5665" s="259" t="str">
        <f>INDEX(Orçamentária!A:B,MATCH(Composições!A5665,Orçamentária!A:A,0),2)</f>
        <v>Terminal de compressão 50 mm²</v>
      </c>
      <c r="C5665" s="40"/>
      <c r="D5665" s="25" t="s">
        <v>16</v>
      </c>
      <c r="E5665" s="26"/>
      <c r="F5665" s="48" t="s">
        <v>416</v>
      </c>
      <c r="G5665" s="27" t="str">
        <f t="shared" si="542"/>
        <v/>
      </c>
      <c r="H5665" s="28"/>
      <c r="I5665" s="29"/>
      <c r="J5665" s="152">
        <v>0</v>
      </c>
      <c r="L5665" s="218"/>
      <c r="M5665" s="48"/>
      <c r="N5665" s="27" t="str">
        <f t="shared" si="543"/>
        <v/>
      </c>
      <c r="O5665" s="28"/>
      <c r="P5665" s="36" t="str">
        <f t="shared" si="544"/>
        <v/>
      </c>
      <c r="Q5665" s="216" t="str">
        <f t="shared" si="545"/>
        <v/>
      </c>
      <c r="R5665" s="216" t="str">
        <f t="shared" si="546"/>
        <v/>
      </c>
      <c r="S5665" s="217" t="str">
        <f t="shared" si="547"/>
        <v/>
      </c>
    </row>
    <row r="5666" spans="1:19" ht="15.75" hidden="1" thickBot="1" x14ac:dyDescent="0.3">
      <c r="A5666" s="257"/>
      <c r="B5666" s="260"/>
      <c r="C5666" s="31"/>
      <c r="D5666" s="31"/>
      <c r="E5666" s="32"/>
      <c r="F5666" s="53" t="s">
        <v>416</v>
      </c>
      <c r="G5666" s="53" t="str">
        <f t="shared" si="542"/>
        <v/>
      </c>
      <c r="H5666" s="72"/>
      <c r="I5666" s="73"/>
      <c r="J5666" s="152">
        <v>0</v>
      </c>
      <c r="L5666" s="219"/>
      <c r="M5666" s="53"/>
      <c r="N5666" s="53" t="str">
        <f t="shared" si="543"/>
        <v/>
      </c>
      <c r="O5666" s="72"/>
      <c r="P5666" s="36" t="str">
        <f t="shared" si="544"/>
        <v/>
      </c>
      <c r="Q5666" s="216" t="str">
        <f t="shared" si="545"/>
        <v/>
      </c>
      <c r="R5666" s="216" t="str">
        <f t="shared" si="546"/>
        <v/>
      </c>
      <c r="S5666" s="217" t="str">
        <f t="shared" si="547"/>
        <v/>
      </c>
    </row>
    <row r="5667" spans="1:19" ht="26.25" hidden="1" thickBot="1" x14ac:dyDescent="0.3">
      <c r="A5667" s="257"/>
      <c r="B5667" s="260"/>
      <c r="C5667" s="35" t="s">
        <v>8430</v>
      </c>
      <c r="D5667" s="35" t="s">
        <v>213</v>
      </c>
      <c r="E5667" s="36">
        <v>1</v>
      </c>
      <c r="F5667" s="30">
        <v>5.6999999999999993</v>
      </c>
      <c r="G5667" s="53">
        <f t="shared" si="542"/>
        <v>5.6999999999999993</v>
      </c>
      <c r="H5667" s="38">
        <f>SUM(G5667:G5667)</f>
        <v>5.6999999999999993</v>
      </c>
      <c r="I5667" s="39"/>
      <c r="J5667" s="152">
        <v>0</v>
      </c>
      <c r="L5667" s="215">
        <v>1</v>
      </c>
      <c r="M5667" s="30">
        <v>4.8791999999999991</v>
      </c>
      <c r="N5667" s="53">
        <f t="shared" si="543"/>
        <v>4.8791999999999991</v>
      </c>
      <c r="O5667" s="38">
        <f>SUM(N5667:N5667)</f>
        <v>4.8791999999999991</v>
      </c>
      <c r="P5667" s="36" t="str">
        <f t="shared" si="544"/>
        <v/>
      </c>
      <c r="Q5667" s="216">
        <f t="shared" si="545"/>
        <v>0.14400000000000002</v>
      </c>
      <c r="R5667" s="216">
        <f t="shared" si="546"/>
        <v>0.14400000000000002</v>
      </c>
      <c r="S5667" s="217">
        <f t="shared" si="547"/>
        <v>0.14400000000000002</v>
      </c>
    </row>
    <row r="5668" spans="1:19" ht="15.75" hidden="1" thickBot="1" x14ac:dyDescent="0.3">
      <c r="A5668" s="258"/>
      <c r="B5668" s="261"/>
      <c r="C5668" s="54"/>
      <c r="D5668" s="155"/>
      <c r="E5668" s="65"/>
      <c r="F5668" s="75" t="s">
        <v>416</v>
      </c>
      <c r="G5668" s="75" t="str">
        <f t="shared" si="542"/>
        <v/>
      </c>
      <c r="H5668" s="76"/>
      <c r="I5668" s="73"/>
      <c r="J5668" s="152">
        <v>0</v>
      </c>
      <c r="L5668" s="222"/>
      <c r="M5668" s="75"/>
      <c r="N5668" s="75" t="str">
        <f t="shared" si="543"/>
        <v/>
      </c>
      <c r="O5668" s="76"/>
      <c r="P5668" s="36" t="str">
        <f t="shared" si="544"/>
        <v/>
      </c>
      <c r="Q5668" s="216" t="str">
        <f t="shared" si="545"/>
        <v/>
      </c>
      <c r="R5668" s="216" t="str">
        <f t="shared" si="546"/>
        <v/>
      </c>
      <c r="S5668" s="217" t="str">
        <f t="shared" si="547"/>
        <v/>
      </c>
    </row>
    <row r="5669" spans="1:19" ht="15.75" hidden="1" thickBot="1" x14ac:dyDescent="0.3">
      <c r="A5669" s="256" t="s">
        <v>4355</v>
      </c>
      <c r="B5669" s="259" t="str">
        <f>INDEX(Orçamentária!A:B,MATCH(Composições!A5669,Orçamentária!A:A,0),2)</f>
        <v>Terminal de compressão 70 mm²</v>
      </c>
      <c r="C5669" s="40"/>
      <c r="D5669" s="25" t="s">
        <v>16</v>
      </c>
      <c r="E5669" s="26"/>
      <c r="F5669" s="48" t="s">
        <v>416</v>
      </c>
      <c r="G5669" s="27" t="str">
        <f t="shared" si="542"/>
        <v/>
      </c>
      <c r="H5669" s="28"/>
      <c r="I5669" s="29"/>
      <c r="J5669" s="152">
        <v>0</v>
      </c>
      <c r="L5669" s="218"/>
      <c r="M5669" s="48"/>
      <c r="N5669" s="27" t="str">
        <f t="shared" si="543"/>
        <v/>
      </c>
      <c r="O5669" s="28"/>
      <c r="P5669" s="36" t="str">
        <f t="shared" si="544"/>
        <v/>
      </c>
      <c r="Q5669" s="216" t="str">
        <f t="shared" si="545"/>
        <v/>
      </c>
      <c r="R5669" s="216" t="str">
        <f t="shared" si="546"/>
        <v/>
      </c>
      <c r="S5669" s="217" t="str">
        <f t="shared" si="547"/>
        <v/>
      </c>
    </row>
    <row r="5670" spans="1:19" ht="15.75" hidden="1" thickBot="1" x14ac:dyDescent="0.3">
      <c r="A5670" s="257"/>
      <c r="B5670" s="260"/>
      <c r="C5670" s="31"/>
      <c r="D5670" s="31"/>
      <c r="E5670" s="32"/>
      <c r="F5670" s="53" t="s">
        <v>416</v>
      </c>
      <c r="G5670" s="53" t="str">
        <f t="shared" si="542"/>
        <v/>
      </c>
      <c r="H5670" s="72"/>
      <c r="I5670" s="73"/>
      <c r="J5670" s="152">
        <v>0</v>
      </c>
      <c r="L5670" s="219"/>
      <c r="M5670" s="53"/>
      <c r="N5670" s="53" t="str">
        <f t="shared" si="543"/>
        <v/>
      </c>
      <c r="O5670" s="72"/>
      <c r="P5670" s="36" t="str">
        <f t="shared" si="544"/>
        <v/>
      </c>
      <c r="Q5670" s="216" t="str">
        <f t="shared" si="545"/>
        <v/>
      </c>
      <c r="R5670" s="216" t="str">
        <f t="shared" si="546"/>
        <v/>
      </c>
      <c r="S5670" s="217" t="str">
        <f t="shared" si="547"/>
        <v/>
      </c>
    </row>
    <row r="5671" spans="1:19" ht="26.25" hidden="1" thickBot="1" x14ac:dyDescent="0.3">
      <c r="A5671" s="257"/>
      <c r="B5671" s="260"/>
      <c r="C5671" s="35" t="s">
        <v>8431</v>
      </c>
      <c r="D5671" s="35" t="s">
        <v>213</v>
      </c>
      <c r="E5671" s="36">
        <v>1</v>
      </c>
      <c r="F5671" s="30">
        <v>7.1059999999999999</v>
      </c>
      <c r="G5671" s="53">
        <f t="shared" si="542"/>
        <v>7.1059999999999999</v>
      </c>
      <c r="H5671" s="38">
        <f>SUM(G5671:G5671)</f>
        <v>7.1059999999999999</v>
      </c>
      <c r="I5671" s="39"/>
      <c r="J5671" s="152">
        <v>0</v>
      </c>
      <c r="L5671" s="215">
        <v>1</v>
      </c>
      <c r="M5671" s="30">
        <v>6.0827359999999997</v>
      </c>
      <c r="N5671" s="53">
        <f t="shared" si="543"/>
        <v>6.0827359999999997</v>
      </c>
      <c r="O5671" s="38">
        <f>SUM(N5671:N5671)</f>
        <v>6.0827359999999997</v>
      </c>
      <c r="P5671" s="36" t="str">
        <f t="shared" si="544"/>
        <v/>
      </c>
      <c r="Q5671" s="216">
        <f t="shared" si="545"/>
        <v>0.14400000000000002</v>
      </c>
      <c r="R5671" s="216">
        <f t="shared" si="546"/>
        <v>0.14400000000000002</v>
      </c>
      <c r="S5671" s="217">
        <f t="shared" si="547"/>
        <v>0.14400000000000002</v>
      </c>
    </row>
    <row r="5672" spans="1:19" ht="15.75" hidden="1" thickBot="1" x14ac:dyDescent="0.3">
      <c r="A5672" s="258"/>
      <c r="B5672" s="261"/>
      <c r="C5672" s="54"/>
      <c r="D5672" s="155"/>
      <c r="E5672" s="65"/>
      <c r="F5672" s="75" t="s">
        <v>416</v>
      </c>
      <c r="G5672" s="75" t="str">
        <f t="shared" si="542"/>
        <v/>
      </c>
      <c r="H5672" s="76"/>
      <c r="I5672" s="73"/>
      <c r="J5672" s="152">
        <v>0</v>
      </c>
      <c r="L5672" s="222"/>
      <c r="M5672" s="75"/>
      <c r="N5672" s="75" t="str">
        <f t="shared" si="543"/>
        <v/>
      </c>
      <c r="O5672" s="76"/>
      <c r="P5672" s="36" t="str">
        <f t="shared" si="544"/>
        <v/>
      </c>
      <c r="Q5672" s="216" t="str">
        <f t="shared" si="545"/>
        <v/>
      </c>
      <c r="R5672" s="216" t="str">
        <f t="shared" si="546"/>
        <v/>
      </c>
      <c r="S5672" s="217" t="str">
        <f t="shared" si="547"/>
        <v/>
      </c>
    </row>
    <row r="5673" spans="1:19" ht="15.75" hidden="1" thickBot="1" x14ac:dyDescent="0.3">
      <c r="A5673" s="256" t="s">
        <v>4356</v>
      </c>
      <c r="B5673" s="259" t="str">
        <f>INDEX(Orçamentária!A:B,MATCH(Composições!A5673,Orçamentária!A:A,0),2)</f>
        <v>Terminal de compressão 95 mm²</v>
      </c>
      <c r="C5673" s="40"/>
      <c r="D5673" s="25" t="s">
        <v>16</v>
      </c>
      <c r="E5673" s="26"/>
      <c r="F5673" s="48" t="s">
        <v>416</v>
      </c>
      <c r="G5673" s="27" t="str">
        <f t="shared" si="542"/>
        <v/>
      </c>
      <c r="H5673" s="28"/>
      <c r="I5673" s="29"/>
      <c r="J5673" s="152">
        <v>0</v>
      </c>
      <c r="L5673" s="218"/>
      <c r="M5673" s="48"/>
      <c r="N5673" s="27" t="str">
        <f t="shared" si="543"/>
        <v/>
      </c>
      <c r="O5673" s="28"/>
      <c r="P5673" s="36" t="str">
        <f t="shared" si="544"/>
        <v/>
      </c>
      <c r="Q5673" s="216" t="str">
        <f t="shared" si="545"/>
        <v/>
      </c>
      <c r="R5673" s="216" t="str">
        <f t="shared" si="546"/>
        <v/>
      </c>
      <c r="S5673" s="217" t="str">
        <f t="shared" si="547"/>
        <v/>
      </c>
    </row>
    <row r="5674" spans="1:19" ht="15.75" hidden="1" thickBot="1" x14ac:dyDescent="0.3">
      <c r="A5674" s="257"/>
      <c r="B5674" s="260"/>
      <c r="C5674" s="31"/>
      <c r="D5674" s="31"/>
      <c r="E5674" s="32"/>
      <c r="F5674" s="53" t="s">
        <v>416</v>
      </c>
      <c r="G5674" s="53" t="str">
        <f t="shared" si="542"/>
        <v/>
      </c>
      <c r="H5674" s="72"/>
      <c r="I5674" s="73"/>
      <c r="J5674" s="152">
        <v>0</v>
      </c>
      <c r="L5674" s="219"/>
      <c r="M5674" s="53"/>
      <c r="N5674" s="53" t="str">
        <f t="shared" si="543"/>
        <v/>
      </c>
      <c r="O5674" s="72"/>
      <c r="P5674" s="36" t="str">
        <f t="shared" si="544"/>
        <v/>
      </c>
      <c r="Q5674" s="216" t="str">
        <f t="shared" si="545"/>
        <v/>
      </c>
      <c r="R5674" s="216" t="str">
        <f t="shared" si="546"/>
        <v/>
      </c>
      <c r="S5674" s="217" t="str">
        <f t="shared" si="547"/>
        <v/>
      </c>
    </row>
    <row r="5675" spans="1:19" ht="26.25" hidden="1" thickBot="1" x14ac:dyDescent="0.3">
      <c r="A5675" s="257"/>
      <c r="B5675" s="260"/>
      <c r="C5675" s="35" t="s">
        <v>8432</v>
      </c>
      <c r="D5675" s="35" t="s">
        <v>213</v>
      </c>
      <c r="E5675" s="36">
        <v>1</v>
      </c>
      <c r="F5675" s="30">
        <v>8.7495000000000012</v>
      </c>
      <c r="G5675" s="53">
        <f t="shared" si="542"/>
        <v>8.7495000000000012</v>
      </c>
      <c r="H5675" s="38">
        <f>SUM(G5675:G5675)</f>
        <v>8.7495000000000012</v>
      </c>
      <c r="I5675" s="39"/>
      <c r="J5675" s="152">
        <v>0</v>
      </c>
      <c r="L5675" s="215">
        <v>1</v>
      </c>
      <c r="M5675" s="30">
        <v>7.4895720000000008</v>
      </c>
      <c r="N5675" s="53">
        <f t="shared" si="543"/>
        <v>7.4895720000000008</v>
      </c>
      <c r="O5675" s="38">
        <f>SUM(N5675:N5675)</f>
        <v>7.4895720000000008</v>
      </c>
      <c r="P5675" s="36" t="str">
        <f t="shared" si="544"/>
        <v/>
      </c>
      <c r="Q5675" s="216">
        <f t="shared" si="545"/>
        <v>0.14400000000000002</v>
      </c>
      <c r="R5675" s="216">
        <f t="shared" si="546"/>
        <v>0.14400000000000002</v>
      </c>
      <c r="S5675" s="217">
        <f t="shared" si="547"/>
        <v>0.14400000000000002</v>
      </c>
    </row>
    <row r="5676" spans="1:19" ht="15.75" hidden="1" thickBot="1" x14ac:dyDescent="0.3">
      <c r="A5676" s="258"/>
      <c r="B5676" s="261"/>
      <c r="C5676" s="54"/>
      <c r="D5676" s="155"/>
      <c r="E5676" s="65"/>
      <c r="F5676" s="75" t="s">
        <v>416</v>
      </c>
      <c r="G5676" s="75" t="str">
        <f t="shared" si="542"/>
        <v/>
      </c>
      <c r="H5676" s="76"/>
      <c r="I5676" s="73"/>
      <c r="J5676" s="152">
        <v>0</v>
      </c>
      <c r="L5676" s="222"/>
      <c r="M5676" s="75"/>
      <c r="N5676" s="75" t="str">
        <f t="shared" si="543"/>
        <v/>
      </c>
      <c r="O5676" s="76"/>
      <c r="P5676" s="36" t="str">
        <f t="shared" si="544"/>
        <v/>
      </c>
      <c r="Q5676" s="216" t="str">
        <f t="shared" si="545"/>
        <v/>
      </c>
      <c r="R5676" s="216" t="str">
        <f t="shared" si="546"/>
        <v/>
      </c>
      <c r="S5676" s="217" t="str">
        <f t="shared" si="547"/>
        <v/>
      </c>
    </row>
    <row r="5677" spans="1:19" ht="15.75" hidden="1" thickBot="1" x14ac:dyDescent="0.3">
      <c r="A5677" s="256" t="s">
        <v>4357</v>
      </c>
      <c r="B5677" s="259" t="str">
        <f>INDEX(Orçamentária!A:B,MATCH(Composições!A5677,Orçamentária!A:A,0),2)</f>
        <v>Terminal de compressão 120 mm²</v>
      </c>
      <c r="C5677" s="40"/>
      <c r="D5677" s="25" t="s">
        <v>16</v>
      </c>
      <c r="E5677" s="26"/>
      <c r="F5677" s="48" t="s">
        <v>416</v>
      </c>
      <c r="G5677" s="27" t="str">
        <f t="shared" si="542"/>
        <v/>
      </c>
      <c r="H5677" s="28"/>
      <c r="I5677" s="29"/>
      <c r="J5677" s="152">
        <v>0</v>
      </c>
      <c r="L5677" s="218"/>
      <c r="M5677" s="48"/>
      <c r="N5677" s="27" t="str">
        <f t="shared" si="543"/>
        <v/>
      </c>
      <c r="O5677" s="28"/>
      <c r="P5677" s="36" t="str">
        <f t="shared" si="544"/>
        <v/>
      </c>
      <c r="Q5677" s="216" t="str">
        <f t="shared" si="545"/>
        <v/>
      </c>
      <c r="R5677" s="216" t="str">
        <f t="shared" si="546"/>
        <v/>
      </c>
      <c r="S5677" s="217" t="str">
        <f t="shared" si="547"/>
        <v/>
      </c>
    </row>
    <row r="5678" spans="1:19" ht="15.75" hidden="1" thickBot="1" x14ac:dyDescent="0.3">
      <c r="A5678" s="257"/>
      <c r="B5678" s="260"/>
      <c r="C5678" s="31"/>
      <c r="D5678" s="31"/>
      <c r="E5678" s="32"/>
      <c r="F5678" s="53" t="s">
        <v>416</v>
      </c>
      <c r="G5678" s="53" t="str">
        <f t="shared" ref="G5678:G5741" si="548">IF(ISNUMBER(F5678),E5678*F5678,"")</f>
        <v/>
      </c>
      <c r="H5678" s="72"/>
      <c r="I5678" s="73"/>
      <c r="J5678" s="152">
        <v>0</v>
      </c>
      <c r="L5678" s="219"/>
      <c r="M5678" s="53"/>
      <c r="N5678" s="53" t="str">
        <f t="shared" ref="N5678:N5741" si="549">IF(ISNUMBER(M5678),L5678*M5678,"")</f>
        <v/>
      </c>
      <c r="O5678" s="72"/>
      <c r="P5678" s="36" t="str">
        <f t="shared" si="544"/>
        <v/>
      </c>
      <c r="Q5678" s="216" t="str">
        <f t="shared" si="545"/>
        <v/>
      </c>
      <c r="R5678" s="216" t="str">
        <f t="shared" si="546"/>
        <v/>
      </c>
      <c r="S5678" s="217" t="str">
        <f t="shared" si="547"/>
        <v/>
      </c>
    </row>
    <row r="5679" spans="1:19" ht="39" hidden="1" thickBot="1" x14ac:dyDescent="0.3">
      <c r="A5679" s="257"/>
      <c r="B5679" s="260"/>
      <c r="C5679" s="35" t="s">
        <v>8426</v>
      </c>
      <c r="D5679" s="35" t="s">
        <v>213</v>
      </c>
      <c r="E5679" s="36">
        <v>1</v>
      </c>
      <c r="F5679" s="30">
        <v>12.311999999999999</v>
      </c>
      <c r="G5679" s="53">
        <f t="shared" si="548"/>
        <v>12.311999999999999</v>
      </c>
      <c r="H5679" s="38">
        <f>SUM(G5679:G5679)</f>
        <v>12.311999999999999</v>
      </c>
      <c r="I5679" s="39"/>
      <c r="J5679" s="152">
        <v>0</v>
      </c>
      <c r="L5679" s="215">
        <v>1</v>
      </c>
      <c r="M5679" s="30">
        <v>10.539071999999999</v>
      </c>
      <c r="N5679" s="53">
        <f t="shared" si="549"/>
        <v>10.539071999999999</v>
      </c>
      <c r="O5679" s="38">
        <f>SUM(N5679:N5679)</f>
        <v>10.539071999999999</v>
      </c>
      <c r="P5679" s="36" t="str">
        <f t="shared" si="544"/>
        <v/>
      </c>
      <c r="Q5679" s="216">
        <f t="shared" si="545"/>
        <v>0.14400000000000002</v>
      </c>
      <c r="R5679" s="216">
        <f t="shared" si="546"/>
        <v>0.14400000000000002</v>
      </c>
      <c r="S5679" s="217">
        <f t="shared" si="547"/>
        <v>0.14400000000000002</v>
      </c>
    </row>
    <row r="5680" spans="1:19" ht="15.75" hidden="1" thickBot="1" x14ac:dyDescent="0.3">
      <c r="A5680" s="258"/>
      <c r="B5680" s="261"/>
      <c r="C5680" s="54"/>
      <c r="D5680" s="155"/>
      <c r="E5680" s="65"/>
      <c r="F5680" s="75" t="s">
        <v>416</v>
      </c>
      <c r="G5680" s="75" t="str">
        <f t="shared" si="548"/>
        <v/>
      </c>
      <c r="H5680" s="76"/>
      <c r="I5680" s="73"/>
      <c r="J5680" s="152">
        <v>0</v>
      </c>
      <c r="L5680" s="222"/>
      <c r="M5680" s="75"/>
      <c r="N5680" s="75" t="str">
        <f t="shared" si="549"/>
        <v/>
      </c>
      <c r="O5680" s="76"/>
      <c r="P5680" s="36" t="str">
        <f t="shared" si="544"/>
        <v/>
      </c>
      <c r="Q5680" s="216" t="str">
        <f t="shared" si="545"/>
        <v/>
      </c>
      <c r="R5680" s="216" t="str">
        <f t="shared" si="546"/>
        <v/>
      </c>
      <c r="S5680" s="217" t="str">
        <f t="shared" si="547"/>
        <v/>
      </c>
    </row>
    <row r="5681" spans="1:19" ht="15.75" hidden="1" thickBot="1" x14ac:dyDescent="0.3">
      <c r="A5681" s="256" t="s">
        <v>4358</v>
      </c>
      <c r="B5681" s="259" t="str">
        <f>INDEX(Orçamentária!A:B,MATCH(Composições!A5681,Orçamentária!A:A,0),2)</f>
        <v>Terminal de compressão 150 mm²</v>
      </c>
      <c r="C5681" s="40"/>
      <c r="D5681" s="25" t="s">
        <v>16</v>
      </c>
      <c r="E5681" s="26"/>
      <c r="F5681" s="48" t="s">
        <v>416</v>
      </c>
      <c r="G5681" s="27" t="str">
        <f t="shared" si="548"/>
        <v/>
      </c>
      <c r="H5681" s="28"/>
      <c r="I5681" s="29"/>
      <c r="J5681" s="152">
        <v>0</v>
      </c>
      <c r="L5681" s="218"/>
      <c r="M5681" s="48"/>
      <c r="N5681" s="27" t="str">
        <f t="shared" si="549"/>
        <v/>
      </c>
      <c r="O5681" s="28"/>
      <c r="P5681" s="36" t="str">
        <f t="shared" si="544"/>
        <v/>
      </c>
      <c r="Q5681" s="216" t="str">
        <f t="shared" si="545"/>
        <v/>
      </c>
      <c r="R5681" s="216" t="str">
        <f t="shared" si="546"/>
        <v/>
      </c>
      <c r="S5681" s="217" t="str">
        <f t="shared" si="547"/>
        <v/>
      </c>
    </row>
    <row r="5682" spans="1:19" ht="15.75" hidden="1" thickBot="1" x14ac:dyDescent="0.3">
      <c r="A5682" s="257"/>
      <c r="B5682" s="260"/>
      <c r="C5682" s="31"/>
      <c r="D5682" s="31"/>
      <c r="E5682" s="32"/>
      <c r="F5682" s="53" t="s">
        <v>416</v>
      </c>
      <c r="G5682" s="53" t="str">
        <f t="shared" si="548"/>
        <v/>
      </c>
      <c r="H5682" s="72"/>
      <c r="I5682" s="73"/>
      <c r="J5682" s="152">
        <v>0</v>
      </c>
      <c r="L5682" s="219"/>
      <c r="M5682" s="53"/>
      <c r="N5682" s="53" t="str">
        <f t="shared" si="549"/>
        <v/>
      </c>
      <c r="O5682" s="72"/>
      <c r="P5682" s="36" t="str">
        <f t="shared" si="544"/>
        <v/>
      </c>
      <c r="Q5682" s="216" t="str">
        <f t="shared" si="545"/>
        <v/>
      </c>
      <c r="R5682" s="216" t="str">
        <f t="shared" si="546"/>
        <v/>
      </c>
      <c r="S5682" s="217" t="str">
        <f t="shared" si="547"/>
        <v/>
      </c>
    </row>
    <row r="5683" spans="1:19" ht="26.25" hidden="1" thickBot="1" x14ac:dyDescent="0.3">
      <c r="A5683" s="257"/>
      <c r="B5683" s="260"/>
      <c r="C5683" s="35" t="s">
        <v>8436</v>
      </c>
      <c r="D5683" s="35" t="s">
        <v>213</v>
      </c>
      <c r="E5683" s="36">
        <v>1</v>
      </c>
      <c r="F5683" s="30">
        <v>27.701999999999998</v>
      </c>
      <c r="G5683" s="53">
        <f t="shared" si="548"/>
        <v>27.701999999999998</v>
      </c>
      <c r="H5683" s="38">
        <f>SUM(G5683:G5683)</f>
        <v>27.701999999999998</v>
      </c>
      <c r="I5683" s="39"/>
      <c r="J5683" s="152">
        <v>0</v>
      </c>
      <c r="L5683" s="215">
        <v>1</v>
      </c>
      <c r="M5683" s="30">
        <v>23.712911999999999</v>
      </c>
      <c r="N5683" s="53">
        <f t="shared" si="549"/>
        <v>23.712911999999999</v>
      </c>
      <c r="O5683" s="38">
        <f>SUM(N5683:N5683)</f>
        <v>23.712911999999999</v>
      </c>
      <c r="P5683" s="36" t="str">
        <f t="shared" si="544"/>
        <v/>
      </c>
      <c r="Q5683" s="216">
        <f t="shared" si="545"/>
        <v>0.14400000000000002</v>
      </c>
      <c r="R5683" s="216">
        <f t="shared" si="546"/>
        <v>0.14400000000000002</v>
      </c>
      <c r="S5683" s="217">
        <f t="shared" si="547"/>
        <v>0.14400000000000002</v>
      </c>
    </row>
    <row r="5684" spans="1:19" ht="15.75" hidden="1" thickBot="1" x14ac:dyDescent="0.3">
      <c r="A5684" s="258"/>
      <c r="B5684" s="261"/>
      <c r="C5684" s="54"/>
      <c r="D5684" s="155"/>
      <c r="E5684" s="65"/>
      <c r="F5684" s="75" t="s">
        <v>416</v>
      </c>
      <c r="G5684" s="75" t="str">
        <f t="shared" si="548"/>
        <v/>
      </c>
      <c r="H5684" s="76"/>
      <c r="I5684" s="73"/>
      <c r="J5684" s="152">
        <v>0</v>
      </c>
      <c r="L5684" s="222"/>
      <c r="M5684" s="75"/>
      <c r="N5684" s="75" t="str">
        <f t="shared" si="549"/>
        <v/>
      </c>
      <c r="O5684" s="76"/>
      <c r="P5684" s="36" t="str">
        <f t="shared" si="544"/>
        <v/>
      </c>
      <c r="Q5684" s="216" t="str">
        <f t="shared" si="545"/>
        <v/>
      </c>
      <c r="R5684" s="216" t="str">
        <f t="shared" si="546"/>
        <v/>
      </c>
      <c r="S5684" s="217" t="str">
        <f t="shared" si="547"/>
        <v/>
      </c>
    </row>
    <row r="5685" spans="1:19" ht="15.75" hidden="1" thickBot="1" x14ac:dyDescent="0.3">
      <c r="A5685" s="256" t="s">
        <v>4359</v>
      </c>
      <c r="B5685" s="259" t="str">
        <f>INDEX(Orçamentária!A:B,MATCH(Composições!A5685,Orçamentária!A:A,0),2)</f>
        <v>Terminal de compressão 185 mm²</v>
      </c>
      <c r="C5685" s="40"/>
      <c r="D5685" s="25" t="s">
        <v>16</v>
      </c>
      <c r="E5685" s="26"/>
      <c r="F5685" s="48" t="s">
        <v>416</v>
      </c>
      <c r="G5685" s="27" t="str">
        <f t="shared" si="548"/>
        <v/>
      </c>
      <c r="H5685" s="28"/>
      <c r="I5685" s="29"/>
      <c r="J5685" s="152">
        <v>0</v>
      </c>
      <c r="L5685" s="218"/>
      <c r="M5685" s="48"/>
      <c r="N5685" s="27" t="str">
        <f t="shared" si="549"/>
        <v/>
      </c>
      <c r="O5685" s="28"/>
      <c r="P5685" s="36" t="str">
        <f t="shared" si="544"/>
        <v/>
      </c>
      <c r="Q5685" s="216" t="str">
        <f t="shared" si="545"/>
        <v/>
      </c>
      <c r="R5685" s="216" t="str">
        <f t="shared" si="546"/>
        <v/>
      </c>
      <c r="S5685" s="217" t="str">
        <f t="shared" si="547"/>
        <v/>
      </c>
    </row>
    <row r="5686" spans="1:19" ht="15.75" hidden="1" thickBot="1" x14ac:dyDescent="0.3">
      <c r="A5686" s="257"/>
      <c r="B5686" s="260"/>
      <c r="C5686" s="31"/>
      <c r="D5686" s="31"/>
      <c r="E5686" s="32"/>
      <c r="F5686" s="53" t="s">
        <v>416</v>
      </c>
      <c r="G5686" s="53" t="str">
        <f t="shared" si="548"/>
        <v/>
      </c>
      <c r="H5686" s="72"/>
      <c r="I5686" s="73"/>
      <c r="J5686" s="152">
        <v>0</v>
      </c>
      <c r="L5686" s="219"/>
      <c r="M5686" s="53"/>
      <c r="N5686" s="53" t="str">
        <f t="shared" si="549"/>
        <v/>
      </c>
      <c r="O5686" s="72"/>
      <c r="P5686" s="36" t="str">
        <f t="shared" si="544"/>
        <v/>
      </c>
      <c r="Q5686" s="216" t="str">
        <f t="shared" si="545"/>
        <v/>
      </c>
      <c r="R5686" s="216" t="str">
        <f t="shared" si="546"/>
        <v/>
      </c>
      <c r="S5686" s="217" t="str">
        <f t="shared" si="547"/>
        <v/>
      </c>
    </row>
    <row r="5687" spans="1:19" ht="26.25" hidden="1" thickBot="1" x14ac:dyDescent="0.3">
      <c r="A5687" s="257"/>
      <c r="B5687" s="260"/>
      <c r="C5687" s="35" t="s">
        <v>8437</v>
      </c>
      <c r="D5687" s="35" t="s">
        <v>213</v>
      </c>
      <c r="E5687" s="36">
        <v>1</v>
      </c>
      <c r="F5687" s="30">
        <v>30.276499999999999</v>
      </c>
      <c r="G5687" s="53">
        <f t="shared" si="548"/>
        <v>30.276499999999999</v>
      </c>
      <c r="H5687" s="38">
        <f>SUM(G5687:G5687)</f>
        <v>30.276499999999999</v>
      </c>
      <c r="I5687" s="39"/>
      <c r="J5687" s="152">
        <v>0</v>
      </c>
      <c r="L5687" s="215">
        <v>1</v>
      </c>
      <c r="M5687" s="30">
        <v>25.916684</v>
      </c>
      <c r="N5687" s="53">
        <f t="shared" si="549"/>
        <v>25.916684</v>
      </c>
      <c r="O5687" s="38">
        <f>SUM(N5687:N5687)</f>
        <v>25.916684</v>
      </c>
      <c r="P5687" s="36" t="str">
        <f t="shared" si="544"/>
        <v/>
      </c>
      <c r="Q5687" s="216">
        <f t="shared" si="545"/>
        <v>0.14399999999999991</v>
      </c>
      <c r="R5687" s="216">
        <f t="shared" si="546"/>
        <v>0.14399999999999991</v>
      </c>
      <c r="S5687" s="217">
        <f t="shared" si="547"/>
        <v>0.14399999999999991</v>
      </c>
    </row>
    <row r="5688" spans="1:19" ht="15.75" hidden="1" thickBot="1" x14ac:dyDescent="0.3">
      <c r="A5688" s="258"/>
      <c r="B5688" s="261"/>
      <c r="C5688" s="54"/>
      <c r="D5688" s="155"/>
      <c r="E5688" s="65"/>
      <c r="F5688" s="75" t="s">
        <v>416</v>
      </c>
      <c r="G5688" s="75" t="str">
        <f t="shared" si="548"/>
        <v/>
      </c>
      <c r="H5688" s="76"/>
      <c r="I5688" s="73"/>
      <c r="J5688" s="152">
        <v>0</v>
      </c>
      <c r="L5688" s="222"/>
      <c r="M5688" s="75"/>
      <c r="N5688" s="75" t="str">
        <f t="shared" si="549"/>
        <v/>
      </c>
      <c r="O5688" s="76"/>
      <c r="P5688" s="36" t="str">
        <f t="shared" si="544"/>
        <v/>
      </c>
      <c r="Q5688" s="216" t="str">
        <f t="shared" si="545"/>
        <v/>
      </c>
      <c r="R5688" s="216" t="str">
        <f t="shared" si="546"/>
        <v/>
      </c>
      <c r="S5688" s="217" t="str">
        <f t="shared" si="547"/>
        <v/>
      </c>
    </row>
    <row r="5689" spans="1:19" ht="15.75" hidden="1" thickBot="1" x14ac:dyDescent="0.3">
      <c r="A5689" s="256" t="s">
        <v>4360</v>
      </c>
      <c r="B5689" s="259" t="str">
        <f>INDEX(Orçamentária!A:B,MATCH(Composições!A5689,Orçamentária!A:A,0),2)</f>
        <v>Terminal de compressão 240 mm²</v>
      </c>
      <c r="C5689" s="40"/>
      <c r="D5689" s="25" t="s">
        <v>16</v>
      </c>
      <c r="E5689" s="26"/>
      <c r="F5689" s="48" t="s">
        <v>416</v>
      </c>
      <c r="G5689" s="27" t="str">
        <f t="shared" si="548"/>
        <v/>
      </c>
      <c r="H5689" s="28"/>
      <c r="I5689" s="29"/>
      <c r="J5689" s="152">
        <v>0</v>
      </c>
      <c r="L5689" s="218"/>
      <c r="M5689" s="48"/>
      <c r="N5689" s="27" t="str">
        <f t="shared" si="549"/>
        <v/>
      </c>
      <c r="O5689" s="28"/>
      <c r="P5689" s="36" t="str">
        <f t="shared" si="544"/>
        <v/>
      </c>
      <c r="Q5689" s="216" t="str">
        <f t="shared" si="545"/>
        <v/>
      </c>
      <c r="R5689" s="216" t="str">
        <f t="shared" si="546"/>
        <v/>
      </c>
      <c r="S5689" s="217" t="str">
        <f t="shared" si="547"/>
        <v/>
      </c>
    </row>
    <row r="5690" spans="1:19" ht="15.75" hidden="1" thickBot="1" x14ac:dyDescent="0.3">
      <c r="A5690" s="257"/>
      <c r="B5690" s="260"/>
      <c r="C5690" s="31"/>
      <c r="D5690" s="31"/>
      <c r="E5690" s="32"/>
      <c r="F5690" s="53" t="s">
        <v>416</v>
      </c>
      <c r="G5690" s="53" t="str">
        <f t="shared" si="548"/>
        <v/>
      </c>
      <c r="H5690" s="72"/>
      <c r="I5690" s="73"/>
      <c r="J5690" s="152">
        <v>0</v>
      </c>
      <c r="L5690" s="219"/>
      <c r="M5690" s="53"/>
      <c r="N5690" s="53" t="str">
        <f t="shared" si="549"/>
        <v/>
      </c>
      <c r="O5690" s="72"/>
      <c r="P5690" s="36" t="str">
        <f t="shared" si="544"/>
        <v/>
      </c>
      <c r="Q5690" s="216" t="str">
        <f t="shared" si="545"/>
        <v/>
      </c>
      <c r="R5690" s="216" t="str">
        <f t="shared" si="546"/>
        <v/>
      </c>
      <c r="S5690" s="217" t="str">
        <f t="shared" si="547"/>
        <v/>
      </c>
    </row>
    <row r="5691" spans="1:19" ht="26.25" hidden="1" thickBot="1" x14ac:dyDescent="0.3">
      <c r="A5691" s="257"/>
      <c r="B5691" s="260"/>
      <c r="C5691" s="35" t="s">
        <v>8438</v>
      </c>
      <c r="D5691" s="35" t="s">
        <v>213</v>
      </c>
      <c r="E5691" s="36">
        <v>1</v>
      </c>
      <c r="F5691" s="30">
        <v>39.957000000000001</v>
      </c>
      <c r="G5691" s="53">
        <f t="shared" si="548"/>
        <v>39.957000000000001</v>
      </c>
      <c r="H5691" s="38">
        <f>SUM(G5691:G5691)</f>
        <v>39.957000000000001</v>
      </c>
      <c r="I5691" s="39"/>
      <c r="J5691" s="152">
        <v>0</v>
      </c>
      <c r="L5691" s="215">
        <v>1</v>
      </c>
      <c r="M5691" s="30">
        <v>34.203192000000001</v>
      </c>
      <c r="N5691" s="53">
        <f t="shared" si="549"/>
        <v>34.203192000000001</v>
      </c>
      <c r="O5691" s="38">
        <f>SUM(N5691:N5691)</f>
        <v>34.203192000000001</v>
      </c>
      <c r="P5691" s="36" t="str">
        <f t="shared" si="544"/>
        <v/>
      </c>
      <c r="Q5691" s="216">
        <f t="shared" si="545"/>
        <v>0.14400000000000002</v>
      </c>
      <c r="R5691" s="216">
        <f t="shared" si="546"/>
        <v>0.14400000000000002</v>
      </c>
      <c r="S5691" s="217">
        <f t="shared" si="547"/>
        <v>0.14400000000000002</v>
      </c>
    </row>
    <row r="5692" spans="1:19" ht="15.75" hidden="1" thickBot="1" x14ac:dyDescent="0.3">
      <c r="A5692" s="258"/>
      <c r="B5692" s="261"/>
      <c r="C5692" s="54"/>
      <c r="D5692" s="155"/>
      <c r="E5692" s="65"/>
      <c r="F5692" s="75" t="s">
        <v>416</v>
      </c>
      <c r="G5692" s="75" t="str">
        <f t="shared" si="548"/>
        <v/>
      </c>
      <c r="H5692" s="76"/>
      <c r="I5692" s="73"/>
      <c r="J5692" s="152">
        <v>0</v>
      </c>
      <c r="L5692" s="222"/>
      <c r="M5692" s="75"/>
      <c r="N5692" s="75" t="str">
        <f t="shared" si="549"/>
        <v/>
      </c>
      <c r="O5692" s="76"/>
      <c r="P5692" s="36" t="str">
        <f t="shared" si="544"/>
        <v/>
      </c>
      <c r="Q5692" s="216" t="str">
        <f t="shared" si="545"/>
        <v/>
      </c>
      <c r="R5692" s="216" t="str">
        <f t="shared" si="546"/>
        <v/>
      </c>
      <c r="S5692" s="217" t="str">
        <f t="shared" si="547"/>
        <v/>
      </c>
    </row>
    <row r="5693" spans="1:19" ht="15.75" hidden="1" thickBot="1" x14ac:dyDescent="0.3">
      <c r="A5693" s="256" t="s">
        <v>4361</v>
      </c>
      <c r="B5693" s="259" t="str">
        <f>INDEX(Orçamentária!A:B,MATCH(Composições!A5693,Orçamentária!A:A,0),2)</f>
        <v>Terminal de compressão 300 mm²</v>
      </c>
      <c r="C5693" s="40"/>
      <c r="D5693" s="25" t="s">
        <v>16</v>
      </c>
      <c r="E5693" s="26"/>
      <c r="F5693" s="48" t="s">
        <v>416</v>
      </c>
      <c r="G5693" s="27" t="str">
        <f t="shared" si="548"/>
        <v/>
      </c>
      <c r="H5693" s="28"/>
      <c r="I5693" s="29"/>
      <c r="J5693" s="152">
        <v>0</v>
      </c>
      <c r="L5693" s="218"/>
      <c r="M5693" s="48"/>
      <c r="N5693" s="27" t="str">
        <f t="shared" si="549"/>
        <v/>
      </c>
      <c r="O5693" s="28"/>
      <c r="P5693" s="36" t="str">
        <f t="shared" si="544"/>
        <v/>
      </c>
      <c r="Q5693" s="216" t="str">
        <f t="shared" si="545"/>
        <v/>
      </c>
      <c r="R5693" s="216" t="str">
        <f t="shared" si="546"/>
        <v/>
      </c>
      <c r="S5693" s="217" t="str">
        <f t="shared" si="547"/>
        <v/>
      </c>
    </row>
    <row r="5694" spans="1:19" ht="15.75" hidden="1" thickBot="1" x14ac:dyDescent="0.3">
      <c r="A5694" s="257"/>
      <c r="B5694" s="260"/>
      <c r="C5694" s="31"/>
      <c r="D5694" s="31"/>
      <c r="E5694" s="32"/>
      <c r="F5694" s="53" t="s">
        <v>416</v>
      </c>
      <c r="G5694" s="53" t="str">
        <f t="shared" si="548"/>
        <v/>
      </c>
      <c r="H5694" s="72"/>
      <c r="I5694" s="73"/>
      <c r="J5694" s="152">
        <v>0</v>
      </c>
      <c r="L5694" s="219"/>
      <c r="M5694" s="53"/>
      <c r="N5694" s="53" t="str">
        <f t="shared" si="549"/>
        <v/>
      </c>
      <c r="O5694" s="72"/>
      <c r="P5694" s="36" t="str">
        <f t="shared" si="544"/>
        <v/>
      </c>
      <c r="Q5694" s="216" t="str">
        <f t="shared" si="545"/>
        <v/>
      </c>
      <c r="R5694" s="216" t="str">
        <f t="shared" si="546"/>
        <v/>
      </c>
      <c r="S5694" s="217" t="str">
        <f t="shared" si="547"/>
        <v/>
      </c>
    </row>
    <row r="5695" spans="1:19" ht="26.25" hidden="1" thickBot="1" x14ac:dyDescent="0.3">
      <c r="A5695" s="257"/>
      <c r="B5695" s="260"/>
      <c r="C5695" s="35" t="s">
        <v>8439</v>
      </c>
      <c r="D5695" s="35" t="s">
        <v>213</v>
      </c>
      <c r="E5695" s="36">
        <v>1</v>
      </c>
      <c r="F5695" s="30">
        <v>58.14</v>
      </c>
      <c r="G5695" s="53">
        <f t="shared" si="548"/>
        <v>58.14</v>
      </c>
      <c r="H5695" s="38">
        <f>SUM(G5695:G5695)</f>
        <v>58.14</v>
      </c>
      <c r="I5695" s="39"/>
      <c r="J5695" s="152">
        <v>0</v>
      </c>
      <c r="L5695" s="215">
        <v>1</v>
      </c>
      <c r="M5695" s="30">
        <v>49.76784</v>
      </c>
      <c r="N5695" s="53">
        <f t="shared" si="549"/>
        <v>49.76784</v>
      </c>
      <c r="O5695" s="38">
        <f>SUM(N5695:N5695)</f>
        <v>49.76784</v>
      </c>
      <c r="P5695" s="36" t="str">
        <f t="shared" si="544"/>
        <v/>
      </c>
      <c r="Q5695" s="216">
        <f t="shared" si="545"/>
        <v>0.14400000000000002</v>
      </c>
      <c r="R5695" s="216">
        <f t="shared" si="546"/>
        <v>0.14400000000000002</v>
      </c>
      <c r="S5695" s="217">
        <f t="shared" si="547"/>
        <v>0.14400000000000002</v>
      </c>
    </row>
    <row r="5696" spans="1:19" ht="15.75" hidden="1" thickBot="1" x14ac:dyDescent="0.3">
      <c r="A5696" s="258"/>
      <c r="B5696" s="261"/>
      <c r="C5696" s="54"/>
      <c r="D5696" s="155"/>
      <c r="E5696" s="65"/>
      <c r="F5696" s="75" t="s">
        <v>416</v>
      </c>
      <c r="G5696" s="75" t="str">
        <f t="shared" si="548"/>
        <v/>
      </c>
      <c r="H5696" s="76"/>
      <c r="I5696" s="73"/>
      <c r="J5696" s="152">
        <v>0</v>
      </c>
      <c r="L5696" s="222"/>
      <c r="M5696" s="75"/>
      <c r="N5696" s="75" t="str">
        <f t="shared" si="549"/>
        <v/>
      </c>
      <c r="O5696" s="76"/>
      <c r="P5696" s="36" t="str">
        <f t="shared" si="544"/>
        <v/>
      </c>
      <c r="Q5696" s="216" t="str">
        <f t="shared" si="545"/>
        <v/>
      </c>
      <c r="R5696" s="216" t="str">
        <f t="shared" si="546"/>
        <v/>
      </c>
      <c r="S5696" s="217" t="str">
        <f t="shared" si="547"/>
        <v/>
      </c>
    </row>
    <row r="5697" spans="1:19" ht="15.75" hidden="1" thickBot="1" x14ac:dyDescent="0.3">
      <c r="A5697" s="256" t="s">
        <v>4388</v>
      </c>
      <c r="B5697" s="259" t="str">
        <f>INDEX(Orçamentária!A:B,MATCH(Composições!A5697,Orçamentária!A:A,0),2)</f>
        <v>Cobre nu 16 mm²</v>
      </c>
      <c r="C5697" s="40"/>
      <c r="D5697" s="25" t="s">
        <v>69</v>
      </c>
      <c r="E5697" s="26"/>
      <c r="F5697" s="48" t="s">
        <v>416</v>
      </c>
      <c r="G5697" s="27" t="str">
        <f t="shared" si="548"/>
        <v/>
      </c>
      <c r="H5697" s="28"/>
      <c r="I5697" s="29"/>
      <c r="J5697" s="152">
        <v>0</v>
      </c>
      <c r="L5697" s="218"/>
      <c r="M5697" s="48"/>
      <c r="N5697" s="27" t="str">
        <f t="shared" si="549"/>
        <v/>
      </c>
      <c r="O5697" s="28"/>
      <c r="P5697" s="36" t="str">
        <f t="shared" si="544"/>
        <v/>
      </c>
      <c r="Q5697" s="216" t="str">
        <f t="shared" si="545"/>
        <v/>
      </c>
      <c r="R5697" s="216" t="str">
        <f t="shared" si="546"/>
        <v/>
      </c>
      <c r="S5697" s="217" t="str">
        <f t="shared" si="547"/>
        <v/>
      </c>
    </row>
    <row r="5698" spans="1:19" ht="15.75" hidden="1" thickBot="1" x14ac:dyDescent="0.3">
      <c r="A5698" s="257"/>
      <c r="B5698" s="260"/>
      <c r="C5698" s="31"/>
      <c r="D5698" s="31"/>
      <c r="E5698" s="32"/>
      <c r="F5698" s="53" t="s">
        <v>416</v>
      </c>
      <c r="G5698" s="53" t="str">
        <f t="shared" si="548"/>
        <v/>
      </c>
      <c r="H5698" s="72"/>
      <c r="I5698" s="73"/>
      <c r="J5698" s="152">
        <v>0</v>
      </c>
      <c r="L5698" s="219"/>
      <c r="M5698" s="53"/>
      <c r="N5698" s="53" t="str">
        <f t="shared" si="549"/>
        <v/>
      </c>
      <c r="O5698" s="72"/>
      <c r="P5698" s="36" t="str">
        <f t="shared" si="544"/>
        <v/>
      </c>
      <c r="Q5698" s="216" t="str">
        <f t="shared" si="545"/>
        <v/>
      </c>
      <c r="R5698" s="216" t="str">
        <f t="shared" si="546"/>
        <v/>
      </c>
      <c r="S5698" s="217" t="str">
        <f t="shared" si="547"/>
        <v/>
      </c>
    </row>
    <row r="5699" spans="1:19" ht="15.75" hidden="1" thickBot="1" x14ac:dyDescent="0.3">
      <c r="A5699" s="257"/>
      <c r="B5699" s="260"/>
      <c r="C5699" s="35" t="s">
        <v>8025</v>
      </c>
      <c r="D5699" s="35" t="s">
        <v>385</v>
      </c>
      <c r="E5699" s="36">
        <v>1</v>
      </c>
      <c r="F5699" s="30">
        <v>18.012</v>
      </c>
      <c r="G5699" s="53">
        <f t="shared" si="548"/>
        <v>18.012</v>
      </c>
      <c r="H5699" s="38">
        <f>SUM(G5699:G5699)</f>
        <v>18.012</v>
      </c>
      <c r="I5699" s="39"/>
      <c r="J5699" s="152">
        <v>0</v>
      </c>
      <c r="L5699" s="215">
        <v>1</v>
      </c>
      <c r="M5699" s="30">
        <v>15.418272</v>
      </c>
      <c r="N5699" s="53">
        <f t="shared" si="549"/>
        <v>15.418272</v>
      </c>
      <c r="O5699" s="38">
        <f>SUM(N5699:N5699)</f>
        <v>15.418272</v>
      </c>
      <c r="P5699" s="36" t="str">
        <f t="shared" si="544"/>
        <v/>
      </c>
      <c r="Q5699" s="216">
        <f t="shared" si="545"/>
        <v>0.14400000000000002</v>
      </c>
      <c r="R5699" s="216">
        <f t="shared" si="546"/>
        <v>0.14400000000000002</v>
      </c>
      <c r="S5699" s="217">
        <f t="shared" si="547"/>
        <v>0.14400000000000002</v>
      </c>
    </row>
    <row r="5700" spans="1:19" ht="15.75" hidden="1" thickBot="1" x14ac:dyDescent="0.3">
      <c r="A5700" s="258"/>
      <c r="B5700" s="261"/>
      <c r="C5700" s="54"/>
      <c r="D5700" s="155"/>
      <c r="E5700" s="65"/>
      <c r="F5700" s="75" t="s">
        <v>416</v>
      </c>
      <c r="G5700" s="75" t="str">
        <f t="shared" si="548"/>
        <v/>
      </c>
      <c r="H5700" s="76"/>
      <c r="I5700" s="73"/>
      <c r="J5700" s="152">
        <v>0</v>
      </c>
      <c r="L5700" s="222"/>
      <c r="M5700" s="75"/>
      <c r="N5700" s="75" t="str">
        <f t="shared" si="549"/>
        <v/>
      </c>
      <c r="O5700" s="76"/>
      <c r="P5700" s="36" t="str">
        <f t="shared" si="544"/>
        <v/>
      </c>
      <c r="Q5700" s="216" t="str">
        <f t="shared" si="545"/>
        <v/>
      </c>
      <c r="R5700" s="216" t="str">
        <f t="shared" si="546"/>
        <v/>
      </c>
      <c r="S5700" s="217" t="str">
        <f t="shared" si="547"/>
        <v/>
      </c>
    </row>
    <row r="5701" spans="1:19" ht="15.75" hidden="1" thickBot="1" x14ac:dyDescent="0.3">
      <c r="A5701" s="256" t="s">
        <v>4389</v>
      </c>
      <c r="B5701" s="259" t="str">
        <f>INDEX(Orçamentária!A:B,MATCH(Composições!A5701,Orçamentária!A:A,0),2)</f>
        <v>Cobre nu 25 mm²</v>
      </c>
      <c r="C5701" s="40"/>
      <c r="D5701" s="25" t="s">
        <v>69</v>
      </c>
      <c r="E5701" s="26"/>
      <c r="F5701" s="48" t="s">
        <v>416</v>
      </c>
      <c r="G5701" s="27" t="str">
        <f t="shared" si="548"/>
        <v/>
      </c>
      <c r="H5701" s="28"/>
      <c r="I5701" s="29"/>
      <c r="J5701" s="152">
        <v>0</v>
      </c>
      <c r="L5701" s="218"/>
      <c r="M5701" s="48"/>
      <c r="N5701" s="27" t="str">
        <f t="shared" si="549"/>
        <v/>
      </c>
      <c r="O5701" s="28"/>
      <c r="P5701" s="36" t="str">
        <f t="shared" si="544"/>
        <v/>
      </c>
      <c r="Q5701" s="216" t="str">
        <f t="shared" si="545"/>
        <v/>
      </c>
      <c r="R5701" s="216" t="str">
        <f t="shared" si="546"/>
        <v/>
      </c>
      <c r="S5701" s="217" t="str">
        <f t="shared" si="547"/>
        <v/>
      </c>
    </row>
    <row r="5702" spans="1:19" ht="15.75" hidden="1" thickBot="1" x14ac:dyDescent="0.3">
      <c r="A5702" s="257"/>
      <c r="B5702" s="260"/>
      <c r="C5702" s="31"/>
      <c r="D5702" s="31"/>
      <c r="E5702" s="32"/>
      <c r="F5702" s="53" t="s">
        <v>416</v>
      </c>
      <c r="G5702" s="53" t="str">
        <f t="shared" si="548"/>
        <v/>
      </c>
      <c r="H5702" s="72"/>
      <c r="I5702" s="73"/>
      <c r="J5702" s="152">
        <v>0</v>
      </c>
      <c r="L5702" s="219"/>
      <c r="M5702" s="53"/>
      <c r="N5702" s="53" t="str">
        <f t="shared" si="549"/>
        <v/>
      </c>
      <c r="O5702" s="72"/>
      <c r="P5702" s="36" t="str">
        <f t="shared" si="544"/>
        <v/>
      </c>
      <c r="Q5702" s="216" t="str">
        <f t="shared" si="545"/>
        <v/>
      </c>
      <c r="R5702" s="216" t="str">
        <f t="shared" si="546"/>
        <v/>
      </c>
      <c r="S5702" s="217" t="str">
        <f t="shared" si="547"/>
        <v/>
      </c>
    </row>
    <row r="5703" spans="1:19" ht="15.75" hidden="1" thickBot="1" x14ac:dyDescent="0.3">
      <c r="A5703" s="257"/>
      <c r="B5703" s="260"/>
      <c r="C5703" s="35" t="s">
        <v>8026</v>
      </c>
      <c r="D5703" s="35" t="s">
        <v>385</v>
      </c>
      <c r="E5703" s="36">
        <v>1</v>
      </c>
      <c r="F5703" s="30">
        <v>25.6785</v>
      </c>
      <c r="G5703" s="53">
        <f t="shared" si="548"/>
        <v>25.6785</v>
      </c>
      <c r="H5703" s="38">
        <f>SUM(G5703:G5703)</f>
        <v>25.6785</v>
      </c>
      <c r="I5703" s="39"/>
      <c r="J5703" s="152">
        <v>0</v>
      </c>
      <c r="L5703" s="215">
        <v>1</v>
      </c>
      <c r="M5703" s="30">
        <v>21.980795999999998</v>
      </c>
      <c r="N5703" s="53">
        <f t="shared" si="549"/>
        <v>21.980795999999998</v>
      </c>
      <c r="O5703" s="38">
        <f>SUM(N5703:N5703)</f>
        <v>21.980795999999998</v>
      </c>
      <c r="P5703" s="36" t="str">
        <f t="shared" si="544"/>
        <v/>
      </c>
      <c r="Q5703" s="216">
        <f t="shared" si="545"/>
        <v>0.14400000000000002</v>
      </c>
      <c r="R5703" s="216">
        <f t="shared" si="546"/>
        <v>0.14400000000000002</v>
      </c>
      <c r="S5703" s="217">
        <f t="shared" si="547"/>
        <v>0.14400000000000002</v>
      </c>
    </row>
    <row r="5704" spans="1:19" ht="15.75" hidden="1" thickBot="1" x14ac:dyDescent="0.3">
      <c r="A5704" s="258"/>
      <c r="B5704" s="261"/>
      <c r="C5704" s="54"/>
      <c r="D5704" s="155"/>
      <c r="E5704" s="65"/>
      <c r="F5704" s="75" t="s">
        <v>416</v>
      </c>
      <c r="G5704" s="75" t="str">
        <f t="shared" si="548"/>
        <v/>
      </c>
      <c r="H5704" s="76"/>
      <c r="I5704" s="73"/>
      <c r="J5704" s="152">
        <v>0</v>
      </c>
      <c r="L5704" s="222"/>
      <c r="M5704" s="75"/>
      <c r="N5704" s="75" t="str">
        <f t="shared" si="549"/>
        <v/>
      </c>
      <c r="O5704" s="76"/>
      <c r="P5704" s="36" t="str">
        <f t="shared" ref="P5704:P5767" si="550">IF(ISBLANK(L5704),"",IF($E5704&lt;&gt;L5704,"SIM",""))</f>
        <v/>
      </c>
      <c r="Q5704" s="216" t="str">
        <f t="shared" ref="Q5704:Q5767" si="551">IF(M5704="","",1-M5704/$F5704)</f>
        <v/>
      </c>
      <c r="R5704" s="216" t="str">
        <f t="shared" ref="R5704:R5767" si="552">IF(N5704="","",1-N5704/$G5704)</f>
        <v/>
      </c>
      <c r="S5704" s="217" t="str">
        <f t="shared" ref="S5704:S5767" si="553">IF(O5704="","",1-O5704/$H5704)</f>
        <v/>
      </c>
    </row>
    <row r="5705" spans="1:19" ht="15.75" hidden="1" thickBot="1" x14ac:dyDescent="0.3">
      <c r="A5705" s="256" t="s">
        <v>4390</v>
      </c>
      <c r="B5705" s="259" t="str">
        <f>INDEX(Orçamentária!A:B,MATCH(Composições!A5705,Orçamentária!A:A,0),2)</f>
        <v>Cobre nu 35 mm²</v>
      </c>
      <c r="C5705" s="40"/>
      <c r="D5705" s="25" t="s">
        <v>69</v>
      </c>
      <c r="E5705" s="26"/>
      <c r="F5705" s="48" t="s">
        <v>416</v>
      </c>
      <c r="G5705" s="27" t="str">
        <f t="shared" si="548"/>
        <v/>
      </c>
      <c r="H5705" s="28"/>
      <c r="I5705" s="29"/>
      <c r="J5705" s="152">
        <v>0</v>
      </c>
      <c r="L5705" s="218"/>
      <c r="M5705" s="48"/>
      <c r="N5705" s="27" t="str">
        <f t="shared" si="549"/>
        <v/>
      </c>
      <c r="O5705" s="28"/>
      <c r="P5705" s="36" t="str">
        <f t="shared" si="550"/>
        <v/>
      </c>
      <c r="Q5705" s="216" t="str">
        <f t="shared" si="551"/>
        <v/>
      </c>
      <c r="R5705" s="216" t="str">
        <f t="shared" si="552"/>
        <v/>
      </c>
      <c r="S5705" s="217" t="str">
        <f t="shared" si="553"/>
        <v/>
      </c>
    </row>
    <row r="5706" spans="1:19" ht="15.75" hidden="1" thickBot="1" x14ac:dyDescent="0.3">
      <c r="A5706" s="257"/>
      <c r="B5706" s="260"/>
      <c r="C5706" s="31"/>
      <c r="D5706" s="31"/>
      <c r="E5706" s="32"/>
      <c r="F5706" s="53" t="s">
        <v>416</v>
      </c>
      <c r="G5706" s="53" t="str">
        <f t="shared" si="548"/>
        <v/>
      </c>
      <c r="H5706" s="72"/>
      <c r="I5706" s="73"/>
      <c r="J5706" s="152">
        <v>0</v>
      </c>
      <c r="L5706" s="219"/>
      <c r="M5706" s="53"/>
      <c r="N5706" s="53" t="str">
        <f t="shared" si="549"/>
        <v/>
      </c>
      <c r="O5706" s="72"/>
      <c r="P5706" s="36" t="str">
        <f t="shared" si="550"/>
        <v/>
      </c>
      <c r="Q5706" s="216" t="str">
        <f t="shared" si="551"/>
        <v/>
      </c>
      <c r="R5706" s="216" t="str">
        <f t="shared" si="552"/>
        <v/>
      </c>
      <c r="S5706" s="217" t="str">
        <f t="shared" si="553"/>
        <v/>
      </c>
    </row>
    <row r="5707" spans="1:19" ht="15.75" hidden="1" thickBot="1" x14ac:dyDescent="0.3">
      <c r="A5707" s="257"/>
      <c r="B5707" s="260"/>
      <c r="C5707" s="35" t="s">
        <v>8027</v>
      </c>
      <c r="D5707" s="35" t="s">
        <v>385</v>
      </c>
      <c r="E5707" s="36">
        <v>1</v>
      </c>
      <c r="F5707" s="30">
        <v>37.809999999999995</v>
      </c>
      <c r="G5707" s="53">
        <f t="shared" si="548"/>
        <v>37.809999999999995</v>
      </c>
      <c r="H5707" s="38">
        <f>SUM(G5707:G5707)</f>
        <v>37.809999999999995</v>
      </c>
      <c r="I5707" s="39"/>
      <c r="J5707" s="152">
        <v>0</v>
      </c>
      <c r="L5707" s="215">
        <v>1</v>
      </c>
      <c r="M5707" s="30">
        <v>32.365359999999995</v>
      </c>
      <c r="N5707" s="53">
        <f t="shared" si="549"/>
        <v>32.365359999999995</v>
      </c>
      <c r="O5707" s="38">
        <f>SUM(N5707:N5707)</f>
        <v>32.365359999999995</v>
      </c>
      <c r="P5707" s="36" t="str">
        <f t="shared" si="550"/>
        <v/>
      </c>
      <c r="Q5707" s="216">
        <f t="shared" si="551"/>
        <v>0.14400000000000002</v>
      </c>
      <c r="R5707" s="216">
        <f t="shared" si="552"/>
        <v>0.14400000000000002</v>
      </c>
      <c r="S5707" s="217">
        <f t="shared" si="553"/>
        <v>0.14400000000000002</v>
      </c>
    </row>
    <row r="5708" spans="1:19" ht="15.75" hidden="1" thickBot="1" x14ac:dyDescent="0.3">
      <c r="A5708" s="258"/>
      <c r="B5708" s="261"/>
      <c r="C5708" s="54"/>
      <c r="D5708" s="155"/>
      <c r="E5708" s="65"/>
      <c r="F5708" s="75" t="s">
        <v>416</v>
      </c>
      <c r="G5708" s="75" t="str">
        <f t="shared" si="548"/>
        <v/>
      </c>
      <c r="H5708" s="76"/>
      <c r="I5708" s="73"/>
      <c r="J5708" s="152">
        <v>0</v>
      </c>
      <c r="L5708" s="222"/>
      <c r="M5708" s="75"/>
      <c r="N5708" s="75" t="str">
        <f t="shared" si="549"/>
        <v/>
      </c>
      <c r="O5708" s="76"/>
      <c r="P5708" s="36" t="str">
        <f t="shared" si="550"/>
        <v/>
      </c>
      <c r="Q5708" s="216" t="str">
        <f t="shared" si="551"/>
        <v/>
      </c>
      <c r="R5708" s="216" t="str">
        <f t="shared" si="552"/>
        <v/>
      </c>
      <c r="S5708" s="217" t="str">
        <f t="shared" si="553"/>
        <v/>
      </c>
    </row>
    <row r="5709" spans="1:19" ht="15.75" hidden="1" thickBot="1" x14ac:dyDescent="0.3">
      <c r="A5709" s="256" t="s">
        <v>4391</v>
      </c>
      <c r="B5709" s="259" t="str">
        <f>INDEX(Orçamentária!A:B,MATCH(Composições!A5709,Orçamentária!A:A,0),2)</f>
        <v>Cobre nu 50 mm²</v>
      </c>
      <c r="C5709" s="40"/>
      <c r="D5709" s="25" t="s">
        <v>69</v>
      </c>
      <c r="E5709" s="26"/>
      <c r="F5709" s="48" t="s">
        <v>416</v>
      </c>
      <c r="G5709" s="27" t="str">
        <f t="shared" si="548"/>
        <v/>
      </c>
      <c r="H5709" s="28"/>
      <c r="I5709" s="29"/>
      <c r="J5709" s="152">
        <v>0</v>
      </c>
      <c r="L5709" s="218"/>
      <c r="M5709" s="48"/>
      <c r="N5709" s="27" t="str">
        <f t="shared" si="549"/>
        <v/>
      </c>
      <c r="O5709" s="28"/>
      <c r="P5709" s="36" t="str">
        <f t="shared" si="550"/>
        <v/>
      </c>
      <c r="Q5709" s="216" t="str">
        <f t="shared" si="551"/>
        <v/>
      </c>
      <c r="R5709" s="216" t="str">
        <f t="shared" si="552"/>
        <v/>
      </c>
      <c r="S5709" s="217" t="str">
        <f t="shared" si="553"/>
        <v/>
      </c>
    </row>
    <row r="5710" spans="1:19" ht="15.75" hidden="1" thickBot="1" x14ac:dyDescent="0.3">
      <c r="A5710" s="257"/>
      <c r="B5710" s="260"/>
      <c r="C5710" s="31"/>
      <c r="D5710" s="31"/>
      <c r="E5710" s="32"/>
      <c r="F5710" s="53" t="s">
        <v>416</v>
      </c>
      <c r="G5710" s="53" t="str">
        <f t="shared" si="548"/>
        <v/>
      </c>
      <c r="H5710" s="72"/>
      <c r="I5710" s="73"/>
      <c r="J5710" s="152">
        <v>0</v>
      </c>
      <c r="L5710" s="219"/>
      <c r="M5710" s="53"/>
      <c r="N5710" s="53" t="str">
        <f t="shared" si="549"/>
        <v/>
      </c>
      <c r="O5710" s="72"/>
      <c r="P5710" s="36" t="str">
        <f t="shared" si="550"/>
        <v/>
      </c>
      <c r="Q5710" s="216" t="str">
        <f t="shared" si="551"/>
        <v/>
      </c>
      <c r="R5710" s="216" t="str">
        <f t="shared" si="552"/>
        <v/>
      </c>
      <c r="S5710" s="217" t="str">
        <f t="shared" si="553"/>
        <v/>
      </c>
    </row>
    <row r="5711" spans="1:19" ht="15.75" hidden="1" thickBot="1" x14ac:dyDescent="0.3">
      <c r="A5711" s="257"/>
      <c r="B5711" s="260"/>
      <c r="C5711" s="35" t="s">
        <v>8028</v>
      </c>
      <c r="D5711" s="35" t="s">
        <v>385</v>
      </c>
      <c r="E5711" s="36">
        <v>1</v>
      </c>
      <c r="F5711" s="30">
        <v>53.865000000000002</v>
      </c>
      <c r="G5711" s="53">
        <f t="shared" si="548"/>
        <v>53.865000000000002</v>
      </c>
      <c r="H5711" s="38">
        <f>SUM(G5711:G5711)</f>
        <v>53.865000000000002</v>
      </c>
      <c r="I5711" s="39"/>
      <c r="J5711" s="152">
        <v>0</v>
      </c>
      <c r="L5711" s="215">
        <v>1</v>
      </c>
      <c r="M5711" s="30">
        <v>46.108440000000002</v>
      </c>
      <c r="N5711" s="53">
        <f t="shared" si="549"/>
        <v>46.108440000000002</v>
      </c>
      <c r="O5711" s="38">
        <f>SUM(N5711:N5711)</f>
        <v>46.108440000000002</v>
      </c>
      <c r="P5711" s="36" t="str">
        <f t="shared" si="550"/>
        <v/>
      </c>
      <c r="Q5711" s="216">
        <f t="shared" si="551"/>
        <v>0.14400000000000002</v>
      </c>
      <c r="R5711" s="216">
        <f t="shared" si="552"/>
        <v>0.14400000000000002</v>
      </c>
      <c r="S5711" s="217">
        <f t="shared" si="553"/>
        <v>0.14400000000000002</v>
      </c>
    </row>
    <row r="5712" spans="1:19" ht="15.75" hidden="1" thickBot="1" x14ac:dyDescent="0.3">
      <c r="A5712" s="258"/>
      <c r="B5712" s="261"/>
      <c r="C5712" s="54"/>
      <c r="D5712" s="155"/>
      <c r="E5712" s="65"/>
      <c r="F5712" s="75" t="s">
        <v>416</v>
      </c>
      <c r="G5712" s="75" t="str">
        <f t="shared" si="548"/>
        <v/>
      </c>
      <c r="H5712" s="76"/>
      <c r="I5712" s="73"/>
      <c r="J5712" s="152">
        <v>0</v>
      </c>
      <c r="L5712" s="222"/>
      <c r="M5712" s="75"/>
      <c r="N5712" s="75" t="str">
        <f t="shared" si="549"/>
        <v/>
      </c>
      <c r="O5712" s="76"/>
      <c r="P5712" s="36" t="str">
        <f t="shared" si="550"/>
        <v/>
      </c>
      <c r="Q5712" s="216" t="str">
        <f t="shared" si="551"/>
        <v/>
      </c>
      <c r="R5712" s="216" t="str">
        <f t="shared" si="552"/>
        <v/>
      </c>
      <c r="S5712" s="217" t="str">
        <f t="shared" si="553"/>
        <v/>
      </c>
    </row>
    <row r="5713" spans="1:19" ht="15.75" hidden="1" thickBot="1" x14ac:dyDescent="0.3">
      <c r="A5713" s="256" t="s">
        <v>4392</v>
      </c>
      <c r="B5713" s="259" t="str">
        <f>INDEX(Orçamentária!A:B,MATCH(Composições!A5713,Orçamentária!A:A,0),2)</f>
        <v>Cobre nu 70 mm²</v>
      </c>
      <c r="C5713" s="40"/>
      <c r="D5713" s="25" t="s">
        <v>69</v>
      </c>
      <c r="E5713" s="26"/>
      <c r="F5713" s="48" t="s">
        <v>416</v>
      </c>
      <c r="G5713" s="27" t="str">
        <f t="shared" si="548"/>
        <v/>
      </c>
      <c r="H5713" s="28"/>
      <c r="I5713" s="29"/>
      <c r="J5713" s="152">
        <v>0</v>
      </c>
      <c r="L5713" s="218"/>
      <c r="M5713" s="48"/>
      <c r="N5713" s="27" t="str">
        <f t="shared" si="549"/>
        <v/>
      </c>
      <c r="O5713" s="28"/>
      <c r="P5713" s="36" t="str">
        <f t="shared" si="550"/>
        <v/>
      </c>
      <c r="Q5713" s="216" t="str">
        <f t="shared" si="551"/>
        <v/>
      </c>
      <c r="R5713" s="216" t="str">
        <f t="shared" si="552"/>
        <v/>
      </c>
      <c r="S5713" s="217" t="str">
        <f t="shared" si="553"/>
        <v/>
      </c>
    </row>
    <row r="5714" spans="1:19" ht="15.75" hidden="1" thickBot="1" x14ac:dyDescent="0.3">
      <c r="A5714" s="257"/>
      <c r="B5714" s="260"/>
      <c r="C5714" s="31"/>
      <c r="D5714" s="31"/>
      <c r="E5714" s="32"/>
      <c r="F5714" s="53" t="s">
        <v>416</v>
      </c>
      <c r="G5714" s="53" t="str">
        <f t="shared" si="548"/>
        <v/>
      </c>
      <c r="H5714" s="72"/>
      <c r="I5714" s="73"/>
      <c r="J5714" s="152">
        <v>0</v>
      </c>
      <c r="L5714" s="219"/>
      <c r="M5714" s="53"/>
      <c r="N5714" s="53" t="str">
        <f t="shared" si="549"/>
        <v/>
      </c>
      <c r="O5714" s="72"/>
      <c r="P5714" s="36" t="str">
        <f t="shared" si="550"/>
        <v/>
      </c>
      <c r="Q5714" s="216" t="str">
        <f t="shared" si="551"/>
        <v/>
      </c>
      <c r="R5714" s="216" t="str">
        <f t="shared" si="552"/>
        <v/>
      </c>
      <c r="S5714" s="217" t="str">
        <f t="shared" si="553"/>
        <v/>
      </c>
    </row>
    <row r="5715" spans="1:19" ht="15.75" hidden="1" thickBot="1" x14ac:dyDescent="0.3">
      <c r="A5715" s="257"/>
      <c r="B5715" s="260"/>
      <c r="C5715" s="35" t="s">
        <v>8029</v>
      </c>
      <c r="D5715" s="35" t="s">
        <v>385</v>
      </c>
      <c r="E5715" s="36">
        <v>1</v>
      </c>
      <c r="F5715" s="30">
        <v>71.155000000000001</v>
      </c>
      <c r="G5715" s="53">
        <f t="shared" si="548"/>
        <v>71.155000000000001</v>
      </c>
      <c r="H5715" s="38">
        <f>SUM(G5715:G5715)</f>
        <v>71.155000000000001</v>
      </c>
      <c r="I5715" s="39"/>
      <c r="J5715" s="152">
        <v>0</v>
      </c>
      <c r="L5715" s="215">
        <v>1</v>
      </c>
      <c r="M5715" s="30">
        <v>60.908680000000004</v>
      </c>
      <c r="N5715" s="53">
        <f t="shared" si="549"/>
        <v>60.908680000000004</v>
      </c>
      <c r="O5715" s="38">
        <f>SUM(N5715:N5715)</f>
        <v>60.908680000000004</v>
      </c>
      <c r="P5715" s="36" t="str">
        <f t="shared" si="550"/>
        <v/>
      </c>
      <c r="Q5715" s="216">
        <f t="shared" si="551"/>
        <v>0.14399999999999991</v>
      </c>
      <c r="R5715" s="216">
        <f t="shared" si="552"/>
        <v>0.14399999999999991</v>
      </c>
      <c r="S5715" s="217">
        <f t="shared" si="553"/>
        <v>0.14399999999999991</v>
      </c>
    </row>
    <row r="5716" spans="1:19" ht="15.75" hidden="1" thickBot="1" x14ac:dyDescent="0.3">
      <c r="A5716" s="258"/>
      <c r="B5716" s="261"/>
      <c r="C5716" s="54"/>
      <c r="D5716" s="155"/>
      <c r="E5716" s="65"/>
      <c r="F5716" s="75" t="s">
        <v>416</v>
      </c>
      <c r="G5716" s="75" t="str">
        <f t="shared" si="548"/>
        <v/>
      </c>
      <c r="H5716" s="76"/>
      <c r="I5716" s="73"/>
      <c r="J5716" s="152">
        <v>0</v>
      </c>
      <c r="L5716" s="222"/>
      <c r="M5716" s="75"/>
      <c r="N5716" s="75" t="str">
        <f t="shared" si="549"/>
        <v/>
      </c>
      <c r="O5716" s="76"/>
      <c r="P5716" s="36" t="str">
        <f t="shared" si="550"/>
        <v/>
      </c>
      <c r="Q5716" s="216" t="str">
        <f t="shared" si="551"/>
        <v/>
      </c>
      <c r="R5716" s="216" t="str">
        <f t="shared" si="552"/>
        <v/>
      </c>
      <c r="S5716" s="217" t="str">
        <f t="shared" si="553"/>
        <v/>
      </c>
    </row>
    <row r="5717" spans="1:19" ht="15.75" hidden="1" thickBot="1" x14ac:dyDescent="0.3">
      <c r="A5717" s="256" t="s">
        <v>4596</v>
      </c>
      <c r="B5717" s="259" t="str">
        <f>INDEX(Orçamentária!A:B,MATCH(Composições!A5717,Orçamentária!A:A,0),2)</f>
        <v>Eletroduto de aço galvanizado de 3/4”</v>
      </c>
      <c r="C5717" s="40"/>
      <c r="D5717" s="25" t="s">
        <v>69</v>
      </c>
      <c r="E5717" s="26"/>
      <c r="F5717" s="48" t="s">
        <v>416</v>
      </c>
      <c r="G5717" s="27" t="str">
        <f t="shared" si="548"/>
        <v/>
      </c>
      <c r="H5717" s="28"/>
      <c r="I5717" s="29"/>
      <c r="J5717" s="152">
        <v>0</v>
      </c>
      <c r="L5717" s="218"/>
      <c r="M5717" s="48"/>
      <c r="N5717" s="27" t="str">
        <f t="shared" si="549"/>
        <v/>
      </c>
      <c r="O5717" s="28"/>
      <c r="P5717" s="36" t="str">
        <f t="shared" si="550"/>
        <v/>
      </c>
      <c r="Q5717" s="216" t="str">
        <f t="shared" si="551"/>
        <v/>
      </c>
      <c r="R5717" s="216" t="str">
        <f t="shared" si="552"/>
        <v/>
      </c>
      <c r="S5717" s="217" t="str">
        <f t="shared" si="553"/>
        <v/>
      </c>
    </row>
    <row r="5718" spans="1:19" ht="15.75" hidden="1" thickBot="1" x14ac:dyDescent="0.3">
      <c r="A5718" s="257"/>
      <c r="B5718" s="260"/>
      <c r="C5718" s="31"/>
      <c r="D5718" s="31"/>
      <c r="E5718" s="32"/>
      <c r="F5718" s="53" t="s">
        <v>416</v>
      </c>
      <c r="G5718" s="53" t="str">
        <f t="shared" si="548"/>
        <v/>
      </c>
      <c r="H5718" s="72"/>
      <c r="I5718" s="73"/>
      <c r="J5718" s="152">
        <v>0</v>
      </c>
      <c r="L5718" s="219"/>
      <c r="M5718" s="53"/>
      <c r="N5718" s="53" t="str">
        <f t="shared" si="549"/>
        <v/>
      </c>
      <c r="O5718" s="72"/>
      <c r="P5718" s="36" t="str">
        <f t="shared" si="550"/>
        <v/>
      </c>
      <c r="Q5718" s="216" t="str">
        <f t="shared" si="551"/>
        <v/>
      </c>
      <c r="R5718" s="216" t="str">
        <f t="shared" si="552"/>
        <v/>
      </c>
      <c r="S5718" s="217" t="str">
        <f t="shared" si="553"/>
        <v/>
      </c>
    </row>
    <row r="5719" spans="1:19" ht="26.25" hidden="1" thickBot="1" x14ac:dyDescent="0.3">
      <c r="A5719" s="257"/>
      <c r="B5719" s="260"/>
      <c r="C5719" s="35" t="s">
        <v>5524</v>
      </c>
      <c r="D5719" s="35" t="s">
        <v>69</v>
      </c>
      <c r="E5719" s="36">
        <v>1</v>
      </c>
      <c r="F5719" s="30">
        <v>0</v>
      </c>
      <c r="G5719" s="53">
        <f t="shared" si="548"/>
        <v>0</v>
      </c>
      <c r="H5719" s="38">
        <f>SUM(G5719:G5719)</f>
        <v>0</v>
      </c>
      <c r="I5719" s="39"/>
      <c r="J5719" s="152">
        <v>0</v>
      </c>
      <c r="L5719" s="215">
        <v>1</v>
      </c>
      <c r="M5719" s="30">
        <v>0</v>
      </c>
      <c r="N5719" s="53">
        <f t="shared" si="549"/>
        <v>0</v>
      </c>
      <c r="O5719" s="38">
        <f>SUM(N5719:N5719)</f>
        <v>0</v>
      </c>
      <c r="P5719" s="36" t="str">
        <f t="shared" si="550"/>
        <v/>
      </c>
      <c r="Q5719" s="216" t="e">
        <f t="shared" si="551"/>
        <v>#DIV/0!</v>
      </c>
      <c r="R5719" s="216" t="e">
        <f t="shared" si="552"/>
        <v>#DIV/0!</v>
      </c>
      <c r="S5719" s="217" t="e">
        <f t="shared" si="553"/>
        <v>#DIV/0!</v>
      </c>
    </row>
    <row r="5720" spans="1:19" ht="15.75" hidden="1" thickBot="1" x14ac:dyDescent="0.3">
      <c r="A5720" s="258"/>
      <c r="B5720" s="261"/>
      <c r="C5720" s="54"/>
      <c r="D5720" s="155"/>
      <c r="E5720" s="65"/>
      <c r="F5720" s="75" t="s">
        <v>416</v>
      </c>
      <c r="G5720" s="75" t="str">
        <f t="shared" si="548"/>
        <v/>
      </c>
      <c r="H5720" s="76"/>
      <c r="I5720" s="73"/>
      <c r="J5720" s="152">
        <v>0</v>
      </c>
      <c r="L5720" s="222"/>
      <c r="M5720" s="75"/>
      <c r="N5720" s="75" t="str">
        <f t="shared" si="549"/>
        <v/>
      </c>
      <c r="O5720" s="76"/>
      <c r="P5720" s="36" t="str">
        <f t="shared" si="550"/>
        <v/>
      </c>
      <c r="Q5720" s="216" t="str">
        <f t="shared" si="551"/>
        <v/>
      </c>
      <c r="R5720" s="216" t="str">
        <f t="shared" si="552"/>
        <v/>
      </c>
      <c r="S5720" s="217" t="str">
        <f t="shared" si="553"/>
        <v/>
      </c>
    </row>
    <row r="5721" spans="1:19" ht="15.75" hidden="1" thickBot="1" x14ac:dyDescent="0.3">
      <c r="A5721" s="256" t="s">
        <v>4597</v>
      </c>
      <c r="B5721" s="259" t="str">
        <f>INDEX(Orçamentária!A:B,MATCH(Composições!A5721,Orçamentária!A:A,0),2)</f>
        <v>Eletroduto de aço galvanizado de 1”</v>
      </c>
      <c r="C5721" s="40"/>
      <c r="D5721" s="25" t="s">
        <v>69</v>
      </c>
      <c r="E5721" s="26"/>
      <c r="F5721" s="48" t="s">
        <v>416</v>
      </c>
      <c r="G5721" s="27" t="str">
        <f t="shared" si="548"/>
        <v/>
      </c>
      <c r="H5721" s="28"/>
      <c r="I5721" s="29"/>
      <c r="J5721" s="152">
        <v>0</v>
      </c>
      <c r="L5721" s="218"/>
      <c r="M5721" s="48"/>
      <c r="N5721" s="27" t="str">
        <f t="shared" si="549"/>
        <v/>
      </c>
      <c r="O5721" s="28"/>
      <c r="P5721" s="36" t="str">
        <f t="shared" si="550"/>
        <v/>
      </c>
      <c r="Q5721" s="216" t="str">
        <f t="shared" si="551"/>
        <v/>
      </c>
      <c r="R5721" s="216" t="str">
        <f t="shared" si="552"/>
        <v/>
      </c>
      <c r="S5721" s="217" t="str">
        <f t="shared" si="553"/>
        <v/>
      </c>
    </row>
    <row r="5722" spans="1:19" ht="15.75" hidden="1" thickBot="1" x14ac:dyDescent="0.3">
      <c r="A5722" s="257"/>
      <c r="B5722" s="260"/>
      <c r="C5722" s="31"/>
      <c r="D5722" s="31"/>
      <c r="E5722" s="32"/>
      <c r="F5722" s="53" t="s">
        <v>416</v>
      </c>
      <c r="G5722" s="53" t="str">
        <f t="shared" si="548"/>
        <v/>
      </c>
      <c r="H5722" s="72"/>
      <c r="I5722" s="73"/>
      <c r="J5722" s="152">
        <v>0</v>
      </c>
      <c r="L5722" s="219"/>
      <c r="M5722" s="53"/>
      <c r="N5722" s="53" t="str">
        <f t="shared" si="549"/>
        <v/>
      </c>
      <c r="O5722" s="72"/>
      <c r="P5722" s="36" t="str">
        <f t="shared" si="550"/>
        <v/>
      </c>
      <c r="Q5722" s="216" t="str">
        <f t="shared" si="551"/>
        <v/>
      </c>
      <c r="R5722" s="216" t="str">
        <f t="shared" si="552"/>
        <v/>
      </c>
      <c r="S5722" s="217" t="str">
        <f t="shared" si="553"/>
        <v/>
      </c>
    </row>
    <row r="5723" spans="1:19" ht="26.25" hidden="1" thickBot="1" x14ac:dyDescent="0.3">
      <c r="A5723" s="257"/>
      <c r="B5723" s="260"/>
      <c r="C5723" s="35" t="s">
        <v>5525</v>
      </c>
      <c r="D5723" s="35" t="s">
        <v>69</v>
      </c>
      <c r="E5723" s="36">
        <v>1</v>
      </c>
      <c r="F5723" s="30">
        <v>0</v>
      </c>
      <c r="G5723" s="53">
        <f t="shared" si="548"/>
        <v>0</v>
      </c>
      <c r="H5723" s="38">
        <f>SUM(G5723:G5723)</f>
        <v>0</v>
      </c>
      <c r="I5723" s="39"/>
      <c r="J5723" s="152">
        <v>0</v>
      </c>
      <c r="L5723" s="215">
        <v>1</v>
      </c>
      <c r="M5723" s="30">
        <v>0</v>
      </c>
      <c r="N5723" s="53">
        <f t="shared" si="549"/>
        <v>0</v>
      </c>
      <c r="O5723" s="38">
        <f>SUM(N5723:N5723)</f>
        <v>0</v>
      </c>
      <c r="P5723" s="36" t="str">
        <f t="shared" si="550"/>
        <v/>
      </c>
      <c r="Q5723" s="216" t="e">
        <f t="shared" si="551"/>
        <v>#DIV/0!</v>
      </c>
      <c r="R5723" s="216" t="e">
        <f t="shared" si="552"/>
        <v>#DIV/0!</v>
      </c>
      <c r="S5723" s="217" t="e">
        <f t="shared" si="553"/>
        <v>#DIV/0!</v>
      </c>
    </row>
    <row r="5724" spans="1:19" ht="15.75" hidden="1" thickBot="1" x14ac:dyDescent="0.3">
      <c r="A5724" s="258"/>
      <c r="B5724" s="261"/>
      <c r="C5724" s="54"/>
      <c r="D5724" s="155"/>
      <c r="E5724" s="65"/>
      <c r="F5724" s="75" t="s">
        <v>416</v>
      </c>
      <c r="G5724" s="75" t="str">
        <f t="shared" si="548"/>
        <v/>
      </c>
      <c r="H5724" s="76"/>
      <c r="I5724" s="73"/>
      <c r="J5724" s="152">
        <v>0</v>
      </c>
      <c r="L5724" s="222"/>
      <c r="M5724" s="75"/>
      <c r="N5724" s="75" t="str">
        <f t="shared" si="549"/>
        <v/>
      </c>
      <c r="O5724" s="76"/>
      <c r="P5724" s="36" t="str">
        <f t="shared" si="550"/>
        <v/>
      </c>
      <c r="Q5724" s="216" t="str">
        <f t="shared" si="551"/>
        <v/>
      </c>
      <c r="R5724" s="216" t="str">
        <f t="shared" si="552"/>
        <v/>
      </c>
      <c r="S5724" s="217" t="str">
        <f t="shared" si="553"/>
        <v/>
      </c>
    </row>
    <row r="5725" spans="1:19" ht="15.75" hidden="1" thickBot="1" x14ac:dyDescent="0.3">
      <c r="A5725" s="256" t="s">
        <v>4598</v>
      </c>
      <c r="B5725" s="259" t="str">
        <f>INDEX(Orçamentária!A:B,MATCH(Composições!A5725,Orçamentária!A:A,0),2)</f>
        <v>Eletroduto de aço galvanizado de 1 1/4”</v>
      </c>
      <c r="C5725" s="40"/>
      <c r="D5725" s="25" t="s">
        <v>69</v>
      </c>
      <c r="E5725" s="26"/>
      <c r="F5725" s="48" t="s">
        <v>416</v>
      </c>
      <c r="G5725" s="27" t="str">
        <f t="shared" si="548"/>
        <v/>
      </c>
      <c r="H5725" s="28"/>
      <c r="I5725" s="29"/>
      <c r="J5725" s="152">
        <v>0</v>
      </c>
      <c r="L5725" s="218"/>
      <c r="M5725" s="48"/>
      <c r="N5725" s="27" t="str">
        <f t="shared" si="549"/>
        <v/>
      </c>
      <c r="O5725" s="28"/>
      <c r="P5725" s="36" t="str">
        <f t="shared" si="550"/>
        <v/>
      </c>
      <c r="Q5725" s="216" t="str">
        <f t="shared" si="551"/>
        <v/>
      </c>
      <c r="R5725" s="216" t="str">
        <f t="shared" si="552"/>
        <v/>
      </c>
      <c r="S5725" s="217" t="str">
        <f t="shared" si="553"/>
        <v/>
      </c>
    </row>
    <row r="5726" spans="1:19" ht="15.75" hidden="1" thickBot="1" x14ac:dyDescent="0.3">
      <c r="A5726" s="257"/>
      <c r="B5726" s="260"/>
      <c r="C5726" s="31"/>
      <c r="D5726" s="31"/>
      <c r="E5726" s="32"/>
      <c r="F5726" s="53" t="s">
        <v>416</v>
      </c>
      <c r="G5726" s="53" t="str">
        <f t="shared" si="548"/>
        <v/>
      </c>
      <c r="H5726" s="72"/>
      <c r="I5726" s="73"/>
      <c r="J5726" s="152">
        <v>0</v>
      </c>
      <c r="L5726" s="219"/>
      <c r="M5726" s="53"/>
      <c r="N5726" s="53" t="str">
        <f t="shared" si="549"/>
        <v/>
      </c>
      <c r="O5726" s="72"/>
      <c r="P5726" s="36" t="str">
        <f t="shared" si="550"/>
        <v/>
      </c>
      <c r="Q5726" s="216" t="str">
        <f t="shared" si="551"/>
        <v/>
      </c>
      <c r="R5726" s="216" t="str">
        <f t="shared" si="552"/>
        <v/>
      </c>
      <c r="S5726" s="217" t="str">
        <f t="shared" si="553"/>
        <v/>
      </c>
    </row>
    <row r="5727" spans="1:19" ht="26.25" hidden="1" thickBot="1" x14ac:dyDescent="0.3">
      <c r="A5727" s="257"/>
      <c r="B5727" s="260"/>
      <c r="C5727" s="35" t="s">
        <v>5526</v>
      </c>
      <c r="D5727" s="35" t="s">
        <v>69</v>
      </c>
      <c r="E5727" s="36">
        <v>1</v>
      </c>
      <c r="F5727" s="30">
        <v>0</v>
      </c>
      <c r="G5727" s="53">
        <f t="shared" si="548"/>
        <v>0</v>
      </c>
      <c r="H5727" s="38">
        <f>SUM(G5727:G5727)</f>
        <v>0</v>
      </c>
      <c r="I5727" s="39"/>
      <c r="J5727" s="152">
        <v>0</v>
      </c>
      <c r="L5727" s="215">
        <v>1</v>
      </c>
      <c r="M5727" s="30">
        <v>0</v>
      </c>
      <c r="N5727" s="53">
        <f t="shared" si="549"/>
        <v>0</v>
      </c>
      <c r="O5727" s="38">
        <f>SUM(N5727:N5727)</f>
        <v>0</v>
      </c>
      <c r="P5727" s="36" t="str">
        <f t="shared" si="550"/>
        <v/>
      </c>
      <c r="Q5727" s="216" t="e">
        <f t="shared" si="551"/>
        <v>#DIV/0!</v>
      </c>
      <c r="R5727" s="216" t="e">
        <f t="shared" si="552"/>
        <v>#DIV/0!</v>
      </c>
      <c r="S5727" s="217" t="e">
        <f t="shared" si="553"/>
        <v>#DIV/0!</v>
      </c>
    </row>
    <row r="5728" spans="1:19" ht="15.75" hidden="1" thickBot="1" x14ac:dyDescent="0.3">
      <c r="A5728" s="258"/>
      <c r="B5728" s="261"/>
      <c r="C5728" s="54"/>
      <c r="D5728" s="155"/>
      <c r="E5728" s="65"/>
      <c r="F5728" s="75" t="s">
        <v>416</v>
      </c>
      <c r="G5728" s="75" t="str">
        <f t="shared" si="548"/>
        <v/>
      </c>
      <c r="H5728" s="76"/>
      <c r="I5728" s="73"/>
      <c r="J5728" s="152">
        <v>0</v>
      </c>
      <c r="L5728" s="222"/>
      <c r="M5728" s="75"/>
      <c r="N5728" s="75" t="str">
        <f t="shared" si="549"/>
        <v/>
      </c>
      <c r="O5728" s="76"/>
      <c r="P5728" s="36" t="str">
        <f t="shared" si="550"/>
        <v/>
      </c>
      <c r="Q5728" s="216" t="str">
        <f t="shared" si="551"/>
        <v/>
      </c>
      <c r="R5728" s="216" t="str">
        <f t="shared" si="552"/>
        <v/>
      </c>
      <c r="S5728" s="217" t="str">
        <f t="shared" si="553"/>
        <v/>
      </c>
    </row>
    <row r="5729" spans="1:19" ht="15.75" hidden="1" thickBot="1" x14ac:dyDescent="0.3">
      <c r="A5729" s="256" t="s">
        <v>4599</v>
      </c>
      <c r="B5729" s="259" t="str">
        <f>INDEX(Orçamentária!A:B,MATCH(Composições!A5729,Orçamentária!A:A,0),2)</f>
        <v>Eletroduto de aço galvanizado de 1 1/2”</v>
      </c>
      <c r="C5729" s="40"/>
      <c r="D5729" s="25" t="s">
        <v>69</v>
      </c>
      <c r="E5729" s="26"/>
      <c r="F5729" s="48" t="s">
        <v>416</v>
      </c>
      <c r="G5729" s="27" t="str">
        <f t="shared" si="548"/>
        <v/>
      </c>
      <c r="H5729" s="28"/>
      <c r="I5729" s="29"/>
      <c r="J5729" s="152">
        <v>0</v>
      </c>
      <c r="L5729" s="218"/>
      <c r="M5729" s="48"/>
      <c r="N5729" s="27" t="str">
        <f t="shared" si="549"/>
        <v/>
      </c>
      <c r="O5729" s="28"/>
      <c r="P5729" s="36" t="str">
        <f t="shared" si="550"/>
        <v/>
      </c>
      <c r="Q5729" s="216" t="str">
        <f t="shared" si="551"/>
        <v/>
      </c>
      <c r="R5729" s="216" t="str">
        <f t="shared" si="552"/>
        <v/>
      </c>
      <c r="S5729" s="217" t="str">
        <f t="shared" si="553"/>
        <v/>
      </c>
    </row>
    <row r="5730" spans="1:19" ht="15.75" hidden="1" thickBot="1" x14ac:dyDescent="0.3">
      <c r="A5730" s="257"/>
      <c r="B5730" s="260"/>
      <c r="C5730" s="31"/>
      <c r="D5730" s="31"/>
      <c r="E5730" s="32"/>
      <c r="F5730" s="53" t="s">
        <v>416</v>
      </c>
      <c r="G5730" s="53" t="str">
        <f t="shared" si="548"/>
        <v/>
      </c>
      <c r="H5730" s="72"/>
      <c r="I5730" s="73"/>
      <c r="J5730" s="152">
        <v>0</v>
      </c>
      <c r="L5730" s="219"/>
      <c r="M5730" s="53"/>
      <c r="N5730" s="53" t="str">
        <f t="shared" si="549"/>
        <v/>
      </c>
      <c r="O5730" s="72"/>
      <c r="P5730" s="36" t="str">
        <f t="shared" si="550"/>
        <v/>
      </c>
      <c r="Q5730" s="216" t="str">
        <f t="shared" si="551"/>
        <v/>
      </c>
      <c r="R5730" s="216" t="str">
        <f t="shared" si="552"/>
        <v/>
      </c>
      <c r="S5730" s="217" t="str">
        <f t="shared" si="553"/>
        <v/>
      </c>
    </row>
    <row r="5731" spans="1:19" ht="26.25" hidden="1" thickBot="1" x14ac:dyDescent="0.3">
      <c r="A5731" s="257"/>
      <c r="B5731" s="260"/>
      <c r="C5731" s="35" t="s">
        <v>5527</v>
      </c>
      <c r="D5731" s="35" t="s">
        <v>69</v>
      </c>
      <c r="E5731" s="36">
        <v>1</v>
      </c>
      <c r="F5731" s="30">
        <v>0</v>
      </c>
      <c r="G5731" s="53">
        <f t="shared" si="548"/>
        <v>0</v>
      </c>
      <c r="H5731" s="38">
        <f>SUM(G5731:G5731)</f>
        <v>0</v>
      </c>
      <c r="I5731" s="39"/>
      <c r="J5731" s="152">
        <v>0</v>
      </c>
      <c r="L5731" s="215">
        <v>1</v>
      </c>
      <c r="M5731" s="30">
        <v>0</v>
      </c>
      <c r="N5731" s="53">
        <f t="shared" si="549"/>
        <v>0</v>
      </c>
      <c r="O5731" s="38">
        <f>SUM(N5731:N5731)</f>
        <v>0</v>
      </c>
      <c r="P5731" s="36" t="str">
        <f t="shared" si="550"/>
        <v/>
      </c>
      <c r="Q5731" s="216" t="e">
        <f t="shared" si="551"/>
        <v>#DIV/0!</v>
      </c>
      <c r="R5731" s="216" t="e">
        <f t="shared" si="552"/>
        <v>#DIV/0!</v>
      </c>
      <c r="S5731" s="217" t="e">
        <f t="shared" si="553"/>
        <v>#DIV/0!</v>
      </c>
    </row>
    <row r="5732" spans="1:19" ht="15.75" hidden="1" thickBot="1" x14ac:dyDescent="0.3">
      <c r="A5732" s="258"/>
      <c r="B5732" s="261"/>
      <c r="C5732" s="54"/>
      <c r="D5732" s="155"/>
      <c r="E5732" s="65"/>
      <c r="F5732" s="75" t="s">
        <v>416</v>
      </c>
      <c r="G5732" s="75" t="str">
        <f t="shared" si="548"/>
        <v/>
      </c>
      <c r="H5732" s="76"/>
      <c r="I5732" s="73"/>
      <c r="J5732" s="152">
        <v>0</v>
      </c>
      <c r="L5732" s="222"/>
      <c r="M5732" s="75"/>
      <c r="N5732" s="75" t="str">
        <f t="shared" si="549"/>
        <v/>
      </c>
      <c r="O5732" s="76"/>
      <c r="P5732" s="36" t="str">
        <f t="shared" si="550"/>
        <v/>
      </c>
      <c r="Q5732" s="216" t="str">
        <f t="shared" si="551"/>
        <v/>
      </c>
      <c r="R5732" s="216" t="str">
        <f t="shared" si="552"/>
        <v/>
      </c>
      <c r="S5732" s="217" t="str">
        <f t="shared" si="553"/>
        <v/>
      </c>
    </row>
    <row r="5733" spans="1:19" ht="15.75" hidden="1" thickBot="1" x14ac:dyDescent="0.3">
      <c r="A5733" s="256" t="s">
        <v>4600</v>
      </c>
      <c r="B5733" s="259" t="str">
        <f>INDEX(Orçamentária!A:B,MATCH(Composições!A5733,Orçamentária!A:A,0),2)</f>
        <v>Eletroduto de aço galvanizado de 2”</v>
      </c>
      <c r="C5733" s="40"/>
      <c r="D5733" s="25" t="s">
        <v>69</v>
      </c>
      <c r="E5733" s="26"/>
      <c r="F5733" s="48" t="s">
        <v>416</v>
      </c>
      <c r="G5733" s="27" t="str">
        <f t="shared" si="548"/>
        <v/>
      </c>
      <c r="H5733" s="28"/>
      <c r="I5733" s="29"/>
      <c r="J5733" s="152">
        <v>0</v>
      </c>
      <c r="L5733" s="218"/>
      <c r="M5733" s="48"/>
      <c r="N5733" s="27" t="str">
        <f t="shared" si="549"/>
        <v/>
      </c>
      <c r="O5733" s="28"/>
      <c r="P5733" s="36" t="str">
        <f t="shared" si="550"/>
        <v/>
      </c>
      <c r="Q5733" s="216" t="str">
        <f t="shared" si="551"/>
        <v/>
      </c>
      <c r="R5733" s="216" t="str">
        <f t="shared" si="552"/>
        <v/>
      </c>
      <c r="S5733" s="217" t="str">
        <f t="shared" si="553"/>
        <v/>
      </c>
    </row>
    <row r="5734" spans="1:19" ht="15.75" hidden="1" thickBot="1" x14ac:dyDescent="0.3">
      <c r="A5734" s="257"/>
      <c r="B5734" s="260"/>
      <c r="C5734" s="31"/>
      <c r="D5734" s="31"/>
      <c r="E5734" s="32"/>
      <c r="F5734" s="53" t="s">
        <v>416</v>
      </c>
      <c r="G5734" s="53" t="str">
        <f t="shared" si="548"/>
        <v/>
      </c>
      <c r="H5734" s="72"/>
      <c r="I5734" s="73"/>
      <c r="J5734" s="152">
        <v>0</v>
      </c>
      <c r="L5734" s="219"/>
      <c r="M5734" s="53"/>
      <c r="N5734" s="53" t="str">
        <f t="shared" si="549"/>
        <v/>
      </c>
      <c r="O5734" s="72"/>
      <c r="P5734" s="36" t="str">
        <f t="shared" si="550"/>
        <v/>
      </c>
      <c r="Q5734" s="216" t="str">
        <f t="shared" si="551"/>
        <v/>
      </c>
      <c r="R5734" s="216" t="str">
        <f t="shared" si="552"/>
        <v/>
      </c>
      <c r="S5734" s="217" t="str">
        <f t="shared" si="553"/>
        <v/>
      </c>
    </row>
    <row r="5735" spans="1:19" ht="26.25" hidden="1" thickBot="1" x14ac:dyDescent="0.3">
      <c r="A5735" s="257"/>
      <c r="B5735" s="260"/>
      <c r="C5735" s="35" t="s">
        <v>5528</v>
      </c>
      <c r="D5735" s="35" t="s">
        <v>69</v>
      </c>
      <c r="E5735" s="36">
        <v>1</v>
      </c>
      <c r="F5735" s="30">
        <v>0</v>
      </c>
      <c r="G5735" s="53">
        <f t="shared" si="548"/>
        <v>0</v>
      </c>
      <c r="H5735" s="38">
        <f>SUM(G5735:G5735)</f>
        <v>0</v>
      </c>
      <c r="I5735" s="39"/>
      <c r="J5735" s="152">
        <v>0</v>
      </c>
      <c r="L5735" s="215">
        <v>1</v>
      </c>
      <c r="M5735" s="30">
        <v>0</v>
      </c>
      <c r="N5735" s="53">
        <f t="shared" si="549"/>
        <v>0</v>
      </c>
      <c r="O5735" s="38">
        <f>SUM(N5735:N5735)</f>
        <v>0</v>
      </c>
      <c r="P5735" s="36" t="str">
        <f t="shared" si="550"/>
        <v/>
      </c>
      <c r="Q5735" s="216" t="e">
        <f t="shared" si="551"/>
        <v>#DIV/0!</v>
      </c>
      <c r="R5735" s="216" t="e">
        <f t="shared" si="552"/>
        <v>#DIV/0!</v>
      </c>
      <c r="S5735" s="217" t="e">
        <f t="shared" si="553"/>
        <v>#DIV/0!</v>
      </c>
    </row>
    <row r="5736" spans="1:19" ht="15.75" hidden="1" thickBot="1" x14ac:dyDescent="0.3">
      <c r="A5736" s="258"/>
      <c r="B5736" s="261"/>
      <c r="C5736" s="54"/>
      <c r="D5736" s="155"/>
      <c r="E5736" s="65"/>
      <c r="F5736" s="75" t="s">
        <v>416</v>
      </c>
      <c r="G5736" s="75" t="str">
        <f t="shared" si="548"/>
        <v/>
      </c>
      <c r="H5736" s="76"/>
      <c r="I5736" s="73"/>
      <c r="J5736" s="152">
        <v>0</v>
      </c>
      <c r="L5736" s="222"/>
      <c r="M5736" s="75"/>
      <c r="N5736" s="75" t="str">
        <f t="shared" si="549"/>
        <v/>
      </c>
      <c r="O5736" s="76"/>
      <c r="P5736" s="36" t="str">
        <f t="shared" si="550"/>
        <v/>
      </c>
      <c r="Q5736" s="216" t="str">
        <f t="shared" si="551"/>
        <v/>
      </c>
      <c r="R5736" s="216" t="str">
        <f t="shared" si="552"/>
        <v/>
      </c>
      <c r="S5736" s="217" t="str">
        <f t="shared" si="553"/>
        <v/>
      </c>
    </row>
    <row r="5737" spans="1:19" ht="15.75" hidden="1" thickBot="1" x14ac:dyDescent="0.3">
      <c r="A5737" s="256" t="s">
        <v>4601</v>
      </c>
      <c r="B5737" s="259" t="str">
        <f>INDEX(Orçamentária!A:B,MATCH(Composições!A5737,Orçamentária!A:A,0),2)</f>
        <v>Eletroduto de aço galvanizado de 2 1/2”</v>
      </c>
      <c r="C5737" s="40"/>
      <c r="D5737" s="25" t="s">
        <v>69</v>
      </c>
      <c r="E5737" s="26"/>
      <c r="F5737" s="48" t="s">
        <v>416</v>
      </c>
      <c r="G5737" s="27" t="str">
        <f t="shared" si="548"/>
        <v/>
      </c>
      <c r="H5737" s="28"/>
      <c r="I5737" s="29"/>
      <c r="J5737" s="152">
        <v>0</v>
      </c>
      <c r="L5737" s="218"/>
      <c r="M5737" s="48"/>
      <c r="N5737" s="27" t="str">
        <f t="shared" si="549"/>
        <v/>
      </c>
      <c r="O5737" s="28"/>
      <c r="P5737" s="36" t="str">
        <f t="shared" si="550"/>
        <v/>
      </c>
      <c r="Q5737" s="216" t="str">
        <f t="shared" si="551"/>
        <v/>
      </c>
      <c r="R5737" s="216" t="str">
        <f t="shared" si="552"/>
        <v/>
      </c>
      <c r="S5737" s="217" t="str">
        <f t="shared" si="553"/>
        <v/>
      </c>
    </row>
    <row r="5738" spans="1:19" ht="15.75" hidden="1" thickBot="1" x14ac:dyDescent="0.3">
      <c r="A5738" s="257"/>
      <c r="B5738" s="260"/>
      <c r="C5738" s="31"/>
      <c r="D5738" s="31"/>
      <c r="E5738" s="32"/>
      <c r="F5738" s="53" t="s">
        <v>416</v>
      </c>
      <c r="G5738" s="53" t="str">
        <f t="shared" si="548"/>
        <v/>
      </c>
      <c r="H5738" s="72"/>
      <c r="I5738" s="73"/>
      <c r="J5738" s="152">
        <v>0</v>
      </c>
      <c r="L5738" s="219"/>
      <c r="M5738" s="53"/>
      <c r="N5738" s="53" t="str">
        <f t="shared" si="549"/>
        <v/>
      </c>
      <c r="O5738" s="72"/>
      <c r="P5738" s="36" t="str">
        <f t="shared" si="550"/>
        <v/>
      </c>
      <c r="Q5738" s="216" t="str">
        <f t="shared" si="551"/>
        <v/>
      </c>
      <c r="R5738" s="216" t="str">
        <f t="shared" si="552"/>
        <v/>
      </c>
      <c r="S5738" s="217" t="str">
        <f t="shared" si="553"/>
        <v/>
      </c>
    </row>
    <row r="5739" spans="1:19" ht="26.25" hidden="1" thickBot="1" x14ac:dyDescent="0.3">
      <c r="A5739" s="257"/>
      <c r="B5739" s="260"/>
      <c r="C5739" s="35" t="s">
        <v>5529</v>
      </c>
      <c r="D5739" s="35" t="s">
        <v>69</v>
      </c>
      <c r="E5739" s="36">
        <v>1</v>
      </c>
      <c r="F5739" s="30">
        <v>0</v>
      </c>
      <c r="G5739" s="53">
        <f t="shared" si="548"/>
        <v>0</v>
      </c>
      <c r="H5739" s="38">
        <f>SUM(G5739:G5739)</f>
        <v>0</v>
      </c>
      <c r="I5739" s="39"/>
      <c r="J5739" s="152">
        <v>0</v>
      </c>
      <c r="L5739" s="215">
        <v>1</v>
      </c>
      <c r="M5739" s="30">
        <v>0</v>
      </c>
      <c r="N5739" s="53">
        <f t="shared" si="549"/>
        <v>0</v>
      </c>
      <c r="O5739" s="38">
        <f>SUM(N5739:N5739)</f>
        <v>0</v>
      </c>
      <c r="P5739" s="36" t="str">
        <f t="shared" si="550"/>
        <v/>
      </c>
      <c r="Q5739" s="216" t="e">
        <f t="shared" si="551"/>
        <v>#DIV/0!</v>
      </c>
      <c r="R5739" s="216" t="e">
        <f t="shared" si="552"/>
        <v>#DIV/0!</v>
      </c>
      <c r="S5739" s="217" t="e">
        <f t="shared" si="553"/>
        <v>#DIV/0!</v>
      </c>
    </row>
    <row r="5740" spans="1:19" ht="15.75" hidden="1" thickBot="1" x14ac:dyDescent="0.3">
      <c r="A5740" s="258"/>
      <c r="B5740" s="261"/>
      <c r="C5740" s="54"/>
      <c r="D5740" s="155"/>
      <c r="E5740" s="65"/>
      <c r="F5740" s="75" t="s">
        <v>416</v>
      </c>
      <c r="G5740" s="75" t="str">
        <f t="shared" si="548"/>
        <v/>
      </c>
      <c r="H5740" s="76"/>
      <c r="I5740" s="73"/>
      <c r="J5740" s="152">
        <v>0</v>
      </c>
      <c r="L5740" s="222"/>
      <c r="M5740" s="75"/>
      <c r="N5740" s="75" t="str">
        <f t="shared" si="549"/>
        <v/>
      </c>
      <c r="O5740" s="76"/>
      <c r="P5740" s="36" t="str">
        <f t="shared" si="550"/>
        <v/>
      </c>
      <c r="Q5740" s="216" t="str">
        <f t="shared" si="551"/>
        <v/>
      </c>
      <c r="R5740" s="216" t="str">
        <f t="shared" si="552"/>
        <v/>
      </c>
      <c r="S5740" s="217" t="str">
        <f t="shared" si="553"/>
        <v/>
      </c>
    </row>
    <row r="5741" spans="1:19" ht="15.75" hidden="1" thickBot="1" x14ac:dyDescent="0.3">
      <c r="A5741" s="256" t="s">
        <v>4602</v>
      </c>
      <c r="B5741" s="259" t="str">
        <f>INDEX(Orçamentária!A:B,MATCH(Composições!A5741,Orçamentária!A:A,0),2)</f>
        <v xml:space="preserve">Eletroduto de aço galvanizado de 3” </v>
      </c>
      <c r="C5741" s="40"/>
      <c r="D5741" s="25" t="s">
        <v>69</v>
      </c>
      <c r="E5741" s="26"/>
      <c r="F5741" s="48" t="s">
        <v>416</v>
      </c>
      <c r="G5741" s="27" t="str">
        <f t="shared" si="548"/>
        <v/>
      </c>
      <c r="H5741" s="28"/>
      <c r="I5741" s="29"/>
      <c r="J5741" s="152">
        <v>0</v>
      </c>
      <c r="L5741" s="218"/>
      <c r="M5741" s="48"/>
      <c r="N5741" s="27" t="str">
        <f t="shared" si="549"/>
        <v/>
      </c>
      <c r="O5741" s="28"/>
      <c r="P5741" s="36" t="str">
        <f t="shared" si="550"/>
        <v/>
      </c>
      <c r="Q5741" s="216" t="str">
        <f t="shared" si="551"/>
        <v/>
      </c>
      <c r="R5741" s="216" t="str">
        <f t="shared" si="552"/>
        <v/>
      </c>
      <c r="S5741" s="217" t="str">
        <f t="shared" si="553"/>
        <v/>
      </c>
    </row>
    <row r="5742" spans="1:19" ht="15.75" hidden="1" thickBot="1" x14ac:dyDescent="0.3">
      <c r="A5742" s="257"/>
      <c r="B5742" s="260"/>
      <c r="C5742" s="31"/>
      <c r="D5742" s="31"/>
      <c r="E5742" s="32"/>
      <c r="F5742" s="53" t="s">
        <v>416</v>
      </c>
      <c r="G5742" s="53" t="str">
        <f t="shared" ref="G5742:G5805" si="554">IF(ISNUMBER(F5742),E5742*F5742,"")</f>
        <v/>
      </c>
      <c r="H5742" s="72"/>
      <c r="I5742" s="73"/>
      <c r="J5742" s="152">
        <v>0</v>
      </c>
      <c r="L5742" s="219"/>
      <c r="M5742" s="53"/>
      <c r="N5742" s="53" t="str">
        <f t="shared" ref="N5742:N5805" si="555">IF(ISNUMBER(M5742),L5742*M5742,"")</f>
        <v/>
      </c>
      <c r="O5742" s="72"/>
      <c r="P5742" s="36" t="str">
        <f t="shared" si="550"/>
        <v/>
      </c>
      <c r="Q5742" s="216" t="str">
        <f t="shared" si="551"/>
        <v/>
      </c>
      <c r="R5742" s="216" t="str">
        <f t="shared" si="552"/>
        <v/>
      </c>
      <c r="S5742" s="217" t="str">
        <f t="shared" si="553"/>
        <v/>
      </c>
    </row>
    <row r="5743" spans="1:19" ht="26.25" hidden="1" thickBot="1" x14ac:dyDescent="0.3">
      <c r="A5743" s="257"/>
      <c r="B5743" s="260"/>
      <c r="C5743" s="35" t="s">
        <v>5530</v>
      </c>
      <c r="D5743" s="35" t="s">
        <v>69</v>
      </c>
      <c r="E5743" s="36">
        <v>1</v>
      </c>
      <c r="F5743" s="30">
        <v>0</v>
      </c>
      <c r="G5743" s="53">
        <f t="shared" si="554"/>
        <v>0</v>
      </c>
      <c r="H5743" s="38">
        <f>SUM(G5743:G5743)</f>
        <v>0</v>
      </c>
      <c r="I5743" s="39"/>
      <c r="J5743" s="152">
        <v>0</v>
      </c>
      <c r="L5743" s="215">
        <v>1</v>
      </c>
      <c r="M5743" s="30">
        <v>0</v>
      </c>
      <c r="N5743" s="53">
        <f t="shared" si="555"/>
        <v>0</v>
      </c>
      <c r="O5743" s="38">
        <f>SUM(N5743:N5743)</f>
        <v>0</v>
      </c>
      <c r="P5743" s="36" t="str">
        <f t="shared" si="550"/>
        <v/>
      </c>
      <c r="Q5743" s="216" t="e">
        <f t="shared" si="551"/>
        <v>#DIV/0!</v>
      </c>
      <c r="R5743" s="216" t="e">
        <f t="shared" si="552"/>
        <v>#DIV/0!</v>
      </c>
      <c r="S5743" s="217" t="e">
        <f t="shared" si="553"/>
        <v>#DIV/0!</v>
      </c>
    </row>
    <row r="5744" spans="1:19" ht="15.75" hidden="1" thickBot="1" x14ac:dyDescent="0.3">
      <c r="A5744" s="258"/>
      <c r="B5744" s="261"/>
      <c r="C5744" s="54"/>
      <c r="D5744" s="155"/>
      <c r="E5744" s="65"/>
      <c r="F5744" s="75" t="s">
        <v>416</v>
      </c>
      <c r="G5744" s="75" t="str">
        <f t="shared" si="554"/>
        <v/>
      </c>
      <c r="H5744" s="76"/>
      <c r="I5744" s="73"/>
      <c r="J5744" s="152">
        <v>0</v>
      </c>
      <c r="L5744" s="222"/>
      <c r="M5744" s="75"/>
      <c r="N5744" s="75" t="str">
        <f t="shared" si="555"/>
        <v/>
      </c>
      <c r="O5744" s="76"/>
      <c r="P5744" s="36" t="str">
        <f t="shared" si="550"/>
        <v/>
      </c>
      <c r="Q5744" s="216" t="str">
        <f t="shared" si="551"/>
        <v/>
      </c>
      <c r="R5744" s="216" t="str">
        <f t="shared" si="552"/>
        <v/>
      </c>
      <c r="S5744" s="217" t="str">
        <f t="shared" si="553"/>
        <v/>
      </c>
    </row>
    <row r="5745" spans="1:19" ht="15.75" hidden="1" thickBot="1" x14ac:dyDescent="0.3">
      <c r="A5745" s="256" t="s">
        <v>4603</v>
      </c>
      <c r="B5745" s="259" t="str">
        <f>INDEX(Orçamentária!A:B,MATCH(Composições!A5745,Orçamentária!A:A,0),2)</f>
        <v>Eletroduto de aço galvanizado de 4”</v>
      </c>
      <c r="C5745" s="40"/>
      <c r="D5745" s="25" t="s">
        <v>69</v>
      </c>
      <c r="E5745" s="26"/>
      <c r="F5745" s="48" t="s">
        <v>416</v>
      </c>
      <c r="G5745" s="27" t="str">
        <f t="shared" si="554"/>
        <v/>
      </c>
      <c r="H5745" s="28"/>
      <c r="I5745" s="29"/>
      <c r="J5745" s="152">
        <v>0</v>
      </c>
      <c r="L5745" s="218"/>
      <c r="M5745" s="48"/>
      <c r="N5745" s="27" t="str">
        <f t="shared" si="555"/>
        <v/>
      </c>
      <c r="O5745" s="28"/>
      <c r="P5745" s="36" t="str">
        <f t="shared" si="550"/>
        <v/>
      </c>
      <c r="Q5745" s="216" t="str">
        <f t="shared" si="551"/>
        <v/>
      </c>
      <c r="R5745" s="216" t="str">
        <f t="shared" si="552"/>
        <v/>
      </c>
      <c r="S5745" s="217" t="str">
        <f t="shared" si="553"/>
        <v/>
      </c>
    </row>
    <row r="5746" spans="1:19" ht="15.75" hidden="1" thickBot="1" x14ac:dyDescent="0.3">
      <c r="A5746" s="257"/>
      <c r="B5746" s="260"/>
      <c r="C5746" s="31"/>
      <c r="D5746" s="31"/>
      <c r="E5746" s="32"/>
      <c r="F5746" s="53" t="s">
        <v>416</v>
      </c>
      <c r="G5746" s="53" t="str">
        <f t="shared" si="554"/>
        <v/>
      </c>
      <c r="H5746" s="72"/>
      <c r="I5746" s="73"/>
      <c r="J5746" s="152">
        <v>0</v>
      </c>
      <c r="L5746" s="219"/>
      <c r="M5746" s="53"/>
      <c r="N5746" s="53" t="str">
        <f t="shared" si="555"/>
        <v/>
      </c>
      <c r="O5746" s="72"/>
      <c r="P5746" s="36" t="str">
        <f t="shared" si="550"/>
        <v/>
      </c>
      <c r="Q5746" s="216" t="str">
        <f t="shared" si="551"/>
        <v/>
      </c>
      <c r="R5746" s="216" t="str">
        <f t="shared" si="552"/>
        <v/>
      </c>
      <c r="S5746" s="217" t="str">
        <f t="shared" si="553"/>
        <v/>
      </c>
    </row>
    <row r="5747" spans="1:19" ht="26.25" hidden="1" thickBot="1" x14ac:dyDescent="0.3">
      <c r="A5747" s="257"/>
      <c r="B5747" s="260"/>
      <c r="C5747" s="35" t="s">
        <v>5531</v>
      </c>
      <c r="D5747" s="35" t="s">
        <v>107</v>
      </c>
      <c r="E5747" s="36">
        <v>1</v>
      </c>
      <c r="F5747" s="30">
        <v>0</v>
      </c>
      <c r="G5747" s="53">
        <f t="shared" si="554"/>
        <v>0</v>
      </c>
      <c r="H5747" s="38">
        <f>SUM(G5747:G5747)</f>
        <v>0</v>
      </c>
      <c r="I5747" s="39"/>
      <c r="J5747" s="152">
        <v>0</v>
      </c>
      <c r="L5747" s="215">
        <v>1</v>
      </c>
      <c r="M5747" s="30">
        <v>0</v>
      </c>
      <c r="N5747" s="53">
        <f t="shared" si="555"/>
        <v>0</v>
      </c>
      <c r="O5747" s="38">
        <f>SUM(N5747:N5747)</f>
        <v>0</v>
      </c>
      <c r="P5747" s="36" t="str">
        <f t="shared" si="550"/>
        <v/>
      </c>
      <c r="Q5747" s="216" t="e">
        <f t="shared" si="551"/>
        <v>#DIV/0!</v>
      </c>
      <c r="R5747" s="216" t="e">
        <f t="shared" si="552"/>
        <v>#DIV/0!</v>
      </c>
      <c r="S5747" s="217" t="e">
        <f t="shared" si="553"/>
        <v>#DIV/0!</v>
      </c>
    </row>
    <row r="5748" spans="1:19" ht="15.75" hidden="1" thickBot="1" x14ac:dyDescent="0.3">
      <c r="A5748" s="258"/>
      <c r="B5748" s="261"/>
      <c r="C5748" s="54"/>
      <c r="D5748" s="155"/>
      <c r="E5748" s="65"/>
      <c r="F5748" s="75" t="s">
        <v>416</v>
      </c>
      <c r="G5748" s="75" t="str">
        <f t="shared" si="554"/>
        <v/>
      </c>
      <c r="H5748" s="76"/>
      <c r="I5748" s="73"/>
      <c r="J5748" s="152">
        <v>0</v>
      </c>
      <c r="L5748" s="222"/>
      <c r="M5748" s="75"/>
      <c r="N5748" s="75" t="str">
        <f t="shared" si="555"/>
        <v/>
      </c>
      <c r="O5748" s="76"/>
      <c r="P5748" s="36" t="str">
        <f t="shared" si="550"/>
        <v/>
      </c>
      <c r="Q5748" s="216" t="str">
        <f t="shared" si="551"/>
        <v/>
      </c>
      <c r="R5748" s="216" t="str">
        <f t="shared" si="552"/>
        <v/>
      </c>
      <c r="S5748" s="217" t="str">
        <f t="shared" si="553"/>
        <v/>
      </c>
    </row>
    <row r="5749" spans="1:19" ht="15.75" hidden="1" thickBot="1" x14ac:dyDescent="0.3">
      <c r="A5749" s="256" t="s">
        <v>4613</v>
      </c>
      <c r="B5749" s="259" t="str">
        <f>INDEX(Orçamentária!A:B,MATCH(Composições!A5749,Orçamentária!A:A,0),2)</f>
        <v>Luva para eletroduto 1/2”</v>
      </c>
      <c r="C5749" s="40"/>
      <c r="D5749" s="25" t="s">
        <v>16</v>
      </c>
      <c r="E5749" s="26"/>
      <c r="F5749" s="48" t="s">
        <v>416</v>
      </c>
      <c r="G5749" s="27" t="str">
        <f t="shared" si="554"/>
        <v/>
      </c>
      <c r="H5749" s="28"/>
      <c r="I5749" s="29"/>
      <c r="J5749" s="152">
        <v>0</v>
      </c>
      <c r="L5749" s="218"/>
      <c r="M5749" s="48"/>
      <c r="N5749" s="27" t="str">
        <f t="shared" si="555"/>
        <v/>
      </c>
      <c r="O5749" s="28"/>
      <c r="P5749" s="36" t="str">
        <f t="shared" si="550"/>
        <v/>
      </c>
      <c r="Q5749" s="216" t="str">
        <f t="shared" si="551"/>
        <v/>
      </c>
      <c r="R5749" s="216" t="str">
        <f t="shared" si="552"/>
        <v/>
      </c>
      <c r="S5749" s="217" t="str">
        <f t="shared" si="553"/>
        <v/>
      </c>
    </row>
    <row r="5750" spans="1:19" ht="15.75" hidden="1" thickBot="1" x14ac:dyDescent="0.3">
      <c r="A5750" s="257"/>
      <c r="B5750" s="260"/>
      <c r="C5750" s="31"/>
      <c r="D5750" s="31"/>
      <c r="E5750" s="32"/>
      <c r="F5750" s="53" t="s">
        <v>416</v>
      </c>
      <c r="G5750" s="53" t="str">
        <f t="shared" si="554"/>
        <v/>
      </c>
      <c r="H5750" s="72"/>
      <c r="I5750" s="73"/>
      <c r="J5750" s="152">
        <v>0</v>
      </c>
      <c r="L5750" s="219"/>
      <c r="M5750" s="53"/>
      <c r="N5750" s="53" t="str">
        <f t="shared" si="555"/>
        <v/>
      </c>
      <c r="O5750" s="72"/>
      <c r="P5750" s="36" t="str">
        <f t="shared" si="550"/>
        <v/>
      </c>
      <c r="Q5750" s="216" t="str">
        <f t="shared" si="551"/>
        <v/>
      </c>
      <c r="R5750" s="216" t="str">
        <f t="shared" si="552"/>
        <v/>
      </c>
      <c r="S5750" s="217" t="str">
        <f t="shared" si="553"/>
        <v/>
      </c>
    </row>
    <row r="5751" spans="1:19" ht="26.25" hidden="1" thickBot="1" x14ac:dyDescent="0.3">
      <c r="A5751" s="257"/>
      <c r="B5751" s="260"/>
      <c r="C5751" s="35" t="s">
        <v>8260</v>
      </c>
      <c r="D5751" s="35" t="s">
        <v>213</v>
      </c>
      <c r="E5751" s="36">
        <v>1</v>
      </c>
      <c r="F5751" s="30">
        <v>1.6435</v>
      </c>
      <c r="G5751" s="53">
        <f t="shared" si="554"/>
        <v>1.6435</v>
      </c>
      <c r="H5751" s="38">
        <f>SUM(G5751:G5751)</f>
        <v>1.6435</v>
      </c>
      <c r="I5751" s="39"/>
      <c r="J5751" s="152">
        <v>0</v>
      </c>
      <c r="L5751" s="215">
        <v>1</v>
      </c>
      <c r="M5751" s="30">
        <v>1.406836</v>
      </c>
      <c r="N5751" s="53">
        <f t="shared" si="555"/>
        <v>1.406836</v>
      </c>
      <c r="O5751" s="38">
        <f>SUM(N5751:N5751)</f>
        <v>1.406836</v>
      </c>
      <c r="P5751" s="36" t="str">
        <f t="shared" si="550"/>
        <v/>
      </c>
      <c r="Q5751" s="216">
        <f t="shared" si="551"/>
        <v>0.14400000000000002</v>
      </c>
      <c r="R5751" s="216">
        <f t="shared" si="552"/>
        <v>0.14400000000000002</v>
      </c>
      <c r="S5751" s="217">
        <f t="shared" si="553"/>
        <v>0.14400000000000002</v>
      </c>
    </row>
    <row r="5752" spans="1:19" ht="15.75" hidden="1" thickBot="1" x14ac:dyDescent="0.3">
      <c r="A5752" s="258"/>
      <c r="B5752" s="261"/>
      <c r="C5752" s="54"/>
      <c r="D5752" s="155"/>
      <c r="E5752" s="65"/>
      <c r="F5752" s="75" t="s">
        <v>416</v>
      </c>
      <c r="G5752" s="75" t="str">
        <f t="shared" si="554"/>
        <v/>
      </c>
      <c r="H5752" s="76"/>
      <c r="I5752" s="73"/>
      <c r="J5752" s="152">
        <v>0</v>
      </c>
      <c r="L5752" s="222"/>
      <c r="M5752" s="75"/>
      <c r="N5752" s="75" t="str">
        <f t="shared" si="555"/>
        <v/>
      </c>
      <c r="O5752" s="76"/>
      <c r="P5752" s="36" t="str">
        <f t="shared" si="550"/>
        <v/>
      </c>
      <c r="Q5752" s="216" t="str">
        <f t="shared" si="551"/>
        <v/>
      </c>
      <c r="R5752" s="216" t="str">
        <f t="shared" si="552"/>
        <v/>
      </c>
      <c r="S5752" s="217" t="str">
        <f t="shared" si="553"/>
        <v/>
      </c>
    </row>
    <row r="5753" spans="1:19" ht="15.75" hidden="1" thickBot="1" x14ac:dyDescent="0.3">
      <c r="A5753" s="256" t="s">
        <v>4615</v>
      </c>
      <c r="B5753" s="259" t="str">
        <f>INDEX(Orçamentária!A:B,MATCH(Composições!A5753,Orçamentária!A:A,0),2)</f>
        <v>Curva para eletroduto 1/2”</v>
      </c>
      <c r="C5753" s="40"/>
      <c r="D5753" s="25" t="s">
        <v>16</v>
      </c>
      <c r="E5753" s="26"/>
      <c r="F5753" s="48" t="s">
        <v>416</v>
      </c>
      <c r="G5753" s="27" t="str">
        <f t="shared" si="554"/>
        <v/>
      </c>
      <c r="H5753" s="28"/>
      <c r="I5753" s="29"/>
      <c r="J5753" s="152">
        <v>0</v>
      </c>
      <c r="L5753" s="218"/>
      <c r="M5753" s="48"/>
      <c r="N5753" s="27" t="str">
        <f t="shared" si="555"/>
        <v/>
      </c>
      <c r="O5753" s="28"/>
      <c r="P5753" s="36" t="str">
        <f t="shared" si="550"/>
        <v/>
      </c>
      <c r="Q5753" s="216" t="str">
        <f t="shared" si="551"/>
        <v/>
      </c>
      <c r="R5753" s="216" t="str">
        <f t="shared" si="552"/>
        <v/>
      </c>
      <c r="S5753" s="217" t="str">
        <f t="shared" si="553"/>
        <v/>
      </c>
    </row>
    <row r="5754" spans="1:19" ht="15.75" hidden="1" thickBot="1" x14ac:dyDescent="0.3">
      <c r="A5754" s="257"/>
      <c r="B5754" s="260"/>
      <c r="C5754" s="31"/>
      <c r="D5754" s="31"/>
      <c r="E5754" s="32"/>
      <c r="F5754" s="53" t="s">
        <v>416</v>
      </c>
      <c r="G5754" s="53" t="str">
        <f t="shared" si="554"/>
        <v/>
      </c>
      <c r="H5754" s="72"/>
      <c r="I5754" s="73"/>
      <c r="J5754" s="152">
        <v>0</v>
      </c>
      <c r="L5754" s="219"/>
      <c r="M5754" s="53"/>
      <c r="N5754" s="53" t="str">
        <f t="shared" si="555"/>
        <v/>
      </c>
      <c r="O5754" s="72"/>
      <c r="P5754" s="36" t="str">
        <f t="shared" si="550"/>
        <v/>
      </c>
      <c r="Q5754" s="216" t="str">
        <f t="shared" si="551"/>
        <v/>
      </c>
      <c r="R5754" s="216" t="str">
        <f t="shared" si="552"/>
        <v/>
      </c>
      <c r="S5754" s="217" t="str">
        <f t="shared" si="553"/>
        <v/>
      </c>
    </row>
    <row r="5755" spans="1:19" ht="26.25" hidden="1" thickBot="1" x14ac:dyDescent="0.3">
      <c r="A5755" s="257"/>
      <c r="B5755" s="260"/>
      <c r="C5755" s="35" t="s">
        <v>8126</v>
      </c>
      <c r="D5755" s="35" t="s">
        <v>213</v>
      </c>
      <c r="E5755" s="36">
        <v>1</v>
      </c>
      <c r="F5755" s="30">
        <v>4.1040000000000001</v>
      </c>
      <c r="G5755" s="53">
        <f t="shared" si="554"/>
        <v>4.1040000000000001</v>
      </c>
      <c r="H5755" s="38">
        <f>SUM(G5755:G5755)</f>
        <v>4.1040000000000001</v>
      </c>
      <c r="I5755" s="39"/>
      <c r="J5755" s="152">
        <v>0</v>
      </c>
      <c r="L5755" s="215">
        <v>1</v>
      </c>
      <c r="M5755" s="30">
        <v>3.5130240000000001</v>
      </c>
      <c r="N5755" s="53">
        <f t="shared" si="555"/>
        <v>3.5130240000000001</v>
      </c>
      <c r="O5755" s="38">
        <f>SUM(N5755:N5755)</f>
        <v>3.5130240000000001</v>
      </c>
      <c r="P5755" s="36" t="str">
        <f t="shared" si="550"/>
        <v/>
      </c>
      <c r="Q5755" s="216">
        <f t="shared" si="551"/>
        <v>0.14400000000000002</v>
      </c>
      <c r="R5755" s="216">
        <f t="shared" si="552"/>
        <v>0.14400000000000002</v>
      </c>
      <c r="S5755" s="217">
        <f t="shared" si="553"/>
        <v>0.14400000000000002</v>
      </c>
    </row>
    <row r="5756" spans="1:19" ht="15.75" hidden="1" thickBot="1" x14ac:dyDescent="0.3">
      <c r="A5756" s="258"/>
      <c r="B5756" s="261"/>
      <c r="C5756" s="54"/>
      <c r="D5756" s="155"/>
      <c r="E5756" s="65"/>
      <c r="F5756" s="75" t="s">
        <v>416</v>
      </c>
      <c r="G5756" s="75" t="str">
        <f t="shared" si="554"/>
        <v/>
      </c>
      <c r="H5756" s="76"/>
      <c r="I5756" s="73"/>
      <c r="J5756" s="152">
        <v>0</v>
      </c>
      <c r="L5756" s="222"/>
      <c r="M5756" s="75"/>
      <c r="N5756" s="75" t="str">
        <f t="shared" si="555"/>
        <v/>
      </c>
      <c r="O5756" s="76"/>
      <c r="P5756" s="36" t="str">
        <f t="shared" si="550"/>
        <v/>
      </c>
      <c r="Q5756" s="216" t="str">
        <f t="shared" si="551"/>
        <v/>
      </c>
      <c r="R5756" s="216" t="str">
        <f t="shared" si="552"/>
        <v/>
      </c>
      <c r="S5756" s="217" t="str">
        <f t="shared" si="553"/>
        <v/>
      </c>
    </row>
    <row r="5757" spans="1:19" ht="15.75" hidden="1" thickBot="1" x14ac:dyDescent="0.3">
      <c r="A5757" s="256" t="s">
        <v>4616</v>
      </c>
      <c r="B5757" s="259" t="str">
        <f>INDEX(Orçamentária!A:B,MATCH(Composições!A5757,Orçamentária!A:A,0),2)</f>
        <v>Conector reto para eletroduto 3/4”</v>
      </c>
      <c r="C5757" s="40"/>
      <c r="D5757" s="25" t="s">
        <v>16</v>
      </c>
      <c r="E5757" s="26"/>
      <c r="F5757" s="48" t="s">
        <v>416</v>
      </c>
      <c r="G5757" s="27" t="str">
        <f t="shared" si="554"/>
        <v/>
      </c>
      <c r="H5757" s="28"/>
      <c r="I5757" s="29"/>
      <c r="J5757" s="152">
        <v>0</v>
      </c>
      <c r="L5757" s="218"/>
      <c r="M5757" s="48"/>
      <c r="N5757" s="27" t="str">
        <f t="shared" si="555"/>
        <v/>
      </c>
      <c r="O5757" s="28"/>
      <c r="P5757" s="36" t="str">
        <f t="shared" si="550"/>
        <v/>
      </c>
      <c r="Q5757" s="216" t="str">
        <f t="shared" si="551"/>
        <v/>
      </c>
      <c r="R5757" s="216" t="str">
        <f t="shared" si="552"/>
        <v/>
      </c>
      <c r="S5757" s="217" t="str">
        <f t="shared" si="553"/>
        <v/>
      </c>
    </row>
    <row r="5758" spans="1:19" ht="15.75" hidden="1" thickBot="1" x14ac:dyDescent="0.3">
      <c r="A5758" s="257"/>
      <c r="B5758" s="260"/>
      <c r="C5758" s="31"/>
      <c r="D5758" s="31"/>
      <c r="E5758" s="32"/>
      <c r="F5758" s="53" t="s">
        <v>416</v>
      </c>
      <c r="G5758" s="53" t="str">
        <f t="shared" si="554"/>
        <v/>
      </c>
      <c r="H5758" s="72"/>
      <c r="I5758" s="73"/>
      <c r="J5758" s="152">
        <v>0</v>
      </c>
      <c r="L5758" s="219"/>
      <c r="M5758" s="53"/>
      <c r="N5758" s="53" t="str">
        <f t="shared" si="555"/>
        <v/>
      </c>
      <c r="O5758" s="72"/>
      <c r="P5758" s="36" t="str">
        <f t="shared" si="550"/>
        <v/>
      </c>
      <c r="Q5758" s="216" t="str">
        <f t="shared" si="551"/>
        <v/>
      </c>
      <c r="R5758" s="216" t="str">
        <f t="shared" si="552"/>
        <v/>
      </c>
      <c r="S5758" s="217" t="str">
        <f t="shared" si="553"/>
        <v/>
      </c>
    </row>
    <row r="5759" spans="1:19" ht="39" hidden="1" thickBot="1" x14ac:dyDescent="0.3">
      <c r="A5759" s="257"/>
      <c r="B5759" s="260"/>
      <c r="C5759" s="35" t="s">
        <v>8095</v>
      </c>
      <c r="D5759" s="35" t="s">
        <v>213</v>
      </c>
      <c r="E5759" s="36">
        <v>1</v>
      </c>
      <c r="F5759" s="30">
        <v>1.7859999999999998</v>
      </c>
      <c r="G5759" s="53">
        <f t="shared" si="554"/>
        <v>1.7859999999999998</v>
      </c>
      <c r="H5759" s="38">
        <f>SUM(G5759:G5759)</f>
        <v>1.7859999999999998</v>
      </c>
      <c r="I5759" s="39"/>
      <c r="J5759" s="152">
        <v>0</v>
      </c>
      <c r="L5759" s="215">
        <v>1</v>
      </c>
      <c r="M5759" s="30">
        <v>1.528816</v>
      </c>
      <c r="N5759" s="53">
        <f t="shared" si="555"/>
        <v>1.528816</v>
      </c>
      <c r="O5759" s="38">
        <f>SUM(N5759:N5759)</f>
        <v>1.528816</v>
      </c>
      <c r="P5759" s="36" t="str">
        <f t="shared" si="550"/>
        <v/>
      </c>
      <c r="Q5759" s="216">
        <f t="shared" si="551"/>
        <v>0.14399999999999991</v>
      </c>
      <c r="R5759" s="216">
        <f t="shared" si="552"/>
        <v>0.14399999999999991</v>
      </c>
      <c r="S5759" s="217">
        <f t="shared" si="553"/>
        <v>0.14399999999999991</v>
      </c>
    </row>
    <row r="5760" spans="1:19" ht="15.75" hidden="1" thickBot="1" x14ac:dyDescent="0.3">
      <c r="A5760" s="258"/>
      <c r="B5760" s="261"/>
      <c r="C5760" s="54"/>
      <c r="D5760" s="155"/>
      <c r="E5760" s="65"/>
      <c r="F5760" s="75" t="s">
        <v>416</v>
      </c>
      <c r="G5760" s="75" t="str">
        <f t="shared" si="554"/>
        <v/>
      </c>
      <c r="H5760" s="76"/>
      <c r="I5760" s="73"/>
      <c r="J5760" s="152">
        <v>0</v>
      </c>
      <c r="L5760" s="222"/>
      <c r="M5760" s="75"/>
      <c r="N5760" s="75" t="str">
        <f t="shared" si="555"/>
        <v/>
      </c>
      <c r="O5760" s="76"/>
      <c r="P5760" s="36" t="str">
        <f t="shared" si="550"/>
        <v/>
      </c>
      <c r="Q5760" s="216" t="str">
        <f t="shared" si="551"/>
        <v/>
      </c>
      <c r="R5760" s="216" t="str">
        <f t="shared" si="552"/>
        <v/>
      </c>
      <c r="S5760" s="217" t="str">
        <f t="shared" si="553"/>
        <v/>
      </c>
    </row>
    <row r="5761" spans="1:19" ht="15.75" hidden="1" thickBot="1" x14ac:dyDescent="0.3">
      <c r="A5761" s="256" t="s">
        <v>4617</v>
      </c>
      <c r="B5761" s="259" t="str">
        <f>INDEX(Orçamentária!A:B,MATCH(Composições!A5761,Orçamentária!A:A,0),2)</f>
        <v>Conector curvo para eletroduto 3/4”</v>
      </c>
      <c r="C5761" s="40"/>
      <c r="D5761" s="25" t="s">
        <v>16</v>
      </c>
      <c r="E5761" s="26"/>
      <c r="F5761" s="48" t="s">
        <v>416</v>
      </c>
      <c r="G5761" s="27" t="str">
        <f t="shared" si="554"/>
        <v/>
      </c>
      <c r="H5761" s="28"/>
      <c r="I5761" s="29"/>
      <c r="J5761" s="152">
        <v>0</v>
      </c>
      <c r="L5761" s="218"/>
      <c r="M5761" s="48"/>
      <c r="N5761" s="27" t="str">
        <f t="shared" si="555"/>
        <v/>
      </c>
      <c r="O5761" s="28"/>
      <c r="P5761" s="36" t="str">
        <f t="shared" si="550"/>
        <v/>
      </c>
      <c r="Q5761" s="216" t="str">
        <f t="shared" si="551"/>
        <v/>
      </c>
      <c r="R5761" s="216" t="str">
        <f t="shared" si="552"/>
        <v/>
      </c>
      <c r="S5761" s="217" t="str">
        <f t="shared" si="553"/>
        <v/>
      </c>
    </row>
    <row r="5762" spans="1:19" ht="15.75" hidden="1" thickBot="1" x14ac:dyDescent="0.3">
      <c r="A5762" s="257"/>
      <c r="B5762" s="260"/>
      <c r="C5762" s="31"/>
      <c r="D5762" s="31"/>
      <c r="E5762" s="32"/>
      <c r="F5762" s="53" t="s">
        <v>416</v>
      </c>
      <c r="G5762" s="53" t="str">
        <f t="shared" si="554"/>
        <v/>
      </c>
      <c r="H5762" s="72"/>
      <c r="I5762" s="73"/>
      <c r="J5762" s="152">
        <v>0</v>
      </c>
      <c r="L5762" s="219"/>
      <c r="M5762" s="53"/>
      <c r="N5762" s="53" t="str">
        <f t="shared" si="555"/>
        <v/>
      </c>
      <c r="O5762" s="72"/>
      <c r="P5762" s="36" t="str">
        <f t="shared" si="550"/>
        <v/>
      </c>
      <c r="Q5762" s="216" t="str">
        <f t="shared" si="551"/>
        <v/>
      </c>
      <c r="R5762" s="216" t="str">
        <f t="shared" si="552"/>
        <v/>
      </c>
      <c r="S5762" s="217" t="str">
        <f t="shared" si="553"/>
        <v/>
      </c>
    </row>
    <row r="5763" spans="1:19" ht="39" hidden="1" thickBot="1" x14ac:dyDescent="0.3">
      <c r="A5763" s="257"/>
      <c r="B5763" s="260"/>
      <c r="C5763" s="35" t="s">
        <v>8088</v>
      </c>
      <c r="D5763" s="35" t="s">
        <v>213</v>
      </c>
      <c r="E5763" s="36">
        <v>1</v>
      </c>
      <c r="F5763" s="30">
        <v>8.4169999999999998</v>
      </c>
      <c r="G5763" s="53">
        <f t="shared" si="554"/>
        <v>8.4169999999999998</v>
      </c>
      <c r="H5763" s="38">
        <f>SUM(G5763:G5763)</f>
        <v>8.4169999999999998</v>
      </c>
      <c r="I5763" s="39"/>
      <c r="J5763" s="152">
        <v>0</v>
      </c>
      <c r="L5763" s="215">
        <v>1</v>
      </c>
      <c r="M5763" s="30">
        <v>7.2049520000000005</v>
      </c>
      <c r="N5763" s="53">
        <f t="shared" si="555"/>
        <v>7.2049520000000005</v>
      </c>
      <c r="O5763" s="38">
        <f>SUM(N5763:N5763)</f>
        <v>7.2049520000000005</v>
      </c>
      <c r="P5763" s="36" t="str">
        <f t="shared" si="550"/>
        <v/>
      </c>
      <c r="Q5763" s="216">
        <f t="shared" si="551"/>
        <v>0.14399999999999991</v>
      </c>
      <c r="R5763" s="216">
        <f t="shared" si="552"/>
        <v>0.14399999999999991</v>
      </c>
      <c r="S5763" s="217">
        <f t="shared" si="553"/>
        <v>0.14399999999999991</v>
      </c>
    </row>
    <row r="5764" spans="1:19" ht="15.75" hidden="1" thickBot="1" x14ac:dyDescent="0.3">
      <c r="A5764" s="258"/>
      <c r="B5764" s="261"/>
      <c r="C5764" s="54"/>
      <c r="D5764" s="155"/>
      <c r="E5764" s="65"/>
      <c r="F5764" s="75" t="s">
        <v>416</v>
      </c>
      <c r="G5764" s="75" t="str">
        <f t="shared" si="554"/>
        <v/>
      </c>
      <c r="H5764" s="76"/>
      <c r="I5764" s="73"/>
      <c r="J5764" s="152">
        <v>0</v>
      </c>
      <c r="L5764" s="222"/>
      <c r="M5764" s="75"/>
      <c r="N5764" s="75" t="str">
        <f t="shared" si="555"/>
        <v/>
      </c>
      <c r="O5764" s="76"/>
      <c r="P5764" s="36" t="str">
        <f t="shared" si="550"/>
        <v/>
      </c>
      <c r="Q5764" s="216" t="str">
        <f t="shared" si="551"/>
        <v/>
      </c>
      <c r="R5764" s="216" t="str">
        <f t="shared" si="552"/>
        <v/>
      </c>
      <c r="S5764" s="217" t="str">
        <f t="shared" si="553"/>
        <v/>
      </c>
    </row>
    <row r="5765" spans="1:19" ht="15.75" hidden="1" thickBot="1" x14ac:dyDescent="0.3">
      <c r="A5765" s="256" t="s">
        <v>4618</v>
      </c>
      <c r="B5765" s="259" t="str">
        <f>INDEX(Orçamentária!A:B,MATCH(Composições!A5765,Orçamentária!A:A,0),2)</f>
        <v>Luva para eletroduto 3/4”</v>
      </c>
      <c r="C5765" s="40"/>
      <c r="D5765" s="25" t="s">
        <v>16</v>
      </c>
      <c r="E5765" s="26"/>
      <c r="F5765" s="48" t="s">
        <v>416</v>
      </c>
      <c r="G5765" s="27" t="str">
        <f t="shared" si="554"/>
        <v/>
      </c>
      <c r="H5765" s="28"/>
      <c r="I5765" s="29"/>
      <c r="J5765" s="152">
        <v>0</v>
      </c>
      <c r="L5765" s="218"/>
      <c r="M5765" s="48"/>
      <c r="N5765" s="27" t="str">
        <f t="shared" si="555"/>
        <v/>
      </c>
      <c r="O5765" s="28"/>
      <c r="P5765" s="36" t="str">
        <f t="shared" si="550"/>
        <v/>
      </c>
      <c r="Q5765" s="216" t="str">
        <f t="shared" si="551"/>
        <v/>
      </c>
      <c r="R5765" s="216" t="str">
        <f t="shared" si="552"/>
        <v/>
      </c>
      <c r="S5765" s="217" t="str">
        <f t="shared" si="553"/>
        <v/>
      </c>
    </row>
    <row r="5766" spans="1:19" ht="15.75" hidden="1" thickBot="1" x14ac:dyDescent="0.3">
      <c r="A5766" s="257"/>
      <c r="B5766" s="260"/>
      <c r="C5766" s="31"/>
      <c r="D5766" s="31"/>
      <c r="E5766" s="32"/>
      <c r="F5766" s="53" t="s">
        <v>416</v>
      </c>
      <c r="G5766" s="53" t="str">
        <f t="shared" si="554"/>
        <v/>
      </c>
      <c r="H5766" s="72"/>
      <c r="I5766" s="73"/>
      <c r="J5766" s="152">
        <v>0</v>
      </c>
      <c r="L5766" s="219"/>
      <c r="M5766" s="53"/>
      <c r="N5766" s="53" t="str">
        <f t="shared" si="555"/>
        <v/>
      </c>
      <c r="O5766" s="72"/>
      <c r="P5766" s="36" t="str">
        <f t="shared" si="550"/>
        <v/>
      </c>
      <c r="Q5766" s="216" t="str">
        <f t="shared" si="551"/>
        <v/>
      </c>
      <c r="R5766" s="216" t="str">
        <f t="shared" si="552"/>
        <v/>
      </c>
      <c r="S5766" s="217" t="str">
        <f t="shared" si="553"/>
        <v/>
      </c>
    </row>
    <row r="5767" spans="1:19" ht="26.25" hidden="1" thickBot="1" x14ac:dyDescent="0.3">
      <c r="A5767" s="257"/>
      <c r="B5767" s="260"/>
      <c r="C5767" s="35" t="s">
        <v>8261</v>
      </c>
      <c r="D5767" s="35" t="s">
        <v>213</v>
      </c>
      <c r="E5767" s="36">
        <v>1</v>
      </c>
      <c r="F5767" s="30">
        <v>1.748</v>
      </c>
      <c r="G5767" s="53">
        <f t="shared" si="554"/>
        <v>1.748</v>
      </c>
      <c r="H5767" s="38">
        <f>SUM(G5767:G5767)</f>
        <v>1.748</v>
      </c>
      <c r="I5767" s="39"/>
      <c r="J5767" s="152">
        <v>0</v>
      </c>
      <c r="L5767" s="215">
        <v>1</v>
      </c>
      <c r="M5767" s="30">
        <v>1.4962880000000001</v>
      </c>
      <c r="N5767" s="53">
        <f t="shared" si="555"/>
        <v>1.4962880000000001</v>
      </c>
      <c r="O5767" s="38">
        <f>SUM(N5767:N5767)</f>
        <v>1.4962880000000001</v>
      </c>
      <c r="P5767" s="36" t="str">
        <f t="shared" si="550"/>
        <v/>
      </c>
      <c r="Q5767" s="216">
        <f t="shared" si="551"/>
        <v>0.14400000000000002</v>
      </c>
      <c r="R5767" s="216">
        <f t="shared" si="552"/>
        <v>0.14400000000000002</v>
      </c>
      <c r="S5767" s="217">
        <f t="shared" si="553"/>
        <v>0.14400000000000002</v>
      </c>
    </row>
    <row r="5768" spans="1:19" ht="15.75" hidden="1" thickBot="1" x14ac:dyDescent="0.3">
      <c r="A5768" s="258"/>
      <c r="B5768" s="261"/>
      <c r="C5768" s="54"/>
      <c r="D5768" s="155"/>
      <c r="E5768" s="65"/>
      <c r="F5768" s="75" t="s">
        <v>416</v>
      </c>
      <c r="G5768" s="75" t="str">
        <f t="shared" si="554"/>
        <v/>
      </c>
      <c r="H5768" s="76"/>
      <c r="I5768" s="73"/>
      <c r="J5768" s="152">
        <v>0</v>
      </c>
      <c r="L5768" s="222"/>
      <c r="M5768" s="75"/>
      <c r="N5768" s="75" t="str">
        <f t="shared" si="555"/>
        <v/>
      </c>
      <c r="O5768" s="76"/>
      <c r="P5768" s="36" t="str">
        <f t="shared" ref="P5768:P5831" si="556">IF(ISBLANK(L5768),"",IF($E5768&lt;&gt;L5768,"SIM",""))</f>
        <v/>
      </c>
      <c r="Q5768" s="216" t="str">
        <f t="shared" ref="Q5768:Q5831" si="557">IF(M5768="","",1-M5768/$F5768)</f>
        <v/>
      </c>
      <c r="R5768" s="216" t="str">
        <f t="shared" ref="R5768:R5831" si="558">IF(N5768="","",1-N5768/$G5768)</f>
        <v/>
      </c>
      <c r="S5768" s="217" t="str">
        <f t="shared" ref="S5768:S5831" si="559">IF(O5768="","",1-O5768/$H5768)</f>
        <v/>
      </c>
    </row>
    <row r="5769" spans="1:19" ht="15.75" hidden="1" thickBot="1" x14ac:dyDescent="0.3">
      <c r="A5769" s="256" t="s">
        <v>4620</v>
      </c>
      <c r="B5769" s="259" t="str">
        <f>INDEX(Orçamentária!A:B,MATCH(Composições!A5769,Orçamentária!A:A,0),2)</f>
        <v>Curva para eletroduto 3/4”</v>
      </c>
      <c r="C5769" s="40"/>
      <c r="D5769" s="25" t="s">
        <v>16</v>
      </c>
      <c r="E5769" s="26"/>
      <c r="F5769" s="48" t="s">
        <v>416</v>
      </c>
      <c r="G5769" s="27" t="str">
        <f t="shared" si="554"/>
        <v/>
      </c>
      <c r="H5769" s="28"/>
      <c r="I5769" s="29"/>
      <c r="J5769" s="152">
        <v>0</v>
      </c>
      <c r="L5769" s="218"/>
      <c r="M5769" s="48"/>
      <c r="N5769" s="27" t="str">
        <f t="shared" si="555"/>
        <v/>
      </c>
      <c r="O5769" s="28"/>
      <c r="P5769" s="36" t="str">
        <f t="shared" si="556"/>
        <v/>
      </c>
      <c r="Q5769" s="216" t="str">
        <f t="shared" si="557"/>
        <v/>
      </c>
      <c r="R5769" s="216" t="str">
        <f t="shared" si="558"/>
        <v/>
      </c>
      <c r="S5769" s="217" t="str">
        <f t="shared" si="559"/>
        <v/>
      </c>
    </row>
    <row r="5770" spans="1:19" ht="15.75" hidden="1" thickBot="1" x14ac:dyDescent="0.3">
      <c r="A5770" s="257"/>
      <c r="B5770" s="260"/>
      <c r="C5770" s="31"/>
      <c r="D5770" s="31"/>
      <c r="E5770" s="32"/>
      <c r="F5770" s="53" t="s">
        <v>416</v>
      </c>
      <c r="G5770" s="53" t="str">
        <f t="shared" si="554"/>
        <v/>
      </c>
      <c r="H5770" s="72"/>
      <c r="I5770" s="73"/>
      <c r="J5770" s="152">
        <v>0</v>
      </c>
      <c r="L5770" s="219"/>
      <c r="M5770" s="53"/>
      <c r="N5770" s="53" t="str">
        <f t="shared" si="555"/>
        <v/>
      </c>
      <c r="O5770" s="72"/>
      <c r="P5770" s="36" t="str">
        <f t="shared" si="556"/>
        <v/>
      </c>
      <c r="Q5770" s="216" t="str">
        <f t="shared" si="557"/>
        <v/>
      </c>
      <c r="R5770" s="216" t="str">
        <f t="shared" si="558"/>
        <v/>
      </c>
      <c r="S5770" s="217" t="str">
        <f t="shared" si="559"/>
        <v/>
      </c>
    </row>
    <row r="5771" spans="1:19" ht="26.25" hidden="1" thickBot="1" x14ac:dyDescent="0.3">
      <c r="A5771" s="257"/>
      <c r="B5771" s="260"/>
      <c r="C5771" s="35" t="s">
        <v>8127</v>
      </c>
      <c r="D5771" s="35" t="s">
        <v>213</v>
      </c>
      <c r="E5771" s="36">
        <v>1</v>
      </c>
      <c r="F5771" s="30">
        <v>4.6360000000000001</v>
      </c>
      <c r="G5771" s="53">
        <f t="shared" si="554"/>
        <v>4.6360000000000001</v>
      </c>
      <c r="H5771" s="38">
        <f>SUM(G5771:G5771)</f>
        <v>4.6360000000000001</v>
      </c>
      <c r="I5771" s="39"/>
      <c r="J5771" s="152">
        <v>0</v>
      </c>
      <c r="L5771" s="215">
        <v>1</v>
      </c>
      <c r="M5771" s="30">
        <v>3.9684160000000004</v>
      </c>
      <c r="N5771" s="53">
        <f t="shared" si="555"/>
        <v>3.9684160000000004</v>
      </c>
      <c r="O5771" s="38">
        <f>SUM(N5771:N5771)</f>
        <v>3.9684160000000004</v>
      </c>
      <c r="P5771" s="36" t="str">
        <f t="shared" si="556"/>
        <v/>
      </c>
      <c r="Q5771" s="216">
        <f t="shared" si="557"/>
        <v>0.14399999999999991</v>
      </c>
      <c r="R5771" s="216">
        <f t="shared" si="558"/>
        <v>0.14399999999999991</v>
      </c>
      <c r="S5771" s="217">
        <f t="shared" si="559"/>
        <v>0.14399999999999991</v>
      </c>
    </row>
    <row r="5772" spans="1:19" ht="15.75" hidden="1" thickBot="1" x14ac:dyDescent="0.3">
      <c r="A5772" s="258"/>
      <c r="B5772" s="261"/>
      <c r="C5772" s="54"/>
      <c r="D5772" s="155"/>
      <c r="E5772" s="65"/>
      <c r="F5772" s="75" t="s">
        <v>416</v>
      </c>
      <c r="G5772" s="75" t="str">
        <f t="shared" si="554"/>
        <v/>
      </c>
      <c r="H5772" s="76"/>
      <c r="I5772" s="73"/>
      <c r="J5772" s="152">
        <v>0</v>
      </c>
      <c r="L5772" s="222"/>
      <c r="M5772" s="75"/>
      <c r="N5772" s="75" t="str">
        <f t="shared" si="555"/>
        <v/>
      </c>
      <c r="O5772" s="76"/>
      <c r="P5772" s="36" t="str">
        <f t="shared" si="556"/>
        <v/>
      </c>
      <c r="Q5772" s="216" t="str">
        <f t="shared" si="557"/>
        <v/>
      </c>
      <c r="R5772" s="216" t="str">
        <f t="shared" si="558"/>
        <v/>
      </c>
      <c r="S5772" s="217" t="str">
        <f t="shared" si="559"/>
        <v/>
      </c>
    </row>
    <row r="5773" spans="1:19" ht="15.75" hidden="1" thickBot="1" x14ac:dyDescent="0.3">
      <c r="A5773" s="256" t="s">
        <v>4621</v>
      </c>
      <c r="B5773" s="259" t="str">
        <f>INDEX(Orçamentária!A:B,MATCH(Composições!A5773,Orçamentária!A:A,0),2)</f>
        <v>Conector reto para eletroduto 1”</v>
      </c>
      <c r="C5773" s="40"/>
      <c r="D5773" s="25" t="s">
        <v>16</v>
      </c>
      <c r="E5773" s="26"/>
      <c r="F5773" s="48" t="s">
        <v>416</v>
      </c>
      <c r="G5773" s="27" t="str">
        <f t="shared" si="554"/>
        <v/>
      </c>
      <c r="H5773" s="28"/>
      <c r="I5773" s="29"/>
      <c r="J5773" s="152">
        <v>0</v>
      </c>
      <c r="L5773" s="218"/>
      <c r="M5773" s="48"/>
      <c r="N5773" s="27" t="str">
        <f t="shared" si="555"/>
        <v/>
      </c>
      <c r="O5773" s="28"/>
      <c r="P5773" s="36" t="str">
        <f t="shared" si="556"/>
        <v/>
      </c>
      <c r="Q5773" s="216" t="str">
        <f t="shared" si="557"/>
        <v/>
      </c>
      <c r="R5773" s="216" t="str">
        <f t="shared" si="558"/>
        <v/>
      </c>
      <c r="S5773" s="217" t="str">
        <f t="shared" si="559"/>
        <v/>
      </c>
    </row>
    <row r="5774" spans="1:19" ht="15.75" hidden="1" thickBot="1" x14ac:dyDescent="0.3">
      <c r="A5774" s="257"/>
      <c r="B5774" s="260"/>
      <c r="C5774" s="31"/>
      <c r="D5774" s="31"/>
      <c r="E5774" s="32"/>
      <c r="F5774" s="53" t="s">
        <v>416</v>
      </c>
      <c r="G5774" s="53" t="str">
        <f t="shared" si="554"/>
        <v/>
      </c>
      <c r="H5774" s="72"/>
      <c r="I5774" s="73"/>
      <c r="J5774" s="152">
        <v>0</v>
      </c>
      <c r="L5774" s="219"/>
      <c r="M5774" s="53"/>
      <c r="N5774" s="53" t="str">
        <f t="shared" si="555"/>
        <v/>
      </c>
      <c r="O5774" s="72"/>
      <c r="P5774" s="36" t="str">
        <f t="shared" si="556"/>
        <v/>
      </c>
      <c r="Q5774" s="216" t="str">
        <f t="shared" si="557"/>
        <v/>
      </c>
      <c r="R5774" s="216" t="str">
        <f t="shared" si="558"/>
        <v/>
      </c>
      <c r="S5774" s="217" t="str">
        <f t="shared" si="559"/>
        <v/>
      </c>
    </row>
    <row r="5775" spans="1:19" ht="39" hidden="1" thickBot="1" x14ac:dyDescent="0.3">
      <c r="A5775" s="257"/>
      <c r="B5775" s="260"/>
      <c r="C5775" s="35" t="s">
        <v>8093</v>
      </c>
      <c r="D5775" s="35" t="s">
        <v>213</v>
      </c>
      <c r="E5775" s="36">
        <v>1</v>
      </c>
      <c r="F5775" s="30">
        <v>3.1825000000000001</v>
      </c>
      <c r="G5775" s="53">
        <f t="shared" si="554"/>
        <v>3.1825000000000001</v>
      </c>
      <c r="H5775" s="38">
        <f>SUM(G5775:G5775)</f>
        <v>3.1825000000000001</v>
      </c>
      <c r="I5775" s="39"/>
      <c r="J5775" s="152">
        <v>0</v>
      </c>
      <c r="L5775" s="215">
        <v>1</v>
      </c>
      <c r="M5775" s="30">
        <v>2.7242200000000003</v>
      </c>
      <c r="N5775" s="53">
        <f t="shared" si="555"/>
        <v>2.7242200000000003</v>
      </c>
      <c r="O5775" s="38">
        <f>SUM(N5775:N5775)</f>
        <v>2.7242200000000003</v>
      </c>
      <c r="P5775" s="36" t="str">
        <f t="shared" si="556"/>
        <v/>
      </c>
      <c r="Q5775" s="216">
        <f t="shared" si="557"/>
        <v>0.14399999999999991</v>
      </c>
      <c r="R5775" s="216">
        <f t="shared" si="558"/>
        <v>0.14399999999999991</v>
      </c>
      <c r="S5775" s="217">
        <f t="shared" si="559"/>
        <v>0.14399999999999991</v>
      </c>
    </row>
    <row r="5776" spans="1:19" ht="15.75" hidden="1" thickBot="1" x14ac:dyDescent="0.3">
      <c r="A5776" s="258"/>
      <c r="B5776" s="261"/>
      <c r="C5776" s="54"/>
      <c r="D5776" s="155"/>
      <c r="E5776" s="65"/>
      <c r="F5776" s="75" t="s">
        <v>416</v>
      </c>
      <c r="G5776" s="75" t="str">
        <f t="shared" si="554"/>
        <v/>
      </c>
      <c r="H5776" s="76"/>
      <c r="I5776" s="73"/>
      <c r="J5776" s="152">
        <v>0</v>
      </c>
      <c r="L5776" s="222"/>
      <c r="M5776" s="75"/>
      <c r="N5776" s="75" t="str">
        <f t="shared" si="555"/>
        <v/>
      </c>
      <c r="O5776" s="76"/>
      <c r="P5776" s="36" t="str">
        <f t="shared" si="556"/>
        <v/>
      </c>
      <c r="Q5776" s="216" t="str">
        <f t="shared" si="557"/>
        <v/>
      </c>
      <c r="R5776" s="216" t="str">
        <f t="shared" si="558"/>
        <v/>
      </c>
      <c r="S5776" s="217" t="str">
        <f t="shared" si="559"/>
        <v/>
      </c>
    </row>
    <row r="5777" spans="1:19" ht="15.75" hidden="1" thickBot="1" x14ac:dyDescent="0.3">
      <c r="A5777" s="256" t="s">
        <v>4622</v>
      </c>
      <c r="B5777" s="259" t="str">
        <f>INDEX(Orçamentária!A:B,MATCH(Composições!A5777,Orçamentária!A:A,0),2)</f>
        <v>Conector curvo para eletroduto 1”</v>
      </c>
      <c r="C5777" s="40"/>
      <c r="D5777" s="25" t="s">
        <v>16</v>
      </c>
      <c r="E5777" s="26"/>
      <c r="F5777" s="48" t="s">
        <v>416</v>
      </c>
      <c r="G5777" s="27" t="str">
        <f t="shared" si="554"/>
        <v/>
      </c>
      <c r="H5777" s="28"/>
      <c r="I5777" s="29"/>
      <c r="J5777" s="152">
        <v>0</v>
      </c>
      <c r="L5777" s="218"/>
      <c r="M5777" s="48"/>
      <c r="N5777" s="27" t="str">
        <f t="shared" si="555"/>
        <v/>
      </c>
      <c r="O5777" s="28"/>
      <c r="P5777" s="36" t="str">
        <f t="shared" si="556"/>
        <v/>
      </c>
      <c r="Q5777" s="216" t="str">
        <f t="shared" si="557"/>
        <v/>
      </c>
      <c r="R5777" s="216" t="str">
        <f t="shared" si="558"/>
        <v/>
      </c>
      <c r="S5777" s="217" t="str">
        <f t="shared" si="559"/>
        <v/>
      </c>
    </row>
    <row r="5778" spans="1:19" ht="15.75" hidden="1" thickBot="1" x14ac:dyDescent="0.3">
      <c r="A5778" s="257"/>
      <c r="B5778" s="260"/>
      <c r="C5778" s="31"/>
      <c r="D5778" s="31"/>
      <c r="E5778" s="32"/>
      <c r="F5778" s="53" t="s">
        <v>416</v>
      </c>
      <c r="G5778" s="53" t="str">
        <f t="shared" si="554"/>
        <v/>
      </c>
      <c r="H5778" s="72"/>
      <c r="I5778" s="73"/>
      <c r="J5778" s="152">
        <v>0</v>
      </c>
      <c r="L5778" s="219"/>
      <c r="M5778" s="53"/>
      <c r="N5778" s="53" t="str">
        <f t="shared" si="555"/>
        <v/>
      </c>
      <c r="O5778" s="72"/>
      <c r="P5778" s="36" t="str">
        <f t="shared" si="556"/>
        <v/>
      </c>
      <c r="Q5778" s="216" t="str">
        <f t="shared" si="557"/>
        <v/>
      </c>
      <c r="R5778" s="216" t="str">
        <f t="shared" si="558"/>
        <v/>
      </c>
      <c r="S5778" s="217" t="str">
        <f t="shared" si="559"/>
        <v/>
      </c>
    </row>
    <row r="5779" spans="1:19" ht="39" hidden="1" thickBot="1" x14ac:dyDescent="0.3">
      <c r="A5779" s="257"/>
      <c r="B5779" s="260"/>
      <c r="C5779" s="35" t="s">
        <v>8085</v>
      </c>
      <c r="D5779" s="35" t="s">
        <v>213</v>
      </c>
      <c r="E5779" s="36">
        <v>1</v>
      </c>
      <c r="F5779" s="30">
        <v>10.1175</v>
      </c>
      <c r="G5779" s="53">
        <f t="shared" si="554"/>
        <v>10.1175</v>
      </c>
      <c r="H5779" s="38">
        <f>SUM(G5779:G5779)</f>
        <v>10.1175</v>
      </c>
      <c r="I5779" s="39"/>
      <c r="J5779" s="152">
        <v>0</v>
      </c>
      <c r="L5779" s="215">
        <v>1</v>
      </c>
      <c r="M5779" s="30">
        <v>8.6605799999999995</v>
      </c>
      <c r="N5779" s="53">
        <f t="shared" si="555"/>
        <v>8.6605799999999995</v>
      </c>
      <c r="O5779" s="38">
        <f>SUM(N5779:N5779)</f>
        <v>8.6605799999999995</v>
      </c>
      <c r="P5779" s="36" t="str">
        <f t="shared" si="556"/>
        <v/>
      </c>
      <c r="Q5779" s="216">
        <f t="shared" si="557"/>
        <v>0.14400000000000002</v>
      </c>
      <c r="R5779" s="216">
        <f t="shared" si="558"/>
        <v>0.14400000000000002</v>
      </c>
      <c r="S5779" s="217">
        <f t="shared" si="559"/>
        <v>0.14400000000000002</v>
      </c>
    </row>
    <row r="5780" spans="1:19" ht="15.75" hidden="1" thickBot="1" x14ac:dyDescent="0.3">
      <c r="A5780" s="258"/>
      <c r="B5780" s="261"/>
      <c r="C5780" s="54"/>
      <c r="D5780" s="155"/>
      <c r="E5780" s="65"/>
      <c r="F5780" s="75" t="s">
        <v>416</v>
      </c>
      <c r="G5780" s="75" t="str">
        <f t="shared" si="554"/>
        <v/>
      </c>
      <c r="H5780" s="76"/>
      <c r="I5780" s="73"/>
      <c r="J5780" s="152">
        <v>0</v>
      </c>
      <c r="L5780" s="222"/>
      <c r="M5780" s="75"/>
      <c r="N5780" s="75" t="str">
        <f t="shared" si="555"/>
        <v/>
      </c>
      <c r="O5780" s="76"/>
      <c r="P5780" s="36" t="str">
        <f t="shared" si="556"/>
        <v/>
      </c>
      <c r="Q5780" s="216" t="str">
        <f t="shared" si="557"/>
        <v/>
      </c>
      <c r="R5780" s="216" t="str">
        <f t="shared" si="558"/>
        <v/>
      </c>
      <c r="S5780" s="217" t="str">
        <f t="shared" si="559"/>
        <v/>
      </c>
    </row>
    <row r="5781" spans="1:19" ht="15.75" hidden="1" thickBot="1" x14ac:dyDescent="0.3">
      <c r="A5781" s="256" t="s">
        <v>4623</v>
      </c>
      <c r="B5781" s="259" t="str">
        <f>INDEX(Orçamentária!A:B,MATCH(Composições!A5781,Orçamentária!A:A,0),2)</f>
        <v>Luva para eletroduto 1”</v>
      </c>
      <c r="C5781" s="40"/>
      <c r="D5781" s="25" t="s">
        <v>16</v>
      </c>
      <c r="E5781" s="26"/>
      <c r="F5781" s="48" t="s">
        <v>416</v>
      </c>
      <c r="G5781" s="27" t="str">
        <f t="shared" si="554"/>
        <v/>
      </c>
      <c r="H5781" s="28"/>
      <c r="I5781" s="29"/>
      <c r="J5781" s="152">
        <v>0</v>
      </c>
      <c r="L5781" s="218"/>
      <c r="M5781" s="48"/>
      <c r="N5781" s="27" t="str">
        <f t="shared" si="555"/>
        <v/>
      </c>
      <c r="O5781" s="28"/>
      <c r="P5781" s="36" t="str">
        <f t="shared" si="556"/>
        <v/>
      </c>
      <c r="Q5781" s="216" t="str">
        <f t="shared" si="557"/>
        <v/>
      </c>
      <c r="R5781" s="216" t="str">
        <f t="shared" si="558"/>
        <v/>
      </c>
      <c r="S5781" s="217" t="str">
        <f t="shared" si="559"/>
        <v/>
      </c>
    </row>
    <row r="5782" spans="1:19" ht="15.75" hidden="1" thickBot="1" x14ac:dyDescent="0.3">
      <c r="A5782" s="257"/>
      <c r="B5782" s="260"/>
      <c r="C5782" s="31"/>
      <c r="D5782" s="31"/>
      <c r="E5782" s="32"/>
      <c r="F5782" s="53" t="s">
        <v>416</v>
      </c>
      <c r="G5782" s="53" t="str">
        <f t="shared" si="554"/>
        <v/>
      </c>
      <c r="H5782" s="72"/>
      <c r="I5782" s="73"/>
      <c r="J5782" s="152">
        <v>0</v>
      </c>
      <c r="L5782" s="219"/>
      <c r="M5782" s="53"/>
      <c r="N5782" s="53" t="str">
        <f t="shared" si="555"/>
        <v/>
      </c>
      <c r="O5782" s="72"/>
      <c r="P5782" s="36" t="str">
        <f t="shared" si="556"/>
        <v/>
      </c>
      <c r="Q5782" s="216" t="str">
        <f t="shared" si="557"/>
        <v/>
      </c>
      <c r="R5782" s="216" t="str">
        <f t="shared" si="558"/>
        <v/>
      </c>
      <c r="S5782" s="217" t="str">
        <f t="shared" si="559"/>
        <v/>
      </c>
    </row>
    <row r="5783" spans="1:19" ht="26.25" hidden="1" thickBot="1" x14ac:dyDescent="0.3">
      <c r="A5783" s="257"/>
      <c r="B5783" s="260"/>
      <c r="C5783" s="35" t="s">
        <v>8262</v>
      </c>
      <c r="D5783" s="35" t="s">
        <v>213</v>
      </c>
      <c r="E5783" s="36">
        <v>1</v>
      </c>
      <c r="F5783" s="30">
        <v>2.0329999999999999</v>
      </c>
      <c r="G5783" s="53">
        <f t="shared" si="554"/>
        <v>2.0329999999999999</v>
      </c>
      <c r="H5783" s="38">
        <f>SUM(G5783:G5783)</f>
        <v>2.0329999999999999</v>
      </c>
      <c r="I5783" s="39"/>
      <c r="J5783" s="152">
        <v>0</v>
      </c>
      <c r="L5783" s="215">
        <v>1</v>
      </c>
      <c r="M5783" s="30">
        <v>1.740248</v>
      </c>
      <c r="N5783" s="53">
        <f t="shared" si="555"/>
        <v>1.740248</v>
      </c>
      <c r="O5783" s="38">
        <f>SUM(N5783:N5783)</f>
        <v>1.740248</v>
      </c>
      <c r="P5783" s="36" t="str">
        <f t="shared" si="556"/>
        <v/>
      </c>
      <c r="Q5783" s="216">
        <f t="shared" si="557"/>
        <v>0.14399999999999991</v>
      </c>
      <c r="R5783" s="216">
        <f t="shared" si="558"/>
        <v>0.14399999999999991</v>
      </c>
      <c r="S5783" s="217">
        <f t="shared" si="559"/>
        <v>0.14399999999999991</v>
      </c>
    </row>
    <row r="5784" spans="1:19" ht="15.75" hidden="1" thickBot="1" x14ac:dyDescent="0.3">
      <c r="A5784" s="258"/>
      <c r="B5784" s="261"/>
      <c r="C5784" s="54"/>
      <c r="D5784" s="155"/>
      <c r="E5784" s="65"/>
      <c r="F5784" s="75" t="s">
        <v>416</v>
      </c>
      <c r="G5784" s="75" t="str">
        <f t="shared" si="554"/>
        <v/>
      </c>
      <c r="H5784" s="76"/>
      <c r="I5784" s="73"/>
      <c r="J5784" s="152">
        <v>0</v>
      </c>
      <c r="L5784" s="222"/>
      <c r="M5784" s="75"/>
      <c r="N5784" s="75" t="str">
        <f t="shared" si="555"/>
        <v/>
      </c>
      <c r="O5784" s="76"/>
      <c r="P5784" s="36" t="str">
        <f t="shared" si="556"/>
        <v/>
      </c>
      <c r="Q5784" s="216" t="str">
        <f t="shared" si="557"/>
        <v/>
      </c>
      <c r="R5784" s="216" t="str">
        <f t="shared" si="558"/>
        <v/>
      </c>
      <c r="S5784" s="217" t="str">
        <f t="shared" si="559"/>
        <v/>
      </c>
    </row>
    <row r="5785" spans="1:19" ht="15.75" hidden="1" thickBot="1" x14ac:dyDescent="0.3">
      <c r="A5785" s="256" t="s">
        <v>4625</v>
      </c>
      <c r="B5785" s="259" t="str">
        <f>INDEX(Orçamentária!A:B,MATCH(Composições!A5785,Orçamentária!A:A,0),2)</f>
        <v>Curva para eletroduto 1”</v>
      </c>
      <c r="C5785" s="40"/>
      <c r="D5785" s="25" t="s">
        <v>16</v>
      </c>
      <c r="E5785" s="26"/>
      <c r="F5785" s="48" t="s">
        <v>416</v>
      </c>
      <c r="G5785" s="27" t="str">
        <f t="shared" si="554"/>
        <v/>
      </c>
      <c r="H5785" s="28"/>
      <c r="I5785" s="29"/>
      <c r="J5785" s="152">
        <v>0</v>
      </c>
      <c r="L5785" s="218"/>
      <c r="M5785" s="48"/>
      <c r="N5785" s="27" t="str">
        <f t="shared" si="555"/>
        <v/>
      </c>
      <c r="O5785" s="28"/>
      <c r="P5785" s="36" t="str">
        <f t="shared" si="556"/>
        <v/>
      </c>
      <c r="Q5785" s="216" t="str">
        <f t="shared" si="557"/>
        <v/>
      </c>
      <c r="R5785" s="216" t="str">
        <f t="shared" si="558"/>
        <v/>
      </c>
      <c r="S5785" s="217" t="str">
        <f t="shared" si="559"/>
        <v/>
      </c>
    </row>
    <row r="5786" spans="1:19" ht="15.75" hidden="1" thickBot="1" x14ac:dyDescent="0.3">
      <c r="A5786" s="257"/>
      <c r="B5786" s="260"/>
      <c r="C5786" s="31"/>
      <c r="D5786" s="31"/>
      <c r="E5786" s="32"/>
      <c r="F5786" s="53" t="s">
        <v>416</v>
      </c>
      <c r="G5786" s="53" t="str">
        <f t="shared" si="554"/>
        <v/>
      </c>
      <c r="H5786" s="72"/>
      <c r="I5786" s="73"/>
      <c r="J5786" s="152">
        <v>0</v>
      </c>
      <c r="L5786" s="219"/>
      <c r="M5786" s="53"/>
      <c r="N5786" s="53" t="str">
        <f t="shared" si="555"/>
        <v/>
      </c>
      <c r="O5786" s="72"/>
      <c r="P5786" s="36" t="str">
        <f t="shared" si="556"/>
        <v/>
      </c>
      <c r="Q5786" s="216" t="str">
        <f t="shared" si="557"/>
        <v/>
      </c>
      <c r="R5786" s="216" t="str">
        <f t="shared" si="558"/>
        <v/>
      </c>
      <c r="S5786" s="217" t="str">
        <f t="shared" si="559"/>
        <v/>
      </c>
    </row>
    <row r="5787" spans="1:19" ht="26.25" hidden="1" thickBot="1" x14ac:dyDescent="0.3">
      <c r="A5787" s="257"/>
      <c r="B5787" s="260"/>
      <c r="C5787" s="35" t="s">
        <v>8128</v>
      </c>
      <c r="D5787" s="35" t="s">
        <v>213</v>
      </c>
      <c r="E5787" s="36">
        <v>1</v>
      </c>
      <c r="F5787" s="30">
        <v>6.3079999999999998</v>
      </c>
      <c r="G5787" s="53">
        <f t="shared" si="554"/>
        <v>6.3079999999999998</v>
      </c>
      <c r="H5787" s="38">
        <f>SUM(G5787:G5787)</f>
        <v>6.3079999999999998</v>
      </c>
      <c r="I5787" s="39"/>
      <c r="J5787" s="152">
        <v>0</v>
      </c>
      <c r="L5787" s="215">
        <v>1</v>
      </c>
      <c r="M5787" s="30">
        <v>5.399648</v>
      </c>
      <c r="N5787" s="53">
        <f t="shared" si="555"/>
        <v>5.399648</v>
      </c>
      <c r="O5787" s="38">
        <f>SUM(N5787:N5787)</f>
        <v>5.399648</v>
      </c>
      <c r="P5787" s="36" t="str">
        <f t="shared" si="556"/>
        <v/>
      </c>
      <c r="Q5787" s="216">
        <f t="shared" si="557"/>
        <v>0.14400000000000002</v>
      </c>
      <c r="R5787" s="216">
        <f t="shared" si="558"/>
        <v>0.14400000000000002</v>
      </c>
      <c r="S5787" s="217">
        <f t="shared" si="559"/>
        <v>0.14400000000000002</v>
      </c>
    </row>
    <row r="5788" spans="1:19" ht="15.75" hidden="1" thickBot="1" x14ac:dyDescent="0.3">
      <c r="A5788" s="258"/>
      <c r="B5788" s="261"/>
      <c r="C5788" s="54"/>
      <c r="D5788" s="155"/>
      <c r="E5788" s="65"/>
      <c r="F5788" s="75" t="s">
        <v>416</v>
      </c>
      <c r="G5788" s="75" t="str">
        <f t="shared" si="554"/>
        <v/>
      </c>
      <c r="H5788" s="76"/>
      <c r="I5788" s="73"/>
      <c r="J5788" s="152">
        <v>0</v>
      </c>
      <c r="L5788" s="222"/>
      <c r="M5788" s="75"/>
      <c r="N5788" s="75" t="str">
        <f t="shared" si="555"/>
        <v/>
      </c>
      <c r="O5788" s="76"/>
      <c r="P5788" s="36" t="str">
        <f t="shared" si="556"/>
        <v/>
      </c>
      <c r="Q5788" s="216" t="str">
        <f t="shared" si="557"/>
        <v/>
      </c>
      <c r="R5788" s="216" t="str">
        <f t="shared" si="558"/>
        <v/>
      </c>
      <c r="S5788" s="217" t="str">
        <f t="shared" si="559"/>
        <v/>
      </c>
    </row>
    <row r="5789" spans="1:19" ht="15.75" hidden="1" thickBot="1" x14ac:dyDescent="0.3">
      <c r="A5789" s="256" t="s">
        <v>4626</v>
      </c>
      <c r="B5789" s="259" t="str">
        <f>INDEX(Orçamentária!A:B,MATCH(Composições!A5789,Orçamentária!A:A,0),2)</f>
        <v>Conector reto para eletroduto 1 1/4”</v>
      </c>
      <c r="C5789" s="40"/>
      <c r="D5789" s="25" t="s">
        <v>16</v>
      </c>
      <c r="E5789" s="26"/>
      <c r="F5789" s="48" t="s">
        <v>416</v>
      </c>
      <c r="G5789" s="27" t="str">
        <f t="shared" si="554"/>
        <v/>
      </c>
      <c r="H5789" s="28"/>
      <c r="I5789" s="29"/>
      <c r="J5789" s="152">
        <v>0</v>
      </c>
      <c r="L5789" s="218"/>
      <c r="M5789" s="48"/>
      <c r="N5789" s="27" t="str">
        <f t="shared" si="555"/>
        <v/>
      </c>
      <c r="O5789" s="28"/>
      <c r="P5789" s="36" t="str">
        <f t="shared" si="556"/>
        <v/>
      </c>
      <c r="Q5789" s="216" t="str">
        <f t="shared" si="557"/>
        <v/>
      </c>
      <c r="R5789" s="216" t="str">
        <f t="shared" si="558"/>
        <v/>
      </c>
      <c r="S5789" s="217" t="str">
        <f t="shared" si="559"/>
        <v/>
      </c>
    </row>
    <row r="5790" spans="1:19" ht="15.75" hidden="1" thickBot="1" x14ac:dyDescent="0.3">
      <c r="A5790" s="257"/>
      <c r="B5790" s="260"/>
      <c r="C5790" s="31"/>
      <c r="D5790" s="31"/>
      <c r="E5790" s="32"/>
      <c r="F5790" s="53" t="s">
        <v>416</v>
      </c>
      <c r="G5790" s="53" t="str">
        <f t="shared" si="554"/>
        <v/>
      </c>
      <c r="H5790" s="72"/>
      <c r="I5790" s="73"/>
      <c r="J5790" s="152">
        <v>0</v>
      </c>
      <c r="L5790" s="219"/>
      <c r="M5790" s="53"/>
      <c r="N5790" s="53" t="str">
        <f t="shared" si="555"/>
        <v/>
      </c>
      <c r="O5790" s="72"/>
      <c r="P5790" s="36" t="str">
        <f t="shared" si="556"/>
        <v/>
      </c>
      <c r="Q5790" s="216" t="str">
        <f t="shared" si="557"/>
        <v/>
      </c>
      <c r="R5790" s="216" t="str">
        <f t="shared" si="558"/>
        <v/>
      </c>
      <c r="S5790" s="217" t="str">
        <f t="shared" si="559"/>
        <v/>
      </c>
    </row>
    <row r="5791" spans="1:19" ht="39" hidden="1" thickBot="1" x14ac:dyDescent="0.3">
      <c r="A5791" s="257"/>
      <c r="B5791" s="260"/>
      <c r="C5791" s="35" t="s">
        <v>8092</v>
      </c>
      <c r="D5791" s="35" t="s">
        <v>213</v>
      </c>
      <c r="E5791" s="36">
        <v>1</v>
      </c>
      <c r="F5791" s="30">
        <v>4.4649999999999999</v>
      </c>
      <c r="G5791" s="53">
        <f t="shared" si="554"/>
        <v>4.4649999999999999</v>
      </c>
      <c r="H5791" s="38">
        <f>SUM(G5791:G5791)</f>
        <v>4.4649999999999999</v>
      </c>
      <c r="I5791" s="39"/>
      <c r="J5791" s="152">
        <v>0</v>
      </c>
      <c r="L5791" s="215">
        <v>1</v>
      </c>
      <c r="M5791" s="30">
        <v>3.8220399999999999</v>
      </c>
      <c r="N5791" s="53">
        <f t="shared" si="555"/>
        <v>3.8220399999999999</v>
      </c>
      <c r="O5791" s="38">
        <f>SUM(N5791:N5791)</f>
        <v>3.8220399999999999</v>
      </c>
      <c r="P5791" s="36" t="str">
        <f t="shared" si="556"/>
        <v/>
      </c>
      <c r="Q5791" s="216">
        <f t="shared" si="557"/>
        <v>0.14400000000000002</v>
      </c>
      <c r="R5791" s="216">
        <f t="shared" si="558"/>
        <v>0.14400000000000002</v>
      </c>
      <c r="S5791" s="217">
        <f t="shared" si="559"/>
        <v>0.14400000000000002</v>
      </c>
    </row>
    <row r="5792" spans="1:19" ht="15.75" hidden="1" thickBot="1" x14ac:dyDescent="0.3">
      <c r="A5792" s="258"/>
      <c r="B5792" s="261"/>
      <c r="C5792" s="54"/>
      <c r="D5792" s="155"/>
      <c r="E5792" s="65"/>
      <c r="F5792" s="75" t="s">
        <v>416</v>
      </c>
      <c r="G5792" s="75" t="str">
        <f t="shared" si="554"/>
        <v/>
      </c>
      <c r="H5792" s="76"/>
      <c r="I5792" s="73"/>
      <c r="J5792" s="152">
        <v>0</v>
      </c>
      <c r="L5792" s="222"/>
      <c r="M5792" s="75"/>
      <c r="N5792" s="75" t="str">
        <f t="shared" si="555"/>
        <v/>
      </c>
      <c r="O5792" s="76"/>
      <c r="P5792" s="36" t="str">
        <f t="shared" si="556"/>
        <v/>
      </c>
      <c r="Q5792" s="216" t="str">
        <f t="shared" si="557"/>
        <v/>
      </c>
      <c r="R5792" s="216" t="str">
        <f t="shared" si="558"/>
        <v/>
      </c>
      <c r="S5792" s="217" t="str">
        <f t="shared" si="559"/>
        <v/>
      </c>
    </row>
    <row r="5793" spans="1:19" ht="15.75" hidden="1" thickBot="1" x14ac:dyDescent="0.3">
      <c r="A5793" s="256" t="s">
        <v>4627</v>
      </c>
      <c r="B5793" s="259" t="str">
        <f>INDEX(Orçamentária!A:B,MATCH(Composições!A5793,Orçamentária!A:A,0),2)</f>
        <v>Conector curvo para eletroduto 1 1/4”</v>
      </c>
      <c r="C5793" s="40"/>
      <c r="D5793" s="25" t="s">
        <v>16</v>
      </c>
      <c r="E5793" s="26"/>
      <c r="F5793" s="48" t="s">
        <v>416</v>
      </c>
      <c r="G5793" s="27" t="str">
        <f t="shared" si="554"/>
        <v/>
      </c>
      <c r="H5793" s="28"/>
      <c r="I5793" s="29"/>
      <c r="J5793" s="152">
        <v>0</v>
      </c>
      <c r="L5793" s="218"/>
      <c r="M5793" s="48"/>
      <c r="N5793" s="27" t="str">
        <f t="shared" si="555"/>
        <v/>
      </c>
      <c r="O5793" s="28"/>
      <c r="P5793" s="36" t="str">
        <f t="shared" si="556"/>
        <v/>
      </c>
      <c r="Q5793" s="216" t="str">
        <f t="shared" si="557"/>
        <v/>
      </c>
      <c r="R5793" s="216" t="str">
        <f t="shared" si="558"/>
        <v/>
      </c>
      <c r="S5793" s="217" t="str">
        <f t="shared" si="559"/>
        <v/>
      </c>
    </row>
    <row r="5794" spans="1:19" ht="15.75" hidden="1" thickBot="1" x14ac:dyDescent="0.3">
      <c r="A5794" s="257"/>
      <c r="B5794" s="260"/>
      <c r="C5794" s="31"/>
      <c r="D5794" s="31"/>
      <c r="E5794" s="32"/>
      <c r="F5794" s="53" t="s">
        <v>416</v>
      </c>
      <c r="G5794" s="53" t="str">
        <f t="shared" si="554"/>
        <v/>
      </c>
      <c r="H5794" s="72"/>
      <c r="I5794" s="73"/>
      <c r="J5794" s="152">
        <v>0</v>
      </c>
      <c r="L5794" s="219"/>
      <c r="M5794" s="53"/>
      <c r="N5794" s="53" t="str">
        <f t="shared" si="555"/>
        <v/>
      </c>
      <c r="O5794" s="72"/>
      <c r="P5794" s="36" t="str">
        <f t="shared" si="556"/>
        <v/>
      </c>
      <c r="Q5794" s="216" t="str">
        <f t="shared" si="557"/>
        <v/>
      </c>
      <c r="R5794" s="216" t="str">
        <f t="shared" si="558"/>
        <v/>
      </c>
      <c r="S5794" s="217" t="str">
        <f t="shared" si="559"/>
        <v/>
      </c>
    </row>
    <row r="5795" spans="1:19" ht="39" hidden="1" thickBot="1" x14ac:dyDescent="0.3">
      <c r="A5795" s="257"/>
      <c r="B5795" s="260"/>
      <c r="C5795" s="35" t="s">
        <v>8084</v>
      </c>
      <c r="D5795" s="35" t="s">
        <v>213</v>
      </c>
      <c r="E5795" s="36">
        <v>1</v>
      </c>
      <c r="F5795" s="30">
        <v>12.597</v>
      </c>
      <c r="G5795" s="53">
        <f t="shared" si="554"/>
        <v>12.597</v>
      </c>
      <c r="H5795" s="38">
        <f>SUM(G5795:G5795)</f>
        <v>12.597</v>
      </c>
      <c r="I5795" s="39"/>
      <c r="J5795" s="152">
        <v>0</v>
      </c>
      <c r="L5795" s="215">
        <v>1</v>
      </c>
      <c r="M5795" s="30">
        <v>10.783032</v>
      </c>
      <c r="N5795" s="53">
        <f t="shared" si="555"/>
        <v>10.783032</v>
      </c>
      <c r="O5795" s="38">
        <f>SUM(N5795:N5795)</f>
        <v>10.783032</v>
      </c>
      <c r="P5795" s="36" t="str">
        <f t="shared" si="556"/>
        <v/>
      </c>
      <c r="Q5795" s="216">
        <f t="shared" si="557"/>
        <v>0.14399999999999991</v>
      </c>
      <c r="R5795" s="216">
        <f t="shared" si="558"/>
        <v>0.14399999999999991</v>
      </c>
      <c r="S5795" s="217">
        <f t="shared" si="559"/>
        <v>0.14399999999999991</v>
      </c>
    </row>
    <row r="5796" spans="1:19" ht="15.75" hidden="1" thickBot="1" x14ac:dyDescent="0.3">
      <c r="A5796" s="258"/>
      <c r="B5796" s="261"/>
      <c r="C5796" s="54"/>
      <c r="D5796" s="155"/>
      <c r="E5796" s="65"/>
      <c r="F5796" s="75" t="s">
        <v>416</v>
      </c>
      <c r="G5796" s="75" t="str">
        <f t="shared" si="554"/>
        <v/>
      </c>
      <c r="H5796" s="76"/>
      <c r="I5796" s="73"/>
      <c r="J5796" s="152">
        <v>0</v>
      </c>
      <c r="L5796" s="222"/>
      <c r="M5796" s="75"/>
      <c r="N5796" s="75" t="str">
        <f t="shared" si="555"/>
        <v/>
      </c>
      <c r="O5796" s="76"/>
      <c r="P5796" s="36" t="str">
        <f t="shared" si="556"/>
        <v/>
      </c>
      <c r="Q5796" s="216" t="str">
        <f t="shared" si="557"/>
        <v/>
      </c>
      <c r="R5796" s="216" t="str">
        <f t="shared" si="558"/>
        <v/>
      </c>
      <c r="S5796" s="217" t="str">
        <f t="shared" si="559"/>
        <v/>
      </c>
    </row>
    <row r="5797" spans="1:19" ht="15.75" hidden="1" thickBot="1" x14ac:dyDescent="0.3">
      <c r="A5797" s="256" t="s">
        <v>4628</v>
      </c>
      <c r="B5797" s="259" t="str">
        <f>INDEX(Orçamentária!A:B,MATCH(Composições!A5797,Orçamentária!A:A,0),2)</f>
        <v>Luva para eletroduto 1 1/4”</v>
      </c>
      <c r="C5797" s="40"/>
      <c r="D5797" s="25" t="s">
        <v>16</v>
      </c>
      <c r="E5797" s="26"/>
      <c r="F5797" s="48" t="s">
        <v>416</v>
      </c>
      <c r="G5797" s="27" t="str">
        <f t="shared" si="554"/>
        <v/>
      </c>
      <c r="H5797" s="28"/>
      <c r="I5797" s="29"/>
      <c r="J5797" s="152">
        <v>0</v>
      </c>
      <c r="L5797" s="218"/>
      <c r="M5797" s="48"/>
      <c r="N5797" s="27" t="str">
        <f t="shared" si="555"/>
        <v/>
      </c>
      <c r="O5797" s="28"/>
      <c r="P5797" s="36" t="str">
        <f t="shared" si="556"/>
        <v/>
      </c>
      <c r="Q5797" s="216" t="str">
        <f t="shared" si="557"/>
        <v/>
      </c>
      <c r="R5797" s="216" t="str">
        <f t="shared" si="558"/>
        <v/>
      </c>
      <c r="S5797" s="217" t="str">
        <f t="shared" si="559"/>
        <v/>
      </c>
    </row>
    <row r="5798" spans="1:19" ht="15.75" hidden="1" thickBot="1" x14ac:dyDescent="0.3">
      <c r="A5798" s="257"/>
      <c r="B5798" s="260"/>
      <c r="C5798" s="31"/>
      <c r="D5798" s="31"/>
      <c r="E5798" s="32"/>
      <c r="F5798" s="53" t="s">
        <v>416</v>
      </c>
      <c r="G5798" s="53" t="str">
        <f t="shared" si="554"/>
        <v/>
      </c>
      <c r="H5798" s="72"/>
      <c r="I5798" s="73"/>
      <c r="J5798" s="152">
        <v>0</v>
      </c>
      <c r="L5798" s="219"/>
      <c r="M5798" s="53"/>
      <c r="N5798" s="53" t="str">
        <f t="shared" si="555"/>
        <v/>
      </c>
      <c r="O5798" s="72"/>
      <c r="P5798" s="36" t="str">
        <f t="shared" si="556"/>
        <v/>
      </c>
      <c r="Q5798" s="216" t="str">
        <f t="shared" si="557"/>
        <v/>
      </c>
      <c r="R5798" s="216" t="str">
        <f t="shared" si="558"/>
        <v/>
      </c>
      <c r="S5798" s="217" t="str">
        <f t="shared" si="559"/>
        <v/>
      </c>
    </row>
    <row r="5799" spans="1:19" ht="26.25" hidden="1" thickBot="1" x14ac:dyDescent="0.3">
      <c r="A5799" s="257"/>
      <c r="B5799" s="260"/>
      <c r="C5799" s="35" t="s">
        <v>8263</v>
      </c>
      <c r="D5799" s="35" t="s">
        <v>213</v>
      </c>
      <c r="E5799" s="36">
        <v>1</v>
      </c>
      <c r="F5799" s="30">
        <v>3.61</v>
      </c>
      <c r="G5799" s="53">
        <f t="shared" si="554"/>
        <v>3.61</v>
      </c>
      <c r="H5799" s="38">
        <f>SUM(G5799:G5799)</f>
        <v>3.61</v>
      </c>
      <c r="I5799" s="39"/>
      <c r="J5799" s="152">
        <v>0</v>
      </c>
      <c r="L5799" s="215">
        <v>1</v>
      </c>
      <c r="M5799" s="30">
        <v>3.09016</v>
      </c>
      <c r="N5799" s="53">
        <f t="shared" si="555"/>
        <v>3.09016</v>
      </c>
      <c r="O5799" s="38">
        <f>SUM(N5799:N5799)</f>
        <v>3.09016</v>
      </c>
      <c r="P5799" s="36" t="str">
        <f t="shared" si="556"/>
        <v/>
      </c>
      <c r="Q5799" s="216">
        <f t="shared" si="557"/>
        <v>0.14400000000000002</v>
      </c>
      <c r="R5799" s="216">
        <f t="shared" si="558"/>
        <v>0.14400000000000002</v>
      </c>
      <c r="S5799" s="217">
        <f t="shared" si="559"/>
        <v>0.14400000000000002</v>
      </c>
    </row>
    <row r="5800" spans="1:19" ht="15.75" hidden="1" thickBot="1" x14ac:dyDescent="0.3">
      <c r="A5800" s="258"/>
      <c r="B5800" s="261"/>
      <c r="C5800" s="54"/>
      <c r="D5800" s="155"/>
      <c r="E5800" s="65"/>
      <c r="F5800" s="75" t="s">
        <v>416</v>
      </c>
      <c r="G5800" s="75" t="str">
        <f t="shared" si="554"/>
        <v/>
      </c>
      <c r="H5800" s="76"/>
      <c r="I5800" s="73"/>
      <c r="J5800" s="152">
        <v>0</v>
      </c>
      <c r="L5800" s="222"/>
      <c r="M5800" s="75"/>
      <c r="N5800" s="75" t="str">
        <f t="shared" si="555"/>
        <v/>
      </c>
      <c r="O5800" s="76"/>
      <c r="P5800" s="36" t="str">
        <f t="shared" si="556"/>
        <v/>
      </c>
      <c r="Q5800" s="216" t="str">
        <f t="shared" si="557"/>
        <v/>
      </c>
      <c r="R5800" s="216" t="str">
        <f t="shared" si="558"/>
        <v/>
      </c>
      <c r="S5800" s="217" t="str">
        <f t="shared" si="559"/>
        <v/>
      </c>
    </row>
    <row r="5801" spans="1:19" ht="15.75" hidden="1" thickBot="1" x14ac:dyDescent="0.3">
      <c r="A5801" s="256" t="s">
        <v>4630</v>
      </c>
      <c r="B5801" s="259" t="str">
        <f>INDEX(Orçamentária!A:B,MATCH(Composições!A5801,Orçamentária!A:A,0),2)</f>
        <v>Curva para eletroduto 1 1/4”</v>
      </c>
      <c r="C5801" s="40"/>
      <c r="D5801" s="25" t="s">
        <v>16</v>
      </c>
      <c r="E5801" s="26"/>
      <c r="F5801" s="48" t="s">
        <v>416</v>
      </c>
      <c r="G5801" s="27" t="str">
        <f t="shared" si="554"/>
        <v/>
      </c>
      <c r="H5801" s="28"/>
      <c r="I5801" s="29"/>
      <c r="J5801" s="152">
        <v>0</v>
      </c>
      <c r="L5801" s="218"/>
      <c r="M5801" s="48"/>
      <c r="N5801" s="27" t="str">
        <f t="shared" si="555"/>
        <v/>
      </c>
      <c r="O5801" s="28"/>
      <c r="P5801" s="36" t="str">
        <f t="shared" si="556"/>
        <v/>
      </c>
      <c r="Q5801" s="216" t="str">
        <f t="shared" si="557"/>
        <v/>
      </c>
      <c r="R5801" s="216" t="str">
        <f t="shared" si="558"/>
        <v/>
      </c>
      <c r="S5801" s="217" t="str">
        <f t="shared" si="559"/>
        <v/>
      </c>
    </row>
    <row r="5802" spans="1:19" ht="15.75" hidden="1" thickBot="1" x14ac:dyDescent="0.3">
      <c r="A5802" s="257"/>
      <c r="B5802" s="260"/>
      <c r="C5802" s="31"/>
      <c r="D5802" s="31"/>
      <c r="E5802" s="32"/>
      <c r="F5802" s="53" t="s">
        <v>416</v>
      </c>
      <c r="G5802" s="53" t="str">
        <f t="shared" si="554"/>
        <v/>
      </c>
      <c r="H5802" s="72"/>
      <c r="I5802" s="73"/>
      <c r="J5802" s="152">
        <v>0</v>
      </c>
      <c r="L5802" s="219"/>
      <c r="M5802" s="53"/>
      <c r="N5802" s="53" t="str">
        <f t="shared" si="555"/>
        <v/>
      </c>
      <c r="O5802" s="72"/>
      <c r="P5802" s="36" t="str">
        <f t="shared" si="556"/>
        <v/>
      </c>
      <c r="Q5802" s="216" t="str">
        <f t="shared" si="557"/>
        <v/>
      </c>
      <c r="R5802" s="216" t="str">
        <f t="shared" si="558"/>
        <v/>
      </c>
      <c r="S5802" s="217" t="str">
        <f t="shared" si="559"/>
        <v/>
      </c>
    </row>
    <row r="5803" spans="1:19" ht="26.25" hidden="1" thickBot="1" x14ac:dyDescent="0.3">
      <c r="A5803" s="257"/>
      <c r="B5803" s="260"/>
      <c r="C5803" s="35" t="s">
        <v>8129</v>
      </c>
      <c r="D5803" s="35" t="s">
        <v>213</v>
      </c>
      <c r="E5803" s="36">
        <v>1</v>
      </c>
      <c r="F5803" s="30">
        <v>14.363999999999999</v>
      </c>
      <c r="G5803" s="53">
        <f t="shared" si="554"/>
        <v>14.363999999999999</v>
      </c>
      <c r="H5803" s="38">
        <f>SUM(G5803:G5803)</f>
        <v>14.363999999999999</v>
      </c>
      <c r="I5803" s="39"/>
      <c r="J5803" s="152">
        <v>0</v>
      </c>
      <c r="L5803" s="215">
        <v>1</v>
      </c>
      <c r="M5803" s="30">
        <v>12.295584</v>
      </c>
      <c r="N5803" s="53">
        <f t="shared" si="555"/>
        <v>12.295584</v>
      </c>
      <c r="O5803" s="38">
        <f>SUM(N5803:N5803)</f>
        <v>12.295584</v>
      </c>
      <c r="P5803" s="36" t="str">
        <f t="shared" si="556"/>
        <v/>
      </c>
      <c r="Q5803" s="216">
        <f t="shared" si="557"/>
        <v>0.14399999999999991</v>
      </c>
      <c r="R5803" s="216">
        <f t="shared" si="558"/>
        <v>0.14399999999999991</v>
      </c>
      <c r="S5803" s="217">
        <f t="shared" si="559"/>
        <v>0.14399999999999991</v>
      </c>
    </row>
    <row r="5804" spans="1:19" ht="15.75" hidden="1" thickBot="1" x14ac:dyDescent="0.3">
      <c r="A5804" s="258"/>
      <c r="B5804" s="261"/>
      <c r="C5804" s="54"/>
      <c r="D5804" s="155"/>
      <c r="E5804" s="65"/>
      <c r="F5804" s="75" t="s">
        <v>416</v>
      </c>
      <c r="G5804" s="75" t="str">
        <f t="shared" si="554"/>
        <v/>
      </c>
      <c r="H5804" s="76"/>
      <c r="I5804" s="73"/>
      <c r="J5804" s="152">
        <v>0</v>
      </c>
      <c r="L5804" s="222"/>
      <c r="M5804" s="75"/>
      <c r="N5804" s="75" t="str">
        <f t="shared" si="555"/>
        <v/>
      </c>
      <c r="O5804" s="76"/>
      <c r="P5804" s="36" t="str">
        <f t="shared" si="556"/>
        <v/>
      </c>
      <c r="Q5804" s="216" t="str">
        <f t="shared" si="557"/>
        <v/>
      </c>
      <c r="R5804" s="216" t="str">
        <f t="shared" si="558"/>
        <v/>
      </c>
      <c r="S5804" s="217" t="str">
        <f t="shared" si="559"/>
        <v/>
      </c>
    </row>
    <row r="5805" spans="1:19" ht="15.75" hidden="1" thickBot="1" x14ac:dyDescent="0.3">
      <c r="A5805" s="256" t="s">
        <v>4631</v>
      </c>
      <c r="B5805" s="259" t="str">
        <f>INDEX(Orçamentária!A:B,MATCH(Composições!A5805,Orçamentária!A:A,0),2)</f>
        <v>Conector reto para eletroduto 1 1/2”</v>
      </c>
      <c r="C5805" s="40"/>
      <c r="D5805" s="25" t="s">
        <v>16</v>
      </c>
      <c r="E5805" s="26"/>
      <c r="F5805" s="48" t="s">
        <v>416</v>
      </c>
      <c r="G5805" s="27" t="str">
        <f t="shared" si="554"/>
        <v/>
      </c>
      <c r="H5805" s="28"/>
      <c r="I5805" s="29"/>
      <c r="J5805" s="152">
        <v>0</v>
      </c>
      <c r="L5805" s="218"/>
      <c r="M5805" s="48"/>
      <c r="N5805" s="27" t="str">
        <f t="shared" si="555"/>
        <v/>
      </c>
      <c r="O5805" s="28"/>
      <c r="P5805" s="36" t="str">
        <f t="shared" si="556"/>
        <v/>
      </c>
      <c r="Q5805" s="216" t="str">
        <f t="shared" si="557"/>
        <v/>
      </c>
      <c r="R5805" s="216" t="str">
        <f t="shared" si="558"/>
        <v/>
      </c>
      <c r="S5805" s="217" t="str">
        <f t="shared" si="559"/>
        <v/>
      </c>
    </row>
    <row r="5806" spans="1:19" ht="15.75" hidden="1" thickBot="1" x14ac:dyDescent="0.3">
      <c r="A5806" s="257"/>
      <c r="B5806" s="260"/>
      <c r="C5806" s="31"/>
      <c r="D5806" s="31"/>
      <c r="E5806" s="32"/>
      <c r="F5806" s="53" t="s">
        <v>416</v>
      </c>
      <c r="G5806" s="53" t="str">
        <f t="shared" ref="G5806:G5869" si="560">IF(ISNUMBER(F5806),E5806*F5806,"")</f>
        <v/>
      </c>
      <c r="H5806" s="72"/>
      <c r="I5806" s="73"/>
      <c r="J5806" s="152">
        <v>0</v>
      </c>
      <c r="L5806" s="219"/>
      <c r="M5806" s="53"/>
      <c r="N5806" s="53" t="str">
        <f t="shared" ref="N5806:N5869" si="561">IF(ISNUMBER(M5806),L5806*M5806,"")</f>
        <v/>
      </c>
      <c r="O5806" s="72"/>
      <c r="P5806" s="36" t="str">
        <f t="shared" si="556"/>
        <v/>
      </c>
      <c r="Q5806" s="216" t="str">
        <f t="shared" si="557"/>
        <v/>
      </c>
      <c r="R5806" s="216" t="str">
        <f t="shared" si="558"/>
        <v/>
      </c>
      <c r="S5806" s="217" t="str">
        <f t="shared" si="559"/>
        <v/>
      </c>
    </row>
    <row r="5807" spans="1:19" ht="39" hidden="1" thickBot="1" x14ac:dyDescent="0.3">
      <c r="A5807" s="257"/>
      <c r="B5807" s="260"/>
      <c r="C5807" s="35" t="s">
        <v>8091</v>
      </c>
      <c r="D5807" s="35" t="s">
        <v>213</v>
      </c>
      <c r="E5807" s="36">
        <v>1</v>
      </c>
      <c r="F5807" s="30">
        <v>6.9729999999999999</v>
      </c>
      <c r="G5807" s="53">
        <f t="shared" si="560"/>
        <v>6.9729999999999999</v>
      </c>
      <c r="H5807" s="38">
        <f>SUM(G5807:G5807)</f>
        <v>6.9729999999999999</v>
      </c>
      <c r="I5807" s="39"/>
      <c r="J5807" s="152">
        <v>0</v>
      </c>
      <c r="L5807" s="215">
        <v>1</v>
      </c>
      <c r="M5807" s="30">
        <v>5.9688879999999997</v>
      </c>
      <c r="N5807" s="53">
        <f t="shared" si="561"/>
        <v>5.9688879999999997</v>
      </c>
      <c r="O5807" s="38">
        <f>SUM(N5807:N5807)</f>
        <v>5.9688879999999997</v>
      </c>
      <c r="P5807" s="36" t="str">
        <f t="shared" si="556"/>
        <v/>
      </c>
      <c r="Q5807" s="216">
        <f t="shared" si="557"/>
        <v>0.14400000000000002</v>
      </c>
      <c r="R5807" s="216">
        <f t="shared" si="558"/>
        <v>0.14400000000000002</v>
      </c>
      <c r="S5807" s="217">
        <f t="shared" si="559"/>
        <v>0.14400000000000002</v>
      </c>
    </row>
    <row r="5808" spans="1:19" ht="15.75" hidden="1" thickBot="1" x14ac:dyDescent="0.3">
      <c r="A5808" s="258"/>
      <c r="B5808" s="261"/>
      <c r="C5808" s="54"/>
      <c r="D5808" s="155"/>
      <c r="E5808" s="65"/>
      <c r="F5808" s="75" t="s">
        <v>416</v>
      </c>
      <c r="G5808" s="75" t="str">
        <f t="shared" si="560"/>
        <v/>
      </c>
      <c r="H5808" s="76"/>
      <c r="I5808" s="73"/>
      <c r="J5808" s="152">
        <v>0</v>
      </c>
      <c r="L5808" s="222"/>
      <c r="M5808" s="75"/>
      <c r="N5808" s="75" t="str">
        <f t="shared" si="561"/>
        <v/>
      </c>
      <c r="O5808" s="76"/>
      <c r="P5808" s="36" t="str">
        <f t="shared" si="556"/>
        <v/>
      </c>
      <c r="Q5808" s="216" t="str">
        <f t="shared" si="557"/>
        <v/>
      </c>
      <c r="R5808" s="216" t="str">
        <f t="shared" si="558"/>
        <v/>
      </c>
      <c r="S5808" s="217" t="str">
        <f t="shared" si="559"/>
        <v/>
      </c>
    </row>
    <row r="5809" spans="1:19" ht="15.75" hidden="1" thickBot="1" x14ac:dyDescent="0.3">
      <c r="A5809" s="256" t="s">
        <v>4632</v>
      </c>
      <c r="B5809" s="259" t="str">
        <f>INDEX(Orçamentária!A:B,MATCH(Composições!A5809,Orçamentária!A:A,0),2)</f>
        <v>Conector curvo para eletroduto 1 1/2”</v>
      </c>
      <c r="C5809" s="40"/>
      <c r="D5809" s="25" t="s">
        <v>16</v>
      </c>
      <c r="E5809" s="26"/>
      <c r="F5809" s="48" t="s">
        <v>416</v>
      </c>
      <c r="G5809" s="27" t="str">
        <f t="shared" si="560"/>
        <v/>
      </c>
      <c r="H5809" s="28"/>
      <c r="I5809" s="29"/>
      <c r="J5809" s="152">
        <v>0</v>
      </c>
      <c r="L5809" s="218"/>
      <c r="M5809" s="48"/>
      <c r="N5809" s="27" t="str">
        <f t="shared" si="561"/>
        <v/>
      </c>
      <c r="O5809" s="28"/>
      <c r="P5809" s="36" t="str">
        <f t="shared" si="556"/>
        <v/>
      </c>
      <c r="Q5809" s="216" t="str">
        <f t="shared" si="557"/>
        <v/>
      </c>
      <c r="R5809" s="216" t="str">
        <f t="shared" si="558"/>
        <v/>
      </c>
      <c r="S5809" s="217" t="str">
        <f t="shared" si="559"/>
        <v/>
      </c>
    </row>
    <row r="5810" spans="1:19" ht="15.75" hidden="1" thickBot="1" x14ac:dyDescent="0.3">
      <c r="A5810" s="257"/>
      <c r="B5810" s="260"/>
      <c r="C5810" s="31"/>
      <c r="D5810" s="31"/>
      <c r="E5810" s="32"/>
      <c r="F5810" s="53" t="s">
        <v>416</v>
      </c>
      <c r="G5810" s="53" t="str">
        <f t="shared" si="560"/>
        <v/>
      </c>
      <c r="H5810" s="72"/>
      <c r="I5810" s="73"/>
      <c r="J5810" s="152">
        <v>0</v>
      </c>
      <c r="L5810" s="219"/>
      <c r="M5810" s="53"/>
      <c r="N5810" s="53" t="str">
        <f t="shared" si="561"/>
        <v/>
      </c>
      <c r="O5810" s="72"/>
      <c r="P5810" s="36" t="str">
        <f t="shared" si="556"/>
        <v/>
      </c>
      <c r="Q5810" s="216" t="str">
        <f t="shared" si="557"/>
        <v/>
      </c>
      <c r="R5810" s="216" t="str">
        <f t="shared" si="558"/>
        <v/>
      </c>
      <c r="S5810" s="217" t="str">
        <f t="shared" si="559"/>
        <v/>
      </c>
    </row>
    <row r="5811" spans="1:19" ht="39" hidden="1" thickBot="1" x14ac:dyDescent="0.3">
      <c r="A5811" s="257"/>
      <c r="B5811" s="260"/>
      <c r="C5811" s="35" t="s">
        <v>8083</v>
      </c>
      <c r="D5811" s="35" t="s">
        <v>213</v>
      </c>
      <c r="E5811" s="36">
        <v>1</v>
      </c>
      <c r="F5811" s="30">
        <v>19.494</v>
      </c>
      <c r="G5811" s="53">
        <f t="shared" si="560"/>
        <v>19.494</v>
      </c>
      <c r="H5811" s="38">
        <f>SUM(G5811:G5811)</f>
        <v>19.494</v>
      </c>
      <c r="I5811" s="39"/>
      <c r="J5811" s="152">
        <v>0</v>
      </c>
      <c r="L5811" s="215">
        <v>1</v>
      </c>
      <c r="M5811" s="30">
        <v>16.686864</v>
      </c>
      <c r="N5811" s="53">
        <f t="shared" si="561"/>
        <v>16.686864</v>
      </c>
      <c r="O5811" s="38">
        <f>SUM(N5811:N5811)</f>
        <v>16.686864</v>
      </c>
      <c r="P5811" s="36" t="str">
        <f t="shared" si="556"/>
        <v/>
      </c>
      <c r="Q5811" s="216">
        <f t="shared" si="557"/>
        <v>0.14400000000000002</v>
      </c>
      <c r="R5811" s="216">
        <f t="shared" si="558"/>
        <v>0.14400000000000002</v>
      </c>
      <c r="S5811" s="217">
        <f t="shared" si="559"/>
        <v>0.14400000000000002</v>
      </c>
    </row>
    <row r="5812" spans="1:19" ht="15.75" hidden="1" thickBot="1" x14ac:dyDescent="0.3">
      <c r="A5812" s="258"/>
      <c r="B5812" s="261"/>
      <c r="C5812" s="54"/>
      <c r="D5812" s="155"/>
      <c r="E5812" s="65"/>
      <c r="F5812" s="75" t="s">
        <v>416</v>
      </c>
      <c r="G5812" s="75" t="str">
        <f t="shared" si="560"/>
        <v/>
      </c>
      <c r="H5812" s="76"/>
      <c r="I5812" s="73"/>
      <c r="J5812" s="152">
        <v>0</v>
      </c>
      <c r="L5812" s="222"/>
      <c r="M5812" s="75"/>
      <c r="N5812" s="75" t="str">
        <f t="shared" si="561"/>
        <v/>
      </c>
      <c r="O5812" s="76"/>
      <c r="P5812" s="36" t="str">
        <f t="shared" si="556"/>
        <v/>
      </c>
      <c r="Q5812" s="216" t="str">
        <f t="shared" si="557"/>
        <v/>
      </c>
      <c r="R5812" s="216" t="str">
        <f t="shared" si="558"/>
        <v/>
      </c>
      <c r="S5812" s="217" t="str">
        <f t="shared" si="559"/>
        <v/>
      </c>
    </row>
    <row r="5813" spans="1:19" ht="15.75" hidden="1" thickBot="1" x14ac:dyDescent="0.3">
      <c r="A5813" s="256" t="s">
        <v>4633</v>
      </c>
      <c r="B5813" s="259" t="str">
        <f>INDEX(Orçamentária!A:B,MATCH(Composições!A5813,Orçamentária!A:A,0),2)</f>
        <v>Luva para eletroduto 1 1/2”</v>
      </c>
      <c r="C5813" s="40"/>
      <c r="D5813" s="25" t="s">
        <v>16</v>
      </c>
      <c r="E5813" s="26"/>
      <c r="F5813" s="48" t="s">
        <v>416</v>
      </c>
      <c r="G5813" s="27" t="str">
        <f t="shared" si="560"/>
        <v/>
      </c>
      <c r="H5813" s="28"/>
      <c r="I5813" s="29"/>
      <c r="J5813" s="152">
        <v>0</v>
      </c>
      <c r="L5813" s="218"/>
      <c r="M5813" s="48"/>
      <c r="N5813" s="27" t="str">
        <f t="shared" si="561"/>
        <v/>
      </c>
      <c r="O5813" s="28"/>
      <c r="P5813" s="36" t="str">
        <f t="shared" si="556"/>
        <v/>
      </c>
      <c r="Q5813" s="216" t="str">
        <f t="shared" si="557"/>
        <v/>
      </c>
      <c r="R5813" s="216" t="str">
        <f t="shared" si="558"/>
        <v/>
      </c>
      <c r="S5813" s="217" t="str">
        <f t="shared" si="559"/>
        <v/>
      </c>
    </row>
    <row r="5814" spans="1:19" ht="15.75" hidden="1" thickBot="1" x14ac:dyDescent="0.3">
      <c r="A5814" s="257"/>
      <c r="B5814" s="260"/>
      <c r="C5814" s="31"/>
      <c r="D5814" s="31"/>
      <c r="E5814" s="32"/>
      <c r="F5814" s="53" t="s">
        <v>416</v>
      </c>
      <c r="G5814" s="53" t="str">
        <f t="shared" si="560"/>
        <v/>
      </c>
      <c r="H5814" s="72"/>
      <c r="I5814" s="73"/>
      <c r="J5814" s="152">
        <v>0</v>
      </c>
      <c r="L5814" s="219"/>
      <c r="M5814" s="53"/>
      <c r="N5814" s="53" t="str">
        <f t="shared" si="561"/>
        <v/>
      </c>
      <c r="O5814" s="72"/>
      <c r="P5814" s="36" t="str">
        <f t="shared" si="556"/>
        <v/>
      </c>
      <c r="Q5814" s="216" t="str">
        <f t="shared" si="557"/>
        <v/>
      </c>
      <c r="R5814" s="216" t="str">
        <f t="shared" si="558"/>
        <v/>
      </c>
      <c r="S5814" s="217" t="str">
        <f t="shared" si="559"/>
        <v/>
      </c>
    </row>
    <row r="5815" spans="1:19" ht="26.25" hidden="1" thickBot="1" x14ac:dyDescent="0.3">
      <c r="A5815" s="257"/>
      <c r="B5815" s="260"/>
      <c r="C5815" s="35" t="s">
        <v>8264</v>
      </c>
      <c r="D5815" s="35" t="s">
        <v>213</v>
      </c>
      <c r="E5815" s="36">
        <v>1</v>
      </c>
      <c r="F5815" s="30">
        <v>5.2249999999999996</v>
      </c>
      <c r="G5815" s="53">
        <f t="shared" si="560"/>
        <v>5.2249999999999996</v>
      </c>
      <c r="H5815" s="38">
        <f>SUM(G5815:G5815)</f>
        <v>5.2249999999999996</v>
      </c>
      <c r="I5815" s="39"/>
      <c r="J5815" s="152">
        <v>0</v>
      </c>
      <c r="L5815" s="215">
        <v>1</v>
      </c>
      <c r="M5815" s="30">
        <v>4.4725999999999999</v>
      </c>
      <c r="N5815" s="53">
        <f t="shared" si="561"/>
        <v>4.4725999999999999</v>
      </c>
      <c r="O5815" s="38">
        <f>SUM(N5815:N5815)</f>
        <v>4.4725999999999999</v>
      </c>
      <c r="P5815" s="36" t="str">
        <f t="shared" si="556"/>
        <v/>
      </c>
      <c r="Q5815" s="216">
        <f t="shared" si="557"/>
        <v>0.14399999999999991</v>
      </c>
      <c r="R5815" s="216">
        <f t="shared" si="558"/>
        <v>0.14399999999999991</v>
      </c>
      <c r="S5815" s="217">
        <f t="shared" si="559"/>
        <v>0.14399999999999991</v>
      </c>
    </row>
    <row r="5816" spans="1:19" ht="15.75" hidden="1" thickBot="1" x14ac:dyDescent="0.3">
      <c r="A5816" s="258"/>
      <c r="B5816" s="261"/>
      <c r="C5816" s="54"/>
      <c r="D5816" s="155"/>
      <c r="E5816" s="65"/>
      <c r="F5816" s="75" t="s">
        <v>416</v>
      </c>
      <c r="G5816" s="75" t="str">
        <f t="shared" si="560"/>
        <v/>
      </c>
      <c r="H5816" s="76"/>
      <c r="I5816" s="73"/>
      <c r="J5816" s="152">
        <v>0</v>
      </c>
      <c r="L5816" s="222"/>
      <c r="M5816" s="75"/>
      <c r="N5816" s="75" t="str">
        <f t="shared" si="561"/>
        <v/>
      </c>
      <c r="O5816" s="76"/>
      <c r="P5816" s="36" t="str">
        <f t="shared" si="556"/>
        <v/>
      </c>
      <c r="Q5816" s="216" t="str">
        <f t="shared" si="557"/>
        <v/>
      </c>
      <c r="R5816" s="216" t="str">
        <f t="shared" si="558"/>
        <v/>
      </c>
      <c r="S5816" s="217" t="str">
        <f t="shared" si="559"/>
        <v/>
      </c>
    </row>
    <row r="5817" spans="1:19" ht="15.75" hidden="1" thickBot="1" x14ac:dyDescent="0.3">
      <c r="A5817" s="256" t="s">
        <v>4635</v>
      </c>
      <c r="B5817" s="259" t="str">
        <f>INDEX(Orçamentária!A:B,MATCH(Composições!A5689,Orçamentária!A:A,0),2)</f>
        <v>Terminal de compressão 240 mm²</v>
      </c>
      <c r="C5817" s="40"/>
      <c r="D5817" s="25" t="s">
        <v>16</v>
      </c>
      <c r="E5817" s="26"/>
      <c r="F5817" s="48" t="s">
        <v>416</v>
      </c>
      <c r="G5817" s="27" t="str">
        <f t="shared" si="560"/>
        <v/>
      </c>
      <c r="H5817" s="28"/>
      <c r="I5817" s="29"/>
      <c r="J5817" s="152">
        <v>0</v>
      </c>
      <c r="L5817" s="218"/>
      <c r="M5817" s="48"/>
      <c r="N5817" s="27" t="str">
        <f t="shared" si="561"/>
        <v/>
      </c>
      <c r="O5817" s="28"/>
      <c r="P5817" s="36" t="str">
        <f t="shared" si="556"/>
        <v/>
      </c>
      <c r="Q5817" s="216" t="str">
        <f t="shared" si="557"/>
        <v/>
      </c>
      <c r="R5817" s="216" t="str">
        <f t="shared" si="558"/>
        <v/>
      </c>
      <c r="S5817" s="217" t="str">
        <f t="shared" si="559"/>
        <v/>
      </c>
    </row>
    <row r="5818" spans="1:19" ht="15.75" hidden="1" thickBot="1" x14ac:dyDescent="0.3">
      <c r="A5818" s="257"/>
      <c r="B5818" s="260"/>
      <c r="C5818" s="31"/>
      <c r="D5818" s="31"/>
      <c r="E5818" s="32"/>
      <c r="F5818" s="53" t="s">
        <v>416</v>
      </c>
      <c r="G5818" s="53" t="str">
        <f t="shared" si="560"/>
        <v/>
      </c>
      <c r="H5818" s="72"/>
      <c r="I5818" s="73"/>
      <c r="J5818" s="152">
        <v>0</v>
      </c>
      <c r="L5818" s="219"/>
      <c r="M5818" s="53"/>
      <c r="N5818" s="53" t="str">
        <f t="shared" si="561"/>
        <v/>
      </c>
      <c r="O5818" s="72"/>
      <c r="P5818" s="36" t="str">
        <f t="shared" si="556"/>
        <v/>
      </c>
      <c r="Q5818" s="216" t="str">
        <f t="shared" si="557"/>
        <v/>
      </c>
      <c r="R5818" s="216" t="str">
        <f t="shared" si="558"/>
        <v/>
      </c>
      <c r="S5818" s="217" t="str">
        <f t="shared" si="559"/>
        <v/>
      </c>
    </row>
    <row r="5819" spans="1:19" ht="26.25" hidden="1" thickBot="1" x14ac:dyDescent="0.3">
      <c r="A5819" s="257"/>
      <c r="B5819" s="260"/>
      <c r="C5819" s="35" t="s">
        <v>8130</v>
      </c>
      <c r="D5819" s="35" t="s">
        <v>213</v>
      </c>
      <c r="E5819" s="36">
        <v>1</v>
      </c>
      <c r="F5819" s="30">
        <v>17.518000000000001</v>
      </c>
      <c r="G5819" s="53">
        <f t="shared" si="560"/>
        <v>17.518000000000001</v>
      </c>
      <c r="H5819" s="38">
        <f>SUM(G5819:G5819)</f>
        <v>17.518000000000001</v>
      </c>
      <c r="I5819" s="39"/>
      <c r="J5819" s="152">
        <v>0</v>
      </c>
      <c r="L5819" s="215">
        <v>1</v>
      </c>
      <c r="M5819" s="30">
        <v>14.995408000000001</v>
      </c>
      <c r="N5819" s="53">
        <f t="shared" si="561"/>
        <v>14.995408000000001</v>
      </c>
      <c r="O5819" s="38">
        <f>SUM(N5819:N5819)</f>
        <v>14.995408000000001</v>
      </c>
      <c r="P5819" s="36" t="str">
        <f t="shared" si="556"/>
        <v/>
      </c>
      <c r="Q5819" s="216">
        <f t="shared" si="557"/>
        <v>0.14400000000000002</v>
      </c>
      <c r="R5819" s="216">
        <f t="shared" si="558"/>
        <v>0.14400000000000002</v>
      </c>
      <c r="S5819" s="217">
        <f t="shared" si="559"/>
        <v>0.14400000000000002</v>
      </c>
    </row>
    <row r="5820" spans="1:19" ht="15.75" hidden="1" thickBot="1" x14ac:dyDescent="0.3">
      <c r="A5820" s="258"/>
      <c r="B5820" s="261"/>
      <c r="C5820" s="54"/>
      <c r="D5820" s="155"/>
      <c r="E5820" s="65"/>
      <c r="F5820" s="75" t="s">
        <v>416</v>
      </c>
      <c r="G5820" s="75" t="str">
        <f t="shared" si="560"/>
        <v/>
      </c>
      <c r="H5820" s="76"/>
      <c r="I5820" s="73"/>
      <c r="J5820" s="152">
        <v>0</v>
      </c>
      <c r="L5820" s="222"/>
      <c r="M5820" s="75"/>
      <c r="N5820" s="75" t="str">
        <f t="shared" si="561"/>
        <v/>
      </c>
      <c r="O5820" s="76"/>
      <c r="P5820" s="36" t="str">
        <f t="shared" si="556"/>
        <v/>
      </c>
      <c r="Q5820" s="216" t="str">
        <f t="shared" si="557"/>
        <v/>
      </c>
      <c r="R5820" s="216" t="str">
        <f t="shared" si="558"/>
        <v/>
      </c>
      <c r="S5820" s="217" t="str">
        <f t="shared" si="559"/>
        <v/>
      </c>
    </row>
    <row r="5821" spans="1:19" ht="15.75" hidden="1" thickBot="1" x14ac:dyDescent="0.3">
      <c r="A5821" s="256" t="s">
        <v>4636</v>
      </c>
      <c r="B5821" s="259" t="str">
        <f>INDEX(Orçamentária!A:B,MATCH(Composições!A5821,Orçamentária!A:A,0),2)</f>
        <v>Conector reto para eletroduto 2”</v>
      </c>
      <c r="C5821" s="40"/>
      <c r="D5821" s="25" t="s">
        <v>16</v>
      </c>
      <c r="E5821" s="26"/>
      <c r="F5821" s="48" t="s">
        <v>416</v>
      </c>
      <c r="G5821" s="27" t="str">
        <f t="shared" si="560"/>
        <v/>
      </c>
      <c r="H5821" s="28"/>
      <c r="I5821" s="29"/>
      <c r="J5821" s="152">
        <v>0</v>
      </c>
      <c r="L5821" s="218"/>
      <c r="M5821" s="48"/>
      <c r="N5821" s="27" t="str">
        <f t="shared" si="561"/>
        <v/>
      </c>
      <c r="O5821" s="28"/>
      <c r="P5821" s="36" t="str">
        <f t="shared" si="556"/>
        <v/>
      </c>
      <c r="Q5821" s="216" t="str">
        <f t="shared" si="557"/>
        <v/>
      </c>
      <c r="R5821" s="216" t="str">
        <f t="shared" si="558"/>
        <v/>
      </c>
      <c r="S5821" s="217" t="str">
        <f t="shared" si="559"/>
        <v/>
      </c>
    </row>
    <row r="5822" spans="1:19" ht="15.75" hidden="1" thickBot="1" x14ac:dyDescent="0.3">
      <c r="A5822" s="257"/>
      <c r="B5822" s="260"/>
      <c r="C5822" s="31"/>
      <c r="D5822" s="31"/>
      <c r="E5822" s="32"/>
      <c r="F5822" s="53" t="s">
        <v>416</v>
      </c>
      <c r="G5822" s="53" t="str">
        <f t="shared" si="560"/>
        <v/>
      </c>
      <c r="H5822" s="72"/>
      <c r="I5822" s="73"/>
      <c r="J5822" s="152">
        <v>0</v>
      </c>
      <c r="L5822" s="219"/>
      <c r="M5822" s="53"/>
      <c r="N5822" s="53" t="str">
        <f t="shared" si="561"/>
        <v/>
      </c>
      <c r="O5822" s="72"/>
      <c r="P5822" s="36" t="str">
        <f t="shared" si="556"/>
        <v/>
      </c>
      <c r="Q5822" s="216" t="str">
        <f t="shared" si="557"/>
        <v/>
      </c>
      <c r="R5822" s="216" t="str">
        <f t="shared" si="558"/>
        <v/>
      </c>
      <c r="S5822" s="217" t="str">
        <f t="shared" si="559"/>
        <v/>
      </c>
    </row>
    <row r="5823" spans="1:19" ht="39" hidden="1" thickBot="1" x14ac:dyDescent="0.3">
      <c r="A5823" s="257"/>
      <c r="B5823" s="260"/>
      <c r="C5823" s="35" t="s">
        <v>8094</v>
      </c>
      <c r="D5823" s="35" t="s">
        <v>213</v>
      </c>
      <c r="E5823" s="36">
        <v>1</v>
      </c>
      <c r="F5823" s="30">
        <v>7.7330000000000005</v>
      </c>
      <c r="G5823" s="53">
        <f t="shared" si="560"/>
        <v>7.7330000000000005</v>
      </c>
      <c r="H5823" s="38">
        <f>SUM(G5823:G5823)</f>
        <v>7.7330000000000005</v>
      </c>
      <c r="I5823" s="39"/>
      <c r="J5823" s="152">
        <v>0</v>
      </c>
      <c r="L5823" s="215">
        <v>1</v>
      </c>
      <c r="M5823" s="30">
        <v>6.6194480000000002</v>
      </c>
      <c r="N5823" s="53">
        <f t="shared" si="561"/>
        <v>6.6194480000000002</v>
      </c>
      <c r="O5823" s="38">
        <f>SUM(N5823:N5823)</f>
        <v>6.6194480000000002</v>
      </c>
      <c r="P5823" s="36" t="str">
        <f t="shared" si="556"/>
        <v/>
      </c>
      <c r="Q5823" s="216">
        <f t="shared" si="557"/>
        <v>0.14400000000000002</v>
      </c>
      <c r="R5823" s="216">
        <f t="shared" si="558"/>
        <v>0.14400000000000002</v>
      </c>
      <c r="S5823" s="217">
        <f t="shared" si="559"/>
        <v>0.14400000000000002</v>
      </c>
    </row>
    <row r="5824" spans="1:19" ht="15.75" hidden="1" thickBot="1" x14ac:dyDescent="0.3">
      <c r="A5824" s="258"/>
      <c r="B5824" s="261"/>
      <c r="C5824" s="54"/>
      <c r="D5824" s="155"/>
      <c r="E5824" s="65"/>
      <c r="F5824" s="75" t="s">
        <v>416</v>
      </c>
      <c r="G5824" s="75" t="str">
        <f t="shared" si="560"/>
        <v/>
      </c>
      <c r="H5824" s="76"/>
      <c r="I5824" s="73"/>
      <c r="J5824" s="152">
        <v>0</v>
      </c>
      <c r="L5824" s="222"/>
      <c r="M5824" s="75"/>
      <c r="N5824" s="75" t="str">
        <f t="shared" si="561"/>
        <v/>
      </c>
      <c r="O5824" s="76"/>
      <c r="P5824" s="36" t="str">
        <f t="shared" si="556"/>
        <v/>
      </c>
      <c r="Q5824" s="216" t="str">
        <f t="shared" si="557"/>
        <v/>
      </c>
      <c r="R5824" s="216" t="str">
        <f t="shared" si="558"/>
        <v/>
      </c>
      <c r="S5824" s="217" t="str">
        <f t="shared" si="559"/>
        <v/>
      </c>
    </row>
    <row r="5825" spans="1:19" ht="15.75" hidden="1" thickBot="1" x14ac:dyDescent="0.3">
      <c r="A5825" s="256" t="s">
        <v>4637</v>
      </c>
      <c r="B5825" s="259" t="str">
        <f>INDEX(Orçamentária!A:B,MATCH(Composições!A5825,Orçamentária!A:A,0),2)</f>
        <v>Conector curvo para eletroduto 2”</v>
      </c>
      <c r="C5825" s="40"/>
      <c r="D5825" s="25" t="s">
        <v>16</v>
      </c>
      <c r="E5825" s="26"/>
      <c r="F5825" s="48" t="s">
        <v>416</v>
      </c>
      <c r="G5825" s="27" t="str">
        <f t="shared" si="560"/>
        <v/>
      </c>
      <c r="H5825" s="28"/>
      <c r="I5825" s="29"/>
      <c r="J5825" s="152">
        <v>0</v>
      </c>
      <c r="L5825" s="218"/>
      <c r="M5825" s="48"/>
      <c r="N5825" s="27" t="str">
        <f t="shared" si="561"/>
        <v/>
      </c>
      <c r="O5825" s="28"/>
      <c r="P5825" s="36" t="str">
        <f t="shared" si="556"/>
        <v/>
      </c>
      <c r="Q5825" s="216" t="str">
        <f t="shared" si="557"/>
        <v/>
      </c>
      <c r="R5825" s="216" t="str">
        <f t="shared" si="558"/>
        <v/>
      </c>
      <c r="S5825" s="217" t="str">
        <f t="shared" si="559"/>
        <v/>
      </c>
    </row>
    <row r="5826" spans="1:19" ht="15.75" hidden="1" thickBot="1" x14ac:dyDescent="0.3">
      <c r="A5826" s="257"/>
      <c r="B5826" s="260"/>
      <c r="C5826" s="31"/>
      <c r="D5826" s="31"/>
      <c r="E5826" s="32"/>
      <c r="F5826" s="53" t="s">
        <v>416</v>
      </c>
      <c r="G5826" s="53" t="str">
        <f t="shared" si="560"/>
        <v/>
      </c>
      <c r="H5826" s="72"/>
      <c r="I5826" s="73"/>
      <c r="J5826" s="152">
        <v>0</v>
      </c>
      <c r="L5826" s="219"/>
      <c r="M5826" s="53"/>
      <c r="N5826" s="53" t="str">
        <f t="shared" si="561"/>
        <v/>
      </c>
      <c r="O5826" s="72"/>
      <c r="P5826" s="36" t="str">
        <f t="shared" si="556"/>
        <v/>
      </c>
      <c r="Q5826" s="216" t="str">
        <f t="shared" si="557"/>
        <v/>
      </c>
      <c r="R5826" s="216" t="str">
        <f t="shared" si="558"/>
        <v/>
      </c>
      <c r="S5826" s="217" t="str">
        <f t="shared" si="559"/>
        <v/>
      </c>
    </row>
    <row r="5827" spans="1:19" ht="39" hidden="1" thickBot="1" x14ac:dyDescent="0.3">
      <c r="A5827" s="257"/>
      <c r="B5827" s="260"/>
      <c r="C5827" s="35" t="s">
        <v>8087</v>
      </c>
      <c r="D5827" s="35" t="s">
        <v>213</v>
      </c>
      <c r="E5827" s="36">
        <v>1</v>
      </c>
      <c r="F5827" s="30">
        <v>39.500999999999998</v>
      </c>
      <c r="G5827" s="53">
        <f t="shared" si="560"/>
        <v>39.500999999999998</v>
      </c>
      <c r="H5827" s="38">
        <f>SUM(G5827:G5827)</f>
        <v>39.500999999999998</v>
      </c>
      <c r="I5827" s="39"/>
      <c r="J5827" s="152">
        <v>0</v>
      </c>
      <c r="L5827" s="215">
        <v>1</v>
      </c>
      <c r="M5827" s="30">
        <v>33.812855999999996</v>
      </c>
      <c r="N5827" s="53">
        <f t="shared" si="561"/>
        <v>33.812855999999996</v>
      </c>
      <c r="O5827" s="38">
        <f>SUM(N5827:N5827)</f>
        <v>33.812855999999996</v>
      </c>
      <c r="P5827" s="36" t="str">
        <f t="shared" si="556"/>
        <v/>
      </c>
      <c r="Q5827" s="216">
        <f t="shared" si="557"/>
        <v>0.14400000000000002</v>
      </c>
      <c r="R5827" s="216">
        <f t="shared" si="558"/>
        <v>0.14400000000000002</v>
      </c>
      <c r="S5827" s="217">
        <f t="shared" si="559"/>
        <v>0.14400000000000002</v>
      </c>
    </row>
    <row r="5828" spans="1:19" ht="15.75" hidden="1" thickBot="1" x14ac:dyDescent="0.3">
      <c r="A5828" s="258"/>
      <c r="B5828" s="261"/>
      <c r="C5828" s="54"/>
      <c r="D5828" s="155"/>
      <c r="E5828" s="65"/>
      <c r="F5828" s="75" t="s">
        <v>416</v>
      </c>
      <c r="G5828" s="75" t="str">
        <f t="shared" si="560"/>
        <v/>
      </c>
      <c r="H5828" s="76"/>
      <c r="I5828" s="73"/>
      <c r="J5828" s="152">
        <v>0</v>
      </c>
      <c r="L5828" s="222"/>
      <c r="M5828" s="75"/>
      <c r="N5828" s="75" t="str">
        <f t="shared" si="561"/>
        <v/>
      </c>
      <c r="O5828" s="76"/>
      <c r="P5828" s="36" t="str">
        <f t="shared" si="556"/>
        <v/>
      </c>
      <c r="Q5828" s="216" t="str">
        <f t="shared" si="557"/>
        <v/>
      </c>
      <c r="R5828" s="216" t="str">
        <f t="shared" si="558"/>
        <v/>
      </c>
      <c r="S5828" s="217" t="str">
        <f t="shared" si="559"/>
        <v/>
      </c>
    </row>
    <row r="5829" spans="1:19" ht="15.75" hidden="1" thickBot="1" x14ac:dyDescent="0.3">
      <c r="A5829" s="256" t="s">
        <v>4638</v>
      </c>
      <c r="B5829" s="259" t="str">
        <f>INDEX(Orçamentária!A:B,MATCH(Composições!A5829,Orçamentária!A:A,0),2)</f>
        <v>Luva para eletroduto 2”</v>
      </c>
      <c r="C5829" s="40"/>
      <c r="D5829" s="25" t="s">
        <v>16</v>
      </c>
      <c r="E5829" s="26"/>
      <c r="F5829" s="48" t="s">
        <v>416</v>
      </c>
      <c r="G5829" s="27" t="str">
        <f t="shared" si="560"/>
        <v/>
      </c>
      <c r="H5829" s="28"/>
      <c r="I5829" s="29"/>
      <c r="J5829" s="152">
        <v>0</v>
      </c>
      <c r="L5829" s="218"/>
      <c r="M5829" s="48"/>
      <c r="N5829" s="27" t="str">
        <f t="shared" si="561"/>
        <v/>
      </c>
      <c r="O5829" s="28"/>
      <c r="P5829" s="36" t="str">
        <f t="shared" si="556"/>
        <v/>
      </c>
      <c r="Q5829" s="216" t="str">
        <f t="shared" si="557"/>
        <v/>
      </c>
      <c r="R5829" s="216" t="str">
        <f t="shared" si="558"/>
        <v/>
      </c>
      <c r="S5829" s="217" t="str">
        <f t="shared" si="559"/>
        <v/>
      </c>
    </row>
    <row r="5830" spans="1:19" ht="15.75" hidden="1" thickBot="1" x14ac:dyDescent="0.3">
      <c r="A5830" s="257"/>
      <c r="B5830" s="260"/>
      <c r="C5830" s="31"/>
      <c r="D5830" s="31"/>
      <c r="E5830" s="32"/>
      <c r="F5830" s="53" t="s">
        <v>416</v>
      </c>
      <c r="G5830" s="53" t="str">
        <f t="shared" si="560"/>
        <v/>
      </c>
      <c r="H5830" s="72"/>
      <c r="I5830" s="73"/>
      <c r="J5830" s="152">
        <v>0</v>
      </c>
      <c r="L5830" s="219"/>
      <c r="M5830" s="53"/>
      <c r="N5830" s="53" t="str">
        <f t="shared" si="561"/>
        <v/>
      </c>
      <c r="O5830" s="72"/>
      <c r="P5830" s="36" t="str">
        <f t="shared" si="556"/>
        <v/>
      </c>
      <c r="Q5830" s="216" t="str">
        <f t="shared" si="557"/>
        <v/>
      </c>
      <c r="R5830" s="216" t="str">
        <f t="shared" si="558"/>
        <v/>
      </c>
      <c r="S5830" s="217" t="str">
        <f t="shared" si="559"/>
        <v/>
      </c>
    </row>
    <row r="5831" spans="1:19" ht="26.25" hidden="1" thickBot="1" x14ac:dyDescent="0.3">
      <c r="A5831" s="257"/>
      <c r="B5831" s="260"/>
      <c r="C5831" s="35" t="s">
        <v>8265</v>
      </c>
      <c r="D5831" s="35" t="s">
        <v>213</v>
      </c>
      <c r="E5831" s="36">
        <v>1</v>
      </c>
      <c r="F5831" s="30">
        <v>7.2770000000000001</v>
      </c>
      <c r="G5831" s="53">
        <f t="shared" si="560"/>
        <v>7.2770000000000001</v>
      </c>
      <c r="H5831" s="38">
        <f>SUM(G5831:G5831)</f>
        <v>7.2770000000000001</v>
      </c>
      <c r="I5831" s="39"/>
      <c r="J5831" s="152">
        <v>0</v>
      </c>
      <c r="L5831" s="215">
        <v>1</v>
      </c>
      <c r="M5831" s="30">
        <v>6.2291120000000006</v>
      </c>
      <c r="N5831" s="53">
        <f t="shared" si="561"/>
        <v>6.2291120000000006</v>
      </c>
      <c r="O5831" s="38">
        <f>SUM(N5831:N5831)</f>
        <v>6.2291120000000006</v>
      </c>
      <c r="P5831" s="36" t="str">
        <f t="shared" si="556"/>
        <v/>
      </c>
      <c r="Q5831" s="216">
        <f t="shared" si="557"/>
        <v>0.14399999999999991</v>
      </c>
      <c r="R5831" s="216">
        <f t="shared" si="558"/>
        <v>0.14399999999999991</v>
      </c>
      <c r="S5831" s="217">
        <f t="shared" si="559"/>
        <v>0.14399999999999991</v>
      </c>
    </row>
    <row r="5832" spans="1:19" ht="15.75" hidden="1" thickBot="1" x14ac:dyDescent="0.3">
      <c r="A5832" s="258"/>
      <c r="B5832" s="261"/>
      <c r="C5832" s="54"/>
      <c r="D5832" s="155"/>
      <c r="E5832" s="65"/>
      <c r="F5832" s="75" t="s">
        <v>416</v>
      </c>
      <c r="G5832" s="75" t="str">
        <f t="shared" si="560"/>
        <v/>
      </c>
      <c r="H5832" s="76"/>
      <c r="I5832" s="73"/>
      <c r="J5832" s="152">
        <v>0</v>
      </c>
      <c r="L5832" s="222"/>
      <c r="M5832" s="75"/>
      <c r="N5832" s="75" t="str">
        <f t="shared" si="561"/>
        <v/>
      </c>
      <c r="O5832" s="76"/>
      <c r="P5832" s="36" t="str">
        <f t="shared" ref="P5832:P5895" si="562">IF(ISBLANK(L5832),"",IF($E5832&lt;&gt;L5832,"SIM",""))</f>
        <v/>
      </c>
      <c r="Q5832" s="216" t="str">
        <f t="shared" ref="Q5832:Q5895" si="563">IF(M5832="","",1-M5832/$F5832)</f>
        <v/>
      </c>
      <c r="R5832" s="216" t="str">
        <f t="shared" ref="R5832:R5895" si="564">IF(N5832="","",1-N5832/$G5832)</f>
        <v/>
      </c>
      <c r="S5832" s="217" t="str">
        <f t="shared" ref="S5832:S5895" si="565">IF(O5832="","",1-O5832/$H5832)</f>
        <v/>
      </c>
    </row>
    <row r="5833" spans="1:19" ht="15.75" hidden="1" thickBot="1" x14ac:dyDescent="0.3">
      <c r="A5833" s="256" t="s">
        <v>4640</v>
      </c>
      <c r="B5833" s="259" t="str">
        <f>INDEX(Orçamentária!A:B,MATCH(Composições!A5833,Orçamentária!A:A,0),2)</f>
        <v>Curva para eletroduto 2”</v>
      </c>
      <c r="C5833" s="40"/>
      <c r="D5833" s="25" t="s">
        <v>16</v>
      </c>
      <c r="E5833" s="26"/>
      <c r="F5833" s="48" t="s">
        <v>416</v>
      </c>
      <c r="G5833" s="27" t="str">
        <f t="shared" si="560"/>
        <v/>
      </c>
      <c r="H5833" s="28"/>
      <c r="I5833" s="29"/>
      <c r="J5833" s="152">
        <v>0</v>
      </c>
      <c r="L5833" s="218"/>
      <c r="M5833" s="48"/>
      <c r="N5833" s="27" t="str">
        <f t="shared" si="561"/>
        <v/>
      </c>
      <c r="O5833" s="28"/>
      <c r="P5833" s="36" t="str">
        <f t="shared" si="562"/>
        <v/>
      </c>
      <c r="Q5833" s="216" t="str">
        <f t="shared" si="563"/>
        <v/>
      </c>
      <c r="R5833" s="216" t="str">
        <f t="shared" si="564"/>
        <v/>
      </c>
      <c r="S5833" s="217" t="str">
        <f t="shared" si="565"/>
        <v/>
      </c>
    </row>
    <row r="5834" spans="1:19" ht="15.75" hidden="1" thickBot="1" x14ac:dyDescent="0.3">
      <c r="A5834" s="257"/>
      <c r="B5834" s="260"/>
      <c r="C5834" s="31"/>
      <c r="D5834" s="31"/>
      <c r="E5834" s="32"/>
      <c r="F5834" s="53" t="s">
        <v>416</v>
      </c>
      <c r="G5834" s="53" t="str">
        <f t="shared" si="560"/>
        <v/>
      </c>
      <c r="H5834" s="72"/>
      <c r="I5834" s="73"/>
      <c r="J5834" s="152">
        <v>0</v>
      </c>
      <c r="L5834" s="219"/>
      <c r="M5834" s="53"/>
      <c r="N5834" s="53" t="str">
        <f t="shared" si="561"/>
        <v/>
      </c>
      <c r="O5834" s="72"/>
      <c r="P5834" s="36" t="str">
        <f t="shared" si="562"/>
        <v/>
      </c>
      <c r="Q5834" s="216" t="str">
        <f t="shared" si="563"/>
        <v/>
      </c>
      <c r="R5834" s="216" t="str">
        <f t="shared" si="564"/>
        <v/>
      </c>
      <c r="S5834" s="217" t="str">
        <f t="shared" si="565"/>
        <v/>
      </c>
    </row>
    <row r="5835" spans="1:19" ht="26.25" hidden="1" thickBot="1" x14ac:dyDescent="0.3">
      <c r="A5835" s="257"/>
      <c r="B5835" s="260"/>
      <c r="C5835" s="35" t="s">
        <v>8131</v>
      </c>
      <c r="D5835" s="35" t="s">
        <v>213</v>
      </c>
      <c r="E5835" s="36">
        <v>1</v>
      </c>
      <c r="F5835" s="30">
        <v>25.7165</v>
      </c>
      <c r="G5835" s="53">
        <f t="shared" si="560"/>
        <v>25.7165</v>
      </c>
      <c r="H5835" s="38">
        <f>SUM(G5835:G5835)</f>
        <v>25.7165</v>
      </c>
      <c r="I5835" s="39"/>
      <c r="J5835" s="152">
        <v>0</v>
      </c>
      <c r="L5835" s="215">
        <v>1</v>
      </c>
      <c r="M5835" s="30">
        <v>22.013324000000001</v>
      </c>
      <c r="N5835" s="53">
        <f t="shared" si="561"/>
        <v>22.013324000000001</v>
      </c>
      <c r="O5835" s="38">
        <f>SUM(N5835:N5835)</f>
        <v>22.013324000000001</v>
      </c>
      <c r="P5835" s="36" t="str">
        <f t="shared" si="562"/>
        <v/>
      </c>
      <c r="Q5835" s="216">
        <f t="shared" si="563"/>
        <v>0.14400000000000002</v>
      </c>
      <c r="R5835" s="216">
        <f t="shared" si="564"/>
        <v>0.14400000000000002</v>
      </c>
      <c r="S5835" s="217">
        <f t="shared" si="565"/>
        <v>0.14400000000000002</v>
      </c>
    </row>
    <row r="5836" spans="1:19" ht="15.75" hidden="1" thickBot="1" x14ac:dyDescent="0.3">
      <c r="A5836" s="258"/>
      <c r="B5836" s="261"/>
      <c r="C5836" s="54"/>
      <c r="D5836" s="155"/>
      <c r="E5836" s="65"/>
      <c r="F5836" s="75" t="s">
        <v>416</v>
      </c>
      <c r="G5836" s="75" t="str">
        <f t="shared" si="560"/>
        <v/>
      </c>
      <c r="H5836" s="76"/>
      <c r="I5836" s="73"/>
      <c r="J5836" s="152">
        <v>0</v>
      </c>
      <c r="L5836" s="222"/>
      <c r="M5836" s="75"/>
      <c r="N5836" s="75" t="str">
        <f t="shared" si="561"/>
        <v/>
      </c>
      <c r="O5836" s="76"/>
      <c r="P5836" s="36" t="str">
        <f t="shared" si="562"/>
        <v/>
      </c>
      <c r="Q5836" s="216" t="str">
        <f t="shared" si="563"/>
        <v/>
      </c>
      <c r="R5836" s="216" t="str">
        <f t="shared" si="564"/>
        <v/>
      </c>
      <c r="S5836" s="217" t="str">
        <f t="shared" si="565"/>
        <v/>
      </c>
    </row>
    <row r="5837" spans="1:19" ht="15.75" hidden="1" thickBot="1" x14ac:dyDescent="0.3">
      <c r="A5837" s="256" t="s">
        <v>4642</v>
      </c>
      <c r="B5837" s="259" t="str">
        <f>INDEX(Orçamentária!A:B,MATCH(Composições!A5837,Orçamentária!A:A,0),2)</f>
        <v>Conector curvo para eletroduto 2 1/2”</v>
      </c>
      <c r="C5837" s="40"/>
      <c r="D5837" s="25" t="s">
        <v>16</v>
      </c>
      <c r="E5837" s="26"/>
      <c r="F5837" s="48" t="s">
        <v>416</v>
      </c>
      <c r="G5837" s="27" t="str">
        <f t="shared" si="560"/>
        <v/>
      </c>
      <c r="H5837" s="28"/>
      <c r="I5837" s="29"/>
      <c r="J5837" s="152">
        <v>0</v>
      </c>
      <c r="L5837" s="218"/>
      <c r="M5837" s="48"/>
      <c r="N5837" s="27" t="str">
        <f t="shared" si="561"/>
        <v/>
      </c>
      <c r="O5837" s="28"/>
      <c r="P5837" s="36" t="str">
        <f t="shared" si="562"/>
        <v/>
      </c>
      <c r="Q5837" s="216" t="str">
        <f t="shared" si="563"/>
        <v/>
      </c>
      <c r="R5837" s="216" t="str">
        <f t="shared" si="564"/>
        <v/>
      </c>
      <c r="S5837" s="217" t="str">
        <f t="shared" si="565"/>
        <v/>
      </c>
    </row>
    <row r="5838" spans="1:19" ht="15.75" hidden="1" thickBot="1" x14ac:dyDescent="0.3">
      <c r="A5838" s="257"/>
      <c r="B5838" s="260"/>
      <c r="C5838" s="31"/>
      <c r="D5838" s="31"/>
      <c r="E5838" s="32"/>
      <c r="F5838" s="53" t="s">
        <v>416</v>
      </c>
      <c r="G5838" s="53" t="str">
        <f t="shared" si="560"/>
        <v/>
      </c>
      <c r="H5838" s="72"/>
      <c r="I5838" s="73"/>
      <c r="J5838" s="152">
        <v>0</v>
      </c>
      <c r="L5838" s="219"/>
      <c r="M5838" s="53"/>
      <c r="N5838" s="53" t="str">
        <f t="shared" si="561"/>
        <v/>
      </c>
      <c r="O5838" s="72"/>
      <c r="P5838" s="36" t="str">
        <f t="shared" si="562"/>
        <v/>
      </c>
      <c r="Q5838" s="216" t="str">
        <f t="shared" si="563"/>
        <v/>
      </c>
      <c r="R5838" s="216" t="str">
        <f t="shared" si="564"/>
        <v/>
      </c>
      <c r="S5838" s="217" t="str">
        <f t="shared" si="565"/>
        <v/>
      </c>
    </row>
    <row r="5839" spans="1:19" ht="39" hidden="1" thickBot="1" x14ac:dyDescent="0.3">
      <c r="A5839" s="257"/>
      <c r="B5839" s="260"/>
      <c r="C5839" s="35" t="s">
        <v>8086</v>
      </c>
      <c r="D5839" s="35" t="s">
        <v>213</v>
      </c>
      <c r="E5839" s="36">
        <v>1</v>
      </c>
      <c r="F5839" s="30">
        <v>92.786500000000004</v>
      </c>
      <c r="G5839" s="53">
        <f t="shared" si="560"/>
        <v>92.786500000000004</v>
      </c>
      <c r="H5839" s="38">
        <f>SUM(G5839:G5839)</f>
        <v>92.786500000000004</v>
      </c>
      <c r="I5839" s="39"/>
      <c r="J5839" s="152">
        <v>0</v>
      </c>
      <c r="L5839" s="215">
        <v>1</v>
      </c>
      <c r="M5839" s="30">
        <v>79.425244000000006</v>
      </c>
      <c r="N5839" s="53">
        <f t="shared" si="561"/>
        <v>79.425244000000006</v>
      </c>
      <c r="O5839" s="38">
        <f>SUM(N5839:N5839)</f>
        <v>79.425244000000006</v>
      </c>
      <c r="P5839" s="36" t="str">
        <f t="shared" si="562"/>
        <v/>
      </c>
      <c r="Q5839" s="216">
        <f t="shared" si="563"/>
        <v>0.14400000000000002</v>
      </c>
      <c r="R5839" s="216">
        <f t="shared" si="564"/>
        <v>0.14400000000000002</v>
      </c>
      <c r="S5839" s="217">
        <f t="shared" si="565"/>
        <v>0.14400000000000002</v>
      </c>
    </row>
    <row r="5840" spans="1:19" ht="15.75" hidden="1" thickBot="1" x14ac:dyDescent="0.3">
      <c r="A5840" s="258"/>
      <c r="B5840" s="261"/>
      <c r="C5840" s="54"/>
      <c r="D5840" s="155"/>
      <c r="E5840" s="65"/>
      <c r="F5840" s="75" t="s">
        <v>416</v>
      </c>
      <c r="G5840" s="75" t="str">
        <f t="shared" si="560"/>
        <v/>
      </c>
      <c r="H5840" s="76"/>
      <c r="I5840" s="73"/>
      <c r="J5840" s="152">
        <v>0</v>
      </c>
      <c r="L5840" s="222"/>
      <c r="M5840" s="75"/>
      <c r="N5840" s="75" t="str">
        <f t="shared" si="561"/>
        <v/>
      </c>
      <c r="O5840" s="76"/>
      <c r="P5840" s="36" t="str">
        <f t="shared" si="562"/>
        <v/>
      </c>
      <c r="Q5840" s="216" t="str">
        <f t="shared" si="563"/>
        <v/>
      </c>
      <c r="R5840" s="216" t="str">
        <f t="shared" si="564"/>
        <v/>
      </c>
      <c r="S5840" s="217" t="str">
        <f t="shared" si="565"/>
        <v/>
      </c>
    </row>
    <row r="5841" spans="1:19" ht="15.75" hidden="1" thickBot="1" x14ac:dyDescent="0.3">
      <c r="A5841" s="256" t="s">
        <v>4643</v>
      </c>
      <c r="B5841" s="259" t="str">
        <f>INDEX(Orçamentária!A:B,MATCH(Composições!A5841,Orçamentária!A:A,0),2)</f>
        <v>Luva para eletroduto 2 1/2”</v>
      </c>
      <c r="C5841" s="40"/>
      <c r="D5841" s="25" t="s">
        <v>16</v>
      </c>
      <c r="E5841" s="26"/>
      <c r="F5841" s="48" t="s">
        <v>416</v>
      </c>
      <c r="G5841" s="27" t="str">
        <f t="shared" si="560"/>
        <v/>
      </c>
      <c r="H5841" s="28"/>
      <c r="I5841" s="29"/>
      <c r="J5841" s="152">
        <v>0</v>
      </c>
      <c r="L5841" s="218"/>
      <c r="M5841" s="48"/>
      <c r="N5841" s="27" t="str">
        <f t="shared" si="561"/>
        <v/>
      </c>
      <c r="O5841" s="28"/>
      <c r="P5841" s="36" t="str">
        <f t="shared" si="562"/>
        <v/>
      </c>
      <c r="Q5841" s="216" t="str">
        <f t="shared" si="563"/>
        <v/>
      </c>
      <c r="R5841" s="216" t="str">
        <f t="shared" si="564"/>
        <v/>
      </c>
      <c r="S5841" s="217" t="str">
        <f t="shared" si="565"/>
        <v/>
      </c>
    </row>
    <row r="5842" spans="1:19" ht="15.75" hidden="1" thickBot="1" x14ac:dyDescent="0.3">
      <c r="A5842" s="257"/>
      <c r="B5842" s="260"/>
      <c r="C5842" s="31"/>
      <c r="D5842" s="31"/>
      <c r="E5842" s="32"/>
      <c r="F5842" s="53" t="s">
        <v>416</v>
      </c>
      <c r="G5842" s="53" t="str">
        <f t="shared" si="560"/>
        <v/>
      </c>
      <c r="H5842" s="72"/>
      <c r="I5842" s="73"/>
      <c r="J5842" s="152">
        <v>0</v>
      </c>
      <c r="L5842" s="219"/>
      <c r="M5842" s="53"/>
      <c r="N5842" s="53" t="str">
        <f t="shared" si="561"/>
        <v/>
      </c>
      <c r="O5842" s="72"/>
      <c r="P5842" s="36" t="str">
        <f t="shared" si="562"/>
        <v/>
      </c>
      <c r="Q5842" s="216" t="str">
        <f t="shared" si="563"/>
        <v/>
      </c>
      <c r="R5842" s="216" t="str">
        <f t="shared" si="564"/>
        <v/>
      </c>
      <c r="S5842" s="217" t="str">
        <f t="shared" si="565"/>
        <v/>
      </c>
    </row>
    <row r="5843" spans="1:19" ht="26.25" hidden="1" thickBot="1" x14ac:dyDescent="0.3">
      <c r="A5843" s="257"/>
      <c r="B5843" s="260"/>
      <c r="C5843" s="35" t="s">
        <v>8266</v>
      </c>
      <c r="D5843" s="35" t="s">
        <v>213</v>
      </c>
      <c r="E5843" s="36">
        <v>1</v>
      </c>
      <c r="F5843" s="30">
        <v>10.620999999999999</v>
      </c>
      <c r="G5843" s="53">
        <f t="shared" si="560"/>
        <v>10.620999999999999</v>
      </c>
      <c r="H5843" s="38">
        <f>SUM(G5843:G5843)</f>
        <v>10.620999999999999</v>
      </c>
      <c r="I5843" s="39"/>
      <c r="J5843" s="152">
        <v>0</v>
      </c>
      <c r="L5843" s="215">
        <v>1</v>
      </c>
      <c r="M5843" s="30">
        <v>9.0915759999999999</v>
      </c>
      <c r="N5843" s="53">
        <f t="shared" si="561"/>
        <v>9.0915759999999999</v>
      </c>
      <c r="O5843" s="38">
        <f>SUM(N5843:N5843)</f>
        <v>9.0915759999999999</v>
      </c>
      <c r="P5843" s="36" t="str">
        <f t="shared" si="562"/>
        <v/>
      </c>
      <c r="Q5843" s="216">
        <f t="shared" si="563"/>
        <v>0.14399999999999991</v>
      </c>
      <c r="R5843" s="216">
        <f t="shared" si="564"/>
        <v>0.14399999999999991</v>
      </c>
      <c r="S5843" s="217">
        <f t="shared" si="565"/>
        <v>0.14399999999999991</v>
      </c>
    </row>
    <row r="5844" spans="1:19" ht="15.75" hidden="1" thickBot="1" x14ac:dyDescent="0.3">
      <c r="A5844" s="258"/>
      <c r="B5844" s="261"/>
      <c r="C5844" s="54"/>
      <c r="D5844" s="155"/>
      <c r="E5844" s="65"/>
      <c r="F5844" s="75" t="s">
        <v>416</v>
      </c>
      <c r="G5844" s="75" t="str">
        <f t="shared" si="560"/>
        <v/>
      </c>
      <c r="H5844" s="76"/>
      <c r="I5844" s="73"/>
      <c r="J5844" s="152">
        <v>0</v>
      </c>
      <c r="L5844" s="222"/>
      <c r="M5844" s="75"/>
      <c r="N5844" s="75" t="str">
        <f t="shared" si="561"/>
        <v/>
      </c>
      <c r="O5844" s="76"/>
      <c r="P5844" s="36" t="str">
        <f t="shared" si="562"/>
        <v/>
      </c>
      <c r="Q5844" s="216" t="str">
        <f t="shared" si="563"/>
        <v/>
      </c>
      <c r="R5844" s="216" t="str">
        <f t="shared" si="564"/>
        <v/>
      </c>
      <c r="S5844" s="217" t="str">
        <f t="shared" si="565"/>
        <v/>
      </c>
    </row>
    <row r="5845" spans="1:19" ht="15.75" hidden="1" thickBot="1" x14ac:dyDescent="0.3">
      <c r="A5845" s="256" t="s">
        <v>4645</v>
      </c>
      <c r="B5845" s="259" t="str">
        <f>INDEX(Orçamentária!A:B,MATCH(Composições!A5845,Orçamentária!A:A,0),2)</f>
        <v>Curva para eletroduto 2 1/2”</v>
      </c>
      <c r="C5845" s="40"/>
      <c r="D5845" s="25" t="s">
        <v>16</v>
      </c>
      <c r="E5845" s="26"/>
      <c r="F5845" s="48" t="s">
        <v>416</v>
      </c>
      <c r="G5845" s="27" t="str">
        <f t="shared" si="560"/>
        <v/>
      </c>
      <c r="H5845" s="28"/>
      <c r="I5845" s="29"/>
      <c r="J5845" s="152">
        <v>0</v>
      </c>
      <c r="L5845" s="218"/>
      <c r="M5845" s="48"/>
      <c r="N5845" s="27" t="str">
        <f t="shared" si="561"/>
        <v/>
      </c>
      <c r="O5845" s="28"/>
      <c r="P5845" s="36" t="str">
        <f t="shared" si="562"/>
        <v/>
      </c>
      <c r="Q5845" s="216" t="str">
        <f t="shared" si="563"/>
        <v/>
      </c>
      <c r="R5845" s="216" t="str">
        <f t="shared" si="564"/>
        <v/>
      </c>
      <c r="S5845" s="217" t="str">
        <f t="shared" si="565"/>
        <v/>
      </c>
    </row>
    <row r="5846" spans="1:19" ht="15.75" hidden="1" thickBot="1" x14ac:dyDescent="0.3">
      <c r="A5846" s="257"/>
      <c r="B5846" s="260"/>
      <c r="C5846" s="31"/>
      <c r="D5846" s="31"/>
      <c r="E5846" s="32"/>
      <c r="F5846" s="53" t="s">
        <v>416</v>
      </c>
      <c r="G5846" s="53" t="str">
        <f t="shared" si="560"/>
        <v/>
      </c>
      <c r="H5846" s="72"/>
      <c r="I5846" s="73"/>
      <c r="J5846" s="152">
        <v>0</v>
      </c>
      <c r="L5846" s="219"/>
      <c r="M5846" s="53"/>
      <c r="N5846" s="53" t="str">
        <f t="shared" si="561"/>
        <v/>
      </c>
      <c r="O5846" s="72"/>
      <c r="P5846" s="36" t="str">
        <f t="shared" si="562"/>
        <v/>
      </c>
      <c r="Q5846" s="216" t="str">
        <f t="shared" si="563"/>
        <v/>
      </c>
      <c r="R5846" s="216" t="str">
        <f t="shared" si="564"/>
        <v/>
      </c>
      <c r="S5846" s="217" t="str">
        <f t="shared" si="565"/>
        <v/>
      </c>
    </row>
    <row r="5847" spans="1:19" ht="26.25" hidden="1" thickBot="1" x14ac:dyDescent="0.3">
      <c r="A5847" s="257"/>
      <c r="B5847" s="260"/>
      <c r="C5847" s="35" t="s">
        <v>8132</v>
      </c>
      <c r="D5847" s="35" t="s">
        <v>213</v>
      </c>
      <c r="E5847" s="36">
        <v>1</v>
      </c>
      <c r="F5847" s="30">
        <v>65.122499999999988</v>
      </c>
      <c r="G5847" s="53">
        <f t="shared" si="560"/>
        <v>65.122499999999988</v>
      </c>
      <c r="H5847" s="38">
        <f>SUM(G5847:G5847)</f>
        <v>65.122499999999988</v>
      </c>
      <c r="I5847" s="39"/>
      <c r="J5847" s="152">
        <v>0</v>
      </c>
      <c r="L5847" s="215">
        <v>1</v>
      </c>
      <c r="M5847" s="30">
        <v>55.744859999999989</v>
      </c>
      <c r="N5847" s="53">
        <f t="shared" si="561"/>
        <v>55.744859999999989</v>
      </c>
      <c r="O5847" s="38">
        <f>SUM(N5847:N5847)</f>
        <v>55.744859999999989</v>
      </c>
      <c r="P5847" s="36" t="str">
        <f t="shared" si="562"/>
        <v/>
      </c>
      <c r="Q5847" s="216">
        <f t="shared" si="563"/>
        <v>0.14400000000000002</v>
      </c>
      <c r="R5847" s="216">
        <f t="shared" si="564"/>
        <v>0.14400000000000002</v>
      </c>
      <c r="S5847" s="217">
        <f t="shared" si="565"/>
        <v>0.14400000000000002</v>
      </c>
    </row>
    <row r="5848" spans="1:19" ht="15.75" hidden="1" thickBot="1" x14ac:dyDescent="0.3">
      <c r="A5848" s="258"/>
      <c r="B5848" s="261"/>
      <c r="C5848" s="54"/>
      <c r="D5848" s="155"/>
      <c r="E5848" s="65"/>
      <c r="F5848" s="75" t="s">
        <v>416</v>
      </c>
      <c r="G5848" s="75" t="str">
        <f t="shared" si="560"/>
        <v/>
      </c>
      <c r="H5848" s="76"/>
      <c r="I5848" s="73"/>
      <c r="J5848" s="152">
        <v>0</v>
      </c>
      <c r="L5848" s="222"/>
      <c r="M5848" s="75"/>
      <c r="N5848" s="75" t="str">
        <f t="shared" si="561"/>
        <v/>
      </c>
      <c r="O5848" s="76"/>
      <c r="P5848" s="36" t="str">
        <f t="shared" si="562"/>
        <v/>
      </c>
      <c r="Q5848" s="216" t="str">
        <f t="shared" si="563"/>
        <v/>
      </c>
      <c r="R5848" s="216" t="str">
        <f t="shared" si="564"/>
        <v/>
      </c>
      <c r="S5848" s="217" t="str">
        <f t="shared" si="565"/>
        <v/>
      </c>
    </row>
    <row r="5849" spans="1:19" ht="15.75" hidden="1" thickBot="1" x14ac:dyDescent="0.3">
      <c r="A5849" s="256" t="s">
        <v>4646</v>
      </c>
      <c r="B5849" s="259" t="str">
        <f>INDEX(Orçamentária!A:B,MATCH(Composições!A5849,Orçamentária!A:A,0),2)</f>
        <v>Conector reto para eletroduto 3”</v>
      </c>
      <c r="C5849" s="40"/>
      <c r="D5849" s="25" t="s">
        <v>16</v>
      </c>
      <c r="E5849" s="26"/>
      <c r="F5849" s="48" t="s">
        <v>416</v>
      </c>
      <c r="G5849" s="27" t="str">
        <f t="shared" si="560"/>
        <v/>
      </c>
      <c r="H5849" s="28"/>
      <c r="I5849" s="29"/>
      <c r="J5849" s="152">
        <v>0</v>
      </c>
      <c r="L5849" s="218"/>
      <c r="M5849" s="48"/>
      <c r="N5849" s="27" t="str">
        <f t="shared" si="561"/>
        <v/>
      </c>
      <c r="O5849" s="28"/>
      <c r="P5849" s="36" t="str">
        <f t="shared" si="562"/>
        <v/>
      </c>
      <c r="Q5849" s="216" t="str">
        <f t="shared" si="563"/>
        <v/>
      </c>
      <c r="R5849" s="216" t="str">
        <f t="shared" si="564"/>
        <v/>
      </c>
      <c r="S5849" s="217" t="str">
        <f t="shared" si="565"/>
        <v/>
      </c>
    </row>
    <row r="5850" spans="1:19" ht="15.75" hidden="1" thickBot="1" x14ac:dyDescent="0.3">
      <c r="A5850" s="257"/>
      <c r="B5850" s="260"/>
      <c r="C5850" s="31"/>
      <c r="D5850" s="31"/>
      <c r="E5850" s="32"/>
      <c r="F5850" s="53" t="s">
        <v>416</v>
      </c>
      <c r="G5850" s="53" t="str">
        <f t="shared" si="560"/>
        <v/>
      </c>
      <c r="H5850" s="72"/>
      <c r="I5850" s="73"/>
      <c r="J5850" s="152">
        <v>0</v>
      </c>
      <c r="L5850" s="219"/>
      <c r="M5850" s="53"/>
      <c r="N5850" s="53" t="str">
        <f t="shared" si="561"/>
        <v/>
      </c>
      <c r="O5850" s="72"/>
      <c r="P5850" s="36" t="str">
        <f t="shared" si="562"/>
        <v/>
      </c>
      <c r="Q5850" s="216" t="str">
        <f t="shared" si="563"/>
        <v/>
      </c>
      <c r="R5850" s="216" t="str">
        <f t="shared" si="564"/>
        <v/>
      </c>
      <c r="S5850" s="217" t="str">
        <f t="shared" si="565"/>
        <v/>
      </c>
    </row>
    <row r="5851" spans="1:19" ht="39" hidden="1" thickBot="1" x14ac:dyDescent="0.3">
      <c r="A5851" s="257"/>
      <c r="B5851" s="260"/>
      <c r="C5851" s="35" t="s">
        <v>8096</v>
      </c>
      <c r="D5851" s="35" t="s">
        <v>213</v>
      </c>
      <c r="E5851" s="36">
        <v>1</v>
      </c>
      <c r="F5851" s="30">
        <v>25.497999999999998</v>
      </c>
      <c r="G5851" s="53">
        <f t="shared" si="560"/>
        <v>25.497999999999998</v>
      </c>
      <c r="H5851" s="38">
        <f>SUM(G5851:G5851)</f>
        <v>25.497999999999998</v>
      </c>
      <c r="I5851" s="39"/>
      <c r="J5851" s="152">
        <v>0</v>
      </c>
      <c r="L5851" s="215">
        <v>1</v>
      </c>
      <c r="M5851" s="30">
        <v>21.826287999999998</v>
      </c>
      <c r="N5851" s="53">
        <f t="shared" si="561"/>
        <v>21.826287999999998</v>
      </c>
      <c r="O5851" s="38">
        <f>SUM(N5851:N5851)</f>
        <v>21.826287999999998</v>
      </c>
      <c r="P5851" s="36" t="str">
        <f t="shared" si="562"/>
        <v/>
      </c>
      <c r="Q5851" s="216">
        <f t="shared" si="563"/>
        <v>0.14400000000000002</v>
      </c>
      <c r="R5851" s="216">
        <f t="shared" si="564"/>
        <v>0.14400000000000002</v>
      </c>
      <c r="S5851" s="217">
        <f t="shared" si="565"/>
        <v>0.14400000000000002</v>
      </c>
    </row>
    <row r="5852" spans="1:19" ht="15.75" hidden="1" thickBot="1" x14ac:dyDescent="0.3">
      <c r="A5852" s="258"/>
      <c r="B5852" s="261"/>
      <c r="C5852" s="54"/>
      <c r="D5852" s="155"/>
      <c r="E5852" s="65"/>
      <c r="F5852" s="75" t="s">
        <v>416</v>
      </c>
      <c r="G5852" s="75" t="str">
        <f t="shared" si="560"/>
        <v/>
      </c>
      <c r="H5852" s="76"/>
      <c r="I5852" s="73"/>
      <c r="J5852" s="152">
        <v>0</v>
      </c>
      <c r="L5852" s="222"/>
      <c r="M5852" s="75"/>
      <c r="N5852" s="75" t="str">
        <f t="shared" si="561"/>
        <v/>
      </c>
      <c r="O5852" s="76"/>
      <c r="P5852" s="36" t="str">
        <f t="shared" si="562"/>
        <v/>
      </c>
      <c r="Q5852" s="216" t="str">
        <f t="shared" si="563"/>
        <v/>
      </c>
      <c r="R5852" s="216" t="str">
        <f t="shared" si="564"/>
        <v/>
      </c>
      <c r="S5852" s="217" t="str">
        <f t="shared" si="565"/>
        <v/>
      </c>
    </row>
    <row r="5853" spans="1:19" ht="15.75" hidden="1" thickBot="1" x14ac:dyDescent="0.3">
      <c r="A5853" s="256" t="s">
        <v>4647</v>
      </c>
      <c r="B5853" s="259" t="str">
        <f>INDEX(Orçamentária!A:B,MATCH(Composições!A5853,Orçamentária!A:A,0),2)</f>
        <v>Conector curvo para eletroduto 3”</v>
      </c>
      <c r="C5853" s="40"/>
      <c r="D5853" s="25" t="s">
        <v>16</v>
      </c>
      <c r="E5853" s="26"/>
      <c r="F5853" s="48" t="s">
        <v>416</v>
      </c>
      <c r="G5853" s="27" t="str">
        <f t="shared" si="560"/>
        <v/>
      </c>
      <c r="H5853" s="28"/>
      <c r="I5853" s="29"/>
      <c r="J5853" s="152">
        <v>0</v>
      </c>
      <c r="L5853" s="218"/>
      <c r="M5853" s="48"/>
      <c r="N5853" s="27" t="str">
        <f t="shared" si="561"/>
        <v/>
      </c>
      <c r="O5853" s="28"/>
      <c r="P5853" s="36" t="str">
        <f t="shared" si="562"/>
        <v/>
      </c>
      <c r="Q5853" s="216" t="str">
        <f t="shared" si="563"/>
        <v/>
      </c>
      <c r="R5853" s="216" t="str">
        <f t="shared" si="564"/>
        <v/>
      </c>
      <c r="S5853" s="217" t="str">
        <f t="shared" si="565"/>
        <v/>
      </c>
    </row>
    <row r="5854" spans="1:19" ht="15.75" hidden="1" thickBot="1" x14ac:dyDescent="0.3">
      <c r="A5854" s="257"/>
      <c r="B5854" s="260"/>
      <c r="C5854" s="31"/>
      <c r="D5854" s="31"/>
      <c r="E5854" s="32"/>
      <c r="F5854" s="53" t="s">
        <v>416</v>
      </c>
      <c r="G5854" s="53" t="str">
        <f t="shared" si="560"/>
        <v/>
      </c>
      <c r="H5854" s="72"/>
      <c r="I5854" s="73"/>
      <c r="J5854" s="152">
        <v>0</v>
      </c>
      <c r="L5854" s="219"/>
      <c r="M5854" s="53"/>
      <c r="N5854" s="53" t="str">
        <f t="shared" si="561"/>
        <v/>
      </c>
      <c r="O5854" s="72"/>
      <c r="P5854" s="36" t="str">
        <f t="shared" si="562"/>
        <v/>
      </c>
      <c r="Q5854" s="216" t="str">
        <f t="shared" si="563"/>
        <v/>
      </c>
      <c r="R5854" s="216" t="str">
        <f t="shared" si="564"/>
        <v/>
      </c>
      <c r="S5854" s="217" t="str">
        <f t="shared" si="565"/>
        <v/>
      </c>
    </row>
    <row r="5855" spans="1:19" ht="39" hidden="1" thickBot="1" x14ac:dyDescent="0.3">
      <c r="A5855" s="257"/>
      <c r="B5855" s="260"/>
      <c r="C5855" s="35" t="s">
        <v>8089</v>
      </c>
      <c r="D5855" s="35" t="s">
        <v>213</v>
      </c>
      <c r="E5855" s="36">
        <v>1</v>
      </c>
      <c r="F5855" s="30">
        <v>111.88149999999999</v>
      </c>
      <c r="G5855" s="53">
        <f t="shared" si="560"/>
        <v>111.88149999999999</v>
      </c>
      <c r="H5855" s="38">
        <f>SUM(G5855:G5855)</f>
        <v>111.88149999999999</v>
      </c>
      <c r="I5855" s="39"/>
      <c r="J5855" s="152">
        <v>0</v>
      </c>
      <c r="L5855" s="215">
        <v>1</v>
      </c>
      <c r="M5855" s="30">
        <v>95.770563999999993</v>
      </c>
      <c r="N5855" s="53">
        <f t="shared" si="561"/>
        <v>95.770563999999993</v>
      </c>
      <c r="O5855" s="38">
        <f>SUM(N5855:N5855)</f>
        <v>95.770563999999993</v>
      </c>
      <c r="P5855" s="36" t="str">
        <f t="shared" si="562"/>
        <v/>
      </c>
      <c r="Q5855" s="216">
        <f t="shared" si="563"/>
        <v>0.14400000000000002</v>
      </c>
      <c r="R5855" s="216">
        <f t="shared" si="564"/>
        <v>0.14400000000000002</v>
      </c>
      <c r="S5855" s="217">
        <f t="shared" si="565"/>
        <v>0.14400000000000002</v>
      </c>
    </row>
    <row r="5856" spans="1:19" ht="15.75" hidden="1" thickBot="1" x14ac:dyDescent="0.3">
      <c r="A5856" s="258"/>
      <c r="B5856" s="261"/>
      <c r="C5856" s="54"/>
      <c r="D5856" s="155"/>
      <c r="E5856" s="65"/>
      <c r="F5856" s="75" t="s">
        <v>416</v>
      </c>
      <c r="G5856" s="75" t="str">
        <f t="shared" si="560"/>
        <v/>
      </c>
      <c r="H5856" s="76"/>
      <c r="I5856" s="73"/>
      <c r="J5856" s="152">
        <v>0</v>
      </c>
      <c r="L5856" s="222"/>
      <c r="M5856" s="75"/>
      <c r="N5856" s="75" t="str">
        <f t="shared" si="561"/>
        <v/>
      </c>
      <c r="O5856" s="76"/>
      <c r="P5856" s="36" t="str">
        <f t="shared" si="562"/>
        <v/>
      </c>
      <c r="Q5856" s="216" t="str">
        <f t="shared" si="563"/>
        <v/>
      </c>
      <c r="R5856" s="216" t="str">
        <f t="shared" si="564"/>
        <v/>
      </c>
      <c r="S5856" s="217" t="str">
        <f t="shared" si="565"/>
        <v/>
      </c>
    </row>
    <row r="5857" spans="1:19" ht="15.75" hidden="1" thickBot="1" x14ac:dyDescent="0.3">
      <c r="A5857" s="256" t="s">
        <v>4648</v>
      </c>
      <c r="B5857" s="259" t="str">
        <f>INDEX(Orçamentária!A:B,MATCH(Composições!A5857,Orçamentária!A:A,0),2)</f>
        <v>Luva para eletroduto 3”</v>
      </c>
      <c r="C5857" s="40"/>
      <c r="D5857" s="25" t="s">
        <v>16</v>
      </c>
      <c r="E5857" s="26"/>
      <c r="F5857" s="48" t="s">
        <v>416</v>
      </c>
      <c r="G5857" s="27" t="str">
        <f t="shared" si="560"/>
        <v/>
      </c>
      <c r="H5857" s="28"/>
      <c r="I5857" s="29"/>
      <c r="J5857" s="152">
        <v>0</v>
      </c>
      <c r="L5857" s="218"/>
      <c r="M5857" s="48"/>
      <c r="N5857" s="27" t="str">
        <f t="shared" si="561"/>
        <v/>
      </c>
      <c r="O5857" s="28"/>
      <c r="P5857" s="36" t="str">
        <f t="shared" si="562"/>
        <v/>
      </c>
      <c r="Q5857" s="216" t="str">
        <f t="shared" si="563"/>
        <v/>
      </c>
      <c r="R5857" s="216" t="str">
        <f t="shared" si="564"/>
        <v/>
      </c>
      <c r="S5857" s="217" t="str">
        <f t="shared" si="565"/>
        <v/>
      </c>
    </row>
    <row r="5858" spans="1:19" ht="15.75" hidden="1" thickBot="1" x14ac:dyDescent="0.3">
      <c r="A5858" s="257"/>
      <c r="B5858" s="260"/>
      <c r="C5858" s="31"/>
      <c r="D5858" s="31"/>
      <c r="E5858" s="32"/>
      <c r="F5858" s="53" t="s">
        <v>416</v>
      </c>
      <c r="G5858" s="53" t="str">
        <f t="shared" si="560"/>
        <v/>
      </c>
      <c r="H5858" s="72"/>
      <c r="I5858" s="73"/>
      <c r="J5858" s="152">
        <v>0</v>
      </c>
      <c r="L5858" s="219"/>
      <c r="M5858" s="53"/>
      <c r="N5858" s="53" t="str">
        <f t="shared" si="561"/>
        <v/>
      </c>
      <c r="O5858" s="72"/>
      <c r="P5858" s="36" t="str">
        <f t="shared" si="562"/>
        <v/>
      </c>
      <c r="Q5858" s="216" t="str">
        <f t="shared" si="563"/>
        <v/>
      </c>
      <c r="R5858" s="216" t="str">
        <f t="shared" si="564"/>
        <v/>
      </c>
      <c r="S5858" s="217" t="str">
        <f t="shared" si="565"/>
        <v/>
      </c>
    </row>
    <row r="5859" spans="1:19" ht="26.25" hidden="1" thickBot="1" x14ac:dyDescent="0.3">
      <c r="A5859" s="257"/>
      <c r="B5859" s="260"/>
      <c r="C5859" s="35" t="s">
        <v>8267</v>
      </c>
      <c r="D5859" s="35" t="s">
        <v>213</v>
      </c>
      <c r="E5859" s="36">
        <v>1</v>
      </c>
      <c r="F5859" s="30">
        <v>16.1785</v>
      </c>
      <c r="G5859" s="53">
        <f t="shared" si="560"/>
        <v>16.1785</v>
      </c>
      <c r="H5859" s="38">
        <f>SUM(G5859:G5859)</f>
        <v>16.1785</v>
      </c>
      <c r="I5859" s="39"/>
      <c r="J5859" s="152">
        <v>0</v>
      </c>
      <c r="L5859" s="215">
        <v>1</v>
      </c>
      <c r="M5859" s="30">
        <v>13.848796</v>
      </c>
      <c r="N5859" s="53">
        <f t="shared" si="561"/>
        <v>13.848796</v>
      </c>
      <c r="O5859" s="38">
        <f>SUM(N5859:N5859)</f>
        <v>13.848796</v>
      </c>
      <c r="P5859" s="36" t="str">
        <f t="shared" si="562"/>
        <v/>
      </c>
      <c r="Q5859" s="216">
        <f t="shared" si="563"/>
        <v>0.14400000000000002</v>
      </c>
      <c r="R5859" s="216">
        <f t="shared" si="564"/>
        <v>0.14400000000000002</v>
      </c>
      <c r="S5859" s="217">
        <f t="shared" si="565"/>
        <v>0.14400000000000002</v>
      </c>
    </row>
    <row r="5860" spans="1:19" ht="15.75" hidden="1" thickBot="1" x14ac:dyDescent="0.3">
      <c r="A5860" s="258"/>
      <c r="B5860" s="261"/>
      <c r="C5860" s="54"/>
      <c r="D5860" s="155"/>
      <c r="E5860" s="65"/>
      <c r="F5860" s="75" t="s">
        <v>416</v>
      </c>
      <c r="G5860" s="75" t="str">
        <f t="shared" si="560"/>
        <v/>
      </c>
      <c r="H5860" s="76"/>
      <c r="I5860" s="73"/>
      <c r="J5860" s="152">
        <v>0</v>
      </c>
      <c r="L5860" s="222"/>
      <c r="M5860" s="75"/>
      <c r="N5860" s="75" t="str">
        <f t="shared" si="561"/>
        <v/>
      </c>
      <c r="O5860" s="76"/>
      <c r="P5860" s="36" t="str">
        <f t="shared" si="562"/>
        <v/>
      </c>
      <c r="Q5860" s="216" t="str">
        <f t="shared" si="563"/>
        <v/>
      </c>
      <c r="R5860" s="216" t="str">
        <f t="shared" si="564"/>
        <v/>
      </c>
      <c r="S5860" s="217" t="str">
        <f t="shared" si="565"/>
        <v/>
      </c>
    </row>
    <row r="5861" spans="1:19" ht="15.75" hidden="1" thickBot="1" x14ac:dyDescent="0.3">
      <c r="A5861" s="256" t="s">
        <v>4650</v>
      </c>
      <c r="B5861" s="259" t="str">
        <f>INDEX(Orçamentária!A:B,MATCH(Composições!A5861,Orçamentária!A:A,0),2)</f>
        <v>Curva para eletroduto 3”</v>
      </c>
      <c r="C5861" s="40"/>
      <c r="D5861" s="25" t="s">
        <v>16</v>
      </c>
      <c r="E5861" s="26"/>
      <c r="F5861" s="48" t="s">
        <v>416</v>
      </c>
      <c r="G5861" s="27" t="str">
        <f t="shared" si="560"/>
        <v/>
      </c>
      <c r="H5861" s="28"/>
      <c r="I5861" s="29"/>
      <c r="J5861" s="152">
        <v>0</v>
      </c>
      <c r="L5861" s="218"/>
      <c r="M5861" s="48"/>
      <c r="N5861" s="27" t="str">
        <f t="shared" si="561"/>
        <v/>
      </c>
      <c r="O5861" s="28"/>
      <c r="P5861" s="36" t="str">
        <f t="shared" si="562"/>
        <v/>
      </c>
      <c r="Q5861" s="216" t="str">
        <f t="shared" si="563"/>
        <v/>
      </c>
      <c r="R5861" s="216" t="str">
        <f t="shared" si="564"/>
        <v/>
      </c>
      <c r="S5861" s="217" t="str">
        <f t="shared" si="565"/>
        <v/>
      </c>
    </row>
    <row r="5862" spans="1:19" ht="15.75" hidden="1" thickBot="1" x14ac:dyDescent="0.3">
      <c r="A5862" s="257"/>
      <c r="B5862" s="260"/>
      <c r="C5862" s="31"/>
      <c r="D5862" s="31"/>
      <c r="E5862" s="32"/>
      <c r="F5862" s="53" t="s">
        <v>416</v>
      </c>
      <c r="G5862" s="53" t="str">
        <f t="shared" si="560"/>
        <v/>
      </c>
      <c r="H5862" s="72"/>
      <c r="I5862" s="73"/>
      <c r="J5862" s="152">
        <v>0</v>
      </c>
      <c r="L5862" s="219"/>
      <c r="M5862" s="53"/>
      <c r="N5862" s="53" t="str">
        <f t="shared" si="561"/>
        <v/>
      </c>
      <c r="O5862" s="72"/>
      <c r="P5862" s="36" t="str">
        <f t="shared" si="562"/>
        <v/>
      </c>
      <c r="Q5862" s="216" t="str">
        <f t="shared" si="563"/>
        <v/>
      </c>
      <c r="R5862" s="216" t="str">
        <f t="shared" si="564"/>
        <v/>
      </c>
      <c r="S5862" s="217" t="str">
        <f t="shared" si="565"/>
        <v/>
      </c>
    </row>
    <row r="5863" spans="1:19" ht="26.25" hidden="1" thickBot="1" x14ac:dyDescent="0.3">
      <c r="A5863" s="257"/>
      <c r="B5863" s="260"/>
      <c r="C5863" s="35" t="s">
        <v>8133</v>
      </c>
      <c r="D5863" s="35" t="s">
        <v>213</v>
      </c>
      <c r="E5863" s="36">
        <v>1</v>
      </c>
      <c r="F5863" s="30">
        <v>85.5</v>
      </c>
      <c r="G5863" s="53">
        <f t="shared" si="560"/>
        <v>85.5</v>
      </c>
      <c r="H5863" s="38">
        <f>SUM(G5863:G5863)</f>
        <v>85.5</v>
      </c>
      <c r="I5863" s="39"/>
      <c r="J5863" s="152">
        <v>0</v>
      </c>
      <c r="L5863" s="215">
        <v>1</v>
      </c>
      <c r="M5863" s="30">
        <v>73.188000000000002</v>
      </c>
      <c r="N5863" s="53">
        <f t="shared" si="561"/>
        <v>73.188000000000002</v>
      </c>
      <c r="O5863" s="38">
        <f>SUM(N5863:N5863)</f>
        <v>73.188000000000002</v>
      </c>
      <c r="P5863" s="36" t="str">
        <f t="shared" si="562"/>
        <v/>
      </c>
      <c r="Q5863" s="216">
        <f t="shared" si="563"/>
        <v>0.14400000000000002</v>
      </c>
      <c r="R5863" s="216">
        <f t="shared" si="564"/>
        <v>0.14400000000000002</v>
      </c>
      <c r="S5863" s="217">
        <f t="shared" si="565"/>
        <v>0.14400000000000002</v>
      </c>
    </row>
    <row r="5864" spans="1:19" ht="15.75" hidden="1" thickBot="1" x14ac:dyDescent="0.3">
      <c r="A5864" s="258"/>
      <c r="B5864" s="261"/>
      <c r="C5864" s="54"/>
      <c r="D5864" s="155"/>
      <c r="E5864" s="65"/>
      <c r="F5864" s="75" t="s">
        <v>416</v>
      </c>
      <c r="G5864" s="75" t="str">
        <f t="shared" si="560"/>
        <v/>
      </c>
      <c r="H5864" s="76"/>
      <c r="I5864" s="73"/>
      <c r="J5864" s="152">
        <v>0</v>
      </c>
      <c r="L5864" s="222"/>
      <c r="M5864" s="75"/>
      <c r="N5864" s="75" t="str">
        <f t="shared" si="561"/>
        <v/>
      </c>
      <c r="O5864" s="76"/>
      <c r="P5864" s="36" t="str">
        <f t="shared" si="562"/>
        <v/>
      </c>
      <c r="Q5864" s="216" t="str">
        <f t="shared" si="563"/>
        <v/>
      </c>
      <c r="R5864" s="216" t="str">
        <f t="shared" si="564"/>
        <v/>
      </c>
      <c r="S5864" s="217" t="str">
        <f t="shared" si="565"/>
        <v/>
      </c>
    </row>
    <row r="5865" spans="1:19" ht="15.75" hidden="1" thickBot="1" x14ac:dyDescent="0.3">
      <c r="A5865" s="256" t="s">
        <v>4651</v>
      </c>
      <c r="B5865" s="259" t="str">
        <f>INDEX(Orçamentária!A:B,MATCH(Composições!A5865,Orçamentária!A:A,0),2)</f>
        <v>Conector reto para eletroduto 4”</v>
      </c>
      <c r="C5865" s="40"/>
      <c r="D5865" s="25" t="s">
        <v>16</v>
      </c>
      <c r="E5865" s="26"/>
      <c r="F5865" s="48" t="s">
        <v>416</v>
      </c>
      <c r="G5865" s="27" t="str">
        <f t="shared" si="560"/>
        <v/>
      </c>
      <c r="H5865" s="28"/>
      <c r="I5865" s="29"/>
      <c r="J5865" s="152">
        <v>0</v>
      </c>
      <c r="L5865" s="218"/>
      <c r="M5865" s="48"/>
      <c r="N5865" s="27" t="str">
        <f t="shared" si="561"/>
        <v/>
      </c>
      <c r="O5865" s="28"/>
      <c r="P5865" s="36" t="str">
        <f t="shared" si="562"/>
        <v/>
      </c>
      <c r="Q5865" s="216" t="str">
        <f t="shared" si="563"/>
        <v/>
      </c>
      <c r="R5865" s="216" t="str">
        <f t="shared" si="564"/>
        <v/>
      </c>
      <c r="S5865" s="217" t="str">
        <f t="shared" si="565"/>
        <v/>
      </c>
    </row>
    <row r="5866" spans="1:19" ht="15.75" hidden="1" thickBot="1" x14ac:dyDescent="0.3">
      <c r="A5866" s="257"/>
      <c r="B5866" s="260"/>
      <c r="C5866" s="31"/>
      <c r="D5866" s="31"/>
      <c r="E5866" s="32"/>
      <c r="F5866" s="53" t="s">
        <v>416</v>
      </c>
      <c r="G5866" s="53" t="str">
        <f t="shared" si="560"/>
        <v/>
      </c>
      <c r="H5866" s="72"/>
      <c r="I5866" s="73"/>
      <c r="J5866" s="152">
        <v>0</v>
      </c>
      <c r="L5866" s="219"/>
      <c r="M5866" s="53"/>
      <c r="N5866" s="53" t="str">
        <f t="shared" si="561"/>
        <v/>
      </c>
      <c r="O5866" s="72"/>
      <c r="P5866" s="36" t="str">
        <f t="shared" si="562"/>
        <v/>
      </c>
      <c r="Q5866" s="216" t="str">
        <f t="shared" si="563"/>
        <v/>
      </c>
      <c r="R5866" s="216" t="str">
        <f t="shared" si="564"/>
        <v/>
      </c>
      <c r="S5866" s="217" t="str">
        <f t="shared" si="565"/>
        <v/>
      </c>
    </row>
    <row r="5867" spans="1:19" ht="39" hidden="1" thickBot="1" x14ac:dyDescent="0.3">
      <c r="A5867" s="257"/>
      <c r="B5867" s="260"/>
      <c r="C5867" s="35" t="s">
        <v>8097</v>
      </c>
      <c r="D5867" s="35" t="s">
        <v>213</v>
      </c>
      <c r="E5867" s="36">
        <v>1</v>
      </c>
      <c r="F5867" s="30">
        <v>39.966499999999996</v>
      </c>
      <c r="G5867" s="53">
        <f t="shared" si="560"/>
        <v>39.966499999999996</v>
      </c>
      <c r="H5867" s="38">
        <f>SUM(G5867:G5867)</f>
        <v>39.966499999999996</v>
      </c>
      <c r="I5867" s="39"/>
      <c r="J5867" s="152">
        <v>0</v>
      </c>
      <c r="L5867" s="215">
        <v>1</v>
      </c>
      <c r="M5867" s="30">
        <v>34.211323999999998</v>
      </c>
      <c r="N5867" s="53">
        <f t="shared" si="561"/>
        <v>34.211323999999998</v>
      </c>
      <c r="O5867" s="38">
        <f>SUM(N5867:N5867)</f>
        <v>34.211323999999998</v>
      </c>
      <c r="P5867" s="36" t="str">
        <f t="shared" si="562"/>
        <v/>
      </c>
      <c r="Q5867" s="216">
        <f t="shared" si="563"/>
        <v>0.14400000000000002</v>
      </c>
      <c r="R5867" s="216">
        <f t="shared" si="564"/>
        <v>0.14400000000000002</v>
      </c>
      <c r="S5867" s="217">
        <f t="shared" si="565"/>
        <v>0.14400000000000002</v>
      </c>
    </row>
    <row r="5868" spans="1:19" ht="15.75" hidden="1" thickBot="1" x14ac:dyDescent="0.3">
      <c r="A5868" s="258"/>
      <c r="B5868" s="261"/>
      <c r="C5868" s="54"/>
      <c r="D5868" s="155"/>
      <c r="E5868" s="65"/>
      <c r="F5868" s="75" t="s">
        <v>416</v>
      </c>
      <c r="G5868" s="75" t="str">
        <f t="shared" si="560"/>
        <v/>
      </c>
      <c r="H5868" s="76"/>
      <c r="I5868" s="73"/>
      <c r="J5868" s="152">
        <v>0</v>
      </c>
      <c r="L5868" s="222"/>
      <c r="M5868" s="75"/>
      <c r="N5868" s="75" t="str">
        <f t="shared" si="561"/>
        <v/>
      </c>
      <c r="O5868" s="76"/>
      <c r="P5868" s="36" t="str">
        <f t="shared" si="562"/>
        <v/>
      </c>
      <c r="Q5868" s="216" t="str">
        <f t="shared" si="563"/>
        <v/>
      </c>
      <c r="R5868" s="216" t="str">
        <f t="shared" si="564"/>
        <v/>
      </c>
      <c r="S5868" s="217" t="str">
        <f t="shared" si="565"/>
        <v/>
      </c>
    </row>
    <row r="5869" spans="1:19" ht="15.75" hidden="1" thickBot="1" x14ac:dyDescent="0.3">
      <c r="A5869" s="256" t="s">
        <v>4652</v>
      </c>
      <c r="B5869" s="259" t="str">
        <f>INDEX(Orçamentária!A:B,MATCH(Composições!A5869,Orçamentária!A:A,0),2)</f>
        <v>Conector curvo para eletroduto 4”</v>
      </c>
      <c r="C5869" s="40"/>
      <c r="D5869" s="25" t="s">
        <v>16</v>
      </c>
      <c r="E5869" s="26"/>
      <c r="F5869" s="48" t="s">
        <v>416</v>
      </c>
      <c r="G5869" s="27" t="str">
        <f t="shared" si="560"/>
        <v/>
      </c>
      <c r="H5869" s="28"/>
      <c r="I5869" s="29"/>
      <c r="J5869" s="152">
        <v>0</v>
      </c>
      <c r="L5869" s="218"/>
      <c r="M5869" s="48"/>
      <c r="N5869" s="27" t="str">
        <f t="shared" si="561"/>
        <v/>
      </c>
      <c r="O5869" s="28"/>
      <c r="P5869" s="36" t="str">
        <f t="shared" si="562"/>
        <v/>
      </c>
      <c r="Q5869" s="216" t="str">
        <f t="shared" si="563"/>
        <v/>
      </c>
      <c r="R5869" s="216" t="str">
        <f t="shared" si="564"/>
        <v/>
      </c>
      <c r="S5869" s="217" t="str">
        <f t="shared" si="565"/>
        <v/>
      </c>
    </row>
    <row r="5870" spans="1:19" ht="15.75" hidden="1" thickBot="1" x14ac:dyDescent="0.3">
      <c r="A5870" s="257"/>
      <c r="B5870" s="260"/>
      <c r="C5870" s="31"/>
      <c r="D5870" s="31"/>
      <c r="E5870" s="32"/>
      <c r="F5870" s="53" t="s">
        <v>416</v>
      </c>
      <c r="G5870" s="53" t="str">
        <f t="shared" ref="G5870:G5933" si="566">IF(ISNUMBER(F5870),E5870*F5870,"")</f>
        <v/>
      </c>
      <c r="H5870" s="72"/>
      <c r="I5870" s="73"/>
      <c r="J5870" s="152">
        <v>0</v>
      </c>
      <c r="L5870" s="219"/>
      <c r="M5870" s="53"/>
      <c r="N5870" s="53" t="str">
        <f t="shared" ref="N5870:N5933" si="567">IF(ISNUMBER(M5870),L5870*M5870,"")</f>
        <v/>
      </c>
      <c r="O5870" s="72"/>
      <c r="P5870" s="36" t="str">
        <f t="shared" si="562"/>
        <v/>
      </c>
      <c r="Q5870" s="216" t="str">
        <f t="shared" si="563"/>
        <v/>
      </c>
      <c r="R5870" s="216" t="str">
        <f t="shared" si="564"/>
        <v/>
      </c>
      <c r="S5870" s="217" t="str">
        <f t="shared" si="565"/>
        <v/>
      </c>
    </row>
    <row r="5871" spans="1:19" ht="39" hidden="1" thickBot="1" x14ac:dyDescent="0.3">
      <c r="A5871" s="257"/>
      <c r="B5871" s="260"/>
      <c r="C5871" s="35" t="s">
        <v>8090</v>
      </c>
      <c r="D5871" s="35" t="s">
        <v>213</v>
      </c>
      <c r="E5871" s="36">
        <v>1</v>
      </c>
      <c r="F5871" s="30">
        <v>205.92199999999997</v>
      </c>
      <c r="G5871" s="53">
        <f t="shared" si="566"/>
        <v>205.92199999999997</v>
      </c>
      <c r="H5871" s="38">
        <f>SUM(G5871:G5871)</f>
        <v>205.92199999999997</v>
      </c>
      <c r="I5871" s="39"/>
      <c r="J5871" s="152">
        <v>0</v>
      </c>
      <c r="L5871" s="215">
        <v>1</v>
      </c>
      <c r="M5871" s="30">
        <v>176.26923199999999</v>
      </c>
      <c r="N5871" s="53">
        <f t="shared" si="567"/>
        <v>176.26923199999999</v>
      </c>
      <c r="O5871" s="38">
        <f>SUM(N5871:N5871)</f>
        <v>176.26923199999999</v>
      </c>
      <c r="P5871" s="36" t="str">
        <f t="shared" si="562"/>
        <v/>
      </c>
      <c r="Q5871" s="216">
        <f t="shared" si="563"/>
        <v>0.14399999999999991</v>
      </c>
      <c r="R5871" s="216">
        <f t="shared" si="564"/>
        <v>0.14399999999999991</v>
      </c>
      <c r="S5871" s="217">
        <f t="shared" si="565"/>
        <v>0.14399999999999991</v>
      </c>
    </row>
    <row r="5872" spans="1:19" ht="15.75" hidden="1" thickBot="1" x14ac:dyDescent="0.3">
      <c r="A5872" s="258"/>
      <c r="B5872" s="261"/>
      <c r="C5872" s="54"/>
      <c r="D5872" s="155"/>
      <c r="E5872" s="65"/>
      <c r="F5872" s="75" t="s">
        <v>416</v>
      </c>
      <c r="G5872" s="75" t="str">
        <f t="shared" si="566"/>
        <v/>
      </c>
      <c r="H5872" s="76"/>
      <c r="I5872" s="73"/>
      <c r="J5872" s="152">
        <v>0</v>
      </c>
      <c r="L5872" s="222"/>
      <c r="M5872" s="75"/>
      <c r="N5872" s="75" t="str">
        <f t="shared" si="567"/>
        <v/>
      </c>
      <c r="O5872" s="76"/>
      <c r="P5872" s="36" t="str">
        <f t="shared" si="562"/>
        <v/>
      </c>
      <c r="Q5872" s="216" t="str">
        <f t="shared" si="563"/>
        <v/>
      </c>
      <c r="R5872" s="216" t="str">
        <f t="shared" si="564"/>
        <v/>
      </c>
      <c r="S5872" s="217" t="str">
        <f t="shared" si="565"/>
        <v/>
      </c>
    </row>
    <row r="5873" spans="1:19" ht="15.75" hidden="1" thickBot="1" x14ac:dyDescent="0.3">
      <c r="A5873" s="256" t="s">
        <v>4653</v>
      </c>
      <c r="B5873" s="259" t="str">
        <f>INDEX(Orçamentária!A:B,MATCH(Composições!A5873,Orçamentária!A:A,0),2)</f>
        <v>Luva para eletroduto 4”</v>
      </c>
      <c r="C5873" s="40"/>
      <c r="D5873" s="25" t="s">
        <v>16</v>
      </c>
      <c r="E5873" s="26"/>
      <c r="F5873" s="48" t="s">
        <v>416</v>
      </c>
      <c r="G5873" s="27" t="str">
        <f t="shared" si="566"/>
        <v/>
      </c>
      <c r="H5873" s="28"/>
      <c r="I5873" s="29"/>
      <c r="J5873" s="152">
        <v>0</v>
      </c>
      <c r="L5873" s="218"/>
      <c r="M5873" s="48"/>
      <c r="N5873" s="27" t="str">
        <f t="shared" si="567"/>
        <v/>
      </c>
      <c r="O5873" s="28"/>
      <c r="P5873" s="36" t="str">
        <f t="shared" si="562"/>
        <v/>
      </c>
      <c r="Q5873" s="216" t="str">
        <f t="shared" si="563"/>
        <v/>
      </c>
      <c r="R5873" s="216" t="str">
        <f t="shared" si="564"/>
        <v/>
      </c>
      <c r="S5873" s="217" t="str">
        <f t="shared" si="565"/>
        <v/>
      </c>
    </row>
    <row r="5874" spans="1:19" ht="15.75" hidden="1" thickBot="1" x14ac:dyDescent="0.3">
      <c r="A5874" s="257"/>
      <c r="B5874" s="260"/>
      <c r="C5874" s="31"/>
      <c r="D5874" s="31"/>
      <c r="E5874" s="32"/>
      <c r="F5874" s="53" t="s">
        <v>416</v>
      </c>
      <c r="G5874" s="53" t="str">
        <f t="shared" si="566"/>
        <v/>
      </c>
      <c r="H5874" s="72"/>
      <c r="I5874" s="73"/>
      <c r="J5874" s="152">
        <v>0</v>
      </c>
      <c r="L5874" s="219"/>
      <c r="M5874" s="53"/>
      <c r="N5874" s="53" t="str">
        <f t="shared" si="567"/>
        <v/>
      </c>
      <c r="O5874" s="72"/>
      <c r="P5874" s="36" t="str">
        <f t="shared" si="562"/>
        <v/>
      </c>
      <c r="Q5874" s="216" t="str">
        <f t="shared" si="563"/>
        <v/>
      </c>
      <c r="R5874" s="216" t="str">
        <f t="shared" si="564"/>
        <v/>
      </c>
      <c r="S5874" s="217" t="str">
        <f t="shared" si="565"/>
        <v/>
      </c>
    </row>
    <row r="5875" spans="1:19" ht="26.25" hidden="1" thickBot="1" x14ac:dyDescent="0.3">
      <c r="A5875" s="257"/>
      <c r="B5875" s="260"/>
      <c r="C5875" s="35" t="s">
        <v>8259</v>
      </c>
      <c r="D5875" s="35" t="s">
        <v>213</v>
      </c>
      <c r="E5875" s="36">
        <v>1</v>
      </c>
      <c r="F5875" s="30">
        <v>25.526499999999999</v>
      </c>
      <c r="G5875" s="53">
        <f t="shared" si="566"/>
        <v>25.526499999999999</v>
      </c>
      <c r="H5875" s="38">
        <f>SUM(G5875:G5875)</f>
        <v>25.526499999999999</v>
      </c>
      <c r="I5875" s="39"/>
      <c r="J5875" s="152">
        <v>0</v>
      </c>
      <c r="L5875" s="215">
        <v>1</v>
      </c>
      <c r="M5875" s="30">
        <v>21.850684000000001</v>
      </c>
      <c r="N5875" s="53">
        <f t="shared" si="567"/>
        <v>21.850684000000001</v>
      </c>
      <c r="O5875" s="38">
        <f>SUM(N5875:N5875)</f>
        <v>21.850684000000001</v>
      </c>
      <c r="P5875" s="36" t="str">
        <f t="shared" si="562"/>
        <v/>
      </c>
      <c r="Q5875" s="216">
        <f t="shared" si="563"/>
        <v>0.14399999999999991</v>
      </c>
      <c r="R5875" s="216">
        <f t="shared" si="564"/>
        <v>0.14399999999999991</v>
      </c>
      <c r="S5875" s="217">
        <f t="shared" si="565"/>
        <v>0.14399999999999991</v>
      </c>
    </row>
    <row r="5876" spans="1:19" ht="15.75" hidden="1" thickBot="1" x14ac:dyDescent="0.3">
      <c r="A5876" s="258"/>
      <c r="B5876" s="261"/>
      <c r="C5876" s="54"/>
      <c r="D5876" s="155"/>
      <c r="E5876" s="65"/>
      <c r="F5876" s="75" t="s">
        <v>416</v>
      </c>
      <c r="G5876" s="75" t="str">
        <f t="shared" si="566"/>
        <v/>
      </c>
      <c r="H5876" s="76"/>
      <c r="I5876" s="73"/>
      <c r="J5876" s="152">
        <v>0</v>
      </c>
      <c r="L5876" s="222"/>
      <c r="M5876" s="75"/>
      <c r="N5876" s="75" t="str">
        <f t="shared" si="567"/>
        <v/>
      </c>
      <c r="O5876" s="76"/>
      <c r="P5876" s="36" t="str">
        <f t="shared" si="562"/>
        <v/>
      </c>
      <c r="Q5876" s="216" t="str">
        <f t="shared" si="563"/>
        <v/>
      </c>
      <c r="R5876" s="216" t="str">
        <f t="shared" si="564"/>
        <v/>
      </c>
      <c r="S5876" s="217" t="str">
        <f t="shared" si="565"/>
        <v/>
      </c>
    </row>
    <row r="5877" spans="1:19" ht="15.75" hidden="1" thickBot="1" x14ac:dyDescent="0.3">
      <c r="A5877" s="256" t="s">
        <v>4655</v>
      </c>
      <c r="B5877" s="259" t="str">
        <f>INDEX(Orçamentária!A:B,MATCH(Composições!A5877,Orçamentária!A:A,0),2)</f>
        <v>Curva para eletroduto 4”</v>
      </c>
      <c r="C5877" s="40"/>
      <c r="D5877" s="25" t="s">
        <v>16</v>
      </c>
      <c r="E5877" s="26"/>
      <c r="F5877" s="48" t="s">
        <v>416</v>
      </c>
      <c r="G5877" s="27" t="str">
        <f t="shared" si="566"/>
        <v/>
      </c>
      <c r="H5877" s="28"/>
      <c r="I5877" s="29"/>
      <c r="J5877" s="152">
        <v>0</v>
      </c>
      <c r="L5877" s="218"/>
      <c r="M5877" s="48"/>
      <c r="N5877" s="27" t="str">
        <f t="shared" si="567"/>
        <v/>
      </c>
      <c r="O5877" s="28"/>
      <c r="P5877" s="36" t="str">
        <f t="shared" si="562"/>
        <v/>
      </c>
      <c r="Q5877" s="216" t="str">
        <f t="shared" si="563"/>
        <v/>
      </c>
      <c r="R5877" s="216" t="str">
        <f t="shared" si="564"/>
        <v/>
      </c>
      <c r="S5877" s="217" t="str">
        <f t="shared" si="565"/>
        <v/>
      </c>
    </row>
    <row r="5878" spans="1:19" ht="15.75" hidden="1" thickBot="1" x14ac:dyDescent="0.3">
      <c r="A5878" s="257"/>
      <c r="B5878" s="260"/>
      <c r="C5878" s="31"/>
      <c r="D5878" s="31"/>
      <c r="E5878" s="32"/>
      <c r="F5878" s="53" t="s">
        <v>416</v>
      </c>
      <c r="G5878" s="53" t="str">
        <f t="shared" si="566"/>
        <v/>
      </c>
      <c r="H5878" s="72"/>
      <c r="I5878" s="73"/>
      <c r="J5878" s="152">
        <v>0</v>
      </c>
      <c r="L5878" s="219"/>
      <c r="M5878" s="53"/>
      <c r="N5878" s="53" t="str">
        <f t="shared" si="567"/>
        <v/>
      </c>
      <c r="O5878" s="72"/>
      <c r="P5878" s="36" t="str">
        <f t="shared" si="562"/>
        <v/>
      </c>
      <c r="Q5878" s="216" t="str">
        <f t="shared" si="563"/>
        <v/>
      </c>
      <c r="R5878" s="216" t="str">
        <f t="shared" si="564"/>
        <v/>
      </c>
      <c r="S5878" s="217" t="str">
        <f t="shared" si="565"/>
        <v/>
      </c>
    </row>
    <row r="5879" spans="1:19" ht="26.25" hidden="1" thickBot="1" x14ac:dyDescent="0.3">
      <c r="A5879" s="257"/>
      <c r="B5879" s="260"/>
      <c r="C5879" s="35" t="s">
        <v>8125</v>
      </c>
      <c r="D5879" s="35" t="s">
        <v>213</v>
      </c>
      <c r="E5879" s="36">
        <v>1</v>
      </c>
      <c r="F5879" s="30">
        <v>145.00799999999998</v>
      </c>
      <c r="G5879" s="53">
        <f t="shared" si="566"/>
        <v>145.00799999999998</v>
      </c>
      <c r="H5879" s="38">
        <f>SUM(G5879:G5879)</f>
        <v>145.00799999999998</v>
      </c>
      <c r="I5879" s="39"/>
      <c r="J5879" s="152">
        <v>0</v>
      </c>
      <c r="L5879" s="215">
        <v>1</v>
      </c>
      <c r="M5879" s="30">
        <v>124.12684799999998</v>
      </c>
      <c r="N5879" s="53">
        <f t="shared" si="567"/>
        <v>124.12684799999998</v>
      </c>
      <c r="O5879" s="38">
        <f>SUM(N5879:N5879)</f>
        <v>124.12684799999998</v>
      </c>
      <c r="P5879" s="36" t="str">
        <f t="shared" si="562"/>
        <v/>
      </c>
      <c r="Q5879" s="216">
        <f t="shared" si="563"/>
        <v>0.14400000000000002</v>
      </c>
      <c r="R5879" s="216">
        <f t="shared" si="564"/>
        <v>0.14400000000000002</v>
      </c>
      <c r="S5879" s="217">
        <f t="shared" si="565"/>
        <v>0.14400000000000002</v>
      </c>
    </row>
    <row r="5880" spans="1:19" ht="15.75" hidden="1" thickBot="1" x14ac:dyDescent="0.3">
      <c r="A5880" s="258"/>
      <c r="B5880" s="261"/>
      <c r="C5880" s="54"/>
      <c r="D5880" s="155"/>
      <c r="E5880" s="65"/>
      <c r="F5880" s="75" t="s">
        <v>416</v>
      </c>
      <c r="G5880" s="75" t="str">
        <f t="shared" si="566"/>
        <v/>
      </c>
      <c r="H5880" s="76"/>
      <c r="I5880" s="73"/>
      <c r="J5880" s="152">
        <v>0</v>
      </c>
      <c r="L5880" s="222"/>
      <c r="M5880" s="75"/>
      <c r="N5880" s="75" t="str">
        <f t="shared" si="567"/>
        <v/>
      </c>
      <c r="O5880" s="76"/>
      <c r="P5880" s="36" t="str">
        <f t="shared" si="562"/>
        <v/>
      </c>
      <c r="Q5880" s="216" t="str">
        <f t="shared" si="563"/>
        <v/>
      </c>
      <c r="R5880" s="216" t="str">
        <f t="shared" si="564"/>
        <v/>
      </c>
      <c r="S5880" s="217" t="str">
        <f t="shared" si="565"/>
        <v/>
      </c>
    </row>
    <row r="5881" spans="1:19" ht="15.75" hidden="1" thickBot="1" x14ac:dyDescent="0.3">
      <c r="A5881" s="256" t="s">
        <v>4656</v>
      </c>
      <c r="B5881" s="259" t="str">
        <f>INDEX(Orçamentária!A:B,MATCH(Composições!A5881,Orçamentária!A:A,0),2)</f>
        <v>Eletroduto de PVC Corrugado Reforçado 3/4” (DE 25mm)</v>
      </c>
      <c r="C5881" s="40"/>
      <c r="D5881" s="25" t="s">
        <v>69</v>
      </c>
      <c r="E5881" s="26"/>
      <c r="F5881" s="48" t="s">
        <v>416</v>
      </c>
      <c r="G5881" s="27" t="str">
        <f t="shared" si="566"/>
        <v/>
      </c>
      <c r="H5881" s="28"/>
      <c r="I5881" s="29"/>
      <c r="J5881" s="152">
        <v>0</v>
      </c>
      <c r="L5881" s="218"/>
      <c r="M5881" s="48"/>
      <c r="N5881" s="27" t="str">
        <f t="shared" si="567"/>
        <v/>
      </c>
      <c r="O5881" s="28"/>
      <c r="P5881" s="36" t="str">
        <f t="shared" si="562"/>
        <v/>
      </c>
      <c r="Q5881" s="216" t="str">
        <f t="shared" si="563"/>
        <v/>
      </c>
      <c r="R5881" s="216" t="str">
        <f t="shared" si="564"/>
        <v/>
      </c>
      <c r="S5881" s="217" t="str">
        <f t="shared" si="565"/>
        <v/>
      </c>
    </row>
    <row r="5882" spans="1:19" ht="15.75" hidden="1" thickBot="1" x14ac:dyDescent="0.3">
      <c r="A5882" s="257"/>
      <c r="B5882" s="260"/>
      <c r="C5882" s="31"/>
      <c r="D5882" s="31"/>
      <c r="E5882" s="32"/>
      <c r="F5882" s="53" t="s">
        <v>416</v>
      </c>
      <c r="G5882" s="53" t="str">
        <f t="shared" si="566"/>
        <v/>
      </c>
      <c r="H5882" s="72"/>
      <c r="I5882" s="73"/>
      <c r="J5882" s="152">
        <v>0</v>
      </c>
      <c r="L5882" s="219"/>
      <c r="M5882" s="53"/>
      <c r="N5882" s="53" t="str">
        <f t="shared" si="567"/>
        <v/>
      </c>
      <c r="O5882" s="72"/>
      <c r="P5882" s="36" t="str">
        <f t="shared" si="562"/>
        <v/>
      </c>
      <c r="Q5882" s="216" t="str">
        <f t="shared" si="563"/>
        <v/>
      </c>
      <c r="R5882" s="216" t="str">
        <f t="shared" si="564"/>
        <v/>
      </c>
      <c r="S5882" s="217" t="str">
        <f t="shared" si="565"/>
        <v/>
      </c>
    </row>
    <row r="5883" spans="1:19" ht="26.25" hidden="1" thickBot="1" x14ac:dyDescent="0.3">
      <c r="A5883" s="257"/>
      <c r="B5883" s="260"/>
      <c r="C5883" s="35" t="s">
        <v>8149</v>
      </c>
      <c r="D5883" s="35" t="s">
        <v>385</v>
      </c>
      <c r="E5883" s="36">
        <v>1</v>
      </c>
      <c r="F5883" s="30">
        <v>4.4935</v>
      </c>
      <c r="G5883" s="53">
        <f t="shared" si="566"/>
        <v>4.4935</v>
      </c>
      <c r="H5883" s="38">
        <f>SUM(G5883:G5883)</f>
        <v>4.4935</v>
      </c>
      <c r="I5883" s="39"/>
      <c r="J5883" s="152">
        <v>0</v>
      </c>
      <c r="L5883" s="215">
        <v>1</v>
      </c>
      <c r="M5883" s="30">
        <v>3.8464360000000002</v>
      </c>
      <c r="N5883" s="53">
        <f t="shared" si="567"/>
        <v>3.8464360000000002</v>
      </c>
      <c r="O5883" s="38">
        <f>SUM(N5883:N5883)</f>
        <v>3.8464360000000002</v>
      </c>
      <c r="P5883" s="36" t="str">
        <f t="shared" si="562"/>
        <v/>
      </c>
      <c r="Q5883" s="216">
        <f t="shared" si="563"/>
        <v>0.14400000000000002</v>
      </c>
      <c r="R5883" s="216">
        <f t="shared" si="564"/>
        <v>0.14400000000000002</v>
      </c>
      <c r="S5883" s="217">
        <f t="shared" si="565"/>
        <v>0.14400000000000002</v>
      </c>
    </row>
    <row r="5884" spans="1:19" ht="15.75" hidden="1" thickBot="1" x14ac:dyDescent="0.3">
      <c r="A5884" s="258"/>
      <c r="B5884" s="261"/>
      <c r="C5884" s="54"/>
      <c r="D5884" s="155"/>
      <c r="E5884" s="65"/>
      <c r="F5884" s="75" t="s">
        <v>416</v>
      </c>
      <c r="G5884" s="75" t="str">
        <f t="shared" si="566"/>
        <v/>
      </c>
      <c r="H5884" s="76"/>
      <c r="I5884" s="73"/>
      <c r="J5884" s="152">
        <v>0</v>
      </c>
      <c r="L5884" s="222"/>
      <c r="M5884" s="75"/>
      <c r="N5884" s="75" t="str">
        <f t="shared" si="567"/>
        <v/>
      </c>
      <c r="O5884" s="76"/>
      <c r="P5884" s="36" t="str">
        <f t="shared" si="562"/>
        <v/>
      </c>
      <c r="Q5884" s="216" t="str">
        <f t="shared" si="563"/>
        <v/>
      </c>
      <c r="R5884" s="216" t="str">
        <f t="shared" si="564"/>
        <v/>
      </c>
      <c r="S5884" s="217" t="str">
        <f t="shared" si="565"/>
        <v/>
      </c>
    </row>
    <row r="5885" spans="1:19" ht="15.75" hidden="1" thickBot="1" x14ac:dyDescent="0.3">
      <c r="A5885" s="256" t="s">
        <v>4657</v>
      </c>
      <c r="B5885" s="259" t="str">
        <f>INDEX(Orçamentária!A:B,MATCH(Composições!A5885,Orçamentária!A:A,0),2)</f>
        <v>Eletroduto de PVC Corrugado Reforçado 1” (DE 32mm)</v>
      </c>
      <c r="C5885" s="40"/>
      <c r="D5885" s="25" t="s">
        <v>69</v>
      </c>
      <c r="E5885" s="26"/>
      <c r="F5885" s="48" t="s">
        <v>416</v>
      </c>
      <c r="G5885" s="27" t="str">
        <f t="shared" si="566"/>
        <v/>
      </c>
      <c r="H5885" s="28"/>
      <c r="I5885" s="29"/>
      <c r="J5885" s="152">
        <v>0</v>
      </c>
      <c r="L5885" s="218"/>
      <c r="M5885" s="48"/>
      <c r="N5885" s="27" t="str">
        <f t="shared" si="567"/>
        <v/>
      </c>
      <c r="O5885" s="28"/>
      <c r="P5885" s="36" t="str">
        <f t="shared" si="562"/>
        <v/>
      </c>
      <c r="Q5885" s="216" t="str">
        <f t="shared" si="563"/>
        <v/>
      </c>
      <c r="R5885" s="216" t="str">
        <f t="shared" si="564"/>
        <v/>
      </c>
      <c r="S5885" s="217" t="str">
        <f t="shared" si="565"/>
        <v/>
      </c>
    </row>
    <row r="5886" spans="1:19" ht="15.75" hidden="1" thickBot="1" x14ac:dyDescent="0.3">
      <c r="A5886" s="257"/>
      <c r="B5886" s="260"/>
      <c r="C5886" s="31"/>
      <c r="D5886" s="31"/>
      <c r="E5886" s="32"/>
      <c r="F5886" s="53" t="s">
        <v>416</v>
      </c>
      <c r="G5886" s="53" t="str">
        <f t="shared" si="566"/>
        <v/>
      </c>
      <c r="H5886" s="72"/>
      <c r="I5886" s="73"/>
      <c r="J5886" s="152">
        <v>0</v>
      </c>
      <c r="L5886" s="219"/>
      <c r="M5886" s="53"/>
      <c r="N5886" s="53" t="str">
        <f t="shared" si="567"/>
        <v/>
      </c>
      <c r="O5886" s="72"/>
      <c r="P5886" s="36" t="str">
        <f t="shared" si="562"/>
        <v/>
      </c>
      <c r="Q5886" s="216" t="str">
        <f t="shared" si="563"/>
        <v/>
      </c>
      <c r="R5886" s="216" t="str">
        <f t="shared" si="564"/>
        <v/>
      </c>
      <c r="S5886" s="217" t="str">
        <f t="shared" si="565"/>
        <v/>
      </c>
    </row>
    <row r="5887" spans="1:19" ht="26.25" hidden="1" thickBot="1" x14ac:dyDescent="0.3">
      <c r="A5887" s="257"/>
      <c r="B5887" s="260"/>
      <c r="C5887" s="35" t="s">
        <v>8150</v>
      </c>
      <c r="D5887" s="35" t="s">
        <v>385</v>
      </c>
      <c r="E5887" s="36">
        <v>1</v>
      </c>
      <c r="F5887" s="30">
        <v>8.6449999999999996</v>
      </c>
      <c r="G5887" s="53">
        <f t="shared" si="566"/>
        <v>8.6449999999999996</v>
      </c>
      <c r="H5887" s="38">
        <f>SUM(G5887:G5887)</f>
        <v>8.6449999999999996</v>
      </c>
      <c r="I5887" s="39"/>
      <c r="J5887" s="152">
        <v>0</v>
      </c>
      <c r="L5887" s="215">
        <v>1</v>
      </c>
      <c r="M5887" s="30">
        <v>7.4001199999999994</v>
      </c>
      <c r="N5887" s="53">
        <f t="shared" si="567"/>
        <v>7.4001199999999994</v>
      </c>
      <c r="O5887" s="38">
        <f>SUM(N5887:N5887)</f>
        <v>7.4001199999999994</v>
      </c>
      <c r="P5887" s="36" t="str">
        <f t="shared" si="562"/>
        <v/>
      </c>
      <c r="Q5887" s="216">
        <f t="shared" si="563"/>
        <v>0.14400000000000002</v>
      </c>
      <c r="R5887" s="216">
        <f t="shared" si="564"/>
        <v>0.14400000000000002</v>
      </c>
      <c r="S5887" s="217">
        <f t="shared" si="565"/>
        <v>0.14400000000000002</v>
      </c>
    </row>
    <row r="5888" spans="1:19" ht="15.75" hidden="1" thickBot="1" x14ac:dyDescent="0.3">
      <c r="A5888" s="258"/>
      <c r="B5888" s="261"/>
      <c r="C5888" s="54"/>
      <c r="D5888" s="155"/>
      <c r="E5888" s="65"/>
      <c r="F5888" s="75" t="s">
        <v>416</v>
      </c>
      <c r="G5888" s="75" t="str">
        <f t="shared" si="566"/>
        <v/>
      </c>
      <c r="H5888" s="76"/>
      <c r="I5888" s="73"/>
      <c r="J5888" s="152">
        <v>0</v>
      </c>
      <c r="L5888" s="222"/>
      <c r="M5888" s="75"/>
      <c r="N5888" s="75" t="str">
        <f t="shared" si="567"/>
        <v/>
      </c>
      <c r="O5888" s="76"/>
      <c r="P5888" s="36" t="str">
        <f t="shared" si="562"/>
        <v/>
      </c>
      <c r="Q5888" s="216" t="str">
        <f t="shared" si="563"/>
        <v/>
      </c>
      <c r="R5888" s="216" t="str">
        <f t="shared" si="564"/>
        <v/>
      </c>
      <c r="S5888" s="217" t="str">
        <f t="shared" si="565"/>
        <v/>
      </c>
    </row>
    <row r="5889" spans="1:19" ht="15.75" hidden="1" thickBot="1" x14ac:dyDescent="0.3">
      <c r="A5889" s="256" t="s">
        <v>4658</v>
      </c>
      <c r="B5889" s="259" t="str">
        <f>INDEX(Orçamentária!A:B,MATCH(Composições!A5889,Orçamentária!A:A,0),2)</f>
        <v>Eletroduto flexível metálico com capa de PVC 3/4”</v>
      </c>
      <c r="C5889" s="40"/>
      <c r="D5889" s="25" t="s">
        <v>69</v>
      </c>
      <c r="E5889" s="26"/>
      <c r="F5889" s="48" t="s">
        <v>416</v>
      </c>
      <c r="G5889" s="27" t="str">
        <f t="shared" si="566"/>
        <v/>
      </c>
      <c r="H5889" s="28"/>
      <c r="I5889" s="29"/>
      <c r="J5889" s="152">
        <v>0</v>
      </c>
      <c r="L5889" s="218"/>
      <c r="M5889" s="48"/>
      <c r="N5889" s="27" t="str">
        <f t="shared" si="567"/>
        <v/>
      </c>
      <c r="O5889" s="28"/>
      <c r="P5889" s="36" t="str">
        <f t="shared" si="562"/>
        <v/>
      </c>
      <c r="Q5889" s="216" t="str">
        <f t="shared" si="563"/>
        <v/>
      </c>
      <c r="R5889" s="216" t="str">
        <f t="shared" si="564"/>
        <v/>
      </c>
      <c r="S5889" s="217" t="str">
        <f t="shared" si="565"/>
        <v/>
      </c>
    </row>
    <row r="5890" spans="1:19" ht="15.75" hidden="1" thickBot="1" x14ac:dyDescent="0.3">
      <c r="A5890" s="257"/>
      <c r="B5890" s="260"/>
      <c r="C5890" s="31"/>
      <c r="D5890" s="31"/>
      <c r="E5890" s="32"/>
      <c r="F5890" s="53" t="s">
        <v>416</v>
      </c>
      <c r="G5890" s="53" t="str">
        <f t="shared" si="566"/>
        <v/>
      </c>
      <c r="H5890" s="72"/>
      <c r="I5890" s="73"/>
      <c r="J5890" s="152">
        <v>0</v>
      </c>
      <c r="L5890" s="219"/>
      <c r="M5890" s="53"/>
      <c r="N5890" s="53" t="str">
        <f t="shared" si="567"/>
        <v/>
      </c>
      <c r="O5890" s="72"/>
      <c r="P5890" s="36" t="str">
        <f t="shared" si="562"/>
        <v/>
      </c>
      <c r="Q5890" s="216" t="str">
        <f t="shared" si="563"/>
        <v/>
      </c>
      <c r="R5890" s="216" t="str">
        <f t="shared" si="564"/>
        <v/>
      </c>
      <c r="S5890" s="217" t="str">
        <f t="shared" si="565"/>
        <v/>
      </c>
    </row>
    <row r="5891" spans="1:19" ht="39" hidden="1" thickBot="1" x14ac:dyDescent="0.3">
      <c r="A5891" s="257"/>
      <c r="B5891" s="260"/>
      <c r="C5891" s="35" t="s">
        <v>8145</v>
      </c>
      <c r="D5891" s="35" t="s">
        <v>385</v>
      </c>
      <c r="E5891" s="36">
        <v>1</v>
      </c>
      <c r="F5891" s="30">
        <v>10.535499999999999</v>
      </c>
      <c r="G5891" s="53">
        <f t="shared" si="566"/>
        <v>10.535499999999999</v>
      </c>
      <c r="H5891" s="38">
        <f>SUM(G5891:G5891)</f>
        <v>10.535499999999999</v>
      </c>
      <c r="I5891" s="39"/>
      <c r="J5891" s="152">
        <v>0</v>
      </c>
      <c r="L5891" s="215">
        <v>1</v>
      </c>
      <c r="M5891" s="30">
        <v>9.0183879999999998</v>
      </c>
      <c r="N5891" s="53">
        <f t="shared" si="567"/>
        <v>9.0183879999999998</v>
      </c>
      <c r="O5891" s="38">
        <f>SUM(N5891:N5891)</f>
        <v>9.0183879999999998</v>
      </c>
      <c r="P5891" s="36" t="str">
        <f t="shared" si="562"/>
        <v/>
      </c>
      <c r="Q5891" s="216">
        <f t="shared" si="563"/>
        <v>0.14399999999999991</v>
      </c>
      <c r="R5891" s="216">
        <f t="shared" si="564"/>
        <v>0.14399999999999991</v>
      </c>
      <c r="S5891" s="217">
        <f t="shared" si="565"/>
        <v>0.14399999999999991</v>
      </c>
    </row>
    <row r="5892" spans="1:19" ht="15.75" hidden="1" thickBot="1" x14ac:dyDescent="0.3">
      <c r="A5892" s="258"/>
      <c r="B5892" s="261"/>
      <c r="C5892" s="54"/>
      <c r="D5892" s="155"/>
      <c r="E5892" s="65"/>
      <c r="F5892" s="75" t="s">
        <v>416</v>
      </c>
      <c r="G5892" s="75" t="str">
        <f t="shared" si="566"/>
        <v/>
      </c>
      <c r="H5892" s="76"/>
      <c r="I5892" s="73"/>
      <c r="J5892" s="152">
        <v>0</v>
      </c>
      <c r="L5892" s="222"/>
      <c r="M5892" s="75"/>
      <c r="N5892" s="75" t="str">
        <f t="shared" si="567"/>
        <v/>
      </c>
      <c r="O5892" s="76"/>
      <c r="P5892" s="36" t="str">
        <f t="shared" si="562"/>
        <v/>
      </c>
      <c r="Q5892" s="216" t="str">
        <f t="shared" si="563"/>
        <v/>
      </c>
      <c r="R5892" s="216" t="str">
        <f t="shared" si="564"/>
        <v/>
      </c>
      <c r="S5892" s="217" t="str">
        <f t="shared" si="565"/>
        <v/>
      </c>
    </row>
    <row r="5893" spans="1:19" ht="15.75" hidden="1" thickBot="1" x14ac:dyDescent="0.3">
      <c r="A5893" s="256" t="s">
        <v>4660</v>
      </c>
      <c r="B5893" s="259" t="str">
        <f>INDEX(Orçamentária!A:B,MATCH(Composições!A5893,Orçamentária!A:A,0),2)</f>
        <v>Eletroduto flexível metálico com capa de PVC 1”</v>
      </c>
      <c r="C5893" s="40"/>
      <c r="D5893" s="25" t="s">
        <v>69</v>
      </c>
      <c r="E5893" s="26"/>
      <c r="F5893" s="48" t="s">
        <v>416</v>
      </c>
      <c r="G5893" s="27" t="str">
        <f t="shared" si="566"/>
        <v/>
      </c>
      <c r="H5893" s="28"/>
      <c r="I5893" s="29"/>
      <c r="J5893" s="152">
        <v>0</v>
      </c>
      <c r="L5893" s="218"/>
      <c r="M5893" s="48"/>
      <c r="N5893" s="27" t="str">
        <f t="shared" si="567"/>
        <v/>
      </c>
      <c r="O5893" s="28"/>
      <c r="P5893" s="36" t="str">
        <f t="shared" si="562"/>
        <v/>
      </c>
      <c r="Q5893" s="216" t="str">
        <f t="shared" si="563"/>
        <v/>
      </c>
      <c r="R5893" s="216" t="str">
        <f t="shared" si="564"/>
        <v/>
      </c>
      <c r="S5893" s="217" t="str">
        <f t="shared" si="565"/>
        <v/>
      </c>
    </row>
    <row r="5894" spans="1:19" ht="15.75" hidden="1" thickBot="1" x14ac:dyDescent="0.3">
      <c r="A5894" s="257"/>
      <c r="B5894" s="260"/>
      <c r="C5894" s="31"/>
      <c r="D5894" s="31"/>
      <c r="E5894" s="32"/>
      <c r="F5894" s="53" t="s">
        <v>416</v>
      </c>
      <c r="G5894" s="53" t="str">
        <f t="shared" si="566"/>
        <v/>
      </c>
      <c r="H5894" s="72"/>
      <c r="I5894" s="73"/>
      <c r="J5894" s="152">
        <v>0</v>
      </c>
      <c r="L5894" s="219"/>
      <c r="M5894" s="53"/>
      <c r="N5894" s="53" t="str">
        <f t="shared" si="567"/>
        <v/>
      </c>
      <c r="O5894" s="72"/>
      <c r="P5894" s="36" t="str">
        <f t="shared" si="562"/>
        <v/>
      </c>
      <c r="Q5894" s="216" t="str">
        <f t="shared" si="563"/>
        <v/>
      </c>
      <c r="R5894" s="216" t="str">
        <f t="shared" si="564"/>
        <v/>
      </c>
      <c r="S5894" s="217" t="str">
        <f t="shared" si="565"/>
        <v/>
      </c>
    </row>
    <row r="5895" spans="1:19" ht="39" hidden="1" thickBot="1" x14ac:dyDescent="0.3">
      <c r="A5895" s="257"/>
      <c r="B5895" s="260"/>
      <c r="C5895" s="35" t="s">
        <v>8146</v>
      </c>
      <c r="D5895" s="35" t="s">
        <v>385</v>
      </c>
      <c r="E5895" s="36">
        <v>1</v>
      </c>
      <c r="F5895" s="30">
        <v>13.8225</v>
      </c>
      <c r="G5895" s="53">
        <f t="shared" si="566"/>
        <v>13.8225</v>
      </c>
      <c r="H5895" s="38">
        <f>SUM(G5895:G5895)</f>
        <v>13.8225</v>
      </c>
      <c r="I5895" s="39"/>
      <c r="J5895" s="152">
        <v>0</v>
      </c>
      <c r="L5895" s="215">
        <v>1</v>
      </c>
      <c r="M5895" s="30">
        <v>11.83206</v>
      </c>
      <c r="N5895" s="53">
        <f t="shared" si="567"/>
        <v>11.83206</v>
      </c>
      <c r="O5895" s="38">
        <f>SUM(N5895:N5895)</f>
        <v>11.83206</v>
      </c>
      <c r="P5895" s="36" t="str">
        <f t="shared" si="562"/>
        <v/>
      </c>
      <c r="Q5895" s="216">
        <f t="shared" si="563"/>
        <v>0.14400000000000002</v>
      </c>
      <c r="R5895" s="216">
        <f t="shared" si="564"/>
        <v>0.14400000000000002</v>
      </c>
      <c r="S5895" s="217">
        <f t="shared" si="565"/>
        <v>0.14400000000000002</v>
      </c>
    </row>
    <row r="5896" spans="1:19" ht="15.75" hidden="1" thickBot="1" x14ac:dyDescent="0.3">
      <c r="A5896" s="258"/>
      <c r="B5896" s="261"/>
      <c r="C5896" s="54"/>
      <c r="D5896" s="155"/>
      <c r="E5896" s="65"/>
      <c r="F5896" s="75" t="s">
        <v>416</v>
      </c>
      <c r="G5896" s="75" t="str">
        <f t="shared" si="566"/>
        <v/>
      </c>
      <c r="H5896" s="76"/>
      <c r="I5896" s="73"/>
      <c r="J5896" s="152">
        <v>0</v>
      </c>
      <c r="L5896" s="222"/>
      <c r="M5896" s="75"/>
      <c r="N5896" s="75" t="str">
        <f t="shared" si="567"/>
        <v/>
      </c>
      <c r="O5896" s="76"/>
      <c r="P5896" s="36" t="str">
        <f t="shared" ref="P5896:P5959" si="568">IF(ISBLANK(L5896),"",IF($E5896&lt;&gt;L5896,"SIM",""))</f>
        <v/>
      </c>
      <c r="Q5896" s="216" t="str">
        <f t="shared" ref="Q5896:Q5959" si="569">IF(M5896="","",1-M5896/$F5896)</f>
        <v/>
      </c>
      <c r="R5896" s="216" t="str">
        <f t="shared" ref="R5896:R5959" si="570">IF(N5896="","",1-N5896/$G5896)</f>
        <v/>
      </c>
      <c r="S5896" s="217" t="str">
        <f t="shared" ref="S5896:S5959" si="571">IF(O5896="","",1-O5896/$H5896)</f>
        <v/>
      </c>
    </row>
    <row r="5897" spans="1:19" ht="15.75" hidden="1" thickBot="1" x14ac:dyDescent="0.3">
      <c r="A5897" s="256" t="s">
        <v>4662</v>
      </c>
      <c r="B5897" s="259" t="str">
        <f>INDEX(Orçamentária!A:B,MATCH(Composições!A5897,Orçamentária!A:A,0),2)</f>
        <v>Eletroduto flexível metálico com capa de PVC 1 1/4”</v>
      </c>
      <c r="C5897" s="40"/>
      <c r="D5897" s="25" t="s">
        <v>69</v>
      </c>
      <c r="E5897" s="26"/>
      <c r="F5897" s="48" t="s">
        <v>416</v>
      </c>
      <c r="G5897" s="27" t="str">
        <f t="shared" si="566"/>
        <v/>
      </c>
      <c r="H5897" s="28"/>
      <c r="I5897" s="29"/>
      <c r="J5897" s="152">
        <v>0</v>
      </c>
      <c r="L5897" s="218"/>
      <c r="M5897" s="48"/>
      <c r="N5897" s="27" t="str">
        <f t="shared" si="567"/>
        <v/>
      </c>
      <c r="O5897" s="28"/>
      <c r="P5897" s="36" t="str">
        <f t="shared" si="568"/>
        <v/>
      </c>
      <c r="Q5897" s="216" t="str">
        <f t="shared" si="569"/>
        <v/>
      </c>
      <c r="R5897" s="216" t="str">
        <f t="shared" si="570"/>
        <v/>
      </c>
      <c r="S5897" s="217" t="str">
        <f t="shared" si="571"/>
        <v/>
      </c>
    </row>
    <row r="5898" spans="1:19" ht="15.75" hidden="1" thickBot="1" x14ac:dyDescent="0.3">
      <c r="A5898" s="257"/>
      <c r="B5898" s="260"/>
      <c r="C5898" s="31"/>
      <c r="D5898" s="31"/>
      <c r="E5898" s="32"/>
      <c r="F5898" s="53" t="s">
        <v>416</v>
      </c>
      <c r="G5898" s="53" t="str">
        <f t="shared" si="566"/>
        <v/>
      </c>
      <c r="H5898" s="72"/>
      <c r="I5898" s="73"/>
      <c r="J5898" s="152">
        <v>0</v>
      </c>
      <c r="L5898" s="219"/>
      <c r="M5898" s="53"/>
      <c r="N5898" s="53" t="str">
        <f t="shared" si="567"/>
        <v/>
      </c>
      <c r="O5898" s="72"/>
      <c r="P5898" s="36" t="str">
        <f t="shared" si="568"/>
        <v/>
      </c>
      <c r="Q5898" s="216" t="str">
        <f t="shared" si="569"/>
        <v/>
      </c>
      <c r="R5898" s="216" t="str">
        <f t="shared" si="570"/>
        <v/>
      </c>
      <c r="S5898" s="217" t="str">
        <f t="shared" si="571"/>
        <v/>
      </c>
    </row>
    <row r="5899" spans="1:19" ht="39" hidden="1" thickBot="1" x14ac:dyDescent="0.3">
      <c r="A5899" s="257"/>
      <c r="B5899" s="260"/>
      <c r="C5899" s="35" t="s">
        <v>8147</v>
      </c>
      <c r="D5899" s="35" t="s">
        <v>385</v>
      </c>
      <c r="E5899" s="36">
        <v>1</v>
      </c>
      <c r="F5899" s="30">
        <v>20.852499999999999</v>
      </c>
      <c r="G5899" s="53">
        <f t="shared" si="566"/>
        <v>20.852499999999999</v>
      </c>
      <c r="H5899" s="38">
        <f>SUM(G5899:G5899)</f>
        <v>20.852499999999999</v>
      </c>
      <c r="I5899" s="39"/>
      <c r="J5899" s="152">
        <v>0</v>
      </c>
      <c r="L5899" s="215">
        <v>1</v>
      </c>
      <c r="M5899" s="30">
        <v>17.849740000000001</v>
      </c>
      <c r="N5899" s="53">
        <f t="shared" si="567"/>
        <v>17.849740000000001</v>
      </c>
      <c r="O5899" s="38">
        <f>SUM(N5899:N5899)</f>
        <v>17.849740000000001</v>
      </c>
      <c r="P5899" s="36" t="str">
        <f t="shared" si="568"/>
        <v/>
      </c>
      <c r="Q5899" s="216">
        <f t="shared" si="569"/>
        <v>0.14399999999999991</v>
      </c>
      <c r="R5899" s="216">
        <f t="shared" si="570"/>
        <v>0.14399999999999991</v>
      </c>
      <c r="S5899" s="217">
        <f t="shared" si="571"/>
        <v>0.14399999999999991</v>
      </c>
    </row>
    <row r="5900" spans="1:19" ht="15.75" hidden="1" thickBot="1" x14ac:dyDescent="0.3">
      <c r="A5900" s="258"/>
      <c r="B5900" s="261"/>
      <c r="C5900" s="54"/>
      <c r="D5900" s="155"/>
      <c r="E5900" s="65"/>
      <c r="F5900" s="75" t="s">
        <v>416</v>
      </c>
      <c r="G5900" s="75" t="str">
        <f t="shared" si="566"/>
        <v/>
      </c>
      <c r="H5900" s="76"/>
      <c r="I5900" s="73"/>
      <c r="J5900" s="152">
        <v>0</v>
      </c>
      <c r="L5900" s="222"/>
      <c r="M5900" s="75"/>
      <c r="N5900" s="75" t="str">
        <f t="shared" si="567"/>
        <v/>
      </c>
      <c r="O5900" s="76"/>
      <c r="P5900" s="36" t="str">
        <f t="shared" si="568"/>
        <v/>
      </c>
      <c r="Q5900" s="216" t="str">
        <f t="shared" si="569"/>
        <v/>
      </c>
      <c r="R5900" s="216" t="str">
        <f t="shared" si="570"/>
        <v/>
      </c>
      <c r="S5900" s="217" t="str">
        <f t="shared" si="571"/>
        <v/>
      </c>
    </row>
    <row r="5901" spans="1:19" ht="15.75" hidden="1" thickBot="1" x14ac:dyDescent="0.3">
      <c r="A5901" s="256" t="s">
        <v>4664</v>
      </c>
      <c r="B5901" s="259" t="str">
        <f>INDEX(Orçamentária!A:B,MATCH(Composições!A5901,Orçamentária!A:A,0),2)</f>
        <v>Eletroduto flexível metálico com capa de PVC 1 1/2”</v>
      </c>
      <c r="C5901" s="40"/>
      <c r="D5901" s="25" t="s">
        <v>69</v>
      </c>
      <c r="E5901" s="26"/>
      <c r="F5901" s="48" t="s">
        <v>416</v>
      </c>
      <c r="G5901" s="27" t="str">
        <f t="shared" si="566"/>
        <v/>
      </c>
      <c r="H5901" s="28"/>
      <c r="I5901" s="29"/>
      <c r="J5901" s="152">
        <v>0</v>
      </c>
      <c r="L5901" s="218"/>
      <c r="M5901" s="48"/>
      <c r="N5901" s="27" t="str">
        <f t="shared" si="567"/>
        <v/>
      </c>
      <c r="O5901" s="28"/>
      <c r="P5901" s="36" t="str">
        <f t="shared" si="568"/>
        <v/>
      </c>
      <c r="Q5901" s="216" t="str">
        <f t="shared" si="569"/>
        <v/>
      </c>
      <c r="R5901" s="216" t="str">
        <f t="shared" si="570"/>
        <v/>
      </c>
      <c r="S5901" s="217" t="str">
        <f t="shared" si="571"/>
        <v/>
      </c>
    </row>
    <row r="5902" spans="1:19" ht="15.75" hidden="1" thickBot="1" x14ac:dyDescent="0.3">
      <c r="A5902" s="257"/>
      <c r="B5902" s="260"/>
      <c r="C5902" s="31"/>
      <c r="D5902" s="31"/>
      <c r="E5902" s="32"/>
      <c r="F5902" s="53" t="s">
        <v>416</v>
      </c>
      <c r="G5902" s="53" t="str">
        <f t="shared" si="566"/>
        <v/>
      </c>
      <c r="H5902" s="72"/>
      <c r="I5902" s="73"/>
      <c r="J5902" s="152">
        <v>0</v>
      </c>
      <c r="L5902" s="219"/>
      <c r="M5902" s="53"/>
      <c r="N5902" s="53" t="str">
        <f t="shared" si="567"/>
        <v/>
      </c>
      <c r="O5902" s="72"/>
      <c r="P5902" s="36" t="str">
        <f t="shared" si="568"/>
        <v/>
      </c>
      <c r="Q5902" s="216" t="str">
        <f t="shared" si="569"/>
        <v/>
      </c>
      <c r="R5902" s="216" t="str">
        <f t="shared" si="570"/>
        <v/>
      </c>
      <c r="S5902" s="217" t="str">
        <f t="shared" si="571"/>
        <v/>
      </c>
    </row>
    <row r="5903" spans="1:19" ht="39" hidden="1" thickBot="1" x14ac:dyDescent="0.3">
      <c r="A5903" s="257"/>
      <c r="B5903" s="260"/>
      <c r="C5903" s="35" t="s">
        <v>1065</v>
      </c>
      <c r="D5903" s="35" t="s">
        <v>385</v>
      </c>
      <c r="E5903" s="36">
        <v>1</v>
      </c>
      <c r="F5903" s="30">
        <v>26.847000000000001</v>
      </c>
      <c r="G5903" s="53">
        <f t="shared" si="566"/>
        <v>26.847000000000001</v>
      </c>
      <c r="H5903" s="38">
        <f>SUM(G5903:G5903)</f>
        <v>26.847000000000001</v>
      </c>
      <c r="I5903" s="39"/>
      <c r="J5903" s="152">
        <v>0</v>
      </c>
      <c r="L5903" s="215">
        <v>1</v>
      </c>
      <c r="M5903" s="30">
        <v>22.981032000000003</v>
      </c>
      <c r="N5903" s="53">
        <f t="shared" si="567"/>
        <v>22.981032000000003</v>
      </c>
      <c r="O5903" s="38">
        <f>SUM(N5903:N5903)</f>
        <v>22.981032000000003</v>
      </c>
      <c r="P5903" s="36" t="str">
        <f t="shared" si="568"/>
        <v/>
      </c>
      <c r="Q5903" s="216">
        <f t="shared" si="569"/>
        <v>0.14399999999999991</v>
      </c>
      <c r="R5903" s="216">
        <f t="shared" si="570"/>
        <v>0.14399999999999991</v>
      </c>
      <c r="S5903" s="217">
        <f t="shared" si="571"/>
        <v>0.14399999999999991</v>
      </c>
    </row>
    <row r="5904" spans="1:19" ht="15.75" hidden="1" thickBot="1" x14ac:dyDescent="0.3">
      <c r="A5904" s="258"/>
      <c r="B5904" s="261"/>
      <c r="C5904" s="54"/>
      <c r="D5904" s="155"/>
      <c r="E5904" s="65"/>
      <c r="F5904" s="75" t="s">
        <v>416</v>
      </c>
      <c r="G5904" s="75" t="str">
        <f t="shared" si="566"/>
        <v/>
      </c>
      <c r="H5904" s="76"/>
      <c r="I5904" s="73"/>
      <c r="J5904" s="152">
        <v>0</v>
      </c>
      <c r="L5904" s="222"/>
      <c r="M5904" s="75"/>
      <c r="N5904" s="75" t="str">
        <f t="shared" si="567"/>
        <v/>
      </c>
      <c r="O5904" s="76"/>
      <c r="P5904" s="36" t="str">
        <f t="shared" si="568"/>
        <v/>
      </c>
      <c r="Q5904" s="216" t="str">
        <f t="shared" si="569"/>
        <v/>
      </c>
      <c r="R5904" s="216" t="str">
        <f t="shared" si="570"/>
        <v/>
      </c>
      <c r="S5904" s="217" t="str">
        <f t="shared" si="571"/>
        <v/>
      </c>
    </row>
    <row r="5905" spans="1:19" ht="15.75" hidden="1" thickBot="1" x14ac:dyDescent="0.3">
      <c r="A5905" s="256" t="s">
        <v>4666</v>
      </c>
      <c r="B5905" s="259" t="str">
        <f>INDEX(Orçamentária!A:B,MATCH(Composições!A5905,Orçamentária!A:A,0),2)</f>
        <v>Eletroduto flexível metálico com capa de PVC 2”</v>
      </c>
      <c r="C5905" s="40"/>
      <c r="D5905" s="25" t="s">
        <v>69</v>
      </c>
      <c r="E5905" s="26"/>
      <c r="F5905" s="48" t="s">
        <v>416</v>
      </c>
      <c r="G5905" s="27" t="str">
        <f t="shared" si="566"/>
        <v/>
      </c>
      <c r="H5905" s="28"/>
      <c r="I5905" s="29"/>
      <c r="J5905" s="152">
        <v>0</v>
      </c>
      <c r="L5905" s="218"/>
      <c r="M5905" s="48"/>
      <c r="N5905" s="27" t="str">
        <f t="shared" si="567"/>
        <v/>
      </c>
      <c r="O5905" s="28"/>
      <c r="P5905" s="36" t="str">
        <f t="shared" si="568"/>
        <v/>
      </c>
      <c r="Q5905" s="216" t="str">
        <f t="shared" si="569"/>
        <v/>
      </c>
      <c r="R5905" s="216" t="str">
        <f t="shared" si="570"/>
        <v/>
      </c>
      <c r="S5905" s="217" t="str">
        <f t="shared" si="571"/>
        <v/>
      </c>
    </row>
    <row r="5906" spans="1:19" ht="15.75" hidden="1" thickBot="1" x14ac:dyDescent="0.3">
      <c r="A5906" s="257"/>
      <c r="B5906" s="260"/>
      <c r="C5906" s="31"/>
      <c r="D5906" s="31"/>
      <c r="E5906" s="32"/>
      <c r="F5906" s="53" t="s">
        <v>416</v>
      </c>
      <c r="G5906" s="53" t="str">
        <f t="shared" si="566"/>
        <v/>
      </c>
      <c r="H5906" s="72"/>
      <c r="I5906" s="73"/>
      <c r="J5906" s="152">
        <v>0</v>
      </c>
      <c r="L5906" s="219"/>
      <c r="M5906" s="53"/>
      <c r="N5906" s="53" t="str">
        <f t="shared" si="567"/>
        <v/>
      </c>
      <c r="O5906" s="72"/>
      <c r="P5906" s="36" t="str">
        <f t="shared" si="568"/>
        <v/>
      </c>
      <c r="Q5906" s="216" t="str">
        <f t="shared" si="569"/>
        <v/>
      </c>
      <c r="R5906" s="216" t="str">
        <f t="shared" si="570"/>
        <v/>
      </c>
      <c r="S5906" s="217" t="str">
        <f t="shared" si="571"/>
        <v/>
      </c>
    </row>
    <row r="5907" spans="1:19" ht="39" hidden="1" thickBot="1" x14ac:dyDescent="0.3">
      <c r="A5907" s="257"/>
      <c r="B5907" s="260"/>
      <c r="C5907" s="35" t="s">
        <v>8148</v>
      </c>
      <c r="D5907" s="35" t="s">
        <v>385</v>
      </c>
      <c r="E5907" s="36">
        <v>1</v>
      </c>
      <c r="F5907" s="30">
        <v>35.757999999999996</v>
      </c>
      <c r="G5907" s="53">
        <f t="shared" si="566"/>
        <v>35.757999999999996</v>
      </c>
      <c r="H5907" s="38">
        <f>SUM(G5907:G5907)</f>
        <v>35.757999999999996</v>
      </c>
      <c r="I5907" s="39"/>
      <c r="J5907" s="152">
        <v>0</v>
      </c>
      <c r="L5907" s="215">
        <v>1</v>
      </c>
      <c r="M5907" s="30">
        <v>30.608847999999995</v>
      </c>
      <c r="N5907" s="53">
        <f t="shared" si="567"/>
        <v>30.608847999999995</v>
      </c>
      <c r="O5907" s="38">
        <f>SUM(N5907:N5907)</f>
        <v>30.608847999999995</v>
      </c>
      <c r="P5907" s="36" t="str">
        <f t="shared" si="568"/>
        <v/>
      </c>
      <c r="Q5907" s="216">
        <f t="shared" si="569"/>
        <v>0.14400000000000002</v>
      </c>
      <c r="R5907" s="216">
        <f t="shared" si="570"/>
        <v>0.14400000000000002</v>
      </c>
      <c r="S5907" s="217">
        <f t="shared" si="571"/>
        <v>0.14400000000000002</v>
      </c>
    </row>
    <row r="5908" spans="1:19" ht="15.75" hidden="1" thickBot="1" x14ac:dyDescent="0.3">
      <c r="A5908" s="258"/>
      <c r="B5908" s="261"/>
      <c r="C5908" s="54"/>
      <c r="D5908" s="155"/>
      <c r="E5908" s="65"/>
      <c r="F5908" s="75" t="s">
        <v>416</v>
      </c>
      <c r="G5908" s="75" t="str">
        <f t="shared" si="566"/>
        <v/>
      </c>
      <c r="H5908" s="76"/>
      <c r="I5908" s="73"/>
      <c r="J5908" s="152">
        <v>0</v>
      </c>
      <c r="L5908" s="222"/>
      <c r="M5908" s="75"/>
      <c r="N5908" s="75" t="str">
        <f t="shared" si="567"/>
        <v/>
      </c>
      <c r="O5908" s="76"/>
      <c r="P5908" s="36" t="str">
        <f t="shared" si="568"/>
        <v/>
      </c>
      <c r="Q5908" s="216" t="str">
        <f t="shared" si="569"/>
        <v/>
      </c>
      <c r="R5908" s="216" t="str">
        <f t="shared" si="570"/>
        <v/>
      </c>
      <c r="S5908" s="217" t="str">
        <f t="shared" si="571"/>
        <v/>
      </c>
    </row>
    <row r="5909" spans="1:19" ht="15.75" hidden="1" thickBot="1" x14ac:dyDescent="0.3">
      <c r="A5909" s="256" t="s">
        <v>4668</v>
      </c>
      <c r="B5909" s="259" t="str">
        <f>INDEX(Orçamentária!A:B,MATCH(Composições!A5909,Orçamentária!A:A,0),2)</f>
        <v>Eletroduto de PEAD de 1 1/4”</v>
      </c>
      <c r="C5909" s="40"/>
      <c r="D5909" s="25" t="s">
        <v>69</v>
      </c>
      <c r="E5909" s="26"/>
      <c r="F5909" s="48" t="s">
        <v>416</v>
      </c>
      <c r="G5909" s="27" t="str">
        <f t="shared" si="566"/>
        <v/>
      </c>
      <c r="H5909" s="28"/>
      <c r="I5909" s="29"/>
      <c r="J5909" s="152">
        <v>0</v>
      </c>
      <c r="L5909" s="218"/>
      <c r="M5909" s="48"/>
      <c r="N5909" s="27" t="str">
        <f t="shared" si="567"/>
        <v/>
      </c>
      <c r="O5909" s="28"/>
      <c r="P5909" s="36" t="str">
        <f t="shared" si="568"/>
        <v/>
      </c>
      <c r="Q5909" s="216" t="str">
        <f t="shared" si="569"/>
        <v/>
      </c>
      <c r="R5909" s="216" t="str">
        <f t="shared" si="570"/>
        <v/>
      </c>
      <c r="S5909" s="217" t="str">
        <f t="shared" si="571"/>
        <v/>
      </c>
    </row>
    <row r="5910" spans="1:19" ht="15.75" hidden="1" thickBot="1" x14ac:dyDescent="0.3">
      <c r="A5910" s="257"/>
      <c r="B5910" s="260"/>
      <c r="C5910" s="31"/>
      <c r="D5910" s="31"/>
      <c r="E5910" s="32"/>
      <c r="F5910" s="53" t="s">
        <v>416</v>
      </c>
      <c r="G5910" s="53" t="str">
        <f t="shared" si="566"/>
        <v/>
      </c>
      <c r="H5910" s="72"/>
      <c r="I5910" s="73"/>
      <c r="J5910" s="152">
        <v>0</v>
      </c>
      <c r="L5910" s="219"/>
      <c r="M5910" s="53"/>
      <c r="N5910" s="53" t="str">
        <f t="shared" si="567"/>
        <v/>
      </c>
      <c r="O5910" s="72"/>
      <c r="P5910" s="36" t="str">
        <f t="shared" si="568"/>
        <v/>
      </c>
      <c r="Q5910" s="216" t="str">
        <f t="shared" si="569"/>
        <v/>
      </c>
      <c r="R5910" s="216" t="str">
        <f t="shared" si="570"/>
        <v/>
      </c>
      <c r="S5910" s="217" t="str">
        <f t="shared" si="571"/>
        <v/>
      </c>
    </row>
    <row r="5911" spans="1:19" ht="39" hidden="1" thickBot="1" x14ac:dyDescent="0.3">
      <c r="A5911" s="257"/>
      <c r="B5911" s="260"/>
      <c r="C5911" s="35" t="s">
        <v>8152</v>
      </c>
      <c r="D5911" s="35" t="s">
        <v>385</v>
      </c>
      <c r="E5911" s="36">
        <v>1</v>
      </c>
      <c r="F5911" s="30">
        <v>3.3344999999999998</v>
      </c>
      <c r="G5911" s="53">
        <f t="shared" si="566"/>
        <v>3.3344999999999998</v>
      </c>
      <c r="H5911" s="38">
        <f>SUM(G5911:G5911)</f>
        <v>3.3344999999999998</v>
      </c>
      <c r="I5911" s="39"/>
      <c r="J5911" s="152">
        <v>0</v>
      </c>
      <c r="L5911" s="215">
        <v>1</v>
      </c>
      <c r="M5911" s="30">
        <v>2.8543319999999999</v>
      </c>
      <c r="N5911" s="53">
        <f t="shared" si="567"/>
        <v>2.8543319999999999</v>
      </c>
      <c r="O5911" s="38">
        <f>SUM(N5911:N5911)</f>
        <v>2.8543319999999999</v>
      </c>
      <c r="P5911" s="36" t="str">
        <f t="shared" si="568"/>
        <v/>
      </c>
      <c r="Q5911" s="216">
        <f t="shared" si="569"/>
        <v>0.14400000000000002</v>
      </c>
      <c r="R5911" s="216">
        <f t="shared" si="570"/>
        <v>0.14400000000000002</v>
      </c>
      <c r="S5911" s="217">
        <f t="shared" si="571"/>
        <v>0.14400000000000002</v>
      </c>
    </row>
    <row r="5912" spans="1:19" ht="15.75" hidden="1" thickBot="1" x14ac:dyDescent="0.3">
      <c r="A5912" s="258"/>
      <c r="B5912" s="261"/>
      <c r="C5912" s="54"/>
      <c r="D5912" s="155"/>
      <c r="E5912" s="65"/>
      <c r="F5912" s="75" t="s">
        <v>416</v>
      </c>
      <c r="G5912" s="75" t="str">
        <f t="shared" si="566"/>
        <v/>
      </c>
      <c r="H5912" s="76"/>
      <c r="I5912" s="73"/>
      <c r="J5912" s="152">
        <v>0</v>
      </c>
      <c r="L5912" s="222"/>
      <c r="M5912" s="75"/>
      <c r="N5912" s="75" t="str">
        <f t="shared" si="567"/>
        <v/>
      </c>
      <c r="O5912" s="76"/>
      <c r="P5912" s="36" t="str">
        <f t="shared" si="568"/>
        <v/>
      </c>
      <c r="Q5912" s="216" t="str">
        <f t="shared" si="569"/>
        <v/>
      </c>
      <c r="R5912" s="216" t="str">
        <f t="shared" si="570"/>
        <v/>
      </c>
      <c r="S5912" s="217" t="str">
        <f t="shared" si="571"/>
        <v/>
      </c>
    </row>
    <row r="5913" spans="1:19" ht="15.75" hidden="1" thickBot="1" x14ac:dyDescent="0.3">
      <c r="A5913" s="256" t="s">
        <v>4669</v>
      </c>
      <c r="B5913" s="259" t="str">
        <f>INDEX(Orçamentária!A:B,MATCH(Composições!A5913,Orçamentária!A:A,0),2)</f>
        <v>Terminal para eletroduto de PEAD de 1 1/4”</v>
      </c>
      <c r="C5913" s="40"/>
      <c r="D5913" s="25" t="s">
        <v>16</v>
      </c>
      <c r="E5913" s="26"/>
      <c r="F5913" s="48" t="s">
        <v>416</v>
      </c>
      <c r="G5913" s="27" t="str">
        <f t="shared" si="566"/>
        <v/>
      </c>
      <c r="H5913" s="28"/>
      <c r="I5913" s="29"/>
      <c r="J5913" s="152">
        <v>0</v>
      </c>
      <c r="L5913" s="218"/>
      <c r="M5913" s="48"/>
      <c r="N5913" s="27" t="str">
        <f t="shared" si="567"/>
        <v/>
      </c>
      <c r="O5913" s="28"/>
      <c r="P5913" s="36" t="str">
        <f t="shared" si="568"/>
        <v/>
      </c>
      <c r="Q5913" s="216" t="str">
        <f t="shared" si="569"/>
        <v/>
      </c>
      <c r="R5913" s="216" t="str">
        <f t="shared" si="570"/>
        <v/>
      </c>
      <c r="S5913" s="217" t="str">
        <f t="shared" si="571"/>
        <v/>
      </c>
    </row>
    <row r="5914" spans="1:19" ht="15.75" hidden="1" thickBot="1" x14ac:dyDescent="0.3">
      <c r="A5914" s="257"/>
      <c r="B5914" s="260"/>
      <c r="C5914" s="31"/>
      <c r="D5914" s="31"/>
      <c r="E5914" s="32"/>
      <c r="F5914" s="53" t="s">
        <v>416</v>
      </c>
      <c r="G5914" s="53" t="str">
        <f t="shared" si="566"/>
        <v/>
      </c>
      <c r="H5914" s="72"/>
      <c r="I5914" s="73"/>
      <c r="J5914" s="152">
        <v>0</v>
      </c>
      <c r="L5914" s="219"/>
      <c r="M5914" s="53"/>
      <c r="N5914" s="53" t="str">
        <f t="shared" si="567"/>
        <v/>
      </c>
      <c r="O5914" s="72"/>
      <c r="P5914" s="36" t="str">
        <f t="shared" si="568"/>
        <v/>
      </c>
      <c r="Q5914" s="216" t="str">
        <f t="shared" si="569"/>
        <v/>
      </c>
      <c r="R5914" s="216" t="str">
        <f t="shared" si="570"/>
        <v/>
      </c>
      <c r="S5914" s="217" t="str">
        <f t="shared" si="571"/>
        <v/>
      </c>
    </row>
    <row r="5915" spans="1:19" ht="26.25" hidden="1" thickBot="1" x14ac:dyDescent="0.3">
      <c r="A5915" s="257"/>
      <c r="B5915" s="260"/>
      <c r="C5915" s="35" t="s">
        <v>8386</v>
      </c>
      <c r="D5915" s="35" t="s">
        <v>213</v>
      </c>
      <c r="E5915" s="36">
        <v>1</v>
      </c>
      <c r="F5915" s="30">
        <v>5.5385</v>
      </c>
      <c r="G5915" s="53">
        <f t="shared" si="566"/>
        <v>5.5385</v>
      </c>
      <c r="H5915" s="38">
        <f>SUM(G5915:G5915)</f>
        <v>5.5385</v>
      </c>
      <c r="I5915" s="39"/>
      <c r="J5915" s="152">
        <v>0</v>
      </c>
      <c r="L5915" s="215">
        <v>1</v>
      </c>
      <c r="M5915" s="30">
        <v>4.7409559999999997</v>
      </c>
      <c r="N5915" s="53">
        <f t="shared" si="567"/>
        <v>4.7409559999999997</v>
      </c>
      <c r="O5915" s="38">
        <f>SUM(N5915:N5915)</f>
        <v>4.7409559999999997</v>
      </c>
      <c r="P5915" s="36" t="str">
        <f t="shared" si="568"/>
        <v/>
      </c>
      <c r="Q5915" s="216">
        <f t="shared" si="569"/>
        <v>0.14400000000000002</v>
      </c>
      <c r="R5915" s="216">
        <f t="shared" si="570"/>
        <v>0.14400000000000002</v>
      </c>
      <c r="S5915" s="217">
        <f t="shared" si="571"/>
        <v>0.14400000000000002</v>
      </c>
    </row>
    <row r="5916" spans="1:19" ht="15.75" hidden="1" thickBot="1" x14ac:dyDescent="0.3">
      <c r="A5916" s="258"/>
      <c r="B5916" s="261"/>
      <c r="C5916" s="54"/>
      <c r="D5916" s="155"/>
      <c r="E5916" s="65"/>
      <c r="F5916" s="75" t="s">
        <v>416</v>
      </c>
      <c r="G5916" s="75" t="str">
        <f t="shared" si="566"/>
        <v/>
      </c>
      <c r="H5916" s="76"/>
      <c r="I5916" s="73"/>
      <c r="J5916" s="152">
        <v>0</v>
      </c>
      <c r="L5916" s="222"/>
      <c r="M5916" s="75"/>
      <c r="N5916" s="75" t="str">
        <f t="shared" si="567"/>
        <v/>
      </c>
      <c r="O5916" s="76"/>
      <c r="P5916" s="36" t="str">
        <f t="shared" si="568"/>
        <v/>
      </c>
      <c r="Q5916" s="216" t="str">
        <f t="shared" si="569"/>
        <v/>
      </c>
      <c r="R5916" s="216" t="str">
        <f t="shared" si="570"/>
        <v/>
      </c>
      <c r="S5916" s="217" t="str">
        <f t="shared" si="571"/>
        <v/>
      </c>
    </row>
    <row r="5917" spans="1:19" ht="15.75" hidden="1" thickBot="1" x14ac:dyDescent="0.3">
      <c r="A5917" s="256" t="s">
        <v>4670</v>
      </c>
      <c r="B5917" s="259" t="str">
        <f>INDEX(Orçamentária!A:B,MATCH(Composições!A5917,Orçamentária!A:A,0),2)</f>
        <v>Eletroduto de PEAD de 2”</v>
      </c>
      <c r="C5917" s="40"/>
      <c r="D5917" s="25" t="s">
        <v>69</v>
      </c>
      <c r="E5917" s="26"/>
      <c r="F5917" s="48" t="s">
        <v>416</v>
      </c>
      <c r="G5917" s="27" t="str">
        <f t="shared" si="566"/>
        <v/>
      </c>
      <c r="H5917" s="28"/>
      <c r="I5917" s="29"/>
      <c r="J5917" s="152">
        <v>0</v>
      </c>
      <c r="L5917" s="218"/>
      <c r="M5917" s="48"/>
      <c r="N5917" s="27" t="str">
        <f t="shared" si="567"/>
        <v/>
      </c>
      <c r="O5917" s="28"/>
      <c r="P5917" s="36" t="str">
        <f t="shared" si="568"/>
        <v/>
      </c>
      <c r="Q5917" s="216" t="str">
        <f t="shared" si="569"/>
        <v/>
      </c>
      <c r="R5917" s="216" t="str">
        <f t="shared" si="570"/>
        <v/>
      </c>
      <c r="S5917" s="217" t="str">
        <f t="shared" si="571"/>
        <v/>
      </c>
    </row>
    <row r="5918" spans="1:19" ht="15.75" hidden="1" thickBot="1" x14ac:dyDescent="0.3">
      <c r="A5918" s="257"/>
      <c r="B5918" s="260"/>
      <c r="C5918" s="31"/>
      <c r="D5918" s="31"/>
      <c r="E5918" s="32"/>
      <c r="F5918" s="53" t="s">
        <v>416</v>
      </c>
      <c r="G5918" s="53" t="str">
        <f t="shared" si="566"/>
        <v/>
      </c>
      <c r="H5918" s="72"/>
      <c r="I5918" s="73"/>
      <c r="J5918" s="152">
        <v>0</v>
      </c>
      <c r="L5918" s="219"/>
      <c r="M5918" s="53"/>
      <c r="N5918" s="53" t="str">
        <f t="shared" si="567"/>
        <v/>
      </c>
      <c r="O5918" s="72"/>
      <c r="P5918" s="36" t="str">
        <f t="shared" si="568"/>
        <v/>
      </c>
      <c r="Q5918" s="216" t="str">
        <f t="shared" si="569"/>
        <v/>
      </c>
      <c r="R5918" s="216" t="str">
        <f t="shared" si="570"/>
        <v/>
      </c>
      <c r="S5918" s="217" t="str">
        <f t="shared" si="571"/>
        <v/>
      </c>
    </row>
    <row r="5919" spans="1:19" ht="39" hidden="1" thickBot="1" x14ac:dyDescent="0.3">
      <c r="A5919" s="257"/>
      <c r="B5919" s="260"/>
      <c r="C5919" s="35" t="s">
        <v>8533</v>
      </c>
      <c r="D5919" s="35" t="s">
        <v>385</v>
      </c>
      <c r="E5919" s="36">
        <v>1</v>
      </c>
      <c r="F5919" s="30">
        <v>5.4909999999999997</v>
      </c>
      <c r="G5919" s="53">
        <f t="shared" si="566"/>
        <v>5.4909999999999997</v>
      </c>
      <c r="H5919" s="38">
        <f>SUM(G5919:G5919)</f>
        <v>5.4909999999999997</v>
      </c>
      <c r="I5919" s="39"/>
      <c r="J5919" s="152">
        <v>0</v>
      </c>
      <c r="L5919" s="215">
        <v>1</v>
      </c>
      <c r="M5919" s="30">
        <v>4.7002959999999998</v>
      </c>
      <c r="N5919" s="53">
        <f t="shared" si="567"/>
        <v>4.7002959999999998</v>
      </c>
      <c r="O5919" s="38">
        <f>SUM(N5919:N5919)</f>
        <v>4.7002959999999998</v>
      </c>
      <c r="P5919" s="36" t="str">
        <f t="shared" si="568"/>
        <v/>
      </c>
      <c r="Q5919" s="216">
        <f t="shared" si="569"/>
        <v>0.14400000000000002</v>
      </c>
      <c r="R5919" s="216">
        <f t="shared" si="570"/>
        <v>0.14400000000000002</v>
      </c>
      <c r="S5919" s="217">
        <f t="shared" si="571"/>
        <v>0.14400000000000002</v>
      </c>
    </row>
    <row r="5920" spans="1:19" ht="15.75" hidden="1" thickBot="1" x14ac:dyDescent="0.3">
      <c r="A5920" s="258"/>
      <c r="B5920" s="261"/>
      <c r="C5920" s="54"/>
      <c r="D5920" s="155"/>
      <c r="E5920" s="65"/>
      <c r="F5920" s="75" t="s">
        <v>416</v>
      </c>
      <c r="G5920" s="75" t="str">
        <f t="shared" si="566"/>
        <v/>
      </c>
      <c r="H5920" s="76"/>
      <c r="I5920" s="73"/>
      <c r="J5920" s="152">
        <v>0</v>
      </c>
      <c r="L5920" s="222"/>
      <c r="M5920" s="75"/>
      <c r="N5920" s="75" t="str">
        <f t="shared" si="567"/>
        <v/>
      </c>
      <c r="O5920" s="76"/>
      <c r="P5920" s="36" t="str">
        <f t="shared" si="568"/>
        <v/>
      </c>
      <c r="Q5920" s="216" t="str">
        <f t="shared" si="569"/>
        <v/>
      </c>
      <c r="R5920" s="216" t="str">
        <f t="shared" si="570"/>
        <v/>
      </c>
      <c r="S5920" s="217" t="str">
        <f t="shared" si="571"/>
        <v/>
      </c>
    </row>
    <row r="5921" spans="1:19" ht="15.75" hidden="1" thickBot="1" x14ac:dyDescent="0.3">
      <c r="A5921" s="256" t="s">
        <v>4671</v>
      </c>
      <c r="B5921" s="259" t="str">
        <f>INDEX(Orçamentária!A:B,MATCH(Composições!A5921,Orçamentária!A:A,0),2)</f>
        <v>Terminal para eletroduto de PEAD de 2”</v>
      </c>
      <c r="C5921" s="40"/>
      <c r="D5921" s="25" t="s">
        <v>16</v>
      </c>
      <c r="E5921" s="26"/>
      <c r="F5921" s="48" t="s">
        <v>416</v>
      </c>
      <c r="G5921" s="27" t="str">
        <f t="shared" si="566"/>
        <v/>
      </c>
      <c r="H5921" s="28"/>
      <c r="I5921" s="29"/>
      <c r="J5921" s="152">
        <v>0</v>
      </c>
      <c r="L5921" s="218"/>
      <c r="M5921" s="48"/>
      <c r="N5921" s="27" t="str">
        <f t="shared" si="567"/>
        <v/>
      </c>
      <c r="O5921" s="28"/>
      <c r="P5921" s="36" t="str">
        <f t="shared" si="568"/>
        <v/>
      </c>
      <c r="Q5921" s="216" t="str">
        <f t="shared" si="569"/>
        <v/>
      </c>
      <c r="R5921" s="216" t="str">
        <f t="shared" si="570"/>
        <v/>
      </c>
      <c r="S5921" s="217" t="str">
        <f t="shared" si="571"/>
        <v/>
      </c>
    </row>
    <row r="5922" spans="1:19" ht="15.75" hidden="1" thickBot="1" x14ac:dyDescent="0.3">
      <c r="A5922" s="257"/>
      <c r="B5922" s="260"/>
      <c r="C5922" s="31"/>
      <c r="D5922" s="31"/>
      <c r="E5922" s="32"/>
      <c r="F5922" s="53" t="s">
        <v>416</v>
      </c>
      <c r="G5922" s="53" t="str">
        <f t="shared" si="566"/>
        <v/>
      </c>
      <c r="H5922" s="72"/>
      <c r="I5922" s="73"/>
      <c r="J5922" s="152">
        <v>0</v>
      </c>
      <c r="L5922" s="219"/>
      <c r="M5922" s="53"/>
      <c r="N5922" s="53" t="str">
        <f t="shared" si="567"/>
        <v/>
      </c>
      <c r="O5922" s="72"/>
      <c r="P5922" s="36" t="str">
        <f t="shared" si="568"/>
        <v/>
      </c>
      <c r="Q5922" s="216" t="str">
        <f t="shared" si="569"/>
        <v/>
      </c>
      <c r="R5922" s="216" t="str">
        <f t="shared" si="570"/>
        <v/>
      </c>
      <c r="S5922" s="217" t="str">
        <f t="shared" si="571"/>
        <v/>
      </c>
    </row>
    <row r="5923" spans="1:19" ht="26.25" hidden="1" thickBot="1" x14ac:dyDescent="0.3">
      <c r="A5923" s="257"/>
      <c r="B5923" s="260"/>
      <c r="C5923" s="35" t="s">
        <v>8387</v>
      </c>
      <c r="D5923" s="35" t="s">
        <v>213</v>
      </c>
      <c r="E5923" s="36">
        <v>1</v>
      </c>
      <c r="F5923" s="30">
        <v>6.327</v>
      </c>
      <c r="G5923" s="53">
        <f t="shared" si="566"/>
        <v>6.327</v>
      </c>
      <c r="H5923" s="38">
        <f>SUM(G5923:G5923)</f>
        <v>6.327</v>
      </c>
      <c r="I5923" s="39"/>
      <c r="J5923" s="152">
        <v>0</v>
      </c>
      <c r="L5923" s="215">
        <v>1</v>
      </c>
      <c r="M5923" s="30">
        <v>5.4159120000000005</v>
      </c>
      <c r="N5923" s="53">
        <f t="shared" si="567"/>
        <v>5.4159120000000005</v>
      </c>
      <c r="O5923" s="38">
        <f>SUM(N5923:N5923)</f>
        <v>5.4159120000000005</v>
      </c>
      <c r="P5923" s="36" t="str">
        <f t="shared" si="568"/>
        <v/>
      </c>
      <c r="Q5923" s="216">
        <f t="shared" si="569"/>
        <v>0.14399999999999991</v>
      </c>
      <c r="R5923" s="216">
        <f t="shared" si="570"/>
        <v>0.14399999999999991</v>
      </c>
      <c r="S5923" s="217">
        <f t="shared" si="571"/>
        <v>0.14399999999999991</v>
      </c>
    </row>
    <row r="5924" spans="1:19" ht="15.75" hidden="1" thickBot="1" x14ac:dyDescent="0.3">
      <c r="A5924" s="258"/>
      <c r="B5924" s="261"/>
      <c r="C5924" s="54"/>
      <c r="D5924" s="155"/>
      <c r="E5924" s="65"/>
      <c r="F5924" s="75" t="s">
        <v>416</v>
      </c>
      <c r="G5924" s="75" t="str">
        <f t="shared" si="566"/>
        <v/>
      </c>
      <c r="H5924" s="76"/>
      <c r="I5924" s="73"/>
      <c r="J5924" s="152">
        <v>0</v>
      </c>
      <c r="L5924" s="222"/>
      <c r="M5924" s="75"/>
      <c r="N5924" s="75" t="str">
        <f t="shared" si="567"/>
        <v/>
      </c>
      <c r="O5924" s="76"/>
      <c r="P5924" s="36" t="str">
        <f t="shared" si="568"/>
        <v/>
      </c>
      <c r="Q5924" s="216" t="str">
        <f t="shared" si="569"/>
        <v/>
      </c>
      <c r="R5924" s="216" t="str">
        <f t="shared" si="570"/>
        <v/>
      </c>
      <c r="S5924" s="217" t="str">
        <f t="shared" si="571"/>
        <v/>
      </c>
    </row>
    <row r="5925" spans="1:19" ht="15.75" hidden="1" thickBot="1" x14ac:dyDescent="0.3">
      <c r="A5925" s="256" t="s">
        <v>4672</v>
      </c>
      <c r="B5925" s="259" t="str">
        <f>INDEX(Orçamentária!A:B,MATCH(Composições!A5925,Orçamentária!A:A,0),2)</f>
        <v>Eletroduto de PEAD de 3”</v>
      </c>
      <c r="C5925" s="40"/>
      <c r="D5925" s="25" t="s">
        <v>69</v>
      </c>
      <c r="E5925" s="26"/>
      <c r="F5925" s="48" t="s">
        <v>416</v>
      </c>
      <c r="G5925" s="27" t="str">
        <f t="shared" si="566"/>
        <v/>
      </c>
      <c r="H5925" s="28"/>
      <c r="I5925" s="29"/>
      <c r="J5925" s="152">
        <v>0</v>
      </c>
      <c r="L5925" s="218"/>
      <c r="M5925" s="48"/>
      <c r="N5925" s="27" t="str">
        <f t="shared" si="567"/>
        <v/>
      </c>
      <c r="O5925" s="28"/>
      <c r="P5925" s="36" t="str">
        <f t="shared" si="568"/>
        <v/>
      </c>
      <c r="Q5925" s="216" t="str">
        <f t="shared" si="569"/>
        <v/>
      </c>
      <c r="R5925" s="216" t="str">
        <f t="shared" si="570"/>
        <v/>
      </c>
      <c r="S5925" s="217" t="str">
        <f t="shared" si="571"/>
        <v/>
      </c>
    </row>
    <row r="5926" spans="1:19" ht="15.75" hidden="1" thickBot="1" x14ac:dyDescent="0.3">
      <c r="A5926" s="257"/>
      <c r="B5926" s="260"/>
      <c r="C5926" s="31"/>
      <c r="D5926" s="31"/>
      <c r="E5926" s="32"/>
      <c r="F5926" s="53" t="s">
        <v>416</v>
      </c>
      <c r="G5926" s="53" t="str">
        <f t="shared" si="566"/>
        <v/>
      </c>
      <c r="H5926" s="72"/>
      <c r="I5926" s="73"/>
      <c r="J5926" s="152">
        <v>0</v>
      </c>
      <c r="L5926" s="219"/>
      <c r="M5926" s="53"/>
      <c r="N5926" s="53" t="str">
        <f t="shared" si="567"/>
        <v/>
      </c>
      <c r="O5926" s="72"/>
      <c r="P5926" s="36" t="str">
        <f t="shared" si="568"/>
        <v/>
      </c>
      <c r="Q5926" s="216" t="str">
        <f t="shared" si="569"/>
        <v/>
      </c>
      <c r="R5926" s="216" t="str">
        <f t="shared" si="570"/>
        <v/>
      </c>
      <c r="S5926" s="217" t="str">
        <f t="shared" si="571"/>
        <v/>
      </c>
    </row>
    <row r="5927" spans="1:19" ht="39" hidden="1" thickBot="1" x14ac:dyDescent="0.3">
      <c r="A5927" s="257"/>
      <c r="B5927" s="260"/>
      <c r="C5927" s="35" t="s">
        <v>8528</v>
      </c>
      <c r="D5927" s="35" t="s">
        <v>385</v>
      </c>
      <c r="E5927" s="36">
        <v>1</v>
      </c>
      <c r="F5927" s="30">
        <v>7.6949999999999994</v>
      </c>
      <c r="G5927" s="53">
        <f t="shared" si="566"/>
        <v>7.6949999999999994</v>
      </c>
      <c r="H5927" s="38">
        <f>SUM(G5927:G5927)</f>
        <v>7.6949999999999994</v>
      </c>
      <c r="I5927" s="39"/>
      <c r="J5927" s="152">
        <v>0</v>
      </c>
      <c r="L5927" s="215">
        <v>1</v>
      </c>
      <c r="M5927" s="30">
        <v>6.5869199999999992</v>
      </c>
      <c r="N5927" s="53">
        <f t="shared" si="567"/>
        <v>6.5869199999999992</v>
      </c>
      <c r="O5927" s="38">
        <f>SUM(N5927:N5927)</f>
        <v>6.5869199999999992</v>
      </c>
      <c r="P5927" s="36" t="str">
        <f t="shared" si="568"/>
        <v/>
      </c>
      <c r="Q5927" s="216">
        <f t="shared" si="569"/>
        <v>0.14400000000000002</v>
      </c>
      <c r="R5927" s="216">
        <f t="shared" si="570"/>
        <v>0.14400000000000002</v>
      </c>
      <c r="S5927" s="217">
        <f t="shared" si="571"/>
        <v>0.14400000000000002</v>
      </c>
    </row>
    <row r="5928" spans="1:19" ht="15.75" hidden="1" thickBot="1" x14ac:dyDescent="0.3">
      <c r="A5928" s="258"/>
      <c r="B5928" s="261"/>
      <c r="C5928" s="54"/>
      <c r="D5928" s="155"/>
      <c r="E5928" s="65"/>
      <c r="F5928" s="75" t="s">
        <v>416</v>
      </c>
      <c r="G5928" s="75" t="str">
        <f t="shared" si="566"/>
        <v/>
      </c>
      <c r="H5928" s="76"/>
      <c r="I5928" s="73"/>
      <c r="J5928" s="152">
        <v>0</v>
      </c>
      <c r="L5928" s="222"/>
      <c r="M5928" s="75"/>
      <c r="N5928" s="75" t="str">
        <f t="shared" si="567"/>
        <v/>
      </c>
      <c r="O5928" s="76"/>
      <c r="P5928" s="36" t="str">
        <f t="shared" si="568"/>
        <v/>
      </c>
      <c r="Q5928" s="216" t="str">
        <f t="shared" si="569"/>
        <v/>
      </c>
      <c r="R5928" s="216" t="str">
        <f t="shared" si="570"/>
        <v/>
      </c>
      <c r="S5928" s="217" t="str">
        <f t="shared" si="571"/>
        <v/>
      </c>
    </row>
    <row r="5929" spans="1:19" ht="15.75" hidden="1" thickBot="1" x14ac:dyDescent="0.3">
      <c r="A5929" s="256" t="s">
        <v>4673</v>
      </c>
      <c r="B5929" s="259" t="str">
        <f>INDEX(Orçamentária!A:B,MATCH(Composições!A5929,Orçamentária!A:A,0),2)</f>
        <v>Terminal para eletroduto de PEAD de 3”</v>
      </c>
      <c r="C5929" s="40"/>
      <c r="D5929" s="25" t="s">
        <v>16</v>
      </c>
      <c r="E5929" s="26"/>
      <c r="F5929" s="48" t="s">
        <v>416</v>
      </c>
      <c r="G5929" s="27" t="str">
        <f t="shared" si="566"/>
        <v/>
      </c>
      <c r="H5929" s="28"/>
      <c r="I5929" s="29"/>
      <c r="J5929" s="152">
        <v>0</v>
      </c>
      <c r="L5929" s="218"/>
      <c r="M5929" s="48"/>
      <c r="N5929" s="27" t="str">
        <f t="shared" si="567"/>
        <v/>
      </c>
      <c r="O5929" s="28"/>
      <c r="P5929" s="36" t="str">
        <f t="shared" si="568"/>
        <v/>
      </c>
      <c r="Q5929" s="216" t="str">
        <f t="shared" si="569"/>
        <v/>
      </c>
      <c r="R5929" s="216" t="str">
        <f t="shared" si="570"/>
        <v/>
      </c>
      <c r="S5929" s="217" t="str">
        <f t="shared" si="571"/>
        <v/>
      </c>
    </row>
    <row r="5930" spans="1:19" ht="15.75" hidden="1" thickBot="1" x14ac:dyDescent="0.3">
      <c r="A5930" s="257"/>
      <c r="B5930" s="260"/>
      <c r="C5930" s="31"/>
      <c r="D5930" s="31"/>
      <c r="E5930" s="32"/>
      <c r="F5930" s="53" t="s">
        <v>416</v>
      </c>
      <c r="G5930" s="53" t="str">
        <f t="shared" si="566"/>
        <v/>
      </c>
      <c r="H5930" s="72"/>
      <c r="I5930" s="73"/>
      <c r="J5930" s="152">
        <v>0</v>
      </c>
      <c r="L5930" s="219"/>
      <c r="M5930" s="53"/>
      <c r="N5930" s="53" t="str">
        <f t="shared" si="567"/>
        <v/>
      </c>
      <c r="O5930" s="72"/>
      <c r="P5930" s="36" t="str">
        <f t="shared" si="568"/>
        <v/>
      </c>
      <c r="Q5930" s="216" t="str">
        <f t="shared" si="569"/>
        <v/>
      </c>
      <c r="R5930" s="216" t="str">
        <f t="shared" si="570"/>
        <v/>
      </c>
      <c r="S5930" s="217" t="str">
        <f t="shared" si="571"/>
        <v/>
      </c>
    </row>
    <row r="5931" spans="1:19" ht="26.25" hidden="1" thickBot="1" x14ac:dyDescent="0.3">
      <c r="A5931" s="257"/>
      <c r="B5931" s="260"/>
      <c r="C5931" s="35" t="s">
        <v>8388</v>
      </c>
      <c r="D5931" s="35" t="s">
        <v>213</v>
      </c>
      <c r="E5931" s="36">
        <v>1</v>
      </c>
      <c r="F5931" s="30">
        <v>9.3290000000000006</v>
      </c>
      <c r="G5931" s="53">
        <f t="shared" si="566"/>
        <v>9.3290000000000006</v>
      </c>
      <c r="H5931" s="38">
        <f>SUM(G5931:G5931)</f>
        <v>9.3290000000000006</v>
      </c>
      <c r="I5931" s="39"/>
      <c r="J5931" s="152">
        <v>0</v>
      </c>
      <c r="L5931" s="215">
        <v>1</v>
      </c>
      <c r="M5931" s="30">
        <v>7.9856240000000005</v>
      </c>
      <c r="N5931" s="53">
        <f t="shared" si="567"/>
        <v>7.9856240000000005</v>
      </c>
      <c r="O5931" s="38">
        <f>SUM(N5931:N5931)</f>
        <v>7.9856240000000005</v>
      </c>
      <c r="P5931" s="36" t="str">
        <f t="shared" si="568"/>
        <v/>
      </c>
      <c r="Q5931" s="216">
        <f t="shared" si="569"/>
        <v>0.14400000000000002</v>
      </c>
      <c r="R5931" s="216">
        <f t="shared" si="570"/>
        <v>0.14400000000000002</v>
      </c>
      <c r="S5931" s="217">
        <f t="shared" si="571"/>
        <v>0.14400000000000002</v>
      </c>
    </row>
    <row r="5932" spans="1:19" ht="15.75" hidden="1" thickBot="1" x14ac:dyDescent="0.3">
      <c r="A5932" s="258"/>
      <c r="B5932" s="261"/>
      <c r="C5932" s="54"/>
      <c r="D5932" s="155"/>
      <c r="E5932" s="65"/>
      <c r="F5932" s="75" t="s">
        <v>416</v>
      </c>
      <c r="G5932" s="75" t="str">
        <f t="shared" si="566"/>
        <v/>
      </c>
      <c r="H5932" s="76"/>
      <c r="I5932" s="73"/>
      <c r="J5932" s="152">
        <v>0</v>
      </c>
      <c r="L5932" s="222"/>
      <c r="M5932" s="75"/>
      <c r="N5932" s="75" t="str">
        <f t="shared" si="567"/>
        <v/>
      </c>
      <c r="O5932" s="76"/>
      <c r="P5932" s="36" t="str">
        <f t="shared" si="568"/>
        <v/>
      </c>
      <c r="Q5932" s="216" t="str">
        <f t="shared" si="569"/>
        <v/>
      </c>
      <c r="R5932" s="216" t="str">
        <f t="shared" si="570"/>
        <v/>
      </c>
      <c r="S5932" s="217" t="str">
        <f t="shared" si="571"/>
        <v/>
      </c>
    </row>
    <row r="5933" spans="1:19" ht="15.75" hidden="1" thickBot="1" x14ac:dyDescent="0.3">
      <c r="A5933" s="256" t="s">
        <v>4674</v>
      </c>
      <c r="B5933" s="259" t="str">
        <f>INDEX(Orçamentária!A:B,MATCH(Composições!A5933,Orçamentária!A:A,0),2)</f>
        <v>Eletroduto de PVC de 3/4”</v>
      </c>
      <c r="C5933" s="40"/>
      <c r="D5933" s="25" t="s">
        <v>69</v>
      </c>
      <c r="E5933" s="26"/>
      <c r="F5933" s="48" t="s">
        <v>416</v>
      </c>
      <c r="G5933" s="27" t="str">
        <f t="shared" si="566"/>
        <v/>
      </c>
      <c r="H5933" s="28"/>
      <c r="I5933" s="29"/>
      <c r="J5933" s="152">
        <v>0</v>
      </c>
      <c r="L5933" s="218"/>
      <c r="M5933" s="48"/>
      <c r="N5933" s="27" t="str">
        <f t="shared" si="567"/>
        <v/>
      </c>
      <c r="O5933" s="28"/>
      <c r="P5933" s="36" t="str">
        <f t="shared" si="568"/>
        <v/>
      </c>
      <c r="Q5933" s="216" t="str">
        <f t="shared" si="569"/>
        <v/>
      </c>
      <c r="R5933" s="216" t="str">
        <f t="shared" si="570"/>
        <v/>
      </c>
      <c r="S5933" s="217" t="str">
        <f t="shared" si="571"/>
        <v/>
      </c>
    </row>
    <row r="5934" spans="1:19" ht="15.75" hidden="1" thickBot="1" x14ac:dyDescent="0.3">
      <c r="A5934" s="257"/>
      <c r="B5934" s="260"/>
      <c r="C5934" s="31"/>
      <c r="D5934" s="31"/>
      <c r="E5934" s="32"/>
      <c r="F5934" s="53" t="s">
        <v>416</v>
      </c>
      <c r="G5934" s="53" t="str">
        <f t="shared" ref="G5934:G5997" si="572">IF(ISNUMBER(F5934),E5934*F5934,"")</f>
        <v/>
      </c>
      <c r="H5934" s="72"/>
      <c r="I5934" s="73"/>
      <c r="J5934" s="152">
        <v>0</v>
      </c>
      <c r="L5934" s="219"/>
      <c r="M5934" s="53"/>
      <c r="N5934" s="53" t="str">
        <f t="shared" ref="N5934:N5997" si="573">IF(ISNUMBER(M5934),L5934*M5934,"")</f>
        <v/>
      </c>
      <c r="O5934" s="72"/>
      <c r="P5934" s="36" t="str">
        <f t="shared" si="568"/>
        <v/>
      </c>
      <c r="Q5934" s="216" t="str">
        <f t="shared" si="569"/>
        <v/>
      </c>
      <c r="R5934" s="216" t="str">
        <f t="shared" si="570"/>
        <v/>
      </c>
      <c r="S5934" s="217" t="str">
        <f t="shared" si="571"/>
        <v/>
      </c>
    </row>
    <row r="5935" spans="1:19" ht="15.75" hidden="1" thickBot="1" x14ac:dyDescent="0.3">
      <c r="A5935" s="257"/>
      <c r="B5935" s="260"/>
      <c r="C5935" s="35" t="s">
        <v>8144</v>
      </c>
      <c r="D5935" s="35" t="s">
        <v>385</v>
      </c>
      <c r="E5935" s="36">
        <v>1</v>
      </c>
      <c r="F5935" s="30">
        <v>5.6050000000000004</v>
      </c>
      <c r="G5935" s="53">
        <f t="shared" si="572"/>
        <v>5.6050000000000004</v>
      </c>
      <c r="H5935" s="38">
        <f>SUM(G5935:G5935)</f>
        <v>5.6050000000000004</v>
      </c>
      <c r="I5935" s="39"/>
      <c r="J5935" s="152">
        <v>0</v>
      </c>
      <c r="L5935" s="215">
        <v>1</v>
      </c>
      <c r="M5935" s="30">
        <v>4.7978800000000001</v>
      </c>
      <c r="N5935" s="53">
        <f t="shared" si="573"/>
        <v>4.7978800000000001</v>
      </c>
      <c r="O5935" s="38">
        <f>SUM(N5935:N5935)</f>
        <v>4.7978800000000001</v>
      </c>
      <c r="P5935" s="36" t="str">
        <f t="shared" si="568"/>
        <v/>
      </c>
      <c r="Q5935" s="216">
        <f t="shared" si="569"/>
        <v>0.14400000000000002</v>
      </c>
      <c r="R5935" s="216">
        <f t="shared" si="570"/>
        <v>0.14400000000000002</v>
      </c>
      <c r="S5935" s="217">
        <f t="shared" si="571"/>
        <v>0.14400000000000002</v>
      </c>
    </row>
    <row r="5936" spans="1:19" ht="15.75" hidden="1" thickBot="1" x14ac:dyDescent="0.3">
      <c r="A5936" s="258"/>
      <c r="B5936" s="261"/>
      <c r="C5936" s="54"/>
      <c r="D5936" s="155"/>
      <c r="E5936" s="65"/>
      <c r="F5936" s="75" t="s">
        <v>416</v>
      </c>
      <c r="G5936" s="75" t="str">
        <f t="shared" si="572"/>
        <v/>
      </c>
      <c r="H5936" s="76"/>
      <c r="I5936" s="73"/>
      <c r="J5936" s="152">
        <v>0</v>
      </c>
      <c r="L5936" s="222"/>
      <c r="M5936" s="75"/>
      <c r="N5936" s="75" t="str">
        <f t="shared" si="573"/>
        <v/>
      </c>
      <c r="O5936" s="76"/>
      <c r="P5936" s="36" t="str">
        <f t="shared" si="568"/>
        <v/>
      </c>
      <c r="Q5936" s="216" t="str">
        <f t="shared" si="569"/>
        <v/>
      </c>
      <c r="R5936" s="216" t="str">
        <f t="shared" si="570"/>
        <v/>
      </c>
      <c r="S5936" s="217" t="str">
        <f t="shared" si="571"/>
        <v/>
      </c>
    </row>
    <row r="5937" spans="1:19" ht="15.75" hidden="1" thickBot="1" x14ac:dyDescent="0.3">
      <c r="A5937" s="256" t="s">
        <v>4675</v>
      </c>
      <c r="B5937" s="259" t="str">
        <f>INDEX(Orçamentária!A:B,MATCH(Composições!A5937,Orçamentária!A:A,0),2)</f>
        <v>Luva para eletroduto de PVC de 3/4”</v>
      </c>
      <c r="C5937" s="40"/>
      <c r="D5937" s="25" t="s">
        <v>16</v>
      </c>
      <c r="E5937" s="26"/>
      <c r="F5937" s="48" t="s">
        <v>416</v>
      </c>
      <c r="G5937" s="27" t="str">
        <f t="shared" si="572"/>
        <v/>
      </c>
      <c r="H5937" s="28"/>
      <c r="I5937" s="29"/>
      <c r="J5937" s="152">
        <v>0</v>
      </c>
      <c r="L5937" s="218"/>
      <c r="M5937" s="48"/>
      <c r="N5937" s="27" t="str">
        <f t="shared" si="573"/>
        <v/>
      </c>
      <c r="O5937" s="28"/>
      <c r="P5937" s="36" t="str">
        <f t="shared" si="568"/>
        <v/>
      </c>
      <c r="Q5937" s="216" t="str">
        <f t="shared" si="569"/>
        <v/>
      </c>
      <c r="R5937" s="216" t="str">
        <f t="shared" si="570"/>
        <v/>
      </c>
      <c r="S5937" s="217" t="str">
        <f t="shared" si="571"/>
        <v/>
      </c>
    </row>
    <row r="5938" spans="1:19" ht="15.75" hidden="1" thickBot="1" x14ac:dyDescent="0.3">
      <c r="A5938" s="257"/>
      <c r="B5938" s="260"/>
      <c r="C5938" s="31"/>
      <c r="D5938" s="31"/>
      <c r="E5938" s="32"/>
      <c r="F5938" s="53" t="s">
        <v>416</v>
      </c>
      <c r="G5938" s="53" t="str">
        <f t="shared" si="572"/>
        <v/>
      </c>
      <c r="H5938" s="72"/>
      <c r="I5938" s="73"/>
      <c r="J5938" s="152">
        <v>0</v>
      </c>
      <c r="L5938" s="219"/>
      <c r="M5938" s="53"/>
      <c r="N5938" s="53" t="str">
        <f t="shared" si="573"/>
        <v/>
      </c>
      <c r="O5938" s="72"/>
      <c r="P5938" s="36" t="str">
        <f t="shared" si="568"/>
        <v/>
      </c>
      <c r="Q5938" s="216" t="str">
        <f t="shared" si="569"/>
        <v/>
      </c>
      <c r="R5938" s="216" t="str">
        <f t="shared" si="570"/>
        <v/>
      </c>
      <c r="S5938" s="217" t="str">
        <f t="shared" si="571"/>
        <v/>
      </c>
    </row>
    <row r="5939" spans="1:19" ht="15.75" hidden="1" thickBot="1" x14ac:dyDescent="0.3">
      <c r="A5939" s="257"/>
      <c r="B5939" s="260"/>
      <c r="C5939" s="35" t="s">
        <v>8257</v>
      </c>
      <c r="D5939" s="35" t="s">
        <v>213</v>
      </c>
      <c r="E5939" s="36">
        <v>1</v>
      </c>
      <c r="F5939" s="30">
        <v>1.6244999999999998</v>
      </c>
      <c r="G5939" s="53">
        <f t="shared" si="572"/>
        <v>1.6244999999999998</v>
      </c>
      <c r="H5939" s="38">
        <f>SUM(G5939:G5939)</f>
        <v>1.6244999999999998</v>
      </c>
      <c r="I5939" s="39"/>
      <c r="J5939" s="152">
        <v>0</v>
      </c>
      <c r="L5939" s="215">
        <v>1</v>
      </c>
      <c r="M5939" s="30">
        <v>1.3905719999999999</v>
      </c>
      <c r="N5939" s="53">
        <f t="shared" si="573"/>
        <v>1.3905719999999999</v>
      </c>
      <c r="O5939" s="38">
        <f>SUM(N5939:N5939)</f>
        <v>1.3905719999999999</v>
      </c>
      <c r="P5939" s="36" t="str">
        <f t="shared" si="568"/>
        <v/>
      </c>
      <c r="Q5939" s="216">
        <f t="shared" si="569"/>
        <v>0.14400000000000002</v>
      </c>
      <c r="R5939" s="216">
        <f t="shared" si="570"/>
        <v>0.14400000000000002</v>
      </c>
      <c r="S5939" s="217">
        <f t="shared" si="571"/>
        <v>0.14400000000000002</v>
      </c>
    </row>
    <row r="5940" spans="1:19" ht="15.75" hidden="1" thickBot="1" x14ac:dyDescent="0.3">
      <c r="A5940" s="258"/>
      <c r="B5940" s="261"/>
      <c r="C5940" s="54"/>
      <c r="D5940" s="155"/>
      <c r="E5940" s="65"/>
      <c r="F5940" s="75" t="s">
        <v>416</v>
      </c>
      <c r="G5940" s="75" t="str">
        <f t="shared" si="572"/>
        <v/>
      </c>
      <c r="H5940" s="76"/>
      <c r="I5940" s="73"/>
      <c r="J5940" s="152">
        <v>0</v>
      </c>
      <c r="L5940" s="222"/>
      <c r="M5940" s="75"/>
      <c r="N5940" s="75" t="str">
        <f t="shared" si="573"/>
        <v/>
      </c>
      <c r="O5940" s="76"/>
      <c r="P5940" s="36" t="str">
        <f t="shared" si="568"/>
        <v/>
      </c>
      <c r="Q5940" s="216" t="str">
        <f t="shared" si="569"/>
        <v/>
      </c>
      <c r="R5940" s="216" t="str">
        <f t="shared" si="570"/>
        <v/>
      </c>
      <c r="S5940" s="217" t="str">
        <f t="shared" si="571"/>
        <v/>
      </c>
    </row>
    <row r="5941" spans="1:19" ht="15.75" hidden="1" thickBot="1" x14ac:dyDescent="0.3">
      <c r="A5941" s="256" t="s">
        <v>4676</v>
      </c>
      <c r="B5941" s="259" t="str">
        <f>INDEX(Orçamentária!A:B,MATCH(Composições!A5941,Orçamentária!A:A,0),2)</f>
        <v>Curva para eletroduto de PVC de 3/4”</v>
      </c>
      <c r="C5941" s="40"/>
      <c r="D5941" s="25" t="s">
        <v>16</v>
      </c>
      <c r="E5941" s="26"/>
      <c r="F5941" s="48" t="s">
        <v>416</v>
      </c>
      <c r="G5941" s="27" t="str">
        <f t="shared" si="572"/>
        <v/>
      </c>
      <c r="H5941" s="28"/>
      <c r="I5941" s="29"/>
      <c r="J5941" s="152">
        <v>0</v>
      </c>
      <c r="L5941" s="218"/>
      <c r="M5941" s="48"/>
      <c r="N5941" s="27" t="str">
        <f t="shared" si="573"/>
        <v/>
      </c>
      <c r="O5941" s="28"/>
      <c r="P5941" s="36" t="str">
        <f t="shared" si="568"/>
        <v/>
      </c>
      <c r="Q5941" s="216" t="str">
        <f t="shared" si="569"/>
        <v/>
      </c>
      <c r="R5941" s="216" t="str">
        <f t="shared" si="570"/>
        <v/>
      </c>
      <c r="S5941" s="217" t="str">
        <f t="shared" si="571"/>
        <v/>
      </c>
    </row>
    <row r="5942" spans="1:19" ht="15.75" hidden="1" thickBot="1" x14ac:dyDescent="0.3">
      <c r="A5942" s="257"/>
      <c r="B5942" s="260"/>
      <c r="C5942" s="31"/>
      <c r="D5942" s="31"/>
      <c r="E5942" s="32"/>
      <c r="F5942" s="53" t="s">
        <v>416</v>
      </c>
      <c r="G5942" s="53" t="str">
        <f t="shared" si="572"/>
        <v/>
      </c>
      <c r="H5942" s="72"/>
      <c r="I5942" s="73"/>
      <c r="J5942" s="152">
        <v>0</v>
      </c>
      <c r="L5942" s="219"/>
      <c r="M5942" s="53"/>
      <c r="N5942" s="53" t="str">
        <f t="shared" si="573"/>
        <v/>
      </c>
      <c r="O5942" s="72"/>
      <c r="P5942" s="36" t="str">
        <f t="shared" si="568"/>
        <v/>
      </c>
      <c r="Q5942" s="216" t="str">
        <f t="shared" si="569"/>
        <v/>
      </c>
      <c r="R5942" s="216" t="str">
        <f t="shared" si="570"/>
        <v/>
      </c>
      <c r="S5942" s="217" t="str">
        <f t="shared" si="571"/>
        <v/>
      </c>
    </row>
    <row r="5943" spans="1:19" ht="26.25" hidden="1" thickBot="1" x14ac:dyDescent="0.3">
      <c r="A5943" s="257"/>
      <c r="B5943" s="260"/>
      <c r="C5943" s="35" t="s">
        <v>8120</v>
      </c>
      <c r="D5943" s="35" t="s">
        <v>213</v>
      </c>
      <c r="E5943" s="36">
        <v>1</v>
      </c>
      <c r="F5943" s="30">
        <v>3.5150000000000001</v>
      </c>
      <c r="G5943" s="53">
        <f t="shared" si="572"/>
        <v>3.5150000000000001</v>
      </c>
      <c r="H5943" s="38">
        <f>SUM(G5943:G5943)</f>
        <v>3.5150000000000001</v>
      </c>
      <c r="I5943" s="39"/>
      <c r="J5943" s="152">
        <v>0</v>
      </c>
      <c r="L5943" s="215">
        <v>1</v>
      </c>
      <c r="M5943" s="30">
        <v>3.0088400000000002</v>
      </c>
      <c r="N5943" s="53">
        <f t="shared" si="573"/>
        <v>3.0088400000000002</v>
      </c>
      <c r="O5943" s="38">
        <f>SUM(N5943:N5943)</f>
        <v>3.0088400000000002</v>
      </c>
      <c r="P5943" s="36" t="str">
        <f t="shared" si="568"/>
        <v/>
      </c>
      <c r="Q5943" s="216">
        <f t="shared" si="569"/>
        <v>0.14400000000000002</v>
      </c>
      <c r="R5943" s="216">
        <f t="shared" si="570"/>
        <v>0.14400000000000002</v>
      </c>
      <c r="S5943" s="217">
        <f t="shared" si="571"/>
        <v>0.14400000000000002</v>
      </c>
    </row>
    <row r="5944" spans="1:19" ht="15.75" hidden="1" thickBot="1" x14ac:dyDescent="0.3">
      <c r="A5944" s="258"/>
      <c r="B5944" s="261"/>
      <c r="C5944" s="54"/>
      <c r="D5944" s="155"/>
      <c r="E5944" s="65"/>
      <c r="F5944" s="75" t="s">
        <v>416</v>
      </c>
      <c r="G5944" s="75" t="str">
        <f t="shared" si="572"/>
        <v/>
      </c>
      <c r="H5944" s="76"/>
      <c r="I5944" s="73"/>
      <c r="J5944" s="152">
        <v>0</v>
      </c>
      <c r="L5944" s="222"/>
      <c r="M5944" s="75"/>
      <c r="N5944" s="75" t="str">
        <f t="shared" si="573"/>
        <v/>
      </c>
      <c r="O5944" s="76"/>
      <c r="P5944" s="36" t="str">
        <f t="shared" si="568"/>
        <v/>
      </c>
      <c r="Q5944" s="216" t="str">
        <f t="shared" si="569"/>
        <v/>
      </c>
      <c r="R5944" s="216" t="str">
        <f t="shared" si="570"/>
        <v/>
      </c>
      <c r="S5944" s="217" t="str">
        <f t="shared" si="571"/>
        <v/>
      </c>
    </row>
    <row r="5945" spans="1:19" ht="15.75" hidden="1" thickBot="1" x14ac:dyDescent="0.3">
      <c r="A5945" s="256" t="s">
        <v>4677</v>
      </c>
      <c r="B5945" s="259" t="str">
        <f>INDEX(Orçamentária!A:B,MATCH(Composições!A5945,Orçamentária!A:A,0),2)</f>
        <v>Eletroduto de PVC de 1”</v>
      </c>
      <c r="C5945" s="40"/>
      <c r="D5945" s="25" t="s">
        <v>69</v>
      </c>
      <c r="E5945" s="26"/>
      <c r="F5945" s="48" t="s">
        <v>416</v>
      </c>
      <c r="G5945" s="27" t="str">
        <f t="shared" si="572"/>
        <v/>
      </c>
      <c r="H5945" s="28"/>
      <c r="I5945" s="29"/>
      <c r="J5945" s="152">
        <v>0</v>
      </c>
      <c r="L5945" s="218"/>
      <c r="M5945" s="48"/>
      <c r="N5945" s="27" t="str">
        <f t="shared" si="573"/>
        <v/>
      </c>
      <c r="O5945" s="28"/>
      <c r="P5945" s="36" t="str">
        <f t="shared" si="568"/>
        <v/>
      </c>
      <c r="Q5945" s="216" t="str">
        <f t="shared" si="569"/>
        <v/>
      </c>
      <c r="R5945" s="216" t="str">
        <f t="shared" si="570"/>
        <v/>
      </c>
      <c r="S5945" s="217" t="str">
        <f t="shared" si="571"/>
        <v/>
      </c>
    </row>
    <row r="5946" spans="1:19" ht="15.75" hidden="1" thickBot="1" x14ac:dyDescent="0.3">
      <c r="A5946" s="257"/>
      <c r="B5946" s="260"/>
      <c r="C5946" s="31"/>
      <c r="D5946" s="31"/>
      <c r="E5946" s="32"/>
      <c r="F5946" s="53" t="s">
        <v>416</v>
      </c>
      <c r="G5946" s="53" t="str">
        <f t="shared" si="572"/>
        <v/>
      </c>
      <c r="H5946" s="72"/>
      <c r="I5946" s="73"/>
      <c r="J5946" s="152">
        <v>0</v>
      </c>
      <c r="L5946" s="219"/>
      <c r="M5946" s="53"/>
      <c r="N5946" s="53" t="str">
        <f t="shared" si="573"/>
        <v/>
      </c>
      <c r="O5946" s="72"/>
      <c r="P5946" s="36" t="str">
        <f t="shared" si="568"/>
        <v/>
      </c>
      <c r="Q5946" s="216" t="str">
        <f t="shared" si="569"/>
        <v/>
      </c>
      <c r="R5946" s="216" t="str">
        <f t="shared" si="570"/>
        <v/>
      </c>
      <c r="S5946" s="217" t="str">
        <f t="shared" si="571"/>
        <v/>
      </c>
    </row>
    <row r="5947" spans="1:19" ht="15.75" hidden="1" thickBot="1" x14ac:dyDescent="0.3">
      <c r="A5947" s="257"/>
      <c r="B5947" s="260"/>
      <c r="C5947" s="35" t="s">
        <v>8139</v>
      </c>
      <c r="D5947" s="35" t="s">
        <v>385</v>
      </c>
      <c r="E5947" s="36">
        <v>1</v>
      </c>
      <c r="F5947" s="30">
        <v>8.7590000000000003</v>
      </c>
      <c r="G5947" s="53">
        <f t="shared" si="572"/>
        <v>8.7590000000000003</v>
      </c>
      <c r="H5947" s="38">
        <f>SUM(G5947:G5947)</f>
        <v>8.7590000000000003</v>
      </c>
      <c r="I5947" s="39"/>
      <c r="J5947" s="152">
        <v>0</v>
      </c>
      <c r="L5947" s="215">
        <v>1</v>
      </c>
      <c r="M5947" s="30">
        <v>7.4977040000000006</v>
      </c>
      <c r="N5947" s="53">
        <f t="shared" si="573"/>
        <v>7.4977040000000006</v>
      </c>
      <c r="O5947" s="38">
        <f>SUM(N5947:N5947)</f>
        <v>7.4977040000000006</v>
      </c>
      <c r="P5947" s="36" t="str">
        <f t="shared" si="568"/>
        <v/>
      </c>
      <c r="Q5947" s="216">
        <f t="shared" si="569"/>
        <v>0.14400000000000002</v>
      </c>
      <c r="R5947" s="216">
        <f t="shared" si="570"/>
        <v>0.14400000000000002</v>
      </c>
      <c r="S5947" s="217">
        <f t="shared" si="571"/>
        <v>0.14400000000000002</v>
      </c>
    </row>
    <row r="5948" spans="1:19" ht="15.75" hidden="1" thickBot="1" x14ac:dyDescent="0.3">
      <c r="A5948" s="258"/>
      <c r="B5948" s="261"/>
      <c r="C5948" s="54"/>
      <c r="D5948" s="155"/>
      <c r="E5948" s="65"/>
      <c r="F5948" s="75" t="s">
        <v>416</v>
      </c>
      <c r="G5948" s="75" t="str">
        <f t="shared" si="572"/>
        <v/>
      </c>
      <c r="H5948" s="76"/>
      <c r="I5948" s="73"/>
      <c r="J5948" s="152">
        <v>0</v>
      </c>
      <c r="L5948" s="222"/>
      <c r="M5948" s="75"/>
      <c r="N5948" s="75" t="str">
        <f t="shared" si="573"/>
        <v/>
      </c>
      <c r="O5948" s="76"/>
      <c r="P5948" s="36" t="str">
        <f t="shared" si="568"/>
        <v/>
      </c>
      <c r="Q5948" s="216" t="str">
        <f t="shared" si="569"/>
        <v/>
      </c>
      <c r="R5948" s="216" t="str">
        <f t="shared" si="570"/>
        <v/>
      </c>
      <c r="S5948" s="217" t="str">
        <f t="shared" si="571"/>
        <v/>
      </c>
    </row>
    <row r="5949" spans="1:19" ht="15.75" hidden="1" thickBot="1" x14ac:dyDescent="0.3">
      <c r="A5949" s="256" t="s">
        <v>4678</v>
      </c>
      <c r="B5949" s="259" t="str">
        <f>INDEX(Orçamentária!A:B,MATCH(Composições!A5949,Orçamentária!A:A,0),2)</f>
        <v>Luva para eletroduto de PVC de 1”</v>
      </c>
      <c r="C5949" s="40"/>
      <c r="D5949" s="25" t="s">
        <v>16</v>
      </c>
      <c r="E5949" s="26"/>
      <c r="F5949" s="48" t="s">
        <v>416</v>
      </c>
      <c r="G5949" s="27" t="str">
        <f t="shared" si="572"/>
        <v/>
      </c>
      <c r="H5949" s="28"/>
      <c r="I5949" s="29"/>
      <c r="J5949" s="152">
        <v>0</v>
      </c>
      <c r="L5949" s="218"/>
      <c r="M5949" s="48"/>
      <c r="N5949" s="27" t="str">
        <f t="shared" si="573"/>
        <v/>
      </c>
      <c r="O5949" s="28"/>
      <c r="P5949" s="36" t="str">
        <f t="shared" si="568"/>
        <v/>
      </c>
      <c r="Q5949" s="216" t="str">
        <f t="shared" si="569"/>
        <v/>
      </c>
      <c r="R5949" s="216" t="str">
        <f t="shared" si="570"/>
        <v/>
      </c>
      <c r="S5949" s="217" t="str">
        <f t="shared" si="571"/>
        <v/>
      </c>
    </row>
    <row r="5950" spans="1:19" ht="15.75" hidden="1" thickBot="1" x14ac:dyDescent="0.3">
      <c r="A5950" s="257"/>
      <c r="B5950" s="260"/>
      <c r="C5950" s="31"/>
      <c r="D5950" s="31"/>
      <c r="E5950" s="32"/>
      <c r="F5950" s="53" t="s">
        <v>416</v>
      </c>
      <c r="G5950" s="53" t="str">
        <f t="shared" si="572"/>
        <v/>
      </c>
      <c r="H5950" s="72"/>
      <c r="I5950" s="73"/>
      <c r="J5950" s="152">
        <v>0</v>
      </c>
      <c r="L5950" s="219"/>
      <c r="M5950" s="53"/>
      <c r="N5950" s="53" t="str">
        <f t="shared" si="573"/>
        <v/>
      </c>
      <c r="O5950" s="72"/>
      <c r="P5950" s="36" t="str">
        <f t="shared" si="568"/>
        <v/>
      </c>
      <c r="Q5950" s="216" t="str">
        <f t="shared" si="569"/>
        <v/>
      </c>
      <c r="R5950" s="216" t="str">
        <f t="shared" si="570"/>
        <v/>
      </c>
      <c r="S5950" s="217" t="str">
        <f t="shared" si="571"/>
        <v/>
      </c>
    </row>
    <row r="5951" spans="1:19" ht="15.75" hidden="1" thickBot="1" x14ac:dyDescent="0.3">
      <c r="A5951" s="257"/>
      <c r="B5951" s="260"/>
      <c r="C5951" s="35" t="s">
        <v>8255</v>
      </c>
      <c r="D5951" s="35" t="s">
        <v>213</v>
      </c>
      <c r="E5951" s="36">
        <v>1</v>
      </c>
      <c r="F5951" s="30">
        <v>2.2705000000000002</v>
      </c>
      <c r="G5951" s="53">
        <f t="shared" si="572"/>
        <v>2.2705000000000002</v>
      </c>
      <c r="H5951" s="38">
        <f>SUM(G5951:G5951)</f>
        <v>2.2705000000000002</v>
      </c>
      <c r="I5951" s="39"/>
      <c r="J5951" s="152">
        <v>0</v>
      </c>
      <c r="L5951" s="215">
        <v>1</v>
      </c>
      <c r="M5951" s="30">
        <v>1.9435480000000003</v>
      </c>
      <c r="N5951" s="53">
        <f t="shared" si="573"/>
        <v>1.9435480000000003</v>
      </c>
      <c r="O5951" s="38">
        <f>SUM(N5951:N5951)</f>
        <v>1.9435480000000003</v>
      </c>
      <c r="P5951" s="36" t="str">
        <f t="shared" si="568"/>
        <v/>
      </c>
      <c r="Q5951" s="216">
        <f t="shared" si="569"/>
        <v>0.14399999999999991</v>
      </c>
      <c r="R5951" s="216">
        <f t="shared" si="570"/>
        <v>0.14399999999999991</v>
      </c>
      <c r="S5951" s="217">
        <f t="shared" si="571"/>
        <v>0.14399999999999991</v>
      </c>
    </row>
    <row r="5952" spans="1:19" ht="15.75" hidden="1" thickBot="1" x14ac:dyDescent="0.3">
      <c r="A5952" s="258"/>
      <c r="B5952" s="261"/>
      <c r="C5952" s="54"/>
      <c r="D5952" s="155"/>
      <c r="E5952" s="65"/>
      <c r="F5952" s="75" t="s">
        <v>416</v>
      </c>
      <c r="G5952" s="75" t="str">
        <f t="shared" si="572"/>
        <v/>
      </c>
      <c r="H5952" s="76"/>
      <c r="I5952" s="73"/>
      <c r="J5952" s="152">
        <v>0</v>
      </c>
      <c r="L5952" s="222"/>
      <c r="M5952" s="75"/>
      <c r="N5952" s="75" t="str">
        <f t="shared" si="573"/>
        <v/>
      </c>
      <c r="O5952" s="76"/>
      <c r="P5952" s="36" t="str">
        <f t="shared" si="568"/>
        <v/>
      </c>
      <c r="Q5952" s="216" t="str">
        <f t="shared" si="569"/>
        <v/>
      </c>
      <c r="R5952" s="216" t="str">
        <f t="shared" si="570"/>
        <v/>
      </c>
      <c r="S5952" s="217" t="str">
        <f t="shared" si="571"/>
        <v/>
      </c>
    </row>
    <row r="5953" spans="1:19" ht="15.75" hidden="1" thickBot="1" x14ac:dyDescent="0.3">
      <c r="A5953" s="256" t="s">
        <v>4679</v>
      </c>
      <c r="B5953" s="259" t="str">
        <f>INDEX(Orçamentária!A:B,MATCH(Composições!A5953,Orçamentária!A:A,0),2)</f>
        <v>Curva para eletroduto de PVC de 1”</v>
      </c>
      <c r="C5953" s="40"/>
      <c r="D5953" s="25" t="s">
        <v>16</v>
      </c>
      <c r="E5953" s="26"/>
      <c r="F5953" s="48" t="s">
        <v>416</v>
      </c>
      <c r="G5953" s="27" t="str">
        <f t="shared" si="572"/>
        <v/>
      </c>
      <c r="H5953" s="28"/>
      <c r="I5953" s="29"/>
      <c r="J5953" s="152">
        <v>0</v>
      </c>
      <c r="L5953" s="218"/>
      <c r="M5953" s="48"/>
      <c r="N5953" s="27" t="str">
        <f t="shared" si="573"/>
        <v/>
      </c>
      <c r="O5953" s="28"/>
      <c r="P5953" s="36" t="str">
        <f t="shared" si="568"/>
        <v/>
      </c>
      <c r="Q5953" s="216" t="str">
        <f t="shared" si="569"/>
        <v/>
      </c>
      <c r="R5953" s="216" t="str">
        <f t="shared" si="570"/>
        <v/>
      </c>
      <c r="S5953" s="217" t="str">
        <f t="shared" si="571"/>
        <v/>
      </c>
    </row>
    <row r="5954" spans="1:19" ht="15.75" hidden="1" thickBot="1" x14ac:dyDescent="0.3">
      <c r="A5954" s="257"/>
      <c r="B5954" s="260"/>
      <c r="C5954" s="31"/>
      <c r="D5954" s="31"/>
      <c r="E5954" s="32"/>
      <c r="F5954" s="53" t="s">
        <v>416</v>
      </c>
      <c r="G5954" s="53" t="str">
        <f t="shared" si="572"/>
        <v/>
      </c>
      <c r="H5954" s="72"/>
      <c r="I5954" s="73"/>
      <c r="J5954" s="152">
        <v>0</v>
      </c>
      <c r="L5954" s="219"/>
      <c r="M5954" s="53"/>
      <c r="N5954" s="53" t="str">
        <f t="shared" si="573"/>
        <v/>
      </c>
      <c r="O5954" s="72"/>
      <c r="P5954" s="36" t="str">
        <f t="shared" si="568"/>
        <v/>
      </c>
      <c r="Q5954" s="216" t="str">
        <f t="shared" si="569"/>
        <v/>
      </c>
      <c r="R5954" s="216" t="str">
        <f t="shared" si="570"/>
        <v/>
      </c>
      <c r="S5954" s="217" t="str">
        <f t="shared" si="571"/>
        <v/>
      </c>
    </row>
    <row r="5955" spans="1:19" ht="26.25" hidden="1" thickBot="1" x14ac:dyDescent="0.3">
      <c r="A5955" s="257"/>
      <c r="B5955" s="260"/>
      <c r="C5955" s="35" t="s">
        <v>8119</v>
      </c>
      <c r="D5955" s="35" t="s">
        <v>213</v>
      </c>
      <c r="E5955" s="36">
        <v>1</v>
      </c>
      <c r="F5955" s="30">
        <v>4.8639999999999999</v>
      </c>
      <c r="G5955" s="53">
        <f t="shared" si="572"/>
        <v>4.8639999999999999</v>
      </c>
      <c r="H5955" s="38">
        <f>SUM(G5955:G5955)</f>
        <v>4.8639999999999999</v>
      </c>
      <c r="I5955" s="39"/>
      <c r="J5955" s="152">
        <v>0</v>
      </c>
      <c r="L5955" s="215">
        <v>1</v>
      </c>
      <c r="M5955" s="30">
        <v>4.1635840000000002</v>
      </c>
      <c r="N5955" s="53">
        <f t="shared" si="573"/>
        <v>4.1635840000000002</v>
      </c>
      <c r="O5955" s="38">
        <f>SUM(N5955:N5955)</f>
        <v>4.1635840000000002</v>
      </c>
      <c r="P5955" s="36" t="str">
        <f t="shared" si="568"/>
        <v/>
      </c>
      <c r="Q5955" s="216">
        <f t="shared" si="569"/>
        <v>0.14399999999999991</v>
      </c>
      <c r="R5955" s="216">
        <f t="shared" si="570"/>
        <v>0.14399999999999991</v>
      </c>
      <c r="S5955" s="217">
        <f t="shared" si="571"/>
        <v>0.14399999999999991</v>
      </c>
    </row>
    <row r="5956" spans="1:19" ht="15.75" hidden="1" thickBot="1" x14ac:dyDescent="0.3">
      <c r="A5956" s="258"/>
      <c r="B5956" s="261"/>
      <c r="C5956" s="54"/>
      <c r="D5956" s="155"/>
      <c r="E5956" s="65"/>
      <c r="F5956" s="75" t="s">
        <v>416</v>
      </c>
      <c r="G5956" s="75" t="str">
        <f t="shared" si="572"/>
        <v/>
      </c>
      <c r="H5956" s="76"/>
      <c r="I5956" s="73"/>
      <c r="J5956" s="152">
        <v>0</v>
      </c>
      <c r="L5956" s="222"/>
      <c r="M5956" s="75"/>
      <c r="N5956" s="75" t="str">
        <f t="shared" si="573"/>
        <v/>
      </c>
      <c r="O5956" s="76"/>
      <c r="P5956" s="36" t="str">
        <f t="shared" si="568"/>
        <v/>
      </c>
      <c r="Q5956" s="216" t="str">
        <f t="shared" si="569"/>
        <v/>
      </c>
      <c r="R5956" s="216" t="str">
        <f t="shared" si="570"/>
        <v/>
      </c>
      <c r="S5956" s="217" t="str">
        <f t="shared" si="571"/>
        <v/>
      </c>
    </row>
    <row r="5957" spans="1:19" ht="15.75" hidden="1" thickBot="1" x14ac:dyDescent="0.3">
      <c r="A5957" s="256" t="s">
        <v>4680</v>
      </c>
      <c r="B5957" s="259" t="str">
        <f>INDEX(Orçamentária!A:B,MATCH(Composições!A5957,Orçamentária!A:A,0),2)</f>
        <v>Eletroduto de PVC de 1 1/4”</v>
      </c>
      <c r="C5957" s="40"/>
      <c r="D5957" s="25" t="s">
        <v>69</v>
      </c>
      <c r="E5957" s="26"/>
      <c r="F5957" s="48" t="s">
        <v>416</v>
      </c>
      <c r="G5957" s="27" t="str">
        <f t="shared" si="572"/>
        <v/>
      </c>
      <c r="H5957" s="28"/>
      <c r="I5957" s="29"/>
      <c r="J5957" s="152">
        <v>0</v>
      </c>
      <c r="L5957" s="218"/>
      <c r="M5957" s="48"/>
      <c r="N5957" s="27" t="str">
        <f t="shared" si="573"/>
        <v/>
      </c>
      <c r="O5957" s="28"/>
      <c r="P5957" s="36" t="str">
        <f t="shared" si="568"/>
        <v/>
      </c>
      <c r="Q5957" s="216" t="str">
        <f t="shared" si="569"/>
        <v/>
      </c>
      <c r="R5957" s="216" t="str">
        <f t="shared" si="570"/>
        <v/>
      </c>
      <c r="S5957" s="217" t="str">
        <f t="shared" si="571"/>
        <v/>
      </c>
    </row>
    <row r="5958" spans="1:19" ht="15.75" hidden="1" thickBot="1" x14ac:dyDescent="0.3">
      <c r="A5958" s="257"/>
      <c r="B5958" s="260"/>
      <c r="C5958" s="31"/>
      <c r="D5958" s="31"/>
      <c r="E5958" s="32"/>
      <c r="F5958" s="53" t="s">
        <v>416</v>
      </c>
      <c r="G5958" s="53" t="str">
        <f t="shared" si="572"/>
        <v/>
      </c>
      <c r="H5958" s="72"/>
      <c r="I5958" s="73"/>
      <c r="J5958" s="152">
        <v>0</v>
      </c>
      <c r="L5958" s="219"/>
      <c r="M5958" s="53"/>
      <c r="N5958" s="53" t="str">
        <f t="shared" si="573"/>
        <v/>
      </c>
      <c r="O5958" s="72"/>
      <c r="P5958" s="36" t="str">
        <f t="shared" si="568"/>
        <v/>
      </c>
      <c r="Q5958" s="216" t="str">
        <f t="shared" si="569"/>
        <v/>
      </c>
      <c r="R5958" s="216" t="str">
        <f t="shared" si="570"/>
        <v/>
      </c>
      <c r="S5958" s="217" t="str">
        <f t="shared" si="571"/>
        <v/>
      </c>
    </row>
    <row r="5959" spans="1:19" ht="15.75" hidden="1" thickBot="1" x14ac:dyDescent="0.3">
      <c r="A5959" s="257"/>
      <c r="B5959" s="260"/>
      <c r="C5959" s="35" t="s">
        <v>8141</v>
      </c>
      <c r="D5959" s="35" t="s">
        <v>385</v>
      </c>
      <c r="E5959" s="36">
        <v>1</v>
      </c>
      <c r="F5959" s="30">
        <v>11.665999999999999</v>
      </c>
      <c r="G5959" s="53">
        <f t="shared" si="572"/>
        <v>11.665999999999999</v>
      </c>
      <c r="H5959" s="38">
        <f>SUM(G5959:G5959)</f>
        <v>11.665999999999999</v>
      </c>
      <c r="I5959" s="39"/>
      <c r="J5959" s="152">
        <v>0</v>
      </c>
      <c r="L5959" s="215">
        <v>1</v>
      </c>
      <c r="M5959" s="30">
        <v>9.9860959999999999</v>
      </c>
      <c r="N5959" s="53">
        <f t="shared" si="573"/>
        <v>9.9860959999999999</v>
      </c>
      <c r="O5959" s="38">
        <f>SUM(N5959:N5959)</f>
        <v>9.9860959999999999</v>
      </c>
      <c r="P5959" s="36" t="str">
        <f t="shared" si="568"/>
        <v/>
      </c>
      <c r="Q5959" s="216">
        <f t="shared" si="569"/>
        <v>0.14399999999999991</v>
      </c>
      <c r="R5959" s="216">
        <f t="shared" si="570"/>
        <v>0.14399999999999991</v>
      </c>
      <c r="S5959" s="217">
        <f t="shared" si="571"/>
        <v>0.14399999999999991</v>
      </c>
    </row>
    <row r="5960" spans="1:19" ht="15.75" hidden="1" thickBot="1" x14ac:dyDescent="0.3">
      <c r="A5960" s="258"/>
      <c r="B5960" s="261"/>
      <c r="C5960" s="54"/>
      <c r="D5960" s="155"/>
      <c r="E5960" s="65"/>
      <c r="F5960" s="75" t="s">
        <v>416</v>
      </c>
      <c r="G5960" s="75" t="str">
        <f t="shared" si="572"/>
        <v/>
      </c>
      <c r="H5960" s="76"/>
      <c r="I5960" s="73"/>
      <c r="J5960" s="152">
        <v>0</v>
      </c>
      <c r="L5960" s="222"/>
      <c r="M5960" s="75"/>
      <c r="N5960" s="75" t="str">
        <f t="shared" si="573"/>
        <v/>
      </c>
      <c r="O5960" s="76"/>
      <c r="P5960" s="36" t="str">
        <f t="shared" ref="P5960:P6023" si="574">IF(ISBLANK(L5960),"",IF($E5960&lt;&gt;L5960,"SIM",""))</f>
        <v/>
      </c>
      <c r="Q5960" s="216" t="str">
        <f t="shared" ref="Q5960:Q6023" si="575">IF(M5960="","",1-M5960/$F5960)</f>
        <v/>
      </c>
      <c r="R5960" s="216" t="str">
        <f t="shared" ref="R5960:R6023" si="576">IF(N5960="","",1-N5960/$G5960)</f>
        <v/>
      </c>
      <c r="S5960" s="217" t="str">
        <f t="shared" ref="S5960:S6023" si="577">IF(O5960="","",1-O5960/$H5960)</f>
        <v/>
      </c>
    </row>
    <row r="5961" spans="1:19" ht="15.75" hidden="1" thickBot="1" x14ac:dyDescent="0.3">
      <c r="A5961" s="256" t="s">
        <v>4681</v>
      </c>
      <c r="B5961" s="259" t="str">
        <f>INDEX(Orçamentária!A:B,MATCH(Composições!A5961,Orçamentária!A:A,0),2)</f>
        <v>Luva para eletroduto de PVC de 1 1/4”</v>
      </c>
      <c r="C5961" s="40"/>
      <c r="D5961" s="25" t="s">
        <v>16</v>
      </c>
      <c r="E5961" s="26"/>
      <c r="F5961" s="48" t="s">
        <v>416</v>
      </c>
      <c r="G5961" s="27" t="str">
        <f t="shared" si="572"/>
        <v/>
      </c>
      <c r="H5961" s="28"/>
      <c r="I5961" s="29"/>
      <c r="J5961" s="152">
        <v>0</v>
      </c>
      <c r="L5961" s="218"/>
      <c r="M5961" s="48"/>
      <c r="N5961" s="27" t="str">
        <f t="shared" si="573"/>
        <v/>
      </c>
      <c r="O5961" s="28"/>
      <c r="P5961" s="36" t="str">
        <f t="shared" si="574"/>
        <v/>
      </c>
      <c r="Q5961" s="216" t="str">
        <f t="shared" si="575"/>
        <v/>
      </c>
      <c r="R5961" s="216" t="str">
        <f t="shared" si="576"/>
        <v/>
      </c>
      <c r="S5961" s="217" t="str">
        <f t="shared" si="577"/>
        <v/>
      </c>
    </row>
    <row r="5962" spans="1:19" ht="15.75" hidden="1" thickBot="1" x14ac:dyDescent="0.3">
      <c r="A5962" s="257"/>
      <c r="B5962" s="260"/>
      <c r="C5962" s="31"/>
      <c r="D5962" s="31"/>
      <c r="E5962" s="32"/>
      <c r="F5962" s="53" t="s">
        <v>416</v>
      </c>
      <c r="G5962" s="53" t="str">
        <f t="shared" si="572"/>
        <v/>
      </c>
      <c r="H5962" s="72"/>
      <c r="I5962" s="73"/>
      <c r="J5962" s="152">
        <v>0</v>
      </c>
      <c r="L5962" s="219"/>
      <c r="M5962" s="53"/>
      <c r="N5962" s="53" t="str">
        <f t="shared" si="573"/>
        <v/>
      </c>
      <c r="O5962" s="72"/>
      <c r="P5962" s="36" t="str">
        <f t="shared" si="574"/>
        <v/>
      </c>
      <c r="Q5962" s="216" t="str">
        <f t="shared" si="575"/>
        <v/>
      </c>
      <c r="R5962" s="216" t="str">
        <f t="shared" si="576"/>
        <v/>
      </c>
      <c r="S5962" s="217" t="str">
        <f t="shared" si="577"/>
        <v/>
      </c>
    </row>
    <row r="5963" spans="1:19" ht="15.75" hidden="1" thickBot="1" x14ac:dyDescent="0.3">
      <c r="A5963" s="257"/>
      <c r="B5963" s="260"/>
      <c r="C5963" s="35" t="s">
        <v>8254</v>
      </c>
      <c r="D5963" s="35" t="s">
        <v>213</v>
      </c>
      <c r="E5963" s="36">
        <v>1</v>
      </c>
      <c r="F5963" s="30">
        <v>3.5244999999999997</v>
      </c>
      <c r="G5963" s="53">
        <f t="shared" si="572"/>
        <v>3.5244999999999997</v>
      </c>
      <c r="H5963" s="38">
        <f>SUM(G5963:G5963)</f>
        <v>3.5244999999999997</v>
      </c>
      <c r="I5963" s="39"/>
      <c r="J5963" s="152">
        <v>0</v>
      </c>
      <c r="L5963" s="215">
        <v>1</v>
      </c>
      <c r="M5963" s="30">
        <v>3.016972</v>
      </c>
      <c r="N5963" s="53">
        <f t="shared" si="573"/>
        <v>3.016972</v>
      </c>
      <c r="O5963" s="38">
        <f>SUM(N5963:N5963)</f>
        <v>3.016972</v>
      </c>
      <c r="P5963" s="36" t="str">
        <f t="shared" si="574"/>
        <v/>
      </c>
      <c r="Q5963" s="216">
        <f t="shared" si="575"/>
        <v>0.14399999999999991</v>
      </c>
      <c r="R5963" s="216">
        <f t="shared" si="576"/>
        <v>0.14399999999999991</v>
      </c>
      <c r="S5963" s="217">
        <f t="shared" si="577"/>
        <v>0.14399999999999991</v>
      </c>
    </row>
    <row r="5964" spans="1:19" ht="15.75" hidden="1" thickBot="1" x14ac:dyDescent="0.3">
      <c r="A5964" s="258"/>
      <c r="B5964" s="261"/>
      <c r="C5964" s="54"/>
      <c r="D5964" s="155"/>
      <c r="E5964" s="65"/>
      <c r="F5964" s="75" t="s">
        <v>416</v>
      </c>
      <c r="G5964" s="75" t="str">
        <f t="shared" si="572"/>
        <v/>
      </c>
      <c r="H5964" s="76"/>
      <c r="I5964" s="73"/>
      <c r="J5964" s="152">
        <v>0</v>
      </c>
      <c r="L5964" s="222"/>
      <c r="M5964" s="75"/>
      <c r="N5964" s="75" t="str">
        <f t="shared" si="573"/>
        <v/>
      </c>
      <c r="O5964" s="76"/>
      <c r="P5964" s="36" t="str">
        <f t="shared" si="574"/>
        <v/>
      </c>
      <c r="Q5964" s="216" t="str">
        <f t="shared" si="575"/>
        <v/>
      </c>
      <c r="R5964" s="216" t="str">
        <f t="shared" si="576"/>
        <v/>
      </c>
      <c r="S5964" s="217" t="str">
        <f t="shared" si="577"/>
        <v/>
      </c>
    </row>
    <row r="5965" spans="1:19" ht="15.75" hidden="1" thickBot="1" x14ac:dyDescent="0.3">
      <c r="A5965" s="256" t="s">
        <v>4682</v>
      </c>
      <c r="B5965" s="259" t="str">
        <f>INDEX(Orçamentária!A:B,MATCH(Composições!A5965,Orçamentária!A:A,0),2)</f>
        <v>Curva para eletroduto de PVC de 1 1/4”</v>
      </c>
      <c r="C5965" s="40"/>
      <c r="D5965" s="25" t="s">
        <v>16</v>
      </c>
      <c r="E5965" s="26"/>
      <c r="F5965" s="48" t="s">
        <v>416</v>
      </c>
      <c r="G5965" s="27" t="str">
        <f t="shared" si="572"/>
        <v/>
      </c>
      <c r="H5965" s="28"/>
      <c r="I5965" s="29"/>
      <c r="J5965" s="152">
        <v>0</v>
      </c>
      <c r="L5965" s="218"/>
      <c r="M5965" s="48"/>
      <c r="N5965" s="27" t="str">
        <f t="shared" si="573"/>
        <v/>
      </c>
      <c r="O5965" s="28"/>
      <c r="P5965" s="36" t="str">
        <f t="shared" si="574"/>
        <v/>
      </c>
      <c r="Q5965" s="216" t="str">
        <f t="shared" si="575"/>
        <v/>
      </c>
      <c r="R5965" s="216" t="str">
        <f t="shared" si="576"/>
        <v/>
      </c>
      <c r="S5965" s="217" t="str">
        <f t="shared" si="577"/>
        <v/>
      </c>
    </row>
    <row r="5966" spans="1:19" ht="15.75" hidden="1" thickBot="1" x14ac:dyDescent="0.3">
      <c r="A5966" s="257"/>
      <c r="B5966" s="260"/>
      <c r="C5966" s="31"/>
      <c r="D5966" s="31"/>
      <c r="E5966" s="32"/>
      <c r="F5966" s="53" t="s">
        <v>416</v>
      </c>
      <c r="G5966" s="53" t="str">
        <f t="shared" si="572"/>
        <v/>
      </c>
      <c r="H5966" s="72"/>
      <c r="I5966" s="73"/>
      <c r="J5966" s="152">
        <v>0</v>
      </c>
      <c r="L5966" s="219"/>
      <c r="M5966" s="53"/>
      <c r="N5966" s="53" t="str">
        <f t="shared" si="573"/>
        <v/>
      </c>
      <c r="O5966" s="72"/>
      <c r="P5966" s="36" t="str">
        <f t="shared" si="574"/>
        <v/>
      </c>
      <c r="Q5966" s="216" t="str">
        <f t="shared" si="575"/>
        <v/>
      </c>
      <c r="R5966" s="216" t="str">
        <f t="shared" si="576"/>
        <v/>
      </c>
      <c r="S5966" s="217" t="str">
        <f t="shared" si="577"/>
        <v/>
      </c>
    </row>
    <row r="5967" spans="1:19" ht="26.25" hidden="1" thickBot="1" x14ac:dyDescent="0.3">
      <c r="A5967" s="257"/>
      <c r="B5967" s="260"/>
      <c r="C5967" s="35" t="s">
        <v>8122</v>
      </c>
      <c r="D5967" s="35" t="s">
        <v>213</v>
      </c>
      <c r="E5967" s="36">
        <v>1</v>
      </c>
      <c r="F5967" s="30">
        <v>6.4124999999999996</v>
      </c>
      <c r="G5967" s="53">
        <f t="shared" si="572"/>
        <v>6.4124999999999996</v>
      </c>
      <c r="H5967" s="38">
        <f>SUM(G5967:G5967)</f>
        <v>6.4124999999999996</v>
      </c>
      <c r="I5967" s="39"/>
      <c r="J5967" s="152">
        <v>0</v>
      </c>
      <c r="L5967" s="215">
        <v>1</v>
      </c>
      <c r="M5967" s="30">
        <v>5.4890999999999996</v>
      </c>
      <c r="N5967" s="53">
        <f t="shared" si="573"/>
        <v>5.4890999999999996</v>
      </c>
      <c r="O5967" s="38">
        <f>SUM(N5967:N5967)</f>
        <v>5.4890999999999996</v>
      </c>
      <c r="P5967" s="36" t="str">
        <f t="shared" si="574"/>
        <v/>
      </c>
      <c r="Q5967" s="216">
        <f t="shared" si="575"/>
        <v>0.14400000000000002</v>
      </c>
      <c r="R5967" s="216">
        <f t="shared" si="576"/>
        <v>0.14400000000000002</v>
      </c>
      <c r="S5967" s="217">
        <f t="shared" si="577"/>
        <v>0.14400000000000002</v>
      </c>
    </row>
    <row r="5968" spans="1:19" ht="15.75" hidden="1" thickBot="1" x14ac:dyDescent="0.3">
      <c r="A5968" s="258"/>
      <c r="B5968" s="261"/>
      <c r="C5968" s="54"/>
      <c r="D5968" s="155"/>
      <c r="E5968" s="65"/>
      <c r="F5968" s="75" t="s">
        <v>416</v>
      </c>
      <c r="G5968" s="75" t="str">
        <f t="shared" si="572"/>
        <v/>
      </c>
      <c r="H5968" s="76"/>
      <c r="I5968" s="73"/>
      <c r="J5968" s="152">
        <v>0</v>
      </c>
      <c r="L5968" s="222"/>
      <c r="M5968" s="75"/>
      <c r="N5968" s="75" t="str">
        <f t="shared" si="573"/>
        <v/>
      </c>
      <c r="O5968" s="76"/>
      <c r="P5968" s="36" t="str">
        <f t="shared" si="574"/>
        <v/>
      </c>
      <c r="Q5968" s="216" t="str">
        <f t="shared" si="575"/>
        <v/>
      </c>
      <c r="R5968" s="216" t="str">
        <f t="shared" si="576"/>
        <v/>
      </c>
      <c r="S5968" s="217" t="str">
        <f t="shared" si="577"/>
        <v/>
      </c>
    </row>
    <row r="5969" spans="1:19" ht="15.75" hidden="1" thickBot="1" x14ac:dyDescent="0.3">
      <c r="A5969" s="256" t="s">
        <v>4683</v>
      </c>
      <c r="B5969" s="259" t="str">
        <f>INDEX(Orçamentária!A:B,MATCH(Composições!A5969,Orçamentária!A:A,0),2)</f>
        <v>Eletroduto de PVC de 1 1/2”</v>
      </c>
      <c r="C5969" s="40"/>
      <c r="D5969" s="25" t="s">
        <v>69</v>
      </c>
      <c r="E5969" s="26"/>
      <c r="F5969" s="48" t="s">
        <v>416</v>
      </c>
      <c r="G5969" s="27" t="str">
        <f t="shared" si="572"/>
        <v/>
      </c>
      <c r="H5969" s="28"/>
      <c r="I5969" s="29"/>
      <c r="J5969" s="152">
        <v>0</v>
      </c>
      <c r="L5969" s="218"/>
      <c r="M5969" s="48"/>
      <c r="N5969" s="27" t="str">
        <f t="shared" si="573"/>
        <v/>
      </c>
      <c r="O5969" s="28"/>
      <c r="P5969" s="36" t="str">
        <f t="shared" si="574"/>
        <v/>
      </c>
      <c r="Q5969" s="216" t="str">
        <f t="shared" si="575"/>
        <v/>
      </c>
      <c r="R5969" s="216" t="str">
        <f t="shared" si="576"/>
        <v/>
      </c>
      <c r="S5969" s="217" t="str">
        <f t="shared" si="577"/>
        <v/>
      </c>
    </row>
    <row r="5970" spans="1:19" ht="15.75" hidden="1" thickBot="1" x14ac:dyDescent="0.3">
      <c r="A5970" s="257"/>
      <c r="B5970" s="260"/>
      <c r="C5970" s="31"/>
      <c r="D5970" s="31"/>
      <c r="E5970" s="32"/>
      <c r="F5970" s="53" t="s">
        <v>416</v>
      </c>
      <c r="G5970" s="53" t="str">
        <f t="shared" si="572"/>
        <v/>
      </c>
      <c r="H5970" s="72"/>
      <c r="I5970" s="73"/>
      <c r="J5970" s="152">
        <v>0</v>
      </c>
      <c r="L5970" s="219"/>
      <c r="M5970" s="53"/>
      <c r="N5970" s="53" t="str">
        <f t="shared" si="573"/>
        <v/>
      </c>
      <c r="O5970" s="72"/>
      <c r="P5970" s="36" t="str">
        <f t="shared" si="574"/>
        <v/>
      </c>
      <c r="Q5970" s="216" t="str">
        <f t="shared" si="575"/>
        <v/>
      </c>
      <c r="R5970" s="216" t="str">
        <f t="shared" si="576"/>
        <v/>
      </c>
      <c r="S5970" s="217" t="str">
        <f t="shared" si="577"/>
        <v/>
      </c>
    </row>
    <row r="5971" spans="1:19" ht="15.75" hidden="1" thickBot="1" x14ac:dyDescent="0.3">
      <c r="A5971" s="257"/>
      <c r="B5971" s="260"/>
      <c r="C5971" s="35" t="s">
        <v>8140</v>
      </c>
      <c r="D5971" s="35" t="s">
        <v>385</v>
      </c>
      <c r="E5971" s="36">
        <v>1</v>
      </c>
      <c r="F5971" s="30">
        <v>12.824999999999999</v>
      </c>
      <c r="G5971" s="53">
        <f t="shared" si="572"/>
        <v>12.824999999999999</v>
      </c>
      <c r="H5971" s="38">
        <f>SUM(G5971:G5971)</f>
        <v>12.824999999999999</v>
      </c>
      <c r="I5971" s="39"/>
      <c r="J5971" s="152">
        <v>0</v>
      </c>
      <c r="L5971" s="215">
        <v>1</v>
      </c>
      <c r="M5971" s="30">
        <v>10.978199999999999</v>
      </c>
      <c r="N5971" s="53">
        <f t="shared" si="573"/>
        <v>10.978199999999999</v>
      </c>
      <c r="O5971" s="38">
        <f>SUM(N5971:N5971)</f>
        <v>10.978199999999999</v>
      </c>
      <c r="P5971" s="36" t="str">
        <f t="shared" si="574"/>
        <v/>
      </c>
      <c r="Q5971" s="216">
        <f t="shared" si="575"/>
        <v>0.14400000000000002</v>
      </c>
      <c r="R5971" s="216">
        <f t="shared" si="576"/>
        <v>0.14400000000000002</v>
      </c>
      <c r="S5971" s="217">
        <f t="shared" si="577"/>
        <v>0.14400000000000002</v>
      </c>
    </row>
    <row r="5972" spans="1:19" ht="15.75" hidden="1" thickBot="1" x14ac:dyDescent="0.3">
      <c r="A5972" s="258"/>
      <c r="B5972" s="261"/>
      <c r="C5972" s="54"/>
      <c r="D5972" s="155"/>
      <c r="E5972" s="65"/>
      <c r="F5972" s="75" t="s">
        <v>416</v>
      </c>
      <c r="G5972" s="75" t="str">
        <f t="shared" si="572"/>
        <v/>
      </c>
      <c r="H5972" s="76"/>
      <c r="I5972" s="73"/>
      <c r="J5972" s="152">
        <v>0</v>
      </c>
      <c r="L5972" s="222"/>
      <c r="M5972" s="75"/>
      <c r="N5972" s="75" t="str">
        <f t="shared" si="573"/>
        <v/>
      </c>
      <c r="O5972" s="76"/>
      <c r="P5972" s="36" t="str">
        <f t="shared" si="574"/>
        <v/>
      </c>
      <c r="Q5972" s="216" t="str">
        <f t="shared" si="575"/>
        <v/>
      </c>
      <c r="R5972" s="216" t="str">
        <f t="shared" si="576"/>
        <v/>
      </c>
      <c r="S5972" s="217" t="str">
        <f t="shared" si="577"/>
        <v/>
      </c>
    </row>
    <row r="5973" spans="1:19" ht="15.75" hidden="1" thickBot="1" x14ac:dyDescent="0.3">
      <c r="A5973" s="256" t="s">
        <v>4684</v>
      </c>
      <c r="B5973" s="259" t="str">
        <f>INDEX(Orçamentária!A:B,MATCH(Composições!A5973,Orçamentária!A:A,0),2)</f>
        <v>Luva para eletroduto de PVC de 1 1/2”</v>
      </c>
      <c r="C5973" s="40"/>
      <c r="D5973" s="25" t="s">
        <v>16</v>
      </c>
      <c r="E5973" s="26"/>
      <c r="F5973" s="48" t="s">
        <v>416</v>
      </c>
      <c r="G5973" s="27" t="str">
        <f t="shared" si="572"/>
        <v/>
      </c>
      <c r="H5973" s="28"/>
      <c r="I5973" s="29"/>
      <c r="J5973" s="152">
        <v>0</v>
      </c>
      <c r="L5973" s="218"/>
      <c r="M5973" s="48"/>
      <c r="N5973" s="27" t="str">
        <f t="shared" si="573"/>
        <v/>
      </c>
      <c r="O5973" s="28"/>
      <c r="P5973" s="36" t="str">
        <f t="shared" si="574"/>
        <v/>
      </c>
      <c r="Q5973" s="216" t="str">
        <f t="shared" si="575"/>
        <v/>
      </c>
      <c r="R5973" s="216" t="str">
        <f t="shared" si="576"/>
        <v/>
      </c>
      <c r="S5973" s="217" t="str">
        <f t="shared" si="577"/>
        <v/>
      </c>
    </row>
    <row r="5974" spans="1:19" ht="15.75" hidden="1" thickBot="1" x14ac:dyDescent="0.3">
      <c r="A5974" s="257"/>
      <c r="B5974" s="260"/>
      <c r="C5974" s="31"/>
      <c r="D5974" s="31"/>
      <c r="E5974" s="32"/>
      <c r="F5974" s="53" t="s">
        <v>416</v>
      </c>
      <c r="G5974" s="53" t="str">
        <f t="shared" si="572"/>
        <v/>
      </c>
      <c r="H5974" s="72"/>
      <c r="I5974" s="73"/>
      <c r="J5974" s="152">
        <v>0</v>
      </c>
      <c r="L5974" s="219"/>
      <c r="M5974" s="53"/>
      <c r="N5974" s="53" t="str">
        <f t="shared" si="573"/>
        <v/>
      </c>
      <c r="O5974" s="72"/>
      <c r="P5974" s="36" t="str">
        <f t="shared" si="574"/>
        <v/>
      </c>
      <c r="Q5974" s="216" t="str">
        <f t="shared" si="575"/>
        <v/>
      </c>
      <c r="R5974" s="216" t="str">
        <f t="shared" si="576"/>
        <v/>
      </c>
      <c r="S5974" s="217" t="str">
        <f t="shared" si="577"/>
        <v/>
      </c>
    </row>
    <row r="5975" spans="1:19" ht="15.75" hidden="1" thickBot="1" x14ac:dyDescent="0.3">
      <c r="A5975" s="257"/>
      <c r="B5975" s="260"/>
      <c r="C5975" s="35" t="s">
        <v>8253</v>
      </c>
      <c r="D5975" s="35" t="s">
        <v>213</v>
      </c>
      <c r="E5975" s="36">
        <v>1</v>
      </c>
      <c r="F5975" s="30">
        <v>4.8449999999999998</v>
      </c>
      <c r="G5975" s="53">
        <f t="shared" si="572"/>
        <v>4.8449999999999998</v>
      </c>
      <c r="H5975" s="38">
        <f>SUM(G5975:G5975)</f>
        <v>4.8449999999999998</v>
      </c>
      <c r="I5975" s="39"/>
      <c r="J5975" s="152">
        <v>0</v>
      </c>
      <c r="L5975" s="215">
        <v>1</v>
      </c>
      <c r="M5975" s="30">
        <v>4.1473199999999997</v>
      </c>
      <c r="N5975" s="53">
        <f t="shared" si="573"/>
        <v>4.1473199999999997</v>
      </c>
      <c r="O5975" s="38">
        <f>SUM(N5975:N5975)</f>
        <v>4.1473199999999997</v>
      </c>
      <c r="P5975" s="36" t="str">
        <f t="shared" si="574"/>
        <v/>
      </c>
      <c r="Q5975" s="216">
        <f t="shared" si="575"/>
        <v>0.14400000000000002</v>
      </c>
      <c r="R5975" s="216">
        <f t="shared" si="576"/>
        <v>0.14400000000000002</v>
      </c>
      <c r="S5975" s="217">
        <f t="shared" si="577"/>
        <v>0.14400000000000002</v>
      </c>
    </row>
    <row r="5976" spans="1:19" ht="15.75" hidden="1" thickBot="1" x14ac:dyDescent="0.3">
      <c r="A5976" s="258"/>
      <c r="B5976" s="261"/>
      <c r="C5976" s="54"/>
      <c r="D5976" s="155"/>
      <c r="E5976" s="65"/>
      <c r="F5976" s="75" t="s">
        <v>416</v>
      </c>
      <c r="G5976" s="75" t="str">
        <f t="shared" si="572"/>
        <v/>
      </c>
      <c r="H5976" s="76"/>
      <c r="I5976" s="73"/>
      <c r="J5976" s="152">
        <v>0</v>
      </c>
      <c r="L5976" s="222"/>
      <c r="M5976" s="75"/>
      <c r="N5976" s="75" t="str">
        <f t="shared" si="573"/>
        <v/>
      </c>
      <c r="O5976" s="76"/>
      <c r="P5976" s="36" t="str">
        <f t="shared" si="574"/>
        <v/>
      </c>
      <c r="Q5976" s="216" t="str">
        <f t="shared" si="575"/>
        <v/>
      </c>
      <c r="R5976" s="216" t="str">
        <f t="shared" si="576"/>
        <v/>
      </c>
      <c r="S5976" s="217" t="str">
        <f t="shared" si="577"/>
        <v/>
      </c>
    </row>
    <row r="5977" spans="1:19" ht="15.75" hidden="1" thickBot="1" x14ac:dyDescent="0.3">
      <c r="A5977" s="256" t="s">
        <v>4685</v>
      </c>
      <c r="B5977" s="259" t="str">
        <f>INDEX(Orçamentária!A:B,MATCH(Composições!A5977,Orçamentária!A:A,0),2)</f>
        <v>Curva para eletroduto de PVC de 1 1/2”</v>
      </c>
      <c r="C5977" s="40"/>
      <c r="D5977" s="25" t="s">
        <v>16</v>
      </c>
      <c r="E5977" s="26"/>
      <c r="F5977" s="48" t="s">
        <v>416</v>
      </c>
      <c r="G5977" s="27" t="str">
        <f t="shared" si="572"/>
        <v/>
      </c>
      <c r="H5977" s="28"/>
      <c r="I5977" s="29"/>
      <c r="J5977" s="152">
        <v>0</v>
      </c>
      <c r="L5977" s="218"/>
      <c r="M5977" s="48"/>
      <c r="N5977" s="27" t="str">
        <f t="shared" si="573"/>
        <v/>
      </c>
      <c r="O5977" s="28"/>
      <c r="P5977" s="36" t="str">
        <f t="shared" si="574"/>
        <v/>
      </c>
      <c r="Q5977" s="216" t="str">
        <f t="shared" si="575"/>
        <v/>
      </c>
      <c r="R5977" s="216" t="str">
        <f t="shared" si="576"/>
        <v/>
      </c>
      <c r="S5977" s="217" t="str">
        <f t="shared" si="577"/>
        <v/>
      </c>
    </row>
    <row r="5978" spans="1:19" ht="15.75" hidden="1" thickBot="1" x14ac:dyDescent="0.3">
      <c r="A5978" s="257"/>
      <c r="B5978" s="260"/>
      <c r="C5978" s="31"/>
      <c r="D5978" s="31"/>
      <c r="E5978" s="32"/>
      <c r="F5978" s="53" t="s">
        <v>416</v>
      </c>
      <c r="G5978" s="53" t="str">
        <f t="shared" si="572"/>
        <v/>
      </c>
      <c r="H5978" s="72"/>
      <c r="I5978" s="73"/>
      <c r="J5978" s="152">
        <v>0</v>
      </c>
      <c r="L5978" s="219"/>
      <c r="M5978" s="53"/>
      <c r="N5978" s="53" t="str">
        <f t="shared" si="573"/>
        <v/>
      </c>
      <c r="O5978" s="72"/>
      <c r="P5978" s="36" t="str">
        <f t="shared" si="574"/>
        <v/>
      </c>
      <c r="Q5978" s="216" t="str">
        <f t="shared" si="575"/>
        <v/>
      </c>
      <c r="R5978" s="216" t="str">
        <f t="shared" si="576"/>
        <v/>
      </c>
      <c r="S5978" s="217" t="str">
        <f t="shared" si="577"/>
        <v/>
      </c>
    </row>
    <row r="5979" spans="1:19" ht="26.25" hidden="1" thickBot="1" x14ac:dyDescent="0.3">
      <c r="A5979" s="257"/>
      <c r="B5979" s="260"/>
      <c r="C5979" s="35" t="s">
        <v>8121</v>
      </c>
      <c r="D5979" s="35" t="s">
        <v>213</v>
      </c>
      <c r="E5979" s="36">
        <v>1</v>
      </c>
      <c r="F5979" s="30">
        <v>7.770999999999999</v>
      </c>
      <c r="G5979" s="53">
        <f t="shared" si="572"/>
        <v>7.770999999999999</v>
      </c>
      <c r="H5979" s="38">
        <f>SUM(G5979:G5979)</f>
        <v>7.770999999999999</v>
      </c>
      <c r="I5979" s="39"/>
      <c r="J5979" s="152">
        <v>0</v>
      </c>
      <c r="L5979" s="215">
        <v>1</v>
      </c>
      <c r="M5979" s="30">
        <v>6.6519759999999994</v>
      </c>
      <c r="N5979" s="53">
        <f t="shared" si="573"/>
        <v>6.6519759999999994</v>
      </c>
      <c r="O5979" s="38">
        <f>SUM(N5979:N5979)</f>
        <v>6.6519759999999994</v>
      </c>
      <c r="P5979" s="36" t="str">
        <f t="shared" si="574"/>
        <v/>
      </c>
      <c r="Q5979" s="216">
        <f t="shared" si="575"/>
        <v>0.14400000000000002</v>
      </c>
      <c r="R5979" s="216">
        <f t="shared" si="576"/>
        <v>0.14400000000000002</v>
      </c>
      <c r="S5979" s="217">
        <f t="shared" si="577"/>
        <v>0.14400000000000002</v>
      </c>
    </row>
    <row r="5980" spans="1:19" ht="15.75" hidden="1" thickBot="1" x14ac:dyDescent="0.3">
      <c r="A5980" s="258"/>
      <c r="B5980" s="261"/>
      <c r="C5980" s="54"/>
      <c r="D5980" s="155"/>
      <c r="E5980" s="65"/>
      <c r="F5980" s="75" t="s">
        <v>416</v>
      </c>
      <c r="G5980" s="75" t="str">
        <f t="shared" si="572"/>
        <v/>
      </c>
      <c r="H5980" s="76"/>
      <c r="I5980" s="73"/>
      <c r="J5980" s="152">
        <v>0</v>
      </c>
      <c r="L5980" s="222"/>
      <c r="M5980" s="75"/>
      <c r="N5980" s="75" t="str">
        <f t="shared" si="573"/>
        <v/>
      </c>
      <c r="O5980" s="76"/>
      <c r="P5980" s="36" t="str">
        <f t="shared" si="574"/>
        <v/>
      </c>
      <c r="Q5980" s="216" t="str">
        <f t="shared" si="575"/>
        <v/>
      </c>
      <c r="R5980" s="216" t="str">
        <f t="shared" si="576"/>
        <v/>
      </c>
      <c r="S5980" s="217" t="str">
        <f t="shared" si="577"/>
        <v/>
      </c>
    </row>
    <row r="5981" spans="1:19" ht="15.75" hidden="1" thickBot="1" x14ac:dyDescent="0.3">
      <c r="A5981" s="256" t="s">
        <v>4686</v>
      </c>
      <c r="B5981" s="259" t="str">
        <f>INDEX(Orçamentária!A:B,MATCH(Composições!A5981,Orçamentária!A:A,0),2)</f>
        <v>Eletroduto de PVC de 2”</v>
      </c>
      <c r="C5981" s="40"/>
      <c r="D5981" s="25" t="s">
        <v>69</v>
      </c>
      <c r="E5981" s="26"/>
      <c r="F5981" s="48" t="s">
        <v>416</v>
      </c>
      <c r="G5981" s="27" t="str">
        <f t="shared" si="572"/>
        <v/>
      </c>
      <c r="H5981" s="28"/>
      <c r="I5981" s="29"/>
      <c r="J5981" s="152">
        <v>0</v>
      </c>
      <c r="L5981" s="218"/>
      <c r="M5981" s="48"/>
      <c r="N5981" s="27" t="str">
        <f t="shared" si="573"/>
        <v/>
      </c>
      <c r="O5981" s="28"/>
      <c r="P5981" s="36" t="str">
        <f t="shared" si="574"/>
        <v/>
      </c>
      <c r="Q5981" s="216" t="str">
        <f t="shared" si="575"/>
        <v/>
      </c>
      <c r="R5981" s="216" t="str">
        <f t="shared" si="576"/>
        <v/>
      </c>
      <c r="S5981" s="217" t="str">
        <f t="shared" si="577"/>
        <v/>
      </c>
    </row>
    <row r="5982" spans="1:19" ht="15.75" hidden="1" thickBot="1" x14ac:dyDescent="0.3">
      <c r="A5982" s="257"/>
      <c r="B5982" s="260"/>
      <c r="C5982" s="31"/>
      <c r="D5982" s="31"/>
      <c r="E5982" s="32"/>
      <c r="F5982" s="53" t="s">
        <v>416</v>
      </c>
      <c r="G5982" s="53" t="str">
        <f t="shared" si="572"/>
        <v/>
      </c>
      <c r="H5982" s="72"/>
      <c r="I5982" s="73"/>
      <c r="J5982" s="152">
        <v>0</v>
      </c>
      <c r="L5982" s="219"/>
      <c r="M5982" s="53"/>
      <c r="N5982" s="53" t="str">
        <f t="shared" si="573"/>
        <v/>
      </c>
      <c r="O5982" s="72"/>
      <c r="P5982" s="36" t="str">
        <f t="shared" si="574"/>
        <v/>
      </c>
      <c r="Q5982" s="216" t="str">
        <f t="shared" si="575"/>
        <v/>
      </c>
      <c r="R5982" s="216" t="str">
        <f t="shared" si="576"/>
        <v/>
      </c>
      <c r="S5982" s="217" t="str">
        <f t="shared" si="577"/>
        <v/>
      </c>
    </row>
    <row r="5983" spans="1:19" ht="15.75" hidden="1" thickBot="1" x14ac:dyDescent="0.3">
      <c r="A5983" s="257"/>
      <c r="B5983" s="260"/>
      <c r="C5983" s="35" t="s">
        <v>8142</v>
      </c>
      <c r="D5983" s="35" t="s">
        <v>385</v>
      </c>
      <c r="E5983" s="36">
        <v>1</v>
      </c>
      <c r="F5983" s="30">
        <v>20.956999999999997</v>
      </c>
      <c r="G5983" s="53">
        <f t="shared" si="572"/>
        <v>20.956999999999997</v>
      </c>
      <c r="H5983" s="38">
        <f>SUM(G5983:G5983)</f>
        <v>20.956999999999997</v>
      </c>
      <c r="I5983" s="39"/>
      <c r="J5983" s="152">
        <v>0</v>
      </c>
      <c r="L5983" s="215">
        <v>1</v>
      </c>
      <c r="M5983" s="30">
        <v>17.939191999999998</v>
      </c>
      <c r="N5983" s="53">
        <f t="shared" si="573"/>
        <v>17.939191999999998</v>
      </c>
      <c r="O5983" s="38">
        <f>SUM(N5983:N5983)</f>
        <v>17.939191999999998</v>
      </c>
      <c r="P5983" s="36" t="str">
        <f t="shared" si="574"/>
        <v/>
      </c>
      <c r="Q5983" s="216">
        <f t="shared" si="575"/>
        <v>0.14399999999999991</v>
      </c>
      <c r="R5983" s="216">
        <f t="shared" si="576"/>
        <v>0.14399999999999991</v>
      </c>
      <c r="S5983" s="217">
        <f t="shared" si="577"/>
        <v>0.14399999999999991</v>
      </c>
    </row>
    <row r="5984" spans="1:19" ht="15.75" hidden="1" thickBot="1" x14ac:dyDescent="0.3">
      <c r="A5984" s="258"/>
      <c r="B5984" s="261"/>
      <c r="C5984" s="54"/>
      <c r="D5984" s="155"/>
      <c r="E5984" s="65"/>
      <c r="F5984" s="75" t="s">
        <v>416</v>
      </c>
      <c r="G5984" s="75" t="str">
        <f t="shared" si="572"/>
        <v/>
      </c>
      <c r="H5984" s="76"/>
      <c r="I5984" s="73"/>
      <c r="J5984" s="152">
        <v>0</v>
      </c>
      <c r="L5984" s="222"/>
      <c r="M5984" s="75"/>
      <c r="N5984" s="75" t="str">
        <f t="shared" si="573"/>
        <v/>
      </c>
      <c r="O5984" s="76"/>
      <c r="P5984" s="36" t="str">
        <f t="shared" si="574"/>
        <v/>
      </c>
      <c r="Q5984" s="216" t="str">
        <f t="shared" si="575"/>
        <v/>
      </c>
      <c r="R5984" s="216" t="str">
        <f t="shared" si="576"/>
        <v/>
      </c>
      <c r="S5984" s="217" t="str">
        <f t="shared" si="577"/>
        <v/>
      </c>
    </row>
    <row r="5985" spans="1:19" ht="15.75" hidden="1" thickBot="1" x14ac:dyDescent="0.3">
      <c r="A5985" s="256" t="s">
        <v>4687</v>
      </c>
      <c r="B5985" s="259" t="str">
        <f>INDEX(Orçamentária!A:B,MATCH(Composições!A5985,Orçamentária!A:A,0),2)</f>
        <v>Luva para eletroduto de PVC de 2”</v>
      </c>
      <c r="C5985" s="40"/>
      <c r="D5985" s="25" t="s">
        <v>16</v>
      </c>
      <c r="E5985" s="26"/>
      <c r="F5985" s="48" t="s">
        <v>416</v>
      </c>
      <c r="G5985" s="27" t="str">
        <f t="shared" si="572"/>
        <v/>
      </c>
      <c r="H5985" s="28"/>
      <c r="I5985" s="29"/>
      <c r="J5985" s="152">
        <v>0</v>
      </c>
      <c r="L5985" s="218"/>
      <c r="M5985" s="48"/>
      <c r="N5985" s="27" t="str">
        <f t="shared" si="573"/>
        <v/>
      </c>
      <c r="O5985" s="28"/>
      <c r="P5985" s="36" t="str">
        <f t="shared" si="574"/>
        <v/>
      </c>
      <c r="Q5985" s="216" t="str">
        <f t="shared" si="575"/>
        <v/>
      </c>
      <c r="R5985" s="216" t="str">
        <f t="shared" si="576"/>
        <v/>
      </c>
      <c r="S5985" s="217" t="str">
        <f t="shared" si="577"/>
        <v/>
      </c>
    </row>
    <row r="5986" spans="1:19" ht="15.75" hidden="1" thickBot="1" x14ac:dyDescent="0.3">
      <c r="A5986" s="257"/>
      <c r="B5986" s="260"/>
      <c r="C5986" s="31"/>
      <c r="D5986" s="31"/>
      <c r="E5986" s="32"/>
      <c r="F5986" s="53" t="s">
        <v>416</v>
      </c>
      <c r="G5986" s="53" t="str">
        <f t="shared" si="572"/>
        <v/>
      </c>
      <c r="H5986" s="72"/>
      <c r="I5986" s="73"/>
      <c r="J5986" s="152">
        <v>0</v>
      </c>
      <c r="L5986" s="219"/>
      <c r="M5986" s="53"/>
      <c r="N5986" s="53" t="str">
        <f t="shared" si="573"/>
        <v/>
      </c>
      <c r="O5986" s="72"/>
      <c r="P5986" s="36" t="str">
        <f t="shared" si="574"/>
        <v/>
      </c>
      <c r="Q5986" s="216" t="str">
        <f t="shared" si="575"/>
        <v/>
      </c>
      <c r="R5986" s="216" t="str">
        <f t="shared" si="576"/>
        <v/>
      </c>
      <c r="S5986" s="217" t="str">
        <f t="shared" si="577"/>
        <v/>
      </c>
    </row>
    <row r="5987" spans="1:19" ht="15.75" hidden="1" thickBot="1" x14ac:dyDescent="0.3">
      <c r="A5987" s="257"/>
      <c r="B5987" s="260"/>
      <c r="C5987" s="35" t="s">
        <v>8256</v>
      </c>
      <c r="D5987" s="35" t="s">
        <v>213</v>
      </c>
      <c r="E5987" s="36">
        <v>1</v>
      </c>
      <c r="F5987" s="30">
        <v>7.0204999999999993</v>
      </c>
      <c r="G5987" s="53">
        <f t="shared" si="572"/>
        <v>7.0204999999999993</v>
      </c>
      <c r="H5987" s="38">
        <f>SUM(G5987:G5987)</f>
        <v>7.0204999999999993</v>
      </c>
      <c r="I5987" s="39"/>
      <c r="J5987" s="152">
        <v>0</v>
      </c>
      <c r="L5987" s="215">
        <v>1</v>
      </c>
      <c r="M5987" s="30">
        <v>6.0095479999999997</v>
      </c>
      <c r="N5987" s="53">
        <f t="shared" si="573"/>
        <v>6.0095479999999997</v>
      </c>
      <c r="O5987" s="38">
        <f>SUM(N5987:N5987)</f>
        <v>6.0095479999999997</v>
      </c>
      <c r="P5987" s="36" t="str">
        <f t="shared" si="574"/>
        <v/>
      </c>
      <c r="Q5987" s="216">
        <f t="shared" si="575"/>
        <v>0.14400000000000002</v>
      </c>
      <c r="R5987" s="216">
        <f t="shared" si="576"/>
        <v>0.14400000000000002</v>
      </c>
      <c r="S5987" s="217">
        <f t="shared" si="577"/>
        <v>0.14400000000000002</v>
      </c>
    </row>
    <row r="5988" spans="1:19" ht="15.75" hidden="1" thickBot="1" x14ac:dyDescent="0.3">
      <c r="A5988" s="258"/>
      <c r="B5988" s="261"/>
      <c r="C5988" s="54"/>
      <c r="D5988" s="155"/>
      <c r="E5988" s="65"/>
      <c r="F5988" s="75" t="s">
        <v>416</v>
      </c>
      <c r="G5988" s="75" t="str">
        <f t="shared" si="572"/>
        <v/>
      </c>
      <c r="H5988" s="76"/>
      <c r="I5988" s="73"/>
      <c r="J5988" s="152">
        <v>0</v>
      </c>
      <c r="L5988" s="222"/>
      <c r="M5988" s="75"/>
      <c r="N5988" s="75" t="str">
        <f t="shared" si="573"/>
        <v/>
      </c>
      <c r="O5988" s="76"/>
      <c r="P5988" s="36" t="str">
        <f t="shared" si="574"/>
        <v/>
      </c>
      <c r="Q5988" s="216" t="str">
        <f t="shared" si="575"/>
        <v/>
      </c>
      <c r="R5988" s="216" t="str">
        <f t="shared" si="576"/>
        <v/>
      </c>
      <c r="S5988" s="217" t="str">
        <f t="shared" si="577"/>
        <v/>
      </c>
    </row>
    <row r="5989" spans="1:19" ht="15.75" hidden="1" thickBot="1" x14ac:dyDescent="0.3">
      <c r="A5989" s="256" t="s">
        <v>4688</v>
      </c>
      <c r="B5989" s="259" t="str">
        <f>INDEX(Orçamentária!A:B,MATCH(Composições!A5989,Orçamentária!A:A,0),2)</f>
        <v>Curva para eletroduto de PVC de 2”</v>
      </c>
      <c r="C5989" s="40"/>
      <c r="D5989" s="25" t="s">
        <v>16</v>
      </c>
      <c r="E5989" s="26"/>
      <c r="F5989" s="48" t="s">
        <v>416</v>
      </c>
      <c r="G5989" s="27" t="str">
        <f t="shared" si="572"/>
        <v/>
      </c>
      <c r="H5989" s="28"/>
      <c r="I5989" s="29"/>
      <c r="J5989" s="152">
        <v>0</v>
      </c>
      <c r="L5989" s="218"/>
      <c r="M5989" s="48"/>
      <c r="N5989" s="27" t="str">
        <f t="shared" si="573"/>
        <v/>
      </c>
      <c r="O5989" s="28"/>
      <c r="P5989" s="36" t="str">
        <f t="shared" si="574"/>
        <v/>
      </c>
      <c r="Q5989" s="216" t="str">
        <f t="shared" si="575"/>
        <v/>
      </c>
      <c r="R5989" s="216" t="str">
        <f t="shared" si="576"/>
        <v/>
      </c>
      <c r="S5989" s="217" t="str">
        <f t="shared" si="577"/>
        <v/>
      </c>
    </row>
    <row r="5990" spans="1:19" ht="15.75" hidden="1" thickBot="1" x14ac:dyDescent="0.3">
      <c r="A5990" s="257"/>
      <c r="B5990" s="260"/>
      <c r="C5990" s="31"/>
      <c r="D5990" s="31"/>
      <c r="E5990" s="32"/>
      <c r="F5990" s="53" t="s">
        <v>416</v>
      </c>
      <c r="G5990" s="53" t="str">
        <f t="shared" si="572"/>
        <v/>
      </c>
      <c r="H5990" s="72"/>
      <c r="I5990" s="73"/>
      <c r="J5990" s="152">
        <v>0</v>
      </c>
      <c r="L5990" s="219"/>
      <c r="M5990" s="53"/>
      <c r="N5990" s="53" t="str">
        <f t="shared" si="573"/>
        <v/>
      </c>
      <c r="O5990" s="72"/>
      <c r="P5990" s="36" t="str">
        <f t="shared" si="574"/>
        <v/>
      </c>
      <c r="Q5990" s="216" t="str">
        <f t="shared" si="575"/>
        <v/>
      </c>
      <c r="R5990" s="216" t="str">
        <f t="shared" si="576"/>
        <v/>
      </c>
      <c r="S5990" s="217" t="str">
        <f t="shared" si="577"/>
        <v/>
      </c>
    </row>
    <row r="5991" spans="1:19" ht="26.25" hidden="1" thickBot="1" x14ac:dyDescent="0.3">
      <c r="A5991" s="257"/>
      <c r="B5991" s="260"/>
      <c r="C5991" s="35" t="s">
        <v>8123</v>
      </c>
      <c r="D5991" s="35" t="s">
        <v>213</v>
      </c>
      <c r="E5991" s="36">
        <v>1</v>
      </c>
      <c r="F5991" s="30">
        <v>12.625499999999999</v>
      </c>
      <c r="G5991" s="53">
        <f t="shared" si="572"/>
        <v>12.625499999999999</v>
      </c>
      <c r="H5991" s="38">
        <f>SUM(G5991:G5991)</f>
        <v>12.625499999999999</v>
      </c>
      <c r="I5991" s="39"/>
      <c r="J5991" s="152">
        <v>0</v>
      </c>
      <c r="L5991" s="215">
        <v>1</v>
      </c>
      <c r="M5991" s="30">
        <v>10.807428</v>
      </c>
      <c r="N5991" s="53">
        <f t="shared" si="573"/>
        <v>10.807428</v>
      </c>
      <c r="O5991" s="38">
        <f>SUM(N5991:N5991)</f>
        <v>10.807428</v>
      </c>
      <c r="P5991" s="36" t="str">
        <f t="shared" si="574"/>
        <v/>
      </c>
      <c r="Q5991" s="216">
        <f t="shared" si="575"/>
        <v>0.14399999999999991</v>
      </c>
      <c r="R5991" s="216">
        <f t="shared" si="576"/>
        <v>0.14399999999999991</v>
      </c>
      <c r="S5991" s="217">
        <f t="shared" si="577"/>
        <v>0.14399999999999991</v>
      </c>
    </row>
    <row r="5992" spans="1:19" ht="15.75" hidden="1" thickBot="1" x14ac:dyDescent="0.3">
      <c r="A5992" s="258"/>
      <c r="B5992" s="261"/>
      <c r="C5992" s="54"/>
      <c r="D5992" s="155"/>
      <c r="E5992" s="65"/>
      <c r="F5992" s="75" t="s">
        <v>416</v>
      </c>
      <c r="G5992" s="75" t="str">
        <f t="shared" si="572"/>
        <v/>
      </c>
      <c r="H5992" s="76"/>
      <c r="I5992" s="73"/>
      <c r="J5992" s="152">
        <v>0</v>
      </c>
      <c r="L5992" s="222"/>
      <c r="M5992" s="75"/>
      <c r="N5992" s="75" t="str">
        <f t="shared" si="573"/>
        <v/>
      </c>
      <c r="O5992" s="76"/>
      <c r="P5992" s="36" t="str">
        <f t="shared" si="574"/>
        <v/>
      </c>
      <c r="Q5992" s="216" t="str">
        <f t="shared" si="575"/>
        <v/>
      </c>
      <c r="R5992" s="216" t="str">
        <f t="shared" si="576"/>
        <v/>
      </c>
      <c r="S5992" s="217" t="str">
        <f t="shared" si="577"/>
        <v/>
      </c>
    </row>
    <row r="5993" spans="1:19" ht="15.75" hidden="1" thickBot="1" x14ac:dyDescent="0.3">
      <c r="A5993" s="256" t="s">
        <v>4689</v>
      </c>
      <c r="B5993" s="259" t="str">
        <f>INDEX(Orçamentária!A:B,MATCH(Composições!A5993,Orçamentária!A:A,0),2)</f>
        <v>Eletroduto de PVC de 3”</v>
      </c>
      <c r="C5993" s="40"/>
      <c r="D5993" s="25" t="s">
        <v>69</v>
      </c>
      <c r="E5993" s="26"/>
      <c r="F5993" s="48" t="s">
        <v>416</v>
      </c>
      <c r="G5993" s="27" t="str">
        <f t="shared" si="572"/>
        <v/>
      </c>
      <c r="H5993" s="28"/>
      <c r="I5993" s="29"/>
      <c r="J5993" s="152">
        <v>0</v>
      </c>
      <c r="L5993" s="218"/>
      <c r="M5993" s="48"/>
      <c r="N5993" s="27" t="str">
        <f t="shared" si="573"/>
        <v/>
      </c>
      <c r="O5993" s="28"/>
      <c r="P5993" s="36" t="str">
        <f t="shared" si="574"/>
        <v/>
      </c>
      <c r="Q5993" s="216" t="str">
        <f t="shared" si="575"/>
        <v/>
      </c>
      <c r="R5993" s="216" t="str">
        <f t="shared" si="576"/>
        <v/>
      </c>
      <c r="S5993" s="217" t="str">
        <f t="shared" si="577"/>
        <v/>
      </c>
    </row>
    <row r="5994" spans="1:19" ht="15.75" hidden="1" thickBot="1" x14ac:dyDescent="0.3">
      <c r="A5994" s="257"/>
      <c r="B5994" s="260"/>
      <c r="C5994" s="31"/>
      <c r="D5994" s="31"/>
      <c r="E5994" s="32"/>
      <c r="F5994" s="53" t="s">
        <v>416</v>
      </c>
      <c r="G5994" s="53" t="str">
        <f t="shared" si="572"/>
        <v/>
      </c>
      <c r="H5994" s="72"/>
      <c r="I5994" s="73"/>
      <c r="J5994" s="152">
        <v>0</v>
      </c>
      <c r="L5994" s="219"/>
      <c r="M5994" s="53"/>
      <c r="N5994" s="53" t="str">
        <f t="shared" si="573"/>
        <v/>
      </c>
      <c r="O5994" s="72"/>
      <c r="P5994" s="36" t="str">
        <f t="shared" si="574"/>
        <v/>
      </c>
      <c r="Q5994" s="216" t="str">
        <f t="shared" si="575"/>
        <v/>
      </c>
      <c r="R5994" s="216" t="str">
        <f t="shared" si="576"/>
        <v/>
      </c>
      <c r="S5994" s="217" t="str">
        <f t="shared" si="577"/>
        <v/>
      </c>
    </row>
    <row r="5995" spans="1:19" ht="15.75" hidden="1" thickBot="1" x14ac:dyDescent="0.3">
      <c r="A5995" s="257"/>
      <c r="B5995" s="260"/>
      <c r="C5995" s="35" t="s">
        <v>8143</v>
      </c>
      <c r="D5995" s="35" t="s">
        <v>385</v>
      </c>
      <c r="E5995" s="36">
        <v>1</v>
      </c>
      <c r="F5995" s="30">
        <v>38.332499999999996</v>
      </c>
      <c r="G5995" s="53">
        <f t="shared" si="572"/>
        <v>38.332499999999996</v>
      </c>
      <c r="H5995" s="38">
        <f>SUM(G5995:G5995)</f>
        <v>38.332499999999996</v>
      </c>
      <c r="I5995" s="39"/>
      <c r="J5995" s="152">
        <v>0</v>
      </c>
      <c r="L5995" s="215">
        <v>1</v>
      </c>
      <c r="M5995" s="30">
        <v>32.812619999999995</v>
      </c>
      <c r="N5995" s="53">
        <f t="shared" si="573"/>
        <v>32.812619999999995</v>
      </c>
      <c r="O5995" s="38">
        <f>SUM(N5995:N5995)</f>
        <v>32.812619999999995</v>
      </c>
      <c r="P5995" s="36" t="str">
        <f t="shared" si="574"/>
        <v/>
      </c>
      <c r="Q5995" s="216">
        <f t="shared" si="575"/>
        <v>0.14400000000000002</v>
      </c>
      <c r="R5995" s="216">
        <f t="shared" si="576"/>
        <v>0.14400000000000002</v>
      </c>
      <c r="S5995" s="217">
        <f t="shared" si="577"/>
        <v>0.14400000000000002</v>
      </c>
    </row>
    <row r="5996" spans="1:19" ht="15.75" hidden="1" thickBot="1" x14ac:dyDescent="0.3">
      <c r="A5996" s="258"/>
      <c r="B5996" s="261"/>
      <c r="C5996" s="54"/>
      <c r="D5996" s="155"/>
      <c r="E5996" s="65"/>
      <c r="F5996" s="75" t="s">
        <v>416</v>
      </c>
      <c r="G5996" s="75" t="str">
        <f t="shared" si="572"/>
        <v/>
      </c>
      <c r="H5996" s="76"/>
      <c r="I5996" s="73"/>
      <c r="J5996" s="152">
        <v>0</v>
      </c>
      <c r="L5996" s="222"/>
      <c r="M5996" s="75"/>
      <c r="N5996" s="75" t="str">
        <f t="shared" si="573"/>
        <v/>
      </c>
      <c r="O5996" s="76"/>
      <c r="P5996" s="36" t="str">
        <f t="shared" si="574"/>
        <v/>
      </c>
      <c r="Q5996" s="216" t="str">
        <f t="shared" si="575"/>
        <v/>
      </c>
      <c r="R5996" s="216" t="str">
        <f t="shared" si="576"/>
        <v/>
      </c>
      <c r="S5996" s="217" t="str">
        <f t="shared" si="577"/>
        <v/>
      </c>
    </row>
    <row r="5997" spans="1:19" ht="15.75" hidden="1" thickBot="1" x14ac:dyDescent="0.3">
      <c r="A5997" s="256" t="s">
        <v>4690</v>
      </c>
      <c r="B5997" s="259" t="str">
        <f>INDEX(Orçamentária!A:B,MATCH(Composições!A5997,Orçamentária!A:A,0),2)</f>
        <v>Luva para eletroduto de PVC de 3”</v>
      </c>
      <c r="C5997" s="40"/>
      <c r="D5997" s="25" t="s">
        <v>16</v>
      </c>
      <c r="E5997" s="26"/>
      <c r="F5997" s="48" t="s">
        <v>416</v>
      </c>
      <c r="G5997" s="27" t="str">
        <f t="shared" si="572"/>
        <v/>
      </c>
      <c r="H5997" s="28"/>
      <c r="I5997" s="29"/>
      <c r="J5997" s="152">
        <v>0</v>
      </c>
      <c r="L5997" s="218"/>
      <c r="M5997" s="48"/>
      <c r="N5997" s="27" t="str">
        <f t="shared" si="573"/>
        <v/>
      </c>
      <c r="O5997" s="28"/>
      <c r="P5997" s="36" t="str">
        <f t="shared" si="574"/>
        <v/>
      </c>
      <c r="Q5997" s="216" t="str">
        <f t="shared" si="575"/>
        <v/>
      </c>
      <c r="R5997" s="216" t="str">
        <f t="shared" si="576"/>
        <v/>
      </c>
      <c r="S5997" s="217" t="str">
        <f t="shared" si="577"/>
        <v/>
      </c>
    </row>
    <row r="5998" spans="1:19" ht="15.75" hidden="1" thickBot="1" x14ac:dyDescent="0.3">
      <c r="A5998" s="257"/>
      <c r="B5998" s="260"/>
      <c r="C5998" s="31"/>
      <c r="D5998" s="31"/>
      <c r="E5998" s="32"/>
      <c r="F5998" s="53" t="s">
        <v>416</v>
      </c>
      <c r="G5998" s="53" t="str">
        <f t="shared" ref="G5998:G6061" si="578">IF(ISNUMBER(F5998),E5998*F5998,"")</f>
        <v/>
      </c>
      <c r="H5998" s="72"/>
      <c r="I5998" s="73"/>
      <c r="J5998" s="152">
        <v>0</v>
      </c>
      <c r="L5998" s="219"/>
      <c r="M5998" s="53"/>
      <c r="N5998" s="53" t="str">
        <f t="shared" ref="N5998:N6061" si="579">IF(ISNUMBER(M5998),L5998*M5998,"")</f>
        <v/>
      </c>
      <c r="O5998" s="72"/>
      <c r="P5998" s="36" t="str">
        <f t="shared" si="574"/>
        <v/>
      </c>
      <c r="Q5998" s="216" t="str">
        <f t="shared" si="575"/>
        <v/>
      </c>
      <c r="R5998" s="216" t="str">
        <f t="shared" si="576"/>
        <v/>
      </c>
      <c r="S5998" s="217" t="str">
        <f t="shared" si="577"/>
        <v/>
      </c>
    </row>
    <row r="5999" spans="1:19" ht="15.75" hidden="1" thickBot="1" x14ac:dyDescent="0.3">
      <c r="A5999" s="257"/>
      <c r="B5999" s="260"/>
      <c r="C5999" s="35" t="s">
        <v>8258</v>
      </c>
      <c r="D5999" s="35" t="s">
        <v>213</v>
      </c>
      <c r="E5999" s="36">
        <v>1</v>
      </c>
      <c r="F5999" s="30">
        <v>20.956999999999997</v>
      </c>
      <c r="G5999" s="53">
        <f t="shared" si="578"/>
        <v>20.956999999999997</v>
      </c>
      <c r="H5999" s="38">
        <f>SUM(G5999:G5999)</f>
        <v>20.956999999999997</v>
      </c>
      <c r="I5999" s="39"/>
      <c r="J5999" s="152">
        <v>0</v>
      </c>
      <c r="L5999" s="215">
        <v>1</v>
      </c>
      <c r="M5999" s="30">
        <v>17.939191999999998</v>
      </c>
      <c r="N5999" s="53">
        <f t="shared" si="579"/>
        <v>17.939191999999998</v>
      </c>
      <c r="O5999" s="38">
        <f>SUM(N5999:N5999)</f>
        <v>17.939191999999998</v>
      </c>
      <c r="P5999" s="36" t="str">
        <f t="shared" si="574"/>
        <v/>
      </c>
      <c r="Q5999" s="216">
        <f t="shared" si="575"/>
        <v>0.14399999999999991</v>
      </c>
      <c r="R5999" s="216">
        <f t="shared" si="576"/>
        <v>0.14399999999999991</v>
      </c>
      <c r="S5999" s="217">
        <f t="shared" si="577"/>
        <v>0.14399999999999991</v>
      </c>
    </row>
    <row r="6000" spans="1:19" ht="15.75" hidden="1" thickBot="1" x14ac:dyDescent="0.3">
      <c r="A6000" s="258"/>
      <c r="B6000" s="261"/>
      <c r="C6000" s="54"/>
      <c r="D6000" s="155"/>
      <c r="E6000" s="65"/>
      <c r="F6000" s="75" t="s">
        <v>416</v>
      </c>
      <c r="G6000" s="75" t="str">
        <f t="shared" si="578"/>
        <v/>
      </c>
      <c r="H6000" s="76"/>
      <c r="I6000" s="73"/>
      <c r="J6000" s="152">
        <v>0</v>
      </c>
      <c r="L6000" s="222"/>
      <c r="M6000" s="75"/>
      <c r="N6000" s="75" t="str">
        <f t="shared" si="579"/>
        <v/>
      </c>
      <c r="O6000" s="76"/>
      <c r="P6000" s="36" t="str">
        <f t="shared" si="574"/>
        <v/>
      </c>
      <c r="Q6000" s="216" t="str">
        <f t="shared" si="575"/>
        <v/>
      </c>
      <c r="R6000" s="216" t="str">
        <f t="shared" si="576"/>
        <v/>
      </c>
      <c r="S6000" s="217" t="str">
        <f t="shared" si="577"/>
        <v/>
      </c>
    </row>
    <row r="6001" spans="1:19" ht="15.75" hidden="1" thickBot="1" x14ac:dyDescent="0.3">
      <c r="A6001" s="256" t="s">
        <v>4691</v>
      </c>
      <c r="B6001" s="259" t="str">
        <f>INDEX(Orçamentária!A:B,MATCH(Composições!A6001,Orçamentária!A:A,0),2)</f>
        <v>Curva para eletroduto de PVC de 3”</v>
      </c>
      <c r="C6001" s="40"/>
      <c r="D6001" s="25" t="s">
        <v>16</v>
      </c>
      <c r="E6001" s="26"/>
      <c r="F6001" s="48" t="s">
        <v>416</v>
      </c>
      <c r="G6001" s="27" t="str">
        <f t="shared" si="578"/>
        <v/>
      </c>
      <c r="H6001" s="28"/>
      <c r="I6001" s="29"/>
      <c r="J6001" s="152">
        <v>0</v>
      </c>
      <c r="L6001" s="218"/>
      <c r="M6001" s="48"/>
      <c r="N6001" s="27" t="str">
        <f t="shared" si="579"/>
        <v/>
      </c>
      <c r="O6001" s="28"/>
      <c r="P6001" s="36" t="str">
        <f t="shared" si="574"/>
        <v/>
      </c>
      <c r="Q6001" s="216" t="str">
        <f t="shared" si="575"/>
        <v/>
      </c>
      <c r="R6001" s="216" t="str">
        <f t="shared" si="576"/>
        <v/>
      </c>
      <c r="S6001" s="217" t="str">
        <f t="shared" si="577"/>
        <v/>
      </c>
    </row>
    <row r="6002" spans="1:19" ht="15.75" hidden="1" thickBot="1" x14ac:dyDescent="0.3">
      <c r="A6002" s="257"/>
      <c r="B6002" s="260"/>
      <c r="C6002" s="31"/>
      <c r="D6002" s="31"/>
      <c r="E6002" s="32"/>
      <c r="F6002" s="53" t="s">
        <v>416</v>
      </c>
      <c r="G6002" s="53" t="str">
        <f t="shared" si="578"/>
        <v/>
      </c>
      <c r="H6002" s="72"/>
      <c r="I6002" s="73"/>
      <c r="J6002" s="152">
        <v>0</v>
      </c>
      <c r="L6002" s="219"/>
      <c r="M6002" s="53"/>
      <c r="N6002" s="53" t="str">
        <f t="shared" si="579"/>
        <v/>
      </c>
      <c r="O6002" s="72"/>
      <c r="P6002" s="36" t="str">
        <f t="shared" si="574"/>
        <v/>
      </c>
      <c r="Q6002" s="216" t="str">
        <f t="shared" si="575"/>
        <v/>
      </c>
      <c r="R6002" s="216" t="str">
        <f t="shared" si="576"/>
        <v/>
      </c>
      <c r="S6002" s="217" t="str">
        <f t="shared" si="577"/>
        <v/>
      </c>
    </row>
    <row r="6003" spans="1:19" ht="26.25" hidden="1" thickBot="1" x14ac:dyDescent="0.3">
      <c r="A6003" s="257"/>
      <c r="B6003" s="260"/>
      <c r="C6003" s="35" t="s">
        <v>8124</v>
      </c>
      <c r="D6003" s="35" t="s">
        <v>213</v>
      </c>
      <c r="E6003" s="36">
        <v>1</v>
      </c>
      <c r="F6003" s="30">
        <v>32.252499999999998</v>
      </c>
      <c r="G6003" s="53">
        <f t="shared" si="578"/>
        <v>32.252499999999998</v>
      </c>
      <c r="H6003" s="38">
        <f>SUM(G6003:G6003)</f>
        <v>32.252499999999998</v>
      </c>
      <c r="I6003" s="39"/>
      <c r="J6003" s="152">
        <v>0</v>
      </c>
      <c r="L6003" s="215">
        <v>1</v>
      </c>
      <c r="M6003" s="30">
        <v>27.608139999999999</v>
      </c>
      <c r="N6003" s="53">
        <f t="shared" si="579"/>
        <v>27.608139999999999</v>
      </c>
      <c r="O6003" s="38">
        <f>SUM(N6003:N6003)</f>
        <v>27.608139999999999</v>
      </c>
      <c r="P6003" s="36" t="str">
        <f t="shared" si="574"/>
        <v/>
      </c>
      <c r="Q6003" s="216">
        <f t="shared" si="575"/>
        <v>0.14400000000000002</v>
      </c>
      <c r="R6003" s="216">
        <f t="shared" si="576"/>
        <v>0.14400000000000002</v>
      </c>
      <c r="S6003" s="217">
        <f t="shared" si="577"/>
        <v>0.14400000000000002</v>
      </c>
    </row>
    <row r="6004" spans="1:19" ht="15.75" hidden="1" thickBot="1" x14ac:dyDescent="0.3">
      <c r="A6004" s="258"/>
      <c r="B6004" s="261"/>
      <c r="C6004" s="54"/>
      <c r="D6004" s="155"/>
      <c r="E6004" s="65"/>
      <c r="F6004" s="75" t="s">
        <v>416</v>
      </c>
      <c r="G6004" s="75" t="str">
        <f t="shared" si="578"/>
        <v/>
      </c>
      <c r="H6004" s="76"/>
      <c r="I6004" s="73"/>
      <c r="J6004" s="152">
        <v>0</v>
      </c>
      <c r="L6004" s="222"/>
      <c r="M6004" s="75"/>
      <c r="N6004" s="75" t="str">
        <f t="shared" si="579"/>
        <v/>
      </c>
      <c r="O6004" s="76"/>
      <c r="P6004" s="36" t="str">
        <f t="shared" si="574"/>
        <v/>
      </c>
      <c r="Q6004" s="216" t="str">
        <f t="shared" si="575"/>
        <v/>
      </c>
      <c r="R6004" s="216" t="str">
        <f t="shared" si="576"/>
        <v/>
      </c>
      <c r="S6004" s="217" t="str">
        <f t="shared" si="577"/>
        <v/>
      </c>
    </row>
    <row r="6005" spans="1:19" ht="15.75" hidden="1" thickBot="1" x14ac:dyDescent="0.3">
      <c r="A6005" s="256" t="s">
        <v>4704</v>
      </c>
      <c r="B6005" s="259" t="str">
        <f>INDEX(Orçamentária!A:B,MATCH(Composições!A6005,Orçamentária!A:A,0),2)</f>
        <v>Base fusível NH 00 / NH 000</v>
      </c>
      <c r="C6005" s="40"/>
      <c r="D6005" s="25" t="s">
        <v>16</v>
      </c>
      <c r="E6005" s="26"/>
      <c r="F6005" s="48" t="s">
        <v>416</v>
      </c>
      <c r="G6005" s="27" t="str">
        <f t="shared" si="578"/>
        <v/>
      </c>
      <c r="H6005" s="28"/>
      <c r="I6005" s="29"/>
      <c r="J6005" s="152">
        <v>0</v>
      </c>
      <c r="L6005" s="218"/>
      <c r="M6005" s="48"/>
      <c r="N6005" s="27" t="str">
        <f t="shared" si="579"/>
        <v/>
      </c>
      <c r="O6005" s="28"/>
      <c r="P6005" s="36" t="str">
        <f t="shared" si="574"/>
        <v/>
      </c>
      <c r="Q6005" s="216" t="str">
        <f t="shared" si="575"/>
        <v/>
      </c>
      <c r="R6005" s="216" t="str">
        <f t="shared" si="576"/>
        <v/>
      </c>
      <c r="S6005" s="217" t="str">
        <f t="shared" si="577"/>
        <v/>
      </c>
    </row>
    <row r="6006" spans="1:19" ht="15.75" hidden="1" thickBot="1" x14ac:dyDescent="0.3">
      <c r="A6006" s="257"/>
      <c r="B6006" s="260"/>
      <c r="C6006" s="31"/>
      <c r="D6006" s="31"/>
      <c r="E6006" s="32"/>
      <c r="F6006" s="53" t="s">
        <v>416</v>
      </c>
      <c r="G6006" s="53" t="str">
        <f t="shared" si="578"/>
        <v/>
      </c>
      <c r="H6006" s="72"/>
      <c r="I6006" s="73"/>
      <c r="J6006" s="152">
        <v>0</v>
      </c>
      <c r="L6006" s="219"/>
      <c r="M6006" s="53"/>
      <c r="N6006" s="53" t="str">
        <f t="shared" si="579"/>
        <v/>
      </c>
      <c r="O6006" s="72"/>
      <c r="P6006" s="36" t="str">
        <f t="shared" si="574"/>
        <v/>
      </c>
      <c r="Q6006" s="216" t="str">
        <f t="shared" si="575"/>
        <v/>
      </c>
      <c r="R6006" s="216" t="str">
        <f t="shared" si="576"/>
        <v/>
      </c>
      <c r="S6006" s="217" t="str">
        <f t="shared" si="577"/>
        <v/>
      </c>
    </row>
    <row r="6007" spans="1:19" ht="26.25" hidden="1" thickBot="1" x14ac:dyDescent="0.3">
      <c r="A6007" s="257"/>
      <c r="B6007" s="260"/>
      <c r="C6007" s="35" t="s">
        <v>5532</v>
      </c>
      <c r="D6007" s="35" t="s">
        <v>16</v>
      </c>
      <c r="E6007" s="36">
        <v>1</v>
      </c>
      <c r="F6007" s="30">
        <v>0</v>
      </c>
      <c r="G6007" s="53">
        <f t="shared" si="578"/>
        <v>0</v>
      </c>
      <c r="H6007" s="38">
        <f>SUM(G6007:G6007)</f>
        <v>0</v>
      </c>
      <c r="I6007" s="39"/>
      <c r="J6007" s="152">
        <v>0</v>
      </c>
      <c r="L6007" s="215">
        <v>1</v>
      </c>
      <c r="M6007" s="30">
        <v>0</v>
      </c>
      <c r="N6007" s="53">
        <f t="shared" si="579"/>
        <v>0</v>
      </c>
      <c r="O6007" s="38">
        <f>SUM(N6007:N6007)</f>
        <v>0</v>
      </c>
      <c r="P6007" s="36" t="str">
        <f t="shared" si="574"/>
        <v/>
      </c>
      <c r="Q6007" s="216" t="e">
        <f t="shared" si="575"/>
        <v>#DIV/0!</v>
      </c>
      <c r="R6007" s="216" t="e">
        <f t="shared" si="576"/>
        <v>#DIV/0!</v>
      </c>
      <c r="S6007" s="217" t="e">
        <f t="shared" si="577"/>
        <v>#DIV/0!</v>
      </c>
    </row>
    <row r="6008" spans="1:19" ht="15.75" hidden="1" thickBot="1" x14ac:dyDescent="0.3">
      <c r="A6008" s="258"/>
      <c r="B6008" s="261"/>
      <c r="C6008" s="54"/>
      <c r="D6008" s="155"/>
      <c r="E6008" s="65"/>
      <c r="F6008" s="75" t="s">
        <v>416</v>
      </c>
      <c r="G6008" s="75" t="str">
        <f t="shared" si="578"/>
        <v/>
      </c>
      <c r="H6008" s="76"/>
      <c r="I6008" s="73"/>
      <c r="J6008" s="152">
        <v>0</v>
      </c>
      <c r="L6008" s="222"/>
      <c r="M6008" s="75"/>
      <c r="N6008" s="75" t="str">
        <f t="shared" si="579"/>
        <v/>
      </c>
      <c r="O6008" s="76"/>
      <c r="P6008" s="36" t="str">
        <f t="shared" si="574"/>
        <v/>
      </c>
      <c r="Q6008" s="216" t="str">
        <f t="shared" si="575"/>
        <v/>
      </c>
      <c r="R6008" s="216" t="str">
        <f t="shared" si="576"/>
        <v/>
      </c>
      <c r="S6008" s="217" t="str">
        <f t="shared" si="577"/>
        <v/>
      </c>
    </row>
    <row r="6009" spans="1:19" ht="15.75" hidden="1" customHeight="1" thickBot="1" x14ac:dyDescent="0.3">
      <c r="A6009" s="256" t="s">
        <v>4705</v>
      </c>
      <c r="B6009" s="259" t="str">
        <f>INDEX(Orçamentária!A:B,MATCH(Composições!A6009,Orçamentária!A:A,0),2)</f>
        <v>Base fusível NH 1</v>
      </c>
      <c r="C6009" s="40"/>
      <c r="D6009" s="25" t="s">
        <v>16</v>
      </c>
      <c r="E6009" s="26"/>
      <c r="F6009" s="48" t="s">
        <v>416</v>
      </c>
      <c r="G6009" s="27" t="str">
        <f t="shared" si="578"/>
        <v/>
      </c>
      <c r="H6009" s="28"/>
      <c r="I6009" s="29"/>
      <c r="J6009" s="152">
        <v>0</v>
      </c>
      <c r="L6009" s="218"/>
      <c r="M6009" s="48"/>
      <c r="N6009" s="27" t="str">
        <f t="shared" si="579"/>
        <v/>
      </c>
      <c r="O6009" s="28"/>
      <c r="P6009" s="36" t="str">
        <f t="shared" si="574"/>
        <v/>
      </c>
      <c r="Q6009" s="216" t="str">
        <f t="shared" si="575"/>
        <v/>
      </c>
      <c r="R6009" s="216" t="str">
        <f t="shared" si="576"/>
        <v/>
      </c>
      <c r="S6009" s="217" t="str">
        <f t="shared" si="577"/>
        <v/>
      </c>
    </row>
    <row r="6010" spans="1:19" ht="15.75" hidden="1" thickBot="1" x14ac:dyDescent="0.3">
      <c r="A6010" s="257"/>
      <c r="B6010" s="260"/>
      <c r="C6010" s="31"/>
      <c r="D6010" s="31"/>
      <c r="E6010" s="32"/>
      <c r="F6010" s="53" t="s">
        <v>416</v>
      </c>
      <c r="G6010" s="53" t="str">
        <f t="shared" si="578"/>
        <v/>
      </c>
      <c r="H6010" s="72"/>
      <c r="I6010" s="73"/>
      <c r="J6010" s="152">
        <v>0</v>
      </c>
      <c r="L6010" s="219"/>
      <c r="M6010" s="53"/>
      <c r="N6010" s="53" t="str">
        <f t="shared" si="579"/>
        <v/>
      </c>
      <c r="O6010" s="72"/>
      <c r="P6010" s="36" t="str">
        <f t="shared" si="574"/>
        <v/>
      </c>
      <c r="Q6010" s="216" t="str">
        <f t="shared" si="575"/>
        <v/>
      </c>
      <c r="R6010" s="216" t="str">
        <f t="shared" si="576"/>
        <v/>
      </c>
      <c r="S6010" s="217" t="str">
        <f t="shared" si="577"/>
        <v/>
      </c>
    </row>
    <row r="6011" spans="1:19" ht="26.25" hidden="1" thickBot="1" x14ac:dyDescent="0.3">
      <c r="A6011" s="257"/>
      <c r="B6011" s="260"/>
      <c r="C6011" s="35" t="s">
        <v>5533</v>
      </c>
      <c r="D6011" s="35" t="s">
        <v>16</v>
      </c>
      <c r="E6011" s="36">
        <v>1</v>
      </c>
      <c r="F6011" s="30">
        <v>0</v>
      </c>
      <c r="G6011" s="53">
        <f t="shared" si="578"/>
        <v>0</v>
      </c>
      <c r="H6011" s="38">
        <f>SUM(G6011:G6011)</f>
        <v>0</v>
      </c>
      <c r="I6011" s="39"/>
      <c r="J6011" s="152">
        <v>0</v>
      </c>
      <c r="L6011" s="215">
        <v>1</v>
      </c>
      <c r="M6011" s="30">
        <v>0</v>
      </c>
      <c r="N6011" s="53">
        <f t="shared" si="579"/>
        <v>0</v>
      </c>
      <c r="O6011" s="38">
        <f>SUM(N6011:N6011)</f>
        <v>0</v>
      </c>
      <c r="P6011" s="36" t="str">
        <f t="shared" si="574"/>
        <v/>
      </c>
      <c r="Q6011" s="216" t="e">
        <f t="shared" si="575"/>
        <v>#DIV/0!</v>
      </c>
      <c r="R6011" s="216" t="e">
        <f t="shared" si="576"/>
        <v>#DIV/0!</v>
      </c>
      <c r="S6011" s="217" t="e">
        <f t="shared" si="577"/>
        <v>#DIV/0!</v>
      </c>
    </row>
    <row r="6012" spans="1:19" ht="15.75" hidden="1" thickBot="1" x14ac:dyDescent="0.3">
      <c r="A6012" s="258"/>
      <c r="B6012" s="261"/>
      <c r="C6012" s="54"/>
      <c r="D6012" s="155"/>
      <c r="E6012" s="65"/>
      <c r="F6012" s="75" t="s">
        <v>416</v>
      </c>
      <c r="G6012" s="75" t="str">
        <f t="shared" si="578"/>
        <v/>
      </c>
      <c r="H6012" s="76"/>
      <c r="I6012" s="73"/>
      <c r="J6012" s="152">
        <v>0</v>
      </c>
      <c r="L6012" s="222"/>
      <c r="M6012" s="75"/>
      <c r="N6012" s="75" t="str">
        <f t="shared" si="579"/>
        <v/>
      </c>
      <c r="O6012" s="76"/>
      <c r="P6012" s="36" t="str">
        <f t="shared" si="574"/>
        <v/>
      </c>
      <c r="Q6012" s="216" t="str">
        <f t="shared" si="575"/>
        <v/>
      </c>
      <c r="R6012" s="216" t="str">
        <f t="shared" si="576"/>
        <v/>
      </c>
      <c r="S6012" s="217" t="str">
        <f t="shared" si="577"/>
        <v/>
      </c>
    </row>
    <row r="6013" spans="1:19" ht="15.75" hidden="1" customHeight="1" thickBot="1" x14ac:dyDescent="0.3">
      <c r="A6013" s="256" t="s">
        <v>4706</v>
      </c>
      <c r="B6013" s="259" t="str">
        <f>INDEX(Orçamentária!A:B,MATCH(Composições!A6013,Orçamentária!A:A,0),2)</f>
        <v>Base fusível NH 2</v>
      </c>
      <c r="C6013" s="40"/>
      <c r="D6013" s="25" t="s">
        <v>16</v>
      </c>
      <c r="E6013" s="26"/>
      <c r="F6013" s="48" t="s">
        <v>416</v>
      </c>
      <c r="G6013" s="27" t="str">
        <f t="shared" si="578"/>
        <v/>
      </c>
      <c r="H6013" s="28"/>
      <c r="I6013" s="29"/>
      <c r="J6013" s="152">
        <v>0</v>
      </c>
      <c r="L6013" s="218"/>
      <c r="M6013" s="48"/>
      <c r="N6013" s="27" t="str">
        <f t="shared" si="579"/>
        <v/>
      </c>
      <c r="O6013" s="28"/>
      <c r="P6013" s="36" t="str">
        <f t="shared" si="574"/>
        <v/>
      </c>
      <c r="Q6013" s="216" t="str">
        <f t="shared" si="575"/>
        <v/>
      </c>
      <c r="R6013" s="216" t="str">
        <f t="shared" si="576"/>
        <v/>
      </c>
      <c r="S6013" s="217" t="str">
        <f t="shared" si="577"/>
        <v/>
      </c>
    </row>
    <row r="6014" spans="1:19" ht="15.75" hidden="1" thickBot="1" x14ac:dyDescent="0.3">
      <c r="A6014" s="257"/>
      <c r="B6014" s="260"/>
      <c r="C6014" s="31"/>
      <c r="D6014" s="31"/>
      <c r="E6014" s="32"/>
      <c r="F6014" s="53" t="s">
        <v>416</v>
      </c>
      <c r="G6014" s="53" t="str">
        <f t="shared" si="578"/>
        <v/>
      </c>
      <c r="H6014" s="72"/>
      <c r="I6014" s="73"/>
      <c r="J6014" s="152">
        <v>0</v>
      </c>
      <c r="L6014" s="219"/>
      <c r="M6014" s="53"/>
      <c r="N6014" s="53" t="str">
        <f t="shared" si="579"/>
        <v/>
      </c>
      <c r="O6014" s="72"/>
      <c r="P6014" s="36" t="str">
        <f t="shared" si="574"/>
        <v/>
      </c>
      <c r="Q6014" s="216" t="str">
        <f t="shared" si="575"/>
        <v/>
      </c>
      <c r="R6014" s="216" t="str">
        <f t="shared" si="576"/>
        <v/>
      </c>
      <c r="S6014" s="217" t="str">
        <f t="shared" si="577"/>
        <v/>
      </c>
    </row>
    <row r="6015" spans="1:19" ht="26.25" hidden="1" thickBot="1" x14ac:dyDescent="0.3">
      <c r="A6015" s="257"/>
      <c r="B6015" s="260"/>
      <c r="C6015" s="35" t="s">
        <v>5534</v>
      </c>
      <c r="D6015" s="35" t="s">
        <v>16</v>
      </c>
      <c r="E6015" s="36">
        <v>1</v>
      </c>
      <c r="F6015" s="30">
        <v>0</v>
      </c>
      <c r="G6015" s="53">
        <f t="shared" si="578"/>
        <v>0</v>
      </c>
      <c r="H6015" s="38">
        <f>SUM(G6015:G6015)</f>
        <v>0</v>
      </c>
      <c r="I6015" s="39"/>
      <c r="J6015" s="152">
        <v>0</v>
      </c>
      <c r="L6015" s="215">
        <v>1</v>
      </c>
      <c r="M6015" s="30">
        <v>0</v>
      </c>
      <c r="N6015" s="53">
        <f t="shared" si="579"/>
        <v>0</v>
      </c>
      <c r="O6015" s="38">
        <f>SUM(N6015:N6015)</f>
        <v>0</v>
      </c>
      <c r="P6015" s="36" t="str">
        <f t="shared" si="574"/>
        <v/>
      </c>
      <c r="Q6015" s="216" t="e">
        <f t="shared" si="575"/>
        <v>#DIV/0!</v>
      </c>
      <c r="R6015" s="216" t="e">
        <f t="shared" si="576"/>
        <v>#DIV/0!</v>
      </c>
      <c r="S6015" s="217" t="e">
        <f t="shared" si="577"/>
        <v>#DIV/0!</v>
      </c>
    </row>
    <row r="6016" spans="1:19" ht="15.75" hidden="1" thickBot="1" x14ac:dyDescent="0.3">
      <c r="A6016" s="258"/>
      <c r="B6016" s="261"/>
      <c r="C6016" s="54"/>
      <c r="D6016" s="155"/>
      <c r="E6016" s="65"/>
      <c r="F6016" s="75" t="s">
        <v>416</v>
      </c>
      <c r="G6016" s="75" t="str">
        <f t="shared" si="578"/>
        <v/>
      </c>
      <c r="H6016" s="76"/>
      <c r="I6016" s="73"/>
      <c r="J6016" s="152">
        <v>0</v>
      </c>
      <c r="L6016" s="222"/>
      <c r="M6016" s="75"/>
      <c r="N6016" s="75" t="str">
        <f t="shared" si="579"/>
        <v/>
      </c>
      <c r="O6016" s="76"/>
      <c r="P6016" s="36" t="str">
        <f t="shared" si="574"/>
        <v/>
      </c>
      <c r="Q6016" s="216" t="str">
        <f t="shared" si="575"/>
        <v/>
      </c>
      <c r="R6016" s="216" t="str">
        <f t="shared" si="576"/>
        <v/>
      </c>
      <c r="S6016" s="217" t="str">
        <f t="shared" si="577"/>
        <v/>
      </c>
    </row>
    <row r="6017" spans="1:19" ht="15.75" hidden="1" thickBot="1" x14ac:dyDescent="0.3">
      <c r="A6017" s="256" t="s">
        <v>4707</v>
      </c>
      <c r="B6017" s="259" t="str">
        <f>INDEX(Orçamentária!A:B,MATCH(Composições!A6017,Orçamentária!A:A,0),2)</f>
        <v>Base fusível NH 3</v>
      </c>
      <c r="C6017" s="40"/>
      <c r="D6017" s="25" t="s">
        <v>16</v>
      </c>
      <c r="E6017" s="26"/>
      <c r="F6017" s="48" t="s">
        <v>416</v>
      </c>
      <c r="G6017" s="27" t="str">
        <f t="shared" si="578"/>
        <v/>
      </c>
      <c r="H6017" s="28"/>
      <c r="I6017" s="29"/>
      <c r="J6017" s="152">
        <v>0</v>
      </c>
      <c r="L6017" s="218"/>
      <c r="M6017" s="48"/>
      <c r="N6017" s="27" t="str">
        <f t="shared" si="579"/>
        <v/>
      </c>
      <c r="O6017" s="28"/>
      <c r="P6017" s="36" t="str">
        <f t="shared" si="574"/>
        <v/>
      </c>
      <c r="Q6017" s="216" t="str">
        <f t="shared" si="575"/>
        <v/>
      </c>
      <c r="R6017" s="216" t="str">
        <f t="shared" si="576"/>
        <v/>
      </c>
      <c r="S6017" s="217" t="str">
        <f t="shared" si="577"/>
        <v/>
      </c>
    </row>
    <row r="6018" spans="1:19" ht="15.75" hidden="1" thickBot="1" x14ac:dyDescent="0.3">
      <c r="A6018" s="257"/>
      <c r="B6018" s="260"/>
      <c r="C6018" s="31"/>
      <c r="D6018" s="31"/>
      <c r="E6018" s="32"/>
      <c r="F6018" s="53" t="s">
        <v>416</v>
      </c>
      <c r="G6018" s="53" t="str">
        <f t="shared" si="578"/>
        <v/>
      </c>
      <c r="H6018" s="72"/>
      <c r="I6018" s="73"/>
      <c r="J6018" s="152">
        <v>0</v>
      </c>
      <c r="L6018" s="219"/>
      <c r="M6018" s="53"/>
      <c r="N6018" s="53" t="str">
        <f t="shared" si="579"/>
        <v/>
      </c>
      <c r="O6018" s="72"/>
      <c r="P6018" s="36" t="str">
        <f t="shared" si="574"/>
        <v/>
      </c>
      <c r="Q6018" s="216" t="str">
        <f t="shared" si="575"/>
        <v/>
      </c>
      <c r="R6018" s="216" t="str">
        <f t="shared" si="576"/>
        <v/>
      </c>
      <c r="S6018" s="217" t="str">
        <f t="shared" si="577"/>
        <v/>
      </c>
    </row>
    <row r="6019" spans="1:19" ht="26.25" hidden="1" thickBot="1" x14ac:dyDescent="0.3">
      <c r="A6019" s="257"/>
      <c r="B6019" s="260"/>
      <c r="C6019" s="35" t="s">
        <v>5535</v>
      </c>
      <c r="D6019" s="35" t="s">
        <v>16</v>
      </c>
      <c r="E6019" s="36">
        <v>1</v>
      </c>
      <c r="F6019" s="30">
        <v>0</v>
      </c>
      <c r="G6019" s="53">
        <f t="shared" si="578"/>
        <v>0</v>
      </c>
      <c r="H6019" s="38">
        <f>SUM(G6019:G6019)</f>
        <v>0</v>
      </c>
      <c r="I6019" s="39"/>
      <c r="J6019" s="152">
        <v>0</v>
      </c>
      <c r="L6019" s="215">
        <v>1</v>
      </c>
      <c r="M6019" s="30">
        <v>0</v>
      </c>
      <c r="N6019" s="53">
        <f t="shared" si="579"/>
        <v>0</v>
      </c>
      <c r="O6019" s="38">
        <f>SUM(N6019:N6019)</f>
        <v>0</v>
      </c>
      <c r="P6019" s="36" t="str">
        <f t="shared" si="574"/>
        <v/>
      </c>
      <c r="Q6019" s="216" t="e">
        <f t="shared" si="575"/>
        <v>#DIV/0!</v>
      </c>
      <c r="R6019" s="216" t="e">
        <f t="shared" si="576"/>
        <v>#DIV/0!</v>
      </c>
      <c r="S6019" s="217" t="e">
        <f t="shared" si="577"/>
        <v>#DIV/0!</v>
      </c>
    </row>
    <row r="6020" spans="1:19" ht="15.75" hidden="1" thickBot="1" x14ac:dyDescent="0.3">
      <c r="A6020" s="258"/>
      <c r="B6020" s="261"/>
      <c r="C6020" s="54"/>
      <c r="D6020" s="155"/>
      <c r="E6020" s="65"/>
      <c r="F6020" s="75" t="s">
        <v>416</v>
      </c>
      <c r="G6020" s="75" t="str">
        <f t="shared" si="578"/>
        <v/>
      </c>
      <c r="H6020" s="76"/>
      <c r="I6020" s="73"/>
      <c r="J6020" s="152">
        <v>0</v>
      </c>
      <c r="L6020" s="222"/>
      <c r="M6020" s="75"/>
      <c r="N6020" s="75" t="str">
        <f t="shared" si="579"/>
        <v/>
      </c>
      <c r="O6020" s="76"/>
      <c r="P6020" s="36" t="str">
        <f t="shared" si="574"/>
        <v/>
      </c>
      <c r="Q6020" s="216" t="str">
        <f t="shared" si="575"/>
        <v/>
      </c>
      <c r="R6020" s="216" t="str">
        <f t="shared" si="576"/>
        <v/>
      </c>
      <c r="S6020" s="217" t="str">
        <f t="shared" si="577"/>
        <v/>
      </c>
    </row>
    <row r="6021" spans="1:19" ht="15.75" hidden="1" thickBot="1" x14ac:dyDescent="0.3">
      <c r="A6021" s="256" t="s">
        <v>4708</v>
      </c>
      <c r="B6021" s="259" t="str">
        <f>INDEX(Orçamentária!A:B,MATCH(Composições!A6021,Orçamentária!A:A,0),2)</f>
        <v>Fusível NH 000</v>
      </c>
      <c r="C6021" s="40"/>
      <c r="D6021" s="25" t="s">
        <v>16</v>
      </c>
      <c r="E6021" s="26"/>
      <c r="F6021" s="48" t="s">
        <v>416</v>
      </c>
      <c r="G6021" s="27" t="str">
        <f t="shared" si="578"/>
        <v/>
      </c>
      <c r="H6021" s="28"/>
      <c r="I6021" s="29"/>
      <c r="J6021" s="152">
        <v>0</v>
      </c>
      <c r="L6021" s="218"/>
      <c r="M6021" s="48"/>
      <c r="N6021" s="27" t="str">
        <f t="shared" si="579"/>
        <v/>
      </c>
      <c r="O6021" s="28"/>
      <c r="P6021" s="36" t="str">
        <f t="shared" si="574"/>
        <v/>
      </c>
      <c r="Q6021" s="216" t="str">
        <f t="shared" si="575"/>
        <v/>
      </c>
      <c r="R6021" s="216" t="str">
        <f t="shared" si="576"/>
        <v/>
      </c>
      <c r="S6021" s="217" t="str">
        <f t="shared" si="577"/>
        <v/>
      </c>
    </row>
    <row r="6022" spans="1:19" ht="15.75" hidden="1" thickBot="1" x14ac:dyDescent="0.3">
      <c r="A6022" s="257"/>
      <c r="B6022" s="260"/>
      <c r="C6022" s="31"/>
      <c r="D6022" s="31"/>
      <c r="E6022" s="32"/>
      <c r="F6022" s="53" t="s">
        <v>416</v>
      </c>
      <c r="G6022" s="53" t="str">
        <f t="shared" si="578"/>
        <v/>
      </c>
      <c r="H6022" s="72"/>
      <c r="I6022" s="73"/>
      <c r="J6022" s="152">
        <v>0</v>
      </c>
      <c r="L6022" s="219"/>
      <c r="M6022" s="53"/>
      <c r="N6022" s="53" t="str">
        <f t="shared" si="579"/>
        <v/>
      </c>
      <c r="O6022" s="72"/>
      <c r="P6022" s="36" t="str">
        <f t="shared" si="574"/>
        <v/>
      </c>
      <c r="Q6022" s="216" t="str">
        <f t="shared" si="575"/>
        <v/>
      </c>
      <c r="R6022" s="216" t="str">
        <f t="shared" si="576"/>
        <v/>
      </c>
      <c r="S6022" s="217" t="str">
        <f t="shared" si="577"/>
        <v/>
      </c>
    </row>
    <row r="6023" spans="1:19" ht="15.75" hidden="1" thickBot="1" x14ac:dyDescent="0.3">
      <c r="A6023" s="257"/>
      <c r="B6023" s="260"/>
      <c r="C6023" s="35" t="s">
        <v>5536</v>
      </c>
      <c r="D6023" s="35" t="s">
        <v>16</v>
      </c>
      <c r="E6023" s="36">
        <v>1</v>
      </c>
      <c r="F6023" s="30">
        <v>0</v>
      </c>
      <c r="G6023" s="53">
        <f t="shared" si="578"/>
        <v>0</v>
      </c>
      <c r="H6023" s="38">
        <f>SUM(G6023:G6023)</f>
        <v>0</v>
      </c>
      <c r="I6023" s="39"/>
      <c r="J6023" s="152">
        <v>0</v>
      </c>
      <c r="L6023" s="215">
        <v>1</v>
      </c>
      <c r="M6023" s="30">
        <v>0</v>
      </c>
      <c r="N6023" s="53">
        <f t="shared" si="579"/>
        <v>0</v>
      </c>
      <c r="O6023" s="38">
        <f>SUM(N6023:N6023)</f>
        <v>0</v>
      </c>
      <c r="P6023" s="36" t="str">
        <f t="shared" si="574"/>
        <v/>
      </c>
      <c r="Q6023" s="216" t="e">
        <f t="shared" si="575"/>
        <v>#DIV/0!</v>
      </c>
      <c r="R6023" s="216" t="e">
        <f t="shared" si="576"/>
        <v>#DIV/0!</v>
      </c>
      <c r="S6023" s="217" t="e">
        <f t="shared" si="577"/>
        <v>#DIV/0!</v>
      </c>
    </row>
    <row r="6024" spans="1:19" ht="15.75" hidden="1" thickBot="1" x14ac:dyDescent="0.3">
      <c r="A6024" s="258"/>
      <c r="B6024" s="261"/>
      <c r="C6024" s="54"/>
      <c r="D6024" s="155"/>
      <c r="E6024" s="65"/>
      <c r="F6024" s="75" t="s">
        <v>416</v>
      </c>
      <c r="G6024" s="75" t="str">
        <f t="shared" si="578"/>
        <v/>
      </c>
      <c r="H6024" s="76"/>
      <c r="I6024" s="73"/>
      <c r="J6024" s="152">
        <v>0</v>
      </c>
      <c r="L6024" s="222"/>
      <c r="M6024" s="75"/>
      <c r="N6024" s="75" t="str">
        <f t="shared" si="579"/>
        <v/>
      </c>
      <c r="O6024" s="76"/>
      <c r="P6024" s="36" t="str">
        <f t="shared" ref="P6024:P6087" si="580">IF(ISBLANK(L6024),"",IF($E6024&lt;&gt;L6024,"SIM",""))</f>
        <v/>
      </c>
      <c r="Q6024" s="216" t="str">
        <f t="shared" ref="Q6024:Q6087" si="581">IF(M6024="","",1-M6024/$F6024)</f>
        <v/>
      </c>
      <c r="R6024" s="216" t="str">
        <f t="shared" ref="R6024:R6087" si="582">IF(N6024="","",1-N6024/$G6024)</f>
        <v/>
      </c>
      <c r="S6024" s="217" t="str">
        <f t="shared" ref="S6024:S6087" si="583">IF(O6024="","",1-O6024/$H6024)</f>
        <v/>
      </c>
    </row>
    <row r="6025" spans="1:19" ht="15.75" hidden="1" thickBot="1" x14ac:dyDescent="0.3">
      <c r="A6025" s="256" t="s">
        <v>4710</v>
      </c>
      <c r="B6025" s="259" t="str">
        <f>INDEX(Orçamentária!A:B,MATCH(Composições!A6025,Orçamentária!A:A,0),2)</f>
        <v>Fusível NH 1</v>
      </c>
      <c r="C6025" s="40"/>
      <c r="D6025" s="25" t="s">
        <v>16</v>
      </c>
      <c r="E6025" s="26"/>
      <c r="F6025" s="48" t="s">
        <v>416</v>
      </c>
      <c r="G6025" s="27" t="str">
        <f t="shared" si="578"/>
        <v/>
      </c>
      <c r="H6025" s="28"/>
      <c r="I6025" s="29"/>
      <c r="J6025" s="152">
        <v>0</v>
      </c>
      <c r="L6025" s="218"/>
      <c r="M6025" s="48"/>
      <c r="N6025" s="27" t="str">
        <f t="shared" si="579"/>
        <v/>
      </c>
      <c r="O6025" s="28"/>
      <c r="P6025" s="36" t="str">
        <f t="shared" si="580"/>
        <v/>
      </c>
      <c r="Q6025" s="216" t="str">
        <f t="shared" si="581"/>
        <v/>
      </c>
      <c r="R6025" s="216" t="str">
        <f t="shared" si="582"/>
        <v/>
      </c>
      <c r="S6025" s="217" t="str">
        <f t="shared" si="583"/>
        <v/>
      </c>
    </row>
    <row r="6026" spans="1:19" ht="15.75" hidden="1" thickBot="1" x14ac:dyDescent="0.3">
      <c r="A6026" s="257"/>
      <c r="B6026" s="260"/>
      <c r="C6026" s="31"/>
      <c r="D6026" s="31"/>
      <c r="E6026" s="32"/>
      <c r="F6026" s="53" t="s">
        <v>416</v>
      </c>
      <c r="G6026" s="53" t="str">
        <f t="shared" si="578"/>
        <v/>
      </c>
      <c r="H6026" s="72"/>
      <c r="I6026" s="73"/>
      <c r="J6026" s="152">
        <v>0</v>
      </c>
      <c r="L6026" s="219"/>
      <c r="M6026" s="53"/>
      <c r="N6026" s="53" t="str">
        <f t="shared" si="579"/>
        <v/>
      </c>
      <c r="O6026" s="72"/>
      <c r="P6026" s="36" t="str">
        <f t="shared" si="580"/>
        <v/>
      </c>
      <c r="Q6026" s="216" t="str">
        <f t="shared" si="581"/>
        <v/>
      </c>
      <c r="R6026" s="216" t="str">
        <f t="shared" si="582"/>
        <v/>
      </c>
      <c r="S6026" s="217" t="str">
        <f t="shared" si="583"/>
        <v/>
      </c>
    </row>
    <row r="6027" spans="1:19" ht="15.75" hidden="1" thickBot="1" x14ac:dyDescent="0.3">
      <c r="A6027" s="257"/>
      <c r="B6027" s="260"/>
      <c r="C6027" s="35" t="s">
        <v>5537</v>
      </c>
      <c r="D6027" s="35" t="s">
        <v>16</v>
      </c>
      <c r="E6027" s="36">
        <v>1</v>
      </c>
      <c r="F6027" s="30">
        <v>0</v>
      </c>
      <c r="G6027" s="53">
        <f t="shared" si="578"/>
        <v>0</v>
      </c>
      <c r="H6027" s="38">
        <f>SUM(G6027:G6027)</f>
        <v>0</v>
      </c>
      <c r="I6027" s="39"/>
      <c r="J6027" s="152">
        <v>0</v>
      </c>
      <c r="L6027" s="215">
        <v>1</v>
      </c>
      <c r="M6027" s="30">
        <v>0</v>
      </c>
      <c r="N6027" s="53">
        <f t="shared" si="579"/>
        <v>0</v>
      </c>
      <c r="O6027" s="38">
        <f>SUM(N6027:N6027)</f>
        <v>0</v>
      </c>
      <c r="P6027" s="36" t="str">
        <f t="shared" si="580"/>
        <v/>
      </c>
      <c r="Q6027" s="216" t="e">
        <f t="shared" si="581"/>
        <v>#DIV/0!</v>
      </c>
      <c r="R6027" s="216" t="e">
        <f t="shared" si="582"/>
        <v>#DIV/0!</v>
      </c>
      <c r="S6027" s="217" t="e">
        <f t="shared" si="583"/>
        <v>#DIV/0!</v>
      </c>
    </row>
    <row r="6028" spans="1:19" ht="15.75" hidden="1" thickBot="1" x14ac:dyDescent="0.3">
      <c r="A6028" s="258"/>
      <c r="B6028" s="261"/>
      <c r="C6028" s="54"/>
      <c r="D6028" s="155"/>
      <c r="E6028" s="65"/>
      <c r="F6028" s="75" t="s">
        <v>416</v>
      </c>
      <c r="G6028" s="75" t="str">
        <f t="shared" si="578"/>
        <v/>
      </c>
      <c r="H6028" s="76"/>
      <c r="I6028" s="73"/>
      <c r="J6028" s="152">
        <v>0</v>
      </c>
      <c r="L6028" s="222"/>
      <c r="M6028" s="75"/>
      <c r="N6028" s="75" t="str">
        <f t="shared" si="579"/>
        <v/>
      </c>
      <c r="O6028" s="76"/>
      <c r="P6028" s="36" t="str">
        <f t="shared" si="580"/>
        <v/>
      </c>
      <c r="Q6028" s="216" t="str">
        <f t="shared" si="581"/>
        <v/>
      </c>
      <c r="R6028" s="216" t="str">
        <f t="shared" si="582"/>
        <v/>
      </c>
      <c r="S6028" s="217" t="str">
        <f t="shared" si="583"/>
        <v/>
      </c>
    </row>
    <row r="6029" spans="1:19" ht="15.75" hidden="1" thickBot="1" x14ac:dyDescent="0.3">
      <c r="A6029" s="256" t="s">
        <v>4712</v>
      </c>
      <c r="B6029" s="259" t="str">
        <f>INDEX(Orçamentária!A:B,MATCH(Composições!A6029,Orçamentária!A:A,0),2)</f>
        <v>Fusível NH 2</v>
      </c>
      <c r="C6029" s="40"/>
      <c r="D6029" s="25" t="s">
        <v>16</v>
      </c>
      <c r="E6029" s="26"/>
      <c r="F6029" s="48" t="s">
        <v>416</v>
      </c>
      <c r="G6029" s="27" t="str">
        <f t="shared" si="578"/>
        <v/>
      </c>
      <c r="H6029" s="28"/>
      <c r="I6029" s="29"/>
      <c r="J6029" s="152">
        <v>0</v>
      </c>
      <c r="L6029" s="218"/>
      <c r="M6029" s="48"/>
      <c r="N6029" s="27" t="str">
        <f t="shared" si="579"/>
        <v/>
      </c>
      <c r="O6029" s="28"/>
      <c r="P6029" s="36" t="str">
        <f t="shared" si="580"/>
        <v/>
      </c>
      <c r="Q6029" s="216" t="str">
        <f t="shared" si="581"/>
        <v/>
      </c>
      <c r="R6029" s="216" t="str">
        <f t="shared" si="582"/>
        <v/>
      </c>
      <c r="S6029" s="217" t="str">
        <f t="shared" si="583"/>
        <v/>
      </c>
    </row>
    <row r="6030" spans="1:19" ht="15.75" hidden="1" thickBot="1" x14ac:dyDescent="0.3">
      <c r="A6030" s="257"/>
      <c r="B6030" s="260"/>
      <c r="C6030" s="31"/>
      <c r="D6030" s="31"/>
      <c r="E6030" s="32"/>
      <c r="F6030" s="53" t="s">
        <v>416</v>
      </c>
      <c r="G6030" s="53" t="str">
        <f t="shared" si="578"/>
        <v/>
      </c>
      <c r="H6030" s="72"/>
      <c r="I6030" s="73"/>
      <c r="J6030" s="152">
        <v>0</v>
      </c>
      <c r="L6030" s="219"/>
      <c r="M6030" s="53"/>
      <c r="N6030" s="53" t="str">
        <f t="shared" si="579"/>
        <v/>
      </c>
      <c r="O6030" s="72"/>
      <c r="P6030" s="36" t="str">
        <f t="shared" si="580"/>
        <v/>
      </c>
      <c r="Q6030" s="216" t="str">
        <f t="shared" si="581"/>
        <v/>
      </c>
      <c r="R6030" s="216" t="str">
        <f t="shared" si="582"/>
        <v/>
      </c>
      <c r="S6030" s="217" t="str">
        <f t="shared" si="583"/>
        <v/>
      </c>
    </row>
    <row r="6031" spans="1:19" ht="15.75" hidden="1" thickBot="1" x14ac:dyDescent="0.3">
      <c r="A6031" s="257"/>
      <c r="B6031" s="260"/>
      <c r="C6031" s="35" t="s">
        <v>5538</v>
      </c>
      <c r="D6031" s="35" t="s">
        <v>16</v>
      </c>
      <c r="E6031" s="36">
        <v>1</v>
      </c>
      <c r="F6031" s="30">
        <v>0</v>
      </c>
      <c r="G6031" s="53">
        <f t="shared" si="578"/>
        <v>0</v>
      </c>
      <c r="H6031" s="38">
        <f>SUM(G6031:G6031)</f>
        <v>0</v>
      </c>
      <c r="I6031" s="39"/>
      <c r="J6031" s="152">
        <v>0</v>
      </c>
      <c r="L6031" s="215">
        <v>1</v>
      </c>
      <c r="M6031" s="30">
        <v>0</v>
      </c>
      <c r="N6031" s="53">
        <f t="shared" si="579"/>
        <v>0</v>
      </c>
      <c r="O6031" s="38">
        <f>SUM(N6031:N6031)</f>
        <v>0</v>
      </c>
      <c r="P6031" s="36" t="str">
        <f t="shared" si="580"/>
        <v/>
      </c>
      <c r="Q6031" s="216" t="e">
        <f t="shared" si="581"/>
        <v>#DIV/0!</v>
      </c>
      <c r="R6031" s="216" t="e">
        <f t="shared" si="582"/>
        <v>#DIV/0!</v>
      </c>
      <c r="S6031" s="217" t="e">
        <f t="shared" si="583"/>
        <v>#DIV/0!</v>
      </c>
    </row>
    <row r="6032" spans="1:19" ht="15.75" hidden="1" thickBot="1" x14ac:dyDescent="0.3">
      <c r="A6032" s="258"/>
      <c r="B6032" s="261"/>
      <c r="C6032" s="54"/>
      <c r="D6032" s="155"/>
      <c r="E6032" s="65"/>
      <c r="F6032" s="75" t="s">
        <v>416</v>
      </c>
      <c r="G6032" s="75" t="str">
        <f t="shared" si="578"/>
        <v/>
      </c>
      <c r="H6032" s="76"/>
      <c r="I6032" s="73"/>
      <c r="J6032" s="152">
        <v>0</v>
      </c>
      <c r="L6032" s="222"/>
      <c r="M6032" s="75"/>
      <c r="N6032" s="75" t="str">
        <f t="shared" si="579"/>
        <v/>
      </c>
      <c r="O6032" s="76"/>
      <c r="P6032" s="36" t="str">
        <f t="shared" si="580"/>
        <v/>
      </c>
      <c r="Q6032" s="216" t="str">
        <f t="shared" si="581"/>
        <v/>
      </c>
      <c r="R6032" s="216" t="str">
        <f t="shared" si="582"/>
        <v/>
      </c>
      <c r="S6032" s="217" t="str">
        <f t="shared" si="583"/>
        <v/>
      </c>
    </row>
    <row r="6033" spans="1:19" ht="15.75" hidden="1" thickBot="1" x14ac:dyDescent="0.3">
      <c r="A6033" s="256" t="s">
        <v>4714</v>
      </c>
      <c r="B6033" s="259" t="str">
        <f>INDEX(Orçamentária!A:B,MATCH(Composições!A6033,Orçamentária!A:A,0),2)</f>
        <v>Fusível NH 3</v>
      </c>
      <c r="C6033" s="40"/>
      <c r="D6033" s="25" t="s">
        <v>16</v>
      </c>
      <c r="E6033" s="26"/>
      <c r="F6033" s="48" t="s">
        <v>416</v>
      </c>
      <c r="G6033" s="27" t="str">
        <f t="shared" si="578"/>
        <v/>
      </c>
      <c r="H6033" s="28"/>
      <c r="I6033" s="29"/>
      <c r="J6033" s="152">
        <v>0</v>
      </c>
      <c r="L6033" s="218"/>
      <c r="M6033" s="48"/>
      <c r="N6033" s="27" t="str">
        <f t="shared" si="579"/>
        <v/>
      </c>
      <c r="O6033" s="28"/>
      <c r="P6033" s="36" t="str">
        <f t="shared" si="580"/>
        <v/>
      </c>
      <c r="Q6033" s="216" t="str">
        <f t="shared" si="581"/>
        <v/>
      </c>
      <c r="R6033" s="216" t="str">
        <f t="shared" si="582"/>
        <v/>
      </c>
      <c r="S6033" s="217" t="str">
        <f t="shared" si="583"/>
        <v/>
      </c>
    </row>
    <row r="6034" spans="1:19" ht="15.75" hidden="1" thickBot="1" x14ac:dyDescent="0.3">
      <c r="A6034" s="257"/>
      <c r="B6034" s="260"/>
      <c r="C6034" s="31"/>
      <c r="D6034" s="31"/>
      <c r="E6034" s="32"/>
      <c r="F6034" s="53" t="s">
        <v>416</v>
      </c>
      <c r="G6034" s="53" t="str">
        <f t="shared" si="578"/>
        <v/>
      </c>
      <c r="H6034" s="72"/>
      <c r="I6034" s="73"/>
      <c r="J6034" s="152">
        <v>0</v>
      </c>
      <c r="L6034" s="219"/>
      <c r="M6034" s="53"/>
      <c r="N6034" s="53" t="str">
        <f t="shared" si="579"/>
        <v/>
      </c>
      <c r="O6034" s="72"/>
      <c r="P6034" s="36" t="str">
        <f t="shared" si="580"/>
        <v/>
      </c>
      <c r="Q6034" s="216" t="str">
        <f t="shared" si="581"/>
        <v/>
      </c>
      <c r="R6034" s="216" t="str">
        <f t="shared" si="582"/>
        <v/>
      </c>
      <c r="S6034" s="217" t="str">
        <f t="shared" si="583"/>
        <v/>
      </c>
    </row>
    <row r="6035" spans="1:19" ht="15.75" hidden="1" thickBot="1" x14ac:dyDescent="0.3">
      <c r="A6035" s="257"/>
      <c r="B6035" s="260"/>
      <c r="C6035" s="35" t="s">
        <v>5539</v>
      </c>
      <c r="D6035" s="35" t="s">
        <v>16</v>
      </c>
      <c r="E6035" s="36">
        <v>1</v>
      </c>
      <c r="F6035" s="30">
        <v>0</v>
      </c>
      <c r="G6035" s="53">
        <f t="shared" si="578"/>
        <v>0</v>
      </c>
      <c r="H6035" s="38">
        <f>SUM(G6035:G6035)</f>
        <v>0</v>
      </c>
      <c r="I6035" s="39"/>
      <c r="J6035" s="152">
        <v>0</v>
      </c>
      <c r="L6035" s="215">
        <v>1</v>
      </c>
      <c r="M6035" s="30">
        <v>0</v>
      </c>
      <c r="N6035" s="53">
        <f t="shared" si="579"/>
        <v>0</v>
      </c>
      <c r="O6035" s="38">
        <f>SUM(N6035:N6035)</f>
        <v>0</v>
      </c>
      <c r="P6035" s="36" t="str">
        <f t="shared" si="580"/>
        <v/>
      </c>
      <c r="Q6035" s="216" t="e">
        <f t="shared" si="581"/>
        <v>#DIV/0!</v>
      </c>
      <c r="R6035" s="216" t="e">
        <f t="shared" si="582"/>
        <v>#DIV/0!</v>
      </c>
      <c r="S6035" s="217" t="e">
        <f t="shared" si="583"/>
        <v>#DIV/0!</v>
      </c>
    </row>
    <row r="6036" spans="1:19" ht="15.75" hidden="1" thickBot="1" x14ac:dyDescent="0.3">
      <c r="A6036" s="258"/>
      <c r="B6036" s="261"/>
      <c r="C6036" s="54"/>
      <c r="D6036" s="155"/>
      <c r="E6036" s="65"/>
      <c r="F6036" s="75" t="s">
        <v>416</v>
      </c>
      <c r="G6036" s="75" t="str">
        <f t="shared" si="578"/>
        <v/>
      </c>
      <c r="H6036" s="76"/>
      <c r="I6036" s="73"/>
      <c r="J6036" s="152">
        <v>0</v>
      </c>
      <c r="L6036" s="222"/>
      <c r="M6036" s="75"/>
      <c r="N6036" s="75" t="str">
        <f t="shared" si="579"/>
        <v/>
      </c>
      <c r="O6036" s="76"/>
      <c r="P6036" s="36" t="str">
        <f t="shared" si="580"/>
        <v/>
      </c>
      <c r="Q6036" s="216" t="str">
        <f t="shared" si="581"/>
        <v/>
      </c>
      <c r="R6036" s="216" t="str">
        <f t="shared" si="582"/>
        <v/>
      </c>
      <c r="S6036" s="217" t="str">
        <f t="shared" si="583"/>
        <v/>
      </c>
    </row>
    <row r="6037" spans="1:19" ht="15.75" hidden="1" thickBot="1" x14ac:dyDescent="0.3">
      <c r="A6037" s="256" t="s">
        <v>4717</v>
      </c>
      <c r="B6037" s="259" t="str">
        <f>INDEX(Orçamentária!A:B,MATCH(Composições!A6037,Orçamentária!A:A,0),2)</f>
        <v>Fusível Diazed</v>
      </c>
      <c r="C6037" s="40"/>
      <c r="D6037" s="25" t="s">
        <v>16</v>
      </c>
      <c r="E6037" s="26"/>
      <c r="F6037" s="48" t="s">
        <v>416</v>
      </c>
      <c r="G6037" s="27" t="str">
        <f t="shared" si="578"/>
        <v/>
      </c>
      <c r="H6037" s="28"/>
      <c r="I6037" s="29"/>
      <c r="J6037" s="152">
        <v>0</v>
      </c>
      <c r="L6037" s="218"/>
      <c r="M6037" s="48"/>
      <c r="N6037" s="27" t="str">
        <f t="shared" si="579"/>
        <v/>
      </c>
      <c r="O6037" s="28"/>
      <c r="P6037" s="36" t="str">
        <f t="shared" si="580"/>
        <v/>
      </c>
      <c r="Q6037" s="216" t="str">
        <f t="shared" si="581"/>
        <v/>
      </c>
      <c r="R6037" s="216" t="str">
        <f t="shared" si="582"/>
        <v/>
      </c>
      <c r="S6037" s="217" t="str">
        <f t="shared" si="583"/>
        <v/>
      </c>
    </row>
    <row r="6038" spans="1:19" ht="15.75" hidden="1" thickBot="1" x14ac:dyDescent="0.3">
      <c r="A6038" s="257"/>
      <c r="B6038" s="260"/>
      <c r="C6038" s="31"/>
      <c r="D6038" s="31"/>
      <c r="E6038" s="32"/>
      <c r="F6038" s="53" t="s">
        <v>416</v>
      </c>
      <c r="G6038" s="53" t="str">
        <f t="shared" si="578"/>
        <v/>
      </c>
      <c r="H6038" s="72"/>
      <c r="I6038" s="73"/>
      <c r="J6038" s="152">
        <v>0</v>
      </c>
      <c r="L6038" s="219"/>
      <c r="M6038" s="53"/>
      <c r="N6038" s="53" t="str">
        <f t="shared" si="579"/>
        <v/>
      </c>
      <c r="O6038" s="72"/>
      <c r="P6038" s="36" t="str">
        <f t="shared" si="580"/>
        <v/>
      </c>
      <c r="Q6038" s="216" t="str">
        <f t="shared" si="581"/>
        <v/>
      </c>
      <c r="R6038" s="216" t="str">
        <f t="shared" si="582"/>
        <v/>
      </c>
      <c r="S6038" s="217" t="str">
        <f t="shared" si="583"/>
        <v/>
      </c>
    </row>
    <row r="6039" spans="1:19" ht="39" hidden="1" thickBot="1" x14ac:dyDescent="0.3">
      <c r="A6039" s="257"/>
      <c r="B6039" s="260"/>
      <c r="C6039" s="35" t="s">
        <v>8173</v>
      </c>
      <c r="D6039" s="35" t="s">
        <v>213</v>
      </c>
      <c r="E6039" s="36">
        <v>1</v>
      </c>
      <c r="F6039" s="30">
        <v>6.4694999999999991</v>
      </c>
      <c r="G6039" s="53">
        <f t="shared" si="578"/>
        <v>6.4694999999999991</v>
      </c>
      <c r="H6039" s="38">
        <f>SUM(G6039:G6039)</f>
        <v>6.4694999999999991</v>
      </c>
      <c r="I6039" s="39"/>
      <c r="J6039" s="152">
        <v>0</v>
      </c>
      <c r="L6039" s="215">
        <v>1</v>
      </c>
      <c r="M6039" s="30">
        <v>5.5378919999999994</v>
      </c>
      <c r="N6039" s="53">
        <f t="shared" si="579"/>
        <v>5.5378919999999994</v>
      </c>
      <c r="O6039" s="38">
        <f>SUM(N6039:N6039)</f>
        <v>5.5378919999999994</v>
      </c>
      <c r="P6039" s="36" t="str">
        <f t="shared" si="580"/>
        <v/>
      </c>
      <c r="Q6039" s="216">
        <f t="shared" si="581"/>
        <v>0.14400000000000002</v>
      </c>
      <c r="R6039" s="216">
        <f t="shared" si="582"/>
        <v>0.14400000000000002</v>
      </c>
      <c r="S6039" s="217">
        <f t="shared" si="583"/>
        <v>0.14400000000000002</v>
      </c>
    </row>
    <row r="6040" spans="1:19" ht="15.75" hidden="1" thickBot="1" x14ac:dyDescent="0.3">
      <c r="A6040" s="258"/>
      <c r="B6040" s="261"/>
      <c r="C6040" s="54"/>
      <c r="D6040" s="155"/>
      <c r="E6040" s="65"/>
      <c r="F6040" s="75" t="s">
        <v>416</v>
      </c>
      <c r="G6040" s="75" t="str">
        <f t="shared" si="578"/>
        <v/>
      </c>
      <c r="H6040" s="76"/>
      <c r="I6040" s="73"/>
      <c r="J6040" s="152">
        <v>0</v>
      </c>
      <c r="L6040" s="222"/>
      <c r="M6040" s="75"/>
      <c r="N6040" s="75" t="str">
        <f t="shared" si="579"/>
        <v/>
      </c>
      <c r="O6040" s="76"/>
      <c r="P6040" s="36" t="str">
        <f t="shared" si="580"/>
        <v/>
      </c>
      <c r="Q6040" s="216" t="str">
        <f t="shared" si="581"/>
        <v/>
      </c>
      <c r="R6040" s="216" t="str">
        <f t="shared" si="582"/>
        <v/>
      </c>
      <c r="S6040" s="217" t="str">
        <f t="shared" si="583"/>
        <v/>
      </c>
    </row>
    <row r="6041" spans="1:19" ht="15.75" hidden="1" thickBot="1" x14ac:dyDescent="0.3">
      <c r="A6041" s="256" t="s">
        <v>4733</v>
      </c>
      <c r="B6041" s="259" t="str">
        <f>INDEX(Orçamentária!A:B,MATCH(Composições!A6041,Orçamentária!A:A,0),2)</f>
        <v>Poste reto 3 m</v>
      </c>
      <c r="C6041" s="40"/>
      <c r="D6041" s="25" t="s">
        <v>16</v>
      </c>
      <c r="E6041" s="26"/>
      <c r="F6041" s="48" t="s">
        <v>416</v>
      </c>
      <c r="G6041" s="27" t="str">
        <f t="shared" si="578"/>
        <v/>
      </c>
      <c r="H6041" s="28"/>
      <c r="I6041" s="29"/>
      <c r="J6041" s="152">
        <v>0</v>
      </c>
      <c r="L6041" s="218"/>
      <c r="M6041" s="48"/>
      <c r="N6041" s="27" t="str">
        <f t="shared" si="579"/>
        <v/>
      </c>
      <c r="O6041" s="28"/>
      <c r="P6041" s="36" t="str">
        <f t="shared" si="580"/>
        <v/>
      </c>
      <c r="Q6041" s="216" t="str">
        <f t="shared" si="581"/>
        <v/>
      </c>
      <c r="R6041" s="216" t="str">
        <f t="shared" si="582"/>
        <v/>
      </c>
      <c r="S6041" s="217" t="str">
        <f t="shared" si="583"/>
        <v/>
      </c>
    </row>
    <row r="6042" spans="1:19" ht="15.75" hidden="1" thickBot="1" x14ac:dyDescent="0.3">
      <c r="A6042" s="257"/>
      <c r="B6042" s="260"/>
      <c r="C6042" s="31"/>
      <c r="D6042" s="31"/>
      <c r="E6042" s="32"/>
      <c r="F6042" s="53" t="s">
        <v>416</v>
      </c>
      <c r="G6042" s="53" t="str">
        <f t="shared" si="578"/>
        <v/>
      </c>
      <c r="H6042" s="72"/>
      <c r="I6042" s="73"/>
      <c r="J6042" s="152">
        <v>0</v>
      </c>
      <c r="L6042" s="219"/>
      <c r="M6042" s="53"/>
      <c r="N6042" s="53" t="str">
        <f t="shared" si="579"/>
        <v/>
      </c>
      <c r="O6042" s="72"/>
      <c r="P6042" s="36" t="str">
        <f t="shared" si="580"/>
        <v/>
      </c>
      <c r="Q6042" s="216" t="str">
        <f t="shared" si="581"/>
        <v/>
      </c>
      <c r="R6042" s="216" t="str">
        <f t="shared" si="582"/>
        <v/>
      </c>
      <c r="S6042" s="217" t="str">
        <f t="shared" si="583"/>
        <v/>
      </c>
    </row>
    <row r="6043" spans="1:19" ht="26.25" hidden="1" thickBot="1" x14ac:dyDescent="0.3">
      <c r="A6043" s="257"/>
      <c r="B6043" s="260"/>
      <c r="C6043" s="35" t="s">
        <v>8536</v>
      </c>
      <c r="D6043" s="35" t="s">
        <v>213</v>
      </c>
      <c r="E6043" s="36">
        <v>1</v>
      </c>
      <c r="F6043" s="30">
        <v>483.02749999999997</v>
      </c>
      <c r="G6043" s="53">
        <f t="shared" si="578"/>
        <v>483.02749999999997</v>
      </c>
      <c r="H6043" s="38">
        <f>SUM(G6043:G6043)</f>
        <v>483.02749999999997</v>
      </c>
      <c r="I6043" s="39"/>
      <c r="J6043" s="152">
        <v>0</v>
      </c>
      <c r="L6043" s="215">
        <v>1</v>
      </c>
      <c r="M6043" s="30">
        <v>413.47154</v>
      </c>
      <c r="N6043" s="53">
        <f t="shared" si="579"/>
        <v>413.47154</v>
      </c>
      <c r="O6043" s="38">
        <f>SUM(N6043:N6043)</f>
        <v>413.47154</v>
      </c>
      <c r="P6043" s="36" t="str">
        <f t="shared" si="580"/>
        <v/>
      </c>
      <c r="Q6043" s="216">
        <f t="shared" si="581"/>
        <v>0.14399999999999991</v>
      </c>
      <c r="R6043" s="216">
        <f t="shared" si="582"/>
        <v>0.14399999999999991</v>
      </c>
      <c r="S6043" s="217">
        <f t="shared" si="583"/>
        <v>0.14399999999999991</v>
      </c>
    </row>
    <row r="6044" spans="1:19" ht="15.75" hidden="1" thickBot="1" x14ac:dyDescent="0.3">
      <c r="A6044" s="258"/>
      <c r="B6044" s="261"/>
      <c r="C6044" s="54"/>
      <c r="D6044" s="155"/>
      <c r="E6044" s="65"/>
      <c r="F6044" s="75" t="s">
        <v>416</v>
      </c>
      <c r="G6044" s="75" t="str">
        <f t="shared" si="578"/>
        <v/>
      </c>
      <c r="H6044" s="76"/>
      <c r="I6044" s="73"/>
      <c r="J6044" s="152">
        <v>0</v>
      </c>
      <c r="L6044" s="222"/>
      <c r="M6044" s="75"/>
      <c r="N6044" s="75" t="str">
        <f t="shared" si="579"/>
        <v/>
      </c>
      <c r="O6044" s="76"/>
      <c r="P6044" s="36" t="str">
        <f t="shared" si="580"/>
        <v/>
      </c>
      <c r="Q6044" s="216" t="str">
        <f t="shared" si="581"/>
        <v/>
      </c>
      <c r="R6044" s="216" t="str">
        <f t="shared" si="582"/>
        <v/>
      </c>
      <c r="S6044" s="217" t="str">
        <f t="shared" si="583"/>
        <v/>
      </c>
    </row>
    <row r="6045" spans="1:19" ht="15.75" hidden="1" thickBot="1" x14ac:dyDescent="0.3">
      <c r="A6045" s="256" t="s">
        <v>4735</v>
      </c>
      <c r="B6045" s="259" t="str">
        <f>INDEX(Orçamentária!A:B,MATCH(Composições!A6045,Orçamentária!A:A,0),2)</f>
        <v>Poste curvo simples 8 m</v>
      </c>
      <c r="C6045" s="40"/>
      <c r="D6045" s="25" t="s">
        <v>16</v>
      </c>
      <c r="E6045" s="26"/>
      <c r="F6045" s="48" t="s">
        <v>416</v>
      </c>
      <c r="G6045" s="27" t="str">
        <f t="shared" si="578"/>
        <v/>
      </c>
      <c r="H6045" s="28"/>
      <c r="I6045" s="29"/>
      <c r="J6045" s="152">
        <v>0</v>
      </c>
      <c r="L6045" s="218"/>
      <c r="M6045" s="48"/>
      <c r="N6045" s="27" t="str">
        <f t="shared" si="579"/>
        <v/>
      </c>
      <c r="O6045" s="28"/>
      <c r="P6045" s="36" t="str">
        <f t="shared" si="580"/>
        <v/>
      </c>
      <c r="Q6045" s="216" t="str">
        <f t="shared" si="581"/>
        <v/>
      </c>
      <c r="R6045" s="216" t="str">
        <f t="shared" si="582"/>
        <v/>
      </c>
      <c r="S6045" s="217" t="str">
        <f t="shared" si="583"/>
        <v/>
      </c>
    </row>
    <row r="6046" spans="1:19" ht="15.75" hidden="1" thickBot="1" x14ac:dyDescent="0.3">
      <c r="A6046" s="257"/>
      <c r="B6046" s="260"/>
      <c r="C6046" s="31"/>
      <c r="D6046" s="31"/>
      <c r="E6046" s="32"/>
      <c r="F6046" s="53" t="s">
        <v>416</v>
      </c>
      <c r="G6046" s="53" t="str">
        <f t="shared" si="578"/>
        <v/>
      </c>
      <c r="H6046" s="72"/>
      <c r="I6046" s="73"/>
      <c r="J6046" s="152">
        <v>0</v>
      </c>
      <c r="L6046" s="219"/>
      <c r="M6046" s="53"/>
      <c r="N6046" s="53" t="str">
        <f t="shared" si="579"/>
        <v/>
      </c>
      <c r="O6046" s="72"/>
      <c r="P6046" s="36" t="str">
        <f t="shared" si="580"/>
        <v/>
      </c>
      <c r="Q6046" s="216" t="str">
        <f t="shared" si="581"/>
        <v/>
      </c>
      <c r="R6046" s="216" t="str">
        <f t="shared" si="582"/>
        <v/>
      </c>
      <c r="S6046" s="217" t="str">
        <f t="shared" si="583"/>
        <v/>
      </c>
    </row>
    <row r="6047" spans="1:19" ht="26.25" hidden="1" thickBot="1" x14ac:dyDescent="0.3">
      <c r="A6047" s="257"/>
      <c r="B6047" s="260"/>
      <c r="C6047" s="35" t="s">
        <v>8537</v>
      </c>
      <c r="D6047" s="35" t="s">
        <v>213</v>
      </c>
      <c r="E6047" s="36">
        <v>1</v>
      </c>
      <c r="F6047" s="30">
        <v>1874.8154999999999</v>
      </c>
      <c r="G6047" s="53">
        <f t="shared" si="578"/>
        <v>1874.8154999999999</v>
      </c>
      <c r="H6047" s="38">
        <f>SUM(G6047:G6047)</f>
        <v>1874.8154999999999</v>
      </c>
      <c r="I6047" s="39"/>
      <c r="J6047" s="152">
        <v>0</v>
      </c>
      <c r="L6047" s="215">
        <v>1</v>
      </c>
      <c r="M6047" s="30">
        <v>1604.8420679999999</v>
      </c>
      <c r="N6047" s="53">
        <f t="shared" si="579"/>
        <v>1604.8420679999999</v>
      </c>
      <c r="O6047" s="38">
        <f>SUM(N6047:N6047)</f>
        <v>1604.8420679999999</v>
      </c>
      <c r="P6047" s="36" t="str">
        <f t="shared" si="580"/>
        <v/>
      </c>
      <c r="Q6047" s="216">
        <f t="shared" si="581"/>
        <v>0.14400000000000002</v>
      </c>
      <c r="R6047" s="216">
        <f t="shared" si="582"/>
        <v>0.14400000000000002</v>
      </c>
      <c r="S6047" s="217">
        <f t="shared" si="583"/>
        <v>0.14400000000000002</v>
      </c>
    </row>
    <row r="6048" spans="1:19" ht="15.75" hidden="1" thickBot="1" x14ac:dyDescent="0.3">
      <c r="A6048" s="258"/>
      <c r="B6048" s="261"/>
      <c r="C6048" s="54"/>
      <c r="D6048" s="155"/>
      <c r="E6048" s="65"/>
      <c r="F6048" s="75" t="s">
        <v>416</v>
      </c>
      <c r="G6048" s="75" t="str">
        <f t="shared" si="578"/>
        <v/>
      </c>
      <c r="H6048" s="76"/>
      <c r="I6048" s="73"/>
      <c r="J6048" s="152">
        <v>0</v>
      </c>
      <c r="L6048" s="222"/>
      <c r="M6048" s="75"/>
      <c r="N6048" s="75" t="str">
        <f t="shared" si="579"/>
        <v/>
      </c>
      <c r="O6048" s="76"/>
      <c r="P6048" s="36" t="str">
        <f t="shared" si="580"/>
        <v/>
      </c>
      <c r="Q6048" s="216" t="str">
        <f t="shared" si="581"/>
        <v/>
      </c>
      <c r="R6048" s="216" t="str">
        <f t="shared" si="582"/>
        <v/>
      </c>
      <c r="S6048" s="217" t="str">
        <f t="shared" si="583"/>
        <v/>
      </c>
    </row>
    <row r="6049" spans="1:19" ht="15.75" hidden="1" thickBot="1" x14ac:dyDescent="0.3">
      <c r="A6049" s="256" t="s">
        <v>4737</v>
      </c>
      <c r="B6049" s="259" t="str">
        <f>INDEX(Orçamentária!A:B,MATCH(Composições!A6049,Orçamentária!A:A,0),2)</f>
        <v>Poste curvo duplo 8 m</v>
      </c>
      <c r="C6049" s="40"/>
      <c r="D6049" s="25" t="s">
        <v>16</v>
      </c>
      <c r="E6049" s="26"/>
      <c r="F6049" s="48" t="s">
        <v>416</v>
      </c>
      <c r="G6049" s="27" t="str">
        <f t="shared" si="578"/>
        <v/>
      </c>
      <c r="H6049" s="28"/>
      <c r="I6049" s="29"/>
      <c r="J6049" s="152">
        <v>0</v>
      </c>
      <c r="L6049" s="218"/>
      <c r="M6049" s="48"/>
      <c r="N6049" s="27" t="str">
        <f t="shared" si="579"/>
        <v/>
      </c>
      <c r="O6049" s="28"/>
      <c r="P6049" s="36" t="str">
        <f t="shared" si="580"/>
        <v/>
      </c>
      <c r="Q6049" s="216" t="str">
        <f t="shared" si="581"/>
        <v/>
      </c>
      <c r="R6049" s="216" t="str">
        <f t="shared" si="582"/>
        <v/>
      </c>
      <c r="S6049" s="217" t="str">
        <f t="shared" si="583"/>
        <v/>
      </c>
    </row>
    <row r="6050" spans="1:19" ht="15.75" hidden="1" thickBot="1" x14ac:dyDescent="0.3">
      <c r="A6050" s="257"/>
      <c r="B6050" s="260"/>
      <c r="C6050" s="31"/>
      <c r="D6050" s="31"/>
      <c r="E6050" s="32"/>
      <c r="F6050" s="53" t="s">
        <v>416</v>
      </c>
      <c r="G6050" s="53" t="str">
        <f t="shared" si="578"/>
        <v/>
      </c>
      <c r="H6050" s="72"/>
      <c r="I6050" s="73"/>
      <c r="J6050" s="152">
        <v>0</v>
      </c>
      <c r="L6050" s="219"/>
      <c r="M6050" s="53"/>
      <c r="N6050" s="53" t="str">
        <f t="shared" si="579"/>
        <v/>
      </c>
      <c r="O6050" s="72"/>
      <c r="P6050" s="36" t="str">
        <f t="shared" si="580"/>
        <v/>
      </c>
      <c r="Q6050" s="216" t="str">
        <f t="shared" si="581"/>
        <v/>
      </c>
      <c r="R6050" s="216" t="str">
        <f t="shared" si="582"/>
        <v/>
      </c>
      <c r="S6050" s="217" t="str">
        <f t="shared" si="583"/>
        <v/>
      </c>
    </row>
    <row r="6051" spans="1:19" ht="26.25" hidden="1" thickBot="1" x14ac:dyDescent="0.3">
      <c r="A6051" s="257"/>
      <c r="B6051" s="260"/>
      <c r="C6051" s="35" t="s">
        <v>8538</v>
      </c>
      <c r="D6051" s="35" t="s">
        <v>213</v>
      </c>
      <c r="E6051" s="36">
        <v>1</v>
      </c>
      <c r="F6051" s="30">
        <v>2207.61</v>
      </c>
      <c r="G6051" s="53">
        <f t="shared" si="578"/>
        <v>2207.61</v>
      </c>
      <c r="H6051" s="38">
        <f>SUM(G6051:G6051)</f>
        <v>2207.61</v>
      </c>
      <c r="I6051" s="39"/>
      <c r="J6051" s="152">
        <v>0</v>
      </c>
      <c r="L6051" s="215">
        <v>1</v>
      </c>
      <c r="M6051" s="30">
        <v>1889.71416</v>
      </c>
      <c r="N6051" s="53">
        <f t="shared" si="579"/>
        <v>1889.71416</v>
      </c>
      <c r="O6051" s="38">
        <f>SUM(N6051:N6051)</f>
        <v>1889.71416</v>
      </c>
      <c r="P6051" s="36" t="str">
        <f t="shared" si="580"/>
        <v/>
      </c>
      <c r="Q6051" s="216">
        <f t="shared" si="581"/>
        <v>0.14400000000000002</v>
      </c>
      <c r="R6051" s="216">
        <f t="shared" si="582"/>
        <v>0.14400000000000002</v>
      </c>
      <c r="S6051" s="217">
        <f t="shared" si="583"/>
        <v>0.14400000000000002</v>
      </c>
    </row>
    <row r="6052" spans="1:19" ht="15.75" hidden="1" thickBot="1" x14ac:dyDescent="0.3">
      <c r="A6052" s="258"/>
      <c r="B6052" s="261"/>
      <c r="C6052" s="54"/>
      <c r="D6052" s="155"/>
      <c r="E6052" s="65"/>
      <c r="F6052" s="75" t="s">
        <v>416</v>
      </c>
      <c r="G6052" s="75" t="str">
        <f t="shared" si="578"/>
        <v/>
      </c>
      <c r="H6052" s="76"/>
      <c r="I6052" s="73"/>
      <c r="J6052" s="152">
        <v>0</v>
      </c>
      <c r="L6052" s="222"/>
      <c r="M6052" s="75"/>
      <c r="N6052" s="75" t="str">
        <f t="shared" si="579"/>
        <v/>
      </c>
      <c r="O6052" s="76"/>
      <c r="P6052" s="36" t="str">
        <f t="shared" si="580"/>
        <v/>
      </c>
      <c r="Q6052" s="216" t="str">
        <f t="shared" si="581"/>
        <v/>
      </c>
      <c r="R6052" s="216" t="str">
        <f t="shared" si="582"/>
        <v/>
      </c>
      <c r="S6052" s="217" t="str">
        <f t="shared" si="583"/>
        <v/>
      </c>
    </row>
    <row r="6053" spans="1:19" ht="15.75" hidden="1" thickBot="1" x14ac:dyDescent="0.3">
      <c r="A6053" s="256" t="s">
        <v>4738</v>
      </c>
      <c r="B6053" s="259" t="str">
        <f>INDEX(Orçamentária!A:B,MATCH(Composições!A6053,Orçamentária!A:A,0),2)</f>
        <v>Braço para iluminação</v>
      </c>
      <c r="C6053" s="40"/>
      <c r="D6053" s="25" t="s">
        <v>16</v>
      </c>
      <c r="E6053" s="26"/>
      <c r="F6053" s="48" t="s">
        <v>416</v>
      </c>
      <c r="G6053" s="27" t="str">
        <f t="shared" si="578"/>
        <v/>
      </c>
      <c r="H6053" s="28"/>
      <c r="I6053" s="29"/>
      <c r="J6053" s="152">
        <v>0</v>
      </c>
      <c r="L6053" s="218"/>
      <c r="M6053" s="48"/>
      <c r="N6053" s="27" t="str">
        <f t="shared" si="579"/>
        <v/>
      </c>
      <c r="O6053" s="28"/>
      <c r="P6053" s="36" t="str">
        <f t="shared" si="580"/>
        <v/>
      </c>
      <c r="Q6053" s="216" t="str">
        <f t="shared" si="581"/>
        <v/>
      </c>
      <c r="R6053" s="216" t="str">
        <f t="shared" si="582"/>
        <v/>
      </c>
      <c r="S6053" s="217" t="str">
        <f t="shared" si="583"/>
        <v/>
      </c>
    </row>
    <row r="6054" spans="1:19" ht="15.75" hidden="1" thickBot="1" x14ac:dyDescent="0.3">
      <c r="A6054" s="257"/>
      <c r="B6054" s="260"/>
      <c r="C6054" s="31"/>
      <c r="D6054" s="31"/>
      <c r="E6054" s="32"/>
      <c r="F6054" s="53" t="s">
        <v>416</v>
      </c>
      <c r="G6054" s="53" t="str">
        <f t="shared" si="578"/>
        <v/>
      </c>
      <c r="H6054" s="72"/>
      <c r="I6054" s="73"/>
      <c r="J6054" s="152">
        <v>0</v>
      </c>
      <c r="L6054" s="219"/>
      <c r="M6054" s="53"/>
      <c r="N6054" s="53" t="str">
        <f t="shared" si="579"/>
        <v/>
      </c>
      <c r="O6054" s="72"/>
      <c r="P6054" s="36" t="str">
        <f t="shared" si="580"/>
        <v/>
      </c>
      <c r="Q6054" s="216" t="str">
        <f t="shared" si="581"/>
        <v/>
      </c>
      <c r="R6054" s="216" t="str">
        <f t="shared" si="582"/>
        <v/>
      </c>
      <c r="S6054" s="217" t="str">
        <f t="shared" si="583"/>
        <v/>
      </c>
    </row>
    <row r="6055" spans="1:19" ht="15.75" hidden="1" thickBot="1" x14ac:dyDescent="0.3">
      <c r="A6055" s="257"/>
      <c r="B6055" s="260"/>
      <c r="C6055" s="35" t="s">
        <v>8009</v>
      </c>
      <c r="D6055" s="35" t="s">
        <v>213</v>
      </c>
      <c r="E6055" s="36">
        <v>1</v>
      </c>
      <c r="F6055" s="30">
        <v>38.475000000000001</v>
      </c>
      <c r="G6055" s="53">
        <f t="shared" si="578"/>
        <v>38.475000000000001</v>
      </c>
      <c r="H6055" s="38">
        <f>SUM(G6055:G6055)</f>
        <v>38.475000000000001</v>
      </c>
      <c r="I6055" s="39"/>
      <c r="J6055" s="152">
        <v>0</v>
      </c>
      <c r="L6055" s="215">
        <v>1</v>
      </c>
      <c r="M6055" s="30">
        <v>32.934600000000003</v>
      </c>
      <c r="N6055" s="53">
        <f t="shared" si="579"/>
        <v>32.934600000000003</v>
      </c>
      <c r="O6055" s="38">
        <f>SUM(N6055:N6055)</f>
        <v>32.934600000000003</v>
      </c>
      <c r="P6055" s="36" t="str">
        <f t="shared" si="580"/>
        <v/>
      </c>
      <c r="Q6055" s="216">
        <f t="shared" si="581"/>
        <v>0.14399999999999991</v>
      </c>
      <c r="R6055" s="216">
        <f t="shared" si="582"/>
        <v>0.14399999999999991</v>
      </c>
      <c r="S6055" s="217">
        <f t="shared" si="583"/>
        <v>0.14399999999999991</v>
      </c>
    </row>
    <row r="6056" spans="1:19" ht="15.75" hidden="1" thickBot="1" x14ac:dyDescent="0.3">
      <c r="A6056" s="258"/>
      <c r="B6056" s="261"/>
      <c r="C6056" s="54"/>
      <c r="D6056" s="155"/>
      <c r="E6056" s="65"/>
      <c r="F6056" s="75" t="s">
        <v>416</v>
      </c>
      <c r="G6056" s="75" t="str">
        <f t="shared" si="578"/>
        <v/>
      </c>
      <c r="H6056" s="76"/>
      <c r="I6056" s="73"/>
      <c r="J6056" s="152">
        <v>0</v>
      </c>
      <c r="L6056" s="222"/>
      <c r="M6056" s="75"/>
      <c r="N6056" s="75" t="str">
        <f t="shared" si="579"/>
        <v/>
      </c>
      <c r="O6056" s="76"/>
      <c r="P6056" s="36" t="str">
        <f t="shared" si="580"/>
        <v/>
      </c>
      <c r="Q6056" s="216" t="str">
        <f t="shared" si="581"/>
        <v/>
      </c>
      <c r="R6056" s="216" t="str">
        <f t="shared" si="582"/>
        <v/>
      </c>
      <c r="S6056" s="217" t="str">
        <f t="shared" si="583"/>
        <v/>
      </c>
    </row>
    <row r="6057" spans="1:19" ht="15.75" hidden="1" thickBot="1" x14ac:dyDescent="0.3">
      <c r="A6057" s="256" t="s">
        <v>4865</v>
      </c>
      <c r="B6057" s="259" t="str">
        <f>INDEX(Orçamentária!A:B,MATCH(Composições!A6057,Orçamentária!A:A,0),2)</f>
        <v>Chumbador 1/4”</v>
      </c>
      <c r="C6057" s="40"/>
      <c r="D6057" s="25" t="s">
        <v>16</v>
      </c>
      <c r="E6057" s="26"/>
      <c r="F6057" s="48" t="s">
        <v>416</v>
      </c>
      <c r="G6057" s="27" t="str">
        <f t="shared" si="578"/>
        <v/>
      </c>
      <c r="H6057" s="28"/>
      <c r="I6057" s="29"/>
      <c r="J6057" s="152">
        <v>0</v>
      </c>
      <c r="L6057" s="218"/>
      <c r="M6057" s="48"/>
      <c r="N6057" s="27" t="str">
        <f t="shared" si="579"/>
        <v/>
      </c>
      <c r="O6057" s="28"/>
      <c r="P6057" s="36" t="str">
        <f t="shared" si="580"/>
        <v/>
      </c>
      <c r="Q6057" s="216" t="str">
        <f t="shared" si="581"/>
        <v/>
      </c>
      <c r="R6057" s="216" t="str">
        <f t="shared" si="582"/>
        <v/>
      </c>
      <c r="S6057" s="217" t="str">
        <f t="shared" si="583"/>
        <v/>
      </c>
    </row>
    <row r="6058" spans="1:19" ht="15.75" hidden="1" thickBot="1" x14ac:dyDescent="0.3">
      <c r="A6058" s="257"/>
      <c r="B6058" s="260"/>
      <c r="C6058" s="31"/>
      <c r="D6058" s="31"/>
      <c r="E6058" s="32"/>
      <c r="F6058" s="53" t="s">
        <v>416</v>
      </c>
      <c r="G6058" s="53" t="str">
        <f t="shared" si="578"/>
        <v/>
      </c>
      <c r="H6058" s="72"/>
      <c r="I6058" s="73"/>
      <c r="J6058" s="152">
        <v>0</v>
      </c>
      <c r="L6058" s="219"/>
      <c r="M6058" s="53"/>
      <c r="N6058" s="53" t="str">
        <f t="shared" si="579"/>
        <v/>
      </c>
      <c r="O6058" s="72"/>
      <c r="P6058" s="36" t="str">
        <f t="shared" si="580"/>
        <v/>
      </c>
      <c r="Q6058" s="216" t="str">
        <f t="shared" si="581"/>
        <v/>
      </c>
      <c r="R6058" s="216" t="str">
        <f t="shared" si="582"/>
        <v/>
      </c>
      <c r="S6058" s="217" t="str">
        <f t="shared" si="583"/>
        <v/>
      </c>
    </row>
    <row r="6059" spans="1:19" ht="15.75" hidden="1" thickBot="1" x14ac:dyDescent="0.3">
      <c r="A6059" s="257"/>
      <c r="B6059" s="260"/>
      <c r="C6059" s="35" t="s">
        <v>8064</v>
      </c>
      <c r="D6059" s="35" t="s">
        <v>213</v>
      </c>
      <c r="E6059" s="36">
        <v>1</v>
      </c>
      <c r="F6059" s="30">
        <v>1.216</v>
      </c>
      <c r="G6059" s="53">
        <f t="shared" si="578"/>
        <v>1.216</v>
      </c>
      <c r="H6059" s="38">
        <f>SUM(G6059:G6059)</f>
        <v>1.216</v>
      </c>
      <c r="I6059" s="39"/>
      <c r="J6059" s="152">
        <v>0</v>
      </c>
      <c r="L6059" s="215">
        <v>1</v>
      </c>
      <c r="M6059" s="30">
        <v>1.040896</v>
      </c>
      <c r="N6059" s="53">
        <f t="shared" si="579"/>
        <v>1.040896</v>
      </c>
      <c r="O6059" s="38">
        <f>SUM(N6059:N6059)</f>
        <v>1.040896</v>
      </c>
      <c r="P6059" s="36" t="str">
        <f t="shared" si="580"/>
        <v/>
      </c>
      <c r="Q6059" s="216">
        <f t="shared" si="581"/>
        <v>0.14399999999999991</v>
      </c>
      <c r="R6059" s="216">
        <f t="shared" si="582"/>
        <v>0.14399999999999991</v>
      </c>
      <c r="S6059" s="217">
        <f t="shared" si="583"/>
        <v>0.14399999999999991</v>
      </c>
    </row>
    <row r="6060" spans="1:19" ht="15.75" hidden="1" thickBot="1" x14ac:dyDescent="0.3">
      <c r="A6060" s="258"/>
      <c r="B6060" s="261"/>
      <c r="C6060" s="54"/>
      <c r="D6060" s="155"/>
      <c r="E6060" s="65"/>
      <c r="F6060" s="75" t="s">
        <v>416</v>
      </c>
      <c r="G6060" s="75" t="str">
        <f t="shared" si="578"/>
        <v/>
      </c>
      <c r="H6060" s="76"/>
      <c r="I6060" s="73"/>
      <c r="J6060" s="152">
        <v>0</v>
      </c>
      <c r="L6060" s="222"/>
      <c r="M6060" s="75"/>
      <c r="N6060" s="75" t="str">
        <f t="shared" si="579"/>
        <v/>
      </c>
      <c r="O6060" s="76"/>
      <c r="P6060" s="36" t="str">
        <f t="shared" si="580"/>
        <v/>
      </c>
      <c r="Q6060" s="216" t="str">
        <f t="shared" si="581"/>
        <v/>
      </c>
      <c r="R6060" s="216" t="str">
        <f t="shared" si="582"/>
        <v/>
      </c>
      <c r="S6060" s="217" t="str">
        <f t="shared" si="583"/>
        <v/>
      </c>
    </row>
    <row r="6061" spans="1:19" ht="15.75" hidden="1" thickBot="1" x14ac:dyDescent="0.3">
      <c r="A6061" s="256" t="s">
        <v>4872</v>
      </c>
      <c r="B6061" s="259" t="str">
        <f>INDEX(Orçamentária!A:B,MATCH(Composições!A6061,Orçamentária!A:A,0),2)</f>
        <v xml:space="preserve">Caixa 4 x 4" de embutir para alvenaria </v>
      </c>
      <c r="C6061" s="40"/>
      <c r="D6061" s="25" t="s">
        <v>16</v>
      </c>
      <c r="E6061" s="26"/>
      <c r="F6061" s="48" t="s">
        <v>416</v>
      </c>
      <c r="G6061" s="27" t="str">
        <f t="shared" si="578"/>
        <v/>
      </c>
      <c r="H6061" s="28"/>
      <c r="I6061" s="29"/>
      <c r="J6061" s="152">
        <v>0</v>
      </c>
      <c r="L6061" s="218"/>
      <c r="M6061" s="48"/>
      <c r="N6061" s="27" t="str">
        <f t="shared" si="579"/>
        <v/>
      </c>
      <c r="O6061" s="28"/>
      <c r="P6061" s="36" t="str">
        <f t="shared" si="580"/>
        <v/>
      </c>
      <c r="Q6061" s="216" t="str">
        <f t="shared" si="581"/>
        <v/>
      </c>
      <c r="R6061" s="216" t="str">
        <f t="shared" si="582"/>
        <v/>
      </c>
      <c r="S6061" s="217" t="str">
        <f t="shared" si="583"/>
        <v/>
      </c>
    </row>
    <row r="6062" spans="1:19" ht="15.75" hidden="1" thickBot="1" x14ac:dyDescent="0.3">
      <c r="A6062" s="257"/>
      <c r="B6062" s="260"/>
      <c r="C6062" s="31"/>
      <c r="D6062" s="31"/>
      <c r="E6062" s="32"/>
      <c r="F6062" s="53" t="s">
        <v>416</v>
      </c>
      <c r="G6062" s="53" t="str">
        <f t="shared" ref="G6062:G6125" si="584">IF(ISNUMBER(F6062),E6062*F6062,"")</f>
        <v/>
      </c>
      <c r="H6062" s="72"/>
      <c r="I6062" s="73"/>
      <c r="J6062" s="152">
        <v>0</v>
      </c>
      <c r="L6062" s="219"/>
      <c r="M6062" s="53"/>
      <c r="N6062" s="53" t="str">
        <f t="shared" ref="N6062:N6125" si="585">IF(ISNUMBER(M6062),L6062*M6062,"")</f>
        <v/>
      </c>
      <c r="O6062" s="72"/>
      <c r="P6062" s="36" t="str">
        <f t="shared" si="580"/>
        <v/>
      </c>
      <c r="Q6062" s="216" t="str">
        <f t="shared" si="581"/>
        <v/>
      </c>
      <c r="R6062" s="216" t="str">
        <f t="shared" si="582"/>
        <v/>
      </c>
      <c r="S6062" s="217" t="str">
        <f t="shared" si="583"/>
        <v/>
      </c>
    </row>
    <row r="6063" spans="1:19" ht="26.25" hidden="1" thickBot="1" x14ac:dyDescent="0.3">
      <c r="A6063" s="257"/>
      <c r="B6063" s="260"/>
      <c r="C6063" s="35" t="s">
        <v>8036</v>
      </c>
      <c r="D6063" s="35" t="s">
        <v>213</v>
      </c>
      <c r="E6063" s="36">
        <v>1</v>
      </c>
      <c r="F6063" s="30">
        <v>6.4409999999999998</v>
      </c>
      <c r="G6063" s="53">
        <f t="shared" si="584"/>
        <v>6.4409999999999998</v>
      </c>
      <c r="H6063" s="38">
        <f>SUM(G6063:G6063)</f>
        <v>6.4409999999999998</v>
      </c>
      <c r="I6063" s="39"/>
      <c r="J6063" s="152">
        <v>0</v>
      </c>
      <c r="L6063" s="215">
        <v>1</v>
      </c>
      <c r="M6063" s="30">
        <v>5.513496</v>
      </c>
      <c r="N6063" s="53">
        <f t="shared" si="585"/>
        <v>5.513496</v>
      </c>
      <c r="O6063" s="38">
        <f>SUM(N6063:N6063)</f>
        <v>5.513496</v>
      </c>
      <c r="P6063" s="36" t="str">
        <f t="shared" si="580"/>
        <v/>
      </c>
      <c r="Q6063" s="216">
        <f t="shared" si="581"/>
        <v>0.14400000000000002</v>
      </c>
      <c r="R6063" s="216">
        <f t="shared" si="582"/>
        <v>0.14400000000000002</v>
      </c>
      <c r="S6063" s="217">
        <f t="shared" si="583"/>
        <v>0.14400000000000002</v>
      </c>
    </row>
    <row r="6064" spans="1:19" ht="15.75" hidden="1" thickBot="1" x14ac:dyDescent="0.3">
      <c r="A6064" s="258"/>
      <c r="B6064" s="261"/>
      <c r="C6064" s="54"/>
      <c r="D6064" s="155"/>
      <c r="E6064" s="65"/>
      <c r="F6064" s="75" t="s">
        <v>416</v>
      </c>
      <c r="G6064" s="75" t="str">
        <f t="shared" si="584"/>
        <v/>
      </c>
      <c r="H6064" s="76"/>
      <c r="I6064" s="73"/>
      <c r="J6064" s="152">
        <v>0</v>
      </c>
      <c r="L6064" s="222"/>
      <c r="M6064" s="75"/>
      <c r="N6064" s="75" t="str">
        <f t="shared" si="585"/>
        <v/>
      </c>
      <c r="O6064" s="76"/>
      <c r="P6064" s="36" t="str">
        <f t="shared" si="580"/>
        <v/>
      </c>
      <c r="Q6064" s="216" t="str">
        <f t="shared" si="581"/>
        <v/>
      </c>
      <c r="R6064" s="216" t="str">
        <f t="shared" si="582"/>
        <v/>
      </c>
      <c r="S6064" s="217" t="str">
        <f t="shared" si="583"/>
        <v/>
      </c>
    </row>
    <row r="6065" spans="1:19" ht="15.75" hidden="1" thickBot="1" x14ac:dyDescent="0.3">
      <c r="A6065" s="256" t="s">
        <v>4871</v>
      </c>
      <c r="B6065" s="259" t="str">
        <f>INDEX(Orçamentária!A:B,MATCH(Composições!A6065,Orçamentária!A:A,0),2)</f>
        <v xml:space="preserve">Caixa 4 x 2" de embutir para alvenaria </v>
      </c>
      <c r="C6065" s="40"/>
      <c r="D6065" s="25" t="s">
        <v>16</v>
      </c>
      <c r="E6065" s="26"/>
      <c r="F6065" s="48" t="s">
        <v>416</v>
      </c>
      <c r="G6065" s="27" t="str">
        <f t="shared" si="584"/>
        <v/>
      </c>
      <c r="H6065" s="28"/>
      <c r="I6065" s="29"/>
      <c r="J6065" s="152">
        <v>0</v>
      </c>
      <c r="L6065" s="218"/>
      <c r="M6065" s="48"/>
      <c r="N6065" s="27" t="str">
        <f t="shared" si="585"/>
        <v/>
      </c>
      <c r="O6065" s="28"/>
      <c r="P6065" s="36" t="str">
        <f t="shared" si="580"/>
        <v/>
      </c>
      <c r="Q6065" s="216" t="str">
        <f t="shared" si="581"/>
        <v/>
      </c>
      <c r="R6065" s="216" t="str">
        <f t="shared" si="582"/>
        <v/>
      </c>
      <c r="S6065" s="217" t="str">
        <f t="shared" si="583"/>
        <v/>
      </c>
    </row>
    <row r="6066" spans="1:19" ht="15.75" hidden="1" thickBot="1" x14ac:dyDescent="0.3">
      <c r="A6066" s="257"/>
      <c r="B6066" s="260"/>
      <c r="C6066" s="31"/>
      <c r="D6066" s="31"/>
      <c r="E6066" s="32"/>
      <c r="F6066" s="53" t="s">
        <v>416</v>
      </c>
      <c r="G6066" s="53" t="str">
        <f t="shared" si="584"/>
        <v/>
      </c>
      <c r="H6066" s="72"/>
      <c r="I6066" s="73"/>
      <c r="J6066" s="152">
        <v>0</v>
      </c>
      <c r="L6066" s="219"/>
      <c r="M6066" s="53"/>
      <c r="N6066" s="53" t="str">
        <f t="shared" si="585"/>
        <v/>
      </c>
      <c r="O6066" s="72"/>
      <c r="P6066" s="36" t="str">
        <f t="shared" si="580"/>
        <v/>
      </c>
      <c r="Q6066" s="216" t="str">
        <f t="shared" si="581"/>
        <v/>
      </c>
      <c r="R6066" s="216" t="str">
        <f t="shared" si="582"/>
        <v/>
      </c>
      <c r="S6066" s="217" t="str">
        <f t="shared" si="583"/>
        <v/>
      </c>
    </row>
    <row r="6067" spans="1:19" ht="26.25" hidden="1" thickBot="1" x14ac:dyDescent="0.3">
      <c r="A6067" s="257"/>
      <c r="B6067" s="260"/>
      <c r="C6067" s="35" t="s">
        <v>8035</v>
      </c>
      <c r="D6067" s="35" t="s">
        <v>213</v>
      </c>
      <c r="E6067" s="36">
        <v>1</v>
      </c>
      <c r="F6067" s="30">
        <v>3.2395</v>
      </c>
      <c r="G6067" s="53">
        <f t="shared" si="584"/>
        <v>3.2395</v>
      </c>
      <c r="H6067" s="38">
        <f>SUM(G6067:G6067)</f>
        <v>3.2395</v>
      </c>
      <c r="I6067" s="39"/>
      <c r="J6067" s="152">
        <v>0</v>
      </c>
      <c r="L6067" s="215">
        <v>1</v>
      </c>
      <c r="M6067" s="30">
        <v>2.773012</v>
      </c>
      <c r="N6067" s="53">
        <f t="shared" si="585"/>
        <v>2.773012</v>
      </c>
      <c r="O6067" s="38">
        <f>SUM(N6067:N6067)</f>
        <v>2.773012</v>
      </c>
      <c r="P6067" s="36" t="str">
        <f t="shared" si="580"/>
        <v/>
      </c>
      <c r="Q6067" s="216">
        <f t="shared" si="581"/>
        <v>0.14400000000000002</v>
      </c>
      <c r="R6067" s="216">
        <f t="shared" si="582"/>
        <v>0.14400000000000002</v>
      </c>
      <c r="S6067" s="217">
        <f t="shared" si="583"/>
        <v>0.14400000000000002</v>
      </c>
    </row>
    <row r="6068" spans="1:19" ht="15.75" hidden="1" thickBot="1" x14ac:dyDescent="0.3">
      <c r="A6068" s="258"/>
      <c r="B6068" s="261"/>
      <c r="C6068" s="54"/>
      <c r="D6068" s="155"/>
      <c r="E6068" s="65"/>
      <c r="F6068" s="75" t="s">
        <v>416</v>
      </c>
      <c r="G6068" s="75" t="str">
        <f t="shared" si="584"/>
        <v/>
      </c>
      <c r="H6068" s="76"/>
      <c r="I6068" s="73"/>
      <c r="J6068" s="152">
        <v>0</v>
      </c>
      <c r="L6068" s="222"/>
      <c r="M6068" s="75"/>
      <c r="N6068" s="75" t="str">
        <f t="shared" si="585"/>
        <v/>
      </c>
      <c r="O6068" s="76"/>
      <c r="P6068" s="36" t="str">
        <f t="shared" si="580"/>
        <v/>
      </c>
      <c r="Q6068" s="216" t="str">
        <f t="shared" si="581"/>
        <v/>
      </c>
      <c r="R6068" s="216" t="str">
        <f t="shared" si="582"/>
        <v/>
      </c>
      <c r="S6068" s="217" t="str">
        <f t="shared" si="583"/>
        <v/>
      </c>
    </row>
    <row r="6069" spans="1:19" ht="15.75" hidden="1" thickBot="1" x14ac:dyDescent="0.3">
      <c r="A6069" s="256" t="s">
        <v>4872</v>
      </c>
      <c r="B6069" s="259" t="str">
        <f>INDEX(Orçamentária!A:B,MATCH(Composições!A6069,Orçamentária!A:A,0),2)</f>
        <v xml:space="preserve">Caixa 4 x 4" de embutir para alvenaria </v>
      </c>
      <c r="C6069" s="40"/>
      <c r="D6069" s="25" t="s">
        <v>16</v>
      </c>
      <c r="E6069" s="26"/>
      <c r="F6069" s="48" t="s">
        <v>416</v>
      </c>
      <c r="G6069" s="27" t="str">
        <f t="shared" si="584"/>
        <v/>
      </c>
      <c r="H6069" s="28"/>
      <c r="I6069" s="29"/>
      <c r="J6069" s="152">
        <v>0</v>
      </c>
      <c r="L6069" s="218"/>
      <c r="M6069" s="48"/>
      <c r="N6069" s="27" t="str">
        <f t="shared" si="585"/>
        <v/>
      </c>
      <c r="O6069" s="28"/>
      <c r="P6069" s="36" t="str">
        <f t="shared" si="580"/>
        <v/>
      </c>
      <c r="Q6069" s="216" t="str">
        <f t="shared" si="581"/>
        <v/>
      </c>
      <c r="R6069" s="216" t="str">
        <f t="shared" si="582"/>
        <v/>
      </c>
      <c r="S6069" s="217" t="str">
        <f t="shared" si="583"/>
        <v/>
      </c>
    </row>
    <row r="6070" spans="1:19" ht="15.75" hidden="1" thickBot="1" x14ac:dyDescent="0.3">
      <c r="A6070" s="257"/>
      <c r="B6070" s="260"/>
      <c r="C6070" s="31"/>
      <c r="D6070" s="31"/>
      <c r="E6070" s="32"/>
      <c r="F6070" s="53" t="s">
        <v>416</v>
      </c>
      <c r="G6070" s="53" t="str">
        <f t="shared" si="584"/>
        <v/>
      </c>
      <c r="H6070" s="72"/>
      <c r="I6070" s="73"/>
      <c r="J6070" s="152">
        <v>0</v>
      </c>
      <c r="L6070" s="219"/>
      <c r="M6070" s="53"/>
      <c r="N6070" s="53" t="str">
        <f t="shared" si="585"/>
        <v/>
      </c>
      <c r="O6070" s="72"/>
      <c r="P6070" s="36" t="str">
        <f t="shared" si="580"/>
        <v/>
      </c>
      <c r="Q6070" s="216" t="str">
        <f t="shared" si="581"/>
        <v/>
      </c>
      <c r="R6070" s="216" t="str">
        <f t="shared" si="582"/>
        <v/>
      </c>
      <c r="S6070" s="217" t="str">
        <f t="shared" si="583"/>
        <v/>
      </c>
    </row>
    <row r="6071" spans="1:19" ht="26.25" hidden="1" thickBot="1" x14ac:dyDescent="0.3">
      <c r="A6071" s="257"/>
      <c r="B6071" s="260"/>
      <c r="C6071" s="35" t="s">
        <v>8036</v>
      </c>
      <c r="D6071" s="35" t="s">
        <v>213</v>
      </c>
      <c r="E6071" s="36">
        <v>1</v>
      </c>
      <c r="F6071" s="30">
        <v>6.4409999999999998</v>
      </c>
      <c r="G6071" s="53">
        <f t="shared" si="584"/>
        <v>6.4409999999999998</v>
      </c>
      <c r="H6071" s="38">
        <f>SUM(G6071:G6071)</f>
        <v>6.4409999999999998</v>
      </c>
      <c r="I6071" s="39"/>
      <c r="J6071" s="152">
        <v>0</v>
      </c>
      <c r="L6071" s="215">
        <v>1</v>
      </c>
      <c r="M6071" s="30">
        <v>5.513496</v>
      </c>
      <c r="N6071" s="53">
        <f t="shared" si="585"/>
        <v>5.513496</v>
      </c>
      <c r="O6071" s="38">
        <f>SUM(N6071:N6071)</f>
        <v>5.513496</v>
      </c>
      <c r="P6071" s="36" t="str">
        <f t="shared" si="580"/>
        <v/>
      </c>
      <c r="Q6071" s="216">
        <f t="shared" si="581"/>
        <v>0.14400000000000002</v>
      </c>
      <c r="R6071" s="216">
        <f t="shared" si="582"/>
        <v>0.14400000000000002</v>
      </c>
      <c r="S6071" s="217">
        <f t="shared" si="583"/>
        <v>0.14400000000000002</v>
      </c>
    </row>
    <row r="6072" spans="1:19" ht="15.75" hidden="1" thickBot="1" x14ac:dyDescent="0.3">
      <c r="A6072" s="258"/>
      <c r="B6072" s="261"/>
      <c r="C6072" s="54"/>
      <c r="D6072" s="155"/>
      <c r="E6072" s="65"/>
      <c r="F6072" s="75" t="s">
        <v>416</v>
      </c>
      <c r="G6072" s="75" t="str">
        <f t="shared" si="584"/>
        <v/>
      </c>
      <c r="H6072" s="76"/>
      <c r="I6072" s="73"/>
      <c r="J6072" s="152">
        <v>0</v>
      </c>
      <c r="L6072" s="222"/>
      <c r="M6072" s="75"/>
      <c r="N6072" s="75" t="str">
        <f t="shared" si="585"/>
        <v/>
      </c>
      <c r="O6072" s="76"/>
      <c r="P6072" s="36" t="str">
        <f t="shared" si="580"/>
        <v/>
      </c>
      <c r="Q6072" s="216" t="str">
        <f t="shared" si="581"/>
        <v/>
      </c>
      <c r="R6072" s="216" t="str">
        <f t="shared" si="582"/>
        <v/>
      </c>
      <c r="S6072" s="217" t="str">
        <f t="shared" si="583"/>
        <v/>
      </c>
    </row>
    <row r="6073" spans="1:19" ht="15.75" hidden="1" thickBot="1" x14ac:dyDescent="0.3">
      <c r="A6073" s="256" t="s">
        <v>4880</v>
      </c>
      <c r="B6073" s="259" t="str">
        <f>INDEX(Orçamentária!A:B,MATCH(Composições!A6073,Orçamentária!A:A,0),2)</f>
        <v>Caixa de passagem em aço 400 x 400 x 150mm</v>
      </c>
      <c r="C6073" s="40"/>
      <c r="D6073" s="25" t="s">
        <v>16</v>
      </c>
      <c r="E6073" s="26"/>
      <c r="F6073" s="48" t="s">
        <v>416</v>
      </c>
      <c r="G6073" s="27" t="str">
        <f t="shared" si="584"/>
        <v/>
      </c>
      <c r="H6073" s="28"/>
      <c r="I6073" s="29"/>
      <c r="J6073" s="152">
        <v>0</v>
      </c>
      <c r="L6073" s="218"/>
      <c r="M6073" s="48"/>
      <c r="N6073" s="27" t="str">
        <f t="shared" si="585"/>
        <v/>
      </c>
      <c r="O6073" s="28"/>
      <c r="P6073" s="36" t="str">
        <f t="shared" si="580"/>
        <v/>
      </c>
      <c r="Q6073" s="216" t="str">
        <f t="shared" si="581"/>
        <v/>
      </c>
      <c r="R6073" s="216" t="str">
        <f t="shared" si="582"/>
        <v/>
      </c>
      <c r="S6073" s="217" t="str">
        <f t="shared" si="583"/>
        <v/>
      </c>
    </row>
    <row r="6074" spans="1:19" ht="15.75" hidden="1" thickBot="1" x14ac:dyDescent="0.3">
      <c r="A6074" s="257"/>
      <c r="B6074" s="260"/>
      <c r="C6074" s="31"/>
      <c r="D6074" s="31"/>
      <c r="E6074" s="32"/>
      <c r="F6074" s="53" t="s">
        <v>416</v>
      </c>
      <c r="G6074" s="53" t="str">
        <f t="shared" si="584"/>
        <v/>
      </c>
      <c r="H6074" s="72"/>
      <c r="I6074" s="73"/>
      <c r="J6074" s="152">
        <v>0</v>
      </c>
      <c r="L6074" s="219"/>
      <c r="M6074" s="53"/>
      <c r="N6074" s="53" t="str">
        <f t="shared" si="585"/>
        <v/>
      </c>
      <c r="O6074" s="72"/>
      <c r="P6074" s="36" t="str">
        <f t="shared" si="580"/>
        <v/>
      </c>
      <c r="Q6074" s="216" t="str">
        <f t="shared" si="581"/>
        <v/>
      </c>
      <c r="R6074" s="216" t="str">
        <f t="shared" si="582"/>
        <v/>
      </c>
      <c r="S6074" s="217" t="str">
        <f t="shared" si="583"/>
        <v/>
      </c>
    </row>
    <row r="6075" spans="1:19" ht="26.25" hidden="1" thickBot="1" x14ac:dyDescent="0.3">
      <c r="A6075" s="257"/>
      <c r="B6075" s="260"/>
      <c r="C6075" s="35" t="s">
        <v>5540</v>
      </c>
      <c r="D6075" s="35" t="s">
        <v>16</v>
      </c>
      <c r="E6075" s="36">
        <v>1</v>
      </c>
      <c r="F6075" s="30">
        <v>0</v>
      </c>
      <c r="G6075" s="53">
        <f t="shared" si="584"/>
        <v>0</v>
      </c>
      <c r="H6075" s="38">
        <f>SUM(G6075:G6075)</f>
        <v>0</v>
      </c>
      <c r="I6075" s="39"/>
      <c r="J6075" s="152">
        <v>0</v>
      </c>
      <c r="L6075" s="215">
        <v>1</v>
      </c>
      <c r="M6075" s="30">
        <v>0</v>
      </c>
      <c r="N6075" s="53">
        <f t="shared" si="585"/>
        <v>0</v>
      </c>
      <c r="O6075" s="38">
        <f>SUM(N6075:N6075)</f>
        <v>0</v>
      </c>
      <c r="P6075" s="36" t="str">
        <f t="shared" si="580"/>
        <v/>
      </c>
      <c r="Q6075" s="216" t="e">
        <f t="shared" si="581"/>
        <v>#DIV/0!</v>
      </c>
      <c r="R6075" s="216" t="e">
        <f t="shared" si="582"/>
        <v>#DIV/0!</v>
      </c>
      <c r="S6075" s="217" t="e">
        <f t="shared" si="583"/>
        <v>#DIV/0!</v>
      </c>
    </row>
    <row r="6076" spans="1:19" ht="15.75" hidden="1" thickBot="1" x14ac:dyDescent="0.3">
      <c r="A6076" s="258"/>
      <c r="B6076" s="261"/>
      <c r="C6076" s="54"/>
      <c r="D6076" s="155"/>
      <c r="E6076" s="65"/>
      <c r="F6076" s="75" t="s">
        <v>416</v>
      </c>
      <c r="G6076" s="75" t="str">
        <f t="shared" si="584"/>
        <v/>
      </c>
      <c r="H6076" s="76"/>
      <c r="I6076" s="73"/>
      <c r="J6076" s="152">
        <v>0</v>
      </c>
      <c r="L6076" s="222"/>
      <c r="M6076" s="75"/>
      <c r="N6076" s="75" t="str">
        <f t="shared" si="585"/>
        <v/>
      </c>
      <c r="O6076" s="76"/>
      <c r="P6076" s="36" t="str">
        <f t="shared" si="580"/>
        <v/>
      </c>
      <c r="Q6076" s="216" t="str">
        <f t="shared" si="581"/>
        <v/>
      </c>
      <c r="R6076" s="216" t="str">
        <f t="shared" si="582"/>
        <v/>
      </c>
      <c r="S6076" s="217" t="str">
        <f t="shared" si="583"/>
        <v/>
      </c>
    </row>
    <row r="6077" spans="1:19" ht="15.75" hidden="1" thickBot="1" x14ac:dyDescent="0.3">
      <c r="A6077" s="256" t="s">
        <v>4883</v>
      </c>
      <c r="B6077" s="259" t="str">
        <f>INDEX(Orçamentária!A:B,MATCH(Composições!A6077,Orçamentária!A:A,0),2)</f>
        <v>Abraçadeira tipo D para eletroduto</v>
      </c>
      <c r="C6077" s="40"/>
      <c r="D6077" s="25" t="s">
        <v>16</v>
      </c>
      <c r="E6077" s="26"/>
      <c r="F6077" s="48" t="s">
        <v>416</v>
      </c>
      <c r="G6077" s="27" t="str">
        <f t="shared" si="584"/>
        <v/>
      </c>
      <c r="H6077" s="28"/>
      <c r="I6077" s="29"/>
      <c r="J6077" s="152">
        <v>0</v>
      </c>
      <c r="L6077" s="218"/>
      <c r="M6077" s="48"/>
      <c r="N6077" s="27" t="str">
        <f t="shared" si="585"/>
        <v/>
      </c>
      <c r="O6077" s="28"/>
      <c r="P6077" s="36" t="str">
        <f t="shared" si="580"/>
        <v/>
      </c>
      <c r="Q6077" s="216" t="str">
        <f t="shared" si="581"/>
        <v/>
      </c>
      <c r="R6077" s="216" t="str">
        <f t="shared" si="582"/>
        <v/>
      </c>
      <c r="S6077" s="217" t="str">
        <f t="shared" si="583"/>
        <v/>
      </c>
    </row>
    <row r="6078" spans="1:19" ht="15.75" hidden="1" thickBot="1" x14ac:dyDescent="0.3">
      <c r="A6078" s="257"/>
      <c r="B6078" s="260"/>
      <c r="C6078" s="31"/>
      <c r="D6078" s="31"/>
      <c r="E6078" s="32"/>
      <c r="F6078" s="53" t="s">
        <v>416</v>
      </c>
      <c r="G6078" s="53" t="str">
        <f t="shared" si="584"/>
        <v/>
      </c>
      <c r="H6078" s="72"/>
      <c r="I6078" s="73"/>
      <c r="J6078" s="152">
        <v>0</v>
      </c>
      <c r="L6078" s="219"/>
      <c r="M6078" s="53"/>
      <c r="N6078" s="53" t="str">
        <f t="shared" si="585"/>
        <v/>
      </c>
      <c r="O6078" s="72"/>
      <c r="P6078" s="36" t="str">
        <f t="shared" si="580"/>
        <v/>
      </c>
      <c r="Q6078" s="216" t="str">
        <f t="shared" si="581"/>
        <v/>
      </c>
      <c r="R6078" s="216" t="str">
        <f t="shared" si="582"/>
        <v/>
      </c>
      <c r="S6078" s="217" t="str">
        <f t="shared" si="583"/>
        <v/>
      </c>
    </row>
    <row r="6079" spans="1:19" ht="26.25" hidden="1" thickBot="1" x14ac:dyDescent="0.3">
      <c r="A6079" s="257"/>
      <c r="B6079" s="260"/>
      <c r="C6079" s="35" t="s">
        <v>7955</v>
      </c>
      <c r="D6079" s="35" t="s">
        <v>213</v>
      </c>
      <c r="E6079" s="36">
        <v>1</v>
      </c>
      <c r="F6079" s="30">
        <v>4.7404999999999999</v>
      </c>
      <c r="G6079" s="53">
        <f t="shared" si="584"/>
        <v>4.7404999999999999</v>
      </c>
      <c r="H6079" s="38">
        <f>SUM(G6079:G6079)</f>
        <v>4.7404999999999999</v>
      </c>
      <c r="I6079" s="39"/>
      <c r="J6079" s="152">
        <v>0</v>
      </c>
      <c r="L6079" s="215">
        <v>1</v>
      </c>
      <c r="M6079" s="30">
        <v>4.057868</v>
      </c>
      <c r="N6079" s="53">
        <f t="shared" si="585"/>
        <v>4.057868</v>
      </c>
      <c r="O6079" s="38">
        <f>SUM(N6079:N6079)</f>
        <v>4.057868</v>
      </c>
      <c r="P6079" s="36" t="str">
        <f t="shared" si="580"/>
        <v/>
      </c>
      <c r="Q6079" s="216">
        <f t="shared" si="581"/>
        <v>0.14400000000000002</v>
      </c>
      <c r="R6079" s="216">
        <f t="shared" si="582"/>
        <v>0.14400000000000002</v>
      </c>
      <c r="S6079" s="217">
        <f t="shared" si="583"/>
        <v>0.14400000000000002</v>
      </c>
    </row>
    <row r="6080" spans="1:19" ht="15.75" hidden="1" thickBot="1" x14ac:dyDescent="0.3">
      <c r="A6080" s="258"/>
      <c r="B6080" s="261"/>
      <c r="C6080" s="54"/>
      <c r="D6080" s="155"/>
      <c r="E6080" s="65"/>
      <c r="F6080" s="75" t="s">
        <v>416</v>
      </c>
      <c r="G6080" s="75" t="str">
        <f t="shared" si="584"/>
        <v/>
      </c>
      <c r="H6080" s="76"/>
      <c r="I6080" s="73"/>
      <c r="J6080" s="152">
        <v>0</v>
      </c>
      <c r="L6080" s="222"/>
      <c r="M6080" s="75"/>
      <c r="N6080" s="75" t="str">
        <f t="shared" si="585"/>
        <v/>
      </c>
      <c r="O6080" s="76"/>
      <c r="P6080" s="36" t="str">
        <f t="shared" si="580"/>
        <v/>
      </c>
      <c r="Q6080" s="216" t="str">
        <f t="shared" si="581"/>
        <v/>
      </c>
      <c r="R6080" s="216" t="str">
        <f t="shared" si="582"/>
        <v/>
      </c>
      <c r="S6080" s="217" t="str">
        <f t="shared" si="583"/>
        <v/>
      </c>
    </row>
    <row r="6081" spans="1:19" ht="15.75" hidden="1" thickBot="1" x14ac:dyDescent="0.3">
      <c r="A6081" s="256" t="s">
        <v>4884</v>
      </c>
      <c r="B6081" s="259" t="str">
        <f>INDEX(Orçamentária!A:B,MATCH(Composições!A6081,Orçamentária!A:A,0),2)</f>
        <v>Abraçadeira tipo copo para eletroduto</v>
      </c>
      <c r="C6081" s="40"/>
      <c r="D6081" s="25" t="s">
        <v>16</v>
      </c>
      <c r="E6081" s="26"/>
      <c r="F6081" s="48" t="s">
        <v>416</v>
      </c>
      <c r="G6081" s="27" t="str">
        <f t="shared" si="584"/>
        <v/>
      </c>
      <c r="H6081" s="28"/>
      <c r="I6081" s="29"/>
      <c r="J6081" s="152">
        <v>0</v>
      </c>
      <c r="L6081" s="218"/>
      <c r="M6081" s="48"/>
      <c r="N6081" s="27" t="str">
        <f t="shared" si="585"/>
        <v/>
      </c>
      <c r="O6081" s="28"/>
      <c r="P6081" s="36" t="str">
        <f t="shared" si="580"/>
        <v/>
      </c>
      <c r="Q6081" s="216" t="str">
        <f t="shared" si="581"/>
        <v/>
      </c>
      <c r="R6081" s="216" t="str">
        <f t="shared" si="582"/>
        <v/>
      </c>
      <c r="S6081" s="217" t="str">
        <f t="shared" si="583"/>
        <v/>
      </c>
    </row>
    <row r="6082" spans="1:19" ht="15.75" hidden="1" thickBot="1" x14ac:dyDescent="0.3">
      <c r="A6082" s="257"/>
      <c r="B6082" s="260"/>
      <c r="C6082" s="31"/>
      <c r="D6082" s="31"/>
      <c r="E6082" s="32"/>
      <c r="F6082" s="53" t="s">
        <v>416</v>
      </c>
      <c r="G6082" s="53" t="str">
        <f t="shared" si="584"/>
        <v/>
      </c>
      <c r="H6082" s="72"/>
      <c r="I6082" s="73"/>
      <c r="J6082" s="152">
        <v>0</v>
      </c>
      <c r="L6082" s="219"/>
      <c r="M6082" s="53"/>
      <c r="N6082" s="53" t="str">
        <f t="shared" si="585"/>
        <v/>
      </c>
      <c r="O6082" s="72"/>
      <c r="P6082" s="36" t="str">
        <f t="shared" si="580"/>
        <v/>
      </c>
      <c r="Q6082" s="216" t="str">
        <f t="shared" si="581"/>
        <v/>
      </c>
      <c r="R6082" s="216" t="str">
        <f t="shared" si="582"/>
        <v/>
      </c>
      <c r="S6082" s="217" t="str">
        <f t="shared" si="583"/>
        <v/>
      </c>
    </row>
    <row r="6083" spans="1:19" ht="15.75" hidden="1" thickBot="1" x14ac:dyDescent="0.3">
      <c r="A6083" s="257"/>
      <c r="B6083" s="260"/>
      <c r="C6083" s="35" t="s">
        <v>5541</v>
      </c>
      <c r="D6083" s="35" t="s">
        <v>16</v>
      </c>
      <c r="E6083" s="36">
        <v>1</v>
      </c>
      <c r="F6083" s="30">
        <v>0</v>
      </c>
      <c r="G6083" s="53">
        <f t="shared" si="584"/>
        <v>0</v>
      </c>
      <c r="H6083" s="38">
        <f>SUM(G6083:G6083)</f>
        <v>0</v>
      </c>
      <c r="I6083" s="39"/>
      <c r="J6083" s="152">
        <v>0</v>
      </c>
      <c r="L6083" s="215">
        <v>1</v>
      </c>
      <c r="M6083" s="30">
        <v>0</v>
      </c>
      <c r="N6083" s="53">
        <f t="shared" si="585"/>
        <v>0</v>
      </c>
      <c r="O6083" s="38">
        <f>SUM(N6083:N6083)</f>
        <v>0</v>
      </c>
      <c r="P6083" s="36" t="str">
        <f t="shared" si="580"/>
        <v/>
      </c>
      <c r="Q6083" s="216" t="e">
        <f t="shared" si="581"/>
        <v>#DIV/0!</v>
      </c>
      <c r="R6083" s="216" t="e">
        <f t="shared" si="582"/>
        <v>#DIV/0!</v>
      </c>
      <c r="S6083" s="217" t="e">
        <f t="shared" si="583"/>
        <v>#DIV/0!</v>
      </c>
    </row>
    <row r="6084" spans="1:19" ht="15.75" hidden="1" thickBot="1" x14ac:dyDescent="0.3">
      <c r="A6084" s="258"/>
      <c r="B6084" s="261"/>
      <c r="C6084" s="54"/>
      <c r="D6084" s="155"/>
      <c r="E6084" s="65"/>
      <c r="F6084" s="75" t="s">
        <v>416</v>
      </c>
      <c r="G6084" s="75" t="str">
        <f t="shared" si="584"/>
        <v/>
      </c>
      <c r="H6084" s="76"/>
      <c r="I6084" s="73"/>
      <c r="J6084" s="152">
        <v>0</v>
      </c>
      <c r="L6084" s="222"/>
      <c r="M6084" s="75"/>
      <c r="N6084" s="75" t="str">
        <f t="shared" si="585"/>
        <v/>
      </c>
      <c r="O6084" s="76"/>
      <c r="P6084" s="36" t="str">
        <f t="shared" si="580"/>
        <v/>
      </c>
      <c r="Q6084" s="216" t="str">
        <f t="shared" si="581"/>
        <v/>
      </c>
      <c r="R6084" s="216" t="str">
        <f t="shared" si="582"/>
        <v/>
      </c>
      <c r="S6084" s="217" t="str">
        <f t="shared" si="583"/>
        <v/>
      </c>
    </row>
    <row r="6085" spans="1:19" ht="15.75" hidden="1" thickBot="1" x14ac:dyDescent="0.3">
      <c r="A6085" s="256" t="s">
        <v>4888</v>
      </c>
      <c r="B6085" s="259" t="str">
        <f>INDEX(Orçamentária!A:B,MATCH(Composições!A6085,Orçamentária!A:A,0),2)</f>
        <v>Tampa cega metálica para caixas de piso 4 x 4"</v>
      </c>
      <c r="C6085" s="40"/>
      <c r="D6085" s="25" t="s">
        <v>16</v>
      </c>
      <c r="E6085" s="26"/>
      <c r="F6085" s="48" t="s">
        <v>416</v>
      </c>
      <c r="G6085" s="27" t="str">
        <f t="shared" si="584"/>
        <v/>
      </c>
      <c r="H6085" s="28"/>
      <c r="I6085" s="29"/>
      <c r="J6085" s="152">
        <v>0</v>
      </c>
      <c r="L6085" s="218"/>
      <c r="M6085" s="48"/>
      <c r="N6085" s="27" t="str">
        <f t="shared" si="585"/>
        <v/>
      </c>
      <c r="O6085" s="28"/>
      <c r="P6085" s="36" t="str">
        <f t="shared" si="580"/>
        <v/>
      </c>
      <c r="Q6085" s="216" t="str">
        <f t="shared" si="581"/>
        <v/>
      </c>
      <c r="R6085" s="216" t="str">
        <f t="shared" si="582"/>
        <v/>
      </c>
      <c r="S6085" s="217" t="str">
        <f t="shared" si="583"/>
        <v/>
      </c>
    </row>
    <row r="6086" spans="1:19" ht="15.75" hidden="1" thickBot="1" x14ac:dyDescent="0.3">
      <c r="A6086" s="257"/>
      <c r="B6086" s="260"/>
      <c r="C6086" s="31"/>
      <c r="D6086" s="31"/>
      <c r="E6086" s="32"/>
      <c r="F6086" s="53" t="s">
        <v>416</v>
      </c>
      <c r="G6086" s="53" t="str">
        <f t="shared" si="584"/>
        <v/>
      </c>
      <c r="H6086" s="72"/>
      <c r="I6086" s="73"/>
      <c r="J6086" s="152">
        <v>0</v>
      </c>
      <c r="L6086" s="219"/>
      <c r="M6086" s="53"/>
      <c r="N6086" s="53" t="str">
        <f t="shared" si="585"/>
        <v/>
      </c>
      <c r="O6086" s="72"/>
      <c r="P6086" s="36" t="str">
        <f t="shared" si="580"/>
        <v/>
      </c>
      <c r="Q6086" s="216" t="str">
        <f t="shared" si="581"/>
        <v/>
      </c>
      <c r="R6086" s="216" t="str">
        <f t="shared" si="582"/>
        <v/>
      </c>
      <c r="S6086" s="217" t="str">
        <f t="shared" si="583"/>
        <v/>
      </c>
    </row>
    <row r="6087" spans="1:19" ht="26.25" hidden="1" thickBot="1" x14ac:dyDescent="0.3">
      <c r="A6087" s="257"/>
      <c r="B6087" s="260"/>
      <c r="C6087" s="35" t="s">
        <v>8325</v>
      </c>
      <c r="D6087" s="35" t="s">
        <v>213</v>
      </c>
      <c r="E6087" s="36">
        <v>1</v>
      </c>
      <c r="F6087" s="30">
        <v>23.75</v>
      </c>
      <c r="G6087" s="53">
        <f t="shared" si="584"/>
        <v>23.75</v>
      </c>
      <c r="H6087" s="38">
        <f>SUM(G6087:G6087)</f>
        <v>23.75</v>
      </c>
      <c r="I6087" s="39"/>
      <c r="J6087" s="152">
        <v>0</v>
      </c>
      <c r="L6087" s="215">
        <v>1</v>
      </c>
      <c r="M6087" s="30">
        <v>20.329999999999998</v>
      </c>
      <c r="N6087" s="53">
        <f t="shared" si="585"/>
        <v>20.329999999999998</v>
      </c>
      <c r="O6087" s="38">
        <f>SUM(N6087:N6087)</f>
        <v>20.329999999999998</v>
      </c>
      <c r="P6087" s="36" t="str">
        <f t="shared" si="580"/>
        <v/>
      </c>
      <c r="Q6087" s="216">
        <f t="shared" si="581"/>
        <v>0.14400000000000002</v>
      </c>
      <c r="R6087" s="216">
        <f t="shared" si="582"/>
        <v>0.14400000000000002</v>
      </c>
      <c r="S6087" s="217">
        <f t="shared" si="583"/>
        <v>0.14400000000000002</v>
      </c>
    </row>
    <row r="6088" spans="1:19" ht="15.75" hidden="1" thickBot="1" x14ac:dyDescent="0.3">
      <c r="A6088" s="258"/>
      <c r="B6088" s="261"/>
      <c r="C6088" s="54"/>
      <c r="D6088" s="155"/>
      <c r="E6088" s="65"/>
      <c r="F6088" s="75" t="s">
        <v>416</v>
      </c>
      <c r="G6088" s="75" t="str">
        <f t="shared" si="584"/>
        <v/>
      </c>
      <c r="H6088" s="76"/>
      <c r="I6088" s="73"/>
      <c r="J6088" s="152">
        <v>0</v>
      </c>
      <c r="L6088" s="222"/>
      <c r="M6088" s="75"/>
      <c r="N6088" s="75" t="str">
        <f t="shared" si="585"/>
        <v/>
      </c>
      <c r="O6088" s="76"/>
      <c r="P6088" s="36" t="str">
        <f t="shared" ref="P6088:P6151" si="586">IF(ISBLANK(L6088),"",IF($E6088&lt;&gt;L6088,"SIM",""))</f>
        <v/>
      </c>
      <c r="Q6088" s="216" t="str">
        <f t="shared" ref="Q6088:Q6151" si="587">IF(M6088="","",1-M6088/$F6088)</f>
        <v/>
      </c>
      <c r="R6088" s="216" t="str">
        <f t="shared" ref="R6088:R6151" si="588">IF(N6088="","",1-N6088/$G6088)</f>
        <v/>
      </c>
      <c r="S6088" s="217" t="str">
        <f t="shared" ref="S6088:S6151" si="589">IF(O6088="","",1-O6088/$H6088)</f>
        <v/>
      </c>
    </row>
    <row r="6089" spans="1:19" ht="15.75" hidden="1" thickBot="1" x14ac:dyDescent="0.3">
      <c r="A6089" s="256" t="s">
        <v>5001</v>
      </c>
      <c r="B6089" s="259" t="str">
        <f>INDEX(Orçamentária!A:B,MATCH(Composições!A6089,Orçamentária!A:A,0),2)</f>
        <v>Quadro termoplástico para 12 disjuntores</v>
      </c>
      <c r="C6089" s="40"/>
      <c r="D6089" s="25" t="s">
        <v>16</v>
      </c>
      <c r="E6089" s="26"/>
      <c r="F6089" s="48" t="s">
        <v>416</v>
      </c>
      <c r="G6089" s="27" t="str">
        <f t="shared" si="584"/>
        <v/>
      </c>
      <c r="H6089" s="28"/>
      <c r="I6089" s="29"/>
      <c r="J6089" s="152">
        <v>0</v>
      </c>
      <c r="L6089" s="218"/>
      <c r="M6089" s="48"/>
      <c r="N6089" s="27" t="str">
        <f t="shared" si="585"/>
        <v/>
      </c>
      <c r="O6089" s="28"/>
      <c r="P6089" s="36" t="str">
        <f t="shared" si="586"/>
        <v/>
      </c>
      <c r="Q6089" s="216" t="str">
        <f t="shared" si="587"/>
        <v/>
      </c>
      <c r="R6089" s="216" t="str">
        <f t="shared" si="588"/>
        <v/>
      </c>
      <c r="S6089" s="217" t="str">
        <f t="shared" si="589"/>
        <v/>
      </c>
    </row>
    <row r="6090" spans="1:19" ht="15.75" hidden="1" thickBot="1" x14ac:dyDescent="0.3">
      <c r="A6090" s="257"/>
      <c r="B6090" s="260"/>
      <c r="C6090" s="31"/>
      <c r="D6090" s="31"/>
      <c r="E6090" s="32"/>
      <c r="F6090" s="53" t="s">
        <v>416</v>
      </c>
      <c r="G6090" s="53" t="str">
        <f t="shared" si="584"/>
        <v/>
      </c>
      <c r="H6090" s="72"/>
      <c r="I6090" s="73"/>
      <c r="J6090" s="152">
        <v>0</v>
      </c>
      <c r="L6090" s="219"/>
      <c r="M6090" s="53"/>
      <c r="N6090" s="53" t="str">
        <f t="shared" si="585"/>
        <v/>
      </c>
      <c r="O6090" s="72"/>
      <c r="P6090" s="36" t="str">
        <f t="shared" si="586"/>
        <v/>
      </c>
      <c r="Q6090" s="216" t="str">
        <f t="shared" si="587"/>
        <v/>
      </c>
      <c r="R6090" s="216" t="str">
        <f t="shared" si="588"/>
        <v/>
      </c>
      <c r="S6090" s="217" t="str">
        <f t="shared" si="589"/>
        <v/>
      </c>
    </row>
    <row r="6091" spans="1:19" ht="39" hidden="1" thickBot="1" x14ac:dyDescent="0.3">
      <c r="A6091" s="257"/>
      <c r="B6091" s="260"/>
      <c r="C6091" s="35" t="s">
        <v>8345</v>
      </c>
      <c r="D6091" s="35" t="s">
        <v>213</v>
      </c>
      <c r="E6091" s="36">
        <v>1</v>
      </c>
      <c r="F6091" s="30">
        <v>193.54349999999999</v>
      </c>
      <c r="G6091" s="53">
        <f t="shared" si="584"/>
        <v>193.54349999999999</v>
      </c>
      <c r="H6091" s="38">
        <f>SUM(G6091:G6091)</f>
        <v>193.54349999999999</v>
      </c>
      <c r="I6091" s="39"/>
      <c r="J6091" s="152">
        <v>0</v>
      </c>
      <c r="L6091" s="215">
        <v>1</v>
      </c>
      <c r="M6091" s="30">
        <v>165.673236</v>
      </c>
      <c r="N6091" s="53">
        <f t="shared" si="585"/>
        <v>165.673236</v>
      </c>
      <c r="O6091" s="38">
        <f>SUM(N6091:N6091)</f>
        <v>165.673236</v>
      </c>
      <c r="P6091" s="36" t="str">
        <f t="shared" si="586"/>
        <v/>
      </c>
      <c r="Q6091" s="216">
        <f t="shared" si="587"/>
        <v>0.14399999999999991</v>
      </c>
      <c r="R6091" s="216">
        <f t="shared" si="588"/>
        <v>0.14399999999999991</v>
      </c>
      <c r="S6091" s="217">
        <f t="shared" si="589"/>
        <v>0.14399999999999991</v>
      </c>
    </row>
    <row r="6092" spans="1:19" ht="15.75" hidden="1" thickBot="1" x14ac:dyDescent="0.3">
      <c r="A6092" s="258"/>
      <c r="B6092" s="261"/>
      <c r="C6092" s="54"/>
      <c r="D6092" s="155"/>
      <c r="E6092" s="65"/>
      <c r="F6092" s="75" t="s">
        <v>416</v>
      </c>
      <c r="G6092" s="75" t="str">
        <f t="shared" si="584"/>
        <v/>
      </c>
      <c r="H6092" s="76"/>
      <c r="I6092" s="73"/>
      <c r="J6092" s="152">
        <v>0</v>
      </c>
      <c r="L6092" s="222"/>
      <c r="M6092" s="75"/>
      <c r="N6092" s="75" t="str">
        <f t="shared" si="585"/>
        <v/>
      </c>
      <c r="O6092" s="76"/>
      <c r="P6092" s="36" t="str">
        <f t="shared" si="586"/>
        <v/>
      </c>
      <c r="Q6092" s="216" t="str">
        <f t="shared" si="587"/>
        <v/>
      </c>
      <c r="R6092" s="216" t="str">
        <f t="shared" si="588"/>
        <v/>
      </c>
      <c r="S6092" s="217" t="str">
        <f t="shared" si="589"/>
        <v/>
      </c>
    </row>
    <row r="6093" spans="1:19" ht="15.75" hidden="1" thickBot="1" x14ac:dyDescent="0.3">
      <c r="A6093" s="256" t="s">
        <v>5002</v>
      </c>
      <c r="B6093" s="259" t="str">
        <f>INDEX(Orçamentária!A:B,MATCH(Composições!A6093,Orçamentária!A:A,0),2)</f>
        <v>Quadro termoplástico para 24 disjuntores</v>
      </c>
      <c r="C6093" s="40"/>
      <c r="D6093" s="25" t="s">
        <v>16</v>
      </c>
      <c r="E6093" s="26"/>
      <c r="F6093" s="48" t="s">
        <v>416</v>
      </c>
      <c r="G6093" s="27" t="str">
        <f t="shared" si="584"/>
        <v/>
      </c>
      <c r="H6093" s="28"/>
      <c r="I6093" s="29"/>
      <c r="J6093" s="152">
        <v>0</v>
      </c>
      <c r="L6093" s="218"/>
      <c r="M6093" s="48"/>
      <c r="N6093" s="27" t="str">
        <f t="shared" si="585"/>
        <v/>
      </c>
      <c r="O6093" s="28"/>
      <c r="P6093" s="36" t="str">
        <f t="shared" si="586"/>
        <v/>
      </c>
      <c r="Q6093" s="216" t="str">
        <f t="shared" si="587"/>
        <v/>
      </c>
      <c r="R6093" s="216" t="str">
        <f t="shared" si="588"/>
        <v/>
      </c>
      <c r="S6093" s="217" t="str">
        <f t="shared" si="589"/>
        <v/>
      </c>
    </row>
    <row r="6094" spans="1:19" ht="15.75" hidden="1" thickBot="1" x14ac:dyDescent="0.3">
      <c r="A6094" s="257"/>
      <c r="B6094" s="260"/>
      <c r="C6094" s="31"/>
      <c r="D6094" s="31"/>
      <c r="E6094" s="32"/>
      <c r="F6094" s="53" t="s">
        <v>416</v>
      </c>
      <c r="G6094" s="53" t="str">
        <f t="shared" si="584"/>
        <v/>
      </c>
      <c r="H6094" s="72"/>
      <c r="I6094" s="73"/>
      <c r="J6094" s="152">
        <v>0</v>
      </c>
      <c r="L6094" s="219"/>
      <c r="M6094" s="53"/>
      <c r="N6094" s="53" t="str">
        <f t="shared" si="585"/>
        <v/>
      </c>
      <c r="O6094" s="72"/>
      <c r="P6094" s="36" t="str">
        <f t="shared" si="586"/>
        <v/>
      </c>
      <c r="Q6094" s="216" t="str">
        <f t="shared" si="587"/>
        <v/>
      </c>
      <c r="R6094" s="216" t="str">
        <f t="shared" si="588"/>
        <v/>
      </c>
      <c r="S6094" s="217" t="str">
        <f t="shared" si="589"/>
        <v/>
      </c>
    </row>
    <row r="6095" spans="1:19" ht="39" hidden="1" thickBot="1" x14ac:dyDescent="0.3">
      <c r="A6095" s="257"/>
      <c r="B6095" s="260"/>
      <c r="C6095" s="35" t="s">
        <v>8346</v>
      </c>
      <c r="D6095" s="35" t="s">
        <v>213</v>
      </c>
      <c r="E6095" s="36">
        <v>1</v>
      </c>
      <c r="F6095" s="30">
        <v>358.58699999999999</v>
      </c>
      <c r="G6095" s="53">
        <f t="shared" si="584"/>
        <v>358.58699999999999</v>
      </c>
      <c r="H6095" s="38">
        <f>SUM(G6095:G6095)</f>
        <v>358.58699999999999</v>
      </c>
      <c r="I6095" s="39"/>
      <c r="J6095" s="152">
        <v>0</v>
      </c>
      <c r="L6095" s="215">
        <v>1</v>
      </c>
      <c r="M6095" s="30">
        <v>306.95047199999999</v>
      </c>
      <c r="N6095" s="53">
        <f t="shared" si="585"/>
        <v>306.95047199999999</v>
      </c>
      <c r="O6095" s="38">
        <f>SUM(N6095:N6095)</f>
        <v>306.95047199999999</v>
      </c>
      <c r="P6095" s="36" t="str">
        <f t="shared" si="586"/>
        <v/>
      </c>
      <c r="Q6095" s="216">
        <f t="shared" si="587"/>
        <v>0.14400000000000002</v>
      </c>
      <c r="R6095" s="216">
        <f t="shared" si="588"/>
        <v>0.14400000000000002</v>
      </c>
      <c r="S6095" s="217">
        <f t="shared" si="589"/>
        <v>0.14400000000000002</v>
      </c>
    </row>
    <row r="6096" spans="1:19" ht="15.75" hidden="1" thickBot="1" x14ac:dyDescent="0.3">
      <c r="A6096" s="258"/>
      <c r="B6096" s="261"/>
      <c r="C6096" s="54"/>
      <c r="D6096" s="155"/>
      <c r="E6096" s="65"/>
      <c r="F6096" s="75" t="s">
        <v>416</v>
      </c>
      <c r="G6096" s="75" t="str">
        <f t="shared" si="584"/>
        <v/>
      </c>
      <c r="H6096" s="76"/>
      <c r="I6096" s="73"/>
      <c r="J6096" s="152">
        <v>0</v>
      </c>
      <c r="L6096" s="222"/>
      <c r="M6096" s="75"/>
      <c r="N6096" s="75" t="str">
        <f t="shared" si="585"/>
        <v/>
      </c>
      <c r="O6096" s="76"/>
      <c r="P6096" s="36" t="str">
        <f t="shared" si="586"/>
        <v/>
      </c>
      <c r="Q6096" s="216" t="str">
        <f t="shared" si="587"/>
        <v/>
      </c>
      <c r="R6096" s="216" t="str">
        <f t="shared" si="588"/>
        <v/>
      </c>
      <c r="S6096" s="217" t="str">
        <f t="shared" si="589"/>
        <v/>
      </c>
    </row>
    <row r="6097" spans="1:19" ht="15.75" hidden="1" thickBot="1" x14ac:dyDescent="0.3">
      <c r="A6097" s="256" t="s">
        <v>5003</v>
      </c>
      <c r="B6097" s="259" t="str">
        <f>INDEX(Orçamentária!A:B,MATCH(Composições!A6097,Orçamentária!A:A,0),2)</f>
        <v>Quadro termoplástico para 36 disjuntores</v>
      </c>
      <c r="C6097" s="40"/>
      <c r="D6097" s="25" t="s">
        <v>16</v>
      </c>
      <c r="E6097" s="26"/>
      <c r="F6097" s="48" t="s">
        <v>416</v>
      </c>
      <c r="G6097" s="27" t="str">
        <f t="shared" si="584"/>
        <v/>
      </c>
      <c r="H6097" s="28"/>
      <c r="I6097" s="29"/>
      <c r="J6097" s="152">
        <v>0</v>
      </c>
      <c r="L6097" s="218"/>
      <c r="M6097" s="48"/>
      <c r="N6097" s="27" t="str">
        <f t="shared" si="585"/>
        <v/>
      </c>
      <c r="O6097" s="28"/>
      <c r="P6097" s="36" t="str">
        <f t="shared" si="586"/>
        <v/>
      </c>
      <c r="Q6097" s="216" t="str">
        <f t="shared" si="587"/>
        <v/>
      </c>
      <c r="R6097" s="216" t="str">
        <f t="shared" si="588"/>
        <v/>
      </c>
      <c r="S6097" s="217" t="str">
        <f t="shared" si="589"/>
        <v/>
      </c>
    </row>
    <row r="6098" spans="1:19" ht="15.75" hidden="1" thickBot="1" x14ac:dyDescent="0.3">
      <c r="A6098" s="257"/>
      <c r="B6098" s="260"/>
      <c r="C6098" s="31"/>
      <c r="D6098" s="31"/>
      <c r="E6098" s="32"/>
      <c r="F6098" s="53" t="s">
        <v>416</v>
      </c>
      <c r="G6098" s="53" t="str">
        <f t="shared" si="584"/>
        <v/>
      </c>
      <c r="H6098" s="72"/>
      <c r="I6098" s="73"/>
      <c r="J6098" s="152">
        <v>0</v>
      </c>
      <c r="L6098" s="219"/>
      <c r="M6098" s="53"/>
      <c r="N6098" s="53" t="str">
        <f t="shared" si="585"/>
        <v/>
      </c>
      <c r="O6098" s="72"/>
      <c r="P6098" s="36" t="str">
        <f t="shared" si="586"/>
        <v/>
      </c>
      <c r="Q6098" s="216" t="str">
        <f t="shared" si="587"/>
        <v/>
      </c>
      <c r="R6098" s="216" t="str">
        <f t="shared" si="588"/>
        <v/>
      </c>
      <c r="S6098" s="217" t="str">
        <f t="shared" si="589"/>
        <v/>
      </c>
    </row>
    <row r="6099" spans="1:19" ht="39" hidden="1" thickBot="1" x14ac:dyDescent="0.3">
      <c r="A6099" s="257"/>
      <c r="B6099" s="260"/>
      <c r="C6099" s="35" t="s">
        <v>8347</v>
      </c>
      <c r="D6099" s="35" t="s">
        <v>213</v>
      </c>
      <c r="E6099" s="36">
        <v>1</v>
      </c>
      <c r="F6099" s="30">
        <v>777.14749999999992</v>
      </c>
      <c r="G6099" s="53">
        <f t="shared" si="584"/>
        <v>777.14749999999992</v>
      </c>
      <c r="H6099" s="38">
        <f>SUM(G6099:G6099)</f>
        <v>777.14749999999992</v>
      </c>
      <c r="I6099" s="39"/>
      <c r="J6099" s="152">
        <v>0</v>
      </c>
      <c r="L6099" s="215">
        <v>1</v>
      </c>
      <c r="M6099" s="30">
        <v>665.23825999999997</v>
      </c>
      <c r="N6099" s="53">
        <f t="shared" si="585"/>
        <v>665.23825999999997</v>
      </c>
      <c r="O6099" s="38">
        <f>SUM(N6099:N6099)</f>
        <v>665.23825999999997</v>
      </c>
      <c r="P6099" s="36" t="str">
        <f t="shared" si="586"/>
        <v/>
      </c>
      <c r="Q6099" s="216">
        <f t="shared" si="587"/>
        <v>0.14399999999999991</v>
      </c>
      <c r="R6099" s="216">
        <f t="shared" si="588"/>
        <v>0.14399999999999991</v>
      </c>
      <c r="S6099" s="217">
        <f t="shared" si="589"/>
        <v>0.14399999999999991</v>
      </c>
    </row>
    <row r="6100" spans="1:19" ht="15.75" hidden="1" thickBot="1" x14ac:dyDescent="0.3">
      <c r="A6100" s="258"/>
      <c r="B6100" s="261"/>
      <c r="C6100" s="54"/>
      <c r="D6100" s="155"/>
      <c r="E6100" s="65"/>
      <c r="F6100" s="75" t="s">
        <v>416</v>
      </c>
      <c r="G6100" s="75" t="str">
        <f t="shared" si="584"/>
        <v/>
      </c>
      <c r="H6100" s="76"/>
      <c r="I6100" s="73"/>
      <c r="J6100" s="152">
        <v>0</v>
      </c>
      <c r="L6100" s="222"/>
      <c r="M6100" s="75"/>
      <c r="N6100" s="75" t="str">
        <f t="shared" si="585"/>
        <v/>
      </c>
      <c r="O6100" s="76"/>
      <c r="P6100" s="36" t="str">
        <f t="shared" si="586"/>
        <v/>
      </c>
      <c r="Q6100" s="216" t="str">
        <f t="shared" si="587"/>
        <v/>
      </c>
      <c r="R6100" s="216" t="str">
        <f t="shared" si="588"/>
        <v/>
      </c>
      <c r="S6100" s="217" t="str">
        <f t="shared" si="589"/>
        <v/>
      </c>
    </row>
    <row r="6101" spans="1:19" ht="15.75" hidden="1" thickBot="1" x14ac:dyDescent="0.3">
      <c r="A6101" s="256" t="s">
        <v>5039</v>
      </c>
      <c r="B6101" s="259" t="str">
        <f>INDEX(Orçamentária!A:B,MATCH(Composições!A6101,Orçamentária!A:A,0),2)</f>
        <v>Sensor de presença externo</v>
      </c>
      <c r="C6101" s="40"/>
      <c r="D6101" s="25" t="s">
        <v>16</v>
      </c>
      <c r="E6101" s="26"/>
      <c r="F6101" s="48" t="s">
        <v>416</v>
      </c>
      <c r="G6101" s="27" t="str">
        <f t="shared" si="584"/>
        <v/>
      </c>
      <c r="H6101" s="28"/>
      <c r="I6101" s="29"/>
      <c r="J6101" s="152">
        <v>0</v>
      </c>
      <c r="L6101" s="218"/>
      <c r="M6101" s="48"/>
      <c r="N6101" s="27" t="str">
        <f t="shared" si="585"/>
        <v/>
      </c>
      <c r="O6101" s="28"/>
      <c r="P6101" s="36" t="str">
        <f t="shared" si="586"/>
        <v/>
      </c>
      <c r="Q6101" s="216" t="str">
        <f t="shared" si="587"/>
        <v/>
      </c>
      <c r="R6101" s="216" t="str">
        <f t="shared" si="588"/>
        <v/>
      </c>
      <c r="S6101" s="217" t="str">
        <f t="shared" si="589"/>
        <v/>
      </c>
    </row>
    <row r="6102" spans="1:19" ht="15.75" hidden="1" thickBot="1" x14ac:dyDescent="0.3">
      <c r="A6102" s="257"/>
      <c r="B6102" s="260"/>
      <c r="C6102" s="31"/>
      <c r="D6102" s="31"/>
      <c r="E6102" s="32"/>
      <c r="F6102" s="53" t="s">
        <v>416</v>
      </c>
      <c r="G6102" s="53" t="str">
        <f t="shared" si="584"/>
        <v/>
      </c>
      <c r="H6102" s="72"/>
      <c r="I6102" s="73"/>
      <c r="J6102" s="152">
        <v>0</v>
      </c>
      <c r="L6102" s="219"/>
      <c r="M6102" s="53"/>
      <c r="N6102" s="53" t="str">
        <f t="shared" si="585"/>
        <v/>
      </c>
      <c r="O6102" s="72"/>
      <c r="P6102" s="36" t="str">
        <f t="shared" si="586"/>
        <v/>
      </c>
      <c r="Q6102" s="216" t="str">
        <f t="shared" si="587"/>
        <v/>
      </c>
      <c r="R6102" s="216" t="str">
        <f t="shared" si="588"/>
        <v/>
      </c>
      <c r="S6102" s="217" t="str">
        <f t="shared" si="589"/>
        <v/>
      </c>
    </row>
    <row r="6103" spans="1:19" ht="39" hidden="1" thickBot="1" x14ac:dyDescent="0.3">
      <c r="A6103" s="257"/>
      <c r="B6103" s="260"/>
      <c r="C6103" s="35" t="s">
        <v>8370</v>
      </c>
      <c r="D6103" s="35" t="s">
        <v>213</v>
      </c>
      <c r="E6103" s="36">
        <v>1</v>
      </c>
      <c r="F6103" s="30">
        <v>68.523499999999999</v>
      </c>
      <c r="G6103" s="53">
        <f t="shared" si="584"/>
        <v>68.523499999999999</v>
      </c>
      <c r="H6103" s="38">
        <f>SUM(G6103:G6103)</f>
        <v>68.523499999999999</v>
      </c>
      <c r="I6103" s="39"/>
      <c r="J6103" s="152">
        <v>0</v>
      </c>
      <c r="L6103" s="215">
        <v>1</v>
      </c>
      <c r="M6103" s="30">
        <v>58.656115999999997</v>
      </c>
      <c r="N6103" s="53">
        <f t="shared" si="585"/>
        <v>58.656115999999997</v>
      </c>
      <c r="O6103" s="38">
        <f>SUM(N6103:N6103)</f>
        <v>58.656115999999997</v>
      </c>
      <c r="P6103" s="36" t="str">
        <f t="shared" si="586"/>
        <v/>
      </c>
      <c r="Q6103" s="216">
        <f t="shared" si="587"/>
        <v>0.14400000000000002</v>
      </c>
      <c r="R6103" s="216">
        <f t="shared" si="588"/>
        <v>0.14400000000000002</v>
      </c>
      <c r="S6103" s="217">
        <f t="shared" si="589"/>
        <v>0.14400000000000002</v>
      </c>
    </row>
    <row r="6104" spans="1:19" ht="15.75" hidden="1" thickBot="1" x14ac:dyDescent="0.3">
      <c r="A6104" s="258"/>
      <c r="B6104" s="261"/>
      <c r="C6104" s="54"/>
      <c r="D6104" s="155"/>
      <c r="E6104" s="65"/>
      <c r="F6104" s="75" t="s">
        <v>416</v>
      </c>
      <c r="G6104" s="75" t="str">
        <f t="shared" si="584"/>
        <v/>
      </c>
      <c r="H6104" s="76"/>
      <c r="I6104" s="73"/>
      <c r="J6104" s="152">
        <v>0</v>
      </c>
      <c r="L6104" s="222"/>
      <c r="M6104" s="75"/>
      <c r="N6104" s="75" t="str">
        <f t="shared" si="585"/>
        <v/>
      </c>
      <c r="O6104" s="76"/>
      <c r="P6104" s="36" t="str">
        <f t="shared" si="586"/>
        <v/>
      </c>
      <c r="Q6104" s="216" t="str">
        <f t="shared" si="587"/>
        <v/>
      </c>
      <c r="R6104" s="216" t="str">
        <f t="shared" si="588"/>
        <v/>
      </c>
      <c r="S6104" s="217" t="str">
        <f t="shared" si="589"/>
        <v/>
      </c>
    </row>
    <row r="6105" spans="1:19" ht="15.75" hidden="1" thickBot="1" x14ac:dyDescent="0.3">
      <c r="A6105" s="256" t="s">
        <v>5074</v>
      </c>
      <c r="B6105" s="259" t="str">
        <f>INDEX(Orçamentária!A:B,MATCH(Composições!A6105,Orçamentária!A:A,0),2)</f>
        <v>Caixa de inspeção de aterramento 300 mm</v>
      </c>
      <c r="C6105" s="40"/>
      <c r="D6105" s="25" t="s">
        <v>16</v>
      </c>
      <c r="E6105" s="26"/>
      <c r="F6105" s="48" t="s">
        <v>416</v>
      </c>
      <c r="G6105" s="27" t="str">
        <f t="shared" si="584"/>
        <v/>
      </c>
      <c r="H6105" s="28"/>
      <c r="I6105" s="29"/>
      <c r="J6105" s="152">
        <v>0</v>
      </c>
      <c r="L6105" s="218"/>
      <c r="M6105" s="48"/>
      <c r="N6105" s="27" t="str">
        <f t="shared" si="585"/>
        <v/>
      </c>
      <c r="O6105" s="28"/>
      <c r="P6105" s="36" t="str">
        <f t="shared" si="586"/>
        <v/>
      </c>
      <c r="Q6105" s="216" t="str">
        <f t="shared" si="587"/>
        <v/>
      </c>
      <c r="R6105" s="216" t="str">
        <f t="shared" si="588"/>
        <v/>
      </c>
      <c r="S6105" s="217" t="str">
        <f t="shared" si="589"/>
        <v/>
      </c>
    </row>
    <row r="6106" spans="1:19" ht="15.75" hidden="1" thickBot="1" x14ac:dyDescent="0.3">
      <c r="A6106" s="257"/>
      <c r="B6106" s="260"/>
      <c r="C6106" s="31"/>
      <c r="D6106" s="31"/>
      <c r="E6106" s="32"/>
      <c r="F6106" s="53" t="s">
        <v>416</v>
      </c>
      <c r="G6106" s="53" t="str">
        <f t="shared" si="584"/>
        <v/>
      </c>
      <c r="H6106" s="72"/>
      <c r="I6106" s="73"/>
      <c r="J6106" s="152">
        <v>0</v>
      </c>
      <c r="L6106" s="219"/>
      <c r="M6106" s="53"/>
      <c r="N6106" s="53" t="str">
        <f t="shared" si="585"/>
        <v/>
      </c>
      <c r="O6106" s="72"/>
      <c r="P6106" s="36" t="str">
        <f t="shared" si="586"/>
        <v/>
      </c>
      <c r="Q6106" s="216" t="str">
        <f t="shared" si="587"/>
        <v/>
      </c>
      <c r="R6106" s="216" t="str">
        <f t="shared" si="588"/>
        <v/>
      </c>
      <c r="S6106" s="217" t="str">
        <f t="shared" si="589"/>
        <v/>
      </c>
    </row>
    <row r="6107" spans="1:19" ht="26.25" hidden="1" thickBot="1" x14ac:dyDescent="0.3">
      <c r="A6107" s="257"/>
      <c r="B6107" s="260"/>
      <c r="C6107" s="35" t="s">
        <v>8539</v>
      </c>
      <c r="D6107" s="35" t="s">
        <v>213</v>
      </c>
      <c r="E6107" s="36">
        <v>1</v>
      </c>
      <c r="F6107" s="30">
        <v>54.406500000000001</v>
      </c>
      <c r="G6107" s="53">
        <f t="shared" si="584"/>
        <v>54.406500000000001</v>
      </c>
      <c r="H6107" s="38">
        <f>SUM(G6107:G6107)</f>
        <v>54.406500000000001</v>
      </c>
      <c r="I6107" s="39"/>
      <c r="J6107" s="152">
        <v>0</v>
      </c>
      <c r="L6107" s="215">
        <v>1</v>
      </c>
      <c r="M6107" s="30">
        <v>46.571964000000001</v>
      </c>
      <c r="N6107" s="53">
        <f t="shared" si="585"/>
        <v>46.571964000000001</v>
      </c>
      <c r="O6107" s="38">
        <f>SUM(N6107:N6107)</f>
        <v>46.571964000000001</v>
      </c>
      <c r="P6107" s="36" t="str">
        <f t="shared" si="586"/>
        <v/>
      </c>
      <c r="Q6107" s="216">
        <f t="shared" si="587"/>
        <v>0.14400000000000002</v>
      </c>
      <c r="R6107" s="216">
        <f t="shared" si="588"/>
        <v>0.14400000000000002</v>
      </c>
      <c r="S6107" s="217">
        <f t="shared" si="589"/>
        <v>0.14400000000000002</v>
      </c>
    </row>
    <row r="6108" spans="1:19" ht="15.75" hidden="1" thickBot="1" x14ac:dyDescent="0.3">
      <c r="A6108" s="258"/>
      <c r="B6108" s="261"/>
      <c r="C6108" s="54"/>
      <c r="D6108" s="155"/>
      <c r="E6108" s="65"/>
      <c r="F6108" s="75" t="s">
        <v>416</v>
      </c>
      <c r="G6108" s="75" t="str">
        <f t="shared" si="584"/>
        <v/>
      </c>
      <c r="H6108" s="76"/>
      <c r="I6108" s="73"/>
      <c r="J6108" s="152">
        <v>0</v>
      </c>
      <c r="L6108" s="222"/>
      <c r="M6108" s="75"/>
      <c r="N6108" s="75" t="str">
        <f t="shared" si="585"/>
        <v/>
      </c>
      <c r="O6108" s="76"/>
      <c r="P6108" s="36" t="str">
        <f t="shared" si="586"/>
        <v/>
      </c>
      <c r="Q6108" s="216" t="str">
        <f t="shared" si="587"/>
        <v/>
      </c>
      <c r="R6108" s="216" t="str">
        <f t="shared" si="588"/>
        <v/>
      </c>
      <c r="S6108" s="217" t="str">
        <f t="shared" si="589"/>
        <v/>
      </c>
    </row>
    <row r="6109" spans="1:19" ht="15.75" hidden="1" thickBot="1" x14ac:dyDescent="0.3">
      <c r="A6109" s="256" t="s">
        <v>5079</v>
      </c>
      <c r="B6109" s="259" t="str">
        <f>INDEX(Orçamentária!A:B,MATCH(Composições!A6109,Orçamentária!A:A,0),2)</f>
        <v>Captor tipo Franklin</v>
      </c>
      <c r="C6109" s="40"/>
      <c r="D6109" s="25" t="s">
        <v>16</v>
      </c>
      <c r="E6109" s="26"/>
      <c r="F6109" s="48" t="s">
        <v>416</v>
      </c>
      <c r="G6109" s="27" t="str">
        <f t="shared" si="584"/>
        <v/>
      </c>
      <c r="H6109" s="28"/>
      <c r="I6109" s="29"/>
      <c r="J6109" s="152">
        <v>0</v>
      </c>
      <c r="L6109" s="218"/>
      <c r="M6109" s="48"/>
      <c r="N6109" s="27" t="str">
        <f t="shared" si="585"/>
        <v/>
      </c>
      <c r="O6109" s="28"/>
      <c r="P6109" s="36" t="str">
        <f t="shared" si="586"/>
        <v/>
      </c>
      <c r="Q6109" s="216" t="str">
        <f t="shared" si="587"/>
        <v/>
      </c>
      <c r="R6109" s="216" t="str">
        <f t="shared" si="588"/>
        <v/>
      </c>
      <c r="S6109" s="217" t="str">
        <f t="shared" si="589"/>
        <v/>
      </c>
    </row>
    <row r="6110" spans="1:19" ht="15.75" hidden="1" thickBot="1" x14ac:dyDescent="0.3">
      <c r="A6110" s="257"/>
      <c r="B6110" s="260"/>
      <c r="C6110" s="31"/>
      <c r="D6110" s="31"/>
      <c r="E6110" s="32"/>
      <c r="F6110" s="53" t="s">
        <v>416</v>
      </c>
      <c r="G6110" s="53" t="str">
        <f t="shared" si="584"/>
        <v/>
      </c>
      <c r="H6110" s="72"/>
      <c r="I6110" s="73"/>
      <c r="J6110" s="152">
        <v>0</v>
      </c>
      <c r="L6110" s="219"/>
      <c r="M6110" s="53"/>
      <c r="N6110" s="53" t="str">
        <f t="shared" si="585"/>
        <v/>
      </c>
      <c r="O6110" s="72"/>
      <c r="P6110" s="36" t="str">
        <f t="shared" si="586"/>
        <v/>
      </c>
      <c r="Q6110" s="216" t="str">
        <f t="shared" si="587"/>
        <v/>
      </c>
      <c r="R6110" s="216" t="str">
        <f t="shared" si="588"/>
        <v/>
      </c>
      <c r="S6110" s="217" t="str">
        <f t="shared" si="589"/>
        <v/>
      </c>
    </row>
    <row r="6111" spans="1:19" ht="39" hidden="1" thickBot="1" x14ac:dyDescent="0.3">
      <c r="A6111" s="257"/>
      <c r="B6111" s="260"/>
      <c r="C6111" s="35" t="s">
        <v>8304</v>
      </c>
      <c r="D6111" s="35" t="s">
        <v>213</v>
      </c>
      <c r="E6111" s="36">
        <v>1</v>
      </c>
      <c r="F6111" s="30">
        <v>118.05649999999999</v>
      </c>
      <c r="G6111" s="53">
        <f t="shared" si="584"/>
        <v>118.05649999999999</v>
      </c>
      <c r="H6111" s="38">
        <f>SUM(G6111:G6111)</f>
        <v>118.05649999999999</v>
      </c>
      <c r="I6111" s="39"/>
      <c r="J6111" s="152">
        <v>0</v>
      </c>
      <c r="L6111" s="215">
        <v>1</v>
      </c>
      <c r="M6111" s="30">
        <v>101.05636399999999</v>
      </c>
      <c r="N6111" s="53">
        <f t="shared" si="585"/>
        <v>101.05636399999999</v>
      </c>
      <c r="O6111" s="38">
        <f>SUM(N6111:N6111)</f>
        <v>101.05636399999999</v>
      </c>
      <c r="P6111" s="36" t="str">
        <f t="shared" si="586"/>
        <v/>
      </c>
      <c r="Q6111" s="216">
        <f t="shared" si="587"/>
        <v>0.14400000000000002</v>
      </c>
      <c r="R6111" s="216">
        <f t="shared" si="588"/>
        <v>0.14400000000000002</v>
      </c>
      <c r="S6111" s="217">
        <f t="shared" si="589"/>
        <v>0.14400000000000002</v>
      </c>
    </row>
    <row r="6112" spans="1:19" ht="15.75" hidden="1" thickBot="1" x14ac:dyDescent="0.3">
      <c r="A6112" s="258"/>
      <c r="B6112" s="261"/>
      <c r="C6112" s="54"/>
      <c r="D6112" s="155"/>
      <c r="E6112" s="65"/>
      <c r="F6112" s="75" t="s">
        <v>416</v>
      </c>
      <c r="G6112" s="75" t="str">
        <f t="shared" si="584"/>
        <v/>
      </c>
      <c r="H6112" s="76"/>
      <c r="I6112" s="73"/>
      <c r="J6112" s="152">
        <v>0</v>
      </c>
      <c r="L6112" s="222"/>
      <c r="M6112" s="75"/>
      <c r="N6112" s="75" t="str">
        <f t="shared" si="585"/>
        <v/>
      </c>
      <c r="O6112" s="76"/>
      <c r="P6112" s="36" t="str">
        <f t="shared" si="586"/>
        <v/>
      </c>
      <c r="Q6112" s="216" t="str">
        <f t="shared" si="587"/>
        <v/>
      </c>
      <c r="R6112" s="216" t="str">
        <f t="shared" si="588"/>
        <v/>
      </c>
      <c r="S6112" s="217" t="str">
        <f t="shared" si="589"/>
        <v/>
      </c>
    </row>
    <row r="6113" spans="1:19" ht="15.75" hidden="1" thickBot="1" x14ac:dyDescent="0.3">
      <c r="A6113" s="256" t="s">
        <v>5083</v>
      </c>
      <c r="B6113" s="259" t="str">
        <f>INDEX(Orçamentária!A:B,MATCH(Composições!A6113,Orçamentária!A:A,0),2)</f>
        <v>Mastro 3 m</v>
      </c>
      <c r="C6113" s="40"/>
      <c r="D6113" s="25" t="s">
        <v>16</v>
      </c>
      <c r="E6113" s="26"/>
      <c r="F6113" s="48" t="s">
        <v>416</v>
      </c>
      <c r="G6113" s="27" t="str">
        <f t="shared" si="584"/>
        <v/>
      </c>
      <c r="H6113" s="28"/>
      <c r="I6113" s="29"/>
      <c r="J6113" s="152">
        <v>0</v>
      </c>
      <c r="L6113" s="218"/>
      <c r="M6113" s="48"/>
      <c r="N6113" s="27" t="str">
        <f t="shared" si="585"/>
        <v/>
      </c>
      <c r="O6113" s="28"/>
      <c r="P6113" s="36" t="str">
        <f t="shared" si="586"/>
        <v/>
      </c>
      <c r="Q6113" s="216" t="str">
        <f t="shared" si="587"/>
        <v/>
      </c>
      <c r="R6113" s="216" t="str">
        <f t="shared" si="588"/>
        <v/>
      </c>
      <c r="S6113" s="217" t="str">
        <f t="shared" si="589"/>
        <v/>
      </c>
    </row>
    <row r="6114" spans="1:19" ht="15.75" hidden="1" thickBot="1" x14ac:dyDescent="0.3">
      <c r="A6114" s="257"/>
      <c r="B6114" s="260"/>
      <c r="C6114" s="31"/>
      <c r="D6114" s="31"/>
      <c r="E6114" s="32"/>
      <c r="F6114" s="53" t="s">
        <v>416</v>
      </c>
      <c r="G6114" s="53" t="str">
        <f t="shared" si="584"/>
        <v/>
      </c>
      <c r="H6114" s="72"/>
      <c r="I6114" s="73"/>
      <c r="J6114" s="152">
        <v>0</v>
      </c>
      <c r="L6114" s="219"/>
      <c r="M6114" s="53"/>
      <c r="N6114" s="53" t="str">
        <f t="shared" si="585"/>
        <v/>
      </c>
      <c r="O6114" s="72"/>
      <c r="P6114" s="36" t="str">
        <f t="shared" si="586"/>
        <v/>
      </c>
      <c r="Q6114" s="216" t="str">
        <f t="shared" si="587"/>
        <v/>
      </c>
      <c r="R6114" s="216" t="str">
        <f t="shared" si="588"/>
        <v/>
      </c>
      <c r="S6114" s="217" t="str">
        <f t="shared" si="589"/>
        <v/>
      </c>
    </row>
    <row r="6115" spans="1:19" ht="15.75" hidden="1" thickBot="1" x14ac:dyDescent="0.3">
      <c r="A6115" s="257"/>
      <c r="B6115" s="260"/>
      <c r="C6115" s="35" t="s">
        <v>8292</v>
      </c>
      <c r="D6115" s="35" t="s">
        <v>385</v>
      </c>
      <c r="E6115" s="36">
        <v>3</v>
      </c>
      <c r="F6115" s="30">
        <v>56.287499999999994</v>
      </c>
      <c r="G6115" s="53">
        <f t="shared" si="584"/>
        <v>168.86249999999998</v>
      </c>
      <c r="H6115" s="38">
        <f>SUM(G6115:G6115)</f>
        <v>168.86249999999998</v>
      </c>
      <c r="I6115" s="39"/>
      <c r="J6115" s="152">
        <v>0</v>
      </c>
      <c r="L6115" s="215">
        <v>3</v>
      </c>
      <c r="M6115" s="30">
        <v>48.182099999999998</v>
      </c>
      <c r="N6115" s="53">
        <f t="shared" si="585"/>
        <v>144.5463</v>
      </c>
      <c r="O6115" s="38">
        <f>SUM(N6115:N6115)</f>
        <v>144.5463</v>
      </c>
      <c r="P6115" s="36" t="str">
        <f t="shared" si="586"/>
        <v/>
      </c>
      <c r="Q6115" s="216">
        <f t="shared" si="587"/>
        <v>0.14399999999999991</v>
      </c>
      <c r="R6115" s="216">
        <f t="shared" si="588"/>
        <v>0.14399999999999991</v>
      </c>
      <c r="S6115" s="217">
        <f t="shared" si="589"/>
        <v>0.14399999999999991</v>
      </c>
    </row>
    <row r="6116" spans="1:19" ht="15.75" hidden="1" thickBot="1" x14ac:dyDescent="0.3">
      <c r="A6116" s="258"/>
      <c r="B6116" s="261"/>
      <c r="C6116" s="54"/>
      <c r="D6116" s="155"/>
      <c r="E6116" s="65"/>
      <c r="F6116" s="75" t="s">
        <v>416</v>
      </c>
      <c r="G6116" s="75" t="str">
        <f t="shared" si="584"/>
        <v/>
      </c>
      <c r="H6116" s="76"/>
      <c r="I6116" s="73"/>
      <c r="J6116" s="152">
        <v>0</v>
      </c>
      <c r="L6116" s="222"/>
      <c r="M6116" s="75"/>
      <c r="N6116" s="75" t="str">
        <f t="shared" si="585"/>
        <v/>
      </c>
      <c r="O6116" s="76"/>
      <c r="P6116" s="36" t="str">
        <f t="shared" si="586"/>
        <v/>
      </c>
      <c r="Q6116" s="216" t="str">
        <f t="shared" si="587"/>
        <v/>
      </c>
      <c r="R6116" s="216" t="str">
        <f t="shared" si="588"/>
        <v/>
      </c>
      <c r="S6116" s="217" t="str">
        <f t="shared" si="589"/>
        <v/>
      </c>
    </row>
    <row r="6117" spans="1:19" ht="15.75" hidden="1" thickBot="1" x14ac:dyDescent="0.3">
      <c r="A6117" s="256" t="s">
        <v>5099</v>
      </c>
      <c r="B6117" s="259" t="str">
        <f>INDEX(Orçamentária!A:B,MATCH(Composições!A6117,Orçamentária!A:A,0),2)</f>
        <v>Adesivo estrutural</v>
      </c>
      <c r="C6117" s="40"/>
      <c r="D6117" s="25" t="s">
        <v>4171</v>
      </c>
      <c r="E6117" s="26"/>
      <c r="F6117" s="48" t="s">
        <v>416</v>
      </c>
      <c r="G6117" s="27" t="str">
        <f t="shared" si="584"/>
        <v/>
      </c>
      <c r="H6117" s="28"/>
      <c r="I6117" s="29"/>
      <c r="J6117" s="152">
        <v>0</v>
      </c>
      <c r="L6117" s="218"/>
      <c r="M6117" s="48"/>
      <c r="N6117" s="27" t="str">
        <f t="shared" si="585"/>
        <v/>
      </c>
      <c r="O6117" s="28"/>
      <c r="P6117" s="36" t="str">
        <f t="shared" si="586"/>
        <v/>
      </c>
      <c r="Q6117" s="216" t="str">
        <f t="shared" si="587"/>
        <v/>
      </c>
      <c r="R6117" s="216" t="str">
        <f t="shared" si="588"/>
        <v/>
      </c>
      <c r="S6117" s="217" t="str">
        <f t="shared" si="589"/>
        <v/>
      </c>
    </row>
    <row r="6118" spans="1:19" ht="15.75" hidden="1" thickBot="1" x14ac:dyDescent="0.3">
      <c r="A6118" s="257"/>
      <c r="B6118" s="260"/>
      <c r="C6118" s="31"/>
      <c r="D6118" s="31"/>
      <c r="E6118" s="32"/>
      <c r="F6118" s="53" t="s">
        <v>416</v>
      </c>
      <c r="G6118" s="53" t="str">
        <f t="shared" si="584"/>
        <v/>
      </c>
      <c r="H6118" s="72"/>
      <c r="I6118" s="73"/>
      <c r="J6118" s="152">
        <v>0</v>
      </c>
      <c r="L6118" s="219"/>
      <c r="M6118" s="53"/>
      <c r="N6118" s="53" t="str">
        <f t="shared" si="585"/>
        <v/>
      </c>
      <c r="O6118" s="72"/>
      <c r="P6118" s="36" t="str">
        <f t="shared" si="586"/>
        <v/>
      </c>
      <c r="Q6118" s="216" t="str">
        <f t="shared" si="587"/>
        <v/>
      </c>
      <c r="R6118" s="216" t="str">
        <f t="shared" si="588"/>
        <v/>
      </c>
      <c r="S6118" s="217" t="str">
        <f t="shared" si="589"/>
        <v/>
      </c>
    </row>
    <row r="6119" spans="1:19" ht="26.25" hidden="1" thickBot="1" x14ac:dyDescent="0.3">
      <c r="A6119" s="257"/>
      <c r="B6119" s="260"/>
      <c r="C6119" s="35" t="s">
        <v>650</v>
      </c>
      <c r="D6119" s="35" t="s">
        <v>773</v>
      </c>
      <c r="E6119" s="36">
        <v>1</v>
      </c>
      <c r="F6119" s="30">
        <v>52.259499999999996</v>
      </c>
      <c r="G6119" s="53">
        <f t="shared" si="584"/>
        <v>52.259499999999996</v>
      </c>
      <c r="H6119" s="38">
        <f>SUM(G6119:G6119)</f>
        <v>52.259499999999996</v>
      </c>
      <c r="I6119" s="39"/>
      <c r="J6119" s="152">
        <v>0</v>
      </c>
      <c r="L6119" s="215">
        <v>1</v>
      </c>
      <c r="M6119" s="30">
        <v>44.734131999999995</v>
      </c>
      <c r="N6119" s="53">
        <f t="shared" si="585"/>
        <v>44.734131999999995</v>
      </c>
      <c r="O6119" s="38">
        <f>SUM(N6119:N6119)</f>
        <v>44.734131999999995</v>
      </c>
      <c r="P6119" s="36" t="str">
        <f t="shared" si="586"/>
        <v/>
      </c>
      <c r="Q6119" s="216">
        <f t="shared" si="587"/>
        <v>0.14400000000000002</v>
      </c>
      <c r="R6119" s="216">
        <f t="shared" si="588"/>
        <v>0.14400000000000002</v>
      </c>
      <c r="S6119" s="217">
        <f t="shared" si="589"/>
        <v>0.14400000000000002</v>
      </c>
    </row>
    <row r="6120" spans="1:19" ht="15.75" hidden="1" thickBot="1" x14ac:dyDescent="0.3">
      <c r="A6120" s="258"/>
      <c r="B6120" s="261"/>
      <c r="C6120" s="54"/>
      <c r="D6120" s="155"/>
      <c r="E6120" s="65"/>
      <c r="F6120" s="75" t="s">
        <v>416</v>
      </c>
      <c r="G6120" s="75" t="str">
        <f t="shared" si="584"/>
        <v/>
      </c>
      <c r="H6120" s="76"/>
      <c r="I6120" s="73"/>
      <c r="J6120" s="152">
        <v>0</v>
      </c>
      <c r="L6120" s="222"/>
      <c r="M6120" s="75"/>
      <c r="N6120" s="75" t="str">
        <f t="shared" si="585"/>
        <v/>
      </c>
      <c r="O6120" s="76"/>
      <c r="P6120" s="36" t="str">
        <f t="shared" si="586"/>
        <v/>
      </c>
      <c r="Q6120" s="216" t="str">
        <f t="shared" si="587"/>
        <v/>
      </c>
      <c r="R6120" s="216" t="str">
        <f t="shared" si="588"/>
        <v/>
      </c>
      <c r="S6120" s="217" t="str">
        <f t="shared" si="589"/>
        <v/>
      </c>
    </row>
    <row r="6121" spans="1:19" ht="15.75" hidden="1" thickBot="1" x14ac:dyDescent="0.3">
      <c r="A6121" s="256" t="s">
        <v>5117</v>
      </c>
      <c r="B6121" s="259" t="str">
        <f>INDEX(Orçamentária!A:B,MATCH(Composições!A6121,Orçamentária!A:A,0),2)</f>
        <v>Tampão DN 600 Articulado D-400</v>
      </c>
      <c r="C6121" s="40"/>
      <c r="D6121" s="25" t="s">
        <v>16</v>
      </c>
      <c r="E6121" s="26"/>
      <c r="F6121" s="48" t="s">
        <v>416</v>
      </c>
      <c r="G6121" s="27" t="str">
        <f t="shared" si="584"/>
        <v/>
      </c>
      <c r="H6121" s="28"/>
      <c r="I6121" s="29"/>
      <c r="J6121" s="152">
        <v>0</v>
      </c>
      <c r="L6121" s="218"/>
      <c r="M6121" s="48"/>
      <c r="N6121" s="27" t="str">
        <f t="shared" si="585"/>
        <v/>
      </c>
      <c r="O6121" s="28"/>
      <c r="P6121" s="36" t="str">
        <f t="shared" si="586"/>
        <v/>
      </c>
      <c r="Q6121" s="216" t="str">
        <f t="shared" si="587"/>
        <v/>
      </c>
      <c r="R6121" s="216" t="str">
        <f t="shared" si="588"/>
        <v/>
      </c>
      <c r="S6121" s="217" t="str">
        <f t="shared" si="589"/>
        <v/>
      </c>
    </row>
    <row r="6122" spans="1:19" ht="15.75" hidden="1" thickBot="1" x14ac:dyDescent="0.3">
      <c r="A6122" s="257"/>
      <c r="B6122" s="260"/>
      <c r="C6122" s="31"/>
      <c r="D6122" s="31"/>
      <c r="E6122" s="32"/>
      <c r="F6122" s="53" t="s">
        <v>416</v>
      </c>
      <c r="G6122" s="53" t="str">
        <f t="shared" si="584"/>
        <v/>
      </c>
      <c r="H6122" s="72"/>
      <c r="I6122" s="73"/>
      <c r="J6122" s="152">
        <v>0</v>
      </c>
      <c r="L6122" s="219"/>
      <c r="M6122" s="53"/>
      <c r="N6122" s="53" t="str">
        <f t="shared" si="585"/>
        <v/>
      </c>
      <c r="O6122" s="72"/>
      <c r="P6122" s="36" t="str">
        <f t="shared" si="586"/>
        <v/>
      </c>
      <c r="Q6122" s="216" t="str">
        <f t="shared" si="587"/>
        <v/>
      </c>
      <c r="R6122" s="216" t="str">
        <f t="shared" si="588"/>
        <v/>
      </c>
      <c r="S6122" s="217" t="str">
        <f t="shared" si="589"/>
        <v/>
      </c>
    </row>
    <row r="6123" spans="1:19" ht="39" hidden="1" thickBot="1" x14ac:dyDescent="0.3">
      <c r="A6123" s="257"/>
      <c r="B6123" s="260"/>
      <c r="C6123" s="35" t="s">
        <v>8390</v>
      </c>
      <c r="D6123" s="35" t="s">
        <v>213</v>
      </c>
      <c r="E6123" s="36">
        <v>1</v>
      </c>
      <c r="F6123" s="30">
        <v>736.80100000000004</v>
      </c>
      <c r="G6123" s="53">
        <f t="shared" si="584"/>
        <v>736.80100000000004</v>
      </c>
      <c r="H6123" s="38">
        <f>SUM(G6123:G6123)</f>
        <v>736.80100000000004</v>
      </c>
      <c r="I6123" s="39"/>
      <c r="J6123" s="152">
        <v>0</v>
      </c>
      <c r="L6123" s="215">
        <v>1</v>
      </c>
      <c r="M6123" s="30">
        <v>630.70165600000007</v>
      </c>
      <c r="N6123" s="53">
        <f t="shared" si="585"/>
        <v>630.70165600000007</v>
      </c>
      <c r="O6123" s="38">
        <f>SUM(N6123:N6123)</f>
        <v>630.70165600000007</v>
      </c>
      <c r="P6123" s="36" t="str">
        <f t="shared" si="586"/>
        <v/>
      </c>
      <c r="Q6123" s="216">
        <f t="shared" si="587"/>
        <v>0.14399999999999991</v>
      </c>
      <c r="R6123" s="216">
        <f t="shared" si="588"/>
        <v>0.14399999999999991</v>
      </c>
      <c r="S6123" s="217">
        <f t="shared" si="589"/>
        <v>0.14399999999999991</v>
      </c>
    </row>
    <row r="6124" spans="1:19" ht="15.75" hidden="1" thickBot="1" x14ac:dyDescent="0.3">
      <c r="A6124" s="258"/>
      <c r="B6124" s="261"/>
      <c r="C6124" s="54"/>
      <c r="D6124" s="155"/>
      <c r="E6124" s="65"/>
      <c r="F6124" s="75" t="s">
        <v>416</v>
      </c>
      <c r="G6124" s="75" t="str">
        <f t="shared" si="584"/>
        <v/>
      </c>
      <c r="H6124" s="76"/>
      <c r="I6124" s="73"/>
      <c r="J6124" s="152">
        <v>0</v>
      </c>
      <c r="L6124" s="222"/>
      <c r="M6124" s="75"/>
      <c r="N6124" s="75" t="str">
        <f t="shared" si="585"/>
        <v/>
      </c>
      <c r="O6124" s="76"/>
      <c r="P6124" s="36" t="str">
        <f t="shared" si="586"/>
        <v/>
      </c>
      <c r="Q6124" s="216" t="str">
        <f t="shared" si="587"/>
        <v/>
      </c>
      <c r="R6124" s="216" t="str">
        <f t="shared" si="588"/>
        <v/>
      </c>
      <c r="S6124" s="217" t="str">
        <f t="shared" si="589"/>
        <v/>
      </c>
    </row>
    <row r="6125" spans="1:19" ht="15.75" hidden="1" thickBot="1" x14ac:dyDescent="0.3">
      <c r="A6125" s="256" t="s">
        <v>5118</v>
      </c>
      <c r="B6125" s="259" t="str">
        <f>INDEX(Orçamentária!A:B,MATCH(Composições!A6125,Orçamentária!A:A,0),2)</f>
        <v>Tampão T-33 Articulado B-125</v>
      </c>
      <c r="C6125" s="40"/>
      <c r="D6125" s="25" t="s">
        <v>16</v>
      </c>
      <c r="E6125" s="26"/>
      <c r="F6125" s="48" t="s">
        <v>416</v>
      </c>
      <c r="G6125" s="27" t="str">
        <f t="shared" si="584"/>
        <v/>
      </c>
      <c r="H6125" s="28"/>
      <c r="I6125" s="29"/>
      <c r="J6125" s="152">
        <v>0</v>
      </c>
      <c r="L6125" s="218"/>
      <c r="M6125" s="48"/>
      <c r="N6125" s="27" t="str">
        <f t="shared" si="585"/>
        <v/>
      </c>
      <c r="O6125" s="28"/>
      <c r="P6125" s="36" t="str">
        <f t="shared" si="586"/>
        <v/>
      </c>
      <c r="Q6125" s="216" t="str">
        <f t="shared" si="587"/>
        <v/>
      </c>
      <c r="R6125" s="216" t="str">
        <f t="shared" si="588"/>
        <v/>
      </c>
      <c r="S6125" s="217" t="str">
        <f t="shared" si="589"/>
        <v/>
      </c>
    </row>
    <row r="6126" spans="1:19" ht="15.75" hidden="1" thickBot="1" x14ac:dyDescent="0.3">
      <c r="A6126" s="257"/>
      <c r="B6126" s="260"/>
      <c r="C6126" s="31"/>
      <c r="D6126" s="31"/>
      <c r="E6126" s="32"/>
      <c r="F6126" s="53" t="s">
        <v>416</v>
      </c>
      <c r="G6126" s="53" t="str">
        <f t="shared" ref="G6126:G6143" si="590">IF(ISNUMBER(F6126),E6126*F6126,"")</f>
        <v/>
      </c>
      <c r="H6126" s="72"/>
      <c r="I6126" s="73"/>
      <c r="J6126" s="152">
        <v>0</v>
      </c>
      <c r="L6126" s="219"/>
      <c r="M6126" s="53"/>
      <c r="N6126" s="53" t="str">
        <f t="shared" ref="N6126:N6143" si="591">IF(ISNUMBER(M6126),L6126*M6126,"")</f>
        <v/>
      </c>
      <c r="O6126" s="72"/>
      <c r="P6126" s="36" t="str">
        <f t="shared" si="586"/>
        <v/>
      </c>
      <c r="Q6126" s="216" t="str">
        <f t="shared" si="587"/>
        <v/>
      </c>
      <c r="R6126" s="216" t="str">
        <f t="shared" si="588"/>
        <v/>
      </c>
      <c r="S6126" s="217" t="str">
        <f t="shared" si="589"/>
        <v/>
      </c>
    </row>
    <row r="6127" spans="1:19" ht="39" hidden="1" thickBot="1" x14ac:dyDescent="0.3">
      <c r="A6127" s="257"/>
      <c r="B6127" s="260"/>
      <c r="C6127" s="35" t="s">
        <v>8389</v>
      </c>
      <c r="D6127" s="35" t="s">
        <v>213</v>
      </c>
      <c r="E6127" s="36">
        <v>1</v>
      </c>
      <c r="F6127" s="30">
        <v>601.29300000000001</v>
      </c>
      <c r="G6127" s="53">
        <f t="shared" si="590"/>
        <v>601.29300000000001</v>
      </c>
      <c r="H6127" s="38">
        <f>SUM(G6127:G6127)</f>
        <v>601.29300000000001</v>
      </c>
      <c r="I6127" s="39"/>
      <c r="J6127" s="152">
        <v>0</v>
      </c>
      <c r="L6127" s="215">
        <v>1</v>
      </c>
      <c r="M6127" s="30">
        <v>514.70680800000002</v>
      </c>
      <c r="N6127" s="53">
        <f t="shared" si="591"/>
        <v>514.70680800000002</v>
      </c>
      <c r="O6127" s="38">
        <f>SUM(N6127:N6127)</f>
        <v>514.70680800000002</v>
      </c>
      <c r="P6127" s="36" t="str">
        <f t="shared" si="586"/>
        <v/>
      </c>
      <c r="Q6127" s="216">
        <f t="shared" si="587"/>
        <v>0.14400000000000002</v>
      </c>
      <c r="R6127" s="216">
        <f t="shared" si="588"/>
        <v>0.14400000000000002</v>
      </c>
      <c r="S6127" s="217">
        <f t="shared" si="589"/>
        <v>0.14400000000000002</v>
      </c>
    </row>
    <row r="6128" spans="1:19" ht="15.75" hidden="1" thickBot="1" x14ac:dyDescent="0.3">
      <c r="A6128" s="258"/>
      <c r="B6128" s="261"/>
      <c r="C6128" s="54"/>
      <c r="D6128" s="155"/>
      <c r="E6128" s="65"/>
      <c r="F6128" s="75" t="s">
        <v>416</v>
      </c>
      <c r="G6128" s="75" t="str">
        <f t="shared" si="590"/>
        <v/>
      </c>
      <c r="H6128" s="76"/>
      <c r="I6128" s="73"/>
      <c r="J6128" s="152">
        <v>0</v>
      </c>
      <c r="L6128" s="222"/>
      <c r="M6128" s="75"/>
      <c r="N6128" s="75" t="str">
        <f t="shared" si="591"/>
        <v/>
      </c>
      <c r="O6128" s="76"/>
      <c r="P6128" s="36" t="str">
        <f t="shared" si="586"/>
        <v/>
      </c>
      <c r="Q6128" s="216" t="str">
        <f t="shared" si="587"/>
        <v/>
      </c>
      <c r="R6128" s="216" t="str">
        <f t="shared" si="588"/>
        <v/>
      </c>
      <c r="S6128" s="217" t="str">
        <f t="shared" si="589"/>
        <v/>
      </c>
    </row>
    <row r="6129" spans="1:19" ht="15.75" hidden="1" thickBot="1" x14ac:dyDescent="0.3">
      <c r="A6129" s="256" t="s">
        <v>5119</v>
      </c>
      <c r="B6129" s="259" t="str">
        <f>INDEX(Orçamentária!A:B,MATCH(Composições!A6129,Orçamentária!A:A,0),2)</f>
        <v>Tampão T-33 Simples Pesado</v>
      </c>
      <c r="C6129" s="40"/>
      <c r="D6129" s="25" t="s">
        <v>16</v>
      </c>
      <c r="E6129" s="26"/>
      <c r="F6129" s="48" t="s">
        <v>416</v>
      </c>
      <c r="G6129" s="27" t="str">
        <f t="shared" si="590"/>
        <v/>
      </c>
      <c r="H6129" s="28"/>
      <c r="I6129" s="29"/>
      <c r="J6129" s="152">
        <v>0</v>
      </c>
      <c r="L6129" s="218"/>
      <c r="M6129" s="48"/>
      <c r="N6129" s="27" t="str">
        <f t="shared" si="591"/>
        <v/>
      </c>
      <c r="O6129" s="28"/>
      <c r="P6129" s="36" t="str">
        <f t="shared" si="586"/>
        <v/>
      </c>
      <c r="Q6129" s="216" t="str">
        <f t="shared" si="587"/>
        <v/>
      </c>
      <c r="R6129" s="216" t="str">
        <f t="shared" si="588"/>
        <v/>
      </c>
      <c r="S6129" s="217" t="str">
        <f t="shared" si="589"/>
        <v/>
      </c>
    </row>
    <row r="6130" spans="1:19" ht="15.75" hidden="1" thickBot="1" x14ac:dyDescent="0.3">
      <c r="A6130" s="257"/>
      <c r="B6130" s="260"/>
      <c r="C6130" s="31"/>
      <c r="D6130" s="31"/>
      <c r="E6130" s="32"/>
      <c r="F6130" s="53" t="s">
        <v>416</v>
      </c>
      <c r="G6130" s="53" t="str">
        <f t="shared" si="590"/>
        <v/>
      </c>
      <c r="H6130" s="72"/>
      <c r="I6130" s="73"/>
      <c r="J6130" s="152">
        <v>0</v>
      </c>
      <c r="L6130" s="219"/>
      <c r="M6130" s="53"/>
      <c r="N6130" s="53" t="str">
        <f t="shared" si="591"/>
        <v/>
      </c>
      <c r="O6130" s="72"/>
      <c r="P6130" s="36" t="str">
        <f t="shared" si="586"/>
        <v/>
      </c>
      <c r="Q6130" s="216" t="str">
        <f t="shared" si="587"/>
        <v/>
      </c>
      <c r="R6130" s="216" t="str">
        <f t="shared" si="588"/>
        <v/>
      </c>
      <c r="S6130" s="217" t="str">
        <f t="shared" si="589"/>
        <v/>
      </c>
    </row>
    <row r="6131" spans="1:19" ht="26.25" hidden="1" thickBot="1" x14ac:dyDescent="0.3">
      <c r="A6131" s="257"/>
      <c r="B6131" s="260"/>
      <c r="C6131" s="35" t="s">
        <v>8391</v>
      </c>
      <c r="D6131" s="35" t="s">
        <v>213</v>
      </c>
      <c r="E6131" s="36">
        <v>1</v>
      </c>
      <c r="F6131" s="30">
        <v>307.42</v>
      </c>
      <c r="G6131" s="53">
        <f t="shared" si="590"/>
        <v>307.42</v>
      </c>
      <c r="H6131" s="38">
        <f>SUM(G6131:G6131)</f>
        <v>307.42</v>
      </c>
      <c r="I6131" s="39"/>
      <c r="J6131" s="152">
        <v>0</v>
      </c>
      <c r="L6131" s="215">
        <v>1</v>
      </c>
      <c r="M6131" s="30">
        <v>263.15152</v>
      </c>
      <c r="N6131" s="53">
        <f t="shared" si="591"/>
        <v>263.15152</v>
      </c>
      <c r="O6131" s="38">
        <f>SUM(N6131:N6131)</f>
        <v>263.15152</v>
      </c>
      <c r="P6131" s="36" t="str">
        <f t="shared" si="586"/>
        <v/>
      </c>
      <c r="Q6131" s="216">
        <f t="shared" si="587"/>
        <v>0.14400000000000002</v>
      </c>
      <c r="R6131" s="216">
        <f t="shared" si="588"/>
        <v>0.14400000000000002</v>
      </c>
      <c r="S6131" s="217">
        <f t="shared" si="589"/>
        <v>0.14400000000000002</v>
      </c>
    </row>
    <row r="6132" spans="1:19" ht="15.75" hidden="1" thickBot="1" x14ac:dyDescent="0.3">
      <c r="A6132" s="258"/>
      <c r="B6132" s="261"/>
      <c r="C6132" s="54"/>
      <c r="D6132" s="155"/>
      <c r="E6132" s="65"/>
      <c r="F6132" s="75" t="s">
        <v>416</v>
      </c>
      <c r="G6132" s="75" t="str">
        <f t="shared" si="590"/>
        <v/>
      </c>
      <c r="H6132" s="76"/>
      <c r="I6132" s="73"/>
      <c r="J6132" s="152">
        <v>0</v>
      </c>
      <c r="L6132" s="222"/>
      <c r="M6132" s="75"/>
      <c r="N6132" s="75" t="str">
        <f t="shared" si="591"/>
        <v/>
      </c>
      <c r="O6132" s="76"/>
      <c r="P6132" s="36" t="str">
        <f t="shared" si="586"/>
        <v/>
      </c>
      <c r="Q6132" s="216" t="str">
        <f t="shared" si="587"/>
        <v/>
      </c>
      <c r="R6132" s="216" t="str">
        <f t="shared" si="588"/>
        <v/>
      </c>
      <c r="S6132" s="217" t="str">
        <f t="shared" si="589"/>
        <v/>
      </c>
    </row>
    <row r="6133" spans="1:19" ht="15.75" hidden="1" thickBot="1" x14ac:dyDescent="0.3">
      <c r="A6133" s="256" t="s">
        <v>5152</v>
      </c>
      <c r="B6133" s="259" t="str">
        <f>INDEX(Orçamentária!A:B,MATCH(Composições!A6133,Orçamentária!A:A,0),2)</f>
        <v>Placa de sinalização em PVC 2 mm</v>
      </c>
      <c r="C6133" s="40"/>
      <c r="D6133" s="25" t="s">
        <v>70</v>
      </c>
      <c r="E6133" s="26"/>
      <c r="F6133" s="48" t="s">
        <v>416</v>
      </c>
      <c r="G6133" s="27" t="str">
        <f t="shared" si="590"/>
        <v/>
      </c>
      <c r="H6133" s="28"/>
      <c r="I6133" s="29"/>
      <c r="J6133" s="152">
        <v>0</v>
      </c>
      <c r="L6133" s="218"/>
      <c r="M6133" s="48"/>
      <c r="N6133" s="27" t="str">
        <f t="shared" si="591"/>
        <v/>
      </c>
      <c r="O6133" s="28"/>
      <c r="P6133" s="36" t="str">
        <f t="shared" si="586"/>
        <v/>
      </c>
      <c r="Q6133" s="216" t="str">
        <f t="shared" si="587"/>
        <v/>
      </c>
      <c r="R6133" s="216" t="str">
        <f t="shared" si="588"/>
        <v/>
      </c>
      <c r="S6133" s="217" t="str">
        <f t="shared" si="589"/>
        <v/>
      </c>
    </row>
    <row r="6134" spans="1:19" ht="15.75" hidden="1" thickBot="1" x14ac:dyDescent="0.3">
      <c r="A6134" s="257"/>
      <c r="B6134" s="260"/>
      <c r="C6134" s="31"/>
      <c r="D6134" s="31"/>
      <c r="E6134" s="32"/>
      <c r="F6134" s="53" t="s">
        <v>416</v>
      </c>
      <c r="G6134" s="53" t="str">
        <f t="shared" si="590"/>
        <v/>
      </c>
      <c r="H6134" s="72"/>
      <c r="I6134" s="73"/>
      <c r="J6134" s="152">
        <v>0</v>
      </c>
      <c r="L6134" s="219"/>
      <c r="M6134" s="53"/>
      <c r="N6134" s="53" t="str">
        <f t="shared" si="591"/>
        <v/>
      </c>
      <c r="O6134" s="72"/>
      <c r="P6134" s="36" t="str">
        <f t="shared" si="586"/>
        <v/>
      </c>
      <c r="Q6134" s="216" t="str">
        <f t="shared" si="587"/>
        <v/>
      </c>
      <c r="R6134" s="216" t="str">
        <f t="shared" si="588"/>
        <v/>
      </c>
      <c r="S6134" s="217" t="str">
        <f t="shared" si="589"/>
        <v/>
      </c>
    </row>
    <row r="6135" spans="1:19" ht="51.75" hidden="1" thickBot="1" x14ac:dyDescent="0.3">
      <c r="A6135" s="257"/>
      <c r="B6135" s="260"/>
      <c r="C6135" s="35" t="s">
        <v>8324</v>
      </c>
      <c r="D6135" s="35" t="s">
        <v>213</v>
      </c>
      <c r="E6135" s="36">
        <f>1/0.13/0.26</f>
        <v>29.585798816568044</v>
      </c>
      <c r="F6135" s="30">
        <v>19</v>
      </c>
      <c r="G6135" s="53">
        <f t="shared" si="590"/>
        <v>562.13017751479288</v>
      </c>
      <c r="H6135" s="38">
        <f>SUM(G6135:G6135)</f>
        <v>562.13017751479288</v>
      </c>
      <c r="I6135" s="39"/>
      <c r="J6135" s="152">
        <v>0</v>
      </c>
      <c r="L6135" s="215">
        <v>29.585798816568044</v>
      </c>
      <c r="M6135" s="30">
        <v>16.263999999999999</v>
      </c>
      <c r="N6135" s="53">
        <f t="shared" si="591"/>
        <v>481.18343195266266</v>
      </c>
      <c r="O6135" s="38">
        <f>SUM(N6135:N6135)</f>
        <v>481.18343195266266</v>
      </c>
      <c r="P6135" s="36" t="str">
        <f t="shared" si="586"/>
        <v/>
      </c>
      <c r="Q6135" s="216">
        <f t="shared" si="587"/>
        <v>0.14400000000000002</v>
      </c>
      <c r="R6135" s="216">
        <f t="shared" si="588"/>
        <v>0.14400000000000013</v>
      </c>
      <c r="S6135" s="217">
        <f t="shared" si="589"/>
        <v>0.14400000000000013</v>
      </c>
    </row>
    <row r="6136" spans="1:19" ht="15.75" hidden="1" thickBot="1" x14ac:dyDescent="0.3">
      <c r="A6136" s="258"/>
      <c r="B6136" s="261"/>
      <c r="C6136" s="54"/>
      <c r="D6136" s="155"/>
      <c r="E6136" s="65"/>
      <c r="F6136" s="75" t="s">
        <v>416</v>
      </c>
      <c r="G6136" s="75" t="str">
        <f t="shared" si="590"/>
        <v/>
      </c>
      <c r="H6136" s="76"/>
      <c r="I6136" s="73"/>
      <c r="J6136" s="152">
        <v>0</v>
      </c>
      <c r="L6136" s="222"/>
      <c r="M6136" s="75"/>
      <c r="N6136" s="75" t="str">
        <f t="shared" si="591"/>
        <v/>
      </c>
      <c r="O6136" s="76"/>
      <c r="P6136" s="36" t="str">
        <f t="shared" si="586"/>
        <v/>
      </c>
      <c r="Q6136" s="216" t="str">
        <f t="shared" si="587"/>
        <v/>
      </c>
      <c r="R6136" s="216" t="str">
        <f t="shared" si="588"/>
        <v/>
      </c>
      <c r="S6136" s="217" t="str">
        <f t="shared" si="589"/>
        <v/>
      </c>
    </row>
    <row r="6137" spans="1:19" ht="15.75" hidden="1" thickBot="1" x14ac:dyDescent="0.3">
      <c r="A6137" s="256" t="s">
        <v>5168</v>
      </c>
      <c r="B6137" s="259" t="str">
        <f>INDEX(Orçamentária!A:B,MATCH(Composições!A6137,Orçamentária!A:A,0),2)</f>
        <v>Solda exotérmica</v>
      </c>
      <c r="C6137" s="40"/>
      <c r="D6137" s="25" t="s">
        <v>16</v>
      </c>
      <c r="E6137" s="26"/>
      <c r="F6137" s="48" t="s">
        <v>416</v>
      </c>
      <c r="G6137" s="27" t="str">
        <f t="shared" si="590"/>
        <v/>
      </c>
      <c r="H6137" s="28"/>
      <c r="I6137" s="29"/>
      <c r="J6137" s="152">
        <v>0</v>
      </c>
      <c r="L6137" s="218"/>
      <c r="M6137" s="48"/>
      <c r="N6137" s="27" t="str">
        <f t="shared" si="591"/>
        <v/>
      </c>
      <c r="O6137" s="28"/>
      <c r="P6137" s="36" t="str">
        <f t="shared" si="586"/>
        <v/>
      </c>
      <c r="Q6137" s="216" t="str">
        <f t="shared" si="587"/>
        <v/>
      </c>
      <c r="R6137" s="216" t="str">
        <f t="shared" si="588"/>
        <v/>
      </c>
      <c r="S6137" s="217" t="str">
        <f t="shared" si="589"/>
        <v/>
      </c>
    </row>
    <row r="6138" spans="1:19" ht="15.75" hidden="1" thickBot="1" x14ac:dyDescent="0.3">
      <c r="A6138" s="257"/>
      <c r="B6138" s="260"/>
      <c r="C6138" s="31"/>
      <c r="D6138" s="31"/>
      <c r="E6138" s="32"/>
      <c r="F6138" s="53" t="s">
        <v>416</v>
      </c>
      <c r="G6138" s="53" t="str">
        <f t="shared" si="590"/>
        <v/>
      </c>
      <c r="H6138" s="72"/>
      <c r="I6138" s="73"/>
      <c r="J6138" s="152">
        <v>0</v>
      </c>
      <c r="L6138" s="219"/>
      <c r="M6138" s="53"/>
      <c r="N6138" s="53" t="str">
        <f t="shared" si="591"/>
        <v/>
      </c>
      <c r="O6138" s="72"/>
      <c r="P6138" s="36" t="str">
        <f t="shared" si="586"/>
        <v/>
      </c>
      <c r="Q6138" s="216" t="str">
        <f t="shared" si="587"/>
        <v/>
      </c>
      <c r="R6138" s="216" t="str">
        <f t="shared" si="588"/>
        <v/>
      </c>
      <c r="S6138" s="217" t="str">
        <f t="shared" si="589"/>
        <v/>
      </c>
    </row>
    <row r="6139" spans="1:19" ht="15.75" hidden="1" thickBot="1" x14ac:dyDescent="0.3">
      <c r="A6139" s="257"/>
      <c r="B6139" s="260"/>
      <c r="C6139" s="35" t="s">
        <v>1018</v>
      </c>
      <c r="D6139" s="35" t="s">
        <v>583</v>
      </c>
      <c r="E6139" s="36">
        <v>0.08</v>
      </c>
      <c r="F6139" s="30">
        <v>27.835000000000001</v>
      </c>
      <c r="G6139" s="53">
        <f t="shared" si="590"/>
        <v>2.2268000000000003</v>
      </c>
      <c r="H6139" s="38">
        <f>SUM(G6139:G6143)</f>
        <v>3.84484</v>
      </c>
      <c r="I6139" s="39"/>
      <c r="J6139" s="152">
        <v>0</v>
      </c>
      <c r="L6139" s="215">
        <v>0.08</v>
      </c>
      <c r="M6139" s="30">
        <v>23.82676</v>
      </c>
      <c r="N6139" s="53">
        <f t="shared" si="591"/>
        <v>1.9061408</v>
      </c>
      <c r="O6139" s="38">
        <f>SUM(N6139:N6143)</f>
        <v>3.2911830399999999</v>
      </c>
      <c r="P6139" s="36" t="str">
        <f t="shared" si="586"/>
        <v/>
      </c>
      <c r="Q6139" s="216">
        <f t="shared" si="587"/>
        <v>0.14400000000000002</v>
      </c>
      <c r="R6139" s="216">
        <f t="shared" si="588"/>
        <v>0.14400000000000013</v>
      </c>
      <c r="S6139" s="217">
        <f t="shared" si="589"/>
        <v>0.14400000000000002</v>
      </c>
    </row>
    <row r="6140" spans="1:19" ht="15.75" hidden="1" thickBot="1" x14ac:dyDescent="0.3">
      <c r="A6140" s="257"/>
      <c r="B6140" s="260"/>
      <c r="C6140" s="35" t="s">
        <v>584</v>
      </c>
      <c r="D6140" s="35" t="s">
        <v>583</v>
      </c>
      <c r="E6140" s="36">
        <v>0.08</v>
      </c>
      <c r="F6140" s="30">
        <v>20.225499999999997</v>
      </c>
      <c r="G6140" s="53">
        <f t="shared" si="590"/>
        <v>1.6180399999999997</v>
      </c>
      <c r="H6140" s="43"/>
      <c r="I6140" s="39"/>
      <c r="J6140" s="152">
        <v>0</v>
      </c>
      <c r="L6140" s="215">
        <v>0.08</v>
      </c>
      <c r="M6140" s="30">
        <v>17.313027999999996</v>
      </c>
      <c r="N6140" s="53">
        <f t="shared" si="591"/>
        <v>1.3850422399999998</v>
      </c>
      <c r="O6140" s="43"/>
      <c r="P6140" s="36" t="str">
        <f t="shared" si="586"/>
        <v/>
      </c>
      <c r="Q6140" s="216">
        <f t="shared" si="587"/>
        <v>0.14400000000000013</v>
      </c>
      <c r="R6140" s="216">
        <f t="shared" si="588"/>
        <v>0.14400000000000002</v>
      </c>
      <c r="S6140" s="217" t="str">
        <f t="shared" si="589"/>
        <v/>
      </c>
    </row>
    <row r="6141" spans="1:19" ht="15.75" hidden="1" thickBot="1" x14ac:dyDescent="0.3">
      <c r="A6141" s="257"/>
      <c r="B6141" s="260"/>
      <c r="C6141" s="35" t="s">
        <v>5542</v>
      </c>
      <c r="D6141" s="35" t="s">
        <v>16</v>
      </c>
      <c r="E6141" s="36">
        <v>1</v>
      </c>
      <c r="F6141" s="30">
        <v>0</v>
      </c>
      <c r="G6141" s="53">
        <f t="shared" si="590"/>
        <v>0</v>
      </c>
      <c r="H6141" s="43"/>
      <c r="I6141" s="39"/>
      <c r="J6141" s="152">
        <v>0</v>
      </c>
      <c r="L6141" s="215">
        <v>1</v>
      </c>
      <c r="M6141" s="30">
        <v>0</v>
      </c>
      <c r="N6141" s="53">
        <f t="shared" si="591"/>
        <v>0</v>
      </c>
      <c r="O6141" s="43"/>
      <c r="P6141" s="36" t="str">
        <f t="shared" si="586"/>
        <v/>
      </c>
      <c r="Q6141" s="216" t="e">
        <f t="shared" si="587"/>
        <v>#DIV/0!</v>
      </c>
      <c r="R6141" s="216" t="e">
        <f t="shared" si="588"/>
        <v>#DIV/0!</v>
      </c>
      <c r="S6141" s="217" t="str">
        <f t="shared" si="589"/>
        <v/>
      </c>
    </row>
    <row r="6142" spans="1:19" ht="15.75" hidden="1" thickBot="1" x14ac:dyDescent="0.3">
      <c r="A6142" s="257"/>
      <c r="B6142" s="260"/>
      <c r="C6142" s="35" t="s">
        <v>5543</v>
      </c>
      <c r="D6142" s="35" t="s">
        <v>16</v>
      </c>
      <c r="E6142" s="36">
        <v>1</v>
      </c>
      <c r="F6142" s="30">
        <v>0</v>
      </c>
      <c r="G6142" s="53">
        <f t="shared" si="590"/>
        <v>0</v>
      </c>
      <c r="H6142" s="43"/>
      <c r="I6142" s="39"/>
      <c r="J6142" s="152">
        <v>0</v>
      </c>
      <c r="L6142" s="215">
        <v>1</v>
      </c>
      <c r="M6142" s="30">
        <v>0</v>
      </c>
      <c r="N6142" s="53">
        <f t="shared" si="591"/>
        <v>0</v>
      </c>
      <c r="O6142" s="43"/>
      <c r="P6142" s="36" t="str">
        <f t="shared" si="586"/>
        <v/>
      </c>
      <c r="Q6142" s="216" t="e">
        <f t="shared" si="587"/>
        <v>#DIV/0!</v>
      </c>
      <c r="R6142" s="216" t="e">
        <f t="shared" si="588"/>
        <v>#DIV/0!</v>
      </c>
      <c r="S6142" s="217" t="str">
        <f t="shared" si="589"/>
        <v/>
      </c>
    </row>
    <row r="6143" spans="1:19" ht="15.75" hidden="1" thickBot="1" x14ac:dyDescent="0.3">
      <c r="A6143" s="257"/>
      <c r="B6143" s="260"/>
      <c r="C6143" s="35" t="s">
        <v>5544</v>
      </c>
      <c r="D6143" s="35" t="s">
        <v>16</v>
      </c>
      <c r="E6143" s="36">
        <v>0.04</v>
      </c>
      <c r="F6143" s="30">
        <v>0</v>
      </c>
      <c r="G6143" s="53">
        <f t="shared" si="590"/>
        <v>0</v>
      </c>
      <c r="H6143" s="43"/>
      <c r="I6143" s="39"/>
      <c r="J6143" s="152">
        <v>0</v>
      </c>
      <c r="L6143" s="215">
        <v>0.04</v>
      </c>
      <c r="M6143" s="30">
        <v>0</v>
      </c>
      <c r="N6143" s="53">
        <f t="shared" si="591"/>
        <v>0</v>
      </c>
      <c r="O6143" s="43"/>
      <c r="P6143" s="36" t="str">
        <f t="shared" si="586"/>
        <v/>
      </c>
      <c r="Q6143" s="216" t="e">
        <f t="shared" si="587"/>
        <v>#DIV/0!</v>
      </c>
      <c r="R6143" s="216" t="e">
        <f t="shared" si="588"/>
        <v>#DIV/0!</v>
      </c>
      <c r="S6143" s="217" t="str">
        <f t="shared" si="589"/>
        <v/>
      </c>
    </row>
    <row r="6144" spans="1:19" ht="15.75" hidden="1" thickBot="1" x14ac:dyDescent="0.3">
      <c r="A6144" s="258"/>
      <c r="B6144" s="261"/>
      <c r="C6144" s="35"/>
      <c r="D6144" s="35"/>
      <c r="E6144" s="36"/>
      <c r="F6144" s="30" t="s">
        <v>416</v>
      </c>
      <c r="G6144" s="53"/>
      <c r="H6144" s="43"/>
      <c r="I6144" s="39"/>
      <c r="J6144" s="152">
        <v>0</v>
      </c>
      <c r="L6144" s="215"/>
      <c r="M6144" s="30"/>
      <c r="N6144" s="53"/>
      <c r="O6144" s="43"/>
      <c r="P6144" s="36" t="str">
        <f t="shared" si="586"/>
        <v/>
      </c>
      <c r="Q6144" s="216" t="str">
        <f t="shared" si="587"/>
        <v/>
      </c>
      <c r="R6144" s="216" t="str">
        <f t="shared" si="588"/>
        <v/>
      </c>
      <c r="S6144" s="217" t="str">
        <f t="shared" si="589"/>
        <v/>
      </c>
    </row>
    <row r="6145" spans="1:19" ht="15.75" hidden="1" thickBot="1" x14ac:dyDescent="0.3">
      <c r="A6145" s="256" t="s">
        <v>5178</v>
      </c>
      <c r="B6145" s="259" t="str">
        <f>INDEX(Orçamentária!A:B,MATCH(Composições!A6145,Orçamentária!A:A,0),2)</f>
        <v>Cone de sinalização</v>
      </c>
      <c r="C6145" s="40"/>
      <c r="D6145" s="25" t="s">
        <v>16</v>
      </c>
      <c r="E6145" s="26"/>
      <c r="F6145" s="48" t="s">
        <v>416</v>
      </c>
      <c r="G6145" s="27" t="str">
        <f t="shared" ref="G6145:G6184" si="592">IF(ISNUMBER(F6145),E6145*F6145,"")</f>
        <v/>
      </c>
      <c r="H6145" s="28"/>
      <c r="I6145" s="29"/>
      <c r="J6145" s="152">
        <v>0</v>
      </c>
      <c r="L6145" s="218"/>
      <c r="M6145" s="48"/>
      <c r="N6145" s="27" t="str">
        <f t="shared" ref="N6145:N6184" si="593">IF(ISNUMBER(M6145),L6145*M6145,"")</f>
        <v/>
      </c>
      <c r="O6145" s="28"/>
      <c r="P6145" s="36" t="str">
        <f t="shared" si="586"/>
        <v/>
      </c>
      <c r="Q6145" s="216" t="str">
        <f t="shared" si="587"/>
        <v/>
      </c>
      <c r="R6145" s="216" t="str">
        <f t="shared" si="588"/>
        <v/>
      </c>
      <c r="S6145" s="217" t="str">
        <f t="shared" si="589"/>
        <v/>
      </c>
    </row>
    <row r="6146" spans="1:19" ht="15.75" hidden="1" thickBot="1" x14ac:dyDescent="0.3">
      <c r="A6146" s="257"/>
      <c r="B6146" s="260"/>
      <c r="C6146" s="31"/>
      <c r="D6146" s="31"/>
      <c r="E6146" s="32"/>
      <c r="F6146" s="53" t="s">
        <v>416</v>
      </c>
      <c r="G6146" s="53" t="str">
        <f t="shared" si="592"/>
        <v/>
      </c>
      <c r="H6146" s="72"/>
      <c r="I6146" s="73"/>
      <c r="J6146" s="152">
        <v>0</v>
      </c>
      <c r="L6146" s="219"/>
      <c r="M6146" s="53"/>
      <c r="N6146" s="53" t="str">
        <f t="shared" si="593"/>
        <v/>
      </c>
      <c r="O6146" s="72"/>
      <c r="P6146" s="36" t="str">
        <f t="shared" si="586"/>
        <v/>
      </c>
      <c r="Q6146" s="216" t="str">
        <f t="shared" si="587"/>
        <v/>
      </c>
      <c r="R6146" s="216" t="str">
        <f t="shared" si="588"/>
        <v/>
      </c>
      <c r="S6146" s="217" t="str">
        <f t="shared" si="589"/>
        <v/>
      </c>
    </row>
    <row r="6147" spans="1:19" ht="26.25" hidden="1" thickBot="1" x14ac:dyDescent="0.3">
      <c r="A6147" s="257"/>
      <c r="B6147" s="260"/>
      <c r="C6147" s="35" t="s">
        <v>8081</v>
      </c>
      <c r="D6147" s="35" t="s">
        <v>213</v>
      </c>
      <c r="E6147" s="36">
        <v>1</v>
      </c>
      <c r="F6147" s="30">
        <v>39.9</v>
      </c>
      <c r="G6147" s="53">
        <f t="shared" si="592"/>
        <v>39.9</v>
      </c>
      <c r="H6147" s="38">
        <f>SUM(G6147:G6147)</f>
        <v>39.9</v>
      </c>
      <c r="I6147" s="39"/>
      <c r="J6147" s="152">
        <v>0</v>
      </c>
      <c r="L6147" s="215">
        <v>1</v>
      </c>
      <c r="M6147" s="30">
        <v>34.154399999999995</v>
      </c>
      <c r="N6147" s="53">
        <f t="shared" si="593"/>
        <v>34.154399999999995</v>
      </c>
      <c r="O6147" s="38">
        <f>SUM(N6147:N6147)</f>
        <v>34.154399999999995</v>
      </c>
      <c r="P6147" s="36" t="str">
        <f t="shared" si="586"/>
        <v/>
      </c>
      <c r="Q6147" s="216">
        <f t="shared" si="587"/>
        <v>0.14400000000000013</v>
      </c>
      <c r="R6147" s="216">
        <f t="shared" si="588"/>
        <v>0.14400000000000013</v>
      </c>
      <c r="S6147" s="217">
        <f t="shared" si="589"/>
        <v>0.14400000000000013</v>
      </c>
    </row>
    <row r="6148" spans="1:19" ht="15.75" hidden="1" thickBot="1" x14ac:dyDescent="0.3">
      <c r="A6148" s="258"/>
      <c r="B6148" s="261"/>
      <c r="C6148" s="54"/>
      <c r="D6148" s="155"/>
      <c r="E6148" s="65"/>
      <c r="F6148" s="75" t="s">
        <v>416</v>
      </c>
      <c r="G6148" s="75" t="str">
        <f t="shared" si="592"/>
        <v/>
      </c>
      <c r="H6148" s="76"/>
      <c r="I6148" s="73"/>
      <c r="J6148" s="152">
        <v>0</v>
      </c>
      <c r="L6148" s="222"/>
      <c r="M6148" s="75"/>
      <c r="N6148" s="75" t="str">
        <f t="shared" si="593"/>
        <v/>
      </c>
      <c r="O6148" s="76"/>
      <c r="P6148" s="36" t="str">
        <f t="shared" si="586"/>
        <v/>
      </c>
      <c r="Q6148" s="216" t="str">
        <f t="shared" si="587"/>
        <v/>
      </c>
      <c r="R6148" s="216" t="str">
        <f t="shared" si="588"/>
        <v/>
      </c>
      <c r="S6148" s="217" t="str">
        <f t="shared" si="589"/>
        <v/>
      </c>
    </row>
    <row r="6149" spans="1:19" ht="15.75" hidden="1" thickBot="1" x14ac:dyDescent="0.3">
      <c r="A6149" s="256" t="s">
        <v>5288</v>
      </c>
      <c r="B6149" s="259" t="str">
        <f>INDEX(Orçamentária!A:B,MATCH(Composições!A6149,Orçamentária!A:A,0),2)</f>
        <v>Alicate crimpador com catraca para terminal RJ45</v>
      </c>
      <c r="C6149" s="40"/>
      <c r="D6149" s="25" t="s">
        <v>16</v>
      </c>
      <c r="E6149" s="26"/>
      <c r="F6149" s="48" t="s">
        <v>416</v>
      </c>
      <c r="G6149" s="27" t="str">
        <f t="shared" si="592"/>
        <v/>
      </c>
      <c r="H6149" s="28"/>
      <c r="I6149" s="29"/>
      <c r="J6149" s="152">
        <v>0</v>
      </c>
      <c r="L6149" s="218"/>
      <c r="M6149" s="48"/>
      <c r="N6149" s="27" t="str">
        <f t="shared" si="593"/>
        <v/>
      </c>
      <c r="O6149" s="28"/>
      <c r="P6149" s="36" t="str">
        <f t="shared" si="586"/>
        <v/>
      </c>
      <c r="Q6149" s="216" t="str">
        <f t="shared" si="587"/>
        <v/>
      </c>
      <c r="R6149" s="216" t="str">
        <f t="shared" si="588"/>
        <v/>
      </c>
      <c r="S6149" s="217" t="str">
        <f t="shared" si="589"/>
        <v/>
      </c>
    </row>
    <row r="6150" spans="1:19" ht="15.75" hidden="1" thickBot="1" x14ac:dyDescent="0.3">
      <c r="A6150" s="257"/>
      <c r="B6150" s="260"/>
      <c r="C6150" s="31"/>
      <c r="D6150" s="31"/>
      <c r="E6150" s="32"/>
      <c r="F6150" s="53" t="s">
        <v>416</v>
      </c>
      <c r="G6150" s="53" t="str">
        <f t="shared" si="592"/>
        <v/>
      </c>
      <c r="H6150" s="72"/>
      <c r="I6150" s="73"/>
      <c r="J6150" s="152">
        <v>0</v>
      </c>
      <c r="L6150" s="219"/>
      <c r="M6150" s="53"/>
      <c r="N6150" s="53" t="str">
        <f t="shared" si="593"/>
        <v/>
      </c>
      <c r="O6150" s="72"/>
      <c r="P6150" s="36" t="str">
        <f t="shared" si="586"/>
        <v/>
      </c>
      <c r="Q6150" s="216" t="str">
        <f t="shared" si="587"/>
        <v/>
      </c>
      <c r="R6150" s="216" t="str">
        <f t="shared" si="588"/>
        <v/>
      </c>
      <c r="S6150" s="217" t="str">
        <f t="shared" si="589"/>
        <v/>
      </c>
    </row>
    <row r="6151" spans="1:19" ht="15.75" hidden="1" thickBot="1" x14ac:dyDescent="0.3">
      <c r="A6151" s="257"/>
      <c r="B6151" s="260"/>
      <c r="C6151" s="35" t="s">
        <v>7978</v>
      </c>
      <c r="D6151" s="35" t="s">
        <v>213</v>
      </c>
      <c r="E6151" s="36">
        <v>1</v>
      </c>
      <c r="F6151" s="30">
        <v>143.56399999999999</v>
      </c>
      <c r="G6151" s="53">
        <f t="shared" si="592"/>
        <v>143.56399999999999</v>
      </c>
      <c r="H6151" s="38">
        <f>SUM(G6151:G6151)</f>
        <v>143.56399999999999</v>
      </c>
      <c r="I6151" s="39"/>
      <c r="J6151" s="152">
        <v>0</v>
      </c>
      <c r="L6151" s="215">
        <v>1</v>
      </c>
      <c r="M6151" s="30">
        <v>122.890784</v>
      </c>
      <c r="N6151" s="53">
        <f t="shared" si="593"/>
        <v>122.890784</v>
      </c>
      <c r="O6151" s="38">
        <f>SUM(N6151:N6151)</f>
        <v>122.890784</v>
      </c>
      <c r="P6151" s="36" t="str">
        <f t="shared" si="586"/>
        <v/>
      </c>
      <c r="Q6151" s="216">
        <f t="shared" si="587"/>
        <v>0.14400000000000002</v>
      </c>
      <c r="R6151" s="216">
        <f t="shared" si="588"/>
        <v>0.14400000000000002</v>
      </c>
      <c r="S6151" s="217">
        <f t="shared" si="589"/>
        <v>0.14400000000000002</v>
      </c>
    </row>
    <row r="6152" spans="1:19" ht="15.75" hidden="1" thickBot="1" x14ac:dyDescent="0.3">
      <c r="A6152" s="258"/>
      <c r="B6152" s="261"/>
      <c r="C6152" s="54"/>
      <c r="D6152" s="155"/>
      <c r="E6152" s="65"/>
      <c r="F6152" s="75" t="s">
        <v>416</v>
      </c>
      <c r="G6152" s="75" t="str">
        <f t="shared" si="592"/>
        <v/>
      </c>
      <c r="H6152" s="76"/>
      <c r="I6152" s="73"/>
      <c r="J6152" s="152">
        <v>0</v>
      </c>
      <c r="L6152" s="222"/>
      <c r="M6152" s="75"/>
      <c r="N6152" s="75" t="str">
        <f t="shared" si="593"/>
        <v/>
      </c>
      <c r="O6152" s="76"/>
      <c r="P6152" s="36" t="str">
        <f t="shared" ref="P6152:P6215" si="594">IF(ISBLANK(L6152),"",IF($E6152&lt;&gt;L6152,"SIM",""))</f>
        <v/>
      </c>
      <c r="Q6152" s="216" t="str">
        <f t="shared" ref="Q6152:Q6215" si="595">IF(M6152="","",1-M6152/$F6152)</f>
        <v/>
      </c>
      <c r="R6152" s="216" t="str">
        <f t="shared" ref="R6152:R6215" si="596">IF(N6152="","",1-N6152/$G6152)</f>
        <v/>
      </c>
      <c r="S6152" s="217" t="str">
        <f t="shared" ref="S6152:S6215" si="597">IF(O6152="","",1-O6152/$H6152)</f>
        <v/>
      </c>
    </row>
    <row r="6153" spans="1:19" ht="15.75" hidden="1" thickBot="1" x14ac:dyDescent="0.3">
      <c r="A6153" s="256" t="s">
        <v>5377</v>
      </c>
      <c r="B6153" s="259" t="str">
        <f>INDEX(Orçamentária!A:B,MATCH(Composições!A6153,Orçamentária!A:A,0),2)</f>
        <v>Protetor solar</v>
      </c>
      <c r="C6153" s="40"/>
      <c r="D6153" s="25" t="s">
        <v>75</v>
      </c>
      <c r="E6153" s="26"/>
      <c r="F6153" s="48" t="s">
        <v>416</v>
      </c>
      <c r="G6153" s="27" t="str">
        <f t="shared" si="592"/>
        <v/>
      </c>
      <c r="H6153" s="28"/>
      <c r="I6153" s="29"/>
      <c r="J6153" s="152">
        <v>0</v>
      </c>
      <c r="L6153" s="218"/>
      <c r="M6153" s="48"/>
      <c r="N6153" s="27" t="str">
        <f t="shared" si="593"/>
        <v/>
      </c>
      <c r="O6153" s="28"/>
      <c r="P6153" s="36" t="str">
        <f t="shared" si="594"/>
        <v/>
      </c>
      <c r="Q6153" s="216" t="str">
        <f t="shared" si="595"/>
        <v/>
      </c>
      <c r="R6153" s="216" t="str">
        <f t="shared" si="596"/>
        <v/>
      </c>
      <c r="S6153" s="217" t="str">
        <f t="shared" si="597"/>
        <v/>
      </c>
    </row>
    <row r="6154" spans="1:19" ht="15.75" hidden="1" thickBot="1" x14ac:dyDescent="0.3">
      <c r="A6154" s="257"/>
      <c r="B6154" s="260"/>
      <c r="C6154" s="31"/>
      <c r="D6154" s="31"/>
      <c r="E6154" s="32"/>
      <c r="F6154" s="53" t="s">
        <v>416</v>
      </c>
      <c r="G6154" s="53" t="str">
        <f t="shared" si="592"/>
        <v/>
      </c>
      <c r="H6154" s="72"/>
      <c r="I6154" s="73"/>
      <c r="J6154" s="152">
        <v>0</v>
      </c>
      <c r="L6154" s="219"/>
      <c r="M6154" s="53"/>
      <c r="N6154" s="53" t="str">
        <f t="shared" si="593"/>
        <v/>
      </c>
      <c r="O6154" s="72"/>
      <c r="P6154" s="36" t="str">
        <f t="shared" si="594"/>
        <v/>
      </c>
      <c r="Q6154" s="216" t="str">
        <f t="shared" si="595"/>
        <v/>
      </c>
      <c r="R6154" s="216" t="str">
        <f t="shared" si="596"/>
        <v/>
      </c>
      <c r="S6154" s="217" t="str">
        <f t="shared" si="597"/>
        <v/>
      </c>
    </row>
    <row r="6155" spans="1:19" ht="15.75" hidden="1" thickBot="1" x14ac:dyDescent="0.3">
      <c r="A6155" s="257"/>
      <c r="B6155" s="260"/>
      <c r="C6155" s="35" t="s">
        <v>8341</v>
      </c>
      <c r="D6155" s="35" t="s">
        <v>213</v>
      </c>
      <c r="E6155" s="36">
        <v>0.5</v>
      </c>
      <c r="F6155" s="30">
        <v>229.976</v>
      </c>
      <c r="G6155" s="53">
        <f t="shared" si="592"/>
        <v>114.988</v>
      </c>
      <c r="H6155" s="38">
        <f>SUM(G6155:G6155)</f>
        <v>114.988</v>
      </c>
      <c r="I6155" s="39"/>
      <c r="J6155" s="152">
        <v>0</v>
      </c>
      <c r="L6155" s="215">
        <v>0.5</v>
      </c>
      <c r="M6155" s="30">
        <v>196.85945599999999</v>
      </c>
      <c r="N6155" s="53">
        <f t="shared" si="593"/>
        <v>98.429727999999997</v>
      </c>
      <c r="O6155" s="38">
        <f>SUM(N6155:N6155)</f>
        <v>98.429727999999997</v>
      </c>
      <c r="P6155" s="36" t="str">
        <f t="shared" si="594"/>
        <v/>
      </c>
      <c r="Q6155" s="216">
        <f t="shared" si="595"/>
        <v>0.14400000000000002</v>
      </c>
      <c r="R6155" s="216">
        <f t="shared" si="596"/>
        <v>0.14400000000000002</v>
      </c>
      <c r="S6155" s="217">
        <f t="shared" si="597"/>
        <v>0.14400000000000002</v>
      </c>
    </row>
    <row r="6156" spans="1:19" ht="15.75" hidden="1" thickBot="1" x14ac:dyDescent="0.3">
      <c r="A6156" s="258"/>
      <c r="B6156" s="261"/>
      <c r="C6156" s="54"/>
      <c r="D6156" s="155"/>
      <c r="E6156" s="65"/>
      <c r="F6156" s="75" t="s">
        <v>416</v>
      </c>
      <c r="G6156" s="75" t="str">
        <f t="shared" si="592"/>
        <v/>
      </c>
      <c r="H6156" s="76"/>
      <c r="I6156" s="73"/>
      <c r="J6156" s="152">
        <v>0</v>
      </c>
      <c r="L6156" s="222"/>
      <c r="M6156" s="75"/>
      <c r="N6156" s="75" t="str">
        <f t="shared" si="593"/>
        <v/>
      </c>
      <c r="O6156" s="76"/>
      <c r="P6156" s="36" t="str">
        <f t="shared" si="594"/>
        <v/>
      </c>
      <c r="Q6156" s="216" t="str">
        <f t="shared" si="595"/>
        <v/>
      </c>
      <c r="R6156" s="216" t="str">
        <f t="shared" si="596"/>
        <v/>
      </c>
      <c r="S6156" s="217" t="str">
        <f t="shared" si="597"/>
        <v/>
      </c>
    </row>
    <row r="6157" spans="1:19" ht="15.75" hidden="1" thickBot="1" x14ac:dyDescent="0.3">
      <c r="A6157" s="256" t="s">
        <v>5379</v>
      </c>
      <c r="B6157" s="259" t="str">
        <f>INDEX(Orçamentária!A:B,MATCH(Composições!A6157,Orçamentária!A:A,0),2)</f>
        <v>Carpete em placa para o Bloco 2 (Interlegis) - fornecimento e instalação</v>
      </c>
      <c r="C6157" s="40"/>
      <c r="D6157" s="25" t="s">
        <v>70</v>
      </c>
      <c r="E6157" s="26"/>
      <c r="F6157" s="41" t="s">
        <v>416</v>
      </c>
      <c r="G6157" s="27" t="str">
        <f t="shared" si="592"/>
        <v/>
      </c>
      <c r="H6157" s="28"/>
      <c r="I6157" s="29"/>
      <c r="J6157" s="152">
        <v>0</v>
      </c>
      <c r="L6157" s="218"/>
      <c r="M6157" s="41"/>
      <c r="N6157" s="27" t="str">
        <f t="shared" si="593"/>
        <v/>
      </c>
      <c r="O6157" s="28"/>
      <c r="P6157" s="36" t="str">
        <f t="shared" si="594"/>
        <v/>
      </c>
      <c r="Q6157" s="216" t="str">
        <f t="shared" si="595"/>
        <v/>
      </c>
      <c r="R6157" s="216" t="str">
        <f t="shared" si="596"/>
        <v/>
      </c>
      <c r="S6157" s="217" t="str">
        <f t="shared" si="597"/>
        <v/>
      </c>
    </row>
    <row r="6158" spans="1:19" ht="15.75" hidden="1" thickBot="1" x14ac:dyDescent="0.3">
      <c r="A6158" s="262"/>
      <c r="B6158" s="260"/>
      <c r="C6158" s="31"/>
      <c r="D6158" s="31"/>
      <c r="E6158" s="32"/>
      <c r="F6158" s="42" t="s">
        <v>416</v>
      </c>
      <c r="G6158" s="30" t="str">
        <f t="shared" si="592"/>
        <v/>
      </c>
      <c r="H6158" s="34"/>
      <c r="I6158" s="30"/>
      <c r="J6158" s="152">
        <v>0</v>
      </c>
      <c r="L6158" s="219"/>
      <c r="M6158" s="42"/>
      <c r="N6158" s="30" t="str">
        <f t="shared" si="593"/>
        <v/>
      </c>
      <c r="O6158" s="34"/>
      <c r="P6158" s="36" t="str">
        <f t="shared" si="594"/>
        <v/>
      </c>
      <c r="Q6158" s="216" t="str">
        <f t="shared" si="595"/>
        <v/>
      </c>
      <c r="R6158" s="216" t="str">
        <f t="shared" si="596"/>
        <v/>
      </c>
      <c r="S6158" s="217" t="str">
        <f t="shared" si="597"/>
        <v/>
      </c>
    </row>
    <row r="6159" spans="1:19" ht="15.75" hidden="1" thickBot="1" x14ac:dyDescent="0.3">
      <c r="A6159" s="262"/>
      <c r="B6159" s="260"/>
      <c r="C6159" s="35" t="s">
        <v>591</v>
      </c>
      <c r="D6159" s="35" t="s">
        <v>583</v>
      </c>
      <c r="E6159" s="36">
        <f>0.1*1.3</f>
        <v>0.13</v>
      </c>
      <c r="F6159" s="30">
        <v>27.160499999999999</v>
      </c>
      <c r="G6159" s="33">
        <f t="shared" si="592"/>
        <v>3.5308649999999999</v>
      </c>
      <c r="H6159" s="38">
        <f>SUM(G6159:G6166)</f>
        <v>16.577879999999997</v>
      </c>
      <c r="I6159" s="39"/>
      <c r="J6159" s="152">
        <v>0</v>
      </c>
      <c r="L6159" s="215">
        <v>0.13</v>
      </c>
      <c r="M6159" s="30">
        <v>23.249388</v>
      </c>
      <c r="N6159" s="33">
        <f t="shared" si="593"/>
        <v>3.0224204399999999</v>
      </c>
      <c r="O6159" s="38">
        <f>SUM(N6159:N6166)</f>
        <v>14.190665279999999</v>
      </c>
      <c r="P6159" s="36" t="str">
        <f t="shared" si="594"/>
        <v/>
      </c>
      <c r="Q6159" s="216">
        <f t="shared" si="595"/>
        <v>0.14400000000000002</v>
      </c>
      <c r="R6159" s="216">
        <f t="shared" si="596"/>
        <v>0.14400000000000002</v>
      </c>
      <c r="S6159" s="217">
        <f t="shared" si="597"/>
        <v>0.14399999999999991</v>
      </c>
    </row>
    <row r="6160" spans="1:19" ht="15.75" hidden="1" thickBot="1" x14ac:dyDescent="0.3">
      <c r="A6160" s="262"/>
      <c r="B6160" s="260"/>
      <c r="C6160" s="35" t="s">
        <v>584</v>
      </c>
      <c r="D6160" s="35" t="s">
        <v>583</v>
      </c>
      <c r="E6160" s="36">
        <f>0.1*1.3</f>
        <v>0.13</v>
      </c>
      <c r="F6160" s="30">
        <v>20.225499999999997</v>
      </c>
      <c r="G6160" s="33">
        <f t="shared" si="592"/>
        <v>2.6293149999999996</v>
      </c>
      <c r="H6160" s="34"/>
      <c r="I6160" s="30"/>
      <c r="J6160" s="152">
        <v>0</v>
      </c>
      <c r="L6160" s="215">
        <v>0.13</v>
      </c>
      <c r="M6160" s="30">
        <v>17.313027999999996</v>
      </c>
      <c r="N6160" s="33">
        <f t="shared" si="593"/>
        <v>2.2506936399999997</v>
      </c>
      <c r="O6160" s="34"/>
      <c r="P6160" s="36" t="str">
        <f t="shared" si="594"/>
        <v/>
      </c>
      <c r="Q6160" s="216">
        <f t="shared" si="595"/>
        <v>0.14400000000000013</v>
      </c>
      <c r="R6160" s="216">
        <f t="shared" si="596"/>
        <v>0.14400000000000002</v>
      </c>
      <c r="S6160" s="217" t="str">
        <f t="shared" si="597"/>
        <v/>
      </c>
    </row>
    <row r="6161" spans="1:19" ht="15.75" hidden="1" thickBot="1" x14ac:dyDescent="0.3">
      <c r="A6161" s="262"/>
      <c r="B6161" s="260"/>
      <c r="C6161" s="35" t="s">
        <v>5582</v>
      </c>
      <c r="D6161" s="35" t="s">
        <v>773</v>
      </c>
      <c r="E6161" s="36">
        <v>0.1</v>
      </c>
      <c r="F6161" s="33" t="s">
        <v>416</v>
      </c>
      <c r="G6161" s="30" t="str">
        <f t="shared" si="592"/>
        <v/>
      </c>
      <c r="H6161" s="34"/>
      <c r="I6161" s="30"/>
      <c r="J6161" s="152">
        <v>0</v>
      </c>
      <c r="L6161" s="215">
        <v>0.1</v>
      </c>
      <c r="M6161" s="33"/>
      <c r="N6161" s="30" t="str">
        <f t="shared" si="593"/>
        <v/>
      </c>
      <c r="O6161" s="34"/>
      <c r="P6161" s="36" t="str">
        <f t="shared" si="594"/>
        <v/>
      </c>
      <c r="Q6161" s="216" t="str">
        <f t="shared" si="595"/>
        <v/>
      </c>
      <c r="R6161" s="216" t="str">
        <f t="shared" si="596"/>
        <v/>
      </c>
      <c r="S6161" s="217" t="str">
        <f t="shared" si="597"/>
        <v/>
      </c>
    </row>
    <row r="6162" spans="1:19" ht="26.25" hidden="1" thickBot="1" x14ac:dyDescent="0.3">
      <c r="A6162" s="262"/>
      <c r="B6162" s="260"/>
      <c r="C6162" s="35" t="s">
        <v>5583</v>
      </c>
      <c r="D6162" s="35" t="s">
        <v>70</v>
      </c>
      <c r="E6162" s="36">
        <v>1.1000000000000001</v>
      </c>
      <c r="F6162" s="30" t="s">
        <v>416</v>
      </c>
      <c r="G6162" s="33" t="str">
        <f t="shared" si="592"/>
        <v/>
      </c>
      <c r="H6162" s="34"/>
      <c r="I6162" s="39"/>
      <c r="J6162" s="152">
        <v>0</v>
      </c>
      <c r="L6162" s="215">
        <v>1.1000000000000001</v>
      </c>
      <c r="M6162" s="30"/>
      <c r="N6162" s="33" t="str">
        <f t="shared" si="593"/>
        <v/>
      </c>
      <c r="O6162" s="34"/>
      <c r="P6162" s="36" t="str">
        <f t="shared" si="594"/>
        <v/>
      </c>
      <c r="Q6162" s="216" t="str">
        <f t="shared" si="595"/>
        <v/>
      </c>
      <c r="R6162" s="216" t="str">
        <f t="shared" si="596"/>
        <v/>
      </c>
      <c r="S6162" s="217" t="str">
        <f t="shared" si="597"/>
        <v/>
      </c>
    </row>
    <row r="6163" spans="1:19" ht="15.75" hidden="1" thickBot="1" x14ac:dyDescent="0.3">
      <c r="A6163" s="262"/>
      <c r="B6163" s="260"/>
      <c r="C6163" s="35" t="s">
        <v>591</v>
      </c>
      <c r="D6163" s="35" t="s">
        <v>583</v>
      </c>
      <c r="E6163" s="36">
        <v>0.2</v>
      </c>
      <c r="F6163" s="30">
        <v>27.160499999999999</v>
      </c>
      <c r="G6163" s="33">
        <f t="shared" si="592"/>
        <v>5.4321000000000002</v>
      </c>
      <c r="H6163" s="34"/>
      <c r="I6163" s="30"/>
      <c r="J6163" s="152">
        <v>0</v>
      </c>
      <c r="L6163" s="215">
        <v>0.2</v>
      </c>
      <c r="M6163" s="30">
        <v>23.249388</v>
      </c>
      <c r="N6163" s="33">
        <f t="shared" si="593"/>
        <v>4.6498775999999999</v>
      </c>
      <c r="O6163" s="34"/>
      <c r="P6163" s="36" t="str">
        <f t="shared" si="594"/>
        <v/>
      </c>
      <c r="Q6163" s="216">
        <f t="shared" si="595"/>
        <v>0.14400000000000002</v>
      </c>
      <c r="R6163" s="216">
        <f t="shared" si="596"/>
        <v>0.14400000000000002</v>
      </c>
      <c r="S6163" s="217" t="str">
        <f t="shared" si="597"/>
        <v/>
      </c>
    </row>
    <row r="6164" spans="1:19" ht="15.75" hidden="1" thickBot="1" x14ac:dyDescent="0.3">
      <c r="A6164" s="262"/>
      <c r="B6164" s="260"/>
      <c r="C6164" s="35" t="s">
        <v>584</v>
      </c>
      <c r="D6164" s="35" t="s">
        <v>583</v>
      </c>
      <c r="E6164" s="36">
        <v>0.2</v>
      </c>
      <c r="F6164" s="33">
        <v>20.225499999999997</v>
      </c>
      <c r="G6164" s="30">
        <f t="shared" si="592"/>
        <v>4.0450999999999997</v>
      </c>
      <c r="H6164" s="34"/>
      <c r="I6164" s="30"/>
      <c r="J6164" s="152">
        <v>0</v>
      </c>
      <c r="L6164" s="215">
        <v>0.2</v>
      </c>
      <c r="M6164" s="33">
        <v>17.313027999999996</v>
      </c>
      <c r="N6164" s="30">
        <f t="shared" si="593"/>
        <v>3.4626055999999994</v>
      </c>
      <c r="O6164" s="34"/>
      <c r="P6164" s="36" t="str">
        <f t="shared" si="594"/>
        <v/>
      </c>
      <c r="Q6164" s="216">
        <f t="shared" si="595"/>
        <v>0.14400000000000013</v>
      </c>
      <c r="R6164" s="216">
        <f t="shared" si="596"/>
        <v>0.14400000000000013</v>
      </c>
      <c r="S6164" s="217" t="str">
        <f t="shared" si="597"/>
        <v/>
      </c>
    </row>
    <row r="6165" spans="1:19" ht="15.75" hidden="1" thickBot="1" x14ac:dyDescent="0.3">
      <c r="A6165" s="262"/>
      <c r="B6165" s="260"/>
      <c r="C6165" s="35" t="s">
        <v>8065</v>
      </c>
      <c r="D6165" s="35" t="s">
        <v>773</v>
      </c>
      <c r="E6165" s="36">
        <v>1.5</v>
      </c>
      <c r="F6165" s="30">
        <v>0.627</v>
      </c>
      <c r="G6165" s="33">
        <f t="shared" si="592"/>
        <v>0.9405</v>
      </c>
      <c r="H6165" s="34"/>
      <c r="I6165" s="39"/>
      <c r="J6165" s="152">
        <v>0</v>
      </c>
      <c r="L6165" s="215">
        <v>1.5</v>
      </c>
      <c r="M6165" s="30">
        <v>0.53671199999999997</v>
      </c>
      <c r="N6165" s="33">
        <f t="shared" si="593"/>
        <v>0.80506799999999989</v>
      </c>
      <c r="O6165" s="34"/>
      <c r="P6165" s="36" t="str">
        <f t="shared" si="594"/>
        <v/>
      </c>
      <c r="Q6165" s="216">
        <f t="shared" si="595"/>
        <v>0.14400000000000002</v>
      </c>
      <c r="R6165" s="216">
        <f t="shared" si="596"/>
        <v>0.14400000000000013</v>
      </c>
      <c r="S6165" s="217" t="str">
        <f t="shared" si="597"/>
        <v/>
      </c>
    </row>
    <row r="6166" spans="1:19" ht="15.75" hidden="1" thickBot="1" x14ac:dyDescent="0.3">
      <c r="A6166" s="262"/>
      <c r="B6166" s="260"/>
      <c r="C6166" s="35" t="s">
        <v>1264</v>
      </c>
      <c r="D6166" s="35" t="s">
        <v>773</v>
      </c>
      <c r="E6166" s="36">
        <f>ROUND(E6165*0.1,2)</f>
        <v>0.15</v>
      </c>
      <c r="F6166" s="30" t="s">
        <v>416</v>
      </c>
      <c r="G6166" s="33" t="str">
        <f t="shared" si="592"/>
        <v/>
      </c>
      <c r="H6166" s="34"/>
      <c r="I6166" s="30"/>
      <c r="J6166" s="152">
        <v>0</v>
      </c>
      <c r="L6166" s="215">
        <v>0.15</v>
      </c>
      <c r="M6166" s="30"/>
      <c r="N6166" s="33" t="str">
        <f t="shared" si="593"/>
        <v/>
      </c>
      <c r="O6166" s="34"/>
      <c r="P6166" s="36" t="str">
        <f t="shared" si="594"/>
        <v/>
      </c>
      <c r="Q6166" s="216" t="str">
        <f t="shared" si="595"/>
        <v/>
      </c>
      <c r="R6166" s="216" t="str">
        <f t="shared" si="596"/>
        <v/>
      </c>
      <c r="S6166" s="217" t="str">
        <f t="shared" si="597"/>
        <v/>
      </c>
    </row>
    <row r="6167" spans="1:19" ht="15.75" hidden="1" thickBot="1" x14ac:dyDescent="0.3">
      <c r="A6167" s="263"/>
      <c r="B6167" s="261"/>
      <c r="C6167" s="35"/>
      <c r="D6167" s="35"/>
      <c r="E6167" s="36"/>
      <c r="F6167" s="30" t="s">
        <v>416</v>
      </c>
      <c r="G6167" s="30" t="str">
        <f t="shared" si="592"/>
        <v/>
      </c>
      <c r="H6167" s="34"/>
      <c r="I6167" s="30"/>
      <c r="J6167" s="152">
        <v>0</v>
      </c>
      <c r="L6167" s="215"/>
      <c r="M6167" s="30"/>
      <c r="N6167" s="30" t="str">
        <f t="shared" si="593"/>
        <v/>
      </c>
      <c r="O6167" s="34"/>
      <c r="P6167" s="36" t="str">
        <f t="shared" si="594"/>
        <v/>
      </c>
      <c r="Q6167" s="216" t="str">
        <f t="shared" si="595"/>
        <v/>
      </c>
      <c r="R6167" s="216" t="str">
        <f t="shared" si="596"/>
        <v/>
      </c>
      <c r="S6167" s="217" t="str">
        <f t="shared" si="597"/>
        <v/>
      </c>
    </row>
    <row r="6168" spans="1:19" ht="15.75" hidden="1" thickBot="1" x14ac:dyDescent="0.3">
      <c r="A6168" s="256" t="s">
        <v>5380</v>
      </c>
      <c r="B6168" s="259" t="str">
        <f>INDEX(Orçamentária!A:B,MATCH(Composições!A6168,Orçamentária!A:A,0),2)</f>
        <v>Carpete em rolo para o Bloco 2 (Interlegis) - fornecimento e instalação</v>
      </c>
      <c r="C6168" s="40"/>
      <c r="D6168" s="25" t="s">
        <v>70</v>
      </c>
      <c r="E6168" s="26"/>
      <c r="F6168" s="41" t="s">
        <v>416</v>
      </c>
      <c r="G6168" s="27" t="str">
        <f t="shared" si="592"/>
        <v/>
      </c>
      <c r="H6168" s="28"/>
      <c r="I6168" s="29"/>
      <c r="J6168" s="152">
        <v>0</v>
      </c>
      <c r="L6168" s="218"/>
      <c r="M6168" s="41"/>
      <c r="N6168" s="27" t="str">
        <f t="shared" si="593"/>
        <v/>
      </c>
      <c r="O6168" s="28"/>
      <c r="P6168" s="36" t="str">
        <f t="shared" si="594"/>
        <v/>
      </c>
      <c r="Q6168" s="216" t="str">
        <f t="shared" si="595"/>
        <v/>
      </c>
      <c r="R6168" s="216" t="str">
        <f t="shared" si="596"/>
        <v/>
      </c>
      <c r="S6168" s="217" t="str">
        <f t="shared" si="597"/>
        <v/>
      </c>
    </row>
    <row r="6169" spans="1:19" ht="15.75" hidden="1" thickBot="1" x14ac:dyDescent="0.3">
      <c r="A6169" s="262"/>
      <c r="B6169" s="260"/>
      <c r="C6169" s="31"/>
      <c r="D6169" s="31"/>
      <c r="E6169" s="32"/>
      <c r="F6169" s="42" t="s">
        <v>416</v>
      </c>
      <c r="G6169" s="30" t="str">
        <f t="shared" si="592"/>
        <v/>
      </c>
      <c r="H6169" s="34"/>
      <c r="I6169" s="30"/>
      <c r="J6169" s="152">
        <v>0</v>
      </c>
      <c r="L6169" s="219"/>
      <c r="M6169" s="42"/>
      <c r="N6169" s="30" t="str">
        <f t="shared" si="593"/>
        <v/>
      </c>
      <c r="O6169" s="34"/>
      <c r="P6169" s="36" t="str">
        <f t="shared" si="594"/>
        <v/>
      </c>
      <c r="Q6169" s="216" t="str">
        <f t="shared" si="595"/>
        <v/>
      </c>
      <c r="R6169" s="216" t="str">
        <f t="shared" si="596"/>
        <v/>
      </c>
      <c r="S6169" s="217" t="str">
        <f t="shared" si="597"/>
        <v/>
      </c>
    </row>
    <row r="6170" spans="1:19" ht="15.75" hidden="1" thickBot="1" x14ac:dyDescent="0.3">
      <c r="A6170" s="262"/>
      <c r="B6170" s="260"/>
      <c r="C6170" s="35" t="s">
        <v>591</v>
      </c>
      <c r="D6170" s="35" t="s">
        <v>583</v>
      </c>
      <c r="E6170" s="36">
        <v>0.1</v>
      </c>
      <c r="F6170" s="30">
        <v>27.160499999999999</v>
      </c>
      <c r="G6170" s="33">
        <f t="shared" si="592"/>
        <v>2.7160500000000001</v>
      </c>
      <c r="H6170" s="38">
        <f>SUM(G6170:G6177)</f>
        <v>15.1563</v>
      </c>
      <c r="I6170" s="39"/>
      <c r="J6170" s="152">
        <v>0</v>
      </c>
      <c r="L6170" s="215">
        <v>0.1</v>
      </c>
      <c r="M6170" s="30">
        <v>23.249388</v>
      </c>
      <c r="N6170" s="33">
        <f t="shared" si="593"/>
        <v>2.3249388</v>
      </c>
      <c r="O6170" s="38">
        <f>SUM(N6170:N6177)</f>
        <v>12.9737928</v>
      </c>
      <c r="P6170" s="36" t="str">
        <f t="shared" si="594"/>
        <v/>
      </c>
      <c r="Q6170" s="216">
        <f t="shared" si="595"/>
        <v>0.14400000000000002</v>
      </c>
      <c r="R6170" s="216">
        <f t="shared" si="596"/>
        <v>0.14400000000000002</v>
      </c>
      <c r="S6170" s="217">
        <f t="shared" si="597"/>
        <v>0.14400000000000002</v>
      </c>
    </row>
    <row r="6171" spans="1:19" ht="15.75" hidden="1" thickBot="1" x14ac:dyDescent="0.3">
      <c r="A6171" s="262"/>
      <c r="B6171" s="260"/>
      <c r="C6171" s="35" t="s">
        <v>584</v>
      </c>
      <c r="D6171" s="35" t="s">
        <v>583</v>
      </c>
      <c r="E6171" s="36">
        <v>0.1</v>
      </c>
      <c r="F6171" s="30">
        <v>20.225499999999997</v>
      </c>
      <c r="G6171" s="33">
        <f t="shared" si="592"/>
        <v>2.0225499999999998</v>
      </c>
      <c r="H6171" s="34"/>
      <c r="I6171" s="30"/>
      <c r="J6171" s="152">
        <v>0</v>
      </c>
      <c r="L6171" s="215">
        <v>0.1</v>
      </c>
      <c r="M6171" s="30">
        <v>17.313027999999996</v>
      </c>
      <c r="N6171" s="33">
        <f t="shared" si="593"/>
        <v>1.7313027999999997</v>
      </c>
      <c r="O6171" s="34"/>
      <c r="P6171" s="36" t="str">
        <f t="shared" si="594"/>
        <v/>
      </c>
      <c r="Q6171" s="216">
        <f t="shared" si="595"/>
        <v>0.14400000000000013</v>
      </c>
      <c r="R6171" s="216">
        <f t="shared" si="596"/>
        <v>0.14400000000000013</v>
      </c>
      <c r="S6171" s="217" t="str">
        <f t="shared" si="597"/>
        <v/>
      </c>
    </row>
    <row r="6172" spans="1:19" ht="15.75" hidden="1" thickBot="1" x14ac:dyDescent="0.3">
      <c r="A6172" s="262"/>
      <c r="B6172" s="260"/>
      <c r="C6172" s="35" t="s">
        <v>5582</v>
      </c>
      <c r="D6172" s="35" t="s">
        <v>773</v>
      </c>
      <c r="E6172" s="36">
        <v>0.1</v>
      </c>
      <c r="F6172" s="33" t="s">
        <v>416</v>
      </c>
      <c r="G6172" s="30" t="str">
        <f t="shared" si="592"/>
        <v/>
      </c>
      <c r="H6172" s="34"/>
      <c r="I6172" s="30"/>
      <c r="J6172" s="152">
        <v>0</v>
      </c>
      <c r="L6172" s="215">
        <v>0.1</v>
      </c>
      <c r="M6172" s="33"/>
      <c r="N6172" s="30" t="str">
        <f t="shared" si="593"/>
        <v/>
      </c>
      <c r="O6172" s="34"/>
      <c r="P6172" s="36" t="str">
        <f t="shared" si="594"/>
        <v/>
      </c>
      <c r="Q6172" s="216" t="str">
        <f t="shared" si="595"/>
        <v/>
      </c>
      <c r="R6172" s="216" t="str">
        <f t="shared" si="596"/>
        <v/>
      </c>
      <c r="S6172" s="217" t="str">
        <f t="shared" si="597"/>
        <v/>
      </c>
    </row>
    <row r="6173" spans="1:19" ht="26.25" hidden="1" thickBot="1" x14ac:dyDescent="0.3">
      <c r="A6173" s="262"/>
      <c r="B6173" s="260"/>
      <c r="C6173" s="35" t="s">
        <v>5584</v>
      </c>
      <c r="D6173" s="35" t="s">
        <v>70</v>
      </c>
      <c r="E6173" s="36">
        <v>1.1000000000000001</v>
      </c>
      <c r="F6173" s="30" t="s">
        <v>416</v>
      </c>
      <c r="G6173" s="33" t="str">
        <f t="shared" si="592"/>
        <v/>
      </c>
      <c r="H6173" s="34"/>
      <c r="I6173" s="39"/>
      <c r="J6173" s="152">
        <v>0</v>
      </c>
      <c r="L6173" s="215">
        <v>1.1000000000000001</v>
      </c>
      <c r="M6173" s="30"/>
      <c r="N6173" s="33" t="str">
        <f t="shared" si="593"/>
        <v/>
      </c>
      <c r="O6173" s="34"/>
      <c r="P6173" s="36" t="str">
        <f t="shared" si="594"/>
        <v/>
      </c>
      <c r="Q6173" s="216" t="str">
        <f t="shared" si="595"/>
        <v/>
      </c>
      <c r="R6173" s="216" t="str">
        <f t="shared" si="596"/>
        <v/>
      </c>
      <c r="S6173" s="217" t="str">
        <f t="shared" si="597"/>
        <v/>
      </c>
    </row>
    <row r="6174" spans="1:19" ht="15.75" hidden="1" thickBot="1" x14ac:dyDescent="0.3">
      <c r="A6174" s="262"/>
      <c r="B6174" s="260"/>
      <c r="C6174" s="35" t="s">
        <v>591</v>
      </c>
      <c r="D6174" s="35" t="s">
        <v>583</v>
      </c>
      <c r="E6174" s="36">
        <v>0.2</v>
      </c>
      <c r="F6174" s="30">
        <v>27.160499999999999</v>
      </c>
      <c r="G6174" s="33">
        <f t="shared" si="592"/>
        <v>5.4321000000000002</v>
      </c>
      <c r="H6174" s="34"/>
      <c r="I6174" s="30"/>
      <c r="J6174" s="152">
        <v>0</v>
      </c>
      <c r="L6174" s="215">
        <v>0.2</v>
      </c>
      <c r="M6174" s="30">
        <v>23.249388</v>
      </c>
      <c r="N6174" s="33">
        <f t="shared" si="593"/>
        <v>4.6498775999999999</v>
      </c>
      <c r="O6174" s="34"/>
      <c r="P6174" s="36" t="str">
        <f t="shared" si="594"/>
        <v/>
      </c>
      <c r="Q6174" s="216">
        <f t="shared" si="595"/>
        <v>0.14400000000000002</v>
      </c>
      <c r="R6174" s="216">
        <f t="shared" si="596"/>
        <v>0.14400000000000002</v>
      </c>
      <c r="S6174" s="217" t="str">
        <f t="shared" si="597"/>
        <v/>
      </c>
    </row>
    <row r="6175" spans="1:19" ht="15.75" hidden="1" thickBot="1" x14ac:dyDescent="0.3">
      <c r="A6175" s="262"/>
      <c r="B6175" s="260"/>
      <c r="C6175" s="35" t="s">
        <v>584</v>
      </c>
      <c r="D6175" s="35" t="s">
        <v>583</v>
      </c>
      <c r="E6175" s="36">
        <v>0.2</v>
      </c>
      <c r="F6175" s="33">
        <v>20.225499999999997</v>
      </c>
      <c r="G6175" s="30">
        <f t="shared" si="592"/>
        <v>4.0450999999999997</v>
      </c>
      <c r="H6175" s="34"/>
      <c r="I6175" s="30"/>
      <c r="J6175" s="152">
        <v>0</v>
      </c>
      <c r="L6175" s="215">
        <v>0.2</v>
      </c>
      <c r="M6175" s="33">
        <v>17.313027999999996</v>
      </c>
      <c r="N6175" s="30">
        <f t="shared" si="593"/>
        <v>3.4626055999999994</v>
      </c>
      <c r="O6175" s="34"/>
      <c r="P6175" s="36" t="str">
        <f t="shared" si="594"/>
        <v/>
      </c>
      <c r="Q6175" s="216">
        <f t="shared" si="595"/>
        <v>0.14400000000000013</v>
      </c>
      <c r="R6175" s="216">
        <f t="shared" si="596"/>
        <v>0.14400000000000013</v>
      </c>
      <c r="S6175" s="217" t="str">
        <f t="shared" si="597"/>
        <v/>
      </c>
    </row>
    <row r="6176" spans="1:19" ht="15.75" hidden="1" thickBot="1" x14ac:dyDescent="0.3">
      <c r="A6176" s="262"/>
      <c r="B6176" s="260"/>
      <c r="C6176" s="35" t="s">
        <v>8065</v>
      </c>
      <c r="D6176" s="35" t="s">
        <v>773</v>
      </c>
      <c r="E6176" s="36">
        <v>1.5</v>
      </c>
      <c r="F6176" s="30">
        <v>0.627</v>
      </c>
      <c r="G6176" s="33">
        <f t="shared" si="592"/>
        <v>0.9405</v>
      </c>
      <c r="H6176" s="34"/>
      <c r="I6176" s="39"/>
      <c r="J6176" s="152">
        <v>0</v>
      </c>
      <c r="L6176" s="215">
        <v>1.5</v>
      </c>
      <c r="M6176" s="30">
        <v>0.53671199999999997</v>
      </c>
      <c r="N6176" s="33">
        <f t="shared" si="593"/>
        <v>0.80506799999999989</v>
      </c>
      <c r="O6176" s="34"/>
      <c r="P6176" s="36" t="str">
        <f t="shared" si="594"/>
        <v/>
      </c>
      <c r="Q6176" s="216">
        <f t="shared" si="595"/>
        <v>0.14400000000000002</v>
      </c>
      <c r="R6176" s="216">
        <f t="shared" si="596"/>
        <v>0.14400000000000013</v>
      </c>
      <c r="S6176" s="217" t="str">
        <f t="shared" si="597"/>
        <v/>
      </c>
    </row>
    <row r="6177" spans="1:19" ht="15.75" hidden="1" thickBot="1" x14ac:dyDescent="0.3">
      <c r="A6177" s="262"/>
      <c r="B6177" s="260"/>
      <c r="C6177" s="35" t="s">
        <v>1264</v>
      </c>
      <c r="D6177" s="35" t="s">
        <v>773</v>
      </c>
      <c r="E6177" s="36">
        <f>ROUND(E6176*0.1,2)</f>
        <v>0.15</v>
      </c>
      <c r="F6177" s="30" t="s">
        <v>416</v>
      </c>
      <c r="G6177" s="33" t="str">
        <f t="shared" si="592"/>
        <v/>
      </c>
      <c r="H6177" s="34"/>
      <c r="I6177" s="30"/>
      <c r="J6177" s="152">
        <v>0</v>
      </c>
      <c r="L6177" s="215">
        <v>0.15</v>
      </c>
      <c r="M6177" s="30"/>
      <c r="N6177" s="33" t="str">
        <f t="shared" si="593"/>
        <v/>
      </c>
      <c r="O6177" s="34"/>
      <c r="P6177" s="36" t="str">
        <f t="shared" si="594"/>
        <v/>
      </c>
      <c r="Q6177" s="216" t="str">
        <f t="shared" si="595"/>
        <v/>
      </c>
      <c r="R6177" s="216" t="str">
        <f t="shared" si="596"/>
        <v/>
      </c>
      <c r="S6177" s="217" t="str">
        <f t="shared" si="597"/>
        <v/>
      </c>
    </row>
    <row r="6178" spans="1:19" ht="15.75" hidden="1" thickBot="1" x14ac:dyDescent="0.3">
      <c r="A6178" s="263"/>
      <c r="B6178" s="261"/>
      <c r="C6178" s="35"/>
      <c r="D6178" s="35"/>
      <c r="E6178" s="36"/>
      <c r="F6178" s="30" t="s">
        <v>416</v>
      </c>
      <c r="G6178" s="30" t="str">
        <f t="shared" si="592"/>
        <v/>
      </c>
      <c r="H6178" s="34"/>
      <c r="I6178" s="30"/>
      <c r="J6178" s="152">
        <v>0</v>
      </c>
      <c r="L6178" s="215"/>
      <c r="M6178" s="30"/>
      <c r="N6178" s="30" t="str">
        <f t="shared" si="593"/>
        <v/>
      </c>
      <c r="O6178" s="34"/>
      <c r="P6178" s="36" t="str">
        <f t="shared" si="594"/>
        <v/>
      </c>
      <c r="Q6178" s="216" t="str">
        <f t="shared" si="595"/>
        <v/>
      </c>
      <c r="R6178" s="216" t="str">
        <f t="shared" si="596"/>
        <v/>
      </c>
      <c r="S6178" s="217" t="str">
        <f t="shared" si="597"/>
        <v/>
      </c>
    </row>
    <row r="6179" spans="1:19" ht="15.75" hidden="1" thickBot="1" x14ac:dyDescent="0.3">
      <c r="A6179" s="256" t="s">
        <v>5381</v>
      </c>
      <c r="B6179" s="259" t="str">
        <f>INDEX(Orçamentária!A:B,MATCH(Composições!A6179,Orçamentária!A:A,0),2)</f>
        <v>Corte em chapas metálicas</v>
      </c>
      <c r="C6179" s="40"/>
      <c r="D6179" s="25" t="s">
        <v>69</v>
      </c>
      <c r="E6179" s="26"/>
      <c r="F6179" s="48" t="s">
        <v>416</v>
      </c>
      <c r="G6179" s="27" t="str">
        <f t="shared" si="592"/>
        <v/>
      </c>
      <c r="H6179" s="28"/>
      <c r="I6179" s="29"/>
      <c r="J6179" s="152">
        <v>0</v>
      </c>
      <c r="L6179" s="218"/>
      <c r="M6179" s="48"/>
      <c r="N6179" s="27" t="str">
        <f t="shared" si="593"/>
        <v/>
      </c>
      <c r="O6179" s="28"/>
      <c r="P6179" s="36" t="str">
        <f t="shared" si="594"/>
        <v/>
      </c>
      <c r="Q6179" s="216" t="str">
        <f t="shared" si="595"/>
        <v/>
      </c>
      <c r="R6179" s="216" t="str">
        <f t="shared" si="596"/>
        <v/>
      </c>
      <c r="S6179" s="217" t="str">
        <f t="shared" si="597"/>
        <v/>
      </c>
    </row>
    <row r="6180" spans="1:19" ht="15.75" hidden="1" thickBot="1" x14ac:dyDescent="0.3">
      <c r="A6180" s="257"/>
      <c r="B6180" s="260"/>
      <c r="C6180" s="31"/>
      <c r="D6180" s="31"/>
      <c r="E6180" s="32"/>
      <c r="F6180" s="53" t="s">
        <v>416</v>
      </c>
      <c r="G6180" s="53" t="str">
        <f t="shared" si="592"/>
        <v/>
      </c>
      <c r="H6180" s="72"/>
      <c r="I6180" s="73"/>
      <c r="J6180" s="152">
        <v>0</v>
      </c>
      <c r="L6180" s="219"/>
      <c r="M6180" s="53"/>
      <c r="N6180" s="53" t="str">
        <f t="shared" si="593"/>
        <v/>
      </c>
      <c r="O6180" s="72"/>
      <c r="P6180" s="36" t="str">
        <f t="shared" si="594"/>
        <v/>
      </c>
      <c r="Q6180" s="216" t="str">
        <f t="shared" si="595"/>
        <v/>
      </c>
      <c r="R6180" s="216" t="str">
        <f t="shared" si="596"/>
        <v/>
      </c>
      <c r="S6180" s="217" t="str">
        <f t="shared" si="597"/>
        <v/>
      </c>
    </row>
    <row r="6181" spans="1:19" ht="26.25" hidden="1" thickBot="1" x14ac:dyDescent="0.3">
      <c r="A6181" s="257"/>
      <c r="B6181" s="260"/>
      <c r="C6181" s="35" t="s">
        <v>98</v>
      </c>
      <c r="D6181" s="35" t="s">
        <v>87</v>
      </c>
      <c r="E6181" s="36">
        <v>0.23</v>
      </c>
      <c r="F6181" s="30">
        <v>14.0695</v>
      </c>
      <c r="G6181" s="53">
        <f t="shared" si="592"/>
        <v>3.2359849999999999</v>
      </c>
      <c r="H6181" s="38">
        <f>SUM(G6181:G6184)</f>
        <v>12.43045455</v>
      </c>
      <c r="I6181" s="39"/>
      <c r="J6181" s="152">
        <v>0</v>
      </c>
      <c r="L6181" s="215">
        <v>0.23</v>
      </c>
      <c r="M6181" s="30">
        <v>12.043492000000001</v>
      </c>
      <c r="N6181" s="53">
        <f t="shared" si="593"/>
        <v>2.7700031600000004</v>
      </c>
      <c r="O6181" s="38">
        <f>SUM(N6181:N6184)</f>
        <v>10.6404690948</v>
      </c>
      <c r="P6181" s="36" t="str">
        <f t="shared" si="594"/>
        <v/>
      </c>
      <c r="Q6181" s="216">
        <f t="shared" si="595"/>
        <v>0.14399999999999991</v>
      </c>
      <c r="R6181" s="216">
        <f t="shared" si="596"/>
        <v>0.14399999999999991</v>
      </c>
      <c r="S6181" s="217">
        <f t="shared" si="597"/>
        <v>0.14400000000000002</v>
      </c>
    </row>
    <row r="6182" spans="1:19" ht="39" hidden="1" thickBot="1" x14ac:dyDescent="0.3">
      <c r="A6182" s="257"/>
      <c r="B6182" s="260"/>
      <c r="C6182" s="35" t="s">
        <v>7956</v>
      </c>
      <c r="D6182" s="35" t="s">
        <v>773</v>
      </c>
      <c r="E6182" s="36">
        <v>3.2000000000000001E-2</v>
      </c>
      <c r="F6182" s="30">
        <v>64.219999999999985</v>
      </c>
      <c r="G6182" s="53">
        <f t="shared" si="592"/>
        <v>2.0550399999999995</v>
      </c>
      <c r="H6182" s="43"/>
      <c r="I6182" s="39"/>
      <c r="J6182" s="152">
        <v>0</v>
      </c>
      <c r="L6182" s="215">
        <v>3.2000000000000001E-2</v>
      </c>
      <c r="M6182" s="30">
        <v>54.972319999999989</v>
      </c>
      <c r="N6182" s="53">
        <f t="shared" si="593"/>
        <v>1.7591142399999997</v>
      </c>
      <c r="O6182" s="43"/>
      <c r="P6182" s="36" t="str">
        <f t="shared" si="594"/>
        <v/>
      </c>
      <c r="Q6182" s="216">
        <f t="shared" si="595"/>
        <v>0.14400000000000002</v>
      </c>
      <c r="R6182" s="216">
        <f t="shared" si="596"/>
        <v>0.14399999999999991</v>
      </c>
      <c r="S6182" s="217" t="str">
        <f t="shared" si="597"/>
        <v/>
      </c>
    </row>
    <row r="6183" spans="1:19" ht="15.75" hidden="1" thickBot="1" x14ac:dyDescent="0.3">
      <c r="A6183" s="257"/>
      <c r="B6183" s="260"/>
      <c r="C6183" s="35" t="s">
        <v>662</v>
      </c>
      <c r="D6183" s="35" t="s">
        <v>583</v>
      </c>
      <c r="E6183" s="36">
        <v>9.2700000000000005E-2</v>
      </c>
      <c r="F6183" s="30">
        <v>21.479499999999998</v>
      </c>
      <c r="G6183" s="53">
        <f t="shared" si="592"/>
        <v>1.9911496499999999</v>
      </c>
      <c r="H6183" s="43"/>
      <c r="I6183" s="39"/>
      <c r="J6183" s="152">
        <v>0</v>
      </c>
      <c r="L6183" s="215">
        <v>9.2700000000000005E-2</v>
      </c>
      <c r="M6183" s="30">
        <v>18.386451999999998</v>
      </c>
      <c r="N6183" s="53">
        <f t="shared" si="593"/>
        <v>1.7044241004</v>
      </c>
      <c r="O6183" s="43"/>
      <c r="P6183" s="36" t="str">
        <f t="shared" si="594"/>
        <v/>
      </c>
      <c r="Q6183" s="216">
        <f t="shared" si="595"/>
        <v>0.14400000000000002</v>
      </c>
      <c r="R6183" s="216">
        <f t="shared" si="596"/>
        <v>0.14399999999999991</v>
      </c>
      <c r="S6183" s="217" t="str">
        <f t="shared" si="597"/>
        <v/>
      </c>
    </row>
    <row r="6184" spans="1:19" ht="15.75" hidden="1" thickBot="1" x14ac:dyDescent="0.3">
      <c r="A6184" s="257"/>
      <c r="B6184" s="260"/>
      <c r="C6184" s="35" t="s">
        <v>2908</v>
      </c>
      <c r="D6184" s="35" t="s">
        <v>583</v>
      </c>
      <c r="E6184" s="36">
        <v>0.18540000000000001</v>
      </c>
      <c r="F6184" s="30">
        <v>27.7685</v>
      </c>
      <c r="G6184" s="53">
        <f t="shared" si="592"/>
        <v>5.1482799000000004</v>
      </c>
      <c r="H6184" s="43"/>
      <c r="I6184" s="39"/>
      <c r="J6184" s="152">
        <v>0</v>
      </c>
      <c r="L6184" s="215">
        <v>0.18540000000000001</v>
      </c>
      <c r="M6184" s="30">
        <v>23.769835999999998</v>
      </c>
      <c r="N6184" s="53">
        <f t="shared" si="593"/>
        <v>4.4069275943999999</v>
      </c>
      <c r="O6184" s="43"/>
      <c r="P6184" s="36" t="str">
        <f t="shared" si="594"/>
        <v/>
      </c>
      <c r="Q6184" s="216">
        <f t="shared" si="595"/>
        <v>0.14400000000000002</v>
      </c>
      <c r="R6184" s="216">
        <f t="shared" si="596"/>
        <v>0.14400000000000013</v>
      </c>
      <c r="S6184" s="217" t="str">
        <f t="shared" si="597"/>
        <v/>
      </c>
    </row>
    <row r="6185" spans="1:19" ht="15.75" hidden="1" thickBot="1" x14ac:dyDescent="0.3">
      <c r="A6185" s="258"/>
      <c r="B6185" s="261"/>
      <c r="C6185" s="35"/>
      <c r="D6185" s="35"/>
      <c r="E6185" s="36"/>
      <c r="F6185" s="30" t="s">
        <v>416</v>
      </c>
      <c r="G6185" s="53"/>
      <c r="H6185" s="43"/>
      <c r="I6185" s="39"/>
      <c r="J6185" s="152">
        <v>0</v>
      </c>
      <c r="L6185" s="215"/>
      <c r="M6185" s="30"/>
      <c r="N6185" s="53"/>
      <c r="O6185" s="43"/>
      <c r="P6185" s="36" t="str">
        <f t="shared" si="594"/>
        <v/>
      </c>
      <c r="Q6185" s="216" t="str">
        <f t="shared" si="595"/>
        <v/>
      </c>
      <c r="R6185" s="216" t="str">
        <f t="shared" si="596"/>
        <v/>
      </c>
      <c r="S6185" s="217" t="str">
        <f t="shared" si="597"/>
        <v/>
      </c>
    </row>
    <row r="6186" spans="1:19" ht="15.75" hidden="1" thickBot="1" x14ac:dyDescent="0.3">
      <c r="A6186" s="256" t="s">
        <v>5382</v>
      </c>
      <c r="B6186" s="259" t="str">
        <f>INDEX(Orçamentária!A:B,MATCH(Composições!A6186,Orçamentária!A:A,0),2)</f>
        <v>Remoção de revestimento em chapa de alumínio ACM para aproveitamento</v>
      </c>
      <c r="C6186" s="40"/>
      <c r="D6186" s="25" t="s">
        <v>70</v>
      </c>
      <c r="E6186" s="26"/>
      <c r="F6186" s="48" t="s">
        <v>416</v>
      </c>
      <c r="G6186" s="27" t="str">
        <f>IF(ISNUMBER(F6186),E6186*F6186,"")</f>
        <v/>
      </c>
      <c r="H6186" s="28"/>
      <c r="I6186" s="29"/>
      <c r="J6186" s="152">
        <v>0</v>
      </c>
      <c r="L6186" s="218"/>
      <c r="M6186" s="48"/>
      <c r="N6186" s="27" t="str">
        <f>IF(ISNUMBER(M6186),L6186*M6186,"")</f>
        <v/>
      </c>
      <c r="O6186" s="28"/>
      <c r="P6186" s="36" t="str">
        <f t="shared" si="594"/>
        <v/>
      </c>
      <c r="Q6186" s="216" t="str">
        <f t="shared" si="595"/>
        <v/>
      </c>
      <c r="R6186" s="216" t="str">
        <f t="shared" si="596"/>
        <v/>
      </c>
      <c r="S6186" s="217" t="str">
        <f t="shared" si="597"/>
        <v/>
      </c>
    </row>
    <row r="6187" spans="1:19" ht="15.75" hidden="1" thickBot="1" x14ac:dyDescent="0.3">
      <c r="A6187" s="257"/>
      <c r="B6187" s="260"/>
      <c r="C6187" s="31"/>
      <c r="D6187" s="31"/>
      <c r="E6187" s="32"/>
      <c r="F6187" s="53" t="s">
        <v>416</v>
      </c>
      <c r="G6187" s="53" t="str">
        <f>IF(ISNUMBER(F6187),E6187*F6187,"")</f>
        <v/>
      </c>
      <c r="H6187" s="72"/>
      <c r="I6187" s="73"/>
      <c r="J6187" s="152">
        <v>0</v>
      </c>
      <c r="L6187" s="219"/>
      <c r="M6187" s="53"/>
      <c r="N6187" s="53" t="str">
        <f>IF(ISNUMBER(M6187),L6187*M6187,"")</f>
        <v/>
      </c>
      <c r="O6187" s="72"/>
      <c r="P6187" s="36" t="str">
        <f t="shared" si="594"/>
        <v/>
      </c>
      <c r="Q6187" s="216" t="str">
        <f t="shared" si="595"/>
        <v/>
      </c>
      <c r="R6187" s="216" t="str">
        <f t="shared" si="596"/>
        <v/>
      </c>
      <c r="S6187" s="217" t="str">
        <f t="shared" si="597"/>
        <v/>
      </c>
    </row>
    <row r="6188" spans="1:19" ht="15.75" hidden="1" thickBot="1" x14ac:dyDescent="0.3">
      <c r="A6188" s="257"/>
      <c r="B6188" s="260"/>
      <c r="C6188" s="35" t="s">
        <v>591</v>
      </c>
      <c r="D6188" s="35" t="s">
        <v>583</v>
      </c>
      <c r="E6188" s="36">
        <v>0.5</v>
      </c>
      <c r="F6188" s="30">
        <v>27.160499999999999</v>
      </c>
      <c r="G6188" s="33">
        <f>IF(ISNUMBER(F6188),E6188*F6188,"")</f>
        <v>13.580249999999999</v>
      </c>
      <c r="H6188" s="38">
        <f>SUM(G6188:G6189)</f>
        <v>33.805749999999996</v>
      </c>
      <c r="I6188" s="39"/>
      <c r="J6188" s="152">
        <v>0</v>
      </c>
      <c r="L6188" s="215">
        <v>0.5</v>
      </c>
      <c r="M6188" s="30">
        <v>23.249388</v>
      </c>
      <c r="N6188" s="33">
        <f>IF(ISNUMBER(M6188),L6188*M6188,"")</f>
        <v>11.624694</v>
      </c>
      <c r="O6188" s="38">
        <f>SUM(N6188:N6189)</f>
        <v>28.937721999999994</v>
      </c>
      <c r="P6188" s="36" t="str">
        <f t="shared" si="594"/>
        <v/>
      </c>
      <c r="Q6188" s="216">
        <f t="shared" si="595"/>
        <v>0.14400000000000002</v>
      </c>
      <c r="R6188" s="216">
        <f t="shared" si="596"/>
        <v>0.14400000000000002</v>
      </c>
      <c r="S6188" s="217">
        <f t="shared" si="597"/>
        <v>0.14400000000000013</v>
      </c>
    </row>
    <row r="6189" spans="1:19" ht="15.75" hidden="1" thickBot="1" x14ac:dyDescent="0.3">
      <c r="A6189" s="257"/>
      <c r="B6189" s="260"/>
      <c r="C6189" s="35" t="s">
        <v>584</v>
      </c>
      <c r="D6189" s="35" t="s">
        <v>583</v>
      </c>
      <c r="E6189" s="36">
        <v>1</v>
      </c>
      <c r="F6189" s="33">
        <v>20.225499999999997</v>
      </c>
      <c r="G6189" s="30">
        <f>IF(ISNUMBER(F6189),E6189*F6189,"")</f>
        <v>20.225499999999997</v>
      </c>
      <c r="H6189" s="43"/>
      <c r="I6189" s="39"/>
      <c r="J6189" s="152">
        <v>0</v>
      </c>
      <c r="L6189" s="215">
        <v>1</v>
      </c>
      <c r="M6189" s="33">
        <v>17.313027999999996</v>
      </c>
      <c r="N6189" s="30">
        <f>IF(ISNUMBER(M6189),L6189*M6189,"")</f>
        <v>17.313027999999996</v>
      </c>
      <c r="O6189" s="43"/>
      <c r="P6189" s="36" t="str">
        <f t="shared" si="594"/>
        <v/>
      </c>
      <c r="Q6189" s="216">
        <f t="shared" si="595"/>
        <v>0.14400000000000013</v>
      </c>
      <c r="R6189" s="216">
        <f t="shared" si="596"/>
        <v>0.14400000000000013</v>
      </c>
      <c r="S6189" s="217" t="str">
        <f t="shared" si="597"/>
        <v/>
      </c>
    </row>
    <row r="6190" spans="1:19" ht="15.75" hidden="1" thickBot="1" x14ac:dyDescent="0.3">
      <c r="A6190" s="258"/>
      <c r="B6190" s="261"/>
      <c r="C6190" s="35"/>
      <c r="D6190" s="35"/>
      <c r="E6190" s="36"/>
      <c r="F6190" s="30" t="s">
        <v>416</v>
      </c>
      <c r="G6190" s="53"/>
      <c r="H6190" s="43"/>
      <c r="I6190" s="39"/>
      <c r="J6190" s="152">
        <v>0</v>
      </c>
      <c r="L6190" s="215"/>
      <c r="M6190" s="30"/>
      <c r="N6190" s="53"/>
      <c r="O6190" s="43"/>
      <c r="P6190" s="36" t="str">
        <f t="shared" si="594"/>
        <v/>
      </c>
      <c r="Q6190" s="216" t="str">
        <f t="shared" si="595"/>
        <v/>
      </c>
      <c r="R6190" s="216" t="str">
        <f t="shared" si="596"/>
        <v/>
      </c>
      <c r="S6190" s="217" t="str">
        <f t="shared" si="597"/>
        <v/>
      </c>
    </row>
    <row r="6191" spans="1:19" ht="15.75" hidden="1" thickBot="1" x14ac:dyDescent="0.3">
      <c r="A6191" s="256" t="s">
        <v>5383</v>
      </c>
      <c r="B6191" s="259" t="str">
        <f>INDEX(Orçamentária!A:B,MATCH(Composições!A6191,Orçamentária!A:A,0),2)</f>
        <v>Instalação de revestimento em chapa de alumínio ACM reaproveitado</v>
      </c>
      <c r="C6191" s="40"/>
      <c r="D6191" s="25" t="s">
        <v>70</v>
      </c>
      <c r="E6191" s="26"/>
      <c r="F6191" s="48" t="s">
        <v>416</v>
      </c>
      <c r="G6191" s="27" t="str">
        <f>IF(ISNUMBER(F6191),E6191*F6191,"")</f>
        <v/>
      </c>
      <c r="H6191" s="28"/>
      <c r="I6191" s="29"/>
      <c r="J6191" s="152">
        <v>0</v>
      </c>
      <c r="L6191" s="218"/>
      <c r="M6191" s="48"/>
      <c r="N6191" s="27" t="str">
        <f>IF(ISNUMBER(M6191),L6191*M6191,"")</f>
        <v/>
      </c>
      <c r="O6191" s="28"/>
      <c r="P6191" s="36" t="str">
        <f t="shared" si="594"/>
        <v/>
      </c>
      <c r="Q6191" s="216" t="str">
        <f t="shared" si="595"/>
        <v/>
      </c>
      <c r="R6191" s="216" t="str">
        <f t="shared" si="596"/>
        <v/>
      </c>
      <c r="S6191" s="217" t="str">
        <f t="shared" si="597"/>
        <v/>
      </c>
    </row>
    <row r="6192" spans="1:19" ht="15.75" hidden="1" thickBot="1" x14ac:dyDescent="0.3">
      <c r="A6192" s="257"/>
      <c r="B6192" s="260"/>
      <c r="C6192" s="31"/>
      <c r="D6192" s="31"/>
      <c r="E6192" s="32"/>
      <c r="F6192" s="53" t="s">
        <v>416</v>
      </c>
      <c r="G6192" s="53" t="str">
        <f>IF(ISNUMBER(F6192),E6192*F6192,"")</f>
        <v/>
      </c>
      <c r="H6192" s="72"/>
      <c r="I6192" s="73"/>
      <c r="J6192" s="152">
        <v>0</v>
      </c>
      <c r="L6192" s="219"/>
      <c r="M6192" s="53"/>
      <c r="N6192" s="53" t="str">
        <f>IF(ISNUMBER(M6192),L6192*M6192,"")</f>
        <v/>
      </c>
      <c r="O6192" s="72"/>
      <c r="P6192" s="36" t="str">
        <f t="shared" si="594"/>
        <v/>
      </c>
      <c r="Q6192" s="216" t="str">
        <f t="shared" si="595"/>
        <v/>
      </c>
      <c r="R6192" s="216" t="str">
        <f t="shared" si="596"/>
        <v/>
      </c>
      <c r="S6192" s="217" t="str">
        <f t="shared" si="597"/>
        <v/>
      </c>
    </row>
    <row r="6193" spans="1:19" ht="15.75" hidden="1" thickBot="1" x14ac:dyDescent="0.3">
      <c r="A6193" s="257"/>
      <c r="B6193" s="260"/>
      <c r="C6193" s="35" t="s">
        <v>591</v>
      </c>
      <c r="D6193" s="35" t="s">
        <v>583</v>
      </c>
      <c r="E6193" s="36">
        <v>1.5</v>
      </c>
      <c r="F6193" s="30">
        <v>27.160499999999999</v>
      </c>
      <c r="G6193" s="33">
        <f>IF(ISNUMBER(F6193),E6193*F6193,"")</f>
        <v>40.740749999999998</v>
      </c>
      <c r="H6193" s="38">
        <f>SUM(G6193:G6194)</f>
        <v>60.966249999999995</v>
      </c>
      <c r="I6193" s="39"/>
      <c r="J6193" s="152">
        <v>0</v>
      </c>
      <c r="L6193" s="215">
        <v>1.5</v>
      </c>
      <c r="M6193" s="30">
        <v>23.249388</v>
      </c>
      <c r="N6193" s="33">
        <f>IF(ISNUMBER(M6193),L6193*M6193,"")</f>
        <v>34.874082000000001</v>
      </c>
      <c r="O6193" s="38">
        <f>SUM(N6193:N6194)</f>
        <v>52.187109999999997</v>
      </c>
      <c r="P6193" s="36" t="str">
        <f t="shared" si="594"/>
        <v/>
      </c>
      <c r="Q6193" s="216">
        <f t="shared" si="595"/>
        <v>0.14400000000000002</v>
      </c>
      <c r="R6193" s="216">
        <f t="shared" si="596"/>
        <v>0.14399999999999991</v>
      </c>
      <c r="S6193" s="217">
        <f t="shared" si="597"/>
        <v>0.14400000000000002</v>
      </c>
    </row>
    <row r="6194" spans="1:19" ht="15.75" hidden="1" thickBot="1" x14ac:dyDescent="0.3">
      <c r="A6194" s="257"/>
      <c r="B6194" s="260"/>
      <c r="C6194" s="35" t="s">
        <v>584</v>
      </c>
      <c r="D6194" s="35" t="s">
        <v>583</v>
      </c>
      <c r="E6194" s="36">
        <v>1</v>
      </c>
      <c r="F6194" s="33">
        <v>20.225499999999997</v>
      </c>
      <c r="G6194" s="30">
        <f>IF(ISNUMBER(F6194),E6194*F6194,"")</f>
        <v>20.225499999999997</v>
      </c>
      <c r="H6194" s="43"/>
      <c r="I6194" s="39"/>
      <c r="J6194" s="152">
        <v>0</v>
      </c>
      <c r="L6194" s="215">
        <v>1</v>
      </c>
      <c r="M6194" s="33">
        <v>17.313027999999996</v>
      </c>
      <c r="N6194" s="30">
        <f>IF(ISNUMBER(M6194),L6194*M6194,"")</f>
        <v>17.313027999999996</v>
      </c>
      <c r="O6194" s="43"/>
      <c r="P6194" s="36" t="str">
        <f t="shared" si="594"/>
        <v/>
      </c>
      <c r="Q6194" s="216">
        <f t="shared" si="595"/>
        <v>0.14400000000000013</v>
      </c>
      <c r="R6194" s="216">
        <f t="shared" si="596"/>
        <v>0.14400000000000013</v>
      </c>
      <c r="S6194" s="217" t="str">
        <f t="shared" si="597"/>
        <v/>
      </c>
    </row>
    <row r="6195" spans="1:19" ht="15.75" hidden="1" thickBot="1" x14ac:dyDescent="0.3">
      <c r="A6195" s="258"/>
      <c r="B6195" s="261"/>
      <c r="C6195" s="35"/>
      <c r="D6195" s="35"/>
      <c r="E6195" s="36"/>
      <c r="F6195" s="30" t="s">
        <v>416</v>
      </c>
      <c r="G6195" s="53"/>
      <c r="H6195" s="43"/>
      <c r="I6195" s="39"/>
      <c r="J6195" s="152">
        <v>0</v>
      </c>
      <c r="L6195" s="215"/>
      <c r="M6195" s="30"/>
      <c r="N6195" s="53"/>
      <c r="O6195" s="43"/>
      <c r="P6195" s="36" t="str">
        <f t="shared" si="594"/>
        <v/>
      </c>
      <c r="Q6195" s="216" t="str">
        <f t="shared" si="595"/>
        <v/>
      </c>
      <c r="R6195" s="216" t="str">
        <f t="shared" si="596"/>
        <v/>
      </c>
      <c r="S6195" s="217" t="str">
        <f t="shared" si="597"/>
        <v/>
      </c>
    </row>
    <row r="6196" spans="1:19" ht="15.75" hidden="1" thickBot="1" x14ac:dyDescent="0.3">
      <c r="A6196" s="256" t="s">
        <v>5384</v>
      </c>
      <c r="B6196" s="259" t="str">
        <f>INDEX(Orçamentária!A:B,MATCH(Composições!A6196,Orçamentária!A:A,0),2)</f>
        <v>Graute industrializado, fck ≥ 100 MPa</v>
      </c>
      <c r="C6196" s="40"/>
      <c r="D6196" s="25" t="s">
        <v>80</v>
      </c>
      <c r="E6196" s="26"/>
      <c r="F6196" s="48" t="s">
        <v>416</v>
      </c>
      <c r="G6196" s="27" t="str">
        <f>IF(ISNUMBER(F6196),E6196*F6196,"")</f>
        <v/>
      </c>
      <c r="H6196" s="28"/>
      <c r="I6196" s="29"/>
      <c r="J6196" s="152">
        <v>0</v>
      </c>
      <c r="L6196" s="218"/>
      <c r="M6196" s="48"/>
      <c r="N6196" s="27" t="str">
        <f>IF(ISNUMBER(M6196),L6196*M6196,"")</f>
        <v/>
      </c>
      <c r="O6196" s="28"/>
      <c r="P6196" s="36" t="str">
        <f t="shared" si="594"/>
        <v/>
      </c>
      <c r="Q6196" s="216" t="str">
        <f t="shared" si="595"/>
        <v/>
      </c>
      <c r="R6196" s="216" t="str">
        <f t="shared" si="596"/>
        <v/>
      </c>
      <c r="S6196" s="217" t="str">
        <f t="shared" si="597"/>
        <v/>
      </c>
    </row>
    <row r="6197" spans="1:19" ht="15.75" hidden="1" thickBot="1" x14ac:dyDescent="0.3">
      <c r="A6197" s="257"/>
      <c r="B6197" s="260"/>
      <c r="C6197" s="31"/>
      <c r="D6197" s="31"/>
      <c r="E6197" s="32"/>
      <c r="F6197" s="53" t="s">
        <v>416</v>
      </c>
      <c r="G6197" s="53" t="str">
        <f>IF(ISNUMBER(F6197),E6197*F6197,"")</f>
        <v/>
      </c>
      <c r="H6197" s="72"/>
      <c r="I6197" s="73"/>
      <c r="J6197" s="152">
        <v>0</v>
      </c>
      <c r="L6197" s="219"/>
      <c r="M6197" s="53"/>
      <c r="N6197" s="53" t="str">
        <f>IF(ISNUMBER(M6197),L6197*M6197,"")</f>
        <v/>
      </c>
      <c r="O6197" s="72"/>
      <c r="P6197" s="36" t="str">
        <f t="shared" si="594"/>
        <v/>
      </c>
      <c r="Q6197" s="216" t="str">
        <f t="shared" si="595"/>
        <v/>
      </c>
      <c r="R6197" s="216" t="str">
        <f t="shared" si="596"/>
        <v/>
      </c>
      <c r="S6197" s="217" t="str">
        <f t="shared" si="597"/>
        <v/>
      </c>
    </row>
    <row r="6198" spans="1:19" ht="15.75" hidden="1" thickBot="1" x14ac:dyDescent="0.3">
      <c r="A6198" s="257"/>
      <c r="B6198" s="260"/>
      <c r="C6198" s="35" t="s">
        <v>591</v>
      </c>
      <c r="D6198" s="35" t="s">
        <v>583</v>
      </c>
      <c r="E6198" s="36">
        <v>0.74148000000000003</v>
      </c>
      <c r="F6198" s="30">
        <v>27.160499999999999</v>
      </c>
      <c r="G6198" s="53">
        <f>IF(ISNUMBER(F6198),E6198*F6198,"")</f>
        <v>20.138967539999999</v>
      </c>
      <c r="H6198" s="38">
        <f>SUM(G6198:G6200)</f>
        <v>120.11765913999999</v>
      </c>
      <c r="I6198" s="39"/>
      <c r="J6198" s="152">
        <v>0</v>
      </c>
      <c r="L6198" s="215">
        <v>0.74148000000000003</v>
      </c>
      <c r="M6198" s="30">
        <v>23.249388</v>
      </c>
      <c r="N6198" s="53">
        <f>IF(ISNUMBER(M6198),L6198*M6198,"")</f>
        <v>17.238956214240002</v>
      </c>
      <c r="O6198" s="38">
        <f>SUM(N6198:N6200)</f>
        <v>102.82071622383998</v>
      </c>
      <c r="P6198" s="36" t="str">
        <f t="shared" si="594"/>
        <v/>
      </c>
      <c r="Q6198" s="216">
        <f t="shared" si="595"/>
        <v>0.14400000000000002</v>
      </c>
      <c r="R6198" s="216">
        <f t="shared" si="596"/>
        <v>0.14399999999999991</v>
      </c>
      <c r="S6198" s="217">
        <f t="shared" si="597"/>
        <v>0.14400000000000002</v>
      </c>
    </row>
    <row r="6199" spans="1:19" ht="15.75" hidden="1" thickBot="1" x14ac:dyDescent="0.3">
      <c r="A6199" s="257"/>
      <c r="B6199" s="260"/>
      <c r="C6199" s="35" t="s">
        <v>584</v>
      </c>
      <c r="D6199" s="35" t="s">
        <v>583</v>
      </c>
      <c r="E6199" s="36">
        <v>4.9432</v>
      </c>
      <c r="F6199" s="30">
        <v>20.225499999999997</v>
      </c>
      <c r="G6199" s="53">
        <f>IF(ISNUMBER(F6199),E6199*F6199,"")</f>
        <v>99.978691599999991</v>
      </c>
      <c r="H6199" s="43"/>
      <c r="I6199" s="39"/>
      <c r="J6199" s="152">
        <v>0</v>
      </c>
      <c r="L6199" s="215">
        <v>4.9432</v>
      </c>
      <c r="M6199" s="30">
        <v>17.313027999999996</v>
      </c>
      <c r="N6199" s="53">
        <f>IF(ISNUMBER(M6199),L6199*M6199,"")</f>
        <v>85.581760009599975</v>
      </c>
      <c r="O6199" s="43"/>
      <c r="P6199" s="36" t="str">
        <f t="shared" si="594"/>
        <v/>
      </c>
      <c r="Q6199" s="216">
        <f t="shared" si="595"/>
        <v>0.14400000000000013</v>
      </c>
      <c r="R6199" s="216">
        <f t="shared" si="596"/>
        <v>0.14400000000000013</v>
      </c>
      <c r="S6199" s="217" t="str">
        <f t="shared" si="597"/>
        <v/>
      </c>
    </row>
    <row r="6200" spans="1:19" ht="15.75" hidden="1" thickBot="1" x14ac:dyDescent="0.3">
      <c r="A6200" s="257"/>
      <c r="B6200" s="260"/>
      <c r="C6200" s="35" t="s">
        <v>5585</v>
      </c>
      <c r="D6200" s="35" t="s">
        <v>28</v>
      </c>
      <c r="E6200" s="36">
        <f>1.203*2000</f>
        <v>2406</v>
      </c>
      <c r="F6200" s="30" t="s">
        <v>416</v>
      </c>
      <c r="G6200" s="53" t="str">
        <f>IF(ISNUMBER(F6200),E6200*F6200,"")</f>
        <v/>
      </c>
      <c r="H6200" s="43"/>
      <c r="I6200" s="39"/>
      <c r="J6200" s="152">
        <v>0</v>
      </c>
      <c r="L6200" s="215">
        <v>2406</v>
      </c>
      <c r="M6200" s="30"/>
      <c r="N6200" s="53" t="str">
        <f>IF(ISNUMBER(M6200),L6200*M6200,"")</f>
        <v/>
      </c>
      <c r="O6200" s="43"/>
      <c r="P6200" s="36" t="str">
        <f t="shared" si="594"/>
        <v/>
      </c>
      <c r="Q6200" s="216" t="str">
        <f t="shared" si="595"/>
        <v/>
      </c>
      <c r="R6200" s="216" t="str">
        <f t="shared" si="596"/>
        <v/>
      </c>
      <c r="S6200" s="217" t="str">
        <f t="shared" si="597"/>
        <v/>
      </c>
    </row>
    <row r="6201" spans="1:19" ht="15.75" hidden="1" thickBot="1" x14ac:dyDescent="0.3">
      <c r="A6201" s="257"/>
      <c r="B6201" s="260"/>
      <c r="C6201" s="35"/>
      <c r="D6201" s="35"/>
      <c r="E6201" s="36"/>
      <c r="F6201" s="30" t="s">
        <v>416</v>
      </c>
      <c r="G6201" s="53"/>
      <c r="H6201" s="43"/>
      <c r="I6201" s="39"/>
      <c r="J6201" s="152">
        <v>0</v>
      </c>
      <c r="L6201" s="215"/>
      <c r="M6201" s="30"/>
      <c r="N6201" s="53"/>
      <c r="O6201" s="43"/>
      <c r="P6201" s="36" t="str">
        <f t="shared" si="594"/>
        <v/>
      </c>
      <c r="Q6201" s="216" t="str">
        <f t="shared" si="595"/>
        <v/>
      </c>
      <c r="R6201" s="216" t="str">
        <f t="shared" si="596"/>
        <v/>
      </c>
      <c r="S6201" s="217" t="str">
        <f t="shared" si="597"/>
        <v/>
      </c>
    </row>
    <row r="6202" spans="1:19" ht="15.75" hidden="1" thickBot="1" x14ac:dyDescent="0.3">
      <c r="A6202" s="257"/>
      <c r="B6202" s="260"/>
      <c r="C6202" s="2" t="s">
        <v>5586</v>
      </c>
      <c r="D6202" s="35"/>
      <c r="E6202" s="36"/>
      <c r="F6202" s="30" t="s">
        <v>416</v>
      </c>
      <c r="G6202" s="53"/>
      <c r="H6202" s="43"/>
      <c r="I6202" s="39"/>
      <c r="J6202" s="152">
        <v>0</v>
      </c>
      <c r="L6202" s="215"/>
      <c r="M6202" s="30"/>
      <c r="N6202" s="53"/>
      <c r="O6202" s="43"/>
      <c r="P6202" s="36" t="str">
        <f t="shared" si="594"/>
        <v/>
      </c>
      <c r="Q6202" s="216" t="str">
        <f t="shared" si="595"/>
        <v/>
      </c>
      <c r="R6202" s="216" t="str">
        <f t="shared" si="596"/>
        <v/>
      </c>
      <c r="S6202" s="217" t="str">
        <f t="shared" si="597"/>
        <v/>
      </c>
    </row>
    <row r="6203" spans="1:19" ht="15.75" hidden="1" thickBot="1" x14ac:dyDescent="0.3">
      <c r="A6203" s="258"/>
      <c r="B6203" s="261"/>
      <c r="C6203" s="35"/>
      <c r="D6203" s="35"/>
      <c r="E6203" s="36"/>
      <c r="F6203" s="30" t="s">
        <v>416</v>
      </c>
      <c r="G6203" s="53"/>
      <c r="H6203" s="43"/>
      <c r="I6203" s="39"/>
      <c r="J6203" s="152">
        <v>0</v>
      </c>
      <c r="L6203" s="215"/>
      <c r="M6203" s="30"/>
      <c r="N6203" s="53"/>
      <c r="O6203" s="43"/>
      <c r="P6203" s="36" t="str">
        <f t="shared" si="594"/>
        <v/>
      </c>
      <c r="Q6203" s="216" t="str">
        <f t="shared" si="595"/>
        <v/>
      </c>
      <c r="R6203" s="216" t="str">
        <f t="shared" si="596"/>
        <v/>
      </c>
      <c r="S6203" s="217" t="str">
        <f t="shared" si="597"/>
        <v/>
      </c>
    </row>
    <row r="6204" spans="1:19" ht="15.75" hidden="1" thickBot="1" x14ac:dyDescent="0.3">
      <c r="A6204" s="256" t="s">
        <v>5385</v>
      </c>
      <c r="B6204" s="259" t="str">
        <f>INDEX(Orçamentária!A:B,MATCH(Composições!A6204,Orçamentária!A:A,0),2)</f>
        <v>Armação de aço CA-25 bitola de 16 mm</v>
      </c>
      <c r="C6204" s="40"/>
      <c r="D6204" s="25" t="s">
        <v>28</v>
      </c>
      <c r="E6204" s="26"/>
      <c r="F6204" s="48" t="s">
        <v>416</v>
      </c>
      <c r="G6204" s="27" t="str">
        <f t="shared" ref="G6204:G6210" si="598">IF(ISNUMBER(F6204),E6204*F6204,"")</f>
        <v/>
      </c>
      <c r="H6204" s="28"/>
      <c r="I6204" s="29"/>
      <c r="J6204" s="152">
        <v>0</v>
      </c>
      <c r="L6204" s="218"/>
      <c r="M6204" s="48"/>
      <c r="N6204" s="27" t="str">
        <f t="shared" ref="N6204:N6210" si="599">IF(ISNUMBER(M6204),L6204*M6204,"")</f>
        <v/>
      </c>
      <c r="O6204" s="28"/>
      <c r="P6204" s="36" t="str">
        <f t="shared" si="594"/>
        <v/>
      </c>
      <c r="Q6204" s="216" t="str">
        <f t="shared" si="595"/>
        <v/>
      </c>
      <c r="R6204" s="216" t="str">
        <f t="shared" si="596"/>
        <v/>
      </c>
      <c r="S6204" s="217" t="str">
        <f t="shared" si="597"/>
        <v/>
      </c>
    </row>
    <row r="6205" spans="1:19" ht="15.75" hidden="1" thickBot="1" x14ac:dyDescent="0.3">
      <c r="A6205" s="257"/>
      <c r="B6205" s="260"/>
      <c r="C6205" s="31"/>
      <c r="D6205" s="31"/>
      <c r="E6205" s="32"/>
      <c r="F6205" s="53" t="s">
        <v>416</v>
      </c>
      <c r="G6205" s="53" t="str">
        <f t="shared" si="598"/>
        <v/>
      </c>
      <c r="H6205" s="72"/>
      <c r="I6205" s="73"/>
      <c r="J6205" s="152">
        <v>0</v>
      </c>
      <c r="L6205" s="219"/>
      <c r="M6205" s="53"/>
      <c r="N6205" s="53" t="str">
        <f t="shared" si="599"/>
        <v/>
      </c>
      <c r="O6205" s="72"/>
      <c r="P6205" s="36" t="str">
        <f t="shared" si="594"/>
        <v/>
      </c>
      <c r="Q6205" s="216" t="str">
        <f t="shared" si="595"/>
        <v/>
      </c>
      <c r="R6205" s="216" t="str">
        <f t="shared" si="596"/>
        <v/>
      </c>
      <c r="S6205" s="217" t="str">
        <f t="shared" si="597"/>
        <v/>
      </c>
    </row>
    <row r="6206" spans="1:19" ht="39" hidden="1" thickBot="1" x14ac:dyDescent="0.3">
      <c r="A6206" s="257"/>
      <c r="B6206" s="260"/>
      <c r="C6206" s="35" t="s">
        <v>774</v>
      </c>
      <c r="D6206" s="35" t="s">
        <v>213</v>
      </c>
      <c r="E6206" s="36">
        <v>0.21199999999999999</v>
      </c>
      <c r="F6206" s="30">
        <v>0.20899999999999999</v>
      </c>
      <c r="G6206" s="53">
        <f t="shared" si="598"/>
        <v>4.4308E-2</v>
      </c>
      <c r="H6206" s="38">
        <f>SUM(G6206:G6210)</f>
        <v>12.712453499999999</v>
      </c>
      <c r="I6206" s="39"/>
      <c r="J6206" s="152">
        <v>0</v>
      </c>
      <c r="L6206" s="215">
        <v>0.21199999999999999</v>
      </c>
      <c r="M6206" s="30">
        <v>0.17890400000000001</v>
      </c>
      <c r="N6206" s="53">
        <f t="shared" si="599"/>
        <v>3.7927648000000001E-2</v>
      </c>
      <c r="O6206" s="38">
        <f>SUM(N6206:N6210)</f>
        <v>10.881860196</v>
      </c>
      <c r="P6206" s="36" t="str">
        <f t="shared" si="594"/>
        <v/>
      </c>
      <c r="Q6206" s="216">
        <f t="shared" si="595"/>
        <v>0.14399999999999991</v>
      </c>
      <c r="R6206" s="216">
        <f t="shared" si="596"/>
        <v>0.14400000000000002</v>
      </c>
      <c r="S6206" s="217">
        <f t="shared" si="597"/>
        <v>0.14399999999999991</v>
      </c>
    </row>
    <row r="6207" spans="1:19" ht="26.25" hidden="1" thickBot="1" x14ac:dyDescent="0.3">
      <c r="A6207" s="257"/>
      <c r="B6207" s="260"/>
      <c r="C6207" s="35" t="s">
        <v>3060</v>
      </c>
      <c r="D6207" s="35" t="s">
        <v>773</v>
      </c>
      <c r="E6207" s="36">
        <v>2.5000000000000001E-2</v>
      </c>
      <c r="F6207" s="30">
        <v>21.042499999999997</v>
      </c>
      <c r="G6207" s="53">
        <f t="shared" si="598"/>
        <v>0.52606249999999999</v>
      </c>
      <c r="H6207" s="43"/>
      <c r="I6207" s="39"/>
      <c r="J6207" s="152">
        <v>0</v>
      </c>
      <c r="L6207" s="215">
        <v>2.5000000000000001E-2</v>
      </c>
      <c r="M6207" s="30">
        <v>18.012379999999997</v>
      </c>
      <c r="N6207" s="53">
        <f t="shared" si="599"/>
        <v>0.45030949999999992</v>
      </c>
      <c r="O6207" s="43"/>
      <c r="P6207" s="36" t="str">
        <f t="shared" si="594"/>
        <v/>
      </c>
      <c r="Q6207" s="216">
        <f t="shared" si="595"/>
        <v>0.14400000000000002</v>
      </c>
      <c r="R6207" s="216">
        <f t="shared" si="596"/>
        <v>0.14400000000000013</v>
      </c>
      <c r="S6207" s="217" t="str">
        <f t="shared" si="597"/>
        <v/>
      </c>
    </row>
    <row r="6208" spans="1:19" ht="15.75" hidden="1" thickBot="1" x14ac:dyDescent="0.3">
      <c r="A6208" s="257"/>
      <c r="B6208" s="260"/>
      <c r="C6208" s="35" t="s">
        <v>775</v>
      </c>
      <c r="D6208" s="35" t="s">
        <v>583</v>
      </c>
      <c r="E6208" s="36">
        <v>4.3E-3</v>
      </c>
      <c r="F6208" s="30">
        <v>20.196999999999999</v>
      </c>
      <c r="G6208" s="53">
        <f t="shared" si="598"/>
        <v>8.6847099999999997E-2</v>
      </c>
      <c r="H6208" s="43"/>
      <c r="I6208" s="39"/>
      <c r="J6208" s="152">
        <v>0</v>
      </c>
      <c r="L6208" s="215">
        <v>4.3E-3</v>
      </c>
      <c r="M6208" s="30">
        <v>17.288632</v>
      </c>
      <c r="N6208" s="53">
        <f t="shared" si="599"/>
        <v>7.4341117599999992E-2</v>
      </c>
      <c r="O6208" s="43"/>
      <c r="P6208" s="36" t="str">
        <f t="shared" si="594"/>
        <v/>
      </c>
      <c r="Q6208" s="216">
        <f t="shared" si="595"/>
        <v>0.14400000000000002</v>
      </c>
      <c r="R6208" s="216">
        <f t="shared" si="596"/>
        <v>0.14400000000000002</v>
      </c>
      <c r="S6208" s="217" t="str">
        <f t="shared" si="597"/>
        <v/>
      </c>
    </row>
    <row r="6209" spans="1:19" ht="15.75" hidden="1" thickBot="1" x14ac:dyDescent="0.3">
      <c r="A6209" s="257"/>
      <c r="B6209" s="260"/>
      <c r="C6209" s="35" t="s">
        <v>776</v>
      </c>
      <c r="D6209" s="35" t="s">
        <v>583</v>
      </c>
      <c r="E6209" s="36">
        <v>2.6100000000000002E-2</v>
      </c>
      <c r="F6209" s="30">
        <v>26.970499999999998</v>
      </c>
      <c r="G6209" s="53">
        <f t="shared" si="598"/>
        <v>0.70393004999999997</v>
      </c>
      <c r="H6209" s="43"/>
      <c r="I6209" s="39"/>
      <c r="J6209" s="152">
        <v>0</v>
      </c>
      <c r="L6209" s="215">
        <v>2.6100000000000002E-2</v>
      </c>
      <c r="M6209" s="30">
        <v>23.086748</v>
      </c>
      <c r="N6209" s="53">
        <f t="shared" si="599"/>
        <v>0.60256412280000005</v>
      </c>
      <c r="O6209" s="43"/>
      <c r="P6209" s="36" t="str">
        <f t="shared" si="594"/>
        <v/>
      </c>
      <c r="Q6209" s="216">
        <f t="shared" si="595"/>
        <v>0.14399999999999991</v>
      </c>
      <c r="R6209" s="216">
        <f t="shared" si="596"/>
        <v>0.14399999999999991</v>
      </c>
      <c r="S6209" s="217" t="str">
        <f t="shared" si="597"/>
        <v/>
      </c>
    </row>
    <row r="6210" spans="1:19" ht="15.75" hidden="1" thickBot="1" x14ac:dyDescent="0.3">
      <c r="A6210" s="257"/>
      <c r="B6210" s="260"/>
      <c r="C6210" s="35" t="s">
        <v>2883</v>
      </c>
      <c r="D6210" s="35" t="s">
        <v>773</v>
      </c>
      <c r="E6210" s="36">
        <v>1</v>
      </c>
      <c r="F6210" s="30">
        <v>11.351305849999999</v>
      </c>
      <c r="G6210" s="53">
        <f t="shared" si="598"/>
        <v>11.351305849999999</v>
      </c>
      <c r="H6210" s="43"/>
      <c r="I6210" s="39"/>
      <c r="J6210" s="152">
        <v>0</v>
      </c>
      <c r="L6210" s="215">
        <v>1</v>
      </c>
      <c r="M6210" s="30">
        <v>9.7167178076000003</v>
      </c>
      <c r="N6210" s="53">
        <f t="shared" si="599"/>
        <v>9.7167178076000003</v>
      </c>
      <c r="O6210" s="43"/>
      <c r="P6210" s="36" t="str">
        <f t="shared" si="594"/>
        <v/>
      </c>
      <c r="Q6210" s="216">
        <f t="shared" si="595"/>
        <v>0.14399999999999991</v>
      </c>
      <c r="R6210" s="216">
        <f t="shared" si="596"/>
        <v>0.14399999999999991</v>
      </c>
      <c r="S6210" s="217" t="str">
        <f t="shared" si="597"/>
        <v/>
      </c>
    </row>
    <row r="6211" spans="1:19" ht="15.75" hidden="1" thickBot="1" x14ac:dyDescent="0.3">
      <c r="A6211" s="258"/>
      <c r="B6211" s="261"/>
      <c r="C6211" s="35"/>
      <c r="D6211" s="35"/>
      <c r="E6211" s="36"/>
      <c r="F6211" s="30" t="s">
        <v>416</v>
      </c>
      <c r="G6211" s="53"/>
      <c r="H6211" s="43"/>
      <c r="I6211" s="39"/>
      <c r="J6211" s="152">
        <v>0</v>
      </c>
      <c r="L6211" s="215"/>
      <c r="M6211" s="30"/>
      <c r="N6211" s="53"/>
      <c r="O6211" s="43"/>
      <c r="P6211" s="36" t="str">
        <f t="shared" si="594"/>
        <v/>
      </c>
      <c r="Q6211" s="216" t="str">
        <f t="shared" si="595"/>
        <v/>
      </c>
      <c r="R6211" s="216" t="str">
        <f t="shared" si="596"/>
        <v/>
      </c>
      <c r="S6211" s="217" t="str">
        <f t="shared" si="597"/>
        <v/>
      </c>
    </row>
    <row r="6212" spans="1:19" ht="15.75" hidden="1" thickBot="1" x14ac:dyDescent="0.3">
      <c r="A6212" s="256" t="s">
        <v>5386</v>
      </c>
      <c r="B6212" s="259" t="str">
        <f>INDEX(Orçamentária!A:B,MATCH(Composições!A6212,Orçamentária!A:A,0),2)</f>
        <v>Concreto virado em betoneira, fck = 20 MPa</v>
      </c>
      <c r="C6212" s="40"/>
      <c r="D6212" s="25" t="s">
        <v>80</v>
      </c>
      <c r="E6212" s="26"/>
      <c r="F6212" s="48" t="s">
        <v>416</v>
      </c>
      <c r="G6212" s="27" t="str">
        <f t="shared" ref="G6212:G6219" si="600">IF(ISNUMBER(F6212),E6212*F6212,"")</f>
        <v/>
      </c>
      <c r="H6212" s="28"/>
      <c r="I6212" s="29"/>
      <c r="J6212" s="152">
        <v>0</v>
      </c>
      <c r="L6212" s="218"/>
      <c r="M6212" s="48"/>
      <c r="N6212" s="27" t="str">
        <f t="shared" ref="N6212:N6219" si="601">IF(ISNUMBER(M6212),L6212*M6212,"")</f>
        <v/>
      </c>
      <c r="O6212" s="28"/>
      <c r="P6212" s="36" t="str">
        <f t="shared" si="594"/>
        <v/>
      </c>
      <c r="Q6212" s="216" t="str">
        <f t="shared" si="595"/>
        <v/>
      </c>
      <c r="R6212" s="216" t="str">
        <f t="shared" si="596"/>
        <v/>
      </c>
      <c r="S6212" s="217" t="str">
        <f t="shared" si="597"/>
        <v/>
      </c>
    </row>
    <row r="6213" spans="1:19" ht="15.75" hidden="1" thickBot="1" x14ac:dyDescent="0.3">
      <c r="A6213" s="257"/>
      <c r="B6213" s="260"/>
      <c r="C6213" s="31"/>
      <c r="D6213" s="31"/>
      <c r="E6213" s="32"/>
      <c r="F6213" s="53" t="s">
        <v>416</v>
      </c>
      <c r="G6213" s="53" t="str">
        <f t="shared" si="600"/>
        <v/>
      </c>
      <c r="H6213" s="72"/>
      <c r="I6213" s="73"/>
      <c r="J6213" s="152">
        <v>0</v>
      </c>
      <c r="L6213" s="219"/>
      <c r="M6213" s="53"/>
      <c r="N6213" s="53" t="str">
        <f t="shared" si="601"/>
        <v/>
      </c>
      <c r="O6213" s="72"/>
      <c r="P6213" s="36" t="str">
        <f t="shared" si="594"/>
        <v/>
      </c>
      <c r="Q6213" s="216" t="str">
        <f t="shared" si="595"/>
        <v/>
      </c>
      <c r="R6213" s="216" t="str">
        <f t="shared" si="596"/>
        <v/>
      </c>
      <c r="S6213" s="217" t="str">
        <f t="shared" si="597"/>
        <v/>
      </c>
    </row>
    <row r="6214" spans="1:19" ht="26.25" hidden="1" thickBot="1" x14ac:dyDescent="0.3">
      <c r="A6214" s="257"/>
      <c r="B6214" s="260"/>
      <c r="C6214" s="35" t="s">
        <v>2884</v>
      </c>
      <c r="D6214" s="35" t="s">
        <v>87</v>
      </c>
      <c r="E6214" s="36">
        <v>1.103</v>
      </c>
      <c r="F6214" s="30">
        <v>616.29413234365495</v>
      </c>
      <c r="G6214" s="53">
        <f t="shared" si="600"/>
        <v>679.77242797505141</v>
      </c>
      <c r="H6214" s="38">
        <f>SUM(G6214:G6219)</f>
        <v>979.87296297505145</v>
      </c>
      <c r="I6214" s="39"/>
      <c r="J6214" s="152">
        <v>0</v>
      </c>
      <c r="L6214" s="215">
        <v>1.103</v>
      </c>
      <c r="M6214" s="30">
        <v>527.54777728616864</v>
      </c>
      <c r="N6214" s="53">
        <f t="shared" si="601"/>
        <v>581.88519834664396</v>
      </c>
      <c r="O6214" s="38">
        <f>SUM(N6214:N6219)</f>
        <v>838.77125630664386</v>
      </c>
      <c r="P6214" s="36" t="str">
        <f t="shared" si="594"/>
        <v/>
      </c>
      <c r="Q6214" s="216">
        <f t="shared" si="595"/>
        <v>0.14400000000000002</v>
      </c>
      <c r="R6214" s="216">
        <f t="shared" si="596"/>
        <v>0.14400000000000013</v>
      </c>
      <c r="S6214" s="217">
        <f t="shared" si="597"/>
        <v>0.14400000000000013</v>
      </c>
    </row>
    <row r="6215" spans="1:19" ht="15.75" hidden="1" thickBot="1" x14ac:dyDescent="0.3">
      <c r="A6215" s="257"/>
      <c r="B6215" s="260"/>
      <c r="C6215" s="35" t="s">
        <v>862</v>
      </c>
      <c r="D6215" s="35" t="s">
        <v>583</v>
      </c>
      <c r="E6215" s="36">
        <v>1.19</v>
      </c>
      <c r="F6215" s="30">
        <v>26.799499999999998</v>
      </c>
      <c r="G6215" s="53">
        <f t="shared" si="600"/>
        <v>31.891404999999995</v>
      </c>
      <c r="H6215" s="43"/>
      <c r="I6215" s="39"/>
      <c r="J6215" s="152">
        <v>0</v>
      </c>
      <c r="L6215" s="215">
        <v>1.19</v>
      </c>
      <c r="M6215" s="30">
        <v>22.940372</v>
      </c>
      <c r="N6215" s="53">
        <f t="shared" si="601"/>
        <v>27.299042679999999</v>
      </c>
      <c r="O6215" s="43"/>
      <c r="P6215" s="36" t="str">
        <f t="shared" si="594"/>
        <v/>
      </c>
      <c r="Q6215" s="216">
        <f t="shared" si="595"/>
        <v>0.14399999999999991</v>
      </c>
      <c r="R6215" s="216">
        <f t="shared" si="596"/>
        <v>0.14399999999999991</v>
      </c>
      <c r="S6215" s="217" t="str">
        <f t="shared" si="597"/>
        <v/>
      </c>
    </row>
    <row r="6216" spans="1:19" ht="15.75" hidden="1" thickBot="1" x14ac:dyDescent="0.3">
      <c r="A6216" s="257"/>
      <c r="B6216" s="260"/>
      <c r="C6216" s="35" t="s">
        <v>591</v>
      </c>
      <c r="D6216" s="35" t="s">
        <v>583</v>
      </c>
      <c r="E6216" s="36">
        <v>3.5710000000000002</v>
      </c>
      <c r="F6216" s="30">
        <v>27.160499999999999</v>
      </c>
      <c r="G6216" s="53">
        <f t="shared" si="600"/>
        <v>96.990145499999997</v>
      </c>
      <c r="H6216" s="43"/>
      <c r="I6216" s="39"/>
      <c r="J6216" s="152">
        <v>0</v>
      </c>
      <c r="L6216" s="215">
        <v>3.5710000000000002</v>
      </c>
      <c r="M6216" s="30">
        <v>23.249388</v>
      </c>
      <c r="N6216" s="53">
        <f t="shared" si="601"/>
        <v>83.023564547999996</v>
      </c>
      <c r="O6216" s="43"/>
      <c r="P6216" s="36" t="str">
        <f t="shared" ref="P6216:P6279" si="602">IF(ISBLANK(L6216),"",IF($E6216&lt;&gt;L6216,"SIM",""))</f>
        <v/>
      </c>
      <c r="Q6216" s="216">
        <f t="shared" ref="Q6216:Q6279" si="603">IF(M6216="","",1-M6216/$F6216)</f>
        <v>0.14400000000000002</v>
      </c>
      <c r="R6216" s="216">
        <f t="shared" ref="R6216:R6279" si="604">IF(N6216="","",1-N6216/$G6216)</f>
        <v>0.14400000000000002</v>
      </c>
      <c r="S6216" s="217" t="str">
        <f t="shared" ref="S6216:S6279" si="605">IF(O6216="","",1-O6216/$H6216)</f>
        <v/>
      </c>
    </row>
    <row r="6217" spans="1:19" ht="15.75" hidden="1" thickBot="1" x14ac:dyDescent="0.3">
      <c r="A6217" s="257"/>
      <c r="B6217" s="260"/>
      <c r="C6217" s="35" t="s">
        <v>584</v>
      </c>
      <c r="D6217" s="35" t="s">
        <v>583</v>
      </c>
      <c r="E6217" s="36">
        <v>8.407</v>
      </c>
      <c r="F6217" s="30">
        <v>20.225499999999997</v>
      </c>
      <c r="G6217" s="53">
        <f t="shared" si="600"/>
        <v>170.03577849999996</v>
      </c>
      <c r="H6217" s="43"/>
      <c r="I6217" s="39"/>
      <c r="J6217" s="152">
        <v>0</v>
      </c>
      <c r="L6217" s="215">
        <v>8.407</v>
      </c>
      <c r="M6217" s="30">
        <v>17.313027999999996</v>
      </c>
      <c r="N6217" s="53">
        <f t="shared" si="601"/>
        <v>145.55062639599996</v>
      </c>
      <c r="O6217" s="43"/>
      <c r="P6217" s="36" t="str">
        <f t="shared" si="602"/>
        <v/>
      </c>
      <c r="Q6217" s="216">
        <f t="shared" si="603"/>
        <v>0.14400000000000013</v>
      </c>
      <c r="R6217" s="216">
        <f t="shared" si="604"/>
        <v>0.14400000000000013</v>
      </c>
      <c r="S6217" s="217" t="str">
        <f t="shared" si="605"/>
        <v/>
      </c>
    </row>
    <row r="6218" spans="1:19" ht="26.25" hidden="1" thickBot="1" x14ac:dyDescent="0.3">
      <c r="A6218" s="257"/>
      <c r="B6218" s="260"/>
      <c r="C6218" s="35" t="s">
        <v>1011</v>
      </c>
      <c r="D6218" s="35" t="s">
        <v>813</v>
      </c>
      <c r="E6218" s="36">
        <v>0.94199999999999995</v>
      </c>
      <c r="F6218" s="30">
        <v>1.1304999999999998</v>
      </c>
      <c r="G6218" s="53">
        <f t="shared" si="600"/>
        <v>1.0649309999999998</v>
      </c>
      <c r="H6218" s="43"/>
      <c r="I6218" s="39"/>
      <c r="J6218" s="152">
        <v>0</v>
      </c>
      <c r="L6218" s="215">
        <v>0.94199999999999995</v>
      </c>
      <c r="M6218" s="30">
        <v>0.9677079999999999</v>
      </c>
      <c r="N6218" s="53">
        <f t="shared" si="601"/>
        <v>0.9115809359999999</v>
      </c>
      <c r="O6218" s="43"/>
      <c r="P6218" s="36" t="str">
        <f t="shared" si="602"/>
        <v/>
      </c>
      <c r="Q6218" s="216">
        <f t="shared" si="603"/>
        <v>0.14400000000000002</v>
      </c>
      <c r="R6218" s="216">
        <f t="shared" si="604"/>
        <v>0.14400000000000002</v>
      </c>
      <c r="S6218" s="217" t="str">
        <f t="shared" si="605"/>
        <v/>
      </c>
    </row>
    <row r="6219" spans="1:19" ht="26.25" hidden="1" thickBot="1" x14ac:dyDescent="0.3">
      <c r="A6219" s="257"/>
      <c r="B6219" s="260"/>
      <c r="C6219" s="35" t="s">
        <v>1012</v>
      </c>
      <c r="D6219" s="35" t="s">
        <v>815</v>
      </c>
      <c r="E6219" s="36">
        <v>0.249</v>
      </c>
      <c r="F6219" s="30">
        <v>0.47499999999999998</v>
      </c>
      <c r="G6219" s="53">
        <f t="shared" si="600"/>
        <v>0.11827499999999999</v>
      </c>
      <c r="H6219" s="43"/>
      <c r="I6219" s="39"/>
      <c r="J6219" s="152">
        <v>0</v>
      </c>
      <c r="L6219" s="215">
        <v>0.249</v>
      </c>
      <c r="M6219" s="30">
        <v>0.40659999999999996</v>
      </c>
      <c r="N6219" s="53">
        <f t="shared" si="601"/>
        <v>0.10124339999999998</v>
      </c>
      <c r="O6219" s="43"/>
      <c r="P6219" s="36" t="str">
        <f t="shared" si="602"/>
        <v/>
      </c>
      <c r="Q6219" s="216">
        <f t="shared" si="603"/>
        <v>0.14400000000000002</v>
      </c>
      <c r="R6219" s="216">
        <f t="shared" si="604"/>
        <v>0.14400000000000013</v>
      </c>
      <c r="S6219" s="217" t="str">
        <f t="shared" si="605"/>
        <v/>
      </c>
    </row>
    <row r="6220" spans="1:19" ht="15.75" hidden="1" thickBot="1" x14ac:dyDescent="0.3">
      <c r="A6220" s="258"/>
      <c r="B6220" s="261"/>
      <c r="C6220" s="35"/>
      <c r="D6220" s="35"/>
      <c r="E6220" s="36"/>
      <c r="F6220" s="30" t="s">
        <v>416</v>
      </c>
      <c r="G6220" s="53"/>
      <c r="H6220" s="43"/>
      <c r="I6220" s="39"/>
      <c r="J6220" s="152">
        <v>0</v>
      </c>
      <c r="L6220" s="215"/>
      <c r="M6220" s="30"/>
      <c r="N6220" s="53"/>
      <c r="O6220" s="43"/>
      <c r="P6220" s="36" t="str">
        <f t="shared" si="602"/>
        <v/>
      </c>
      <c r="Q6220" s="216" t="str">
        <f t="shared" si="603"/>
        <v/>
      </c>
      <c r="R6220" s="216" t="str">
        <f t="shared" si="604"/>
        <v/>
      </c>
      <c r="S6220" s="217" t="str">
        <f t="shared" si="605"/>
        <v/>
      </c>
    </row>
    <row r="6221" spans="1:19" ht="15.75" hidden="1" thickBot="1" x14ac:dyDescent="0.3">
      <c r="A6221" s="256" t="s">
        <v>5387</v>
      </c>
      <c r="B6221" s="259" t="str">
        <f>INDEX(Orçamentária!A:B,MATCH(Composições!A6221,Orçamentária!A:A,0),2)</f>
        <v>Furo em concreto de até 40 mm de diâmetro</v>
      </c>
      <c r="C6221" s="40"/>
      <c r="D6221" s="25" t="s">
        <v>16</v>
      </c>
      <c r="E6221" s="26"/>
      <c r="F6221" s="48" t="s">
        <v>416</v>
      </c>
      <c r="G6221" s="27" t="str">
        <f t="shared" ref="G6221:G6226" si="606">IF(ISNUMBER(F6221),E6221*F6221,"")</f>
        <v/>
      </c>
      <c r="H6221" s="28"/>
      <c r="I6221" s="29"/>
      <c r="J6221" s="152">
        <v>0</v>
      </c>
      <c r="L6221" s="218"/>
      <c r="M6221" s="48"/>
      <c r="N6221" s="27" t="str">
        <f t="shared" ref="N6221:N6226" si="607">IF(ISNUMBER(M6221),L6221*M6221,"")</f>
        <v/>
      </c>
      <c r="O6221" s="28"/>
      <c r="P6221" s="36" t="str">
        <f t="shared" si="602"/>
        <v/>
      </c>
      <c r="Q6221" s="216" t="str">
        <f t="shared" si="603"/>
        <v/>
      </c>
      <c r="R6221" s="216" t="str">
        <f t="shared" si="604"/>
        <v/>
      </c>
      <c r="S6221" s="217" t="str">
        <f t="shared" si="605"/>
        <v/>
      </c>
    </row>
    <row r="6222" spans="1:19" ht="15.75" hidden="1" thickBot="1" x14ac:dyDescent="0.3">
      <c r="A6222" s="257"/>
      <c r="B6222" s="260"/>
      <c r="C6222" s="31"/>
      <c r="D6222" s="31"/>
      <c r="E6222" s="32"/>
      <c r="F6222" s="53" t="s">
        <v>416</v>
      </c>
      <c r="G6222" s="53" t="str">
        <f t="shared" si="606"/>
        <v/>
      </c>
      <c r="H6222" s="72"/>
      <c r="I6222" s="73"/>
      <c r="J6222" s="152">
        <v>0</v>
      </c>
      <c r="L6222" s="219"/>
      <c r="M6222" s="53"/>
      <c r="N6222" s="53" t="str">
        <f t="shared" si="607"/>
        <v/>
      </c>
      <c r="O6222" s="72"/>
      <c r="P6222" s="36" t="str">
        <f t="shared" si="602"/>
        <v/>
      </c>
      <c r="Q6222" s="216" t="str">
        <f t="shared" si="603"/>
        <v/>
      </c>
      <c r="R6222" s="216" t="str">
        <f t="shared" si="604"/>
        <v/>
      </c>
      <c r="S6222" s="217" t="str">
        <f t="shared" si="605"/>
        <v/>
      </c>
    </row>
    <row r="6223" spans="1:19" ht="26.25" hidden="1" thickBot="1" x14ac:dyDescent="0.3">
      <c r="A6223" s="257"/>
      <c r="B6223" s="260"/>
      <c r="C6223" s="35" t="s">
        <v>969</v>
      </c>
      <c r="D6223" s="35" t="s">
        <v>813</v>
      </c>
      <c r="E6223" s="36">
        <v>0.36699999999999999</v>
      </c>
      <c r="F6223" s="30">
        <v>24.6525</v>
      </c>
      <c r="G6223" s="53">
        <f t="shared" si="606"/>
        <v>9.0474674999999998</v>
      </c>
      <c r="H6223" s="38">
        <f>SUM(G6223:G6226)</f>
        <v>62.852104499999996</v>
      </c>
      <c r="I6223" s="39"/>
      <c r="J6223" s="152">
        <v>0</v>
      </c>
      <c r="L6223" s="215">
        <v>0.36699999999999999</v>
      </c>
      <c r="M6223" s="30">
        <v>21.102540000000001</v>
      </c>
      <c r="N6223" s="53">
        <f t="shared" si="607"/>
        <v>7.74463218</v>
      </c>
      <c r="O6223" s="38">
        <f>SUM(N6223:N6226)</f>
        <v>53.801401452</v>
      </c>
      <c r="P6223" s="36" t="str">
        <f t="shared" si="602"/>
        <v/>
      </c>
      <c r="Q6223" s="216">
        <f t="shared" si="603"/>
        <v>0.14399999999999991</v>
      </c>
      <c r="R6223" s="216">
        <f t="shared" si="604"/>
        <v>0.14400000000000002</v>
      </c>
      <c r="S6223" s="217">
        <f t="shared" si="605"/>
        <v>0.14399999999999991</v>
      </c>
    </row>
    <row r="6224" spans="1:19" ht="26.25" hidden="1" thickBot="1" x14ac:dyDescent="0.3">
      <c r="A6224" s="257"/>
      <c r="B6224" s="260"/>
      <c r="C6224" s="35" t="s">
        <v>970</v>
      </c>
      <c r="D6224" s="35" t="s">
        <v>815</v>
      </c>
      <c r="E6224" s="36">
        <v>0.80500000000000005</v>
      </c>
      <c r="F6224" s="30">
        <v>23.008999999999997</v>
      </c>
      <c r="G6224" s="53">
        <f t="shared" si="606"/>
        <v>18.522244999999998</v>
      </c>
      <c r="H6224" s="43"/>
      <c r="I6224" s="39"/>
      <c r="J6224" s="152">
        <v>0</v>
      </c>
      <c r="L6224" s="215">
        <v>0.80500000000000005</v>
      </c>
      <c r="M6224" s="30">
        <v>19.695703999999999</v>
      </c>
      <c r="N6224" s="53">
        <f t="shared" si="607"/>
        <v>15.855041720000001</v>
      </c>
      <c r="O6224" s="43"/>
      <c r="P6224" s="36" t="str">
        <f t="shared" si="602"/>
        <v/>
      </c>
      <c r="Q6224" s="216">
        <f t="shared" si="603"/>
        <v>0.14399999999999991</v>
      </c>
      <c r="R6224" s="216">
        <f t="shared" si="604"/>
        <v>0.14399999999999991</v>
      </c>
      <c r="S6224" s="217" t="str">
        <f t="shared" si="605"/>
        <v/>
      </c>
    </row>
    <row r="6225" spans="1:19" ht="26.25" hidden="1" thickBot="1" x14ac:dyDescent="0.3">
      <c r="A6225" s="257"/>
      <c r="B6225" s="260"/>
      <c r="C6225" s="35" t="s">
        <v>824</v>
      </c>
      <c r="D6225" s="35" t="s">
        <v>583</v>
      </c>
      <c r="E6225" s="36">
        <v>0.183</v>
      </c>
      <c r="F6225" s="30">
        <v>21.166</v>
      </c>
      <c r="G6225" s="53">
        <f t="shared" si="606"/>
        <v>3.8733779999999998</v>
      </c>
      <c r="H6225" s="43"/>
      <c r="I6225" s="39"/>
      <c r="J6225" s="152">
        <v>0</v>
      </c>
      <c r="L6225" s="215">
        <v>0.183</v>
      </c>
      <c r="M6225" s="30">
        <v>18.118096000000001</v>
      </c>
      <c r="N6225" s="53">
        <f t="shared" si="607"/>
        <v>3.315611568</v>
      </c>
      <c r="O6225" s="43"/>
      <c r="P6225" s="36" t="str">
        <f t="shared" si="602"/>
        <v/>
      </c>
      <c r="Q6225" s="216">
        <f t="shared" si="603"/>
        <v>0.14399999999999991</v>
      </c>
      <c r="R6225" s="216">
        <f t="shared" si="604"/>
        <v>0.14399999999999991</v>
      </c>
      <c r="S6225" s="217" t="str">
        <f t="shared" si="605"/>
        <v/>
      </c>
    </row>
    <row r="6226" spans="1:19" ht="26.25" hidden="1" thickBot="1" x14ac:dyDescent="0.3">
      <c r="A6226" s="257"/>
      <c r="B6226" s="260"/>
      <c r="C6226" s="35" t="s">
        <v>825</v>
      </c>
      <c r="D6226" s="35" t="s">
        <v>583</v>
      </c>
      <c r="E6226" s="36">
        <v>1.1719999999999999</v>
      </c>
      <c r="F6226" s="30">
        <v>26.799499999999998</v>
      </c>
      <c r="G6226" s="53">
        <f t="shared" si="606"/>
        <v>31.409013999999996</v>
      </c>
      <c r="H6226" s="43"/>
      <c r="I6226" s="39"/>
      <c r="J6226" s="152">
        <v>0</v>
      </c>
      <c r="L6226" s="215">
        <v>1.1719999999999999</v>
      </c>
      <c r="M6226" s="30">
        <v>22.940372</v>
      </c>
      <c r="N6226" s="53">
        <f t="shared" si="607"/>
        <v>26.886115984</v>
      </c>
      <c r="O6226" s="43"/>
      <c r="P6226" s="36" t="str">
        <f t="shared" si="602"/>
        <v/>
      </c>
      <c r="Q6226" s="216">
        <f t="shared" si="603"/>
        <v>0.14399999999999991</v>
      </c>
      <c r="R6226" s="216">
        <f t="shared" si="604"/>
        <v>0.14399999999999991</v>
      </c>
      <c r="S6226" s="217" t="str">
        <f t="shared" si="605"/>
        <v/>
      </c>
    </row>
    <row r="6227" spans="1:19" ht="15.75" hidden="1" thickBot="1" x14ac:dyDescent="0.3">
      <c r="A6227" s="258"/>
      <c r="B6227" s="261"/>
      <c r="C6227" s="35"/>
      <c r="D6227" s="35"/>
      <c r="E6227" s="36"/>
      <c r="F6227" s="30" t="s">
        <v>416</v>
      </c>
      <c r="G6227" s="53"/>
      <c r="H6227" s="43"/>
      <c r="I6227" s="39"/>
      <c r="J6227" s="152">
        <v>0</v>
      </c>
      <c r="L6227" s="215"/>
      <c r="M6227" s="30"/>
      <c r="N6227" s="53"/>
      <c r="O6227" s="43"/>
      <c r="P6227" s="36" t="str">
        <f t="shared" si="602"/>
        <v/>
      </c>
      <c r="Q6227" s="216" t="str">
        <f t="shared" si="603"/>
        <v/>
      </c>
      <c r="R6227" s="216" t="str">
        <f t="shared" si="604"/>
        <v/>
      </c>
      <c r="S6227" s="217" t="str">
        <f t="shared" si="605"/>
        <v/>
      </c>
    </row>
    <row r="6228" spans="1:19" ht="15.75" hidden="1" thickBot="1" x14ac:dyDescent="0.3">
      <c r="A6228" s="256" t="s">
        <v>5388</v>
      </c>
      <c r="B6228" s="264" t="str">
        <f>INDEX(Orçamentária!A:B,MATCH(Composições!A6228,Orçamentária!A:A,0),2)</f>
        <v>Adesivo Estrutural Epóxi Bicomponente – fornecimento e aplicação</v>
      </c>
      <c r="C6228" s="40"/>
      <c r="D6228" s="25" t="s">
        <v>70</v>
      </c>
      <c r="E6228" s="26"/>
      <c r="F6228" s="48" t="s">
        <v>416</v>
      </c>
      <c r="G6228" s="27" t="str">
        <f>IF(ISNUMBER(F6228),E6228*F6228,"")</f>
        <v/>
      </c>
      <c r="H6228" s="28"/>
      <c r="I6228" s="29"/>
      <c r="J6228" s="152">
        <v>0</v>
      </c>
      <c r="L6228" s="218"/>
      <c r="M6228" s="48"/>
      <c r="N6228" s="27" t="str">
        <f>IF(ISNUMBER(M6228),L6228*M6228,"")</f>
        <v/>
      </c>
      <c r="O6228" s="28"/>
      <c r="P6228" s="36" t="str">
        <f t="shared" si="602"/>
        <v/>
      </c>
      <c r="Q6228" s="216" t="str">
        <f t="shared" si="603"/>
        <v/>
      </c>
      <c r="R6228" s="216" t="str">
        <f t="shared" si="604"/>
        <v/>
      </c>
      <c r="S6228" s="217" t="str">
        <f t="shared" si="605"/>
        <v/>
      </c>
    </row>
    <row r="6229" spans="1:19" ht="15.75" hidden="1" thickBot="1" x14ac:dyDescent="0.3">
      <c r="A6229" s="257"/>
      <c r="B6229" s="265"/>
      <c r="C6229" s="31"/>
      <c r="D6229" s="31"/>
      <c r="E6229" s="32"/>
      <c r="F6229" s="53" t="s">
        <v>416</v>
      </c>
      <c r="G6229" s="53" t="str">
        <f>IF(ISNUMBER(F6229),E6229*F6229,"")</f>
        <v/>
      </c>
      <c r="H6229" s="72"/>
      <c r="I6229" s="73"/>
      <c r="J6229" s="152">
        <v>0</v>
      </c>
      <c r="L6229" s="219"/>
      <c r="M6229" s="53"/>
      <c r="N6229" s="53" t="str">
        <f>IF(ISNUMBER(M6229),L6229*M6229,"")</f>
        <v/>
      </c>
      <c r="O6229" s="72"/>
      <c r="P6229" s="36" t="str">
        <f t="shared" si="602"/>
        <v/>
      </c>
      <c r="Q6229" s="216" t="str">
        <f t="shared" si="603"/>
        <v/>
      </c>
      <c r="R6229" s="216" t="str">
        <f t="shared" si="604"/>
        <v/>
      </c>
      <c r="S6229" s="217" t="str">
        <f t="shared" si="605"/>
        <v/>
      </c>
    </row>
    <row r="6230" spans="1:19" ht="15.75" hidden="1" thickBot="1" x14ac:dyDescent="0.3">
      <c r="A6230" s="257"/>
      <c r="B6230" s="265"/>
      <c r="C6230" s="35" t="s">
        <v>591</v>
      </c>
      <c r="D6230" s="35" t="s">
        <v>583</v>
      </c>
      <c r="E6230" s="36">
        <v>0.2</v>
      </c>
      <c r="F6230" s="30">
        <v>27.160499999999999</v>
      </c>
      <c r="G6230" s="53">
        <f>IF(ISNUMBER(F6230),E6230*F6230,"")</f>
        <v>5.4321000000000002</v>
      </c>
      <c r="H6230" s="38">
        <f>SUM(G6230:G6232)</f>
        <v>70.590699999999998</v>
      </c>
      <c r="I6230" s="39"/>
      <c r="J6230" s="152">
        <v>0</v>
      </c>
      <c r="L6230" s="215">
        <v>0.2</v>
      </c>
      <c r="M6230" s="30">
        <v>23.249388</v>
      </c>
      <c r="N6230" s="53">
        <f>IF(ISNUMBER(M6230),L6230*M6230,"")</f>
        <v>4.6498775999999999</v>
      </c>
      <c r="O6230" s="38">
        <f>SUM(N6230:N6232)</f>
        <v>60.425639199999992</v>
      </c>
      <c r="P6230" s="36" t="str">
        <f t="shared" si="602"/>
        <v/>
      </c>
      <c r="Q6230" s="216">
        <f t="shared" si="603"/>
        <v>0.14400000000000002</v>
      </c>
      <c r="R6230" s="216">
        <f t="shared" si="604"/>
        <v>0.14400000000000002</v>
      </c>
      <c r="S6230" s="217">
        <f t="shared" si="605"/>
        <v>0.14400000000000013</v>
      </c>
    </row>
    <row r="6231" spans="1:19" ht="15.75" hidden="1" thickBot="1" x14ac:dyDescent="0.3">
      <c r="A6231" s="257"/>
      <c r="B6231" s="265"/>
      <c r="C6231" s="35" t="s">
        <v>584</v>
      </c>
      <c r="D6231" s="35" t="s">
        <v>583</v>
      </c>
      <c r="E6231" s="36">
        <v>0.2</v>
      </c>
      <c r="F6231" s="30">
        <v>20.225499999999997</v>
      </c>
      <c r="G6231" s="53">
        <f>IF(ISNUMBER(F6231),E6231*F6231,"")</f>
        <v>4.0450999999999997</v>
      </c>
      <c r="H6231" s="43"/>
      <c r="I6231" s="39"/>
      <c r="J6231" s="152">
        <v>0</v>
      </c>
      <c r="L6231" s="215">
        <v>0.2</v>
      </c>
      <c r="M6231" s="30">
        <v>17.313027999999996</v>
      </c>
      <c r="N6231" s="53">
        <f>IF(ISNUMBER(M6231),L6231*M6231,"")</f>
        <v>3.4626055999999994</v>
      </c>
      <c r="O6231" s="43"/>
      <c r="P6231" s="36" t="str">
        <f t="shared" si="602"/>
        <v/>
      </c>
      <c r="Q6231" s="216">
        <f t="shared" si="603"/>
        <v>0.14400000000000013</v>
      </c>
      <c r="R6231" s="216">
        <f t="shared" si="604"/>
        <v>0.14400000000000013</v>
      </c>
      <c r="S6231" s="217" t="str">
        <f t="shared" si="605"/>
        <v/>
      </c>
    </row>
    <row r="6232" spans="1:19" ht="26.25" hidden="1" thickBot="1" x14ac:dyDescent="0.3">
      <c r="A6232" s="257"/>
      <c r="B6232" s="265"/>
      <c r="C6232" s="35" t="s">
        <v>2921</v>
      </c>
      <c r="D6232" s="35" t="s">
        <v>773</v>
      </c>
      <c r="E6232" s="36">
        <v>1</v>
      </c>
      <c r="F6232" s="30">
        <v>61.113499999999995</v>
      </c>
      <c r="G6232" s="53">
        <f>IF(ISNUMBER(F6232),E6232*F6232,"")</f>
        <v>61.113499999999995</v>
      </c>
      <c r="H6232" s="43"/>
      <c r="I6232" s="39"/>
      <c r="J6232" s="152">
        <v>0</v>
      </c>
      <c r="L6232" s="215">
        <v>1</v>
      </c>
      <c r="M6232" s="30">
        <v>52.313155999999992</v>
      </c>
      <c r="N6232" s="53">
        <f>IF(ISNUMBER(M6232),L6232*M6232,"")</f>
        <v>52.313155999999992</v>
      </c>
      <c r="O6232" s="43"/>
      <c r="P6232" s="36" t="str">
        <f t="shared" si="602"/>
        <v/>
      </c>
      <c r="Q6232" s="216">
        <f t="shared" si="603"/>
        <v>0.14400000000000002</v>
      </c>
      <c r="R6232" s="216">
        <f t="shared" si="604"/>
        <v>0.14400000000000002</v>
      </c>
      <c r="S6232" s="217" t="str">
        <f t="shared" si="605"/>
        <v/>
      </c>
    </row>
    <row r="6233" spans="1:19" ht="15.75" hidden="1" thickBot="1" x14ac:dyDescent="0.3">
      <c r="A6233" s="258"/>
      <c r="B6233" s="266"/>
      <c r="C6233" s="35"/>
      <c r="D6233" s="35"/>
      <c r="E6233" s="36"/>
      <c r="F6233" s="30" t="s">
        <v>416</v>
      </c>
      <c r="G6233" s="53"/>
      <c r="H6233" s="43"/>
      <c r="I6233" s="39"/>
      <c r="J6233" s="152">
        <v>0</v>
      </c>
      <c r="L6233" s="215"/>
      <c r="M6233" s="30"/>
      <c r="N6233" s="53"/>
      <c r="O6233" s="43"/>
      <c r="P6233" s="36" t="str">
        <f t="shared" si="602"/>
        <v/>
      </c>
      <c r="Q6233" s="216" t="str">
        <f t="shared" si="603"/>
        <v/>
      </c>
      <c r="R6233" s="216" t="str">
        <f t="shared" si="604"/>
        <v/>
      </c>
      <c r="S6233" s="217" t="str">
        <f t="shared" si="605"/>
        <v/>
      </c>
    </row>
    <row r="6234" spans="1:19" ht="15.75" hidden="1" thickBot="1" x14ac:dyDescent="0.3">
      <c r="A6234" s="256" t="s">
        <v>5389</v>
      </c>
      <c r="B6234" s="259" t="str">
        <f>INDEX(Orçamentária!A:B,MATCH(Composições!A6234,Orçamentária!A:A,0),2)</f>
        <v>Estaca escavada manualmente de diâmetro 30 cm</v>
      </c>
      <c r="C6234" s="40"/>
      <c r="D6234" s="25" t="s">
        <v>69</v>
      </c>
      <c r="E6234" s="26"/>
      <c r="F6234" s="48" t="s">
        <v>416</v>
      </c>
      <c r="G6234" s="27" t="str">
        <f t="shared" ref="G6234:G6239" si="608">IF(ISNUMBER(F6234),E6234*F6234,"")</f>
        <v/>
      </c>
      <c r="H6234" s="28"/>
      <c r="I6234" s="29"/>
      <c r="J6234" s="152">
        <v>0</v>
      </c>
      <c r="L6234" s="218"/>
      <c r="M6234" s="48"/>
      <c r="N6234" s="27" t="str">
        <f t="shared" ref="N6234:N6239" si="609">IF(ISNUMBER(M6234),L6234*M6234,"")</f>
        <v/>
      </c>
      <c r="O6234" s="28"/>
      <c r="P6234" s="36" t="str">
        <f t="shared" si="602"/>
        <v/>
      </c>
      <c r="Q6234" s="216" t="str">
        <f t="shared" si="603"/>
        <v/>
      </c>
      <c r="R6234" s="216" t="str">
        <f t="shared" si="604"/>
        <v/>
      </c>
      <c r="S6234" s="217" t="str">
        <f t="shared" si="605"/>
        <v/>
      </c>
    </row>
    <row r="6235" spans="1:19" ht="15.75" hidden="1" thickBot="1" x14ac:dyDescent="0.3">
      <c r="A6235" s="257"/>
      <c r="B6235" s="260"/>
      <c r="C6235" s="31"/>
      <c r="D6235" s="31"/>
      <c r="E6235" s="32"/>
      <c r="F6235" s="53" t="s">
        <v>416</v>
      </c>
      <c r="G6235" s="53" t="str">
        <f t="shared" si="608"/>
        <v/>
      </c>
      <c r="H6235" s="72"/>
      <c r="I6235" s="73"/>
      <c r="J6235" s="152">
        <v>0</v>
      </c>
      <c r="L6235" s="219"/>
      <c r="M6235" s="53"/>
      <c r="N6235" s="53" t="str">
        <f t="shared" si="609"/>
        <v/>
      </c>
      <c r="O6235" s="72"/>
      <c r="P6235" s="36" t="str">
        <f t="shared" si="602"/>
        <v/>
      </c>
      <c r="Q6235" s="216" t="str">
        <f t="shared" si="603"/>
        <v/>
      </c>
      <c r="R6235" s="216" t="str">
        <f t="shared" si="604"/>
        <v/>
      </c>
      <c r="S6235" s="217" t="str">
        <f t="shared" si="605"/>
        <v/>
      </c>
    </row>
    <row r="6236" spans="1:19" ht="15.75" hidden="1" thickBot="1" x14ac:dyDescent="0.3">
      <c r="A6236" s="257"/>
      <c r="B6236" s="260"/>
      <c r="C6236" s="35" t="s">
        <v>591</v>
      </c>
      <c r="D6236" s="35" t="s">
        <v>583</v>
      </c>
      <c r="E6236" s="36">
        <v>1.103</v>
      </c>
      <c r="F6236" s="30">
        <v>27.160499999999999</v>
      </c>
      <c r="G6236" s="53">
        <f t="shared" si="608"/>
        <v>29.958031499999997</v>
      </c>
      <c r="H6236" s="38">
        <f>SUM(G6236:G6239)</f>
        <v>129.42123474955432</v>
      </c>
      <c r="I6236" s="39"/>
      <c r="J6236" s="152">
        <v>0</v>
      </c>
      <c r="L6236" s="215">
        <v>1.103</v>
      </c>
      <c r="M6236" s="30">
        <v>23.249388</v>
      </c>
      <c r="N6236" s="53">
        <f t="shared" si="609"/>
        <v>25.644074963999998</v>
      </c>
      <c r="O6236" s="38">
        <f>SUM(N6236:N6239)</f>
        <v>110.78457694561851</v>
      </c>
      <c r="P6236" s="36" t="str">
        <f t="shared" si="602"/>
        <v/>
      </c>
      <c r="Q6236" s="216">
        <f t="shared" si="603"/>
        <v>0.14400000000000002</v>
      </c>
      <c r="R6236" s="216">
        <f t="shared" si="604"/>
        <v>0.14400000000000002</v>
      </c>
      <c r="S6236" s="217">
        <f t="shared" si="605"/>
        <v>0.14399999999999991</v>
      </c>
    </row>
    <row r="6237" spans="1:19" ht="15.75" hidden="1" thickBot="1" x14ac:dyDescent="0.3">
      <c r="A6237" s="257"/>
      <c r="B6237" s="260"/>
      <c r="C6237" s="35" t="s">
        <v>584</v>
      </c>
      <c r="D6237" s="35" t="s">
        <v>583</v>
      </c>
      <c r="E6237" s="36">
        <v>1.33</v>
      </c>
      <c r="F6237" s="30">
        <v>20.225499999999997</v>
      </c>
      <c r="G6237" s="53">
        <f t="shared" si="608"/>
        <v>26.899914999999996</v>
      </c>
      <c r="H6237" s="43"/>
      <c r="I6237" s="39"/>
      <c r="J6237" s="152">
        <v>0</v>
      </c>
      <c r="L6237" s="215">
        <v>1.33</v>
      </c>
      <c r="M6237" s="30">
        <v>17.313027999999996</v>
      </c>
      <c r="N6237" s="53">
        <f t="shared" si="609"/>
        <v>23.026327239999997</v>
      </c>
      <c r="O6237" s="43"/>
      <c r="P6237" s="36" t="str">
        <f t="shared" si="602"/>
        <v/>
      </c>
      <c r="Q6237" s="216">
        <f t="shared" si="603"/>
        <v>0.14400000000000013</v>
      </c>
      <c r="R6237" s="216">
        <f t="shared" si="604"/>
        <v>0.14400000000000002</v>
      </c>
      <c r="S6237" s="217" t="str">
        <f t="shared" si="605"/>
        <v/>
      </c>
    </row>
    <row r="6238" spans="1:19" ht="15.75" hidden="1" thickBot="1" x14ac:dyDescent="0.3">
      <c r="A6238" s="257"/>
      <c r="B6238" s="260"/>
      <c r="C6238" s="35" t="s">
        <v>6818</v>
      </c>
      <c r="D6238" s="35" t="s">
        <v>773</v>
      </c>
      <c r="E6238" s="36">
        <v>2.1230000000000002</v>
      </c>
      <c r="F6238" s="30">
        <v>9.2143160000000019</v>
      </c>
      <c r="G6238" s="53">
        <f t="shared" si="608"/>
        <v>19.561992868000008</v>
      </c>
      <c r="H6238" s="43"/>
      <c r="I6238" s="39"/>
      <c r="J6238" s="152">
        <v>0</v>
      </c>
      <c r="L6238" s="215">
        <v>2.1230000000000002</v>
      </c>
      <c r="M6238" s="30">
        <v>7.8874544960000019</v>
      </c>
      <c r="N6238" s="53">
        <f t="shared" si="609"/>
        <v>16.745065895008008</v>
      </c>
      <c r="O6238" s="43"/>
      <c r="P6238" s="36" t="str">
        <f t="shared" si="602"/>
        <v/>
      </c>
      <c r="Q6238" s="216">
        <f t="shared" si="603"/>
        <v>0.14400000000000002</v>
      </c>
      <c r="R6238" s="216">
        <f t="shared" si="604"/>
        <v>0.14399999999999991</v>
      </c>
      <c r="S6238" s="217" t="str">
        <f t="shared" si="605"/>
        <v/>
      </c>
    </row>
    <row r="6239" spans="1:19" ht="39" hidden="1" thickBot="1" x14ac:dyDescent="0.3">
      <c r="A6239" s="257"/>
      <c r="B6239" s="260"/>
      <c r="C6239" s="35" t="s">
        <v>5737</v>
      </c>
      <c r="D6239" s="35" t="s">
        <v>87</v>
      </c>
      <c r="E6239" s="36">
        <v>8.5999999999999993E-2</v>
      </c>
      <c r="F6239" s="30">
        <v>616.29413234365495</v>
      </c>
      <c r="G6239" s="53">
        <f t="shared" si="608"/>
        <v>53.001295381554321</v>
      </c>
      <c r="H6239" s="43"/>
      <c r="I6239" s="39"/>
      <c r="J6239" s="152">
        <v>0</v>
      </c>
      <c r="L6239" s="215">
        <v>8.5999999999999993E-2</v>
      </c>
      <c r="M6239" s="30">
        <v>527.54777728616864</v>
      </c>
      <c r="N6239" s="53">
        <f t="shared" si="609"/>
        <v>45.369108846610501</v>
      </c>
      <c r="O6239" s="43"/>
      <c r="P6239" s="36" t="str">
        <f t="shared" si="602"/>
        <v/>
      </c>
      <c r="Q6239" s="216">
        <f t="shared" si="603"/>
        <v>0.14400000000000002</v>
      </c>
      <c r="R6239" s="216">
        <f t="shared" si="604"/>
        <v>0.14399999999999991</v>
      </c>
      <c r="S6239" s="217" t="str">
        <f t="shared" si="605"/>
        <v/>
      </c>
    </row>
    <row r="6240" spans="1:19" ht="15.75" hidden="1" thickBot="1" x14ac:dyDescent="0.3">
      <c r="A6240" s="258"/>
      <c r="B6240" s="261"/>
      <c r="C6240" s="35"/>
      <c r="D6240" s="35"/>
      <c r="E6240" s="36"/>
      <c r="F6240" s="30" t="s">
        <v>416</v>
      </c>
      <c r="G6240" s="53"/>
      <c r="H6240" s="43"/>
      <c r="I6240" s="39"/>
      <c r="J6240" s="152">
        <v>0</v>
      </c>
      <c r="L6240" s="215"/>
      <c r="M6240" s="30"/>
      <c r="N6240" s="53"/>
      <c r="O6240" s="43"/>
      <c r="P6240" s="36" t="str">
        <f t="shared" si="602"/>
        <v/>
      </c>
      <c r="Q6240" s="216" t="str">
        <f t="shared" si="603"/>
        <v/>
      </c>
      <c r="R6240" s="216" t="str">
        <f t="shared" si="604"/>
        <v/>
      </c>
      <c r="S6240" s="217" t="str">
        <f t="shared" si="605"/>
        <v/>
      </c>
    </row>
    <row r="6241" spans="1:19" ht="15.75" hidden="1" thickBot="1" x14ac:dyDescent="0.3">
      <c r="A6241" s="256" t="s">
        <v>5390</v>
      </c>
      <c r="B6241" s="259" t="str">
        <f>INDEX(Orçamentária!A:B,MATCH(Composições!A6241,Orçamentária!A:A,0),2)</f>
        <v>Arrasamento mecânico de estacas de concreto armado com diâmetros de até 40 cm</v>
      </c>
      <c r="C6241" s="40"/>
      <c r="D6241" s="25" t="s">
        <v>16</v>
      </c>
      <c r="E6241" s="26"/>
      <c r="F6241" s="48" t="s">
        <v>416</v>
      </c>
      <c r="G6241" s="27" t="str">
        <f>IF(ISNUMBER(F6241),E6241*F6241,"")</f>
        <v/>
      </c>
      <c r="H6241" s="28"/>
      <c r="I6241" s="29"/>
      <c r="J6241" s="152">
        <v>0</v>
      </c>
      <c r="L6241" s="218"/>
      <c r="M6241" s="48"/>
      <c r="N6241" s="27" t="str">
        <f>IF(ISNUMBER(M6241),L6241*M6241,"")</f>
        <v/>
      </c>
      <c r="O6241" s="28"/>
      <c r="P6241" s="36" t="str">
        <f t="shared" si="602"/>
        <v/>
      </c>
      <c r="Q6241" s="216" t="str">
        <f t="shared" si="603"/>
        <v/>
      </c>
      <c r="R6241" s="216" t="str">
        <f t="shared" si="604"/>
        <v/>
      </c>
      <c r="S6241" s="217" t="str">
        <f t="shared" si="605"/>
        <v/>
      </c>
    </row>
    <row r="6242" spans="1:19" ht="15.75" hidden="1" thickBot="1" x14ac:dyDescent="0.3">
      <c r="A6242" s="257"/>
      <c r="B6242" s="260"/>
      <c r="C6242" s="31"/>
      <c r="D6242" s="31"/>
      <c r="E6242" s="32"/>
      <c r="F6242" s="53" t="s">
        <v>416</v>
      </c>
      <c r="G6242" s="53" t="str">
        <f>IF(ISNUMBER(F6242),E6242*F6242,"")</f>
        <v/>
      </c>
      <c r="H6242" s="72"/>
      <c r="I6242" s="73"/>
      <c r="J6242" s="152">
        <v>0</v>
      </c>
      <c r="L6242" s="219"/>
      <c r="M6242" s="53"/>
      <c r="N6242" s="53" t="str">
        <f>IF(ISNUMBER(M6242),L6242*M6242,"")</f>
        <v/>
      </c>
      <c r="O6242" s="72"/>
      <c r="P6242" s="36" t="str">
        <f t="shared" si="602"/>
        <v/>
      </c>
      <c r="Q6242" s="216" t="str">
        <f t="shared" si="603"/>
        <v/>
      </c>
      <c r="R6242" s="216" t="str">
        <f t="shared" si="604"/>
        <v/>
      </c>
      <c r="S6242" s="217" t="str">
        <f t="shared" si="605"/>
        <v/>
      </c>
    </row>
    <row r="6243" spans="1:19" ht="15.75" hidden="1" thickBot="1" x14ac:dyDescent="0.3">
      <c r="A6243" s="257"/>
      <c r="B6243" s="260"/>
      <c r="C6243" s="35" t="s">
        <v>584</v>
      </c>
      <c r="D6243" s="35" t="s">
        <v>583</v>
      </c>
      <c r="E6243" s="36">
        <v>0.36299999999999999</v>
      </c>
      <c r="F6243" s="30">
        <v>20.225499999999997</v>
      </c>
      <c r="G6243" s="53">
        <f>IF(ISNUMBER(F6243),E6243*F6243,"")</f>
        <v>7.3418564999999987</v>
      </c>
      <c r="H6243" s="38">
        <f>SUM(G6243:G6245)</f>
        <v>15.682783349999999</v>
      </c>
      <c r="I6243" s="39"/>
      <c r="J6243" s="152">
        <v>0</v>
      </c>
      <c r="L6243" s="215">
        <v>0.36299999999999999</v>
      </c>
      <c r="M6243" s="30">
        <v>17.313027999999996</v>
      </c>
      <c r="N6243" s="53">
        <f>IF(ISNUMBER(M6243),L6243*M6243,"")</f>
        <v>6.2846291639999983</v>
      </c>
      <c r="O6243" s="38">
        <f>SUM(N6243:N6245)</f>
        <v>13.424462547599997</v>
      </c>
      <c r="P6243" s="36" t="str">
        <f t="shared" si="602"/>
        <v/>
      </c>
      <c r="Q6243" s="216">
        <f t="shared" si="603"/>
        <v>0.14400000000000013</v>
      </c>
      <c r="R6243" s="216">
        <f t="shared" si="604"/>
        <v>0.14400000000000013</v>
      </c>
      <c r="S6243" s="217">
        <f t="shared" si="605"/>
        <v>0.14400000000000013</v>
      </c>
    </row>
    <row r="6244" spans="1:19" ht="26.25" hidden="1" thickBot="1" x14ac:dyDescent="0.3">
      <c r="A6244" s="257"/>
      <c r="B6244" s="260"/>
      <c r="C6244" s="35" t="s">
        <v>3264</v>
      </c>
      <c r="D6244" s="35" t="s">
        <v>815</v>
      </c>
      <c r="E6244" s="36">
        <v>0.20030000000000001</v>
      </c>
      <c r="F6244" s="30">
        <v>22.172999999999998</v>
      </c>
      <c r="G6244" s="53">
        <f>IF(ISNUMBER(F6244),E6244*F6244,"")</f>
        <v>4.4412519000000001</v>
      </c>
      <c r="H6244" s="43"/>
      <c r="I6244" s="39"/>
      <c r="J6244" s="152">
        <v>0</v>
      </c>
      <c r="L6244" s="215">
        <v>0.20030000000000001</v>
      </c>
      <c r="M6244" s="30">
        <v>18.980087999999999</v>
      </c>
      <c r="N6244" s="53">
        <f>IF(ISNUMBER(M6244),L6244*M6244,"")</f>
        <v>3.8017116263999999</v>
      </c>
      <c r="O6244" s="43"/>
      <c r="P6244" s="36" t="str">
        <f t="shared" si="602"/>
        <v/>
      </c>
      <c r="Q6244" s="216">
        <f t="shared" si="603"/>
        <v>0.14400000000000002</v>
      </c>
      <c r="R6244" s="216">
        <f t="shared" si="604"/>
        <v>0.14400000000000002</v>
      </c>
      <c r="S6244" s="217" t="str">
        <f t="shared" si="605"/>
        <v/>
      </c>
    </row>
    <row r="6245" spans="1:19" ht="26.25" hidden="1" thickBot="1" x14ac:dyDescent="0.3">
      <c r="A6245" s="257"/>
      <c r="B6245" s="260"/>
      <c r="C6245" s="35" t="s">
        <v>3263</v>
      </c>
      <c r="D6245" s="35" t="s">
        <v>813</v>
      </c>
      <c r="E6245" s="36">
        <v>0.16270000000000001</v>
      </c>
      <c r="F6245" s="30">
        <v>23.968499999999999</v>
      </c>
      <c r="G6245" s="53">
        <f>IF(ISNUMBER(F6245),E6245*F6245,"")</f>
        <v>3.8996749500000001</v>
      </c>
      <c r="H6245" s="43"/>
      <c r="I6245" s="39"/>
      <c r="J6245" s="152">
        <v>0</v>
      </c>
      <c r="L6245" s="215">
        <v>0.16270000000000001</v>
      </c>
      <c r="M6245" s="30">
        <v>20.517035999999997</v>
      </c>
      <c r="N6245" s="53">
        <f>IF(ISNUMBER(M6245),L6245*M6245,"")</f>
        <v>3.3381217571999997</v>
      </c>
      <c r="O6245" s="43"/>
      <c r="P6245" s="36" t="str">
        <f t="shared" si="602"/>
        <v/>
      </c>
      <c r="Q6245" s="216">
        <f t="shared" si="603"/>
        <v>0.14400000000000002</v>
      </c>
      <c r="R6245" s="216">
        <f t="shared" si="604"/>
        <v>0.14400000000000013</v>
      </c>
      <c r="S6245" s="217" t="str">
        <f t="shared" si="605"/>
        <v/>
      </c>
    </row>
    <row r="6246" spans="1:19" ht="15.75" hidden="1" thickBot="1" x14ac:dyDescent="0.3">
      <c r="A6246" s="258"/>
      <c r="B6246" s="261"/>
      <c r="C6246" s="35"/>
      <c r="D6246" s="35"/>
      <c r="E6246" s="36"/>
      <c r="F6246" s="30" t="s">
        <v>416</v>
      </c>
      <c r="G6246" s="53"/>
      <c r="H6246" s="43"/>
      <c r="I6246" s="39"/>
      <c r="J6246" s="152">
        <v>0</v>
      </c>
      <c r="L6246" s="215"/>
      <c r="M6246" s="30"/>
      <c r="N6246" s="53"/>
      <c r="O6246" s="43"/>
      <c r="P6246" s="36" t="str">
        <f t="shared" si="602"/>
        <v/>
      </c>
      <c r="Q6246" s="216" t="str">
        <f t="shared" si="603"/>
        <v/>
      </c>
      <c r="R6246" s="216" t="str">
        <f t="shared" si="604"/>
        <v/>
      </c>
      <c r="S6246" s="217" t="str">
        <f t="shared" si="605"/>
        <v/>
      </c>
    </row>
    <row r="6247" spans="1:19" ht="15.75" hidden="1" thickBot="1" x14ac:dyDescent="0.3">
      <c r="A6247" s="256" t="s">
        <v>5391</v>
      </c>
      <c r="B6247" s="259" t="str">
        <f>INDEX(Orçamentária!A:B,MATCH(Composições!A6247,Orçamentária!A:A,0),2)</f>
        <v>Quadro 400x300x200 mm – fornecimento e instalação</v>
      </c>
      <c r="C6247" s="40"/>
      <c r="D6247" s="25" t="s">
        <v>16</v>
      </c>
      <c r="E6247" s="26"/>
      <c r="F6247" s="48" t="s">
        <v>416</v>
      </c>
      <c r="G6247" s="27" t="str">
        <f>IF(ISNUMBER(F6247),E6247*F6247,"")</f>
        <v/>
      </c>
      <c r="H6247" s="28"/>
      <c r="I6247" s="29"/>
      <c r="J6247" s="152">
        <v>0</v>
      </c>
      <c r="L6247" s="218"/>
      <c r="M6247" s="48"/>
      <c r="N6247" s="27" t="str">
        <f>IF(ISNUMBER(M6247),L6247*M6247,"")</f>
        <v/>
      </c>
      <c r="O6247" s="28"/>
      <c r="P6247" s="36" t="str">
        <f t="shared" si="602"/>
        <v/>
      </c>
      <c r="Q6247" s="216" t="str">
        <f t="shared" si="603"/>
        <v/>
      </c>
      <c r="R6247" s="216" t="str">
        <f t="shared" si="604"/>
        <v/>
      </c>
      <c r="S6247" s="217" t="str">
        <f t="shared" si="605"/>
        <v/>
      </c>
    </row>
    <row r="6248" spans="1:19" ht="15.75" hidden="1" thickBot="1" x14ac:dyDescent="0.3">
      <c r="A6248" s="257"/>
      <c r="B6248" s="260"/>
      <c r="C6248" s="31"/>
      <c r="D6248" s="31"/>
      <c r="E6248" s="32"/>
      <c r="F6248" s="53" t="s">
        <v>416</v>
      </c>
      <c r="G6248" s="53" t="str">
        <f>IF(ISNUMBER(F6248),E6248*F6248,"")</f>
        <v/>
      </c>
      <c r="H6248" s="72"/>
      <c r="I6248" s="73"/>
      <c r="J6248" s="152">
        <v>0</v>
      </c>
      <c r="L6248" s="219"/>
      <c r="M6248" s="53"/>
      <c r="N6248" s="53" t="str">
        <f>IF(ISNUMBER(M6248),L6248*M6248,"")</f>
        <v/>
      </c>
      <c r="O6248" s="72"/>
      <c r="P6248" s="36" t="str">
        <f t="shared" si="602"/>
        <v/>
      </c>
      <c r="Q6248" s="216" t="str">
        <f t="shared" si="603"/>
        <v/>
      </c>
      <c r="R6248" s="216" t="str">
        <f t="shared" si="604"/>
        <v/>
      </c>
      <c r="S6248" s="217" t="str">
        <f t="shared" si="605"/>
        <v/>
      </c>
    </row>
    <row r="6249" spans="1:19" ht="39" hidden="1" thickBot="1" x14ac:dyDescent="0.3">
      <c r="A6249" s="257"/>
      <c r="B6249" s="260"/>
      <c r="C6249" s="35" t="s">
        <v>2939</v>
      </c>
      <c r="D6249" s="35" t="s">
        <v>213</v>
      </c>
      <c r="E6249" s="36">
        <v>1</v>
      </c>
      <c r="F6249" s="30" t="s">
        <v>416</v>
      </c>
      <c r="G6249" s="53" t="str">
        <f>IF(ISNUMBER(F6249),E6249*F6249,"")</f>
        <v/>
      </c>
      <c r="H6249" s="38">
        <f>SUM(G6249:G6251)</f>
        <v>75.279962699999999</v>
      </c>
      <c r="I6249" s="39"/>
      <c r="J6249" s="152">
        <v>0</v>
      </c>
      <c r="L6249" s="215">
        <v>1</v>
      </c>
      <c r="M6249" s="30"/>
      <c r="N6249" s="53" t="str">
        <f>IF(ISNUMBER(M6249),L6249*M6249,"")</f>
        <v/>
      </c>
      <c r="O6249" s="38">
        <f>SUM(N6249:N6251)</f>
        <v>64.439648071199997</v>
      </c>
      <c r="P6249" s="36" t="str">
        <f t="shared" si="602"/>
        <v/>
      </c>
      <c r="Q6249" s="216" t="str">
        <f t="shared" si="603"/>
        <v/>
      </c>
      <c r="R6249" s="216" t="str">
        <f t="shared" si="604"/>
        <v/>
      </c>
      <c r="S6249" s="217">
        <f t="shared" si="605"/>
        <v>0.14400000000000002</v>
      </c>
    </row>
    <row r="6250" spans="1:19" ht="15.75" hidden="1" thickBot="1" x14ac:dyDescent="0.3">
      <c r="A6250" s="257"/>
      <c r="B6250" s="260"/>
      <c r="C6250" s="35" t="s">
        <v>1017</v>
      </c>
      <c r="D6250" s="35" t="s">
        <v>583</v>
      </c>
      <c r="E6250" s="36">
        <v>1.5233000000000001</v>
      </c>
      <c r="F6250" s="30">
        <v>21.584</v>
      </c>
      <c r="G6250" s="53">
        <f>IF(ISNUMBER(F6250),E6250*F6250,"")</f>
        <v>32.8789072</v>
      </c>
      <c r="H6250" s="43"/>
      <c r="I6250" s="39"/>
      <c r="J6250" s="152">
        <v>0</v>
      </c>
      <c r="L6250" s="215">
        <v>1.5233000000000001</v>
      </c>
      <c r="M6250" s="30">
        <v>18.475904</v>
      </c>
      <c r="N6250" s="53">
        <f>IF(ISNUMBER(M6250),L6250*M6250,"")</f>
        <v>28.144344563200001</v>
      </c>
      <c r="O6250" s="43"/>
      <c r="P6250" s="36" t="str">
        <f t="shared" si="602"/>
        <v/>
      </c>
      <c r="Q6250" s="216">
        <f t="shared" si="603"/>
        <v>0.14400000000000002</v>
      </c>
      <c r="R6250" s="216">
        <f t="shared" si="604"/>
        <v>0.14400000000000002</v>
      </c>
      <c r="S6250" s="217" t="str">
        <f t="shared" si="605"/>
        <v/>
      </c>
    </row>
    <row r="6251" spans="1:19" ht="15.75" hidden="1" thickBot="1" x14ac:dyDescent="0.3">
      <c r="A6251" s="257"/>
      <c r="B6251" s="260"/>
      <c r="C6251" s="35" t="s">
        <v>1018</v>
      </c>
      <c r="D6251" s="35" t="s">
        <v>583</v>
      </c>
      <c r="E6251" s="36">
        <v>1.5233000000000001</v>
      </c>
      <c r="F6251" s="30">
        <v>27.835000000000001</v>
      </c>
      <c r="G6251" s="53">
        <f>IF(ISNUMBER(F6251),E6251*F6251,"")</f>
        <v>42.401055500000005</v>
      </c>
      <c r="H6251" s="43"/>
      <c r="I6251" s="39"/>
      <c r="J6251" s="152">
        <v>0</v>
      </c>
      <c r="L6251" s="215">
        <v>1.5233000000000001</v>
      </c>
      <c r="M6251" s="30">
        <v>23.82676</v>
      </c>
      <c r="N6251" s="53">
        <f>IF(ISNUMBER(M6251),L6251*M6251,"")</f>
        <v>36.295303508000003</v>
      </c>
      <c r="O6251" s="43"/>
      <c r="P6251" s="36" t="str">
        <f t="shared" si="602"/>
        <v/>
      </c>
      <c r="Q6251" s="216">
        <f t="shared" si="603"/>
        <v>0.14400000000000002</v>
      </c>
      <c r="R6251" s="216">
        <f t="shared" si="604"/>
        <v>0.14400000000000002</v>
      </c>
      <c r="S6251" s="217" t="str">
        <f t="shared" si="605"/>
        <v/>
      </c>
    </row>
    <row r="6252" spans="1:19" ht="15.75" hidden="1" thickBot="1" x14ac:dyDescent="0.3">
      <c r="A6252" s="258"/>
      <c r="B6252" s="261"/>
      <c r="C6252" s="35"/>
      <c r="D6252" s="35"/>
      <c r="E6252" s="36"/>
      <c r="F6252" s="30" t="s">
        <v>416</v>
      </c>
      <c r="G6252" s="53"/>
      <c r="H6252" s="43"/>
      <c r="I6252" s="39"/>
      <c r="J6252" s="152">
        <v>0</v>
      </c>
      <c r="L6252" s="215"/>
      <c r="M6252" s="30"/>
      <c r="N6252" s="53"/>
      <c r="O6252" s="43"/>
      <c r="P6252" s="36" t="str">
        <f t="shared" si="602"/>
        <v/>
      </c>
      <c r="Q6252" s="216" t="str">
        <f t="shared" si="603"/>
        <v/>
      </c>
      <c r="R6252" s="216" t="str">
        <f t="shared" si="604"/>
        <v/>
      </c>
      <c r="S6252" s="217" t="str">
        <f t="shared" si="605"/>
        <v/>
      </c>
    </row>
    <row r="6253" spans="1:19" ht="15.75" hidden="1" thickBot="1" x14ac:dyDescent="0.3">
      <c r="A6253" s="256" t="s">
        <v>5392</v>
      </c>
      <c r="B6253" s="259" t="str">
        <f>INDEX(Orçamentária!A:B,MATCH(Composições!A6253,Orçamentária!A:A,0),2)</f>
        <v>Concreto Usinado, fck = 25 MPa</v>
      </c>
      <c r="C6253" s="40"/>
      <c r="D6253" s="25" t="s">
        <v>80</v>
      </c>
      <c r="E6253" s="26"/>
      <c r="F6253" s="48" t="s">
        <v>416</v>
      </c>
      <c r="G6253" s="27" t="str">
        <f t="shared" ref="G6253:G6260" si="610">IF(ISNUMBER(F6253),E6253*F6253,"")</f>
        <v/>
      </c>
      <c r="H6253" s="28"/>
      <c r="I6253" s="29"/>
      <c r="J6253" s="152">
        <v>0</v>
      </c>
      <c r="L6253" s="218"/>
      <c r="M6253" s="48"/>
      <c r="N6253" s="27" t="str">
        <f t="shared" ref="N6253:N6260" si="611">IF(ISNUMBER(M6253),L6253*M6253,"")</f>
        <v/>
      </c>
      <c r="O6253" s="28"/>
      <c r="P6253" s="36" t="str">
        <f t="shared" si="602"/>
        <v/>
      </c>
      <c r="Q6253" s="216" t="str">
        <f t="shared" si="603"/>
        <v/>
      </c>
      <c r="R6253" s="216" t="str">
        <f t="shared" si="604"/>
        <v/>
      </c>
      <c r="S6253" s="217" t="str">
        <f t="shared" si="605"/>
        <v/>
      </c>
    </row>
    <row r="6254" spans="1:19" ht="15.75" hidden="1" thickBot="1" x14ac:dyDescent="0.3">
      <c r="A6254" s="257"/>
      <c r="B6254" s="260"/>
      <c r="C6254" s="31"/>
      <c r="D6254" s="31"/>
      <c r="E6254" s="32"/>
      <c r="F6254" s="53" t="s">
        <v>416</v>
      </c>
      <c r="G6254" s="53" t="str">
        <f t="shared" si="610"/>
        <v/>
      </c>
      <c r="H6254" s="72"/>
      <c r="I6254" s="73"/>
      <c r="J6254" s="152">
        <v>0</v>
      </c>
      <c r="L6254" s="219"/>
      <c r="M6254" s="53"/>
      <c r="N6254" s="53" t="str">
        <f t="shared" si="611"/>
        <v/>
      </c>
      <c r="O6254" s="72"/>
      <c r="P6254" s="36" t="str">
        <f t="shared" si="602"/>
        <v/>
      </c>
      <c r="Q6254" s="216" t="str">
        <f t="shared" si="603"/>
        <v/>
      </c>
      <c r="R6254" s="216" t="str">
        <f t="shared" si="604"/>
        <v/>
      </c>
      <c r="S6254" s="217" t="str">
        <f t="shared" si="605"/>
        <v/>
      </c>
    </row>
    <row r="6255" spans="1:19" ht="39" hidden="1" thickBot="1" x14ac:dyDescent="0.3">
      <c r="A6255" s="257"/>
      <c r="B6255" s="260"/>
      <c r="C6255" s="35" t="s">
        <v>8068</v>
      </c>
      <c r="D6255" s="35" t="s">
        <v>87</v>
      </c>
      <c r="E6255" s="36">
        <v>1.103</v>
      </c>
      <c r="F6255" s="30">
        <v>464.54050000000001</v>
      </c>
      <c r="G6255" s="53">
        <f t="shared" si="610"/>
        <v>512.3881715</v>
      </c>
      <c r="H6255" s="38">
        <f>SUM(G6255:G6260)</f>
        <v>553.09411350000005</v>
      </c>
      <c r="I6255" s="39"/>
      <c r="J6255" s="152">
        <v>0</v>
      </c>
      <c r="L6255" s="215">
        <v>1.103</v>
      </c>
      <c r="M6255" s="30">
        <v>397.64666799999998</v>
      </c>
      <c r="N6255" s="53">
        <f t="shared" si="611"/>
        <v>438.60427480399994</v>
      </c>
      <c r="O6255" s="38">
        <f>SUM(N6255:N6260)</f>
        <v>473.44856115599987</v>
      </c>
      <c r="P6255" s="36" t="str">
        <f t="shared" si="602"/>
        <v/>
      </c>
      <c r="Q6255" s="216">
        <f t="shared" si="603"/>
        <v>0.14400000000000002</v>
      </c>
      <c r="R6255" s="216">
        <f t="shared" si="604"/>
        <v>0.14400000000000013</v>
      </c>
      <c r="S6255" s="217">
        <f t="shared" si="605"/>
        <v>0.14400000000000035</v>
      </c>
    </row>
    <row r="6256" spans="1:19" ht="15.75" hidden="1" thickBot="1" x14ac:dyDescent="0.3">
      <c r="A6256" s="257"/>
      <c r="B6256" s="260"/>
      <c r="C6256" s="35" t="s">
        <v>862</v>
      </c>
      <c r="D6256" s="35" t="s">
        <v>583</v>
      </c>
      <c r="E6256" s="36">
        <v>0.125</v>
      </c>
      <c r="F6256" s="30">
        <v>26.799499999999998</v>
      </c>
      <c r="G6256" s="53">
        <f t="shared" si="610"/>
        <v>3.3499374999999998</v>
      </c>
      <c r="H6256" s="43"/>
      <c r="I6256" s="39"/>
      <c r="J6256" s="152">
        <v>0</v>
      </c>
      <c r="L6256" s="215">
        <v>0.125</v>
      </c>
      <c r="M6256" s="30">
        <v>22.940372</v>
      </c>
      <c r="N6256" s="53">
        <f t="shared" si="611"/>
        <v>2.8675465</v>
      </c>
      <c r="O6256" s="43"/>
      <c r="P6256" s="36" t="str">
        <f t="shared" si="602"/>
        <v/>
      </c>
      <c r="Q6256" s="216">
        <f t="shared" si="603"/>
        <v>0.14399999999999991</v>
      </c>
      <c r="R6256" s="216">
        <f t="shared" si="604"/>
        <v>0.14399999999999991</v>
      </c>
      <c r="S6256" s="217" t="str">
        <f t="shared" si="605"/>
        <v/>
      </c>
    </row>
    <row r="6257" spans="1:19" ht="15.75" hidden="1" thickBot="1" x14ac:dyDescent="0.3">
      <c r="A6257" s="257"/>
      <c r="B6257" s="260"/>
      <c r="C6257" s="35" t="s">
        <v>591</v>
      </c>
      <c r="D6257" s="35" t="s">
        <v>583</v>
      </c>
      <c r="E6257" s="36">
        <v>0.753</v>
      </c>
      <c r="F6257" s="30">
        <v>27.160499999999999</v>
      </c>
      <c r="G6257" s="53">
        <f t="shared" si="610"/>
        <v>20.451856499999998</v>
      </c>
      <c r="H6257" s="43"/>
      <c r="I6257" s="39"/>
      <c r="J6257" s="152">
        <v>0</v>
      </c>
      <c r="L6257" s="215">
        <v>0.753</v>
      </c>
      <c r="M6257" s="30">
        <v>23.249388</v>
      </c>
      <c r="N6257" s="53">
        <f t="shared" si="611"/>
        <v>17.506789164000001</v>
      </c>
      <c r="O6257" s="43"/>
      <c r="P6257" s="36" t="str">
        <f t="shared" si="602"/>
        <v/>
      </c>
      <c r="Q6257" s="216">
        <f t="shared" si="603"/>
        <v>0.14400000000000002</v>
      </c>
      <c r="R6257" s="216">
        <f t="shared" si="604"/>
        <v>0.14399999999999991</v>
      </c>
      <c r="S6257" s="217" t="str">
        <f t="shared" si="605"/>
        <v/>
      </c>
    </row>
    <row r="6258" spans="1:19" ht="15.75" hidden="1" thickBot="1" x14ac:dyDescent="0.3">
      <c r="A6258" s="257"/>
      <c r="B6258" s="260"/>
      <c r="C6258" s="35" t="s">
        <v>584</v>
      </c>
      <c r="D6258" s="35" t="s">
        <v>583</v>
      </c>
      <c r="E6258" s="36">
        <v>0.82599999999999996</v>
      </c>
      <c r="F6258" s="30">
        <v>20.225499999999997</v>
      </c>
      <c r="G6258" s="53">
        <f t="shared" si="610"/>
        <v>16.706262999999996</v>
      </c>
      <c r="H6258" s="43"/>
      <c r="I6258" s="39"/>
      <c r="J6258" s="152">
        <v>0</v>
      </c>
      <c r="L6258" s="215">
        <v>0.82599999999999996</v>
      </c>
      <c r="M6258" s="30">
        <v>17.313027999999996</v>
      </c>
      <c r="N6258" s="53">
        <f t="shared" si="611"/>
        <v>14.300561127999996</v>
      </c>
      <c r="O6258" s="43"/>
      <c r="P6258" s="36" t="str">
        <f t="shared" si="602"/>
        <v/>
      </c>
      <c r="Q6258" s="216">
        <f t="shared" si="603"/>
        <v>0.14400000000000013</v>
      </c>
      <c r="R6258" s="216">
        <f t="shared" si="604"/>
        <v>0.14400000000000002</v>
      </c>
      <c r="S6258" s="217" t="str">
        <f t="shared" si="605"/>
        <v/>
      </c>
    </row>
    <row r="6259" spans="1:19" ht="26.25" hidden="1" thickBot="1" x14ac:dyDescent="0.3">
      <c r="A6259" s="257"/>
      <c r="B6259" s="260"/>
      <c r="C6259" s="35" t="s">
        <v>1011</v>
      </c>
      <c r="D6259" s="35" t="s">
        <v>813</v>
      </c>
      <c r="E6259" s="36">
        <v>0.12</v>
      </c>
      <c r="F6259" s="30">
        <v>1.1304999999999998</v>
      </c>
      <c r="G6259" s="53">
        <f t="shared" si="610"/>
        <v>0.13565999999999998</v>
      </c>
      <c r="H6259" s="43"/>
      <c r="I6259" s="39"/>
      <c r="J6259" s="152">
        <v>0</v>
      </c>
      <c r="L6259" s="215">
        <v>0.12</v>
      </c>
      <c r="M6259" s="30">
        <v>0.9677079999999999</v>
      </c>
      <c r="N6259" s="53">
        <f t="shared" si="611"/>
        <v>0.11612495999999999</v>
      </c>
      <c r="O6259" s="43"/>
      <c r="P6259" s="36" t="str">
        <f t="shared" si="602"/>
        <v/>
      </c>
      <c r="Q6259" s="216">
        <f t="shared" si="603"/>
        <v>0.14400000000000002</v>
      </c>
      <c r="R6259" s="216">
        <f t="shared" si="604"/>
        <v>0.14399999999999991</v>
      </c>
      <c r="S6259" s="217" t="str">
        <f t="shared" si="605"/>
        <v/>
      </c>
    </row>
    <row r="6260" spans="1:19" ht="26.25" hidden="1" thickBot="1" x14ac:dyDescent="0.3">
      <c r="A6260" s="257"/>
      <c r="B6260" s="260"/>
      <c r="C6260" s="35" t="s">
        <v>1012</v>
      </c>
      <c r="D6260" s="35" t="s">
        <v>815</v>
      </c>
      <c r="E6260" s="36">
        <v>0.13100000000000001</v>
      </c>
      <c r="F6260" s="30">
        <v>0.47499999999999998</v>
      </c>
      <c r="G6260" s="53">
        <f t="shared" si="610"/>
        <v>6.2225000000000003E-2</v>
      </c>
      <c r="H6260" s="43"/>
      <c r="I6260" s="39"/>
      <c r="J6260" s="152">
        <v>0</v>
      </c>
      <c r="L6260" s="215">
        <v>0.13100000000000001</v>
      </c>
      <c r="M6260" s="30">
        <v>0.40659999999999996</v>
      </c>
      <c r="N6260" s="53">
        <f t="shared" si="611"/>
        <v>5.3264599999999995E-2</v>
      </c>
      <c r="O6260" s="43"/>
      <c r="P6260" s="36" t="str">
        <f t="shared" si="602"/>
        <v/>
      </c>
      <c r="Q6260" s="216">
        <f t="shared" si="603"/>
        <v>0.14400000000000002</v>
      </c>
      <c r="R6260" s="216">
        <f t="shared" si="604"/>
        <v>0.14400000000000013</v>
      </c>
      <c r="S6260" s="217" t="str">
        <f t="shared" si="605"/>
        <v/>
      </c>
    </row>
    <row r="6261" spans="1:19" ht="15.75" hidden="1" thickBot="1" x14ac:dyDescent="0.3">
      <c r="A6261" s="258"/>
      <c r="B6261" s="261"/>
      <c r="C6261" s="35"/>
      <c r="D6261" s="35"/>
      <c r="E6261" s="36"/>
      <c r="F6261" s="30" t="s">
        <v>416</v>
      </c>
      <c r="G6261" s="53"/>
      <c r="H6261" s="43"/>
      <c r="I6261" s="39"/>
      <c r="J6261" s="152">
        <v>0</v>
      </c>
      <c r="L6261" s="215"/>
      <c r="M6261" s="30"/>
      <c r="N6261" s="53"/>
      <c r="O6261" s="43"/>
      <c r="P6261" s="36" t="str">
        <f t="shared" si="602"/>
        <v/>
      </c>
      <c r="Q6261" s="216" t="str">
        <f t="shared" si="603"/>
        <v/>
      </c>
      <c r="R6261" s="216" t="str">
        <f t="shared" si="604"/>
        <v/>
      </c>
      <c r="S6261" s="217" t="str">
        <f t="shared" si="605"/>
        <v/>
      </c>
    </row>
    <row r="6262" spans="1:19" ht="15.75" hidden="1" thickBot="1" x14ac:dyDescent="0.3">
      <c r="A6262" s="256" t="s">
        <v>5393</v>
      </c>
      <c r="B6262" s="259" t="str">
        <f>INDEX(Orçamentária!A:B,MATCH(Composições!A6262,Orçamentária!A:A,0),2)</f>
        <v>Estaca escavada mecanicamente - 40 cm de diâmetro</v>
      </c>
      <c r="C6262" s="40"/>
      <c r="D6262" s="25" t="s">
        <v>69</v>
      </c>
      <c r="E6262" s="26"/>
      <c r="F6262" s="48" t="s">
        <v>416</v>
      </c>
      <c r="G6262" s="27" t="str">
        <f t="shared" ref="G6262:G6271" si="612">IF(ISNUMBER(F6262),E6262*F6262,"")</f>
        <v/>
      </c>
      <c r="H6262" s="28"/>
      <c r="I6262" s="29"/>
      <c r="J6262" s="152">
        <v>0</v>
      </c>
      <c r="L6262" s="218"/>
      <c r="M6262" s="48"/>
      <c r="N6262" s="27" t="str">
        <f t="shared" ref="N6262:N6271" si="613">IF(ISNUMBER(M6262),L6262*M6262,"")</f>
        <v/>
      </c>
      <c r="O6262" s="28"/>
      <c r="P6262" s="36" t="str">
        <f t="shared" si="602"/>
        <v/>
      </c>
      <c r="Q6262" s="216" t="str">
        <f t="shared" si="603"/>
        <v/>
      </c>
      <c r="R6262" s="216" t="str">
        <f t="shared" si="604"/>
        <v/>
      </c>
      <c r="S6262" s="217" t="str">
        <f t="shared" si="605"/>
        <v/>
      </c>
    </row>
    <row r="6263" spans="1:19" ht="15.75" hidden="1" thickBot="1" x14ac:dyDescent="0.3">
      <c r="A6263" s="257"/>
      <c r="B6263" s="260"/>
      <c r="C6263" s="31"/>
      <c r="D6263" s="31"/>
      <c r="E6263" s="32"/>
      <c r="F6263" s="53" t="s">
        <v>416</v>
      </c>
      <c r="G6263" s="53" t="str">
        <f t="shared" si="612"/>
        <v/>
      </c>
      <c r="H6263" s="72"/>
      <c r="I6263" s="73"/>
      <c r="J6263" s="152">
        <v>0</v>
      </c>
      <c r="L6263" s="219"/>
      <c r="M6263" s="53"/>
      <c r="N6263" s="53" t="str">
        <f t="shared" si="613"/>
        <v/>
      </c>
      <c r="O6263" s="72"/>
      <c r="P6263" s="36" t="str">
        <f t="shared" si="602"/>
        <v/>
      </c>
      <c r="Q6263" s="216" t="str">
        <f t="shared" si="603"/>
        <v/>
      </c>
      <c r="R6263" s="216" t="str">
        <f t="shared" si="604"/>
        <v/>
      </c>
      <c r="S6263" s="217" t="str">
        <f t="shared" si="605"/>
        <v/>
      </c>
    </row>
    <row r="6264" spans="1:19" ht="39" hidden="1" thickBot="1" x14ac:dyDescent="0.3">
      <c r="A6264" s="257"/>
      <c r="B6264" s="260"/>
      <c r="C6264" s="35" t="s">
        <v>8069</v>
      </c>
      <c r="D6264" s="35" t="s">
        <v>87</v>
      </c>
      <c r="E6264" s="36">
        <v>0.1426</v>
      </c>
      <c r="F6264" s="30">
        <v>445.303</v>
      </c>
      <c r="G6264" s="53">
        <f t="shared" si="612"/>
        <v>63.500207799999998</v>
      </c>
      <c r="H6264" s="38">
        <f>SUM(G6264:G6271)</f>
        <v>107.283590355545</v>
      </c>
      <c r="I6264" s="39"/>
      <c r="J6264" s="152">
        <v>0</v>
      </c>
      <c r="L6264" s="215">
        <v>0.1426</v>
      </c>
      <c r="M6264" s="30">
        <v>381.17936800000001</v>
      </c>
      <c r="N6264" s="53">
        <f t="shared" si="613"/>
        <v>54.356177876800004</v>
      </c>
      <c r="O6264" s="38">
        <f>SUM(N6264:N6271)</f>
        <v>91.834753344346524</v>
      </c>
      <c r="P6264" s="36" t="str">
        <f t="shared" si="602"/>
        <v/>
      </c>
      <c r="Q6264" s="216">
        <f t="shared" si="603"/>
        <v>0.14400000000000002</v>
      </c>
      <c r="R6264" s="216">
        <f t="shared" si="604"/>
        <v>0.14399999999999991</v>
      </c>
      <c r="S6264" s="217">
        <f t="shared" si="605"/>
        <v>0.14400000000000002</v>
      </c>
    </row>
    <row r="6265" spans="1:19" ht="15.75" hidden="1" thickBot="1" x14ac:dyDescent="0.3">
      <c r="A6265" s="257"/>
      <c r="B6265" s="260"/>
      <c r="C6265" s="35" t="s">
        <v>584</v>
      </c>
      <c r="D6265" s="35" t="s">
        <v>583</v>
      </c>
      <c r="E6265" s="36">
        <v>0.27950000000000003</v>
      </c>
      <c r="F6265" s="30">
        <v>20.225499999999997</v>
      </c>
      <c r="G6265" s="53">
        <f t="shared" si="612"/>
        <v>5.6530272499999992</v>
      </c>
      <c r="H6265" s="43"/>
      <c r="I6265" s="39"/>
      <c r="J6265" s="152">
        <v>0</v>
      </c>
      <c r="L6265" s="215">
        <v>0.27950000000000003</v>
      </c>
      <c r="M6265" s="30">
        <v>17.313027999999996</v>
      </c>
      <c r="N6265" s="53">
        <f t="shared" si="613"/>
        <v>4.8389913259999995</v>
      </c>
      <c r="O6265" s="43"/>
      <c r="P6265" s="36" t="str">
        <f t="shared" si="602"/>
        <v/>
      </c>
      <c r="Q6265" s="216">
        <f t="shared" si="603"/>
        <v>0.14400000000000013</v>
      </c>
      <c r="R6265" s="216">
        <f t="shared" si="604"/>
        <v>0.14400000000000002</v>
      </c>
      <c r="S6265" s="217" t="str">
        <f t="shared" si="605"/>
        <v/>
      </c>
    </row>
    <row r="6266" spans="1:19" ht="51.75" hidden="1" thickBot="1" x14ac:dyDescent="0.3">
      <c r="A6266" s="257"/>
      <c r="B6266" s="260"/>
      <c r="C6266" s="35" t="s">
        <v>2867</v>
      </c>
      <c r="D6266" s="35" t="s">
        <v>813</v>
      </c>
      <c r="E6266" s="36">
        <v>3.4200000000000001E-2</v>
      </c>
      <c r="F6266" s="30">
        <v>379.85750000000002</v>
      </c>
      <c r="G6266" s="53">
        <f t="shared" si="612"/>
        <v>12.991126500000002</v>
      </c>
      <c r="H6266" s="43"/>
      <c r="I6266" s="39"/>
      <c r="J6266" s="152">
        <v>0</v>
      </c>
      <c r="L6266" s="215">
        <v>3.4200000000000001E-2</v>
      </c>
      <c r="M6266" s="30">
        <v>325.15802000000002</v>
      </c>
      <c r="N6266" s="53">
        <f t="shared" si="613"/>
        <v>11.120404284000001</v>
      </c>
      <c r="O6266" s="43"/>
      <c r="P6266" s="36" t="str">
        <f t="shared" si="602"/>
        <v/>
      </c>
      <c r="Q6266" s="216">
        <f t="shared" si="603"/>
        <v>0.14400000000000002</v>
      </c>
      <c r="R6266" s="216">
        <f t="shared" si="604"/>
        <v>0.14400000000000002</v>
      </c>
      <c r="S6266" s="217" t="str">
        <f t="shared" si="605"/>
        <v/>
      </c>
    </row>
    <row r="6267" spans="1:19" ht="51.75" hidden="1" thickBot="1" x14ac:dyDescent="0.3">
      <c r="A6267" s="257"/>
      <c r="B6267" s="260"/>
      <c r="C6267" s="35" t="s">
        <v>2874</v>
      </c>
      <c r="D6267" s="35" t="s">
        <v>815</v>
      </c>
      <c r="E6267" s="36">
        <v>6.1199999999999997E-2</v>
      </c>
      <c r="F6267" s="30">
        <v>150.85049999999998</v>
      </c>
      <c r="G6267" s="53">
        <f t="shared" si="612"/>
        <v>9.2320505999999991</v>
      </c>
      <c r="H6267" s="43"/>
      <c r="I6267" s="39"/>
      <c r="J6267" s="152">
        <v>0</v>
      </c>
      <c r="L6267" s="215">
        <v>6.1199999999999997E-2</v>
      </c>
      <c r="M6267" s="30">
        <v>129.12802799999997</v>
      </c>
      <c r="N6267" s="53">
        <f t="shared" si="613"/>
        <v>7.9026353135999976</v>
      </c>
      <c r="O6267" s="43"/>
      <c r="P6267" s="36" t="str">
        <f t="shared" si="602"/>
        <v/>
      </c>
      <c r="Q6267" s="216">
        <f t="shared" si="603"/>
        <v>0.14400000000000013</v>
      </c>
      <c r="R6267" s="216">
        <f t="shared" si="604"/>
        <v>0.14400000000000013</v>
      </c>
      <c r="S6267" s="217" t="str">
        <f t="shared" si="605"/>
        <v/>
      </c>
    </row>
    <row r="6268" spans="1:19" ht="26.25" hidden="1" thickBot="1" x14ac:dyDescent="0.3">
      <c r="A6268" s="257"/>
      <c r="B6268" s="260"/>
      <c r="C6268" s="35" t="s">
        <v>654</v>
      </c>
      <c r="D6268" s="35" t="s">
        <v>583</v>
      </c>
      <c r="E6268" s="36">
        <v>6.4000000000000003E-3</v>
      </c>
      <c r="F6268" s="30">
        <v>118.2085</v>
      </c>
      <c r="G6268" s="53">
        <f t="shared" si="612"/>
        <v>0.75653440000000005</v>
      </c>
      <c r="H6268" s="43"/>
      <c r="I6268" s="39"/>
      <c r="J6268" s="152">
        <v>0</v>
      </c>
      <c r="L6268" s="215">
        <v>6.4000000000000003E-3</v>
      </c>
      <c r="M6268" s="30">
        <v>101.186476</v>
      </c>
      <c r="N6268" s="53">
        <f t="shared" si="613"/>
        <v>0.64759344640000005</v>
      </c>
      <c r="O6268" s="43"/>
      <c r="P6268" s="36" t="str">
        <f t="shared" si="602"/>
        <v/>
      </c>
      <c r="Q6268" s="216">
        <f t="shared" si="603"/>
        <v>0.14400000000000002</v>
      </c>
      <c r="R6268" s="216">
        <f t="shared" si="604"/>
        <v>0.14400000000000002</v>
      </c>
      <c r="S6268" s="217" t="str">
        <f t="shared" si="605"/>
        <v/>
      </c>
    </row>
    <row r="6269" spans="1:19" ht="26.25" hidden="1" thickBot="1" x14ac:dyDescent="0.3">
      <c r="A6269" s="257"/>
      <c r="B6269" s="260"/>
      <c r="C6269" s="35" t="s">
        <v>5776</v>
      </c>
      <c r="D6269" s="35" t="s">
        <v>773</v>
      </c>
      <c r="E6269" s="36">
        <v>1.3913</v>
      </c>
      <c r="F6269" s="30">
        <v>9.8852772500000015</v>
      </c>
      <c r="G6269" s="53">
        <f t="shared" si="612"/>
        <v>13.753386237925001</v>
      </c>
      <c r="H6269" s="43"/>
      <c r="I6269" s="39"/>
      <c r="J6269" s="152">
        <v>0</v>
      </c>
      <c r="L6269" s="215">
        <v>1.3913</v>
      </c>
      <c r="M6269" s="30">
        <v>8.461797326000001</v>
      </c>
      <c r="N6269" s="53">
        <f t="shared" si="613"/>
        <v>11.772898619663801</v>
      </c>
      <c r="O6269" s="43"/>
      <c r="P6269" s="36" t="str">
        <f t="shared" si="602"/>
        <v/>
      </c>
      <c r="Q6269" s="216">
        <f t="shared" si="603"/>
        <v>0.14400000000000002</v>
      </c>
      <c r="R6269" s="216">
        <f t="shared" si="604"/>
        <v>0.14400000000000002</v>
      </c>
      <c r="S6269" s="217" t="str">
        <f t="shared" si="605"/>
        <v/>
      </c>
    </row>
    <row r="6270" spans="1:19" ht="39" hidden="1" thickBot="1" x14ac:dyDescent="0.3">
      <c r="A6270" s="257"/>
      <c r="B6270" s="260"/>
      <c r="C6270" s="35" t="s">
        <v>3067</v>
      </c>
      <c r="D6270" s="35" t="s">
        <v>1269</v>
      </c>
      <c r="E6270" s="36">
        <v>5.2400000000000002E-2</v>
      </c>
      <c r="F6270" s="30">
        <v>2.9030698500000001</v>
      </c>
      <c r="G6270" s="53">
        <f t="shared" si="612"/>
        <v>0.15212086014000001</v>
      </c>
      <c r="H6270" s="43"/>
      <c r="I6270" s="39"/>
      <c r="J6270" s="152">
        <v>0</v>
      </c>
      <c r="L6270" s="215">
        <v>5.2400000000000002E-2</v>
      </c>
      <c r="M6270" s="30">
        <v>2.4850277916000003</v>
      </c>
      <c r="N6270" s="53">
        <f t="shared" si="613"/>
        <v>0.13021545627984002</v>
      </c>
      <c r="O6270" s="43"/>
      <c r="P6270" s="36" t="str">
        <f t="shared" si="602"/>
        <v/>
      </c>
      <c r="Q6270" s="216">
        <f t="shared" si="603"/>
        <v>0.14399999999999991</v>
      </c>
      <c r="R6270" s="216">
        <f t="shared" si="604"/>
        <v>0.14399999999999991</v>
      </c>
      <c r="S6270" s="217" t="str">
        <f t="shared" si="605"/>
        <v/>
      </c>
    </row>
    <row r="6271" spans="1:19" ht="51.75" hidden="1" thickBot="1" x14ac:dyDescent="0.3">
      <c r="A6271" s="257"/>
      <c r="B6271" s="260"/>
      <c r="C6271" s="35" t="s">
        <v>3071</v>
      </c>
      <c r="D6271" s="35" t="s">
        <v>87</v>
      </c>
      <c r="E6271" s="36">
        <v>0.15709999999999999</v>
      </c>
      <c r="F6271" s="30">
        <v>7.9257587999999988</v>
      </c>
      <c r="G6271" s="53">
        <f t="shared" si="612"/>
        <v>1.2451367074799997</v>
      </c>
      <c r="H6271" s="43"/>
      <c r="I6271" s="39"/>
      <c r="J6271" s="152">
        <v>0</v>
      </c>
      <c r="L6271" s="215">
        <v>0.15709999999999999</v>
      </c>
      <c r="M6271" s="30">
        <v>6.7844495327999992</v>
      </c>
      <c r="N6271" s="53">
        <f t="shared" si="613"/>
        <v>1.0658370216028799</v>
      </c>
      <c r="O6271" s="43"/>
      <c r="P6271" s="36" t="str">
        <f t="shared" si="602"/>
        <v/>
      </c>
      <c r="Q6271" s="216">
        <f t="shared" si="603"/>
        <v>0.14400000000000002</v>
      </c>
      <c r="R6271" s="216">
        <f t="shared" si="604"/>
        <v>0.14399999999999991</v>
      </c>
      <c r="S6271" s="217" t="str">
        <f t="shared" si="605"/>
        <v/>
      </c>
    </row>
    <row r="6272" spans="1:19" ht="15.75" hidden="1" thickBot="1" x14ac:dyDescent="0.3">
      <c r="A6272" s="258"/>
      <c r="B6272" s="261"/>
      <c r="C6272" s="35"/>
      <c r="D6272" s="35"/>
      <c r="E6272" s="36"/>
      <c r="F6272" s="30" t="s">
        <v>416</v>
      </c>
      <c r="G6272" s="53"/>
      <c r="H6272" s="43"/>
      <c r="I6272" s="39"/>
      <c r="J6272" s="152">
        <v>0</v>
      </c>
      <c r="L6272" s="215"/>
      <c r="M6272" s="30"/>
      <c r="N6272" s="53"/>
      <c r="O6272" s="43"/>
      <c r="P6272" s="36" t="str">
        <f t="shared" si="602"/>
        <v/>
      </c>
      <c r="Q6272" s="216" t="str">
        <f t="shared" si="603"/>
        <v/>
      </c>
      <c r="R6272" s="216" t="str">
        <f t="shared" si="604"/>
        <v/>
      </c>
      <c r="S6272" s="217" t="str">
        <f t="shared" si="605"/>
        <v/>
      </c>
    </row>
    <row r="6273" spans="1:19" ht="15.75" hidden="1" thickBot="1" x14ac:dyDescent="0.3">
      <c r="A6273" s="256" t="s">
        <v>5395</v>
      </c>
      <c r="B6273" s="259" t="str">
        <f>INDEX(Orçamentária!A:B,MATCH(Composições!A6273,Orçamentária!A:A,0),2)</f>
        <v>Armação de aço CA-60 bitolas de 5,0 mm a 8,00 mm</v>
      </c>
      <c r="C6273" s="40"/>
      <c r="D6273" s="25" t="s">
        <v>28</v>
      </c>
      <c r="E6273" s="26"/>
      <c r="F6273" s="48" t="s">
        <v>416</v>
      </c>
      <c r="G6273" s="27" t="str">
        <f t="shared" ref="G6273:G6279" si="614">IF(ISNUMBER(F6273),E6273*F6273,"")</f>
        <v/>
      </c>
      <c r="H6273" s="28"/>
      <c r="I6273" s="29"/>
      <c r="J6273" s="152">
        <v>0</v>
      </c>
      <c r="L6273" s="218"/>
      <c r="M6273" s="48"/>
      <c r="N6273" s="27" t="str">
        <f t="shared" ref="N6273:N6279" si="615">IF(ISNUMBER(M6273),L6273*M6273,"")</f>
        <v/>
      </c>
      <c r="O6273" s="28"/>
      <c r="P6273" s="36" t="str">
        <f t="shared" si="602"/>
        <v/>
      </c>
      <c r="Q6273" s="216" t="str">
        <f t="shared" si="603"/>
        <v/>
      </c>
      <c r="R6273" s="216" t="str">
        <f t="shared" si="604"/>
        <v/>
      </c>
      <c r="S6273" s="217" t="str">
        <f t="shared" si="605"/>
        <v/>
      </c>
    </row>
    <row r="6274" spans="1:19" ht="15.75" hidden="1" thickBot="1" x14ac:dyDescent="0.3">
      <c r="A6274" s="257"/>
      <c r="B6274" s="260"/>
      <c r="C6274" s="31"/>
      <c r="D6274" s="31"/>
      <c r="E6274" s="32"/>
      <c r="F6274" s="53" t="s">
        <v>416</v>
      </c>
      <c r="G6274" s="53" t="str">
        <f t="shared" si="614"/>
        <v/>
      </c>
      <c r="H6274" s="72"/>
      <c r="I6274" s="73"/>
      <c r="J6274" s="152">
        <v>0</v>
      </c>
      <c r="L6274" s="219"/>
      <c r="M6274" s="53"/>
      <c r="N6274" s="53" t="str">
        <f t="shared" si="615"/>
        <v/>
      </c>
      <c r="O6274" s="72"/>
      <c r="P6274" s="36" t="str">
        <f t="shared" si="602"/>
        <v/>
      </c>
      <c r="Q6274" s="216" t="str">
        <f t="shared" si="603"/>
        <v/>
      </c>
      <c r="R6274" s="216" t="str">
        <f t="shared" si="604"/>
        <v/>
      </c>
      <c r="S6274" s="217" t="str">
        <f t="shared" si="605"/>
        <v/>
      </c>
    </row>
    <row r="6275" spans="1:19" ht="39" hidden="1" thickBot="1" x14ac:dyDescent="0.3">
      <c r="A6275" s="257"/>
      <c r="B6275" s="260"/>
      <c r="C6275" s="35" t="s">
        <v>774</v>
      </c>
      <c r="D6275" s="35" t="s">
        <v>213</v>
      </c>
      <c r="E6275" s="36">
        <v>1.19</v>
      </c>
      <c r="F6275" s="30">
        <v>0.20899999999999999</v>
      </c>
      <c r="G6275" s="53">
        <f t="shared" si="614"/>
        <v>0.24870999999999999</v>
      </c>
      <c r="H6275" s="38">
        <f>SUM(G6275:G6279)</f>
        <v>15.315159000000001</v>
      </c>
      <c r="I6275" s="39"/>
      <c r="J6275" s="152">
        <v>0</v>
      </c>
      <c r="L6275" s="215">
        <v>1.19</v>
      </c>
      <c r="M6275" s="30">
        <v>0.17890400000000001</v>
      </c>
      <c r="N6275" s="53">
        <f t="shared" si="615"/>
        <v>0.21289575999999999</v>
      </c>
      <c r="O6275" s="38">
        <f>SUM(N6275:N6279)</f>
        <v>13.109776104000002</v>
      </c>
      <c r="P6275" s="36" t="str">
        <f t="shared" si="602"/>
        <v/>
      </c>
      <c r="Q6275" s="216">
        <f t="shared" si="603"/>
        <v>0.14399999999999991</v>
      </c>
      <c r="R6275" s="216">
        <f t="shared" si="604"/>
        <v>0.14400000000000002</v>
      </c>
      <c r="S6275" s="217">
        <f t="shared" si="605"/>
        <v>0.14400000000000002</v>
      </c>
    </row>
    <row r="6276" spans="1:19" ht="26.25" hidden="1" thickBot="1" x14ac:dyDescent="0.3">
      <c r="A6276" s="257"/>
      <c r="B6276" s="260"/>
      <c r="C6276" s="35" t="s">
        <v>3060</v>
      </c>
      <c r="D6276" s="35" t="s">
        <v>773</v>
      </c>
      <c r="E6276" s="36">
        <v>2.5000000000000001E-2</v>
      </c>
      <c r="F6276" s="30">
        <v>21.042499999999997</v>
      </c>
      <c r="G6276" s="53">
        <f t="shared" si="614"/>
        <v>0.52606249999999999</v>
      </c>
      <c r="H6276" s="43"/>
      <c r="I6276" s="39"/>
      <c r="J6276" s="152">
        <v>0</v>
      </c>
      <c r="L6276" s="215">
        <v>2.5000000000000001E-2</v>
      </c>
      <c r="M6276" s="30">
        <v>18.012379999999997</v>
      </c>
      <c r="N6276" s="53">
        <f t="shared" si="615"/>
        <v>0.45030949999999992</v>
      </c>
      <c r="O6276" s="43"/>
      <c r="P6276" s="36" t="str">
        <f t="shared" si="602"/>
        <v/>
      </c>
      <c r="Q6276" s="216">
        <f t="shared" si="603"/>
        <v>0.14400000000000002</v>
      </c>
      <c r="R6276" s="216">
        <f t="shared" si="604"/>
        <v>0.14400000000000013</v>
      </c>
      <c r="S6276" s="217" t="str">
        <f t="shared" si="605"/>
        <v/>
      </c>
    </row>
    <row r="6277" spans="1:19" ht="15.75" hidden="1" thickBot="1" x14ac:dyDescent="0.3">
      <c r="A6277" s="257"/>
      <c r="B6277" s="260"/>
      <c r="C6277" s="35" t="s">
        <v>775</v>
      </c>
      <c r="D6277" s="35" t="s">
        <v>583</v>
      </c>
      <c r="E6277" s="36">
        <v>1.7500000000000002E-2</v>
      </c>
      <c r="F6277" s="30">
        <v>20.196999999999999</v>
      </c>
      <c r="G6277" s="53">
        <f t="shared" si="614"/>
        <v>0.35344750000000003</v>
      </c>
      <c r="H6277" s="43"/>
      <c r="I6277" s="39"/>
      <c r="J6277" s="152">
        <v>0</v>
      </c>
      <c r="L6277" s="215">
        <v>1.7500000000000002E-2</v>
      </c>
      <c r="M6277" s="30">
        <v>17.288632</v>
      </c>
      <c r="N6277" s="53">
        <f t="shared" si="615"/>
        <v>0.30255106000000004</v>
      </c>
      <c r="O6277" s="43"/>
      <c r="P6277" s="36" t="str">
        <f t="shared" si="602"/>
        <v/>
      </c>
      <c r="Q6277" s="216">
        <f t="shared" si="603"/>
        <v>0.14400000000000002</v>
      </c>
      <c r="R6277" s="216">
        <f t="shared" si="604"/>
        <v>0.14399999999999991</v>
      </c>
      <c r="S6277" s="217" t="str">
        <f t="shared" si="605"/>
        <v/>
      </c>
    </row>
    <row r="6278" spans="1:19" ht="15.75" hidden="1" thickBot="1" x14ac:dyDescent="0.3">
      <c r="A6278" s="257"/>
      <c r="B6278" s="260"/>
      <c r="C6278" s="35" t="s">
        <v>776</v>
      </c>
      <c r="D6278" s="35" t="s">
        <v>583</v>
      </c>
      <c r="E6278" s="36">
        <v>0.1069</v>
      </c>
      <c r="F6278" s="30">
        <v>26.970499999999998</v>
      </c>
      <c r="G6278" s="53">
        <f t="shared" si="614"/>
        <v>2.8831464499999995</v>
      </c>
      <c r="H6278" s="43"/>
      <c r="I6278" s="39"/>
      <c r="J6278" s="152">
        <v>0</v>
      </c>
      <c r="L6278" s="215">
        <v>0.1069</v>
      </c>
      <c r="M6278" s="30">
        <v>23.086748</v>
      </c>
      <c r="N6278" s="53">
        <f t="shared" si="615"/>
        <v>2.4679733611999999</v>
      </c>
      <c r="O6278" s="43"/>
      <c r="P6278" s="36" t="str">
        <f t="shared" si="602"/>
        <v/>
      </c>
      <c r="Q6278" s="216">
        <f t="shared" si="603"/>
        <v>0.14399999999999991</v>
      </c>
      <c r="R6278" s="216">
        <f t="shared" si="604"/>
        <v>0.14399999999999991</v>
      </c>
      <c r="S6278" s="217" t="str">
        <f t="shared" si="605"/>
        <v/>
      </c>
    </row>
    <row r="6279" spans="1:19" ht="15.75" hidden="1" thickBot="1" x14ac:dyDescent="0.3">
      <c r="A6279" s="257"/>
      <c r="B6279" s="260"/>
      <c r="C6279" s="35" t="s">
        <v>6816</v>
      </c>
      <c r="D6279" s="35" t="s">
        <v>773</v>
      </c>
      <c r="E6279" s="36">
        <v>1</v>
      </c>
      <c r="F6279" s="30">
        <v>11.303792550000001</v>
      </c>
      <c r="G6279" s="53">
        <f t="shared" si="614"/>
        <v>11.303792550000001</v>
      </c>
      <c r="H6279" s="43"/>
      <c r="I6279" s="39"/>
      <c r="J6279" s="152">
        <v>0</v>
      </c>
      <c r="L6279" s="215">
        <v>1</v>
      </c>
      <c r="M6279" s="30">
        <v>9.6760464228000007</v>
      </c>
      <c r="N6279" s="53">
        <f t="shared" si="615"/>
        <v>9.6760464228000007</v>
      </c>
      <c r="O6279" s="43"/>
      <c r="P6279" s="36" t="str">
        <f t="shared" si="602"/>
        <v/>
      </c>
      <c r="Q6279" s="216">
        <f t="shared" si="603"/>
        <v>0.14400000000000002</v>
      </c>
      <c r="R6279" s="216">
        <f t="shared" si="604"/>
        <v>0.14400000000000002</v>
      </c>
      <c r="S6279" s="217" t="str">
        <f t="shared" si="605"/>
        <v/>
      </c>
    </row>
    <row r="6280" spans="1:19" ht="15.75" hidden="1" thickBot="1" x14ac:dyDescent="0.3">
      <c r="A6280" s="258"/>
      <c r="B6280" s="261"/>
      <c r="C6280" s="35"/>
      <c r="D6280" s="35"/>
      <c r="E6280" s="36"/>
      <c r="F6280" s="30" t="s">
        <v>416</v>
      </c>
      <c r="G6280" s="53"/>
      <c r="H6280" s="43"/>
      <c r="I6280" s="39"/>
      <c r="J6280" s="152">
        <v>0</v>
      </c>
      <c r="L6280" s="215"/>
      <c r="M6280" s="30"/>
      <c r="N6280" s="53"/>
      <c r="O6280" s="43"/>
      <c r="P6280" s="36" t="str">
        <f t="shared" ref="P6280:P6343" si="616">IF(ISBLANK(L6280),"",IF($E6280&lt;&gt;L6280,"SIM",""))</f>
        <v/>
      </c>
      <c r="Q6280" s="216" t="str">
        <f t="shared" ref="Q6280:Q6343" si="617">IF(M6280="","",1-M6280/$F6280)</f>
        <v/>
      </c>
      <c r="R6280" s="216" t="str">
        <f t="shared" ref="R6280:R6343" si="618">IF(N6280="","",1-N6280/$G6280)</f>
        <v/>
      </c>
      <c r="S6280" s="217" t="str">
        <f t="shared" ref="S6280:S6343" si="619">IF(O6280="","",1-O6280/$H6280)</f>
        <v/>
      </c>
    </row>
    <row r="6281" spans="1:19" ht="15.75" hidden="1" thickBot="1" x14ac:dyDescent="0.3">
      <c r="A6281" s="256" t="s">
        <v>5396</v>
      </c>
      <c r="B6281" s="259" t="str">
        <f>INDEX(Orçamentária!A:B,MATCH(Composições!A6281,Orçamentária!A:A,0),2)</f>
        <v>Pavimentação em concreto simples</v>
      </c>
      <c r="C6281" s="40"/>
      <c r="D6281" s="25" t="s">
        <v>70</v>
      </c>
      <c r="E6281" s="26"/>
      <c r="F6281" s="48" t="s">
        <v>416</v>
      </c>
      <c r="G6281" s="27" t="str">
        <f t="shared" ref="G6281:G6287" si="620">IF(ISNUMBER(F6281),E6281*F6281,"")</f>
        <v/>
      </c>
      <c r="H6281" s="28"/>
      <c r="I6281" s="29"/>
      <c r="J6281" s="152">
        <v>0</v>
      </c>
      <c r="L6281" s="218"/>
      <c r="M6281" s="48"/>
      <c r="N6281" s="27" t="str">
        <f t="shared" ref="N6281:N6287" si="621">IF(ISNUMBER(M6281),L6281*M6281,"")</f>
        <v/>
      </c>
      <c r="O6281" s="28"/>
      <c r="P6281" s="36" t="str">
        <f t="shared" si="616"/>
        <v/>
      </c>
      <c r="Q6281" s="216" t="str">
        <f t="shared" si="617"/>
        <v/>
      </c>
      <c r="R6281" s="216" t="str">
        <f t="shared" si="618"/>
        <v/>
      </c>
      <c r="S6281" s="217" t="str">
        <f t="shared" si="619"/>
        <v/>
      </c>
    </row>
    <row r="6282" spans="1:19" ht="15.75" hidden="1" thickBot="1" x14ac:dyDescent="0.3">
      <c r="A6282" s="257"/>
      <c r="B6282" s="260"/>
      <c r="C6282" s="31"/>
      <c r="D6282" s="31"/>
      <c r="E6282" s="32"/>
      <c r="F6282" s="53" t="s">
        <v>416</v>
      </c>
      <c r="G6282" s="53" t="str">
        <f t="shared" si="620"/>
        <v/>
      </c>
      <c r="H6282" s="72"/>
      <c r="I6282" s="73"/>
      <c r="J6282" s="152">
        <v>0</v>
      </c>
      <c r="L6282" s="219"/>
      <c r="M6282" s="53"/>
      <c r="N6282" s="53" t="str">
        <f t="shared" si="621"/>
        <v/>
      </c>
      <c r="O6282" s="72"/>
      <c r="P6282" s="36" t="str">
        <f t="shared" si="616"/>
        <v/>
      </c>
      <c r="Q6282" s="216" t="str">
        <f t="shared" si="617"/>
        <v/>
      </c>
      <c r="R6282" s="216" t="str">
        <f t="shared" si="618"/>
        <v/>
      </c>
      <c r="S6282" s="217" t="str">
        <f t="shared" si="619"/>
        <v/>
      </c>
    </row>
    <row r="6283" spans="1:19" ht="39" hidden="1" thickBot="1" x14ac:dyDescent="0.3">
      <c r="A6283" s="257"/>
      <c r="B6283" s="260"/>
      <c r="C6283" s="35" t="s">
        <v>2930</v>
      </c>
      <c r="D6283" s="35" t="s">
        <v>87</v>
      </c>
      <c r="E6283" s="36">
        <v>8.14E-2</v>
      </c>
      <c r="F6283" s="30">
        <v>417.04999999999995</v>
      </c>
      <c r="G6283" s="53">
        <f t="shared" si="620"/>
        <v>33.947869999999995</v>
      </c>
      <c r="H6283" s="38">
        <f>SUM(G6283:G6287)</f>
        <v>78.567170750000002</v>
      </c>
      <c r="I6283" s="39"/>
      <c r="J6283" s="152">
        <v>0</v>
      </c>
      <c r="L6283" s="215">
        <v>8.14E-2</v>
      </c>
      <c r="M6283" s="30">
        <v>356.99479999999994</v>
      </c>
      <c r="N6283" s="53">
        <f t="shared" si="621"/>
        <v>29.059376719999996</v>
      </c>
      <c r="O6283" s="38">
        <f>SUM(N6283:N6287)</f>
        <v>67.253498161999985</v>
      </c>
      <c r="P6283" s="36" t="str">
        <f t="shared" si="616"/>
        <v/>
      </c>
      <c r="Q6283" s="216">
        <f t="shared" si="617"/>
        <v>0.14400000000000002</v>
      </c>
      <c r="R6283" s="216">
        <f t="shared" si="618"/>
        <v>0.14400000000000002</v>
      </c>
      <c r="S6283" s="217">
        <f t="shared" si="619"/>
        <v>0.14400000000000024</v>
      </c>
    </row>
    <row r="6284" spans="1:19" ht="26.25" hidden="1" thickBot="1" x14ac:dyDescent="0.3">
      <c r="A6284" s="257"/>
      <c r="B6284" s="260"/>
      <c r="C6284" s="35" t="s">
        <v>2931</v>
      </c>
      <c r="D6284" s="35" t="s">
        <v>773</v>
      </c>
      <c r="E6284" s="36">
        <v>4</v>
      </c>
      <c r="F6284" s="30">
        <v>10.145999999999999</v>
      </c>
      <c r="G6284" s="53">
        <f t="shared" si="620"/>
        <v>40.583999999999996</v>
      </c>
      <c r="H6284" s="43"/>
      <c r="I6284" s="39"/>
      <c r="J6284" s="152">
        <v>0</v>
      </c>
      <c r="L6284" s="215">
        <v>4</v>
      </c>
      <c r="M6284" s="30">
        <v>8.6849759999999989</v>
      </c>
      <c r="N6284" s="53">
        <f t="shared" si="621"/>
        <v>34.739903999999996</v>
      </c>
      <c r="O6284" s="43"/>
      <c r="P6284" s="36" t="str">
        <f t="shared" si="616"/>
        <v/>
      </c>
      <c r="Q6284" s="216">
        <f t="shared" si="617"/>
        <v>0.14400000000000002</v>
      </c>
      <c r="R6284" s="216">
        <f t="shared" si="618"/>
        <v>0.14400000000000002</v>
      </c>
      <c r="S6284" s="217" t="str">
        <f t="shared" si="619"/>
        <v/>
      </c>
    </row>
    <row r="6285" spans="1:19" ht="15.75" hidden="1" thickBot="1" x14ac:dyDescent="0.3">
      <c r="A6285" s="257"/>
      <c r="B6285" s="260"/>
      <c r="C6285" s="35" t="s">
        <v>591</v>
      </c>
      <c r="D6285" s="35" t="s">
        <v>583</v>
      </c>
      <c r="E6285" s="36">
        <v>0.1119</v>
      </c>
      <c r="F6285" s="30">
        <v>27.160499999999999</v>
      </c>
      <c r="G6285" s="53">
        <f t="shared" si="620"/>
        <v>3.0392599499999999</v>
      </c>
      <c r="H6285" s="43"/>
      <c r="I6285" s="39"/>
      <c r="J6285" s="152">
        <v>0</v>
      </c>
      <c r="L6285" s="215">
        <v>0.1119</v>
      </c>
      <c r="M6285" s="30">
        <v>23.249388</v>
      </c>
      <c r="N6285" s="53">
        <f t="shared" si="621"/>
        <v>2.6016065172</v>
      </c>
      <c r="O6285" s="43"/>
      <c r="P6285" s="36" t="str">
        <f t="shared" si="616"/>
        <v/>
      </c>
      <c r="Q6285" s="216">
        <f t="shared" si="617"/>
        <v>0.14400000000000002</v>
      </c>
      <c r="R6285" s="216">
        <f t="shared" si="618"/>
        <v>0.14400000000000002</v>
      </c>
      <c r="S6285" s="217" t="str">
        <f t="shared" si="619"/>
        <v/>
      </c>
    </row>
    <row r="6286" spans="1:19" ht="15.75" hidden="1" thickBot="1" x14ac:dyDescent="0.3">
      <c r="A6286" s="257"/>
      <c r="B6286" s="260"/>
      <c r="C6286" s="35" t="s">
        <v>584</v>
      </c>
      <c r="D6286" s="35" t="s">
        <v>583</v>
      </c>
      <c r="E6286" s="36">
        <v>4.6600000000000003E-2</v>
      </c>
      <c r="F6286" s="30">
        <v>20.225499999999997</v>
      </c>
      <c r="G6286" s="53">
        <f t="shared" si="620"/>
        <v>0.94250829999999985</v>
      </c>
      <c r="H6286" s="43"/>
      <c r="I6286" s="39"/>
      <c r="J6286" s="152">
        <v>0</v>
      </c>
      <c r="L6286" s="215">
        <v>4.6600000000000003E-2</v>
      </c>
      <c r="M6286" s="30">
        <v>17.313027999999996</v>
      </c>
      <c r="N6286" s="53">
        <f t="shared" si="621"/>
        <v>0.80678710479999982</v>
      </c>
      <c r="O6286" s="43"/>
      <c r="P6286" s="36" t="str">
        <f t="shared" si="616"/>
        <v/>
      </c>
      <c r="Q6286" s="216">
        <f t="shared" si="617"/>
        <v>0.14400000000000013</v>
      </c>
      <c r="R6286" s="216">
        <f t="shared" si="618"/>
        <v>0.14400000000000002</v>
      </c>
      <c r="S6286" s="217" t="str">
        <f t="shared" si="619"/>
        <v/>
      </c>
    </row>
    <row r="6287" spans="1:19" ht="26.25" hidden="1" thickBot="1" x14ac:dyDescent="0.3">
      <c r="A6287" s="257"/>
      <c r="B6287" s="260"/>
      <c r="C6287" s="35" t="s">
        <v>6971</v>
      </c>
      <c r="D6287" s="35" t="s">
        <v>813</v>
      </c>
      <c r="E6287" s="36">
        <v>7.0000000000000001E-3</v>
      </c>
      <c r="F6287" s="30">
        <v>7.6475</v>
      </c>
      <c r="G6287" s="53">
        <f t="shared" si="620"/>
        <v>5.3532500000000004E-2</v>
      </c>
      <c r="H6287" s="43"/>
      <c r="I6287" s="39"/>
      <c r="J6287" s="152">
        <v>0</v>
      </c>
      <c r="L6287" s="215">
        <v>7.0000000000000001E-3</v>
      </c>
      <c r="M6287" s="30">
        <v>6.5462600000000002</v>
      </c>
      <c r="N6287" s="53">
        <f t="shared" si="621"/>
        <v>4.5823820000000001E-2</v>
      </c>
      <c r="O6287" s="43"/>
      <c r="P6287" s="36" t="str">
        <f t="shared" si="616"/>
        <v/>
      </c>
      <c r="Q6287" s="216">
        <f t="shared" si="617"/>
        <v>0.14400000000000002</v>
      </c>
      <c r="R6287" s="216">
        <f t="shared" si="618"/>
        <v>0.14400000000000002</v>
      </c>
      <c r="S6287" s="217" t="str">
        <f t="shared" si="619"/>
        <v/>
      </c>
    </row>
    <row r="6288" spans="1:19" ht="15.75" hidden="1" thickBot="1" x14ac:dyDescent="0.3">
      <c r="A6288" s="258"/>
      <c r="B6288" s="261"/>
      <c r="C6288" s="35"/>
      <c r="D6288" s="35"/>
      <c r="E6288" s="36"/>
      <c r="F6288" s="30" t="s">
        <v>416</v>
      </c>
      <c r="G6288" s="53"/>
      <c r="H6288" s="43"/>
      <c r="I6288" s="39"/>
      <c r="J6288" s="152">
        <v>0</v>
      </c>
      <c r="L6288" s="215"/>
      <c r="M6288" s="30"/>
      <c r="N6288" s="53"/>
      <c r="O6288" s="43"/>
      <c r="P6288" s="36" t="str">
        <f t="shared" si="616"/>
        <v/>
      </c>
      <c r="Q6288" s="216" t="str">
        <f t="shared" si="617"/>
        <v/>
      </c>
      <c r="R6288" s="216" t="str">
        <f t="shared" si="618"/>
        <v/>
      </c>
      <c r="S6288" s="217" t="str">
        <f t="shared" si="619"/>
        <v/>
      </c>
    </row>
    <row r="6289" spans="1:19" ht="15.75" hidden="1" thickBot="1" x14ac:dyDescent="0.3">
      <c r="A6289" s="256" t="s">
        <v>5397</v>
      </c>
      <c r="B6289" s="259" t="str">
        <f>INDEX(Orçamentária!A:B,MATCH(Composições!A6289,Orçamentária!A:A,0),2)</f>
        <v>Tubo PVC esgoto ou águas pluviais predial DN 150 mm</v>
      </c>
      <c r="C6289" s="40"/>
      <c r="D6289" s="25" t="s">
        <v>69</v>
      </c>
      <c r="E6289" s="26"/>
      <c r="F6289" s="48" t="s">
        <v>416</v>
      </c>
      <c r="G6289" s="27" t="str">
        <f t="shared" ref="G6289:G6296" si="622">IF(ISNUMBER(F6289),E6289*F6289,"")</f>
        <v/>
      </c>
      <c r="H6289" s="28"/>
      <c r="I6289" s="29"/>
      <c r="J6289" s="152">
        <v>0</v>
      </c>
      <c r="L6289" s="218"/>
      <c r="M6289" s="48"/>
      <c r="N6289" s="27" t="str">
        <f t="shared" ref="N6289:N6296" si="623">IF(ISNUMBER(M6289),L6289*M6289,"")</f>
        <v/>
      </c>
      <c r="O6289" s="28"/>
      <c r="P6289" s="36" t="str">
        <f t="shared" si="616"/>
        <v/>
      </c>
      <c r="Q6289" s="216" t="str">
        <f t="shared" si="617"/>
        <v/>
      </c>
      <c r="R6289" s="216" t="str">
        <f t="shared" si="618"/>
        <v/>
      </c>
      <c r="S6289" s="217" t="str">
        <f t="shared" si="619"/>
        <v/>
      </c>
    </row>
    <row r="6290" spans="1:19" ht="15.75" hidden="1" thickBot="1" x14ac:dyDescent="0.3">
      <c r="A6290" s="257"/>
      <c r="B6290" s="260"/>
      <c r="C6290" s="31"/>
      <c r="D6290" s="31"/>
      <c r="E6290" s="32"/>
      <c r="F6290" s="53" t="s">
        <v>416</v>
      </c>
      <c r="G6290" s="53" t="str">
        <f t="shared" si="622"/>
        <v/>
      </c>
      <c r="H6290" s="72"/>
      <c r="I6290" s="73"/>
      <c r="J6290" s="152">
        <v>0</v>
      </c>
      <c r="L6290" s="219"/>
      <c r="M6290" s="53"/>
      <c r="N6290" s="53" t="str">
        <f t="shared" si="623"/>
        <v/>
      </c>
      <c r="O6290" s="72"/>
      <c r="P6290" s="36" t="str">
        <f t="shared" si="616"/>
        <v/>
      </c>
      <c r="Q6290" s="216" t="str">
        <f t="shared" si="617"/>
        <v/>
      </c>
      <c r="R6290" s="216" t="str">
        <f t="shared" si="618"/>
        <v/>
      </c>
      <c r="S6290" s="217" t="str">
        <f t="shared" si="619"/>
        <v/>
      </c>
    </row>
    <row r="6291" spans="1:19" ht="15.75" hidden="1" thickBot="1" x14ac:dyDescent="0.3">
      <c r="A6291" s="257"/>
      <c r="B6291" s="260"/>
      <c r="C6291" s="35" t="s">
        <v>7975</v>
      </c>
      <c r="D6291" s="35" t="s">
        <v>213</v>
      </c>
      <c r="E6291" s="36">
        <v>6.1999999999999998E-3</v>
      </c>
      <c r="F6291" s="30">
        <v>66.36699999999999</v>
      </c>
      <c r="G6291" s="53">
        <f t="shared" si="622"/>
        <v>0.41147539999999994</v>
      </c>
      <c r="H6291" s="38">
        <f>SUM(G6291:G6296)</f>
        <v>70.494533400000009</v>
      </c>
      <c r="I6291" s="39"/>
      <c r="J6291" s="152">
        <v>0</v>
      </c>
      <c r="L6291" s="215">
        <v>6.1999999999999998E-3</v>
      </c>
      <c r="M6291" s="30">
        <v>56.810151999999988</v>
      </c>
      <c r="N6291" s="53">
        <f t="shared" si="623"/>
        <v>0.35222294239999991</v>
      </c>
      <c r="O6291" s="38">
        <f>SUM(N6291:N6296)</f>
        <v>60.343320590400005</v>
      </c>
      <c r="P6291" s="36" t="str">
        <f t="shared" si="616"/>
        <v/>
      </c>
      <c r="Q6291" s="216">
        <f t="shared" si="617"/>
        <v>0.14400000000000002</v>
      </c>
      <c r="R6291" s="216">
        <f t="shared" si="618"/>
        <v>0.14400000000000013</v>
      </c>
      <c r="S6291" s="217">
        <f t="shared" si="619"/>
        <v>0.14400000000000002</v>
      </c>
    </row>
    <row r="6292" spans="1:19" ht="26.25" hidden="1" thickBot="1" x14ac:dyDescent="0.3">
      <c r="A6292" s="257"/>
      <c r="B6292" s="260"/>
      <c r="C6292" s="35" t="s">
        <v>1193</v>
      </c>
      <c r="D6292" s="35" t="s">
        <v>385</v>
      </c>
      <c r="E6292" s="36">
        <v>1.04</v>
      </c>
      <c r="F6292" s="30">
        <v>58.273000000000003</v>
      </c>
      <c r="G6292" s="53">
        <f t="shared" si="622"/>
        <v>60.603920000000002</v>
      </c>
      <c r="H6292" s="43"/>
      <c r="I6292" s="39"/>
      <c r="J6292" s="152">
        <v>0</v>
      </c>
      <c r="L6292" s="215">
        <v>1.04</v>
      </c>
      <c r="M6292" s="30">
        <v>49.881688000000004</v>
      </c>
      <c r="N6292" s="53">
        <f t="shared" si="623"/>
        <v>51.876955520000003</v>
      </c>
      <c r="O6292" s="43"/>
      <c r="P6292" s="36" t="str">
        <f t="shared" si="616"/>
        <v/>
      </c>
      <c r="Q6292" s="216">
        <f t="shared" si="617"/>
        <v>0.14400000000000002</v>
      </c>
      <c r="R6292" s="216">
        <f t="shared" si="618"/>
        <v>0.14400000000000002</v>
      </c>
      <c r="S6292" s="217" t="str">
        <f t="shared" si="619"/>
        <v/>
      </c>
    </row>
    <row r="6293" spans="1:19" ht="26.25" hidden="1" thickBot="1" x14ac:dyDescent="0.3">
      <c r="A6293" s="257"/>
      <c r="B6293" s="260"/>
      <c r="C6293" s="35" t="s">
        <v>8375</v>
      </c>
      <c r="D6293" s="35" t="s">
        <v>213</v>
      </c>
      <c r="E6293" s="36">
        <v>1.0200000000000001E-2</v>
      </c>
      <c r="F6293" s="30">
        <v>75.192499999999995</v>
      </c>
      <c r="G6293" s="53">
        <f t="shared" si="622"/>
        <v>0.76696350000000002</v>
      </c>
      <c r="H6293" s="43"/>
      <c r="I6293" s="39"/>
      <c r="J6293" s="152">
        <v>0</v>
      </c>
      <c r="L6293" s="215">
        <v>1.0200000000000001E-2</v>
      </c>
      <c r="M6293" s="30">
        <v>64.364779999999996</v>
      </c>
      <c r="N6293" s="53">
        <f t="shared" si="623"/>
        <v>0.65652075600000004</v>
      </c>
      <c r="O6293" s="43"/>
      <c r="P6293" s="36" t="str">
        <f t="shared" si="616"/>
        <v/>
      </c>
      <c r="Q6293" s="216">
        <f t="shared" si="617"/>
        <v>0.14400000000000002</v>
      </c>
      <c r="R6293" s="216">
        <f t="shared" si="618"/>
        <v>0.14400000000000002</v>
      </c>
      <c r="S6293" s="217" t="str">
        <f t="shared" si="619"/>
        <v/>
      </c>
    </row>
    <row r="6294" spans="1:19" ht="15.75" hidden="1" thickBot="1" x14ac:dyDescent="0.3">
      <c r="A6294" s="257"/>
      <c r="B6294" s="260"/>
      <c r="C6294" s="35" t="s">
        <v>8220</v>
      </c>
      <c r="D6294" s="35" t="s">
        <v>213</v>
      </c>
      <c r="E6294" s="36">
        <v>3.6999999999999998E-2</v>
      </c>
      <c r="F6294" s="30">
        <v>2.1185</v>
      </c>
      <c r="G6294" s="53">
        <f t="shared" si="622"/>
        <v>7.8384499999999996E-2</v>
      </c>
      <c r="H6294" s="43"/>
      <c r="I6294" s="39"/>
      <c r="J6294" s="152">
        <v>0</v>
      </c>
      <c r="L6294" s="215">
        <v>3.6999999999999998E-2</v>
      </c>
      <c r="M6294" s="30">
        <v>1.813436</v>
      </c>
      <c r="N6294" s="53">
        <f t="shared" si="623"/>
        <v>6.7097132000000004E-2</v>
      </c>
      <c r="O6294" s="43"/>
      <c r="P6294" s="36" t="str">
        <f t="shared" si="616"/>
        <v/>
      </c>
      <c r="Q6294" s="216">
        <f t="shared" si="617"/>
        <v>0.14400000000000002</v>
      </c>
      <c r="R6294" s="216">
        <f t="shared" si="618"/>
        <v>0.14399999999999991</v>
      </c>
      <c r="S6294" s="217" t="str">
        <f t="shared" si="619"/>
        <v/>
      </c>
    </row>
    <row r="6295" spans="1:19" ht="26.25" hidden="1" thickBot="1" x14ac:dyDescent="0.3">
      <c r="A6295" s="257"/>
      <c r="B6295" s="260"/>
      <c r="C6295" s="35" t="s">
        <v>824</v>
      </c>
      <c r="D6295" s="35" t="s">
        <v>583</v>
      </c>
      <c r="E6295" s="36">
        <v>0.18</v>
      </c>
      <c r="F6295" s="30">
        <v>21.166</v>
      </c>
      <c r="G6295" s="53">
        <f t="shared" si="622"/>
        <v>3.8098799999999997</v>
      </c>
      <c r="H6295" s="43"/>
      <c r="I6295" s="39"/>
      <c r="J6295" s="152">
        <v>0</v>
      </c>
      <c r="L6295" s="215">
        <v>0.18</v>
      </c>
      <c r="M6295" s="30">
        <v>18.118096000000001</v>
      </c>
      <c r="N6295" s="53">
        <f t="shared" si="623"/>
        <v>3.2612572800000001</v>
      </c>
      <c r="O6295" s="43"/>
      <c r="P6295" s="36" t="str">
        <f t="shared" si="616"/>
        <v/>
      </c>
      <c r="Q6295" s="216">
        <f t="shared" si="617"/>
        <v>0.14399999999999991</v>
      </c>
      <c r="R6295" s="216">
        <f t="shared" si="618"/>
        <v>0.14399999999999991</v>
      </c>
      <c r="S6295" s="217" t="str">
        <f t="shared" si="619"/>
        <v/>
      </c>
    </row>
    <row r="6296" spans="1:19" ht="26.25" hidden="1" thickBot="1" x14ac:dyDescent="0.3">
      <c r="A6296" s="257"/>
      <c r="B6296" s="260"/>
      <c r="C6296" s="35" t="s">
        <v>825</v>
      </c>
      <c r="D6296" s="35" t="s">
        <v>583</v>
      </c>
      <c r="E6296" s="36">
        <v>0.18</v>
      </c>
      <c r="F6296" s="30">
        <v>26.799499999999998</v>
      </c>
      <c r="G6296" s="53">
        <f t="shared" si="622"/>
        <v>4.8239099999999997</v>
      </c>
      <c r="H6296" s="43"/>
      <c r="I6296" s="39"/>
      <c r="J6296" s="152">
        <v>0</v>
      </c>
      <c r="L6296" s="215">
        <v>0.18</v>
      </c>
      <c r="M6296" s="30">
        <v>22.940372</v>
      </c>
      <c r="N6296" s="53">
        <f t="shared" si="623"/>
        <v>4.1292669599999998</v>
      </c>
      <c r="O6296" s="43"/>
      <c r="P6296" s="36" t="str">
        <f t="shared" si="616"/>
        <v/>
      </c>
      <c r="Q6296" s="216">
        <f t="shared" si="617"/>
        <v>0.14399999999999991</v>
      </c>
      <c r="R6296" s="216">
        <f t="shared" si="618"/>
        <v>0.14400000000000002</v>
      </c>
      <c r="S6296" s="217" t="str">
        <f t="shared" si="619"/>
        <v/>
      </c>
    </row>
    <row r="6297" spans="1:19" ht="15.75" hidden="1" thickBot="1" x14ac:dyDescent="0.3">
      <c r="A6297" s="258"/>
      <c r="B6297" s="261"/>
      <c r="C6297" s="35"/>
      <c r="D6297" s="35"/>
      <c r="E6297" s="36"/>
      <c r="F6297" s="30" t="s">
        <v>416</v>
      </c>
      <c r="G6297" s="53"/>
      <c r="H6297" s="43"/>
      <c r="I6297" s="39"/>
      <c r="J6297" s="152">
        <v>0</v>
      </c>
      <c r="L6297" s="215"/>
      <c r="M6297" s="30"/>
      <c r="N6297" s="53"/>
      <c r="O6297" s="43"/>
      <c r="P6297" s="36" t="str">
        <f t="shared" si="616"/>
        <v/>
      </c>
      <c r="Q6297" s="216" t="str">
        <f t="shared" si="617"/>
        <v/>
      </c>
      <c r="R6297" s="216" t="str">
        <f t="shared" si="618"/>
        <v/>
      </c>
      <c r="S6297" s="217" t="str">
        <f t="shared" si="619"/>
        <v/>
      </c>
    </row>
    <row r="6298" spans="1:19" ht="15.75" hidden="1" thickBot="1" x14ac:dyDescent="0.3">
      <c r="A6298" s="256" t="s">
        <v>5398</v>
      </c>
      <c r="B6298" s="259" t="str">
        <f>INDEX(Orçamentária!A:B,MATCH(Composições!A6298,Orçamentária!A:A,0),2)</f>
        <v>Alvenaria Estrutural</v>
      </c>
      <c r="C6298" s="40"/>
      <c r="D6298" s="25" t="s">
        <v>70</v>
      </c>
      <c r="E6298" s="26"/>
      <c r="F6298" s="48" t="s">
        <v>416</v>
      </c>
      <c r="G6298" s="27" t="str">
        <f t="shared" ref="G6298:G6307" si="624">IF(ISNUMBER(F6298),E6298*F6298,"")</f>
        <v/>
      </c>
      <c r="H6298" s="28"/>
      <c r="I6298" s="29"/>
      <c r="J6298" s="152">
        <v>0</v>
      </c>
      <c r="L6298" s="218"/>
      <c r="M6298" s="48"/>
      <c r="N6298" s="27" t="str">
        <f t="shared" ref="N6298:N6307" si="625">IF(ISNUMBER(M6298),L6298*M6298,"")</f>
        <v/>
      </c>
      <c r="O6298" s="28"/>
      <c r="P6298" s="36" t="str">
        <f t="shared" si="616"/>
        <v/>
      </c>
      <c r="Q6298" s="216" t="str">
        <f t="shared" si="617"/>
        <v/>
      </c>
      <c r="R6298" s="216" t="str">
        <f t="shared" si="618"/>
        <v/>
      </c>
      <c r="S6298" s="217" t="str">
        <f t="shared" si="619"/>
        <v/>
      </c>
    </row>
    <row r="6299" spans="1:19" ht="15.75" hidden="1" thickBot="1" x14ac:dyDescent="0.3">
      <c r="A6299" s="257"/>
      <c r="B6299" s="260"/>
      <c r="C6299" s="31"/>
      <c r="D6299" s="31"/>
      <c r="E6299" s="32"/>
      <c r="F6299" s="53" t="s">
        <v>416</v>
      </c>
      <c r="G6299" s="53" t="str">
        <f t="shared" si="624"/>
        <v/>
      </c>
      <c r="H6299" s="72"/>
      <c r="I6299" s="73"/>
      <c r="J6299" s="152">
        <v>0</v>
      </c>
      <c r="L6299" s="219"/>
      <c r="M6299" s="53"/>
      <c r="N6299" s="53" t="str">
        <f t="shared" si="625"/>
        <v/>
      </c>
      <c r="O6299" s="72"/>
      <c r="P6299" s="36" t="str">
        <f t="shared" si="616"/>
        <v/>
      </c>
      <c r="Q6299" s="216" t="str">
        <f t="shared" si="617"/>
        <v/>
      </c>
      <c r="R6299" s="216" t="str">
        <f t="shared" si="618"/>
        <v/>
      </c>
      <c r="S6299" s="217" t="str">
        <f t="shared" si="619"/>
        <v/>
      </c>
    </row>
    <row r="6300" spans="1:19" ht="26.25" hidden="1" thickBot="1" x14ac:dyDescent="0.3">
      <c r="A6300" s="257"/>
      <c r="B6300" s="260"/>
      <c r="C6300" s="35" t="s">
        <v>8002</v>
      </c>
      <c r="D6300" s="35" t="s">
        <v>213</v>
      </c>
      <c r="E6300" s="36">
        <v>10.220000000000001</v>
      </c>
      <c r="F6300" s="30">
        <v>4.1894999999999998</v>
      </c>
      <c r="G6300" s="53">
        <f t="shared" si="624"/>
        <v>42.816690000000001</v>
      </c>
      <c r="H6300" s="38">
        <f>SUM(G6300:G6307)</f>
        <v>87.939415318806809</v>
      </c>
      <c r="I6300" s="39"/>
      <c r="J6300" s="152">
        <v>0</v>
      </c>
      <c r="L6300" s="215">
        <v>10.220000000000001</v>
      </c>
      <c r="M6300" s="30">
        <v>3.5862119999999997</v>
      </c>
      <c r="N6300" s="53">
        <f t="shared" si="625"/>
        <v>36.651086640000003</v>
      </c>
      <c r="O6300" s="38">
        <f>SUM(N6300:N6307)</f>
        <v>75.276139512898624</v>
      </c>
      <c r="P6300" s="36" t="str">
        <f t="shared" si="616"/>
        <v/>
      </c>
      <c r="Q6300" s="216">
        <f t="shared" si="617"/>
        <v>0.14400000000000002</v>
      </c>
      <c r="R6300" s="216">
        <f t="shared" si="618"/>
        <v>0.14400000000000002</v>
      </c>
      <c r="S6300" s="217">
        <f t="shared" si="619"/>
        <v>0.14400000000000002</v>
      </c>
    </row>
    <row r="6301" spans="1:19" ht="26.25" hidden="1" thickBot="1" x14ac:dyDescent="0.3">
      <c r="A6301" s="257"/>
      <c r="B6301" s="260"/>
      <c r="C6301" s="35" t="s">
        <v>8540</v>
      </c>
      <c r="D6301" s="35" t="s">
        <v>385</v>
      </c>
      <c r="E6301" s="36">
        <v>0.87</v>
      </c>
      <c r="F6301" s="30">
        <v>3.7905000000000002</v>
      </c>
      <c r="G6301" s="53">
        <f t="shared" si="624"/>
        <v>3.2977350000000003</v>
      </c>
      <c r="H6301" s="43"/>
      <c r="I6301" s="39"/>
      <c r="J6301" s="152">
        <v>0</v>
      </c>
      <c r="L6301" s="215">
        <v>0.87</v>
      </c>
      <c r="M6301" s="30">
        <v>3.2446680000000003</v>
      </c>
      <c r="N6301" s="53">
        <f t="shared" si="625"/>
        <v>2.8228611600000004</v>
      </c>
      <c r="O6301" s="43"/>
      <c r="P6301" s="36" t="str">
        <f t="shared" si="616"/>
        <v/>
      </c>
      <c r="Q6301" s="216">
        <f t="shared" si="617"/>
        <v>0.14399999999999991</v>
      </c>
      <c r="R6301" s="216">
        <f t="shared" si="618"/>
        <v>0.14399999999999991</v>
      </c>
      <c r="S6301" s="217" t="str">
        <f t="shared" si="619"/>
        <v/>
      </c>
    </row>
    <row r="6302" spans="1:19" ht="26.25" hidden="1" thickBot="1" x14ac:dyDescent="0.3">
      <c r="A6302" s="257"/>
      <c r="B6302" s="260"/>
      <c r="C6302" s="35" t="s">
        <v>8293</v>
      </c>
      <c r="D6302" s="35" t="s">
        <v>213</v>
      </c>
      <c r="E6302" s="36">
        <v>1.46</v>
      </c>
      <c r="F6302" s="30">
        <v>2.3939999999999997</v>
      </c>
      <c r="G6302" s="53">
        <f t="shared" si="624"/>
        <v>3.4952399999999995</v>
      </c>
      <c r="H6302" s="43"/>
      <c r="I6302" s="39"/>
      <c r="J6302" s="152">
        <v>0</v>
      </c>
      <c r="L6302" s="215">
        <v>1.46</v>
      </c>
      <c r="M6302" s="30">
        <v>2.049264</v>
      </c>
      <c r="N6302" s="53">
        <f t="shared" si="625"/>
        <v>2.9919254399999997</v>
      </c>
      <c r="O6302" s="43"/>
      <c r="P6302" s="36" t="str">
        <f t="shared" si="616"/>
        <v/>
      </c>
      <c r="Q6302" s="216">
        <f t="shared" si="617"/>
        <v>0.14399999999999991</v>
      </c>
      <c r="R6302" s="216">
        <f t="shared" si="618"/>
        <v>0.14399999999999991</v>
      </c>
      <c r="S6302" s="217" t="str">
        <f t="shared" si="619"/>
        <v/>
      </c>
    </row>
    <row r="6303" spans="1:19" ht="26.25" hidden="1" thickBot="1" x14ac:dyDescent="0.3">
      <c r="A6303" s="257"/>
      <c r="B6303" s="260"/>
      <c r="C6303" s="35" t="s">
        <v>8001</v>
      </c>
      <c r="D6303" s="35" t="s">
        <v>213</v>
      </c>
      <c r="E6303" s="36">
        <v>1.46</v>
      </c>
      <c r="F6303" s="30">
        <v>3.8285</v>
      </c>
      <c r="G6303" s="53">
        <f t="shared" si="624"/>
        <v>5.5896099999999995</v>
      </c>
      <c r="H6303" s="43"/>
      <c r="I6303" s="39"/>
      <c r="J6303" s="152">
        <v>0</v>
      </c>
      <c r="L6303" s="215">
        <v>1.46</v>
      </c>
      <c r="M6303" s="30">
        <v>3.277196</v>
      </c>
      <c r="N6303" s="53">
        <f t="shared" si="625"/>
        <v>4.7847061599999998</v>
      </c>
      <c r="O6303" s="43"/>
      <c r="P6303" s="36" t="str">
        <f t="shared" si="616"/>
        <v/>
      </c>
      <c r="Q6303" s="216">
        <f t="shared" si="617"/>
        <v>0.14400000000000002</v>
      </c>
      <c r="R6303" s="216">
        <f t="shared" si="618"/>
        <v>0.14399999999999991</v>
      </c>
      <c r="S6303" s="217" t="str">
        <f t="shared" si="619"/>
        <v/>
      </c>
    </row>
    <row r="6304" spans="1:19" ht="26.25" hidden="1" thickBot="1" x14ac:dyDescent="0.3">
      <c r="A6304" s="257"/>
      <c r="B6304" s="260"/>
      <c r="C6304" s="35" t="s">
        <v>8043</v>
      </c>
      <c r="D6304" s="35" t="s">
        <v>213</v>
      </c>
      <c r="E6304" s="36">
        <v>0.97</v>
      </c>
      <c r="F6304" s="30">
        <v>4.7214999999999998</v>
      </c>
      <c r="G6304" s="53">
        <f t="shared" si="624"/>
        <v>4.5798549999999993</v>
      </c>
      <c r="H6304" s="43"/>
      <c r="I6304" s="39"/>
      <c r="J6304" s="152">
        <v>0</v>
      </c>
      <c r="L6304" s="215">
        <v>0.97</v>
      </c>
      <c r="M6304" s="30">
        <v>4.0416039999999995</v>
      </c>
      <c r="N6304" s="53">
        <f t="shared" si="625"/>
        <v>3.9203558799999993</v>
      </c>
      <c r="O6304" s="43"/>
      <c r="P6304" s="36" t="str">
        <f t="shared" si="616"/>
        <v/>
      </c>
      <c r="Q6304" s="216">
        <f t="shared" si="617"/>
        <v>0.14400000000000002</v>
      </c>
      <c r="R6304" s="216">
        <f t="shared" si="618"/>
        <v>0.14400000000000002</v>
      </c>
      <c r="S6304" s="217" t="str">
        <f t="shared" si="619"/>
        <v/>
      </c>
    </row>
    <row r="6305" spans="1:19" ht="15.75" hidden="1" thickBot="1" x14ac:dyDescent="0.3">
      <c r="A6305" s="257"/>
      <c r="B6305" s="260"/>
      <c r="C6305" s="35" t="s">
        <v>591</v>
      </c>
      <c r="D6305" s="35" t="s">
        <v>583</v>
      </c>
      <c r="E6305" s="36">
        <v>0.49</v>
      </c>
      <c r="F6305" s="30">
        <v>27.160499999999999</v>
      </c>
      <c r="G6305" s="53">
        <f t="shared" si="624"/>
        <v>13.308644999999999</v>
      </c>
      <c r="H6305" s="43"/>
      <c r="I6305" s="39"/>
      <c r="J6305" s="152">
        <v>0</v>
      </c>
      <c r="L6305" s="215">
        <v>0.49</v>
      </c>
      <c r="M6305" s="30">
        <v>23.249388</v>
      </c>
      <c r="N6305" s="53">
        <f t="shared" si="625"/>
        <v>11.39220012</v>
      </c>
      <c r="O6305" s="43"/>
      <c r="P6305" s="36" t="str">
        <f t="shared" si="616"/>
        <v/>
      </c>
      <c r="Q6305" s="216">
        <f t="shared" si="617"/>
        <v>0.14400000000000002</v>
      </c>
      <c r="R6305" s="216">
        <f t="shared" si="618"/>
        <v>0.14399999999999991</v>
      </c>
      <c r="S6305" s="217" t="str">
        <f t="shared" si="619"/>
        <v/>
      </c>
    </row>
    <row r="6306" spans="1:19" ht="15.75" hidden="1" thickBot="1" x14ac:dyDescent="0.3">
      <c r="A6306" s="257"/>
      <c r="B6306" s="260"/>
      <c r="C6306" s="35" t="s">
        <v>584</v>
      </c>
      <c r="D6306" s="35" t="s">
        <v>583</v>
      </c>
      <c r="E6306" s="36">
        <v>0.37</v>
      </c>
      <c r="F6306" s="30">
        <v>20.225499999999997</v>
      </c>
      <c r="G6306" s="53">
        <f t="shared" si="624"/>
        <v>7.4834349999999983</v>
      </c>
      <c r="H6306" s="43"/>
      <c r="I6306" s="39"/>
      <c r="J6306" s="152">
        <v>0</v>
      </c>
      <c r="L6306" s="215">
        <v>0.37</v>
      </c>
      <c r="M6306" s="30">
        <v>17.313027999999996</v>
      </c>
      <c r="N6306" s="53">
        <f t="shared" si="625"/>
        <v>6.4058203599999981</v>
      </c>
      <c r="O6306" s="43"/>
      <c r="P6306" s="36" t="str">
        <f t="shared" si="616"/>
        <v/>
      </c>
      <c r="Q6306" s="216">
        <f t="shared" si="617"/>
        <v>0.14400000000000013</v>
      </c>
      <c r="R6306" s="216">
        <f t="shared" si="618"/>
        <v>0.14400000000000002</v>
      </c>
      <c r="S6306" s="217" t="str">
        <f t="shared" si="619"/>
        <v/>
      </c>
    </row>
    <row r="6307" spans="1:19" ht="51.75" hidden="1" thickBot="1" x14ac:dyDescent="0.3">
      <c r="A6307" s="257"/>
      <c r="B6307" s="260"/>
      <c r="C6307" s="35" t="s">
        <v>2899</v>
      </c>
      <c r="D6307" s="35" t="s">
        <v>87</v>
      </c>
      <c r="E6307" s="36">
        <v>1.04E-2</v>
      </c>
      <c r="F6307" s="30">
        <v>708.4812806545001</v>
      </c>
      <c r="G6307" s="53">
        <f t="shared" si="624"/>
        <v>7.3682053188068011</v>
      </c>
      <c r="H6307" s="43"/>
      <c r="I6307" s="39"/>
      <c r="J6307" s="152">
        <v>0</v>
      </c>
      <c r="L6307" s="215">
        <v>1.04E-2</v>
      </c>
      <c r="M6307" s="30">
        <v>606.4599762402521</v>
      </c>
      <c r="N6307" s="53">
        <f t="shared" si="625"/>
        <v>6.3071837528986219</v>
      </c>
      <c r="O6307" s="43"/>
      <c r="P6307" s="36" t="str">
        <f t="shared" si="616"/>
        <v/>
      </c>
      <c r="Q6307" s="216">
        <f t="shared" si="617"/>
        <v>0.14400000000000002</v>
      </c>
      <c r="R6307" s="216">
        <f t="shared" si="618"/>
        <v>0.14400000000000002</v>
      </c>
      <c r="S6307" s="217" t="str">
        <f t="shared" si="619"/>
        <v/>
      </c>
    </row>
    <row r="6308" spans="1:19" ht="15.75" hidden="1" thickBot="1" x14ac:dyDescent="0.3">
      <c r="A6308" s="258"/>
      <c r="B6308" s="261"/>
      <c r="C6308" s="35"/>
      <c r="D6308" s="35"/>
      <c r="E6308" s="36"/>
      <c r="F6308" s="30" t="s">
        <v>416</v>
      </c>
      <c r="G6308" s="53"/>
      <c r="H6308" s="43"/>
      <c r="I6308" s="39"/>
      <c r="J6308" s="152">
        <v>0</v>
      </c>
      <c r="L6308" s="215"/>
      <c r="M6308" s="30"/>
      <c r="N6308" s="53"/>
      <c r="O6308" s="43"/>
      <c r="P6308" s="36" t="str">
        <f t="shared" si="616"/>
        <v/>
      </c>
      <c r="Q6308" s="216" t="str">
        <f t="shared" si="617"/>
        <v/>
      </c>
      <c r="R6308" s="216" t="str">
        <f t="shared" si="618"/>
        <v/>
      </c>
      <c r="S6308" s="217" t="str">
        <f t="shared" si="619"/>
        <v/>
      </c>
    </row>
    <row r="6309" spans="1:19" ht="15.75" hidden="1" thickBot="1" x14ac:dyDescent="0.3">
      <c r="A6309" s="256" t="s">
        <v>5399</v>
      </c>
      <c r="B6309" s="259" t="str">
        <f>INDEX(Orçamentária!A:B,MATCH(Composições!A6309,Orçamentária!A:A,0),2)</f>
        <v>Boca de lobo simples em blocos de concreto, h=1,0 m</v>
      </c>
      <c r="C6309" s="40"/>
      <c r="D6309" s="25" t="s">
        <v>16</v>
      </c>
      <c r="E6309" s="26"/>
      <c r="F6309" s="48" t="s">
        <v>416</v>
      </c>
      <c r="G6309" s="27" t="str">
        <f t="shared" ref="G6309:G6331" si="626">IF(ISNUMBER(F6309),E6309*F6309,"")</f>
        <v/>
      </c>
      <c r="H6309" s="28"/>
      <c r="I6309" s="29"/>
      <c r="J6309" s="152">
        <v>0</v>
      </c>
      <c r="L6309" s="218"/>
      <c r="M6309" s="48"/>
      <c r="N6309" s="27" t="str">
        <f t="shared" ref="N6309:N6331" si="627">IF(ISNUMBER(M6309),L6309*M6309,"")</f>
        <v/>
      </c>
      <c r="O6309" s="28"/>
      <c r="P6309" s="36" t="str">
        <f t="shared" si="616"/>
        <v/>
      </c>
      <c r="Q6309" s="216" t="str">
        <f t="shared" si="617"/>
        <v/>
      </c>
      <c r="R6309" s="216" t="str">
        <f t="shared" si="618"/>
        <v/>
      </c>
      <c r="S6309" s="217" t="str">
        <f t="shared" si="619"/>
        <v/>
      </c>
    </row>
    <row r="6310" spans="1:19" ht="15.75" hidden="1" thickBot="1" x14ac:dyDescent="0.3">
      <c r="A6310" s="257"/>
      <c r="B6310" s="260"/>
      <c r="C6310" s="31"/>
      <c r="D6310" s="31"/>
      <c r="E6310" s="32"/>
      <c r="F6310" s="53" t="s">
        <v>416</v>
      </c>
      <c r="G6310" s="53" t="str">
        <f t="shared" si="626"/>
        <v/>
      </c>
      <c r="H6310" s="72"/>
      <c r="I6310" s="73"/>
      <c r="J6310" s="152">
        <v>0</v>
      </c>
      <c r="L6310" s="219"/>
      <c r="M6310" s="53"/>
      <c r="N6310" s="53" t="str">
        <f t="shared" si="627"/>
        <v/>
      </c>
      <c r="O6310" s="72"/>
      <c r="P6310" s="36" t="str">
        <f t="shared" si="616"/>
        <v/>
      </c>
      <c r="Q6310" s="216" t="str">
        <f t="shared" si="617"/>
        <v/>
      </c>
      <c r="R6310" s="216" t="str">
        <f t="shared" si="618"/>
        <v/>
      </c>
      <c r="S6310" s="217" t="str">
        <f t="shared" si="619"/>
        <v/>
      </c>
    </row>
    <row r="6311" spans="1:19" ht="15.75" hidden="1" thickBot="1" x14ac:dyDescent="0.3">
      <c r="A6311" s="257"/>
      <c r="B6311" s="260"/>
      <c r="C6311" s="35" t="s">
        <v>8044</v>
      </c>
      <c r="D6311" s="35" t="s">
        <v>213</v>
      </c>
      <c r="E6311" s="36">
        <v>21</v>
      </c>
      <c r="F6311" s="30">
        <v>3.2489999999999997</v>
      </c>
      <c r="G6311" s="53">
        <f t="shared" si="626"/>
        <v>68.228999999999999</v>
      </c>
      <c r="H6311" s="38">
        <f>SUM(G6311:G6331)</f>
        <v>1519.0846760019829</v>
      </c>
      <c r="I6311" s="39"/>
      <c r="J6311" s="152">
        <v>0</v>
      </c>
      <c r="L6311" s="215">
        <v>21</v>
      </c>
      <c r="M6311" s="30">
        <v>2.7811439999999998</v>
      </c>
      <c r="N6311" s="53">
        <f t="shared" si="627"/>
        <v>58.404024</v>
      </c>
      <c r="O6311" s="38">
        <f>SUM(N6311:N6331)</f>
        <v>1300.3364826576972</v>
      </c>
      <c r="P6311" s="36" t="str">
        <f t="shared" si="616"/>
        <v/>
      </c>
      <c r="Q6311" s="216">
        <f t="shared" si="617"/>
        <v>0.14400000000000002</v>
      </c>
      <c r="R6311" s="216">
        <f t="shared" si="618"/>
        <v>0.14400000000000002</v>
      </c>
      <c r="S6311" s="217">
        <f t="shared" si="619"/>
        <v>0.14400000000000013</v>
      </c>
    </row>
    <row r="6312" spans="1:19" ht="26.25" hidden="1" thickBot="1" x14ac:dyDescent="0.3">
      <c r="A6312" s="257"/>
      <c r="B6312" s="260"/>
      <c r="C6312" s="35" t="s">
        <v>1009</v>
      </c>
      <c r="D6312" s="35" t="s">
        <v>75</v>
      </c>
      <c r="E6312" s="36">
        <v>8.2000000000000007E-3</v>
      </c>
      <c r="F6312" s="30">
        <v>7.9229999999999992</v>
      </c>
      <c r="G6312" s="53">
        <f t="shared" si="626"/>
        <v>6.4968600000000001E-2</v>
      </c>
      <c r="H6312" s="43"/>
      <c r="I6312" s="39"/>
      <c r="J6312" s="152">
        <v>0</v>
      </c>
      <c r="L6312" s="215">
        <v>8.2000000000000007E-3</v>
      </c>
      <c r="M6312" s="30">
        <v>6.7820879999999999</v>
      </c>
      <c r="N6312" s="53">
        <f t="shared" si="627"/>
        <v>5.5613121600000003E-2</v>
      </c>
      <c r="O6312" s="43"/>
      <c r="P6312" s="36" t="str">
        <f t="shared" si="616"/>
        <v/>
      </c>
      <c r="Q6312" s="216">
        <f t="shared" si="617"/>
        <v>0.14399999999999991</v>
      </c>
      <c r="R6312" s="216">
        <f t="shared" si="618"/>
        <v>0.14400000000000002</v>
      </c>
      <c r="S6312" s="217" t="str">
        <f t="shared" si="619"/>
        <v/>
      </c>
    </row>
    <row r="6313" spans="1:19" ht="26.25" hidden="1" thickBot="1" x14ac:dyDescent="0.3">
      <c r="A6313" s="257"/>
      <c r="B6313" s="260"/>
      <c r="C6313" s="35" t="s">
        <v>3233</v>
      </c>
      <c r="D6313" s="35" t="s">
        <v>385</v>
      </c>
      <c r="E6313" s="36">
        <v>0.17760000000000001</v>
      </c>
      <c r="F6313" s="30">
        <v>8.1889999999999983</v>
      </c>
      <c r="G6313" s="53">
        <f t="shared" si="626"/>
        <v>1.4543663999999998</v>
      </c>
      <c r="H6313" s="43"/>
      <c r="I6313" s="39"/>
      <c r="J6313" s="152">
        <v>0</v>
      </c>
      <c r="L6313" s="215">
        <v>0.17760000000000001</v>
      </c>
      <c r="M6313" s="30">
        <v>7.0097839999999989</v>
      </c>
      <c r="N6313" s="53">
        <f t="shared" si="627"/>
        <v>1.2449376383999999</v>
      </c>
      <c r="O6313" s="43"/>
      <c r="P6313" s="36" t="str">
        <f t="shared" si="616"/>
        <v/>
      </c>
      <c r="Q6313" s="216">
        <f t="shared" si="617"/>
        <v>0.14399999999999991</v>
      </c>
      <c r="R6313" s="216">
        <f t="shared" si="618"/>
        <v>0.14399999999999991</v>
      </c>
      <c r="S6313" s="217" t="str">
        <f t="shared" si="619"/>
        <v/>
      </c>
    </row>
    <row r="6314" spans="1:19" ht="26.25" hidden="1" thickBot="1" x14ac:dyDescent="0.3">
      <c r="A6314" s="257"/>
      <c r="B6314" s="260"/>
      <c r="C6314" s="35" t="s">
        <v>3235</v>
      </c>
      <c r="D6314" s="35" t="s">
        <v>385</v>
      </c>
      <c r="E6314" s="36">
        <v>0.2112</v>
      </c>
      <c r="F6314" s="30">
        <v>2.8594999999999997</v>
      </c>
      <c r="G6314" s="53">
        <f t="shared" si="626"/>
        <v>0.60392639999999997</v>
      </c>
      <c r="H6314" s="43"/>
      <c r="I6314" s="39"/>
      <c r="J6314" s="152">
        <v>0</v>
      </c>
      <c r="L6314" s="215">
        <v>0.2112</v>
      </c>
      <c r="M6314" s="30">
        <v>2.4477319999999998</v>
      </c>
      <c r="N6314" s="53">
        <f t="shared" si="627"/>
        <v>0.51696099839999998</v>
      </c>
      <c r="O6314" s="43"/>
      <c r="P6314" s="36" t="str">
        <f t="shared" si="616"/>
        <v/>
      </c>
      <c r="Q6314" s="216">
        <f t="shared" si="617"/>
        <v>0.14400000000000002</v>
      </c>
      <c r="R6314" s="216">
        <f t="shared" si="618"/>
        <v>0.14400000000000002</v>
      </c>
      <c r="S6314" s="217" t="str">
        <f t="shared" si="619"/>
        <v/>
      </c>
    </row>
    <row r="6315" spans="1:19" ht="15.75" hidden="1" thickBot="1" x14ac:dyDescent="0.3">
      <c r="A6315" s="257"/>
      <c r="B6315" s="260"/>
      <c r="C6315" s="35" t="s">
        <v>8338</v>
      </c>
      <c r="D6315" s="35" t="s">
        <v>773</v>
      </c>
      <c r="E6315" s="36">
        <v>0.187</v>
      </c>
      <c r="F6315" s="30">
        <v>22.011500000000002</v>
      </c>
      <c r="G6315" s="53">
        <f t="shared" si="626"/>
        <v>4.1161505000000007</v>
      </c>
      <c r="H6315" s="43"/>
      <c r="I6315" s="39"/>
      <c r="J6315" s="152">
        <v>0</v>
      </c>
      <c r="L6315" s="215">
        <v>0.187</v>
      </c>
      <c r="M6315" s="30">
        <v>18.841844000000002</v>
      </c>
      <c r="N6315" s="53">
        <f t="shared" si="627"/>
        <v>3.5234248280000005</v>
      </c>
      <c r="O6315" s="43"/>
      <c r="P6315" s="36" t="str">
        <f t="shared" si="616"/>
        <v/>
      </c>
      <c r="Q6315" s="216">
        <f t="shared" si="617"/>
        <v>0.14400000000000002</v>
      </c>
      <c r="R6315" s="216">
        <f t="shared" si="618"/>
        <v>0.14400000000000002</v>
      </c>
      <c r="S6315" s="217" t="str">
        <f t="shared" si="619"/>
        <v/>
      </c>
    </row>
    <row r="6316" spans="1:19" ht="64.5" hidden="1" thickBot="1" x14ac:dyDescent="0.3">
      <c r="A6316" s="257"/>
      <c r="B6316" s="260"/>
      <c r="C6316" s="35" t="s">
        <v>2863</v>
      </c>
      <c r="D6316" s="35" t="s">
        <v>813</v>
      </c>
      <c r="E6316" s="36">
        <v>3.1300000000000001E-2</v>
      </c>
      <c r="F6316" s="30">
        <v>134.55799999999999</v>
      </c>
      <c r="G6316" s="53">
        <f t="shared" si="626"/>
        <v>4.2116654000000002</v>
      </c>
      <c r="H6316" s="43"/>
      <c r="I6316" s="39"/>
      <c r="J6316" s="152">
        <v>0</v>
      </c>
      <c r="L6316" s="215">
        <v>3.1300000000000001E-2</v>
      </c>
      <c r="M6316" s="30">
        <v>115.181648</v>
      </c>
      <c r="N6316" s="53">
        <f t="shared" si="627"/>
        <v>3.6051855823999999</v>
      </c>
      <c r="O6316" s="43"/>
      <c r="P6316" s="36" t="str">
        <f t="shared" si="616"/>
        <v/>
      </c>
      <c r="Q6316" s="216">
        <f t="shared" si="617"/>
        <v>0.14400000000000002</v>
      </c>
      <c r="R6316" s="216">
        <f t="shared" si="618"/>
        <v>0.14400000000000013</v>
      </c>
      <c r="S6316" s="217" t="str">
        <f t="shared" si="619"/>
        <v/>
      </c>
    </row>
    <row r="6317" spans="1:19" ht="64.5" hidden="1" thickBot="1" x14ac:dyDescent="0.3">
      <c r="A6317" s="257"/>
      <c r="B6317" s="260"/>
      <c r="C6317" s="35" t="s">
        <v>2870</v>
      </c>
      <c r="D6317" s="35" t="s">
        <v>815</v>
      </c>
      <c r="E6317" s="36">
        <v>6.3700000000000007E-2</v>
      </c>
      <c r="F6317" s="30">
        <v>54.34</v>
      </c>
      <c r="G6317" s="53">
        <f t="shared" si="626"/>
        <v>3.4614580000000004</v>
      </c>
      <c r="H6317" s="43"/>
      <c r="I6317" s="39"/>
      <c r="J6317" s="152">
        <v>0</v>
      </c>
      <c r="L6317" s="215">
        <v>6.3700000000000007E-2</v>
      </c>
      <c r="M6317" s="30">
        <v>46.515040000000006</v>
      </c>
      <c r="N6317" s="53">
        <f t="shared" si="627"/>
        <v>2.9630080480000007</v>
      </c>
      <c r="O6317" s="43"/>
      <c r="P6317" s="36" t="str">
        <f t="shared" si="616"/>
        <v/>
      </c>
      <c r="Q6317" s="216">
        <f t="shared" si="617"/>
        <v>0.14399999999999991</v>
      </c>
      <c r="R6317" s="216">
        <f t="shared" si="618"/>
        <v>0.14399999999999991</v>
      </c>
      <c r="S6317" s="217" t="str">
        <f t="shared" si="619"/>
        <v/>
      </c>
    </row>
    <row r="6318" spans="1:19" ht="26.25" hidden="1" thickBot="1" x14ac:dyDescent="0.3">
      <c r="A6318" s="257"/>
      <c r="B6318" s="260"/>
      <c r="C6318" s="35" t="s">
        <v>8518</v>
      </c>
      <c r="D6318" s="35" t="s">
        <v>385</v>
      </c>
      <c r="E6318" s="36">
        <v>0.66239999999999999</v>
      </c>
      <c r="F6318" s="30">
        <v>23.398499999999999</v>
      </c>
      <c r="G6318" s="53">
        <f t="shared" si="626"/>
        <v>15.499166399999998</v>
      </c>
      <c r="H6318" s="43"/>
      <c r="I6318" s="39"/>
      <c r="J6318" s="152">
        <v>0</v>
      </c>
      <c r="L6318" s="215">
        <v>0.66239999999999999</v>
      </c>
      <c r="M6318" s="30">
        <v>20.029115999999998</v>
      </c>
      <c r="N6318" s="53">
        <f t="shared" si="627"/>
        <v>13.267286438399999</v>
      </c>
      <c r="O6318" s="43"/>
      <c r="P6318" s="36" t="str">
        <f t="shared" si="616"/>
        <v/>
      </c>
      <c r="Q6318" s="216">
        <f t="shared" si="617"/>
        <v>0.14400000000000002</v>
      </c>
      <c r="R6318" s="216">
        <f t="shared" si="618"/>
        <v>0.14399999999999991</v>
      </c>
      <c r="S6318" s="217" t="str">
        <f t="shared" si="619"/>
        <v/>
      </c>
    </row>
    <row r="6319" spans="1:19" ht="26.25" hidden="1" thickBot="1" x14ac:dyDescent="0.3">
      <c r="A6319" s="257"/>
      <c r="B6319" s="260"/>
      <c r="C6319" s="35" t="s">
        <v>8003</v>
      </c>
      <c r="D6319" s="35" t="s">
        <v>213</v>
      </c>
      <c r="E6319" s="36">
        <v>47.175699999999999</v>
      </c>
      <c r="F6319" s="30">
        <v>5.2344999999999997</v>
      </c>
      <c r="G6319" s="53">
        <f t="shared" si="626"/>
        <v>246.94120164999998</v>
      </c>
      <c r="H6319" s="43"/>
      <c r="I6319" s="39"/>
      <c r="J6319" s="152">
        <v>0</v>
      </c>
      <c r="L6319" s="215">
        <v>47.175699999999999</v>
      </c>
      <c r="M6319" s="30">
        <v>4.4807319999999997</v>
      </c>
      <c r="N6319" s="53">
        <f t="shared" si="627"/>
        <v>211.38166861239998</v>
      </c>
      <c r="O6319" s="43"/>
      <c r="P6319" s="36" t="str">
        <f t="shared" si="616"/>
        <v/>
      </c>
      <c r="Q6319" s="216">
        <f t="shared" si="617"/>
        <v>0.14400000000000002</v>
      </c>
      <c r="R6319" s="216">
        <f t="shared" si="618"/>
        <v>0.14400000000000002</v>
      </c>
      <c r="S6319" s="217" t="str">
        <f t="shared" si="619"/>
        <v/>
      </c>
    </row>
    <row r="6320" spans="1:19" ht="26.25" hidden="1" thickBot="1" x14ac:dyDescent="0.3">
      <c r="A6320" s="257"/>
      <c r="B6320" s="260"/>
      <c r="C6320" s="35" t="s">
        <v>8541</v>
      </c>
      <c r="D6320" s="35" t="s">
        <v>213</v>
      </c>
      <c r="E6320" s="36">
        <v>1</v>
      </c>
      <c r="F6320" s="30">
        <v>41.543499999999995</v>
      </c>
      <c r="G6320" s="53">
        <f t="shared" si="626"/>
        <v>41.543499999999995</v>
      </c>
      <c r="H6320" s="43"/>
      <c r="I6320" s="39"/>
      <c r="J6320" s="152">
        <v>0</v>
      </c>
      <c r="L6320" s="215">
        <v>1</v>
      </c>
      <c r="M6320" s="30">
        <v>35.561235999999994</v>
      </c>
      <c r="N6320" s="53">
        <f t="shared" si="627"/>
        <v>35.561235999999994</v>
      </c>
      <c r="O6320" s="43"/>
      <c r="P6320" s="36" t="str">
        <f t="shared" si="616"/>
        <v/>
      </c>
      <c r="Q6320" s="216">
        <f t="shared" si="617"/>
        <v>0.14400000000000002</v>
      </c>
      <c r="R6320" s="216">
        <f t="shared" si="618"/>
        <v>0.14400000000000002</v>
      </c>
      <c r="S6320" s="217" t="str">
        <f t="shared" si="619"/>
        <v/>
      </c>
    </row>
    <row r="6321" spans="1:19" ht="39" hidden="1" thickBot="1" x14ac:dyDescent="0.3">
      <c r="A6321" s="257"/>
      <c r="B6321" s="260"/>
      <c r="C6321" s="35" t="s">
        <v>871</v>
      </c>
      <c r="D6321" s="35" t="s">
        <v>87</v>
      </c>
      <c r="E6321" s="36">
        <v>4.3E-3</v>
      </c>
      <c r="F6321" s="30">
        <v>584.3403605609999</v>
      </c>
      <c r="G6321" s="53">
        <f t="shared" si="626"/>
        <v>2.5126635504122996</v>
      </c>
      <c r="H6321" s="43"/>
      <c r="I6321" s="39"/>
      <c r="J6321" s="152">
        <v>0</v>
      </c>
      <c r="L6321" s="215">
        <v>4.3E-3</v>
      </c>
      <c r="M6321" s="30">
        <v>500.19534864021591</v>
      </c>
      <c r="N6321" s="53">
        <f t="shared" si="627"/>
        <v>2.1508399991529283</v>
      </c>
      <c r="O6321" s="43"/>
      <c r="P6321" s="36" t="str">
        <f t="shared" si="616"/>
        <v/>
      </c>
      <c r="Q6321" s="216">
        <f t="shared" si="617"/>
        <v>0.14400000000000002</v>
      </c>
      <c r="R6321" s="216">
        <f t="shared" si="618"/>
        <v>0.14400000000000002</v>
      </c>
      <c r="S6321" s="217" t="str">
        <f t="shared" si="619"/>
        <v/>
      </c>
    </row>
    <row r="6322" spans="1:19" ht="15.75" hidden="1" thickBot="1" x14ac:dyDescent="0.3">
      <c r="A6322" s="257"/>
      <c r="B6322" s="260"/>
      <c r="C6322" s="35" t="s">
        <v>591</v>
      </c>
      <c r="D6322" s="35" t="s">
        <v>583</v>
      </c>
      <c r="E6322" s="36">
        <v>9.5631000000000004</v>
      </c>
      <c r="F6322" s="30">
        <v>27.160499999999999</v>
      </c>
      <c r="G6322" s="53">
        <f t="shared" si="626"/>
        <v>259.73857755</v>
      </c>
      <c r="H6322" s="43"/>
      <c r="I6322" s="39"/>
      <c r="J6322" s="152">
        <v>0</v>
      </c>
      <c r="L6322" s="215">
        <v>9.5631000000000004</v>
      </c>
      <c r="M6322" s="30">
        <v>23.249388</v>
      </c>
      <c r="N6322" s="53">
        <f t="shared" si="627"/>
        <v>222.3362223828</v>
      </c>
      <c r="O6322" s="43"/>
      <c r="P6322" s="36" t="str">
        <f t="shared" si="616"/>
        <v/>
      </c>
      <c r="Q6322" s="216">
        <f t="shared" si="617"/>
        <v>0.14400000000000002</v>
      </c>
      <c r="R6322" s="216">
        <f t="shared" si="618"/>
        <v>0.14400000000000002</v>
      </c>
      <c r="S6322" s="217" t="str">
        <f t="shared" si="619"/>
        <v/>
      </c>
    </row>
    <row r="6323" spans="1:19" ht="15.75" hidden="1" thickBot="1" x14ac:dyDescent="0.3">
      <c r="A6323" s="257"/>
      <c r="B6323" s="260"/>
      <c r="C6323" s="35" t="s">
        <v>584</v>
      </c>
      <c r="D6323" s="35" t="s">
        <v>583</v>
      </c>
      <c r="E6323" s="36">
        <v>7.5138999999999996</v>
      </c>
      <c r="F6323" s="30">
        <v>20.225499999999997</v>
      </c>
      <c r="G6323" s="53">
        <f t="shared" si="626"/>
        <v>151.97238444999996</v>
      </c>
      <c r="H6323" s="43"/>
      <c r="I6323" s="39"/>
      <c r="J6323" s="152">
        <v>0</v>
      </c>
      <c r="L6323" s="215">
        <v>7.5138999999999996</v>
      </c>
      <c r="M6323" s="30">
        <v>17.313027999999996</v>
      </c>
      <c r="N6323" s="53">
        <f t="shared" si="627"/>
        <v>130.08836108919996</v>
      </c>
      <c r="O6323" s="43"/>
      <c r="P6323" s="36" t="str">
        <f t="shared" si="616"/>
        <v/>
      </c>
      <c r="Q6323" s="216">
        <f t="shared" si="617"/>
        <v>0.14400000000000013</v>
      </c>
      <c r="R6323" s="216">
        <f t="shared" si="618"/>
        <v>0.14400000000000002</v>
      </c>
      <c r="S6323" s="217" t="str">
        <f t="shared" si="619"/>
        <v/>
      </c>
    </row>
    <row r="6324" spans="1:19" ht="26.25" hidden="1" thickBot="1" x14ac:dyDescent="0.3">
      <c r="A6324" s="257"/>
      <c r="B6324" s="260"/>
      <c r="C6324" s="35" t="s">
        <v>2898</v>
      </c>
      <c r="D6324" s="35" t="s">
        <v>87</v>
      </c>
      <c r="E6324" s="36">
        <v>0.47460000000000002</v>
      </c>
      <c r="F6324" s="30">
        <v>657.09798058849992</v>
      </c>
      <c r="G6324" s="53">
        <f t="shared" si="626"/>
        <v>311.85870158730205</v>
      </c>
      <c r="H6324" s="43"/>
      <c r="I6324" s="39"/>
      <c r="J6324" s="152">
        <v>0</v>
      </c>
      <c r="L6324" s="215">
        <v>0.47460000000000002</v>
      </c>
      <c r="M6324" s="30">
        <v>562.47587138375593</v>
      </c>
      <c r="N6324" s="53">
        <f t="shared" si="627"/>
        <v>266.95104855873058</v>
      </c>
      <c r="O6324" s="43"/>
      <c r="P6324" s="36" t="str">
        <f t="shared" si="616"/>
        <v/>
      </c>
      <c r="Q6324" s="216">
        <f t="shared" si="617"/>
        <v>0.14400000000000002</v>
      </c>
      <c r="R6324" s="216">
        <f t="shared" si="618"/>
        <v>0.14399999999999991</v>
      </c>
      <c r="S6324" s="217" t="str">
        <f t="shared" si="619"/>
        <v/>
      </c>
    </row>
    <row r="6325" spans="1:19" ht="26.25" hidden="1" thickBot="1" x14ac:dyDescent="0.3">
      <c r="A6325" s="257"/>
      <c r="B6325" s="260"/>
      <c r="C6325" s="35" t="s">
        <v>5777</v>
      </c>
      <c r="D6325" s="35" t="s">
        <v>87</v>
      </c>
      <c r="E6325" s="36">
        <v>2.9899999999999999E-2</v>
      </c>
      <c r="F6325" s="30">
        <v>1169.2422948459046</v>
      </c>
      <c r="G6325" s="53">
        <f t="shared" si="626"/>
        <v>34.960344615892545</v>
      </c>
      <c r="H6325" s="43"/>
      <c r="I6325" s="39"/>
      <c r="J6325" s="152">
        <v>0</v>
      </c>
      <c r="L6325" s="215">
        <v>2.9899999999999999E-2</v>
      </c>
      <c r="M6325" s="30">
        <v>1000.8714043880943</v>
      </c>
      <c r="N6325" s="53">
        <f t="shared" si="627"/>
        <v>29.926054991204019</v>
      </c>
      <c r="O6325" s="43"/>
      <c r="P6325" s="36" t="str">
        <f t="shared" si="616"/>
        <v/>
      </c>
      <c r="Q6325" s="216">
        <f t="shared" si="617"/>
        <v>0.14400000000000002</v>
      </c>
      <c r="R6325" s="216">
        <f t="shared" si="618"/>
        <v>0.14400000000000002</v>
      </c>
      <c r="S6325" s="217" t="str">
        <f t="shared" si="619"/>
        <v/>
      </c>
    </row>
    <row r="6326" spans="1:19" ht="26.25" hidden="1" thickBot="1" x14ac:dyDescent="0.3">
      <c r="A6326" s="257"/>
      <c r="B6326" s="260"/>
      <c r="C6326" s="35" t="s">
        <v>5778</v>
      </c>
      <c r="D6326" s="35" t="s">
        <v>87</v>
      </c>
      <c r="E6326" s="36">
        <v>6.1499999999999999E-2</v>
      </c>
      <c r="F6326" s="30">
        <v>1133.3744919459043</v>
      </c>
      <c r="G6326" s="53">
        <f t="shared" si="626"/>
        <v>69.702531254673119</v>
      </c>
      <c r="H6326" s="43"/>
      <c r="I6326" s="39"/>
      <c r="J6326" s="152">
        <v>0</v>
      </c>
      <c r="L6326" s="215">
        <v>6.1499999999999999E-2</v>
      </c>
      <c r="M6326" s="30">
        <v>970.16856510569414</v>
      </c>
      <c r="N6326" s="53">
        <f t="shared" si="627"/>
        <v>59.665366754000189</v>
      </c>
      <c r="O6326" s="43"/>
      <c r="P6326" s="36" t="str">
        <f t="shared" si="616"/>
        <v/>
      </c>
      <c r="Q6326" s="216">
        <f t="shared" si="617"/>
        <v>0.14399999999999991</v>
      </c>
      <c r="R6326" s="216">
        <f t="shared" si="618"/>
        <v>0.14400000000000002</v>
      </c>
      <c r="S6326" s="217" t="str">
        <f t="shared" si="619"/>
        <v/>
      </c>
    </row>
    <row r="6327" spans="1:19" ht="26.25" hidden="1" thickBot="1" x14ac:dyDescent="0.3">
      <c r="A6327" s="257"/>
      <c r="B6327" s="260"/>
      <c r="C6327" s="35" t="s">
        <v>2878</v>
      </c>
      <c r="D6327" s="35" t="s">
        <v>773</v>
      </c>
      <c r="E6327" s="36">
        <v>0.98719999999999997</v>
      </c>
      <c r="F6327" s="30">
        <v>12.032452999999999</v>
      </c>
      <c r="G6327" s="53">
        <f t="shared" si="626"/>
        <v>11.878437601599998</v>
      </c>
      <c r="H6327" s="43"/>
      <c r="I6327" s="39"/>
      <c r="J6327" s="152">
        <v>0</v>
      </c>
      <c r="L6327" s="215">
        <v>0.98719999999999997</v>
      </c>
      <c r="M6327" s="30">
        <v>10.299779767999999</v>
      </c>
      <c r="N6327" s="53">
        <f t="shared" si="627"/>
        <v>10.167942586969598</v>
      </c>
      <c r="O6327" s="43"/>
      <c r="P6327" s="36" t="str">
        <f t="shared" si="616"/>
        <v/>
      </c>
      <c r="Q6327" s="216">
        <f t="shared" si="617"/>
        <v>0.14400000000000002</v>
      </c>
      <c r="R6327" s="216">
        <f t="shared" si="618"/>
        <v>0.14400000000000002</v>
      </c>
      <c r="S6327" s="217" t="str">
        <f t="shared" si="619"/>
        <v/>
      </c>
    </row>
    <row r="6328" spans="1:19" ht="26.25" hidden="1" thickBot="1" x14ac:dyDescent="0.3">
      <c r="A6328" s="257"/>
      <c r="B6328" s="260"/>
      <c r="C6328" s="35" t="s">
        <v>2879</v>
      </c>
      <c r="D6328" s="35" t="s">
        <v>773</v>
      </c>
      <c r="E6328" s="36">
        <v>2.468</v>
      </c>
      <c r="F6328" s="30">
        <v>11.473643999999998</v>
      </c>
      <c r="G6328" s="53">
        <f t="shared" si="626"/>
        <v>28.316953391999995</v>
      </c>
      <c r="H6328" s="43"/>
      <c r="I6328" s="39"/>
      <c r="J6328" s="152">
        <v>0</v>
      </c>
      <c r="L6328" s="215">
        <v>2.468</v>
      </c>
      <c r="M6328" s="30">
        <v>9.8214392639999986</v>
      </c>
      <c r="N6328" s="53">
        <f t="shared" si="627"/>
        <v>24.239312103551995</v>
      </c>
      <c r="O6328" s="43"/>
      <c r="P6328" s="36" t="str">
        <f t="shared" si="616"/>
        <v/>
      </c>
      <c r="Q6328" s="216">
        <f t="shared" si="617"/>
        <v>0.14400000000000002</v>
      </c>
      <c r="R6328" s="216">
        <f t="shared" si="618"/>
        <v>0.14400000000000002</v>
      </c>
      <c r="S6328" s="217" t="str">
        <f t="shared" si="619"/>
        <v/>
      </c>
    </row>
    <row r="6329" spans="1:19" ht="26.25" hidden="1" thickBot="1" x14ac:dyDescent="0.3">
      <c r="A6329" s="257"/>
      <c r="B6329" s="260"/>
      <c r="C6329" s="35" t="s">
        <v>936</v>
      </c>
      <c r="D6329" s="35" t="s">
        <v>87</v>
      </c>
      <c r="E6329" s="36">
        <v>0.1628</v>
      </c>
      <c r="F6329" s="30">
        <v>616.29413234365495</v>
      </c>
      <c r="G6329" s="53">
        <f t="shared" si="626"/>
        <v>100.33268474554703</v>
      </c>
      <c r="H6329" s="43"/>
      <c r="I6329" s="39"/>
      <c r="J6329" s="152">
        <v>0</v>
      </c>
      <c r="L6329" s="215">
        <v>0.1628</v>
      </c>
      <c r="M6329" s="30">
        <v>527.54777728616864</v>
      </c>
      <c r="N6329" s="53">
        <f t="shared" si="627"/>
        <v>85.884778142188253</v>
      </c>
      <c r="O6329" s="43"/>
      <c r="P6329" s="36" t="str">
        <f t="shared" si="616"/>
        <v/>
      </c>
      <c r="Q6329" s="216">
        <f t="shared" si="617"/>
        <v>0.14400000000000002</v>
      </c>
      <c r="R6329" s="216">
        <f t="shared" si="618"/>
        <v>0.14400000000000002</v>
      </c>
      <c r="S6329" s="217" t="str">
        <f t="shared" si="619"/>
        <v/>
      </c>
    </row>
    <row r="6330" spans="1:19" ht="26.25" hidden="1" thickBot="1" x14ac:dyDescent="0.3">
      <c r="A6330" s="257"/>
      <c r="B6330" s="260"/>
      <c r="C6330" s="35" t="s">
        <v>2888</v>
      </c>
      <c r="D6330" s="35" t="s">
        <v>87</v>
      </c>
      <c r="E6330" s="36">
        <v>6.1600000000000002E-2</v>
      </c>
      <c r="F6330" s="30">
        <v>2567.9175087184358</v>
      </c>
      <c r="G6330" s="53">
        <f t="shared" si="626"/>
        <v>158.18371853705565</v>
      </c>
      <c r="H6330" s="43"/>
      <c r="I6330" s="39"/>
      <c r="J6330" s="152">
        <v>0</v>
      </c>
      <c r="L6330" s="215">
        <v>6.1600000000000002E-2</v>
      </c>
      <c r="M6330" s="30">
        <v>2198.1373874629812</v>
      </c>
      <c r="N6330" s="53">
        <f t="shared" si="627"/>
        <v>135.40526306771966</v>
      </c>
      <c r="O6330" s="43"/>
      <c r="P6330" s="36" t="str">
        <f t="shared" si="616"/>
        <v/>
      </c>
      <c r="Q6330" s="216">
        <f t="shared" si="617"/>
        <v>0.14399999999999991</v>
      </c>
      <c r="R6330" s="216">
        <f t="shared" si="618"/>
        <v>0.14399999999999991</v>
      </c>
      <c r="S6330" s="217" t="str">
        <f t="shared" si="619"/>
        <v/>
      </c>
    </row>
    <row r="6331" spans="1:19" ht="26.25" hidden="1" thickBot="1" x14ac:dyDescent="0.3">
      <c r="A6331" s="257"/>
      <c r="B6331" s="260"/>
      <c r="C6331" s="35" t="s">
        <v>3222</v>
      </c>
      <c r="D6331" s="35" t="s">
        <v>861</v>
      </c>
      <c r="E6331" s="36">
        <v>1.17</v>
      </c>
      <c r="F6331" s="30">
        <v>2.9933977500000002</v>
      </c>
      <c r="G6331" s="53">
        <f t="shared" si="626"/>
        <v>3.5022753674999998</v>
      </c>
      <c r="H6331" s="43"/>
      <c r="I6331" s="39"/>
      <c r="J6331" s="152">
        <v>0</v>
      </c>
      <c r="L6331" s="215">
        <v>1.17</v>
      </c>
      <c r="M6331" s="30">
        <v>2.5623484740000002</v>
      </c>
      <c r="N6331" s="53">
        <f t="shared" si="627"/>
        <v>2.99794771458</v>
      </c>
      <c r="O6331" s="43"/>
      <c r="P6331" s="36" t="str">
        <f t="shared" si="616"/>
        <v/>
      </c>
      <c r="Q6331" s="216">
        <f t="shared" si="617"/>
        <v>0.14400000000000002</v>
      </c>
      <c r="R6331" s="216">
        <f t="shared" si="618"/>
        <v>0.14399999999999991</v>
      </c>
      <c r="S6331" s="217" t="str">
        <f t="shared" si="619"/>
        <v/>
      </c>
    </row>
    <row r="6332" spans="1:19" ht="15.75" hidden="1" thickBot="1" x14ac:dyDescent="0.3">
      <c r="A6332" s="258"/>
      <c r="B6332" s="261"/>
      <c r="C6332" s="35"/>
      <c r="D6332" s="35"/>
      <c r="E6332" s="36"/>
      <c r="F6332" s="30" t="s">
        <v>416</v>
      </c>
      <c r="G6332" s="53"/>
      <c r="H6332" s="43"/>
      <c r="I6332" s="39"/>
      <c r="J6332" s="152">
        <v>0</v>
      </c>
      <c r="L6332" s="215"/>
      <c r="M6332" s="30"/>
      <c r="N6332" s="53"/>
      <c r="O6332" s="43"/>
      <c r="P6332" s="36" t="str">
        <f t="shared" si="616"/>
        <v/>
      </c>
      <c r="Q6332" s="216" t="str">
        <f t="shared" si="617"/>
        <v/>
      </c>
      <c r="R6332" s="216" t="str">
        <f t="shared" si="618"/>
        <v/>
      </c>
      <c r="S6332" s="217" t="str">
        <f t="shared" si="619"/>
        <v/>
      </c>
    </row>
    <row r="6333" spans="1:19" ht="15.75" hidden="1" thickBot="1" x14ac:dyDescent="0.3">
      <c r="A6333" s="256" t="s">
        <v>5400</v>
      </c>
      <c r="B6333" s="259" t="str">
        <f>INDEX(Orçamentária!A:B,MATCH(Composições!A6333,Orçamentária!A:A,0),2)</f>
        <v>Canaleta de concreto armado 30 cm x 30 cm com tampa</v>
      </c>
      <c r="C6333" s="40"/>
      <c r="D6333" s="25" t="s">
        <v>69</v>
      </c>
      <c r="E6333" s="26"/>
      <c r="F6333" s="48" t="s">
        <v>416</v>
      </c>
      <c r="G6333" s="27" t="str">
        <f t="shared" ref="G6333:G6341" si="628">IF(ISNUMBER(F6333),E6333*F6333,"")</f>
        <v/>
      </c>
      <c r="H6333" s="28"/>
      <c r="I6333" s="29"/>
      <c r="J6333" s="152">
        <v>0</v>
      </c>
      <c r="L6333" s="218"/>
      <c r="M6333" s="48"/>
      <c r="N6333" s="27" t="str">
        <f t="shared" ref="N6333:N6341" si="629">IF(ISNUMBER(M6333),L6333*M6333,"")</f>
        <v/>
      </c>
      <c r="O6333" s="28"/>
      <c r="P6333" s="36" t="str">
        <f t="shared" si="616"/>
        <v/>
      </c>
      <c r="Q6333" s="216" t="str">
        <f t="shared" si="617"/>
        <v/>
      </c>
      <c r="R6333" s="216" t="str">
        <f t="shared" si="618"/>
        <v/>
      </c>
      <c r="S6333" s="217" t="str">
        <f t="shared" si="619"/>
        <v/>
      </c>
    </row>
    <row r="6334" spans="1:19" ht="15.75" hidden="1" thickBot="1" x14ac:dyDescent="0.3">
      <c r="A6334" s="257"/>
      <c r="B6334" s="260"/>
      <c r="C6334" s="31"/>
      <c r="D6334" s="31"/>
      <c r="E6334" s="32"/>
      <c r="F6334" s="53" t="s">
        <v>416</v>
      </c>
      <c r="G6334" s="53" t="str">
        <f t="shared" si="628"/>
        <v/>
      </c>
      <c r="H6334" s="72"/>
      <c r="I6334" s="73"/>
      <c r="J6334" s="152">
        <v>0</v>
      </c>
      <c r="L6334" s="219"/>
      <c r="M6334" s="53"/>
      <c r="N6334" s="53" t="str">
        <f t="shared" si="629"/>
        <v/>
      </c>
      <c r="O6334" s="72"/>
      <c r="P6334" s="36" t="str">
        <f t="shared" si="616"/>
        <v/>
      </c>
      <c r="Q6334" s="216" t="str">
        <f t="shared" si="617"/>
        <v/>
      </c>
      <c r="R6334" s="216" t="str">
        <f t="shared" si="618"/>
        <v/>
      </c>
      <c r="S6334" s="217" t="str">
        <f t="shared" si="619"/>
        <v/>
      </c>
    </row>
    <row r="6335" spans="1:19" ht="15.75" hidden="1" thickBot="1" x14ac:dyDescent="0.3">
      <c r="A6335" s="257"/>
      <c r="B6335" s="260"/>
      <c r="C6335" s="35" t="s">
        <v>5574</v>
      </c>
      <c r="D6335" s="35" t="s">
        <v>70</v>
      </c>
      <c r="E6335" s="36">
        <v>3.12</v>
      </c>
      <c r="F6335" s="30">
        <v>0</v>
      </c>
      <c r="G6335" s="53">
        <f t="shared" si="628"/>
        <v>0</v>
      </c>
      <c r="H6335" s="38">
        <f>SUM(G6335:G6341)</f>
        <v>16.902874999999998</v>
      </c>
      <c r="I6335" s="39"/>
      <c r="J6335" s="152">
        <v>0</v>
      </c>
      <c r="L6335" s="215">
        <v>3.12</v>
      </c>
      <c r="M6335" s="30">
        <v>0</v>
      </c>
      <c r="N6335" s="53">
        <f t="shared" si="629"/>
        <v>0</v>
      </c>
      <c r="O6335" s="38">
        <f>SUM(N6335:N6341)</f>
        <v>14.468860999999997</v>
      </c>
      <c r="P6335" s="36" t="str">
        <f t="shared" si="616"/>
        <v/>
      </c>
      <c r="Q6335" s="216" t="e">
        <f t="shared" si="617"/>
        <v>#DIV/0!</v>
      </c>
      <c r="R6335" s="216" t="e">
        <f t="shared" si="618"/>
        <v>#DIV/0!</v>
      </c>
      <c r="S6335" s="217">
        <f t="shared" si="619"/>
        <v>0.14400000000000013</v>
      </c>
    </row>
    <row r="6336" spans="1:19" ht="15.75" hidden="1" thickBot="1" x14ac:dyDescent="0.3">
      <c r="A6336" s="257"/>
      <c r="B6336" s="260"/>
      <c r="C6336" s="35" t="s">
        <v>5575</v>
      </c>
      <c r="D6336" s="35" t="s">
        <v>87</v>
      </c>
      <c r="E6336" s="36">
        <v>0.17299999999999999</v>
      </c>
      <c r="F6336" s="30">
        <v>0</v>
      </c>
      <c r="G6336" s="53">
        <f t="shared" si="628"/>
        <v>0</v>
      </c>
      <c r="H6336" s="43"/>
      <c r="I6336" s="39"/>
      <c r="J6336" s="152">
        <v>0</v>
      </c>
      <c r="L6336" s="215">
        <v>0.17299999999999999</v>
      </c>
      <c r="M6336" s="30">
        <v>0</v>
      </c>
      <c r="N6336" s="53">
        <f t="shared" si="629"/>
        <v>0</v>
      </c>
      <c r="O6336" s="43"/>
      <c r="P6336" s="36" t="str">
        <f t="shared" si="616"/>
        <v/>
      </c>
      <c r="Q6336" s="216" t="e">
        <f t="shared" si="617"/>
        <v>#DIV/0!</v>
      </c>
      <c r="R6336" s="216" t="e">
        <f t="shared" si="618"/>
        <v>#DIV/0!</v>
      </c>
      <c r="S6336" s="217" t="str">
        <f t="shared" si="619"/>
        <v/>
      </c>
    </row>
    <row r="6337" spans="1:19" ht="15.75" hidden="1" thickBot="1" x14ac:dyDescent="0.3">
      <c r="A6337" s="257"/>
      <c r="B6337" s="260"/>
      <c r="C6337" s="35" t="s">
        <v>5576</v>
      </c>
      <c r="D6337" s="35" t="s">
        <v>70</v>
      </c>
      <c r="E6337" s="36">
        <v>2.56</v>
      </c>
      <c r="F6337" s="30">
        <v>0</v>
      </c>
      <c r="G6337" s="53">
        <f t="shared" si="628"/>
        <v>0</v>
      </c>
      <c r="H6337" s="43"/>
      <c r="I6337" s="39"/>
      <c r="J6337" s="152">
        <v>0</v>
      </c>
      <c r="L6337" s="215">
        <v>2.56</v>
      </c>
      <c r="M6337" s="30">
        <v>0</v>
      </c>
      <c r="N6337" s="53">
        <f t="shared" si="629"/>
        <v>0</v>
      </c>
      <c r="O6337" s="43"/>
      <c r="P6337" s="36" t="str">
        <f t="shared" si="616"/>
        <v/>
      </c>
      <c r="Q6337" s="216" t="e">
        <f t="shared" si="617"/>
        <v>#DIV/0!</v>
      </c>
      <c r="R6337" s="216" t="e">
        <f t="shared" si="618"/>
        <v>#DIV/0!</v>
      </c>
      <c r="S6337" s="217" t="str">
        <f t="shared" si="619"/>
        <v/>
      </c>
    </row>
    <row r="6338" spans="1:19" ht="15.75" hidden="1" thickBot="1" x14ac:dyDescent="0.3">
      <c r="A6338" s="257"/>
      <c r="B6338" s="260"/>
      <c r="C6338" s="35" t="s">
        <v>5577</v>
      </c>
      <c r="D6338" s="35" t="s">
        <v>87</v>
      </c>
      <c r="E6338" s="36">
        <v>3.3000000000000002E-2</v>
      </c>
      <c r="F6338" s="30">
        <v>0</v>
      </c>
      <c r="G6338" s="53">
        <f t="shared" si="628"/>
        <v>0</v>
      </c>
      <c r="H6338" s="43"/>
      <c r="I6338" s="39"/>
      <c r="J6338" s="152">
        <v>0</v>
      </c>
      <c r="L6338" s="215">
        <v>3.3000000000000002E-2</v>
      </c>
      <c r="M6338" s="30">
        <v>0</v>
      </c>
      <c r="N6338" s="53">
        <f t="shared" si="629"/>
        <v>0</v>
      </c>
      <c r="O6338" s="43"/>
      <c r="P6338" s="36" t="str">
        <f t="shared" si="616"/>
        <v/>
      </c>
      <c r="Q6338" s="216" t="e">
        <f t="shared" si="617"/>
        <v>#DIV/0!</v>
      </c>
      <c r="R6338" s="216" t="e">
        <f t="shared" si="618"/>
        <v>#DIV/0!</v>
      </c>
      <c r="S6338" s="217" t="str">
        <f t="shared" si="619"/>
        <v/>
      </c>
    </row>
    <row r="6339" spans="1:19" ht="15.75" hidden="1" thickBot="1" x14ac:dyDescent="0.3">
      <c r="A6339" s="257"/>
      <c r="B6339" s="260"/>
      <c r="C6339" s="35" t="s">
        <v>591</v>
      </c>
      <c r="D6339" s="35" t="s">
        <v>583</v>
      </c>
      <c r="E6339" s="36">
        <v>0.25</v>
      </c>
      <c r="F6339" s="30">
        <v>27.160499999999999</v>
      </c>
      <c r="G6339" s="53">
        <f t="shared" si="628"/>
        <v>6.7901249999999997</v>
      </c>
      <c r="H6339" s="43"/>
      <c r="I6339" s="39"/>
      <c r="J6339" s="152">
        <v>0</v>
      </c>
      <c r="L6339" s="215">
        <v>0.25</v>
      </c>
      <c r="M6339" s="30">
        <v>23.249388</v>
      </c>
      <c r="N6339" s="53">
        <f t="shared" si="629"/>
        <v>5.8123469999999999</v>
      </c>
      <c r="O6339" s="43"/>
      <c r="P6339" s="36" t="str">
        <f t="shared" si="616"/>
        <v/>
      </c>
      <c r="Q6339" s="216">
        <f t="shared" si="617"/>
        <v>0.14400000000000002</v>
      </c>
      <c r="R6339" s="216">
        <f t="shared" si="618"/>
        <v>0.14400000000000002</v>
      </c>
      <c r="S6339" s="217" t="str">
        <f t="shared" si="619"/>
        <v/>
      </c>
    </row>
    <row r="6340" spans="1:19" ht="15.75" hidden="1" thickBot="1" x14ac:dyDescent="0.3">
      <c r="A6340" s="257"/>
      <c r="B6340" s="260"/>
      <c r="C6340" s="35" t="s">
        <v>584</v>
      </c>
      <c r="D6340" s="35" t="s">
        <v>583</v>
      </c>
      <c r="E6340" s="36">
        <v>0.5</v>
      </c>
      <c r="F6340" s="30">
        <v>20.225499999999997</v>
      </c>
      <c r="G6340" s="53">
        <f t="shared" si="628"/>
        <v>10.112749999999998</v>
      </c>
      <c r="H6340" s="43"/>
      <c r="I6340" s="39"/>
      <c r="J6340" s="152">
        <v>0</v>
      </c>
      <c r="L6340" s="215">
        <v>0.5</v>
      </c>
      <c r="M6340" s="30">
        <v>17.313027999999996</v>
      </c>
      <c r="N6340" s="53">
        <f t="shared" si="629"/>
        <v>8.6565139999999978</v>
      </c>
      <c r="O6340" s="43"/>
      <c r="P6340" s="36" t="str">
        <f t="shared" si="616"/>
        <v/>
      </c>
      <c r="Q6340" s="216">
        <f t="shared" si="617"/>
        <v>0.14400000000000013</v>
      </c>
      <c r="R6340" s="216">
        <f t="shared" si="618"/>
        <v>0.14400000000000013</v>
      </c>
      <c r="S6340" s="217" t="str">
        <f t="shared" si="619"/>
        <v/>
      </c>
    </row>
    <row r="6341" spans="1:19" ht="15.75" hidden="1" thickBot="1" x14ac:dyDescent="0.3">
      <c r="A6341" s="257"/>
      <c r="B6341" s="260"/>
      <c r="C6341" s="35" t="s">
        <v>5578</v>
      </c>
      <c r="D6341" s="35" t="s">
        <v>16</v>
      </c>
      <c r="E6341" s="36">
        <v>1.7</v>
      </c>
      <c r="F6341" s="30">
        <v>0</v>
      </c>
      <c r="G6341" s="53">
        <f t="shared" si="628"/>
        <v>0</v>
      </c>
      <c r="H6341" s="43"/>
      <c r="I6341" s="39"/>
      <c r="J6341" s="152">
        <v>0</v>
      </c>
      <c r="L6341" s="215">
        <v>1.7</v>
      </c>
      <c r="M6341" s="30">
        <v>0</v>
      </c>
      <c r="N6341" s="53">
        <f t="shared" si="629"/>
        <v>0</v>
      </c>
      <c r="O6341" s="43"/>
      <c r="P6341" s="36" t="str">
        <f t="shared" si="616"/>
        <v/>
      </c>
      <c r="Q6341" s="216" t="e">
        <f t="shared" si="617"/>
        <v>#DIV/0!</v>
      </c>
      <c r="R6341" s="216" t="e">
        <f t="shared" si="618"/>
        <v>#DIV/0!</v>
      </c>
      <c r="S6341" s="217" t="str">
        <f t="shared" si="619"/>
        <v/>
      </c>
    </row>
    <row r="6342" spans="1:19" ht="15.75" hidden="1" thickBot="1" x14ac:dyDescent="0.3">
      <c r="A6342" s="258"/>
      <c r="B6342" s="261"/>
      <c r="C6342" s="35"/>
      <c r="D6342" s="35"/>
      <c r="E6342" s="36"/>
      <c r="F6342" s="30" t="s">
        <v>416</v>
      </c>
      <c r="G6342" s="53"/>
      <c r="H6342" s="43"/>
      <c r="I6342" s="39"/>
      <c r="J6342" s="152">
        <v>0</v>
      </c>
      <c r="L6342" s="215"/>
      <c r="M6342" s="30"/>
      <c r="N6342" s="53"/>
      <c r="O6342" s="43"/>
      <c r="P6342" s="36" t="str">
        <f t="shared" si="616"/>
        <v/>
      </c>
      <c r="Q6342" s="216" t="str">
        <f t="shared" si="617"/>
        <v/>
      </c>
      <c r="R6342" s="216" t="str">
        <f t="shared" si="618"/>
        <v/>
      </c>
      <c r="S6342" s="217" t="str">
        <f t="shared" si="619"/>
        <v/>
      </c>
    </row>
    <row r="6343" spans="1:19" ht="15.75" hidden="1" thickBot="1" x14ac:dyDescent="0.3">
      <c r="A6343" s="256" t="s">
        <v>5401</v>
      </c>
      <c r="B6343" s="259" t="str">
        <f>INDEX(Orçamentária!A:B,MATCH(Composições!A6343,Orçamentária!A:A,0),2)</f>
        <v>Remoção de árvore, inclusive raiz</v>
      </c>
      <c r="C6343" s="40"/>
      <c r="D6343" s="25" t="s">
        <v>16</v>
      </c>
      <c r="E6343" s="26"/>
      <c r="F6343" s="48" t="s">
        <v>416</v>
      </c>
      <c r="G6343" s="27" t="str">
        <f t="shared" ref="G6343:G6350" si="630">IF(ISNUMBER(F6343),E6343*F6343,"")</f>
        <v/>
      </c>
      <c r="H6343" s="28"/>
      <c r="I6343" s="29"/>
      <c r="J6343" s="152">
        <v>0</v>
      </c>
      <c r="L6343" s="218"/>
      <c r="M6343" s="48"/>
      <c r="N6343" s="27" t="str">
        <f t="shared" ref="N6343:N6350" si="631">IF(ISNUMBER(M6343),L6343*M6343,"")</f>
        <v/>
      </c>
      <c r="O6343" s="28"/>
      <c r="P6343" s="36" t="str">
        <f t="shared" si="616"/>
        <v/>
      </c>
      <c r="Q6343" s="216" t="str">
        <f t="shared" si="617"/>
        <v/>
      </c>
      <c r="R6343" s="216" t="str">
        <f t="shared" si="618"/>
        <v/>
      </c>
      <c r="S6343" s="217" t="str">
        <f t="shared" si="619"/>
        <v/>
      </c>
    </row>
    <row r="6344" spans="1:19" ht="15.75" hidden="1" thickBot="1" x14ac:dyDescent="0.3">
      <c r="A6344" s="257"/>
      <c r="B6344" s="260"/>
      <c r="C6344" s="31"/>
      <c r="D6344" s="31"/>
      <c r="E6344" s="32"/>
      <c r="F6344" s="53" t="s">
        <v>416</v>
      </c>
      <c r="G6344" s="53" t="str">
        <f t="shared" si="630"/>
        <v/>
      </c>
      <c r="H6344" s="72"/>
      <c r="I6344" s="73"/>
      <c r="J6344" s="152">
        <v>0</v>
      </c>
      <c r="L6344" s="219"/>
      <c r="M6344" s="53"/>
      <c r="N6344" s="53" t="str">
        <f t="shared" si="631"/>
        <v/>
      </c>
      <c r="O6344" s="72"/>
      <c r="P6344" s="36" t="str">
        <f t="shared" ref="P6344:P6407" si="632">IF(ISBLANK(L6344),"",IF($E6344&lt;&gt;L6344,"SIM",""))</f>
        <v/>
      </c>
      <c r="Q6344" s="216" t="str">
        <f t="shared" ref="Q6344:Q6407" si="633">IF(M6344="","",1-M6344/$F6344)</f>
        <v/>
      </c>
      <c r="R6344" s="216" t="str">
        <f t="shared" ref="R6344:R6407" si="634">IF(N6344="","",1-N6344/$G6344)</f>
        <v/>
      </c>
      <c r="S6344" s="217" t="str">
        <f t="shared" ref="S6344:S6407" si="635">IF(O6344="","",1-O6344/$H6344)</f>
        <v/>
      </c>
    </row>
    <row r="6345" spans="1:19" ht="15.75" hidden="1" thickBot="1" x14ac:dyDescent="0.3">
      <c r="A6345" s="257"/>
      <c r="B6345" s="260"/>
      <c r="C6345" s="35" t="s">
        <v>584</v>
      </c>
      <c r="D6345" s="35" t="s">
        <v>583</v>
      </c>
      <c r="E6345" s="36">
        <v>1.5444</v>
      </c>
      <c r="F6345" s="30">
        <v>20.225499999999997</v>
      </c>
      <c r="G6345" s="53">
        <f t="shared" si="630"/>
        <v>31.236262199999995</v>
      </c>
      <c r="H6345" s="38">
        <f>SUM(G6345:G6350)</f>
        <v>140.00420940000001</v>
      </c>
      <c r="I6345" s="39"/>
      <c r="J6345" s="152">
        <v>0</v>
      </c>
      <c r="L6345" s="215">
        <v>1.5444</v>
      </c>
      <c r="M6345" s="30">
        <v>17.313027999999996</v>
      </c>
      <c r="N6345" s="53">
        <f t="shared" si="631"/>
        <v>26.738240443199992</v>
      </c>
      <c r="O6345" s="38">
        <f>SUM(N6345:N6350)</f>
        <v>119.84360324639999</v>
      </c>
      <c r="P6345" s="36" t="str">
        <f t="shared" si="632"/>
        <v/>
      </c>
      <c r="Q6345" s="216">
        <f t="shared" si="633"/>
        <v>0.14400000000000013</v>
      </c>
      <c r="R6345" s="216">
        <f t="shared" si="634"/>
        <v>0.14400000000000013</v>
      </c>
      <c r="S6345" s="217">
        <f t="shared" si="635"/>
        <v>0.14400000000000013</v>
      </c>
    </row>
    <row r="6346" spans="1:19" ht="15.75" hidden="1" thickBot="1" x14ac:dyDescent="0.3">
      <c r="A6346" s="257"/>
      <c r="B6346" s="260"/>
      <c r="C6346" s="35" t="s">
        <v>947</v>
      </c>
      <c r="D6346" s="35" t="s">
        <v>583</v>
      </c>
      <c r="E6346" s="36">
        <v>1.5444</v>
      </c>
      <c r="F6346" s="30">
        <v>21.384499999999999</v>
      </c>
      <c r="G6346" s="53">
        <f t="shared" si="630"/>
        <v>33.026221800000002</v>
      </c>
      <c r="H6346" s="43"/>
      <c r="I6346" s="39"/>
      <c r="J6346" s="152">
        <v>0</v>
      </c>
      <c r="L6346" s="215">
        <v>1.5444</v>
      </c>
      <c r="M6346" s="30">
        <v>18.305132</v>
      </c>
      <c r="N6346" s="53">
        <f t="shared" si="631"/>
        <v>28.270445860799999</v>
      </c>
      <c r="O6346" s="43"/>
      <c r="P6346" s="36" t="str">
        <f t="shared" si="632"/>
        <v/>
      </c>
      <c r="Q6346" s="216">
        <f t="shared" si="633"/>
        <v>0.14399999999999991</v>
      </c>
      <c r="R6346" s="216">
        <f t="shared" si="634"/>
        <v>0.14400000000000013</v>
      </c>
      <c r="S6346" s="217" t="str">
        <f t="shared" si="635"/>
        <v/>
      </c>
    </row>
    <row r="6347" spans="1:19" ht="64.5" hidden="1" thickBot="1" x14ac:dyDescent="0.3">
      <c r="A6347" s="257"/>
      <c r="B6347" s="260"/>
      <c r="C6347" s="35" t="s">
        <v>2863</v>
      </c>
      <c r="D6347" s="35" t="s">
        <v>813</v>
      </c>
      <c r="E6347" s="36">
        <v>0.1333</v>
      </c>
      <c r="F6347" s="30">
        <v>134.55799999999999</v>
      </c>
      <c r="G6347" s="53">
        <f t="shared" si="630"/>
        <v>17.936581399999998</v>
      </c>
      <c r="H6347" s="43"/>
      <c r="I6347" s="39"/>
      <c r="J6347" s="152">
        <v>0</v>
      </c>
      <c r="L6347" s="215">
        <v>0.1333</v>
      </c>
      <c r="M6347" s="30">
        <v>115.181648</v>
      </c>
      <c r="N6347" s="53">
        <f t="shared" si="631"/>
        <v>15.3537136784</v>
      </c>
      <c r="O6347" s="43"/>
      <c r="P6347" s="36" t="str">
        <f t="shared" si="632"/>
        <v/>
      </c>
      <c r="Q6347" s="216">
        <f t="shared" si="633"/>
        <v>0.14400000000000002</v>
      </c>
      <c r="R6347" s="216">
        <f t="shared" si="634"/>
        <v>0.14399999999999991</v>
      </c>
      <c r="S6347" s="217" t="str">
        <f t="shared" si="635"/>
        <v/>
      </c>
    </row>
    <row r="6348" spans="1:19" ht="64.5" hidden="1" thickBot="1" x14ac:dyDescent="0.3">
      <c r="A6348" s="257"/>
      <c r="B6348" s="260"/>
      <c r="C6348" s="35" t="s">
        <v>2870</v>
      </c>
      <c r="D6348" s="35" t="s">
        <v>815</v>
      </c>
      <c r="E6348" s="36">
        <v>0.54459999999999997</v>
      </c>
      <c r="F6348" s="30">
        <v>54.34</v>
      </c>
      <c r="G6348" s="53">
        <f t="shared" si="630"/>
        <v>29.593564000000001</v>
      </c>
      <c r="H6348" s="43"/>
      <c r="I6348" s="39"/>
      <c r="J6348" s="152">
        <v>0</v>
      </c>
      <c r="L6348" s="215">
        <v>0.54459999999999997</v>
      </c>
      <c r="M6348" s="30">
        <v>46.515040000000006</v>
      </c>
      <c r="N6348" s="53">
        <f t="shared" si="631"/>
        <v>25.332090784000002</v>
      </c>
      <c r="O6348" s="43"/>
      <c r="P6348" s="36" t="str">
        <f t="shared" si="632"/>
        <v/>
      </c>
      <c r="Q6348" s="216">
        <f t="shared" si="633"/>
        <v>0.14399999999999991</v>
      </c>
      <c r="R6348" s="216">
        <f t="shared" si="634"/>
        <v>0.14399999999999991</v>
      </c>
      <c r="S6348" s="217" t="str">
        <f t="shared" si="635"/>
        <v/>
      </c>
    </row>
    <row r="6349" spans="1:19" ht="15.75" hidden="1" thickBot="1" x14ac:dyDescent="0.3">
      <c r="A6349" s="257"/>
      <c r="B6349" s="260"/>
      <c r="C6349" s="35" t="s">
        <v>584</v>
      </c>
      <c r="D6349" s="35" t="s">
        <v>583</v>
      </c>
      <c r="E6349" s="36">
        <v>0.67800000000000005</v>
      </c>
      <c r="F6349" s="30">
        <v>20.225499999999997</v>
      </c>
      <c r="G6349" s="53">
        <f t="shared" si="630"/>
        <v>13.712888999999999</v>
      </c>
      <c r="H6349" s="43"/>
      <c r="I6349" s="39"/>
      <c r="J6349" s="152">
        <v>0</v>
      </c>
      <c r="L6349" s="215">
        <v>0.67800000000000005</v>
      </c>
      <c r="M6349" s="30">
        <v>17.313027999999996</v>
      </c>
      <c r="N6349" s="53">
        <f t="shared" si="631"/>
        <v>11.738232983999998</v>
      </c>
      <c r="O6349" s="43"/>
      <c r="P6349" s="36" t="str">
        <f t="shared" si="632"/>
        <v/>
      </c>
      <c r="Q6349" s="216">
        <f t="shared" si="633"/>
        <v>0.14400000000000013</v>
      </c>
      <c r="R6349" s="216">
        <f t="shared" si="634"/>
        <v>0.14400000000000013</v>
      </c>
      <c r="S6349" s="217" t="str">
        <f t="shared" si="635"/>
        <v/>
      </c>
    </row>
    <row r="6350" spans="1:19" ht="15.75" hidden="1" thickBot="1" x14ac:dyDescent="0.3">
      <c r="A6350" s="257"/>
      <c r="B6350" s="260"/>
      <c r="C6350" s="35" t="s">
        <v>947</v>
      </c>
      <c r="D6350" s="35" t="s">
        <v>583</v>
      </c>
      <c r="E6350" s="36">
        <v>0.67800000000000005</v>
      </c>
      <c r="F6350" s="30">
        <v>21.384499999999999</v>
      </c>
      <c r="G6350" s="53">
        <f t="shared" si="630"/>
        <v>14.498691000000001</v>
      </c>
      <c r="H6350" s="43"/>
      <c r="I6350" s="39"/>
      <c r="J6350" s="152">
        <v>0</v>
      </c>
      <c r="L6350" s="215">
        <v>0.67800000000000005</v>
      </c>
      <c r="M6350" s="30">
        <v>18.305132</v>
      </c>
      <c r="N6350" s="53">
        <f t="shared" si="631"/>
        <v>12.410879496000002</v>
      </c>
      <c r="O6350" s="43"/>
      <c r="P6350" s="36" t="str">
        <f t="shared" si="632"/>
        <v/>
      </c>
      <c r="Q6350" s="216">
        <f t="shared" si="633"/>
        <v>0.14399999999999991</v>
      </c>
      <c r="R6350" s="216">
        <f t="shared" si="634"/>
        <v>0.14399999999999991</v>
      </c>
      <c r="S6350" s="217" t="str">
        <f t="shared" si="635"/>
        <v/>
      </c>
    </row>
    <row r="6351" spans="1:19" ht="15.75" hidden="1" thickBot="1" x14ac:dyDescent="0.3">
      <c r="A6351" s="258"/>
      <c r="B6351" s="261"/>
      <c r="C6351" s="35"/>
      <c r="D6351" s="35"/>
      <c r="E6351" s="36"/>
      <c r="F6351" s="30" t="s">
        <v>416</v>
      </c>
      <c r="G6351" s="53"/>
      <c r="H6351" s="43"/>
      <c r="I6351" s="39"/>
      <c r="J6351" s="152">
        <v>0</v>
      </c>
      <c r="L6351" s="215"/>
      <c r="M6351" s="30"/>
      <c r="N6351" s="53"/>
      <c r="O6351" s="43"/>
      <c r="P6351" s="36" t="str">
        <f t="shared" si="632"/>
        <v/>
      </c>
      <c r="Q6351" s="216" t="str">
        <f t="shared" si="633"/>
        <v/>
      </c>
      <c r="R6351" s="216" t="str">
        <f t="shared" si="634"/>
        <v/>
      </c>
      <c r="S6351" s="217" t="str">
        <f t="shared" si="635"/>
        <v/>
      </c>
    </row>
    <row r="6352" spans="1:19" ht="15.75" hidden="1" thickBot="1" x14ac:dyDescent="0.3">
      <c r="A6352" s="256" t="s">
        <v>5402</v>
      </c>
      <c r="B6352" s="259" t="str">
        <f>INDEX(Orçamentária!A:B,MATCH(Composições!A6352,Orçamentária!A:A,0),2)</f>
        <v>Demolição de telhas</v>
      </c>
      <c r="C6352" s="40"/>
      <c r="D6352" s="25" t="s">
        <v>70</v>
      </c>
      <c r="E6352" s="26"/>
      <c r="F6352" s="48" t="s">
        <v>416</v>
      </c>
      <c r="G6352" s="27" t="str">
        <f>IF(ISNUMBER(F6352),E6352*F6352,"")</f>
        <v/>
      </c>
      <c r="H6352" s="28"/>
      <c r="I6352" s="29"/>
      <c r="J6352" s="152">
        <v>0</v>
      </c>
      <c r="L6352" s="218"/>
      <c r="M6352" s="48"/>
      <c r="N6352" s="27" t="str">
        <f>IF(ISNUMBER(M6352),L6352*M6352,"")</f>
        <v/>
      </c>
      <c r="O6352" s="28"/>
      <c r="P6352" s="36" t="str">
        <f t="shared" si="632"/>
        <v/>
      </c>
      <c r="Q6352" s="216" t="str">
        <f t="shared" si="633"/>
        <v/>
      </c>
      <c r="R6352" s="216" t="str">
        <f t="shared" si="634"/>
        <v/>
      </c>
      <c r="S6352" s="217" t="str">
        <f t="shared" si="635"/>
        <v/>
      </c>
    </row>
    <row r="6353" spans="1:19" ht="15.75" hidden="1" thickBot="1" x14ac:dyDescent="0.3">
      <c r="A6353" s="257"/>
      <c r="B6353" s="260"/>
      <c r="C6353" s="31"/>
      <c r="D6353" s="31"/>
      <c r="E6353" s="32"/>
      <c r="F6353" s="53" t="s">
        <v>416</v>
      </c>
      <c r="G6353" s="53" t="str">
        <f>IF(ISNUMBER(F6353),E6353*F6353,"")</f>
        <v/>
      </c>
      <c r="H6353" s="72"/>
      <c r="I6353" s="73"/>
      <c r="J6353" s="152">
        <v>0</v>
      </c>
      <c r="L6353" s="219"/>
      <c r="M6353" s="53"/>
      <c r="N6353" s="53" t="str">
        <f>IF(ISNUMBER(M6353),L6353*M6353,"")</f>
        <v/>
      </c>
      <c r="O6353" s="72"/>
      <c r="P6353" s="36" t="str">
        <f t="shared" si="632"/>
        <v/>
      </c>
      <c r="Q6353" s="216" t="str">
        <f t="shared" si="633"/>
        <v/>
      </c>
      <c r="R6353" s="216" t="str">
        <f t="shared" si="634"/>
        <v/>
      </c>
      <c r="S6353" s="217" t="str">
        <f t="shared" si="635"/>
        <v/>
      </c>
    </row>
    <row r="6354" spans="1:19" ht="15.75" hidden="1" thickBot="1" x14ac:dyDescent="0.3">
      <c r="A6354" s="257"/>
      <c r="B6354" s="260"/>
      <c r="C6354" s="35" t="s">
        <v>584</v>
      </c>
      <c r="D6354" s="35" t="s">
        <v>583</v>
      </c>
      <c r="E6354" s="36">
        <v>9.7100000000000006E-2</v>
      </c>
      <c r="F6354" s="30">
        <v>20.225499999999997</v>
      </c>
      <c r="G6354" s="53">
        <f>IF(ISNUMBER(F6354),E6354*F6354,"")</f>
        <v>1.9638960499999998</v>
      </c>
      <c r="H6354" s="38">
        <f>SUM(G6354:G6355)</f>
        <v>3.2755895499999994</v>
      </c>
      <c r="I6354" s="39"/>
      <c r="J6354" s="152">
        <v>0</v>
      </c>
      <c r="L6354" s="215">
        <v>9.7100000000000006E-2</v>
      </c>
      <c r="M6354" s="30">
        <v>17.313027999999996</v>
      </c>
      <c r="N6354" s="53">
        <f>IF(ISNUMBER(M6354),L6354*M6354,"")</f>
        <v>1.6810950187999998</v>
      </c>
      <c r="O6354" s="38">
        <f>SUM(N6354:N6355)</f>
        <v>2.8039046547999997</v>
      </c>
      <c r="P6354" s="36" t="str">
        <f t="shared" si="632"/>
        <v/>
      </c>
      <c r="Q6354" s="216">
        <f t="shared" si="633"/>
        <v>0.14400000000000013</v>
      </c>
      <c r="R6354" s="216">
        <f t="shared" si="634"/>
        <v>0.14400000000000002</v>
      </c>
      <c r="S6354" s="217">
        <f t="shared" si="635"/>
        <v>0.14399999999999991</v>
      </c>
    </row>
    <row r="6355" spans="1:19" ht="15.75" hidden="1" thickBot="1" x14ac:dyDescent="0.3">
      <c r="A6355" s="257"/>
      <c r="B6355" s="260"/>
      <c r="C6355" s="35" t="s">
        <v>1156</v>
      </c>
      <c r="D6355" s="35" t="s">
        <v>583</v>
      </c>
      <c r="E6355" s="36">
        <v>4.9399999999999999E-2</v>
      </c>
      <c r="F6355" s="30">
        <v>26.552499999999998</v>
      </c>
      <c r="G6355" s="53">
        <f>IF(ISNUMBER(F6355),E6355*F6355,"")</f>
        <v>1.3116934999999998</v>
      </c>
      <c r="H6355" s="43"/>
      <c r="I6355" s="39"/>
      <c r="J6355" s="152">
        <v>0</v>
      </c>
      <c r="L6355" s="215">
        <v>4.9399999999999999E-2</v>
      </c>
      <c r="M6355" s="30">
        <v>22.728939999999998</v>
      </c>
      <c r="N6355" s="53">
        <f>IF(ISNUMBER(M6355),L6355*M6355,"")</f>
        <v>1.1228096359999999</v>
      </c>
      <c r="O6355" s="43"/>
      <c r="P6355" s="36" t="str">
        <f t="shared" si="632"/>
        <v/>
      </c>
      <c r="Q6355" s="216">
        <f t="shared" si="633"/>
        <v>0.14400000000000002</v>
      </c>
      <c r="R6355" s="216">
        <f t="shared" si="634"/>
        <v>0.14399999999999991</v>
      </c>
      <c r="S6355" s="217" t="str">
        <f t="shared" si="635"/>
        <v/>
      </c>
    </row>
    <row r="6356" spans="1:19" ht="15.75" hidden="1" thickBot="1" x14ac:dyDescent="0.3">
      <c r="A6356" s="258"/>
      <c r="B6356" s="261"/>
      <c r="C6356" s="35"/>
      <c r="D6356" s="35"/>
      <c r="E6356" s="36"/>
      <c r="F6356" s="30" t="s">
        <v>416</v>
      </c>
      <c r="G6356" s="53"/>
      <c r="H6356" s="43"/>
      <c r="I6356" s="39"/>
      <c r="J6356" s="152">
        <v>0</v>
      </c>
      <c r="L6356" s="215"/>
      <c r="M6356" s="30"/>
      <c r="N6356" s="53"/>
      <c r="O6356" s="43"/>
      <c r="P6356" s="36" t="str">
        <f t="shared" si="632"/>
        <v/>
      </c>
      <c r="Q6356" s="216" t="str">
        <f t="shared" si="633"/>
        <v/>
      </c>
      <c r="R6356" s="216" t="str">
        <f t="shared" si="634"/>
        <v/>
      </c>
      <c r="S6356" s="217" t="str">
        <f t="shared" si="635"/>
        <v/>
      </c>
    </row>
    <row r="6357" spans="1:19" ht="15.75" hidden="1" thickBot="1" x14ac:dyDescent="0.3">
      <c r="A6357" s="256" t="s">
        <v>5403</v>
      </c>
      <c r="B6357" s="259" t="str">
        <f>INDEX(Orçamentária!A:B,MATCH(Composições!A6357,Orçamentária!A:A,0),2)</f>
        <v>Locação de obra</v>
      </c>
      <c r="C6357" s="40"/>
      <c r="D6357" s="25" t="s">
        <v>69</v>
      </c>
      <c r="E6357" s="26"/>
      <c r="F6357" s="48" t="s">
        <v>416</v>
      </c>
      <c r="G6357" s="27" t="str">
        <f t="shared" ref="G6357:G6369" si="636">IF(ISNUMBER(F6357),E6357*F6357,"")</f>
        <v/>
      </c>
      <c r="H6357" s="28"/>
      <c r="I6357" s="29"/>
      <c r="J6357" s="152">
        <v>0</v>
      </c>
      <c r="L6357" s="218"/>
      <c r="M6357" s="48"/>
      <c r="N6357" s="27" t="str">
        <f t="shared" ref="N6357:N6369" si="637">IF(ISNUMBER(M6357),L6357*M6357,"")</f>
        <v/>
      </c>
      <c r="O6357" s="28"/>
      <c r="P6357" s="36" t="str">
        <f t="shared" si="632"/>
        <v/>
      </c>
      <c r="Q6357" s="216" t="str">
        <f t="shared" si="633"/>
        <v/>
      </c>
      <c r="R6357" s="216" t="str">
        <f t="shared" si="634"/>
        <v/>
      </c>
      <c r="S6357" s="217" t="str">
        <f t="shared" si="635"/>
        <v/>
      </c>
    </row>
    <row r="6358" spans="1:19" ht="15.75" hidden="1" thickBot="1" x14ac:dyDescent="0.3">
      <c r="A6358" s="257"/>
      <c r="B6358" s="260"/>
      <c r="C6358" s="31"/>
      <c r="D6358" s="31"/>
      <c r="E6358" s="32"/>
      <c r="F6358" s="53" t="s">
        <v>416</v>
      </c>
      <c r="G6358" s="53" t="str">
        <f t="shared" si="636"/>
        <v/>
      </c>
      <c r="H6358" s="72"/>
      <c r="I6358" s="73"/>
      <c r="J6358" s="152">
        <v>0</v>
      </c>
      <c r="L6358" s="219"/>
      <c r="M6358" s="53"/>
      <c r="N6358" s="53" t="str">
        <f t="shared" si="637"/>
        <v/>
      </c>
      <c r="O6358" s="72"/>
      <c r="P6358" s="36" t="str">
        <f t="shared" si="632"/>
        <v/>
      </c>
      <c r="Q6358" s="216" t="str">
        <f t="shared" si="633"/>
        <v/>
      </c>
      <c r="R6358" s="216" t="str">
        <f t="shared" si="634"/>
        <v/>
      </c>
      <c r="S6358" s="217" t="str">
        <f t="shared" si="635"/>
        <v/>
      </c>
    </row>
    <row r="6359" spans="1:19" ht="26.25" hidden="1" thickBot="1" x14ac:dyDescent="0.3">
      <c r="A6359" s="257"/>
      <c r="B6359" s="260"/>
      <c r="C6359" s="35" t="s">
        <v>8542</v>
      </c>
      <c r="D6359" s="35" t="s">
        <v>385</v>
      </c>
      <c r="E6359" s="36">
        <v>0.74450000000000005</v>
      </c>
      <c r="F6359" s="30">
        <v>9.0060000000000002</v>
      </c>
      <c r="G6359" s="53">
        <f t="shared" si="636"/>
        <v>6.7049670000000008</v>
      </c>
      <c r="H6359" s="38">
        <f>SUM(G6359:G6369)</f>
        <v>62.029490244548761</v>
      </c>
      <c r="I6359" s="39"/>
      <c r="J6359" s="152">
        <v>0</v>
      </c>
      <c r="L6359" s="215">
        <v>0.74450000000000005</v>
      </c>
      <c r="M6359" s="30">
        <v>7.709136</v>
      </c>
      <c r="N6359" s="53">
        <f t="shared" si="637"/>
        <v>5.7394517520000008</v>
      </c>
      <c r="O6359" s="38">
        <f>SUM(N6359:N6369)</f>
        <v>53.097243649333734</v>
      </c>
      <c r="P6359" s="36" t="str">
        <f t="shared" si="632"/>
        <v/>
      </c>
      <c r="Q6359" s="216">
        <f t="shared" si="633"/>
        <v>0.14400000000000002</v>
      </c>
      <c r="R6359" s="216">
        <f t="shared" si="634"/>
        <v>0.14400000000000002</v>
      </c>
      <c r="S6359" s="217">
        <f t="shared" si="635"/>
        <v>0.14400000000000013</v>
      </c>
    </row>
    <row r="6360" spans="1:19" ht="26.25" hidden="1" thickBot="1" x14ac:dyDescent="0.3">
      <c r="A6360" s="257"/>
      <c r="B6360" s="260"/>
      <c r="C6360" s="35" t="s">
        <v>8030</v>
      </c>
      <c r="D6360" s="35" t="s">
        <v>385</v>
      </c>
      <c r="E6360" s="36">
        <v>0.41249999999999998</v>
      </c>
      <c r="F6360" s="30">
        <v>32.375999999999998</v>
      </c>
      <c r="G6360" s="53">
        <f t="shared" si="636"/>
        <v>13.355099999999998</v>
      </c>
      <c r="H6360" s="43"/>
      <c r="I6360" s="39"/>
      <c r="J6360" s="152">
        <v>0</v>
      </c>
      <c r="L6360" s="215">
        <v>0.41249999999999998</v>
      </c>
      <c r="M6360" s="30">
        <v>27.713856</v>
      </c>
      <c r="N6360" s="53">
        <f t="shared" si="637"/>
        <v>11.4319656</v>
      </c>
      <c r="O6360" s="43"/>
      <c r="P6360" s="36" t="str">
        <f t="shared" si="632"/>
        <v/>
      </c>
      <c r="Q6360" s="216">
        <f t="shared" si="633"/>
        <v>0.14399999999999991</v>
      </c>
      <c r="R6360" s="216">
        <f t="shared" si="634"/>
        <v>0.14399999999999991</v>
      </c>
      <c r="S6360" s="217" t="str">
        <f t="shared" si="635"/>
        <v/>
      </c>
    </row>
    <row r="6361" spans="1:19" ht="15.75" hidden="1" thickBot="1" x14ac:dyDescent="0.3">
      <c r="A6361" s="257"/>
      <c r="B6361" s="260"/>
      <c r="C6361" s="35" t="s">
        <v>1219</v>
      </c>
      <c r="D6361" s="35" t="s">
        <v>773</v>
      </c>
      <c r="E6361" s="36">
        <v>0.111</v>
      </c>
      <c r="F6361" s="30">
        <v>21.602999999999998</v>
      </c>
      <c r="G6361" s="53">
        <f t="shared" si="636"/>
        <v>2.3979329999999996</v>
      </c>
      <c r="H6361" s="43"/>
      <c r="I6361" s="39"/>
      <c r="J6361" s="152">
        <v>0</v>
      </c>
      <c r="L6361" s="215">
        <v>0.111</v>
      </c>
      <c r="M6361" s="30">
        <v>18.492167999999999</v>
      </c>
      <c r="N6361" s="53">
        <f t="shared" si="637"/>
        <v>2.0526306480000001</v>
      </c>
      <c r="O6361" s="43"/>
      <c r="P6361" s="36" t="str">
        <f t="shared" si="632"/>
        <v/>
      </c>
      <c r="Q6361" s="216">
        <f t="shared" si="633"/>
        <v>0.14399999999999991</v>
      </c>
      <c r="R6361" s="216">
        <f t="shared" si="634"/>
        <v>0.14399999999999991</v>
      </c>
      <c r="S6361" s="217" t="str">
        <f t="shared" si="635"/>
        <v/>
      </c>
    </row>
    <row r="6362" spans="1:19" ht="15.75" hidden="1" thickBot="1" x14ac:dyDescent="0.3">
      <c r="A6362" s="257"/>
      <c r="B6362" s="260"/>
      <c r="C6362" s="35" t="s">
        <v>8442</v>
      </c>
      <c r="D6362" s="35" t="s">
        <v>75</v>
      </c>
      <c r="E6362" s="36">
        <v>2.5600000000000001E-2</v>
      </c>
      <c r="F6362" s="30">
        <v>27.388499999999997</v>
      </c>
      <c r="G6362" s="53">
        <f t="shared" si="636"/>
        <v>0.70114559999999992</v>
      </c>
      <c r="H6362" s="43"/>
      <c r="I6362" s="39"/>
      <c r="J6362" s="152">
        <v>0</v>
      </c>
      <c r="L6362" s="215">
        <v>2.5600000000000001E-2</v>
      </c>
      <c r="M6362" s="30">
        <v>23.444555999999999</v>
      </c>
      <c r="N6362" s="53">
        <f t="shared" si="637"/>
        <v>0.60018063359999996</v>
      </c>
      <c r="O6362" s="43"/>
      <c r="P6362" s="36" t="str">
        <f t="shared" si="632"/>
        <v/>
      </c>
      <c r="Q6362" s="216">
        <f t="shared" si="633"/>
        <v>0.14399999999999991</v>
      </c>
      <c r="R6362" s="216">
        <f t="shared" si="634"/>
        <v>0.14400000000000002</v>
      </c>
      <c r="S6362" s="217" t="str">
        <f t="shared" si="635"/>
        <v/>
      </c>
    </row>
    <row r="6363" spans="1:19" ht="26.25" hidden="1" thickBot="1" x14ac:dyDescent="0.3">
      <c r="A6363" s="257"/>
      <c r="B6363" s="260"/>
      <c r="C6363" s="35" t="s">
        <v>8379</v>
      </c>
      <c r="D6363" s="35" t="s">
        <v>385</v>
      </c>
      <c r="E6363" s="36">
        <v>0.55000000000000004</v>
      </c>
      <c r="F6363" s="30">
        <v>9.2530000000000001</v>
      </c>
      <c r="G6363" s="53">
        <f t="shared" si="636"/>
        <v>5.0891500000000001</v>
      </c>
      <c r="H6363" s="43"/>
      <c r="I6363" s="39"/>
      <c r="J6363" s="152">
        <v>0</v>
      </c>
      <c r="L6363" s="215">
        <v>0.55000000000000004</v>
      </c>
      <c r="M6363" s="30">
        <v>7.9205680000000003</v>
      </c>
      <c r="N6363" s="53">
        <f t="shared" si="637"/>
        <v>4.3563124000000002</v>
      </c>
      <c r="O6363" s="43"/>
      <c r="P6363" s="36" t="str">
        <f t="shared" si="632"/>
        <v/>
      </c>
      <c r="Q6363" s="216">
        <f t="shared" si="633"/>
        <v>0.14400000000000002</v>
      </c>
      <c r="R6363" s="216">
        <f t="shared" si="634"/>
        <v>0.14400000000000002</v>
      </c>
      <c r="S6363" s="217" t="str">
        <f t="shared" si="635"/>
        <v/>
      </c>
    </row>
    <row r="6364" spans="1:19" ht="15.75" hidden="1" thickBot="1" x14ac:dyDescent="0.3">
      <c r="A6364" s="257"/>
      <c r="B6364" s="260"/>
      <c r="C6364" s="35" t="s">
        <v>660</v>
      </c>
      <c r="D6364" s="35" t="s">
        <v>583</v>
      </c>
      <c r="E6364" s="36">
        <v>0.35630000000000001</v>
      </c>
      <c r="F6364" s="30">
        <v>21.337</v>
      </c>
      <c r="G6364" s="53">
        <f t="shared" si="636"/>
        <v>7.6023731000000003</v>
      </c>
      <c r="H6364" s="43"/>
      <c r="I6364" s="39"/>
      <c r="J6364" s="152">
        <v>0</v>
      </c>
      <c r="L6364" s="215">
        <v>0.35630000000000001</v>
      </c>
      <c r="M6364" s="30">
        <v>18.264472000000001</v>
      </c>
      <c r="N6364" s="53">
        <f t="shared" si="637"/>
        <v>6.5076313736000007</v>
      </c>
      <c r="O6364" s="43"/>
      <c r="P6364" s="36" t="str">
        <f t="shared" si="632"/>
        <v/>
      </c>
      <c r="Q6364" s="216">
        <f t="shared" si="633"/>
        <v>0.14399999999999991</v>
      </c>
      <c r="R6364" s="216">
        <f t="shared" si="634"/>
        <v>0.14399999999999991</v>
      </c>
      <c r="S6364" s="217" t="str">
        <f t="shared" si="635"/>
        <v/>
      </c>
    </row>
    <row r="6365" spans="1:19" ht="15.75" hidden="1" thickBot="1" x14ac:dyDescent="0.3">
      <c r="A6365" s="257"/>
      <c r="B6365" s="260"/>
      <c r="C6365" s="35" t="s">
        <v>862</v>
      </c>
      <c r="D6365" s="35" t="s">
        <v>583</v>
      </c>
      <c r="E6365" s="36">
        <v>0.71250000000000002</v>
      </c>
      <c r="F6365" s="30">
        <v>26.799499999999998</v>
      </c>
      <c r="G6365" s="53">
        <f t="shared" si="636"/>
        <v>19.094643749999999</v>
      </c>
      <c r="H6365" s="43"/>
      <c r="I6365" s="39"/>
      <c r="J6365" s="152">
        <v>0</v>
      </c>
      <c r="L6365" s="215">
        <v>0.71250000000000002</v>
      </c>
      <c r="M6365" s="30">
        <v>22.940372</v>
      </c>
      <c r="N6365" s="53">
        <f t="shared" si="637"/>
        <v>16.345015050000001</v>
      </c>
      <c r="O6365" s="43"/>
      <c r="P6365" s="36" t="str">
        <f t="shared" si="632"/>
        <v/>
      </c>
      <c r="Q6365" s="216">
        <f t="shared" si="633"/>
        <v>0.14399999999999991</v>
      </c>
      <c r="R6365" s="216">
        <f t="shared" si="634"/>
        <v>0.14399999999999991</v>
      </c>
      <c r="S6365" s="217" t="str">
        <f t="shared" si="635"/>
        <v/>
      </c>
    </row>
    <row r="6366" spans="1:19" ht="26.25" hidden="1" thickBot="1" x14ac:dyDescent="0.3">
      <c r="A6366" s="257"/>
      <c r="B6366" s="260"/>
      <c r="C6366" s="35" t="s">
        <v>1013</v>
      </c>
      <c r="D6366" s="35" t="s">
        <v>813</v>
      </c>
      <c r="E6366" s="36">
        <v>3.8999999999999998E-3</v>
      </c>
      <c r="F6366" s="30">
        <v>22.210999999999999</v>
      </c>
      <c r="G6366" s="53">
        <f t="shared" si="636"/>
        <v>8.6622899999999989E-2</v>
      </c>
      <c r="H6366" s="43"/>
      <c r="I6366" s="39"/>
      <c r="J6366" s="152">
        <v>0</v>
      </c>
      <c r="L6366" s="215">
        <v>3.8999999999999998E-3</v>
      </c>
      <c r="M6366" s="30">
        <v>19.012615999999998</v>
      </c>
      <c r="N6366" s="53">
        <f t="shared" si="637"/>
        <v>7.4149202399999989E-2</v>
      </c>
      <c r="O6366" s="43"/>
      <c r="P6366" s="36" t="str">
        <f t="shared" si="632"/>
        <v/>
      </c>
      <c r="Q6366" s="216">
        <f t="shared" si="633"/>
        <v>0.14400000000000002</v>
      </c>
      <c r="R6366" s="216">
        <f t="shared" si="634"/>
        <v>0.14400000000000002</v>
      </c>
      <c r="S6366" s="217" t="str">
        <f t="shared" si="635"/>
        <v/>
      </c>
    </row>
    <row r="6367" spans="1:19" ht="26.25" hidden="1" thickBot="1" x14ac:dyDescent="0.3">
      <c r="A6367" s="257"/>
      <c r="B6367" s="260"/>
      <c r="C6367" s="35" t="s">
        <v>1014</v>
      </c>
      <c r="D6367" s="35" t="s">
        <v>815</v>
      </c>
      <c r="E6367" s="36">
        <v>1.6799999999999999E-2</v>
      </c>
      <c r="F6367" s="30">
        <v>21.2895</v>
      </c>
      <c r="G6367" s="53">
        <f t="shared" si="636"/>
        <v>0.35766359999999997</v>
      </c>
      <c r="H6367" s="43"/>
      <c r="I6367" s="39"/>
      <c r="J6367" s="152">
        <v>0</v>
      </c>
      <c r="L6367" s="215">
        <v>1.6799999999999999E-2</v>
      </c>
      <c r="M6367" s="30">
        <v>18.223812000000002</v>
      </c>
      <c r="N6367" s="53">
        <f t="shared" si="637"/>
        <v>0.30616004160000004</v>
      </c>
      <c r="O6367" s="43"/>
      <c r="P6367" s="36" t="str">
        <f t="shared" si="632"/>
        <v/>
      </c>
      <c r="Q6367" s="216">
        <f t="shared" si="633"/>
        <v>0.14399999999999991</v>
      </c>
      <c r="R6367" s="216">
        <f t="shared" si="634"/>
        <v>0.14399999999999979</v>
      </c>
      <c r="S6367" s="217" t="str">
        <f t="shared" si="635"/>
        <v/>
      </c>
    </row>
    <row r="6368" spans="1:19" ht="39" hidden="1" thickBot="1" x14ac:dyDescent="0.3">
      <c r="A6368" s="257"/>
      <c r="B6368" s="260"/>
      <c r="C6368" s="35" t="s">
        <v>5740</v>
      </c>
      <c r="D6368" s="35" t="s">
        <v>87</v>
      </c>
      <c r="E6368" s="36">
        <v>4.5999999999999999E-3</v>
      </c>
      <c r="F6368" s="30">
        <v>631.10580859755498</v>
      </c>
      <c r="G6368" s="53">
        <f t="shared" si="636"/>
        <v>2.9030867195487531</v>
      </c>
      <c r="H6368" s="43"/>
      <c r="I6368" s="39"/>
      <c r="J6368" s="152">
        <v>0</v>
      </c>
      <c r="L6368" s="215">
        <v>4.5999999999999999E-3</v>
      </c>
      <c r="M6368" s="30">
        <v>540.2265721595071</v>
      </c>
      <c r="N6368" s="53">
        <f t="shared" si="637"/>
        <v>2.4850422319337326</v>
      </c>
      <c r="O6368" s="43"/>
      <c r="P6368" s="36" t="str">
        <f t="shared" si="632"/>
        <v/>
      </c>
      <c r="Q6368" s="216">
        <f t="shared" si="633"/>
        <v>0.14399999999999991</v>
      </c>
      <c r="R6368" s="216">
        <f t="shared" si="634"/>
        <v>0.14400000000000002</v>
      </c>
      <c r="S6368" s="217" t="str">
        <f t="shared" si="635"/>
        <v/>
      </c>
    </row>
    <row r="6369" spans="1:19" ht="15.75" hidden="1" thickBot="1" x14ac:dyDescent="0.3">
      <c r="A6369" s="257"/>
      <c r="B6369" s="260"/>
      <c r="C6369" s="35" t="s">
        <v>2900</v>
      </c>
      <c r="D6369" s="35" t="s">
        <v>213</v>
      </c>
      <c r="E6369" s="36">
        <v>1.5</v>
      </c>
      <c r="F6369" s="30">
        <v>2.4912030499999998</v>
      </c>
      <c r="G6369" s="53">
        <f t="shared" si="636"/>
        <v>3.7368045749999999</v>
      </c>
      <c r="H6369" s="43"/>
      <c r="I6369" s="39"/>
      <c r="J6369" s="152">
        <v>0</v>
      </c>
      <c r="L6369" s="215">
        <v>1.5</v>
      </c>
      <c r="M6369" s="30">
        <v>2.1324698108</v>
      </c>
      <c r="N6369" s="53">
        <f t="shared" si="637"/>
        <v>3.1987047162</v>
      </c>
      <c r="O6369" s="43"/>
      <c r="P6369" s="36" t="str">
        <f t="shared" si="632"/>
        <v/>
      </c>
      <c r="Q6369" s="216">
        <f t="shared" si="633"/>
        <v>0.14399999999999991</v>
      </c>
      <c r="R6369" s="216">
        <f t="shared" si="634"/>
        <v>0.14400000000000002</v>
      </c>
      <c r="S6369" s="217" t="str">
        <f t="shared" si="635"/>
        <v/>
      </c>
    </row>
    <row r="6370" spans="1:19" ht="15.75" hidden="1" thickBot="1" x14ac:dyDescent="0.3">
      <c r="A6370" s="258"/>
      <c r="B6370" s="261"/>
      <c r="C6370" s="35"/>
      <c r="D6370" s="35"/>
      <c r="E6370" s="36"/>
      <c r="F6370" s="30" t="s">
        <v>416</v>
      </c>
      <c r="G6370" s="53"/>
      <c r="H6370" s="43"/>
      <c r="I6370" s="39"/>
      <c r="J6370" s="152">
        <v>0</v>
      </c>
      <c r="L6370" s="215"/>
      <c r="M6370" s="30"/>
      <c r="N6370" s="53"/>
      <c r="O6370" s="43"/>
      <c r="P6370" s="36" t="str">
        <f t="shared" si="632"/>
        <v/>
      </c>
      <c r="Q6370" s="216" t="str">
        <f t="shared" si="633"/>
        <v/>
      </c>
      <c r="R6370" s="216" t="str">
        <f t="shared" si="634"/>
        <v/>
      </c>
      <c r="S6370" s="217" t="str">
        <f t="shared" si="635"/>
        <v/>
      </c>
    </row>
    <row r="6371" spans="1:19" ht="15.75" hidden="1" thickBot="1" x14ac:dyDescent="0.3">
      <c r="A6371" s="256" t="s">
        <v>5404</v>
      </c>
      <c r="B6371" s="259" t="str">
        <f>INDEX(Orçamentária!A:B,MATCH(Composições!A6371,Orçamentária!A:A,0),2)</f>
        <v>Paraciclo metálico para bicicletas</v>
      </c>
      <c r="C6371" s="40"/>
      <c r="D6371" s="25" t="s">
        <v>16</v>
      </c>
      <c r="E6371" s="26"/>
      <c r="F6371" s="48" t="s">
        <v>416</v>
      </c>
      <c r="G6371" s="27" t="str">
        <f t="shared" ref="G6371:G6382" si="638">IF(ISNUMBER(F6371),E6371*F6371,"")</f>
        <v/>
      </c>
      <c r="H6371" s="28"/>
      <c r="I6371" s="29"/>
      <c r="J6371" s="152">
        <v>0</v>
      </c>
      <c r="L6371" s="218"/>
      <c r="M6371" s="48"/>
      <c r="N6371" s="27" t="str">
        <f t="shared" ref="N6371:N6382" si="639">IF(ISNUMBER(M6371),L6371*M6371,"")</f>
        <v/>
      </c>
      <c r="O6371" s="28"/>
      <c r="P6371" s="36" t="str">
        <f t="shared" si="632"/>
        <v/>
      </c>
      <c r="Q6371" s="216" t="str">
        <f t="shared" si="633"/>
        <v/>
      </c>
      <c r="R6371" s="216" t="str">
        <f t="shared" si="634"/>
        <v/>
      </c>
      <c r="S6371" s="217" t="str">
        <f t="shared" si="635"/>
        <v/>
      </c>
    </row>
    <row r="6372" spans="1:19" ht="15.75" hidden="1" thickBot="1" x14ac:dyDescent="0.3">
      <c r="A6372" s="257"/>
      <c r="B6372" s="260"/>
      <c r="C6372" s="31"/>
      <c r="D6372" s="31"/>
      <c r="E6372" s="32"/>
      <c r="F6372" s="53" t="s">
        <v>416</v>
      </c>
      <c r="G6372" s="53" t="str">
        <f t="shared" si="638"/>
        <v/>
      </c>
      <c r="H6372" s="72"/>
      <c r="I6372" s="73"/>
      <c r="J6372" s="152">
        <v>0</v>
      </c>
      <c r="L6372" s="219"/>
      <c r="M6372" s="53"/>
      <c r="N6372" s="53" t="str">
        <f t="shared" si="639"/>
        <v/>
      </c>
      <c r="O6372" s="72"/>
      <c r="P6372" s="36" t="str">
        <f t="shared" si="632"/>
        <v/>
      </c>
      <c r="Q6372" s="216" t="str">
        <f t="shared" si="633"/>
        <v/>
      </c>
      <c r="R6372" s="216" t="str">
        <f t="shared" si="634"/>
        <v/>
      </c>
      <c r="S6372" s="217" t="str">
        <f t="shared" si="635"/>
        <v/>
      </c>
    </row>
    <row r="6373" spans="1:19" ht="26.25" hidden="1" thickBot="1" x14ac:dyDescent="0.3">
      <c r="A6373" s="257"/>
      <c r="B6373" s="260"/>
      <c r="C6373" s="35" t="s">
        <v>5579</v>
      </c>
      <c r="D6373" s="35" t="s">
        <v>213</v>
      </c>
      <c r="E6373" s="36">
        <v>4</v>
      </c>
      <c r="F6373" s="30">
        <v>0</v>
      </c>
      <c r="G6373" s="53">
        <f t="shared" si="638"/>
        <v>0</v>
      </c>
      <c r="H6373" s="38">
        <f>SUM(G6373:G6382)</f>
        <v>270.53158652599996</v>
      </c>
      <c r="I6373" s="39"/>
      <c r="J6373" s="152">
        <v>0</v>
      </c>
      <c r="L6373" s="215">
        <v>4</v>
      </c>
      <c r="M6373" s="30">
        <v>0</v>
      </c>
      <c r="N6373" s="53">
        <f t="shared" si="639"/>
        <v>0</v>
      </c>
      <c r="O6373" s="38">
        <f>SUM(N6373:N6382)</f>
        <v>231.57503806625596</v>
      </c>
      <c r="P6373" s="36" t="str">
        <f t="shared" si="632"/>
        <v/>
      </c>
      <c r="Q6373" s="216" t="e">
        <f t="shared" si="633"/>
        <v>#DIV/0!</v>
      </c>
      <c r="R6373" s="216" t="e">
        <f t="shared" si="634"/>
        <v>#DIV/0!</v>
      </c>
      <c r="S6373" s="217">
        <f t="shared" si="635"/>
        <v>0.14400000000000002</v>
      </c>
    </row>
    <row r="6374" spans="1:19" ht="15.75" hidden="1" thickBot="1" x14ac:dyDescent="0.3">
      <c r="A6374" s="257"/>
      <c r="B6374" s="260"/>
      <c r="C6374" s="35" t="s">
        <v>591</v>
      </c>
      <c r="D6374" s="35" t="s">
        <v>583</v>
      </c>
      <c r="E6374" s="36">
        <v>0.4</v>
      </c>
      <c r="F6374" s="30">
        <v>27.160499999999999</v>
      </c>
      <c r="G6374" s="53">
        <f t="shared" si="638"/>
        <v>10.8642</v>
      </c>
      <c r="H6374" s="43"/>
      <c r="I6374" s="39"/>
      <c r="J6374" s="152">
        <v>0</v>
      </c>
      <c r="L6374" s="215">
        <v>0.4</v>
      </c>
      <c r="M6374" s="30">
        <v>23.249388</v>
      </c>
      <c r="N6374" s="53">
        <f t="shared" si="639"/>
        <v>9.2997551999999999</v>
      </c>
      <c r="O6374" s="43"/>
      <c r="P6374" s="36" t="str">
        <f t="shared" si="632"/>
        <v/>
      </c>
      <c r="Q6374" s="216">
        <f t="shared" si="633"/>
        <v>0.14400000000000002</v>
      </c>
      <c r="R6374" s="216">
        <f t="shared" si="634"/>
        <v>0.14400000000000002</v>
      </c>
      <c r="S6374" s="217" t="str">
        <f t="shared" si="635"/>
        <v/>
      </c>
    </row>
    <row r="6375" spans="1:19" ht="15.75" hidden="1" thickBot="1" x14ac:dyDescent="0.3">
      <c r="A6375" s="257"/>
      <c r="B6375" s="260"/>
      <c r="C6375" s="35" t="s">
        <v>1041</v>
      </c>
      <c r="D6375" s="35" t="s">
        <v>583</v>
      </c>
      <c r="E6375" s="36">
        <v>1.5</v>
      </c>
      <c r="F6375" s="30">
        <v>26.970499999999998</v>
      </c>
      <c r="G6375" s="53">
        <f t="shared" si="638"/>
        <v>40.455749999999995</v>
      </c>
      <c r="H6375" s="43"/>
      <c r="I6375" s="39"/>
      <c r="J6375" s="152">
        <v>0</v>
      </c>
      <c r="L6375" s="215">
        <v>1.5</v>
      </c>
      <c r="M6375" s="30">
        <v>23.086748</v>
      </c>
      <c r="N6375" s="53">
        <f t="shared" si="639"/>
        <v>34.630122</v>
      </c>
      <c r="O6375" s="43"/>
      <c r="P6375" s="36" t="str">
        <f t="shared" si="632"/>
        <v/>
      </c>
      <c r="Q6375" s="216">
        <f t="shared" si="633"/>
        <v>0.14399999999999991</v>
      </c>
      <c r="R6375" s="216">
        <f t="shared" si="634"/>
        <v>0.14399999999999991</v>
      </c>
      <c r="S6375" s="217" t="str">
        <f t="shared" si="635"/>
        <v/>
      </c>
    </row>
    <row r="6376" spans="1:19" ht="15.75" hidden="1" thickBot="1" x14ac:dyDescent="0.3">
      <c r="A6376" s="257"/>
      <c r="B6376" s="260"/>
      <c r="C6376" s="35" t="s">
        <v>584</v>
      </c>
      <c r="D6376" s="35" t="s">
        <v>583</v>
      </c>
      <c r="E6376" s="36">
        <v>0.4</v>
      </c>
      <c r="F6376" s="30">
        <v>20.225499999999997</v>
      </c>
      <c r="G6376" s="53">
        <f t="shared" si="638"/>
        <v>8.0901999999999994</v>
      </c>
      <c r="H6376" s="43"/>
      <c r="I6376" s="39"/>
      <c r="J6376" s="152">
        <v>0</v>
      </c>
      <c r="L6376" s="215">
        <v>0.4</v>
      </c>
      <c r="M6376" s="30">
        <v>17.313027999999996</v>
      </c>
      <c r="N6376" s="53">
        <f t="shared" si="639"/>
        <v>6.9252111999999988</v>
      </c>
      <c r="O6376" s="43"/>
      <c r="P6376" s="36" t="str">
        <f t="shared" si="632"/>
        <v/>
      </c>
      <c r="Q6376" s="216">
        <f t="shared" si="633"/>
        <v>0.14400000000000013</v>
      </c>
      <c r="R6376" s="216">
        <f t="shared" si="634"/>
        <v>0.14400000000000013</v>
      </c>
      <c r="S6376" s="217" t="str">
        <f t="shared" si="635"/>
        <v/>
      </c>
    </row>
    <row r="6377" spans="1:19" ht="15.75" hidden="1" thickBot="1" x14ac:dyDescent="0.3">
      <c r="A6377" s="257"/>
      <c r="B6377" s="260"/>
      <c r="C6377" s="35" t="s">
        <v>1036</v>
      </c>
      <c r="D6377" s="35" t="s">
        <v>773</v>
      </c>
      <c r="E6377" s="36">
        <f>0.023*74.69</f>
        <v>1.71787</v>
      </c>
      <c r="F6377" s="30">
        <v>11.153</v>
      </c>
      <c r="G6377" s="53">
        <f t="shared" si="638"/>
        <v>19.159404110000001</v>
      </c>
      <c r="H6377" s="43"/>
      <c r="I6377" s="39"/>
      <c r="J6377" s="152">
        <v>0</v>
      </c>
      <c r="L6377" s="215">
        <v>1.71787</v>
      </c>
      <c r="M6377" s="30">
        <v>9.5469679999999997</v>
      </c>
      <c r="N6377" s="53">
        <f t="shared" si="639"/>
        <v>16.40044991816</v>
      </c>
      <c r="O6377" s="43"/>
      <c r="P6377" s="36" t="str">
        <f t="shared" si="632"/>
        <v/>
      </c>
      <c r="Q6377" s="216">
        <f t="shared" si="633"/>
        <v>0.14400000000000002</v>
      </c>
      <c r="R6377" s="216">
        <f t="shared" si="634"/>
        <v>0.14400000000000002</v>
      </c>
      <c r="S6377" s="217" t="str">
        <f t="shared" si="635"/>
        <v/>
      </c>
    </row>
    <row r="6378" spans="1:19" ht="26.25" hidden="1" thickBot="1" x14ac:dyDescent="0.3">
      <c r="A6378" s="257"/>
      <c r="B6378" s="260"/>
      <c r="C6378" s="35" t="s">
        <v>8454</v>
      </c>
      <c r="D6378" s="35" t="s">
        <v>385</v>
      </c>
      <c r="E6378" s="36">
        <v>3.05</v>
      </c>
      <c r="F6378" s="30">
        <v>55.973999999999997</v>
      </c>
      <c r="G6378" s="53">
        <f t="shared" si="638"/>
        <v>170.72069999999999</v>
      </c>
      <c r="H6378" s="43"/>
      <c r="I6378" s="39"/>
      <c r="J6378" s="152">
        <v>0</v>
      </c>
      <c r="L6378" s="215">
        <v>3.05</v>
      </c>
      <c r="M6378" s="30">
        <v>47.913743999999994</v>
      </c>
      <c r="N6378" s="53">
        <f t="shared" si="639"/>
        <v>146.13691919999997</v>
      </c>
      <c r="O6378" s="43"/>
      <c r="P6378" s="36" t="str">
        <f t="shared" si="632"/>
        <v/>
      </c>
      <c r="Q6378" s="216">
        <f t="shared" si="633"/>
        <v>0.14400000000000002</v>
      </c>
      <c r="R6378" s="216">
        <f t="shared" si="634"/>
        <v>0.14400000000000013</v>
      </c>
      <c r="S6378" s="217" t="str">
        <f t="shared" si="635"/>
        <v/>
      </c>
    </row>
    <row r="6379" spans="1:19" ht="26.25" hidden="1" thickBot="1" x14ac:dyDescent="0.3">
      <c r="A6379" s="257"/>
      <c r="B6379" s="260"/>
      <c r="C6379" s="35" t="s">
        <v>903</v>
      </c>
      <c r="D6379" s="35" t="s">
        <v>213</v>
      </c>
      <c r="E6379" s="36">
        <v>4</v>
      </c>
      <c r="F6379" s="30">
        <v>2.4224999999999999</v>
      </c>
      <c r="G6379" s="53">
        <f t="shared" si="638"/>
        <v>9.69</v>
      </c>
      <c r="H6379" s="43"/>
      <c r="I6379" s="39"/>
      <c r="J6379" s="152">
        <v>0</v>
      </c>
      <c r="L6379" s="215">
        <v>4</v>
      </c>
      <c r="M6379" s="30">
        <v>2.0736599999999998</v>
      </c>
      <c r="N6379" s="53">
        <f t="shared" si="639"/>
        <v>8.2946399999999993</v>
      </c>
      <c r="O6379" s="43"/>
      <c r="P6379" s="36" t="str">
        <f t="shared" si="632"/>
        <v/>
      </c>
      <c r="Q6379" s="216">
        <f t="shared" si="633"/>
        <v>0.14400000000000002</v>
      </c>
      <c r="R6379" s="216">
        <f t="shared" si="634"/>
        <v>0.14400000000000002</v>
      </c>
      <c r="S6379" s="217" t="str">
        <f t="shared" si="635"/>
        <v/>
      </c>
    </row>
    <row r="6380" spans="1:19" ht="15.75" hidden="1" thickBot="1" x14ac:dyDescent="0.3">
      <c r="A6380" s="257"/>
      <c r="B6380" s="260"/>
      <c r="C6380" s="35" t="s">
        <v>1211</v>
      </c>
      <c r="D6380" s="35" t="s">
        <v>773</v>
      </c>
      <c r="E6380" s="36">
        <v>0.02</v>
      </c>
      <c r="F6380" s="30">
        <v>184.92699999999999</v>
      </c>
      <c r="G6380" s="53">
        <f t="shared" si="638"/>
        <v>3.6985399999999999</v>
      </c>
      <c r="H6380" s="43"/>
      <c r="I6380" s="39"/>
      <c r="J6380" s="152">
        <v>0</v>
      </c>
      <c r="L6380" s="215">
        <v>0.02</v>
      </c>
      <c r="M6380" s="30">
        <v>158.29751199999998</v>
      </c>
      <c r="N6380" s="53">
        <f t="shared" si="639"/>
        <v>3.1659502399999999</v>
      </c>
      <c r="O6380" s="43"/>
      <c r="P6380" s="36" t="str">
        <f t="shared" si="632"/>
        <v/>
      </c>
      <c r="Q6380" s="216">
        <f t="shared" si="633"/>
        <v>0.14400000000000002</v>
      </c>
      <c r="R6380" s="216">
        <f t="shared" si="634"/>
        <v>0.14400000000000002</v>
      </c>
      <c r="S6380" s="217" t="str">
        <f t="shared" si="635"/>
        <v/>
      </c>
    </row>
    <row r="6381" spans="1:19" ht="15.75" hidden="1" thickBot="1" x14ac:dyDescent="0.3">
      <c r="A6381" s="257"/>
      <c r="B6381" s="260"/>
      <c r="C6381" s="35" t="s">
        <v>956</v>
      </c>
      <c r="D6381" s="35" t="s">
        <v>583</v>
      </c>
      <c r="E6381" s="36">
        <f>0.5708*0.48</f>
        <v>0.27398399999999995</v>
      </c>
      <c r="F6381" s="30">
        <v>28.6615</v>
      </c>
      <c r="G6381" s="53">
        <f t="shared" si="638"/>
        <v>7.8527924159999989</v>
      </c>
      <c r="H6381" s="43"/>
      <c r="I6381" s="39"/>
      <c r="J6381" s="152">
        <v>0</v>
      </c>
      <c r="L6381" s="215">
        <v>0.27398399999999995</v>
      </c>
      <c r="M6381" s="30">
        <v>24.534244000000001</v>
      </c>
      <c r="N6381" s="53">
        <f t="shared" si="639"/>
        <v>6.7219903080959993</v>
      </c>
      <c r="O6381" s="43"/>
      <c r="P6381" s="36" t="str">
        <f t="shared" si="632"/>
        <v/>
      </c>
      <c r="Q6381" s="216">
        <f t="shared" si="633"/>
        <v>0.14400000000000002</v>
      </c>
      <c r="R6381" s="216">
        <f t="shared" si="634"/>
        <v>0.14400000000000002</v>
      </c>
      <c r="S6381" s="217" t="str">
        <f t="shared" si="635"/>
        <v/>
      </c>
    </row>
    <row r="6382" spans="1:19" ht="15.75" hidden="1" thickBot="1" x14ac:dyDescent="0.3">
      <c r="A6382" s="257"/>
      <c r="B6382" s="260"/>
      <c r="C6382" s="35" t="s">
        <v>145</v>
      </c>
      <c r="D6382" s="49" t="s">
        <v>75</v>
      </c>
      <c r="E6382" s="36">
        <f>ROUND(0.48*3*3.6/75,4)</f>
        <v>6.9099999999999995E-2</v>
      </c>
      <c r="F6382" s="30" t="s">
        <v>416</v>
      </c>
      <c r="G6382" s="53" t="str">
        <f t="shared" si="638"/>
        <v/>
      </c>
      <c r="H6382" s="43"/>
      <c r="I6382" s="39"/>
      <c r="J6382" s="152">
        <v>0</v>
      </c>
      <c r="L6382" s="215">
        <v>6.9099999999999995E-2</v>
      </c>
      <c r="M6382" s="30"/>
      <c r="N6382" s="53" t="str">
        <f t="shared" si="639"/>
        <v/>
      </c>
      <c r="O6382" s="43"/>
      <c r="P6382" s="36" t="str">
        <f t="shared" si="632"/>
        <v/>
      </c>
      <c r="Q6382" s="216" t="str">
        <f t="shared" si="633"/>
        <v/>
      </c>
      <c r="R6382" s="216" t="str">
        <f t="shared" si="634"/>
        <v/>
      </c>
      <c r="S6382" s="217" t="str">
        <f t="shared" si="635"/>
        <v/>
      </c>
    </row>
    <row r="6383" spans="1:19" ht="15.75" hidden="1" thickBot="1" x14ac:dyDescent="0.3">
      <c r="A6383" s="257"/>
      <c r="B6383" s="260"/>
      <c r="C6383" s="35"/>
      <c r="D6383" s="35"/>
      <c r="E6383" s="36"/>
      <c r="F6383" s="30" t="s">
        <v>416</v>
      </c>
      <c r="G6383" s="53"/>
      <c r="H6383" s="43"/>
      <c r="I6383" s="39"/>
      <c r="J6383" s="152">
        <v>0</v>
      </c>
      <c r="L6383" s="215"/>
      <c r="M6383" s="30"/>
      <c r="N6383" s="53"/>
      <c r="O6383" s="43"/>
      <c r="P6383" s="36" t="str">
        <f t="shared" si="632"/>
        <v/>
      </c>
      <c r="Q6383" s="216" t="str">
        <f t="shared" si="633"/>
        <v/>
      </c>
      <c r="R6383" s="216" t="str">
        <f t="shared" si="634"/>
        <v/>
      </c>
      <c r="S6383" s="217" t="str">
        <f t="shared" si="635"/>
        <v/>
      </c>
    </row>
    <row r="6384" spans="1:19" ht="39" hidden="1" thickBot="1" x14ac:dyDescent="0.3">
      <c r="A6384" s="257"/>
      <c r="B6384" s="260"/>
      <c r="C6384" s="51" t="s">
        <v>2953</v>
      </c>
      <c r="D6384" s="35"/>
      <c r="E6384" s="36"/>
      <c r="F6384" s="30" t="s">
        <v>416</v>
      </c>
      <c r="G6384" s="53"/>
      <c r="H6384" s="43"/>
      <c r="I6384" s="39"/>
      <c r="J6384" s="152">
        <v>0</v>
      </c>
      <c r="L6384" s="215"/>
      <c r="M6384" s="30"/>
      <c r="N6384" s="53"/>
      <c r="O6384" s="43"/>
      <c r="P6384" s="36" t="str">
        <f t="shared" si="632"/>
        <v/>
      </c>
      <c r="Q6384" s="216" t="str">
        <f t="shared" si="633"/>
        <v/>
      </c>
      <c r="R6384" s="216" t="str">
        <f t="shared" si="634"/>
        <v/>
      </c>
      <c r="S6384" s="217" t="str">
        <f t="shared" si="635"/>
        <v/>
      </c>
    </row>
    <row r="6385" spans="1:19" ht="15.75" hidden="1" thickBot="1" x14ac:dyDescent="0.3">
      <c r="A6385" s="258"/>
      <c r="B6385" s="261"/>
      <c r="C6385" s="35"/>
      <c r="D6385" s="35"/>
      <c r="E6385" s="36"/>
      <c r="F6385" s="30" t="s">
        <v>416</v>
      </c>
      <c r="G6385" s="53"/>
      <c r="H6385" s="43"/>
      <c r="I6385" s="39"/>
      <c r="J6385" s="152">
        <v>0</v>
      </c>
      <c r="L6385" s="215"/>
      <c r="M6385" s="30"/>
      <c r="N6385" s="53"/>
      <c r="O6385" s="43"/>
      <c r="P6385" s="36" t="str">
        <f t="shared" si="632"/>
        <v/>
      </c>
      <c r="Q6385" s="216" t="str">
        <f t="shared" si="633"/>
        <v/>
      </c>
      <c r="R6385" s="216" t="str">
        <f t="shared" si="634"/>
        <v/>
      </c>
      <c r="S6385" s="217" t="str">
        <f t="shared" si="635"/>
        <v/>
      </c>
    </row>
    <row r="6386" spans="1:19" ht="15.75" hidden="1" thickBot="1" x14ac:dyDescent="0.3">
      <c r="A6386" s="256" t="s">
        <v>5406</v>
      </c>
      <c r="B6386" s="259" t="str">
        <f>INDEX(Orçamentária!A:B,MATCH(Composições!A6386,Orçamentária!A:A,0),2)</f>
        <v>Poste reto 5 metros – fornecimento e instalação</v>
      </c>
      <c r="C6386" s="40"/>
      <c r="D6386" s="25" t="s">
        <v>16</v>
      </c>
      <c r="E6386" s="26"/>
      <c r="F6386" s="41" t="s">
        <v>416</v>
      </c>
      <c r="G6386" s="27" t="str">
        <f t="shared" ref="G6386:G6449" si="640">IF(ISNUMBER(F6386),E6386*F6386,"")</f>
        <v/>
      </c>
      <c r="H6386" s="28"/>
      <c r="I6386" s="29"/>
      <c r="J6386" s="152">
        <v>0</v>
      </c>
      <c r="L6386" s="218"/>
      <c r="M6386" s="41"/>
      <c r="N6386" s="27" t="str">
        <f t="shared" ref="N6386:N6449" si="641">IF(ISNUMBER(M6386),L6386*M6386,"")</f>
        <v/>
      </c>
      <c r="O6386" s="28"/>
      <c r="P6386" s="36" t="str">
        <f t="shared" si="632"/>
        <v/>
      </c>
      <c r="Q6386" s="216" t="str">
        <f t="shared" si="633"/>
        <v/>
      </c>
      <c r="R6386" s="216" t="str">
        <f t="shared" si="634"/>
        <v/>
      </c>
      <c r="S6386" s="217" t="str">
        <f t="shared" si="635"/>
        <v/>
      </c>
    </row>
    <row r="6387" spans="1:19" ht="15.75" hidden="1" thickBot="1" x14ac:dyDescent="0.3">
      <c r="A6387" s="262"/>
      <c r="B6387" s="260"/>
      <c r="C6387" s="31"/>
      <c r="D6387" s="31"/>
      <c r="E6387" s="32"/>
      <c r="F6387" s="42" t="s">
        <v>416</v>
      </c>
      <c r="G6387" s="30" t="str">
        <f t="shared" si="640"/>
        <v/>
      </c>
      <c r="H6387" s="34"/>
      <c r="I6387" s="30"/>
      <c r="J6387" s="152">
        <v>0</v>
      </c>
      <c r="L6387" s="219"/>
      <c r="M6387" s="42"/>
      <c r="N6387" s="30" t="str">
        <f t="shared" si="641"/>
        <v/>
      </c>
      <c r="O6387" s="34"/>
      <c r="P6387" s="36" t="str">
        <f t="shared" si="632"/>
        <v/>
      </c>
      <c r="Q6387" s="216" t="str">
        <f t="shared" si="633"/>
        <v/>
      </c>
      <c r="R6387" s="216" t="str">
        <f t="shared" si="634"/>
        <v/>
      </c>
      <c r="S6387" s="217" t="str">
        <f t="shared" si="635"/>
        <v/>
      </c>
    </row>
    <row r="6388" spans="1:19" ht="26.25" hidden="1" thickBot="1" x14ac:dyDescent="0.3">
      <c r="A6388" s="262"/>
      <c r="B6388" s="260"/>
      <c r="C6388" s="35" t="s">
        <v>5580</v>
      </c>
      <c r="D6388" s="35" t="s">
        <v>213</v>
      </c>
      <c r="E6388" s="36">
        <v>1</v>
      </c>
      <c r="F6388" s="33" t="s">
        <v>416</v>
      </c>
      <c r="G6388" s="30" t="str">
        <f t="shared" si="640"/>
        <v/>
      </c>
      <c r="H6388" s="38">
        <f>SUM(G6388:G6391)</f>
        <v>90.954102000000006</v>
      </c>
      <c r="I6388" s="39"/>
      <c r="J6388" s="152">
        <v>0</v>
      </c>
      <c r="L6388" s="215">
        <v>1</v>
      </c>
      <c r="M6388" s="33"/>
      <c r="N6388" s="30" t="str">
        <f t="shared" si="641"/>
        <v/>
      </c>
      <c r="O6388" s="38">
        <f>SUM(N6388:N6391)</f>
        <v>77.856711312000002</v>
      </c>
      <c r="P6388" s="36" t="str">
        <f t="shared" si="632"/>
        <v/>
      </c>
      <c r="Q6388" s="216" t="str">
        <f t="shared" si="633"/>
        <v/>
      </c>
      <c r="R6388" s="216" t="str">
        <f t="shared" si="634"/>
        <v/>
      </c>
      <c r="S6388" s="217">
        <f t="shared" si="635"/>
        <v>0.14400000000000002</v>
      </c>
    </row>
    <row r="6389" spans="1:19" ht="51.75" hidden="1" thickBot="1" x14ac:dyDescent="0.3">
      <c r="A6389" s="262"/>
      <c r="B6389" s="260"/>
      <c r="C6389" s="35" t="s">
        <v>2864</v>
      </c>
      <c r="D6389" s="35" t="s">
        <v>813</v>
      </c>
      <c r="E6389" s="36">
        <v>0.111</v>
      </c>
      <c r="F6389" s="33">
        <v>252.10149999999999</v>
      </c>
      <c r="G6389" s="30">
        <f t="shared" si="640"/>
        <v>27.983266499999999</v>
      </c>
      <c r="H6389" s="44"/>
      <c r="I6389" s="45"/>
      <c r="J6389" s="152">
        <v>0</v>
      </c>
      <c r="L6389" s="215">
        <v>0.111</v>
      </c>
      <c r="M6389" s="33">
        <v>215.79888399999999</v>
      </c>
      <c r="N6389" s="30">
        <f t="shared" si="641"/>
        <v>23.953676123999998</v>
      </c>
      <c r="O6389" s="44"/>
      <c r="P6389" s="36" t="str">
        <f t="shared" si="632"/>
        <v/>
      </c>
      <c r="Q6389" s="216">
        <f t="shared" si="633"/>
        <v>0.14400000000000002</v>
      </c>
      <c r="R6389" s="216">
        <f t="shared" si="634"/>
        <v>0.14400000000000002</v>
      </c>
      <c r="S6389" s="217" t="str">
        <f t="shared" si="635"/>
        <v/>
      </c>
    </row>
    <row r="6390" spans="1:19" ht="15.75" hidden="1" thickBot="1" x14ac:dyDescent="0.3">
      <c r="A6390" s="262"/>
      <c r="B6390" s="260"/>
      <c r="C6390" s="35" t="s">
        <v>1017</v>
      </c>
      <c r="D6390" s="35" t="s">
        <v>583</v>
      </c>
      <c r="E6390" s="36">
        <f>1.124/2</f>
        <v>0.56200000000000006</v>
      </c>
      <c r="F6390" s="33">
        <v>21.584</v>
      </c>
      <c r="G6390" s="30">
        <f t="shared" si="640"/>
        <v>12.130208000000001</v>
      </c>
      <c r="H6390" s="44"/>
      <c r="I6390" s="45"/>
      <c r="J6390" s="152">
        <v>0</v>
      </c>
      <c r="L6390" s="215">
        <v>0.56200000000000006</v>
      </c>
      <c r="M6390" s="33">
        <v>18.475904</v>
      </c>
      <c r="N6390" s="30">
        <f t="shared" si="641"/>
        <v>10.383458048000001</v>
      </c>
      <c r="O6390" s="44"/>
      <c r="P6390" s="36" t="str">
        <f t="shared" si="632"/>
        <v/>
      </c>
      <c r="Q6390" s="216">
        <f t="shared" si="633"/>
        <v>0.14400000000000002</v>
      </c>
      <c r="R6390" s="216">
        <f t="shared" si="634"/>
        <v>0.14400000000000002</v>
      </c>
      <c r="S6390" s="217" t="str">
        <f t="shared" si="635"/>
        <v/>
      </c>
    </row>
    <row r="6391" spans="1:19" ht="15.75" hidden="1" thickBot="1" x14ac:dyDescent="0.3">
      <c r="A6391" s="262"/>
      <c r="B6391" s="260"/>
      <c r="C6391" s="35" t="s">
        <v>1018</v>
      </c>
      <c r="D6391" s="35" t="s">
        <v>583</v>
      </c>
      <c r="E6391" s="36">
        <f>3.653/2</f>
        <v>1.8265</v>
      </c>
      <c r="F6391" s="30">
        <v>27.835000000000001</v>
      </c>
      <c r="G6391" s="30">
        <f t="shared" si="640"/>
        <v>50.840627500000004</v>
      </c>
      <c r="H6391" s="34"/>
      <c r="I6391" s="30"/>
      <c r="J6391" s="152">
        <v>0</v>
      </c>
      <c r="L6391" s="215">
        <v>1.8265</v>
      </c>
      <c r="M6391" s="30">
        <v>23.82676</v>
      </c>
      <c r="N6391" s="30">
        <f t="shared" si="641"/>
        <v>43.519577140000003</v>
      </c>
      <c r="O6391" s="34"/>
      <c r="P6391" s="36" t="str">
        <f t="shared" si="632"/>
        <v/>
      </c>
      <c r="Q6391" s="216">
        <f t="shared" si="633"/>
        <v>0.14400000000000002</v>
      </c>
      <c r="R6391" s="216">
        <f t="shared" si="634"/>
        <v>0.14400000000000002</v>
      </c>
      <c r="S6391" s="217" t="str">
        <f t="shared" si="635"/>
        <v/>
      </c>
    </row>
    <row r="6392" spans="1:19" ht="15.75" hidden="1" thickBot="1" x14ac:dyDescent="0.3">
      <c r="A6392" s="263"/>
      <c r="B6392" s="261"/>
      <c r="C6392" s="35"/>
      <c r="D6392" s="35"/>
      <c r="E6392" s="36"/>
      <c r="F6392" s="30" t="s">
        <v>416</v>
      </c>
      <c r="G6392" s="30" t="str">
        <f t="shared" si="640"/>
        <v/>
      </c>
      <c r="H6392" s="34"/>
      <c r="I6392" s="30"/>
      <c r="J6392" s="152">
        <v>0</v>
      </c>
      <c r="L6392" s="215"/>
      <c r="M6392" s="30"/>
      <c r="N6392" s="30" t="str">
        <f t="shared" si="641"/>
        <v/>
      </c>
      <c r="O6392" s="34"/>
      <c r="P6392" s="36" t="str">
        <f t="shared" si="632"/>
        <v/>
      </c>
      <c r="Q6392" s="216" t="str">
        <f t="shared" si="633"/>
        <v/>
      </c>
      <c r="R6392" s="216" t="str">
        <f t="shared" si="634"/>
        <v/>
      </c>
      <c r="S6392" s="217" t="str">
        <f t="shared" si="635"/>
        <v/>
      </c>
    </row>
    <row r="6393" spans="1:19" ht="15.75" hidden="1" thickBot="1" x14ac:dyDescent="0.3">
      <c r="A6393" s="256" t="s">
        <v>5407</v>
      </c>
      <c r="B6393" s="259" t="str">
        <f>INDEX(Orçamentária!A:B,MATCH(Composições!A6393,Orçamentária!A:A,0),2)</f>
        <v>Suporte para luminária de poste simples – fornecimento e instalação</v>
      </c>
      <c r="C6393" s="40"/>
      <c r="D6393" s="25" t="s">
        <v>16</v>
      </c>
      <c r="E6393" s="26"/>
      <c r="F6393" s="41" t="s">
        <v>416</v>
      </c>
      <c r="G6393" s="27" t="str">
        <f t="shared" si="640"/>
        <v/>
      </c>
      <c r="H6393" s="28"/>
      <c r="I6393" s="29"/>
      <c r="J6393" s="152">
        <v>0</v>
      </c>
      <c r="L6393" s="218"/>
      <c r="M6393" s="41"/>
      <c r="N6393" s="27" t="str">
        <f t="shared" si="641"/>
        <v/>
      </c>
      <c r="O6393" s="28"/>
      <c r="P6393" s="36" t="str">
        <f t="shared" si="632"/>
        <v/>
      </c>
      <c r="Q6393" s="216" t="str">
        <f t="shared" si="633"/>
        <v/>
      </c>
      <c r="R6393" s="216" t="str">
        <f t="shared" si="634"/>
        <v/>
      </c>
      <c r="S6393" s="217" t="str">
        <f t="shared" si="635"/>
        <v/>
      </c>
    </row>
    <row r="6394" spans="1:19" ht="15.75" hidden="1" thickBot="1" x14ac:dyDescent="0.3">
      <c r="A6394" s="262"/>
      <c r="B6394" s="260"/>
      <c r="C6394" s="31"/>
      <c r="D6394" s="31"/>
      <c r="E6394" s="32"/>
      <c r="F6394" s="42" t="s">
        <v>416</v>
      </c>
      <c r="G6394" s="30" t="str">
        <f t="shared" si="640"/>
        <v/>
      </c>
      <c r="H6394" s="34"/>
      <c r="I6394" s="30"/>
      <c r="J6394" s="152">
        <v>0</v>
      </c>
      <c r="L6394" s="219"/>
      <c r="M6394" s="42"/>
      <c r="N6394" s="30" t="str">
        <f t="shared" si="641"/>
        <v/>
      </c>
      <c r="O6394" s="34"/>
      <c r="P6394" s="36" t="str">
        <f t="shared" si="632"/>
        <v/>
      </c>
      <c r="Q6394" s="216" t="str">
        <f t="shared" si="633"/>
        <v/>
      </c>
      <c r="R6394" s="216" t="str">
        <f t="shared" si="634"/>
        <v/>
      </c>
      <c r="S6394" s="217" t="str">
        <f t="shared" si="635"/>
        <v/>
      </c>
    </row>
    <row r="6395" spans="1:19" ht="26.25" hidden="1" thickBot="1" x14ac:dyDescent="0.3">
      <c r="A6395" s="262"/>
      <c r="B6395" s="260"/>
      <c r="C6395" s="35" t="s">
        <v>6945</v>
      </c>
      <c r="D6395" s="35" t="s">
        <v>213</v>
      </c>
      <c r="E6395" s="36">
        <v>1</v>
      </c>
      <c r="F6395" s="33">
        <v>0</v>
      </c>
      <c r="G6395" s="30">
        <f t="shared" si="640"/>
        <v>0</v>
      </c>
      <c r="H6395" s="38">
        <f>SUM(G6395:G6397)</f>
        <v>12.354749999999999</v>
      </c>
      <c r="I6395" s="39"/>
      <c r="J6395" s="152">
        <v>0</v>
      </c>
      <c r="L6395" s="215">
        <v>1</v>
      </c>
      <c r="M6395" s="33">
        <v>0</v>
      </c>
      <c r="N6395" s="30">
        <f t="shared" si="641"/>
        <v>0</v>
      </c>
      <c r="O6395" s="38">
        <f>SUM(N6395:N6397)</f>
        <v>10.575666</v>
      </c>
      <c r="P6395" s="36" t="str">
        <f t="shared" si="632"/>
        <v/>
      </c>
      <c r="Q6395" s="216" t="e">
        <f t="shared" si="633"/>
        <v>#DIV/0!</v>
      </c>
      <c r="R6395" s="216" t="e">
        <f t="shared" si="634"/>
        <v>#DIV/0!</v>
      </c>
      <c r="S6395" s="217">
        <f t="shared" si="635"/>
        <v>0.14399999999999991</v>
      </c>
    </row>
    <row r="6396" spans="1:19" ht="15.75" hidden="1" thickBot="1" x14ac:dyDescent="0.3">
      <c r="A6396" s="262"/>
      <c r="B6396" s="260"/>
      <c r="C6396" s="35" t="s">
        <v>1017</v>
      </c>
      <c r="D6396" s="35" t="s">
        <v>583</v>
      </c>
      <c r="E6396" s="36">
        <v>0.25</v>
      </c>
      <c r="F6396" s="33">
        <v>21.584</v>
      </c>
      <c r="G6396" s="30">
        <f t="shared" si="640"/>
        <v>5.3959999999999999</v>
      </c>
      <c r="H6396" s="44"/>
      <c r="I6396" s="45"/>
      <c r="J6396" s="152">
        <v>0</v>
      </c>
      <c r="L6396" s="215">
        <v>0.25</v>
      </c>
      <c r="M6396" s="33">
        <v>18.475904</v>
      </c>
      <c r="N6396" s="30">
        <f t="shared" si="641"/>
        <v>4.618976</v>
      </c>
      <c r="O6396" s="44"/>
      <c r="P6396" s="36" t="str">
        <f t="shared" si="632"/>
        <v/>
      </c>
      <c r="Q6396" s="216">
        <f t="shared" si="633"/>
        <v>0.14400000000000002</v>
      </c>
      <c r="R6396" s="216">
        <f t="shared" si="634"/>
        <v>0.14400000000000002</v>
      </c>
      <c r="S6396" s="217" t="str">
        <f t="shared" si="635"/>
        <v/>
      </c>
    </row>
    <row r="6397" spans="1:19" ht="15.75" hidden="1" thickBot="1" x14ac:dyDescent="0.3">
      <c r="A6397" s="262"/>
      <c r="B6397" s="260"/>
      <c r="C6397" s="35" t="s">
        <v>1018</v>
      </c>
      <c r="D6397" s="35" t="s">
        <v>583</v>
      </c>
      <c r="E6397" s="36">
        <v>0.25</v>
      </c>
      <c r="F6397" s="30">
        <v>27.835000000000001</v>
      </c>
      <c r="G6397" s="30">
        <f t="shared" si="640"/>
        <v>6.9587500000000002</v>
      </c>
      <c r="H6397" s="34"/>
      <c r="I6397" s="30"/>
      <c r="J6397" s="152">
        <v>0</v>
      </c>
      <c r="L6397" s="215">
        <v>0.25</v>
      </c>
      <c r="M6397" s="30">
        <v>23.82676</v>
      </c>
      <c r="N6397" s="30">
        <f t="shared" si="641"/>
        <v>5.95669</v>
      </c>
      <c r="O6397" s="34"/>
      <c r="P6397" s="36" t="str">
        <f t="shared" si="632"/>
        <v/>
      </c>
      <c r="Q6397" s="216">
        <f t="shared" si="633"/>
        <v>0.14400000000000002</v>
      </c>
      <c r="R6397" s="216">
        <f t="shared" si="634"/>
        <v>0.14400000000000002</v>
      </c>
      <c r="S6397" s="217" t="str">
        <f t="shared" si="635"/>
        <v/>
      </c>
    </row>
    <row r="6398" spans="1:19" ht="15.75" hidden="1" thickBot="1" x14ac:dyDescent="0.3">
      <c r="A6398" s="263"/>
      <c r="B6398" s="261"/>
      <c r="C6398" s="54"/>
      <c r="D6398" s="54"/>
      <c r="E6398" s="65"/>
      <c r="F6398" s="66" t="s">
        <v>416</v>
      </c>
      <c r="G6398" s="66" t="str">
        <f t="shared" si="640"/>
        <v/>
      </c>
      <c r="H6398" s="68"/>
      <c r="I6398" s="30"/>
      <c r="J6398" s="152">
        <v>0</v>
      </c>
      <c r="L6398" s="222"/>
      <c r="M6398" s="66"/>
      <c r="N6398" s="66" t="str">
        <f t="shared" si="641"/>
        <v/>
      </c>
      <c r="O6398" s="68"/>
      <c r="P6398" s="36" t="str">
        <f t="shared" si="632"/>
        <v/>
      </c>
      <c r="Q6398" s="216" t="str">
        <f t="shared" si="633"/>
        <v/>
      </c>
      <c r="R6398" s="216" t="str">
        <f t="shared" si="634"/>
        <v/>
      </c>
      <c r="S6398" s="217" t="str">
        <f t="shared" si="635"/>
        <v/>
      </c>
    </row>
    <row r="6399" spans="1:19" ht="15.75" hidden="1" thickBot="1" x14ac:dyDescent="0.3">
      <c r="A6399" s="256" t="s">
        <v>5747</v>
      </c>
      <c r="B6399" s="259" t="str">
        <f>INDEX(Orçamentária!A:B,MATCH(Composições!A6399,Orçamentária!A:A,0),2)</f>
        <v>Tubo de aço-carbono galvanizado 2 1/2”</v>
      </c>
      <c r="C6399" s="40"/>
      <c r="D6399" s="25" t="s">
        <v>69</v>
      </c>
      <c r="E6399" s="26"/>
      <c r="F6399" s="41" t="s">
        <v>416</v>
      </c>
      <c r="G6399" s="27" t="str">
        <f t="shared" si="640"/>
        <v/>
      </c>
      <c r="H6399" s="28"/>
      <c r="I6399" s="29"/>
      <c r="J6399" s="152">
        <v>0</v>
      </c>
      <c r="L6399" s="218"/>
      <c r="M6399" s="41"/>
      <c r="N6399" s="27" t="str">
        <f t="shared" si="641"/>
        <v/>
      </c>
      <c r="O6399" s="28"/>
      <c r="P6399" s="36" t="str">
        <f t="shared" si="632"/>
        <v/>
      </c>
      <c r="Q6399" s="216" t="str">
        <f t="shared" si="633"/>
        <v/>
      </c>
      <c r="R6399" s="216" t="str">
        <f t="shared" si="634"/>
        <v/>
      </c>
      <c r="S6399" s="217" t="str">
        <f t="shared" si="635"/>
        <v/>
      </c>
    </row>
    <row r="6400" spans="1:19" ht="15.75" hidden="1" thickBot="1" x14ac:dyDescent="0.3">
      <c r="A6400" s="262"/>
      <c r="B6400" s="260"/>
      <c r="C6400" s="31"/>
      <c r="D6400" s="31"/>
      <c r="E6400" s="32"/>
      <c r="F6400" s="42" t="s">
        <v>416</v>
      </c>
      <c r="G6400" s="30" t="str">
        <f t="shared" si="640"/>
        <v/>
      </c>
      <c r="H6400" s="34"/>
      <c r="I6400" s="30"/>
      <c r="J6400" s="152">
        <v>0</v>
      </c>
      <c r="L6400" s="219"/>
      <c r="M6400" s="42"/>
      <c r="N6400" s="30" t="str">
        <f t="shared" si="641"/>
        <v/>
      </c>
      <c r="O6400" s="34"/>
      <c r="P6400" s="36" t="str">
        <f t="shared" si="632"/>
        <v/>
      </c>
      <c r="Q6400" s="216" t="str">
        <f t="shared" si="633"/>
        <v/>
      </c>
      <c r="R6400" s="216" t="str">
        <f t="shared" si="634"/>
        <v/>
      </c>
      <c r="S6400" s="217" t="str">
        <f t="shared" si="635"/>
        <v/>
      </c>
    </row>
    <row r="6401" spans="1:19" ht="26.25" hidden="1" thickBot="1" x14ac:dyDescent="0.3">
      <c r="A6401" s="262"/>
      <c r="B6401" s="260"/>
      <c r="C6401" s="35" t="s">
        <v>825</v>
      </c>
      <c r="D6401" s="35" t="s">
        <v>583</v>
      </c>
      <c r="E6401" s="36">
        <v>0.13</v>
      </c>
      <c r="F6401" s="33">
        <v>26.799499999999998</v>
      </c>
      <c r="G6401" s="30">
        <f t="shared" si="640"/>
        <v>3.4839349999999998</v>
      </c>
      <c r="H6401" s="38">
        <f>SUM(G6401:G6404)</f>
        <v>104.06921299999998</v>
      </c>
      <c r="I6401" s="39"/>
      <c r="J6401" s="152">
        <v>0</v>
      </c>
      <c r="L6401" s="215">
        <v>0.13</v>
      </c>
      <c r="M6401" s="33">
        <v>22.940372</v>
      </c>
      <c r="N6401" s="30">
        <f t="shared" si="641"/>
        <v>2.9822483600000003</v>
      </c>
      <c r="O6401" s="38">
        <f>SUM(N6401:N6404)</f>
        <v>89.083246327999987</v>
      </c>
      <c r="P6401" s="36" t="str">
        <f t="shared" si="632"/>
        <v/>
      </c>
      <c r="Q6401" s="216">
        <f t="shared" si="633"/>
        <v>0.14399999999999991</v>
      </c>
      <c r="R6401" s="216">
        <f t="shared" si="634"/>
        <v>0.14399999999999991</v>
      </c>
      <c r="S6401" s="217">
        <f t="shared" si="635"/>
        <v>0.14399999999999991</v>
      </c>
    </row>
    <row r="6402" spans="1:19" ht="26.25" hidden="1" thickBot="1" x14ac:dyDescent="0.3">
      <c r="A6402" s="262"/>
      <c r="B6402" s="260"/>
      <c r="C6402" s="35" t="s">
        <v>824</v>
      </c>
      <c r="D6402" s="35" t="s">
        <v>583</v>
      </c>
      <c r="E6402" s="36">
        <v>0.13</v>
      </c>
      <c r="F6402" s="33">
        <v>21.166</v>
      </c>
      <c r="G6402" s="30">
        <f t="shared" si="640"/>
        <v>2.7515800000000001</v>
      </c>
      <c r="H6402" s="44"/>
      <c r="I6402" s="45"/>
      <c r="J6402" s="152">
        <v>0</v>
      </c>
      <c r="L6402" s="215">
        <v>0.13</v>
      </c>
      <c r="M6402" s="33">
        <v>18.118096000000001</v>
      </c>
      <c r="N6402" s="30">
        <f t="shared" si="641"/>
        <v>2.3553524800000001</v>
      </c>
      <c r="O6402" s="44"/>
      <c r="P6402" s="36" t="str">
        <f t="shared" si="632"/>
        <v/>
      </c>
      <c r="Q6402" s="216">
        <f t="shared" si="633"/>
        <v>0.14399999999999991</v>
      </c>
      <c r="R6402" s="216">
        <f t="shared" si="634"/>
        <v>0.14400000000000002</v>
      </c>
      <c r="S6402" s="217" t="str">
        <f t="shared" si="635"/>
        <v/>
      </c>
    </row>
    <row r="6403" spans="1:19" ht="15.75" hidden="1" thickBot="1" x14ac:dyDescent="0.3">
      <c r="A6403" s="262"/>
      <c r="B6403" s="260"/>
      <c r="C6403" s="35" t="s">
        <v>2908</v>
      </c>
      <c r="D6403" s="35" t="s">
        <v>583</v>
      </c>
      <c r="E6403" s="36">
        <v>0.13</v>
      </c>
      <c r="F6403" s="33">
        <v>27.7685</v>
      </c>
      <c r="G6403" s="30">
        <f t="shared" si="640"/>
        <v>3.6099049999999999</v>
      </c>
      <c r="H6403" s="44"/>
      <c r="I6403" s="45"/>
      <c r="J6403" s="152">
        <v>0</v>
      </c>
      <c r="L6403" s="215">
        <v>0.13</v>
      </c>
      <c r="M6403" s="33">
        <v>23.769835999999998</v>
      </c>
      <c r="N6403" s="30">
        <f t="shared" si="641"/>
        <v>3.09007868</v>
      </c>
      <c r="O6403" s="44"/>
      <c r="P6403" s="36" t="str">
        <f t="shared" si="632"/>
        <v/>
      </c>
      <c r="Q6403" s="216">
        <f t="shared" si="633"/>
        <v>0.14400000000000002</v>
      </c>
      <c r="R6403" s="216">
        <f t="shared" si="634"/>
        <v>0.14400000000000002</v>
      </c>
      <c r="S6403" s="217" t="str">
        <f t="shared" si="635"/>
        <v/>
      </c>
    </row>
    <row r="6404" spans="1:19" ht="26.25" hidden="1" thickBot="1" x14ac:dyDescent="0.3">
      <c r="A6404" s="262"/>
      <c r="B6404" s="260"/>
      <c r="C6404" s="35" t="s">
        <v>8453</v>
      </c>
      <c r="D6404" s="35" t="s">
        <v>385</v>
      </c>
      <c r="E6404" s="36">
        <v>1.0389999999999999</v>
      </c>
      <c r="F6404" s="30">
        <v>90.686999999999983</v>
      </c>
      <c r="G6404" s="30">
        <f t="shared" si="640"/>
        <v>94.223792999999972</v>
      </c>
      <c r="H6404" s="34"/>
      <c r="I6404" s="30"/>
      <c r="J6404" s="152">
        <v>0</v>
      </c>
      <c r="L6404" s="215">
        <v>1.0389999999999999</v>
      </c>
      <c r="M6404" s="30">
        <v>77.628071999999989</v>
      </c>
      <c r="N6404" s="30">
        <f t="shared" si="641"/>
        <v>80.655566807999989</v>
      </c>
      <c r="O6404" s="34"/>
      <c r="P6404" s="36" t="str">
        <f t="shared" si="632"/>
        <v/>
      </c>
      <c r="Q6404" s="216">
        <f t="shared" si="633"/>
        <v>0.14400000000000002</v>
      </c>
      <c r="R6404" s="216">
        <f t="shared" si="634"/>
        <v>0.14399999999999991</v>
      </c>
      <c r="S6404" s="217" t="str">
        <f t="shared" si="635"/>
        <v/>
      </c>
    </row>
    <row r="6405" spans="1:19" ht="15.75" hidden="1" thickBot="1" x14ac:dyDescent="0.3">
      <c r="A6405" s="263"/>
      <c r="B6405" s="261"/>
      <c r="C6405" s="35"/>
      <c r="D6405" s="35"/>
      <c r="E6405" s="36"/>
      <c r="F6405" s="30" t="s">
        <v>416</v>
      </c>
      <c r="G6405" s="30" t="str">
        <f t="shared" si="640"/>
        <v/>
      </c>
      <c r="H6405" s="34"/>
      <c r="I6405" s="30"/>
      <c r="J6405" s="152">
        <v>0</v>
      </c>
      <c r="L6405" s="215"/>
      <c r="M6405" s="30"/>
      <c r="N6405" s="30" t="str">
        <f t="shared" si="641"/>
        <v/>
      </c>
      <c r="O6405" s="34"/>
      <c r="P6405" s="36" t="str">
        <f t="shared" si="632"/>
        <v/>
      </c>
      <c r="Q6405" s="216" t="str">
        <f t="shared" si="633"/>
        <v/>
      </c>
      <c r="R6405" s="216" t="str">
        <f t="shared" si="634"/>
        <v/>
      </c>
      <c r="S6405" s="217" t="str">
        <f t="shared" si="635"/>
        <v/>
      </c>
    </row>
    <row r="6406" spans="1:19" ht="15.75" hidden="1" thickBot="1" x14ac:dyDescent="0.3">
      <c r="A6406" s="256" t="s">
        <v>5748</v>
      </c>
      <c r="B6406" s="259" t="str">
        <f>INDEX(Orçamentária!A:B,MATCH(Composições!A6406,Orçamentária!A:A,0),2)</f>
        <v>Remoção de Caixa de Hidrante e acessórios para aproveitamento</v>
      </c>
      <c r="C6406" s="40"/>
      <c r="D6406" s="25" t="s">
        <v>16</v>
      </c>
      <c r="E6406" s="26"/>
      <c r="F6406" s="41" t="s">
        <v>416</v>
      </c>
      <c r="G6406" s="27" t="str">
        <f t="shared" si="640"/>
        <v/>
      </c>
      <c r="H6406" s="28"/>
      <c r="I6406" s="29"/>
      <c r="J6406" s="152">
        <v>0</v>
      </c>
      <c r="L6406" s="218"/>
      <c r="M6406" s="41"/>
      <c r="N6406" s="27" t="str">
        <f t="shared" si="641"/>
        <v/>
      </c>
      <c r="O6406" s="28"/>
      <c r="P6406" s="36" t="str">
        <f t="shared" si="632"/>
        <v/>
      </c>
      <c r="Q6406" s="216" t="str">
        <f t="shared" si="633"/>
        <v/>
      </c>
      <c r="R6406" s="216" t="str">
        <f t="shared" si="634"/>
        <v/>
      </c>
      <c r="S6406" s="217" t="str">
        <f t="shared" si="635"/>
        <v/>
      </c>
    </row>
    <row r="6407" spans="1:19" ht="15.75" hidden="1" thickBot="1" x14ac:dyDescent="0.3">
      <c r="A6407" s="262"/>
      <c r="B6407" s="260"/>
      <c r="C6407" s="31"/>
      <c r="D6407" s="31"/>
      <c r="E6407" s="32"/>
      <c r="F6407" s="42" t="s">
        <v>416</v>
      </c>
      <c r="G6407" s="30" t="str">
        <f t="shared" si="640"/>
        <v/>
      </c>
      <c r="H6407" s="34"/>
      <c r="I6407" s="30"/>
      <c r="J6407" s="152">
        <v>0</v>
      </c>
      <c r="L6407" s="219"/>
      <c r="M6407" s="42"/>
      <c r="N6407" s="30" t="str">
        <f t="shared" si="641"/>
        <v/>
      </c>
      <c r="O6407" s="34"/>
      <c r="P6407" s="36" t="str">
        <f t="shared" si="632"/>
        <v/>
      </c>
      <c r="Q6407" s="216" t="str">
        <f t="shared" si="633"/>
        <v/>
      </c>
      <c r="R6407" s="216" t="str">
        <f t="shared" si="634"/>
        <v/>
      </c>
      <c r="S6407" s="217" t="str">
        <f t="shared" si="635"/>
        <v/>
      </c>
    </row>
    <row r="6408" spans="1:19" ht="26.25" hidden="1" thickBot="1" x14ac:dyDescent="0.3">
      <c r="A6408" s="262"/>
      <c r="B6408" s="260"/>
      <c r="C6408" s="35" t="s">
        <v>825</v>
      </c>
      <c r="D6408" s="35" t="s">
        <v>583</v>
      </c>
      <c r="E6408" s="36">
        <v>3</v>
      </c>
      <c r="F6408" s="30">
        <v>26.799499999999998</v>
      </c>
      <c r="G6408" s="30">
        <f t="shared" si="640"/>
        <v>80.398499999999999</v>
      </c>
      <c r="H6408" s="38">
        <f>SUM(G6408:G6408)</f>
        <v>80.398499999999999</v>
      </c>
      <c r="I6408" s="39"/>
      <c r="J6408" s="152">
        <v>0</v>
      </c>
      <c r="L6408" s="215">
        <v>3</v>
      </c>
      <c r="M6408" s="30">
        <v>22.940372</v>
      </c>
      <c r="N6408" s="30">
        <f t="shared" si="641"/>
        <v>68.821116000000004</v>
      </c>
      <c r="O6408" s="38">
        <f>SUM(N6408:N6408)</f>
        <v>68.821116000000004</v>
      </c>
      <c r="P6408" s="36" t="str">
        <f t="shared" ref="P6408:P6471" si="642">IF(ISBLANK(L6408),"",IF($E6408&lt;&gt;L6408,"SIM",""))</f>
        <v/>
      </c>
      <c r="Q6408" s="216">
        <f t="shared" ref="Q6408:Q6471" si="643">IF(M6408="","",1-M6408/$F6408)</f>
        <v>0.14399999999999991</v>
      </c>
      <c r="R6408" s="216">
        <f t="shared" ref="R6408:R6471" si="644">IF(N6408="","",1-N6408/$G6408)</f>
        <v>0.14399999999999991</v>
      </c>
      <c r="S6408" s="217">
        <f t="shared" ref="S6408:S6471" si="645">IF(O6408="","",1-O6408/$H6408)</f>
        <v>0.14399999999999991</v>
      </c>
    </row>
    <row r="6409" spans="1:19" ht="15.75" hidden="1" thickBot="1" x14ac:dyDescent="0.3">
      <c r="A6409" s="263"/>
      <c r="B6409" s="261"/>
      <c r="C6409" s="54"/>
      <c r="D6409" s="54"/>
      <c r="E6409" s="65"/>
      <c r="F6409" s="66" t="s">
        <v>416</v>
      </c>
      <c r="G6409" s="66" t="str">
        <f t="shared" si="640"/>
        <v/>
      </c>
      <c r="H6409" s="68"/>
      <c r="I6409" s="30"/>
      <c r="J6409" s="152">
        <v>0</v>
      </c>
      <c r="L6409" s="222"/>
      <c r="M6409" s="66"/>
      <c r="N6409" s="66" t="str">
        <f t="shared" si="641"/>
        <v/>
      </c>
      <c r="O6409" s="68"/>
      <c r="P6409" s="36" t="str">
        <f t="shared" si="642"/>
        <v/>
      </c>
      <c r="Q6409" s="216" t="str">
        <f t="shared" si="643"/>
        <v/>
      </c>
      <c r="R6409" s="216" t="str">
        <f t="shared" si="644"/>
        <v/>
      </c>
      <c r="S6409" s="217" t="str">
        <f t="shared" si="645"/>
        <v/>
      </c>
    </row>
    <row r="6410" spans="1:19" ht="15.75" hidden="1" thickBot="1" x14ac:dyDescent="0.3">
      <c r="A6410" s="256" t="s">
        <v>5749</v>
      </c>
      <c r="B6410" s="259" t="str">
        <f>INDEX(Orçamentária!A:B,MATCH(Composições!A6410,Orçamentária!A:A,0),2)</f>
        <v>Instalação de Caixa de Hidrante e acessórios reaproveitados</v>
      </c>
      <c r="C6410" s="40"/>
      <c r="D6410" s="25" t="s">
        <v>16</v>
      </c>
      <c r="E6410" s="26"/>
      <c r="F6410" s="41" t="s">
        <v>416</v>
      </c>
      <c r="G6410" s="27" t="str">
        <f t="shared" si="640"/>
        <v/>
      </c>
      <c r="H6410" s="28"/>
      <c r="I6410" s="29"/>
      <c r="J6410" s="152">
        <v>0</v>
      </c>
      <c r="L6410" s="218"/>
      <c r="M6410" s="41"/>
      <c r="N6410" s="27" t="str">
        <f t="shared" si="641"/>
        <v/>
      </c>
      <c r="O6410" s="28"/>
      <c r="P6410" s="36" t="str">
        <f t="shared" si="642"/>
        <v/>
      </c>
      <c r="Q6410" s="216" t="str">
        <f t="shared" si="643"/>
        <v/>
      </c>
      <c r="R6410" s="216" t="str">
        <f t="shared" si="644"/>
        <v/>
      </c>
      <c r="S6410" s="217" t="str">
        <f t="shared" si="645"/>
        <v/>
      </c>
    </row>
    <row r="6411" spans="1:19" ht="15.75" hidden="1" thickBot="1" x14ac:dyDescent="0.3">
      <c r="A6411" s="262"/>
      <c r="B6411" s="260"/>
      <c r="C6411" s="31"/>
      <c r="D6411" s="31"/>
      <c r="E6411" s="32"/>
      <c r="F6411" s="42" t="s">
        <v>416</v>
      </c>
      <c r="G6411" s="30" t="str">
        <f t="shared" si="640"/>
        <v/>
      </c>
      <c r="H6411" s="34"/>
      <c r="I6411" s="30"/>
      <c r="J6411" s="152">
        <v>0</v>
      </c>
      <c r="L6411" s="219"/>
      <c r="M6411" s="42"/>
      <c r="N6411" s="30" t="str">
        <f t="shared" si="641"/>
        <v/>
      </c>
      <c r="O6411" s="34"/>
      <c r="P6411" s="36" t="str">
        <f t="shared" si="642"/>
        <v/>
      </c>
      <c r="Q6411" s="216" t="str">
        <f t="shared" si="643"/>
        <v/>
      </c>
      <c r="R6411" s="216" t="str">
        <f t="shared" si="644"/>
        <v/>
      </c>
      <c r="S6411" s="217" t="str">
        <f t="shared" si="645"/>
        <v/>
      </c>
    </row>
    <row r="6412" spans="1:19" ht="26.25" hidden="1" thickBot="1" x14ac:dyDescent="0.3">
      <c r="A6412" s="262"/>
      <c r="B6412" s="260"/>
      <c r="C6412" s="35" t="s">
        <v>825</v>
      </c>
      <c r="D6412" s="35" t="s">
        <v>583</v>
      </c>
      <c r="E6412" s="36">
        <v>5.2</v>
      </c>
      <c r="F6412" s="33">
        <v>26.799499999999998</v>
      </c>
      <c r="G6412" s="30">
        <f t="shared" si="640"/>
        <v>139.35739999999998</v>
      </c>
      <c r="H6412" s="38">
        <f>SUM(G6412:G6413)</f>
        <v>249.42059999999998</v>
      </c>
      <c r="I6412" s="39"/>
      <c r="J6412" s="152">
        <v>0</v>
      </c>
      <c r="L6412" s="215">
        <v>5.2</v>
      </c>
      <c r="M6412" s="33">
        <v>22.940372</v>
      </c>
      <c r="N6412" s="30">
        <f t="shared" si="641"/>
        <v>119.28993440000001</v>
      </c>
      <c r="O6412" s="38">
        <f>SUM(N6412:N6413)</f>
        <v>213.50403360000001</v>
      </c>
      <c r="P6412" s="36" t="str">
        <f t="shared" si="642"/>
        <v/>
      </c>
      <c r="Q6412" s="216">
        <f t="shared" si="643"/>
        <v>0.14399999999999991</v>
      </c>
      <c r="R6412" s="216">
        <f t="shared" si="644"/>
        <v>0.14399999999999991</v>
      </c>
      <c r="S6412" s="217">
        <f t="shared" si="645"/>
        <v>0.14399999999999991</v>
      </c>
    </row>
    <row r="6413" spans="1:19" ht="26.25" hidden="1" thickBot="1" x14ac:dyDescent="0.3">
      <c r="A6413" s="262"/>
      <c r="B6413" s="260"/>
      <c r="C6413" s="35" t="s">
        <v>824</v>
      </c>
      <c r="D6413" s="35" t="s">
        <v>583</v>
      </c>
      <c r="E6413" s="36">
        <v>5.2</v>
      </c>
      <c r="F6413" s="30">
        <v>21.166</v>
      </c>
      <c r="G6413" s="30">
        <f t="shared" si="640"/>
        <v>110.06320000000001</v>
      </c>
      <c r="H6413" s="34"/>
      <c r="I6413" s="30"/>
      <c r="J6413" s="152">
        <v>0</v>
      </c>
      <c r="L6413" s="215">
        <v>5.2</v>
      </c>
      <c r="M6413" s="30">
        <v>18.118096000000001</v>
      </c>
      <c r="N6413" s="30">
        <f t="shared" si="641"/>
        <v>94.214099200000007</v>
      </c>
      <c r="O6413" s="34"/>
      <c r="P6413" s="36" t="str">
        <f t="shared" si="642"/>
        <v/>
      </c>
      <c r="Q6413" s="216">
        <f t="shared" si="643"/>
        <v>0.14399999999999991</v>
      </c>
      <c r="R6413" s="216">
        <f t="shared" si="644"/>
        <v>0.14400000000000002</v>
      </c>
      <c r="S6413" s="217" t="str">
        <f t="shared" si="645"/>
        <v/>
      </c>
    </row>
    <row r="6414" spans="1:19" ht="15.75" hidden="1" thickBot="1" x14ac:dyDescent="0.3">
      <c r="A6414" s="263"/>
      <c r="B6414" s="261"/>
      <c r="C6414" s="54"/>
      <c r="D6414" s="54"/>
      <c r="E6414" s="65"/>
      <c r="F6414" s="66" t="s">
        <v>416</v>
      </c>
      <c r="G6414" s="66" t="str">
        <f t="shared" si="640"/>
        <v/>
      </c>
      <c r="H6414" s="68"/>
      <c r="I6414" s="30"/>
      <c r="J6414" s="152">
        <v>0</v>
      </c>
      <c r="L6414" s="222"/>
      <c r="M6414" s="66"/>
      <c r="N6414" s="66" t="str">
        <f t="shared" si="641"/>
        <v/>
      </c>
      <c r="O6414" s="68"/>
      <c r="P6414" s="36" t="str">
        <f t="shared" si="642"/>
        <v/>
      </c>
      <c r="Q6414" s="216" t="str">
        <f t="shared" si="643"/>
        <v/>
      </c>
      <c r="R6414" s="216" t="str">
        <f t="shared" si="644"/>
        <v/>
      </c>
      <c r="S6414" s="217" t="str">
        <f t="shared" si="645"/>
        <v/>
      </c>
    </row>
    <row r="6415" spans="1:19" ht="15.75" hidden="1" thickBot="1" x14ac:dyDescent="0.3">
      <c r="A6415" s="256" t="s">
        <v>5750</v>
      </c>
      <c r="B6415" s="259" t="str">
        <f>INDEX(Orçamentária!A:B,MATCH(Composições!A6415,Orçamentária!A:A,0),2)</f>
        <v>Remoção de Mesa de Granito e acessórios para aproveitamento</v>
      </c>
      <c r="C6415" s="40"/>
      <c r="D6415" s="25" t="s">
        <v>16</v>
      </c>
      <c r="E6415" s="26"/>
      <c r="F6415" s="41" t="s">
        <v>416</v>
      </c>
      <c r="G6415" s="27" t="str">
        <f t="shared" si="640"/>
        <v/>
      </c>
      <c r="H6415" s="28"/>
      <c r="I6415" s="29"/>
      <c r="J6415" s="152">
        <v>0</v>
      </c>
      <c r="L6415" s="218"/>
      <c r="M6415" s="41"/>
      <c r="N6415" s="27" t="str">
        <f t="shared" si="641"/>
        <v/>
      </c>
      <c r="O6415" s="28"/>
      <c r="P6415" s="36" t="str">
        <f t="shared" si="642"/>
        <v/>
      </c>
      <c r="Q6415" s="216" t="str">
        <f t="shared" si="643"/>
        <v/>
      </c>
      <c r="R6415" s="216" t="str">
        <f t="shared" si="644"/>
        <v/>
      </c>
      <c r="S6415" s="217" t="str">
        <f t="shared" si="645"/>
        <v/>
      </c>
    </row>
    <row r="6416" spans="1:19" ht="15.75" hidden="1" thickBot="1" x14ac:dyDescent="0.3">
      <c r="A6416" s="262"/>
      <c r="B6416" s="260"/>
      <c r="C6416" s="31"/>
      <c r="D6416" s="31"/>
      <c r="E6416" s="32"/>
      <c r="F6416" s="42" t="s">
        <v>416</v>
      </c>
      <c r="G6416" s="30" t="str">
        <f t="shared" si="640"/>
        <v/>
      </c>
      <c r="H6416" s="34"/>
      <c r="I6416" s="30"/>
      <c r="J6416" s="152">
        <v>0</v>
      </c>
      <c r="L6416" s="219"/>
      <c r="M6416" s="42"/>
      <c r="N6416" s="30" t="str">
        <f t="shared" si="641"/>
        <v/>
      </c>
      <c r="O6416" s="34"/>
      <c r="P6416" s="36" t="str">
        <f t="shared" si="642"/>
        <v/>
      </c>
      <c r="Q6416" s="216" t="str">
        <f t="shared" si="643"/>
        <v/>
      </c>
      <c r="R6416" s="216" t="str">
        <f t="shared" si="644"/>
        <v/>
      </c>
      <c r="S6416" s="217" t="str">
        <f t="shared" si="645"/>
        <v/>
      </c>
    </row>
    <row r="6417" spans="1:19" ht="15.75" hidden="1" thickBot="1" x14ac:dyDescent="0.3">
      <c r="A6417" s="262"/>
      <c r="B6417" s="260"/>
      <c r="C6417" s="35" t="s">
        <v>584</v>
      </c>
      <c r="D6417" s="35" t="s">
        <v>583</v>
      </c>
      <c r="E6417" s="36">
        <v>0.9</v>
      </c>
      <c r="F6417" s="30">
        <v>20.225499999999997</v>
      </c>
      <c r="G6417" s="30">
        <f t="shared" si="640"/>
        <v>18.202949999999998</v>
      </c>
      <c r="H6417" s="38">
        <f>SUM(G6417:G6417)</f>
        <v>18.202949999999998</v>
      </c>
      <c r="I6417" s="39"/>
      <c r="J6417" s="152">
        <v>0</v>
      </c>
      <c r="L6417" s="215">
        <v>0.9</v>
      </c>
      <c r="M6417" s="30">
        <v>17.313027999999996</v>
      </c>
      <c r="N6417" s="30">
        <f t="shared" si="641"/>
        <v>15.581725199999996</v>
      </c>
      <c r="O6417" s="38">
        <f>SUM(N6417:N6417)</f>
        <v>15.581725199999996</v>
      </c>
      <c r="P6417" s="36" t="str">
        <f t="shared" si="642"/>
        <v/>
      </c>
      <c r="Q6417" s="216">
        <f t="shared" si="643"/>
        <v>0.14400000000000013</v>
      </c>
      <c r="R6417" s="216">
        <f t="shared" si="644"/>
        <v>0.14400000000000013</v>
      </c>
      <c r="S6417" s="217">
        <f t="shared" si="645"/>
        <v>0.14400000000000013</v>
      </c>
    </row>
    <row r="6418" spans="1:19" ht="15.75" hidden="1" thickBot="1" x14ac:dyDescent="0.3">
      <c r="A6418" s="263"/>
      <c r="B6418" s="261"/>
      <c r="C6418" s="54"/>
      <c r="D6418" s="54"/>
      <c r="E6418" s="65"/>
      <c r="F6418" s="66" t="s">
        <v>416</v>
      </c>
      <c r="G6418" s="66" t="str">
        <f t="shared" si="640"/>
        <v/>
      </c>
      <c r="H6418" s="68"/>
      <c r="I6418" s="30"/>
      <c r="J6418" s="152">
        <v>0</v>
      </c>
      <c r="L6418" s="222"/>
      <c r="M6418" s="66"/>
      <c r="N6418" s="66" t="str">
        <f t="shared" si="641"/>
        <v/>
      </c>
      <c r="O6418" s="68"/>
      <c r="P6418" s="36" t="str">
        <f t="shared" si="642"/>
        <v/>
      </c>
      <c r="Q6418" s="216" t="str">
        <f t="shared" si="643"/>
        <v/>
      </c>
      <c r="R6418" s="216" t="str">
        <f t="shared" si="644"/>
        <v/>
      </c>
      <c r="S6418" s="217" t="str">
        <f t="shared" si="645"/>
        <v/>
      </c>
    </row>
    <row r="6419" spans="1:19" ht="15.75" hidden="1" thickBot="1" x14ac:dyDescent="0.3">
      <c r="A6419" s="256" t="s">
        <v>5751</v>
      </c>
      <c r="B6419" s="259" t="str">
        <f>INDEX(Orçamentária!A:B,MATCH(Composições!A6419,Orçamentária!A:A,0),2)</f>
        <v>Instalação de Mesa de Granito e acessórios reaproveitados</v>
      </c>
      <c r="C6419" s="40"/>
      <c r="D6419" s="25" t="s">
        <v>16</v>
      </c>
      <c r="E6419" s="26"/>
      <c r="F6419" s="41" t="s">
        <v>416</v>
      </c>
      <c r="G6419" s="27" t="str">
        <f t="shared" si="640"/>
        <v/>
      </c>
      <c r="H6419" s="28"/>
      <c r="I6419" s="29"/>
      <c r="J6419" s="152">
        <v>0</v>
      </c>
      <c r="L6419" s="218"/>
      <c r="M6419" s="41"/>
      <c r="N6419" s="27" t="str">
        <f t="shared" si="641"/>
        <v/>
      </c>
      <c r="O6419" s="28"/>
      <c r="P6419" s="36" t="str">
        <f t="shared" si="642"/>
        <v/>
      </c>
      <c r="Q6419" s="216" t="str">
        <f t="shared" si="643"/>
        <v/>
      </c>
      <c r="R6419" s="216" t="str">
        <f t="shared" si="644"/>
        <v/>
      </c>
      <c r="S6419" s="217" t="str">
        <f t="shared" si="645"/>
        <v/>
      </c>
    </row>
    <row r="6420" spans="1:19" ht="15.75" hidden="1" thickBot="1" x14ac:dyDescent="0.3">
      <c r="A6420" s="262"/>
      <c r="B6420" s="260"/>
      <c r="C6420" s="31"/>
      <c r="D6420" s="31"/>
      <c r="E6420" s="32"/>
      <c r="F6420" s="42" t="s">
        <v>416</v>
      </c>
      <c r="G6420" s="30" t="str">
        <f t="shared" si="640"/>
        <v/>
      </c>
      <c r="H6420" s="34"/>
      <c r="I6420" s="30"/>
      <c r="J6420" s="152">
        <v>0</v>
      </c>
      <c r="L6420" s="219"/>
      <c r="M6420" s="42"/>
      <c r="N6420" s="30" t="str">
        <f t="shared" si="641"/>
        <v/>
      </c>
      <c r="O6420" s="34"/>
      <c r="P6420" s="36" t="str">
        <f t="shared" si="642"/>
        <v/>
      </c>
      <c r="Q6420" s="216" t="str">
        <f t="shared" si="643"/>
        <v/>
      </c>
      <c r="R6420" s="216" t="str">
        <f t="shared" si="644"/>
        <v/>
      </c>
      <c r="S6420" s="217" t="str">
        <f t="shared" si="645"/>
        <v/>
      </c>
    </row>
    <row r="6421" spans="1:19" ht="15.75" hidden="1" thickBot="1" x14ac:dyDescent="0.3">
      <c r="A6421" s="262"/>
      <c r="B6421" s="260"/>
      <c r="C6421" s="35" t="s">
        <v>584</v>
      </c>
      <c r="D6421" s="35" t="s">
        <v>583</v>
      </c>
      <c r="E6421" s="36">
        <f>0.9*1.5</f>
        <v>1.35</v>
      </c>
      <c r="F6421" s="30">
        <v>20.225499999999997</v>
      </c>
      <c r="G6421" s="30">
        <f t="shared" si="640"/>
        <v>27.304424999999998</v>
      </c>
      <c r="H6421" s="38">
        <f>SUM(G6421:G6421)</f>
        <v>27.304424999999998</v>
      </c>
      <c r="I6421" s="39"/>
      <c r="J6421" s="152">
        <v>0</v>
      </c>
      <c r="L6421" s="215">
        <v>1.35</v>
      </c>
      <c r="M6421" s="30">
        <v>17.313027999999996</v>
      </c>
      <c r="N6421" s="30">
        <f t="shared" si="641"/>
        <v>23.372587799999994</v>
      </c>
      <c r="O6421" s="38">
        <f>SUM(N6421:N6421)</f>
        <v>23.372587799999994</v>
      </c>
      <c r="P6421" s="36" t="str">
        <f t="shared" si="642"/>
        <v/>
      </c>
      <c r="Q6421" s="216">
        <f t="shared" si="643"/>
        <v>0.14400000000000013</v>
      </c>
      <c r="R6421" s="216">
        <f t="shared" si="644"/>
        <v>0.14400000000000013</v>
      </c>
      <c r="S6421" s="217">
        <f t="shared" si="645"/>
        <v>0.14400000000000013</v>
      </c>
    </row>
    <row r="6422" spans="1:19" ht="15.75" hidden="1" thickBot="1" x14ac:dyDescent="0.3">
      <c r="A6422" s="263"/>
      <c r="B6422" s="261"/>
      <c r="C6422" s="54"/>
      <c r="D6422" s="54"/>
      <c r="E6422" s="65"/>
      <c r="F6422" s="66" t="s">
        <v>416</v>
      </c>
      <c r="G6422" s="66" t="str">
        <f t="shared" si="640"/>
        <v/>
      </c>
      <c r="H6422" s="68"/>
      <c r="I6422" s="30"/>
      <c r="J6422" s="152">
        <v>0</v>
      </c>
      <c r="L6422" s="222"/>
      <c r="M6422" s="66"/>
      <c r="N6422" s="66" t="str">
        <f t="shared" si="641"/>
        <v/>
      </c>
      <c r="O6422" s="68"/>
      <c r="P6422" s="36" t="str">
        <f t="shared" si="642"/>
        <v/>
      </c>
      <c r="Q6422" s="216" t="str">
        <f t="shared" si="643"/>
        <v/>
      </c>
      <c r="R6422" s="216" t="str">
        <f t="shared" si="644"/>
        <v/>
      </c>
      <c r="S6422" s="217" t="str">
        <f t="shared" si="645"/>
        <v/>
      </c>
    </row>
    <row r="6423" spans="1:19" ht="15.75" hidden="1" thickBot="1" x14ac:dyDescent="0.3">
      <c r="A6423" s="256" t="s">
        <v>5758</v>
      </c>
      <c r="B6423" s="259" t="str">
        <f>INDEX(Orçamentária!A:B,MATCH(Composições!A6423,Orçamentária!A:A,0),2)</f>
        <v>Demolição de revestimento de piso vinílico</v>
      </c>
      <c r="C6423" s="40"/>
      <c r="D6423" s="25" t="s">
        <v>70</v>
      </c>
      <c r="E6423" s="26"/>
      <c r="F6423" s="41" t="s">
        <v>416</v>
      </c>
      <c r="G6423" s="27" t="str">
        <f t="shared" si="640"/>
        <v/>
      </c>
      <c r="H6423" s="28"/>
      <c r="I6423" s="29"/>
      <c r="J6423" s="152">
        <v>0</v>
      </c>
      <c r="L6423" s="218"/>
      <c r="M6423" s="41"/>
      <c r="N6423" s="27" t="str">
        <f t="shared" si="641"/>
        <v/>
      </c>
      <c r="O6423" s="28"/>
      <c r="P6423" s="36" t="str">
        <f t="shared" si="642"/>
        <v/>
      </c>
      <c r="Q6423" s="216" t="str">
        <f t="shared" si="643"/>
        <v/>
      </c>
      <c r="R6423" s="216" t="str">
        <f t="shared" si="644"/>
        <v/>
      </c>
      <c r="S6423" s="217" t="str">
        <f t="shared" si="645"/>
        <v/>
      </c>
    </row>
    <row r="6424" spans="1:19" ht="15.75" hidden="1" thickBot="1" x14ac:dyDescent="0.3">
      <c r="A6424" s="262"/>
      <c r="B6424" s="260"/>
      <c r="C6424" s="31"/>
      <c r="D6424" s="31"/>
      <c r="E6424" s="32"/>
      <c r="F6424" s="42" t="s">
        <v>416</v>
      </c>
      <c r="G6424" s="30" t="str">
        <f t="shared" si="640"/>
        <v/>
      </c>
      <c r="H6424" s="34"/>
      <c r="I6424" s="30"/>
      <c r="J6424" s="152">
        <v>0</v>
      </c>
      <c r="L6424" s="219"/>
      <c r="M6424" s="42"/>
      <c r="N6424" s="30" t="str">
        <f t="shared" si="641"/>
        <v/>
      </c>
      <c r="O6424" s="34"/>
      <c r="P6424" s="36" t="str">
        <f t="shared" si="642"/>
        <v/>
      </c>
      <c r="Q6424" s="216" t="str">
        <f t="shared" si="643"/>
        <v/>
      </c>
      <c r="R6424" s="216" t="str">
        <f t="shared" si="644"/>
        <v/>
      </c>
      <c r="S6424" s="217" t="str">
        <f t="shared" si="645"/>
        <v/>
      </c>
    </row>
    <row r="6425" spans="1:19" ht="15.75" hidden="1" thickBot="1" x14ac:dyDescent="0.3">
      <c r="A6425" s="262"/>
      <c r="B6425" s="260"/>
      <c r="C6425" s="35" t="s">
        <v>591</v>
      </c>
      <c r="D6425" s="35" t="s">
        <v>583</v>
      </c>
      <c r="E6425" s="36">
        <v>0.09</v>
      </c>
      <c r="F6425" s="33">
        <v>27.160499999999999</v>
      </c>
      <c r="G6425" s="30">
        <f t="shared" si="640"/>
        <v>2.444445</v>
      </c>
      <c r="H6425" s="38">
        <f>SUM(G6425:G6426)</f>
        <v>20.647394999999996</v>
      </c>
      <c r="I6425" s="39"/>
      <c r="J6425" s="152">
        <v>0</v>
      </c>
      <c r="L6425" s="215">
        <v>0.09</v>
      </c>
      <c r="M6425" s="33">
        <v>23.249388</v>
      </c>
      <c r="N6425" s="30">
        <f t="shared" si="641"/>
        <v>2.0924449199999997</v>
      </c>
      <c r="O6425" s="38">
        <f>SUM(N6425:N6426)</f>
        <v>17.674170119999996</v>
      </c>
      <c r="P6425" s="36" t="str">
        <f t="shared" si="642"/>
        <v/>
      </c>
      <c r="Q6425" s="216">
        <f t="shared" si="643"/>
        <v>0.14400000000000002</v>
      </c>
      <c r="R6425" s="216">
        <f t="shared" si="644"/>
        <v>0.14400000000000013</v>
      </c>
      <c r="S6425" s="217">
        <f t="shared" si="645"/>
        <v>0.14400000000000002</v>
      </c>
    </row>
    <row r="6426" spans="1:19" ht="15.75" hidden="1" thickBot="1" x14ac:dyDescent="0.3">
      <c r="A6426" s="262"/>
      <c r="B6426" s="260"/>
      <c r="C6426" s="35" t="s">
        <v>584</v>
      </c>
      <c r="D6426" s="35" t="s">
        <v>583</v>
      </c>
      <c r="E6426" s="36">
        <v>0.9</v>
      </c>
      <c r="F6426" s="30">
        <v>20.225499999999997</v>
      </c>
      <c r="G6426" s="30">
        <f t="shared" si="640"/>
        <v>18.202949999999998</v>
      </c>
      <c r="H6426" s="34"/>
      <c r="I6426" s="30"/>
      <c r="J6426" s="152">
        <v>0</v>
      </c>
      <c r="L6426" s="215">
        <v>0.9</v>
      </c>
      <c r="M6426" s="30">
        <v>17.313027999999996</v>
      </c>
      <c r="N6426" s="30">
        <f t="shared" si="641"/>
        <v>15.581725199999996</v>
      </c>
      <c r="O6426" s="34"/>
      <c r="P6426" s="36" t="str">
        <f t="shared" si="642"/>
        <v/>
      </c>
      <c r="Q6426" s="216">
        <f t="shared" si="643"/>
        <v>0.14400000000000013</v>
      </c>
      <c r="R6426" s="216">
        <f t="shared" si="644"/>
        <v>0.14400000000000013</v>
      </c>
      <c r="S6426" s="217" t="str">
        <f t="shared" si="645"/>
        <v/>
      </c>
    </row>
    <row r="6427" spans="1:19" ht="15.75" hidden="1" thickBot="1" x14ac:dyDescent="0.3">
      <c r="A6427" s="263"/>
      <c r="B6427" s="261"/>
      <c r="C6427" s="54"/>
      <c r="D6427" s="54"/>
      <c r="E6427" s="65"/>
      <c r="F6427" s="66" t="s">
        <v>416</v>
      </c>
      <c r="G6427" s="66" t="str">
        <f t="shared" si="640"/>
        <v/>
      </c>
      <c r="H6427" s="68"/>
      <c r="I6427" s="30"/>
      <c r="J6427" s="152">
        <v>0</v>
      </c>
      <c r="L6427" s="222"/>
      <c r="M6427" s="66"/>
      <c r="N6427" s="66" t="str">
        <f t="shared" si="641"/>
        <v/>
      </c>
      <c r="O6427" s="68"/>
      <c r="P6427" s="36" t="str">
        <f t="shared" si="642"/>
        <v/>
      </c>
      <c r="Q6427" s="216" t="str">
        <f t="shared" si="643"/>
        <v/>
      </c>
      <c r="R6427" s="216" t="str">
        <f t="shared" si="644"/>
        <v/>
      </c>
      <c r="S6427" s="217" t="str">
        <f t="shared" si="645"/>
        <v/>
      </c>
    </row>
    <row r="6428" spans="1:19" ht="15.75" hidden="1" thickBot="1" x14ac:dyDescent="0.3">
      <c r="A6428" s="256" t="s">
        <v>5759</v>
      </c>
      <c r="B6428" s="259" t="str">
        <f>INDEX(Orçamentária!A:B,MATCH(Composições!A6428,Orçamentária!A:A,0),2)</f>
        <v>Remoção de telhas de fibrocimento, metálica ou cerâmica</v>
      </c>
      <c r="C6428" s="40"/>
      <c r="D6428" s="25" t="s">
        <v>70</v>
      </c>
      <c r="E6428" s="26"/>
      <c r="F6428" s="41" t="s">
        <v>416</v>
      </c>
      <c r="G6428" s="27" t="str">
        <f t="shared" si="640"/>
        <v/>
      </c>
      <c r="H6428" s="28"/>
      <c r="I6428" s="29"/>
      <c r="J6428" s="152">
        <v>0</v>
      </c>
      <c r="L6428" s="218"/>
      <c r="M6428" s="41"/>
      <c r="N6428" s="27" t="str">
        <f t="shared" si="641"/>
        <v/>
      </c>
      <c r="O6428" s="28"/>
      <c r="P6428" s="36" t="str">
        <f t="shared" si="642"/>
        <v/>
      </c>
      <c r="Q6428" s="216" t="str">
        <f t="shared" si="643"/>
        <v/>
      </c>
      <c r="R6428" s="216" t="str">
        <f t="shared" si="644"/>
        <v/>
      </c>
      <c r="S6428" s="217" t="str">
        <f t="shared" si="645"/>
        <v/>
      </c>
    </row>
    <row r="6429" spans="1:19" ht="15.75" hidden="1" thickBot="1" x14ac:dyDescent="0.3">
      <c r="A6429" s="262"/>
      <c r="B6429" s="260"/>
      <c r="C6429" s="31"/>
      <c r="D6429" s="31"/>
      <c r="E6429" s="32"/>
      <c r="F6429" s="42" t="s">
        <v>416</v>
      </c>
      <c r="G6429" s="30" t="str">
        <f t="shared" si="640"/>
        <v/>
      </c>
      <c r="H6429" s="34"/>
      <c r="I6429" s="30"/>
      <c r="J6429" s="152">
        <v>0</v>
      </c>
      <c r="L6429" s="219"/>
      <c r="M6429" s="42"/>
      <c r="N6429" s="30" t="str">
        <f t="shared" si="641"/>
        <v/>
      </c>
      <c r="O6429" s="34"/>
      <c r="P6429" s="36" t="str">
        <f t="shared" si="642"/>
        <v/>
      </c>
      <c r="Q6429" s="216" t="str">
        <f t="shared" si="643"/>
        <v/>
      </c>
      <c r="R6429" s="216" t="str">
        <f t="shared" si="644"/>
        <v/>
      </c>
      <c r="S6429" s="217" t="str">
        <f t="shared" si="645"/>
        <v/>
      </c>
    </row>
    <row r="6430" spans="1:19" ht="15.75" hidden="1" thickBot="1" x14ac:dyDescent="0.3">
      <c r="A6430" s="262"/>
      <c r="B6430" s="260"/>
      <c r="C6430" s="35" t="s">
        <v>584</v>
      </c>
      <c r="D6430" s="35" t="s">
        <v>583</v>
      </c>
      <c r="E6430" s="36">
        <v>9.7100000000000006E-2</v>
      </c>
      <c r="F6430" s="33">
        <v>20.225499999999997</v>
      </c>
      <c r="G6430" s="30">
        <f t="shared" si="640"/>
        <v>1.9638960499999998</v>
      </c>
      <c r="H6430" s="38">
        <f>SUM(G6430:G6431)</f>
        <v>3.2755895499999994</v>
      </c>
      <c r="I6430" s="39"/>
      <c r="J6430" s="152">
        <v>0</v>
      </c>
      <c r="L6430" s="215">
        <v>9.7100000000000006E-2</v>
      </c>
      <c r="M6430" s="33">
        <v>17.313027999999996</v>
      </c>
      <c r="N6430" s="30">
        <f t="shared" si="641"/>
        <v>1.6810950187999998</v>
      </c>
      <c r="O6430" s="38">
        <f>SUM(N6430:N6431)</f>
        <v>2.8039046547999997</v>
      </c>
      <c r="P6430" s="36" t="str">
        <f t="shared" si="642"/>
        <v/>
      </c>
      <c r="Q6430" s="216">
        <f t="shared" si="643"/>
        <v>0.14400000000000013</v>
      </c>
      <c r="R6430" s="216">
        <f t="shared" si="644"/>
        <v>0.14400000000000002</v>
      </c>
      <c r="S6430" s="217">
        <f t="shared" si="645"/>
        <v>0.14399999999999991</v>
      </c>
    </row>
    <row r="6431" spans="1:19" ht="15.75" hidden="1" thickBot="1" x14ac:dyDescent="0.3">
      <c r="A6431" s="262"/>
      <c r="B6431" s="260"/>
      <c r="C6431" s="35" t="s">
        <v>1156</v>
      </c>
      <c r="D6431" s="35" t="s">
        <v>583</v>
      </c>
      <c r="E6431" s="36">
        <v>4.9399999999999999E-2</v>
      </c>
      <c r="F6431" s="30">
        <v>26.552499999999998</v>
      </c>
      <c r="G6431" s="30">
        <f t="shared" si="640"/>
        <v>1.3116934999999998</v>
      </c>
      <c r="H6431" s="34"/>
      <c r="I6431" s="30"/>
      <c r="J6431" s="152">
        <v>0</v>
      </c>
      <c r="L6431" s="215">
        <v>4.9399999999999999E-2</v>
      </c>
      <c r="M6431" s="30">
        <v>22.728939999999998</v>
      </c>
      <c r="N6431" s="30">
        <f t="shared" si="641"/>
        <v>1.1228096359999999</v>
      </c>
      <c r="O6431" s="34"/>
      <c r="P6431" s="36" t="str">
        <f t="shared" si="642"/>
        <v/>
      </c>
      <c r="Q6431" s="216">
        <f t="shared" si="643"/>
        <v>0.14400000000000002</v>
      </c>
      <c r="R6431" s="216">
        <f t="shared" si="644"/>
        <v>0.14399999999999991</v>
      </c>
      <c r="S6431" s="217" t="str">
        <f t="shared" si="645"/>
        <v/>
      </c>
    </row>
    <row r="6432" spans="1:19" ht="15.75" hidden="1" thickBot="1" x14ac:dyDescent="0.3">
      <c r="A6432" s="263"/>
      <c r="B6432" s="261"/>
      <c r="C6432" s="54"/>
      <c r="D6432" s="54"/>
      <c r="E6432" s="65"/>
      <c r="F6432" s="66" t="s">
        <v>416</v>
      </c>
      <c r="G6432" s="66" t="str">
        <f t="shared" si="640"/>
        <v/>
      </c>
      <c r="H6432" s="68"/>
      <c r="I6432" s="30"/>
      <c r="J6432" s="152">
        <v>0</v>
      </c>
      <c r="L6432" s="222"/>
      <c r="M6432" s="66"/>
      <c r="N6432" s="66" t="str">
        <f t="shared" si="641"/>
        <v/>
      </c>
      <c r="O6432" s="68"/>
      <c r="P6432" s="36" t="str">
        <f t="shared" si="642"/>
        <v/>
      </c>
      <c r="Q6432" s="216" t="str">
        <f t="shared" si="643"/>
        <v/>
      </c>
      <c r="R6432" s="216" t="str">
        <f t="shared" si="644"/>
        <v/>
      </c>
      <c r="S6432" s="217" t="str">
        <f t="shared" si="645"/>
        <v/>
      </c>
    </row>
    <row r="6433" spans="1:19" ht="15.75" hidden="1" thickBot="1" x14ac:dyDescent="0.3">
      <c r="A6433" s="256" t="s">
        <v>5789</v>
      </c>
      <c r="B6433" s="259" t="str">
        <f>INDEX(Orçamentária!A:B,MATCH(Composições!A6433,Orçamentária!A:A,0),2)</f>
        <v>Instalação de forro metálico reaproveitado</v>
      </c>
      <c r="C6433" s="40"/>
      <c r="D6433" s="25" t="s">
        <v>70</v>
      </c>
      <c r="E6433" s="26"/>
      <c r="F6433" s="41" t="s">
        <v>416</v>
      </c>
      <c r="G6433" s="27" t="str">
        <f t="shared" si="640"/>
        <v/>
      </c>
      <c r="H6433" s="28"/>
      <c r="I6433" s="29"/>
      <c r="J6433" s="152">
        <v>0</v>
      </c>
      <c r="L6433" s="218"/>
      <c r="M6433" s="41"/>
      <c r="N6433" s="27" t="str">
        <f t="shared" si="641"/>
        <v/>
      </c>
      <c r="O6433" s="28"/>
      <c r="P6433" s="36" t="str">
        <f t="shared" si="642"/>
        <v/>
      </c>
      <c r="Q6433" s="216" t="str">
        <f t="shared" si="643"/>
        <v/>
      </c>
      <c r="R6433" s="216" t="str">
        <f t="shared" si="644"/>
        <v/>
      </c>
      <c r="S6433" s="217" t="str">
        <f t="shared" si="645"/>
        <v/>
      </c>
    </row>
    <row r="6434" spans="1:19" ht="15.75" hidden="1" thickBot="1" x14ac:dyDescent="0.3">
      <c r="A6434" s="257"/>
      <c r="B6434" s="260"/>
      <c r="C6434" s="31"/>
      <c r="D6434" s="31"/>
      <c r="E6434" s="32"/>
      <c r="F6434" s="42" t="s">
        <v>416</v>
      </c>
      <c r="G6434" s="30" t="str">
        <f t="shared" si="640"/>
        <v/>
      </c>
      <c r="H6434" s="34"/>
      <c r="I6434" s="30"/>
      <c r="J6434" s="152">
        <v>0</v>
      </c>
      <c r="L6434" s="219"/>
      <c r="M6434" s="42"/>
      <c r="N6434" s="30" t="str">
        <f t="shared" si="641"/>
        <v/>
      </c>
      <c r="O6434" s="34"/>
      <c r="P6434" s="36" t="str">
        <f t="shared" si="642"/>
        <v/>
      </c>
      <c r="Q6434" s="216" t="str">
        <f t="shared" si="643"/>
        <v/>
      </c>
      <c r="R6434" s="216" t="str">
        <f t="shared" si="644"/>
        <v/>
      </c>
      <c r="S6434" s="217" t="str">
        <f t="shared" si="645"/>
        <v/>
      </c>
    </row>
    <row r="6435" spans="1:19" ht="26.25" hidden="1" thickBot="1" x14ac:dyDescent="0.3">
      <c r="A6435" s="257"/>
      <c r="B6435" s="260"/>
      <c r="C6435" s="35" t="s">
        <v>2901</v>
      </c>
      <c r="D6435" s="35" t="s">
        <v>583</v>
      </c>
      <c r="E6435" s="36">
        <v>0.5</v>
      </c>
      <c r="F6435" s="33">
        <v>23.160999999999998</v>
      </c>
      <c r="G6435" s="30">
        <f t="shared" si="640"/>
        <v>11.580499999999999</v>
      </c>
      <c r="H6435" s="38">
        <f>SUM(G6435:G6436)</f>
        <v>21.940249999999999</v>
      </c>
      <c r="I6435" s="39"/>
      <c r="J6435" s="152">
        <v>0</v>
      </c>
      <c r="L6435" s="215">
        <v>0.5</v>
      </c>
      <c r="M6435" s="33">
        <v>19.825816</v>
      </c>
      <c r="N6435" s="30">
        <f t="shared" si="641"/>
        <v>9.9129079999999998</v>
      </c>
      <c r="O6435" s="38">
        <f>SUM(N6435:N6436)</f>
        <v>18.780853999999998</v>
      </c>
      <c r="P6435" s="36" t="str">
        <f t="shared" si="642"/>
        <v/>
      </c>
      <c r="Q6435" s="216">
        <f t="shared" si="643"/>
        <v>0.14399999999999991</v>
      </c>
      <c r="R6435" s="216">
        <f t="shared" si="644"/>
        <v>0.14399999999999991</v>
      </c>
      <c r="S6435" s="217">
        <f t="shared" si="645"/>
        <v>0.14400000000000002</v>
      </c>
    </row>
    <row r="6436" spans="1:19" ht="26.25" hidden="1" thickBot="1" x14ac:dyDescent="0.3">
      <c r="A6436" s="257"/>
      <c r="B6436" s="260"/>
      <c r="C6436" s="35" t="s">
        <v>854</v>
      </c>
      <c r="D6436" s="35" t="s">
        <v>583</v>
      </c>
      <c r="E6436" s="36">
        <v>0.5</v>
      </c>
      <c r="F6436" s="33">
        <v>20.719499999999996</v>
      </c>
      <c r="G6436" s="30">
        <f t="shared" si="640"/>
        <v>10.359749999999998</v>
      </c>
      <c r="H6436" s="34"/>
      <c r="I6436" s="30"/>
      <c r="J6436" s="152">
        <v>0</v>
      </c>
      <c r="L6436" s="215">
        <v>0.5</v>
      </c>
      <c r="M6436" s="33">
        <v>17.735891999999996</v>
      </c>
      <c r="N6436" s="30">
        <f t="shared" si="641"/>
        <v>8.8679459999999981</v>
      </c>
      <c r="O6436" s="34"/>
      <c r="P6436" s="36" t="str">
        <f t="shared" si="642"/>
        <v/>
      </c>
      <c r="Q6436" s="216">
        <f t="shared" si="643"/>
        <v>0.14400000000000002</v>
      </c>
      <c r="R6436" s="216">
        <f t="shared" si="644"/>
        <v>0.14400000000000002</v>
      </c>
      <c r="S6436" s="217" t="str">
        <f t="shared" si="645"/>
        <v/>
      </c>
    </row>
    <row r="6437" spans="1:19" ht="15.75" hidden="1" thickBot="1" x14ac:dyDescent="0.3">
      <c r="A6437" s="258"/>
      <c r="B6437" s="261"/>
      <c r="C6437" s="35"/>
      <c r="D6437" s="35"/>
      <c r="E6437" s="36"/>
      <c r="F6437" s="30" t="s">
        <v>416</v>
      </c>
      <c r="G6437" s="30" t="str">
        <f t="shared" si="640"/>
        <v/>
      </c>
      <c r="H6437" s="34"/>
      <c r="I6437" s="30"/>
      <c r="J6437" s="152">
        <v>0</v>
      </c>
      <c r="L6437" s="215"/>
      <c r="M6437" s="30"/>
      <c r="N6437" s="30" t="str">
        <f t="shared" si="641"/>
        <v/>
      </c>
      <c r="O6437" s="34"/>
      <c r="P6437" s="36" t="str">
        <f t="shared" si="642"/>
        <v/>
      </c>
      <c r="Q6437" s="216" t="str">
        <f t="shared" si="643"/>
        <v/>
      </c>
      <c r="R6437" s="216" t="str">
        <f t="shared" si="644"/>
        <v/>
      </c>
      <c r="S6437" s="217" t="str">
        <f t="shared" si="645"/>
        <v/>
      </c>
    </row>
    <row r="6438" spans="1:19" ht="15.75" hidden="1" thickBot="1" x14ac:dyDescent="0.3">
      <c r="A6438" s="256" t="s">
        <v>5790</v>
      </c>
      <c r="B6438" s="259" t="str">
        <f>INDEX(Orçamentária!A:B,MATCH(Composições!A6438,Orçamentária!A:A,0),2)</f>
        <v>Condulete de alumínio de 1 1/2”</v>
      </c>
      <c r="C6438" s="40"/>
      <c r="D6438" s="25" t="s">
        <v>16</v>
      </c>
      <c r="E6438" s="26"/>
      <c r="F6438" s="41" t="s">
        <v>416</v>
      </c>
      <c r="G6438" s="27" t="str">
        <f t="shared" si="640"/>
        <v/>
      </c>
      <c r="H6438" s="28"/>
      <c r="I6438" s="29"/>
      <c r="J6438" s="152">
        <v>0</v>
      </c>
      <c r="L6438" s="218"/>
      <c r="M6438" s="41"/>
      <c r="N6438" s="27" t="str">
        <f t="shared" si="641"/>
        <v/>
      </c>
      <c r="O6438" s="28"/>
      <c r="P6438" s="36" t="str">
        <f t="shared" si="642"/>
        <v/>
      </c>
      <c r="Q6438" s="216" t="str">
        <f t="shared" si="643"/>
        <v/>
      </c>
      <c r="R6438" s="216" t="str">
        <f t="shared" si="644"/>
        <v/>
      </c>
      <c r="S6438" s="217" t="str">
        <f t="shared" si="645"/>
        <v/>
      </c>
    </row>
    <row r="6439" spans="1:19" ht="15.75" hidden="1" thickBot="1" x14ac:dyDescent="0.3">
      <c r="A6439" s="257"/>
      <c r="B6439" s="260"/>
      <c r="C6439" s="31"/>
      <c r="D6439" s="31"/>
      <c r="E6439" s="32"/>
      <c r="F6439" s="42" t="s">
        <v>416</v>
      </c>
      <c r="G6439" s="30" t="str">
        <f t="shared" si="640"/>
        <v/>
      </c>
      <c r="H6439" s="34"/>
      <c r="I6439" s="30"/>
      <c r="J6439" s="152">
        <v>0</v>
      </c>
      <c r="L6439" s="219"/>
      <c r="M6439" s="42"/>
      <c r="N6439" s="30" t="str">
        <f t="shared" si="641"/>
        <v/>
      </c>
      <c r="O6439" s="34"/>
      <c r="P6439" s="36" t="str">
        <f t="shared" si="642"/>
        <v/>
      </c>
      <c r="Q6439" s="216" t="str">
        <f t="shared" si="643"/>
        <v/>
      </c>
      <c r="R6439" s="216" t="str">
        <f t="shared" si="644"/>
        <v/>
      </c>
      <c r="S6439" s="217" t="str">
        <f t="shared" si="645"/>
        <v/>
      </c>
    </row>
    <row r="6440" spans="1:19" ht="26.25" hidden="1" thickBot="1" x14ac:dyDescent="0.3">
      <c r="A6440" s="257"/>
      <c r="B6440" s="260"/>
      <c r="C6440" s="35" t="s">
        <v>8076</v>
      </c>
      <c r="D6440" s="35" t="s">
        <v>213</v>
      </c>
      <c r="E6440" s="36">
        <v>1</v>
      </c>
      <c r="F6440" s="33">
        <v>28.157999999999998</v>
      </c>
      <c r="G6440" s="30">
        <f t="shared" si="640"/>
        <v>28.157999999999998</v>
      </c>
      <c r="H6440" s="38">
        <f>SUM(G6440:G6443)</f>
        <v>50.005854899999996</v>
      </c>
      <c r="I6440" s="39"/>
      <c r="J6440" s="152">
        <v>0</v>
      </c>
      <c r="L6440" s="215">
        <v>1</v>
      </c>
      <c r="M6440" s="33">
        <v>24.103247999999997</v>
      </c>
      <c r="N6440" s="30">
        <f t="shared" si="641"/>
        <v>24.103247999999997</v>
      </c>
      <c r="O6440" s="38">
        <f>SUM(N6440:N6443)</f>
        <v>42.805011794399995</v>
      </c>
      <c r="P6440" s="36" t="str">
        <f t="shared" si="642"/>
        <v/>
      </c>
      <c r="Q6440" s="216">
        <f t="shared" si="643"/>
        <v>0.14400000000000002</v>
      </c>
      <c r="R6440" s="216">
        <f t="shared" si="644"/>
        <v>0.14400000000000002</v>
      </c>
      <c r="S6440" s="217">
        <f t="shared" si="645"/>
        <v>0.14400000000000002</v>
      </c>
    </row>
    <row r="6441" spans="1:19" ht="39" hidden="1" thickBot="1" x14ac:dyDescent="0.3">
      <c r="A6441" s="257"/>
      <c r="B6441" s="260"/>
      <c r="C6441" s="35" t="s">
        <v>8010</v>
      </c>
      <c r="D6441" s="35" t="s">
        <v>213</v>
      </c>
      <c r="E6441" s="36">
        <v>2</v>
      </c>
      <c r="F6441" s="33">
        <v>0.3705</v>
      </c>
      <c r="G6441" s="30">
        <f t="shared" si="640"/>
        <v>0.74099999999999999</v>
      </c>
      <c r="H6441" s="34"/>
      <c r="I6441" s="30"/>
      <c r="J6441" s="152">
        <v>0</v>
      </c>
      <c r="L6441" s="215">
        <v>2</v>
      </c>
      <c r="M6441" s="33">
        <v>0.31714799999999999</v>
      </c>
      <c r="N6441" s="30">
        <f t="shared" si="641"/>
        <v>0.63429599999999997</v>
      </c>
      <c r="O6441" s="34"/>
      <c r="P6441" s="36" t="str">
        <f t="shared" si="642"/>
        <v/>
      </c>
      <c r="Q6441" s="216">
        <f t="shared" si="643"/>
        <v>0.14400000000000002</v>
      </c>
      <c r="R6441" s="216">
        <f t="shared" si="644"/>
        <v>0.14400000000000002</v>
      </c>
      <c r="S6441" s="217" t="str">
        <f t="shared" si="645"/>
        <v/>
      </c>
    </row>
    <row r="6442" spans="1:19" ht="15.75" hidden="1" thickBot="1" x14ac:dyDescent="0.3">
      <c r="A6442" s="257"/>
      <c r="B6442" s="260"/>
      <c r="C6442" s="35" t="s">
        <v>1017</v>
      </c>
      <c r="D6442" s="35" t="s">
        <v>583</v>
      </c>
      <c r="E6442" s="36">
        <v>0.42709999999999998</v>
      </c>
      <c r="F6442" s="33">
        <v>21.584</v>
      </c>
      <c r="G6442" s="30">
        <f t="shared" si="640"/>
        <v>9.2185264</v>
      </c>
      <c r="H6442" s="34"/>
      <c r="I6442" s="30"/>
      <c r="J6442" s="152">
        <v>0</v>
      </c>
      <c r="L6442" s="215">
        <v>0.42709999999999998</v>
      </c>
      <c r="M6442" s="33">
        <v>18.475904</v>
      </c>
      <c r="N6442" s="30">
        <f t="shared" si="641"/>
        <v>7.8910585983999999</v>
      </c>
      <c r="O6442" s="34"/>
      <c r="P6442" s="36" t="str">
        <f t="shared" si="642"/>
        <v/>
      </c>
      <c r="Q6442" s="216">
        <f t="shared" si="643"/>
        <v>0.14400000000000002</v>
      </c>
      <c r="R6442" s="216">
        <f t="shared" si="644"/>
        <v>0.14400000000000002</v>
      </c>
      <c r="S6442" s="217" t="str">
        <f t="shared" si="645"/>
        <v/>
      </c>
    </row>
    <row r="6443" spans="1:19" ht="15.75" hidden="1" thickBot="1" x14ac:dyDescent="0.3">
      <c r="A6443" s="257"/>
      <c r="B6443" s="260"/>
      <c r="C6443" s="35" t="s">
        <v>1018</v>
      </c>
      <c r="D6443" s="35" t="s">
        <v>583</v>
      </c>
      <c r="E6443" s="36">
        <v>0.42709999999999998</v>
      </c>
      <c r="F6443" s="33">
        <v>27.835000000000001</v>
      </c>
      <c r="G6443" s="30">
        <f t="shared" si="640"/>
        <v>11.8883285</v>
      </c>
      <c r="H6443" s="34"/>
      <c r="I6443" s="30"/>
      <c r="J6443" s="152">
        <v>0</v>
      </c>
      <c r="L6443" s="215">
        <v>0.42709999999999998</v>
      </c>
      <c r="M6443" s="33">
        <v>23.82676</v>
      </c>
      <c r="N6443" s="30">
        <f t="shared" si="641"/>
        <v>10.176409196</v>
      </c>
      <c r="O6443" s="34"/>
      <c r="P6443" s="36" t="str">
        <f t="shared" si="642"/>
        <v/>
      </c>
      <c r="Q6443" s="216">
        <f t="shared" si="643"/>
        <v>0.14400000000000002</v>
      </c>
      <c r="R6443" s="216">
        <f t="shared" si="644"/>
        <v>0.14400000000000002</v>
      </c>
      <c r="S6443" s="217" t="str">
        <f t="shared" si="645"/>
        <v/>
      </c>
    </row>
    <row r="6444" spans="1:19" ht="15.75" hidden="1" thickBot="1" x14ac:dyDescent="0.3">
      <c r="A6444" s="258"/>
      <c r="B6444" s="261"/>
      <c r="C6444" s="35"/>
      <c r="D6444" s="35"/>
      <c r="E6444" s="36"/>
      <c r="F6444" s="30" t="s">
        <v>416</v>
      </c>
      <c r="G6444" s="30" t="str">
        <f t="shared" si="640"/>
        <v/>
      </c>
      <c r="H6444" s="34"/>
      <c r="I6444" s="30"/>
      <c r="J6444" s="152">
        <v>0</v>
      </c>
      <c r="L6444" s="215"/>
      <c r="M6444" s="30"/>
      <c r="N6444" s="30" t="str">
        <f t="shared" si="641"/>
        <v/>
      </c>
      <c r="O6444" s="34"/>
      <c r="P6444" s="36" t="str">
        <f t="shared" si="642"/>
        <v/>
      </c>
      <c r="Q6444" s="216" t="str">
        <f t="shared" si="643"/>
        <v/>
      </c>
      <c r="R6444" s="216" t="str">
        <f t="shared" si="644"/>
        <v/>
      </c>
      <c r="S6444" s="217" t="str">
        <f t="shared" si="645"/>
        <v/>
      </c>
    </row>
    <row r="6445" spans="1:19" ht="15.75" thickBot="1" x14ac:dyDescent="0.3">
      <c r="A6445" s="256" t="s">
        <v>5799</v>
      </c>
      <c r="B6445" s="259" t="str">
        <f>INDEX(Orçamentária!A:B,MATCH(Composições!A6445,Orçamentária!A:A,0),2)</f>
        <v>Remoção de pavimento em elementos intertravados de concreto</v>
      </c>
      <c r="C6445" s="40"/>
      <c r="D6445" s="25" t="s">
        <v>70</v>
      </c>
      <c r="E6445" s="26"/>
      <c r="F6445" s="41" t="s">
        <v>416</v>
      </c>
      <c r="G6445" s="27" t="str">
        <f t="shared" si="640"/>
        <v/>
      </c>
      <c r="H6445" s="28"/>
      <c r="I6445" s="29"/>
      <c r="J6445" s="152">
        <v>15</v>
      </c>
      <c r="L6445" s="218"/>
      <c r="M6445" s="41"/>
      <c r="N6445" s="27" t="str">
        <f t="shared" si="641"/>
        <v/>
      </c>
      <c r="O6445" s="28"/>
      <c r="P6445" s="36" t="str">
        <f t="shared" si="642"/>
        <v/>
      </c>
      <c r="Q6445" s="216" t="str">
        <f t="shared" si="643"/>
        <v/>
      </c>
      <c r="R6445" s="216" t="str">
        <f t="shared" si="644"/>
        <v/>
      </c>
      <c r="S6445" s="217" t="str">
        <f t="shared" si="645"/>
        <v/>
      </c>
    </row>
    <row r="6446" spans="1:19" x14ac:dyDescent="0.25">
      <c r="A6446" s="262"/>
      <c r="B6446" s="260"/>
      <c r="C6446" s="31"/>
      <c r="D6446" s="31"/>
      <c r="E6446" s="32"/>
      <c r="F6446" s="42" t="s">
        <v>416</v>
      </c>
      <c r="G6446" s="30" t="str">
        <f t="shared" si="640"/>
        <v/>
      </c>
      <c r="H6446" s="34"/>
      <c r="I6446" s="30"/>
      <c r="J6446" s="152">
        <v>15</v>
      </c>
      <c r="L6446" s="219"/>
      <c r="M6446" s="42"/>
      <c r="N6446" s="30" t="str">
        <f t="shared" si="641"/>
        <v/>
      </c>
      <c r="O6446" s="34"/>
      <c r="P6446" s="36" t="str">
        <f t="shared" si="642"/>
        <v/>
      </c>
      <c r="Q6446" s="216" t="str">
        <f t="shared" si="643"/>
        <v/>
      </c>
      <c r="R6446" s="216" t="str">
        <f t="shared" si="644"/>
        <v/>
      </c>
      <c r="S6446" s="217" t="str">
        <f t="shared" si="645"/>
        <v/>
      </c>
    </row>
    <row r="6447" spans="1:19" x14ac:dyDescent="0.25">
      <c r="A6447" s="262"/>
      <c r="B6447" s="260"/>
      <c r="C6447" s="35" t="s">
        <v>1124</v>
      </c>
      <c r="D6447" s="35" t="s">
        <v>583</v>
      </c>
      <c r="E6447" s="36">
        <v>0.45910000000000001</v>
      </c>
      <c r="F6447" s="33">
        <v>25.127499999999998</v>
      </c>
      <c r="G6447" s="30">
        <f t="shared" si="640"/>
        <v>11.536035249999999</v>
      </c>
      <c r="H6447" s="38">
        <f>SUM(G6447:G6448)</f>
        <v>14.735709349999999</v>
      </c>
      <c r="I6447" s="39"/>
      <c r="J6447" s="152">
        <v>15</v>
      </c>
      <c r="L6447" s="215">
        <v>0.45910000000000001</v>
      </c>
      <c r="M6447" s="33">
        <v>21.509139999999999</v>
      </c>
      <c r="N6447" s="30">
        <f t="shared" si="641"/>
        <v>9.874846174</v>
      </c>
      <c r="O6447" s="38">
        <f>SUM(N6447:N6448)</f>
        <v>12.613767203599998</v>
      </c>
      <c r="P6447" s="36" t="str">
        <f t="shared" si="642"/>
        <v/>
      </c>
      <c r="Q6447" s="216">
        <f t="shared" si="643"/>
        <v>0.14400000000000002</v>
      </c>
      <c r="R6447" s="216">
        <f t="shared" si="644"/>
        <v>0.14399999999999991</v>
      </c>
      <c r="S6447" s="217">
        <f t="shared" si="645"/>
        <v>0.14400000000000002</v>
      </c>
    </row>
    <row r="6448" spans="1:19" x14ac:dyDescent="0.25">
      <c r="A6448" s="262"/>
      <c r="B6448" s="260"/>
      <c r="C6448" s="35" t="s">
        <v>584</v>
      </c>
      <c r="D6448" s="35" t="s">
        <v>583</v>
      </c>
      <c r="E6448" s="36">
        <v>0.15820000000000001</v>
      </c>
      <c r="F6448" s="30">
        <v>20.225499999999997</v>
      </c>
      <c r="G6448" s="30">
        <f t="shared" si="640"/>
        <v>3.1996740999999997</v>
      </c>
      <c r="H6448" s="34"/>
      <c r="I6448" s="30"/>
      <c r="J6448" s="152">
        <v>15</v>
      </c>
      <c r="L6448" s="215">
        <v>0.15820000000000001</v>
      </c>
      <c r="M6448" s="30">
        <v>17.313027999999996</v>
      </c>
      <c r="N6448" s="30">
        <f t="shared" si="641"/>
        <v>2.7389210295999993</v>
      </c>
      <c r="O6448" s="34"/>
      <c r="P6448" s="36" t="str">
        <f t="shared" si="642"/>
        <v/>
      </c>
      <c r="Q6448" s="216">
        <f t="shared" si="643"/>
        <v>0.14400000000000013</v>
      </c>
      <c r="R6448" s="216">
        <f t="shared" si="644"/>
        <v>0.14400000000000013</v>
      </c>
      <c r="S6448" s="217" t="str">
        <f t="shared" si="645"/>
        <v/>
      </c>
    </row>
    <row r="6449" spans="1:19" ht="15.75" thickBot="1" x14ac:dyDescent="0.3">
      <c r="A6449" s="263"/>
      <c r="B6449" s="261"/>
      <c r="C6449" s="54"/>
      <c r="D6449" s="54"/>
      <c r="E6449" s="65"/>
      <c r="F6449" s="66" t="s">
        <v>416</v>
      </c>
      <c r="G6449" s="66" t="str">
        <f t="shared" si="640"/>
        <v/>
      </c>
      <c r="H6449" s="68"/>
      <c r="I6449" s="30"/>
      <c r="J6449" s="152">
        <v>15</v>
      </c>
      <c r="L6449" s="222"/>
      <c r="M6449" s="66"/>
      <c r="N6449" s="66" t="str">
        <f t="shared" si="641"/>
        <v/>
      </c>
      <c r="O6449" s="68"/>
      <c r="P6449" s="36" t="str">
        <f t="shared" si="642"/>
        <v/>
      </c>
      <c r="Q6449" s="216" t="str">
        <f t="shared" si="643"/>
        <v/>
      </c>
      <c r="R6449" s="216" t="str">
        <f t="shared" si="644"/>
        <v/>
      </c>
      <c r="S6449" s="217" t="str">
        <f t="shared" si="645"/>
        <v/>
      </c>
    </row>
    <row r="6450" spans="1:19" ht="15.75" thickBot="1" x14ac:dyDescent="0.3">
      <c r="A6450" s="256" t="s">
        <v>5800</v>
      </c>
      <c r="B6450" s="259" t="str">
        <f>INDEX(Orçamentária!A:B,MATCH(Composições!A6450,Orçamentária!A:A,0),2)</f>
        <v>Instalação de pavimentação em elementos intertravados de concreto reaproveitados</v>
      </c>
      <c r="C6450" s="40"/>
      <c r="D6450" s="25" t="s">
        <v>70</v>
      </c>
      <c r="E6450" s="26"/>
      <c r="F6450" s="41" t="s">
        <v>416</v>
      </c>
      <c r="G6450" s="27" t="str">
        <f t="shared" ref="G6450:G6513" si="646">IF(ISNUMBER(F6450),E6450*F6450,"")</f>
        <v/>
      </c>
      <c r="H6450" s="28"/>
      <c r="I6450" s="29"/>
      <c r="J6450" s="152">
        <v>11</v>
      </c>
      <c r="L6450" s="218"/>
      <c r="M6450" s="41"/>
      <c r="N6450" s="27" t="str">
        <f t="shared" ref="N6450:N6513" si="647">IF(ISNUMBER(M6450),L6450*M6450,"")</f>
        <v/>
      </c>
      <c r="O6450" s="28"/>
      <c r="P6450" s="36" t="str">
        <f t="shared" si="642"/>
        <v/>
      </c>
      <c r="Q6450" s="216" t="str">
        <f t="shared" si="643"/>
        <v/>
      </c>
      <c r="R6450" s="216" t="str">
        <f t="shared" si="644"/>
        <v/>
      </c>
      <c r="S6450" s="217" t="str">
        <f t="shared" si="645"/>
        <v/>
      </c>
    </row>
    <row r="6451" spans="1:19" x14ac:dyDescent="0.25">
      <c r="A6451" s="262"/>
      <c r="B6451" s="260"/>
      <c r="C6451" s="31"/>
      <c r="D6451" s="31"/>
      <c r="E6451" s="32"/>
      <c r="F6451" s="42" t="s">
        <v>416</v>
      </c>
      <c r="G6451" s="30" t="str">
        <f t="shared" si="646"/>
        <v/>
      </c>
      <c r="H6451" s="34"/>
      <c r="I6451" s="30"/>
      <c r="J6451" s="152">
        <v>11</v>
      </c>
      <c r="L6451" s="219"/>
      <c r="M6451" s="42"/>
      <c r="N6451" s="30" t="str">
        <f t="shared" si="647"/>
        <v/>
      </c>
      <c r="O6451" s="34"/>
      <c r="P6451" s="36" t="str">
        <f t="shared" si="642"/>
        <v/>
      </c>
      <c r="Q6451" s="216" t="str">
        <f t="shared" si="643"/>
        <v/>
      </c>
      <c r="R6451" s="216" t="str">
        <f t="shared" si="644"/>
        <v/>
      </c>
      <c r="S6451" s="217" t="str">
        <f t="shared" si="645"/>
        <v/>
      </c>
    </row>
    <row r="6452" spans="1:19" ht="25.5" x14ac:dyDescent="0.25">
      <c r="A6452" s="262"/>
      <c r="B6452" s="260"/>
      <c r="C6452" s="35" t="s">
        <v>7985</v>
      </c>
      <c r="D6452" s="35" t="s">
        <v>87</v>
      </c>
      <c r="E6452" s="36">
        <v>5.6800000000000003E-2</v>
      </c>
      <c r="F6452" s="33">
        <v>202.33099999999999</v>
      </c>
      <c r="G6452" s="30">
        <f t="shared" si="646"/>
        <v>11.4924008</v>
      </c>
      <c r="H6452" s="38">
        <f>SUM(G6452:G6457)</f>
        <v>21.90984525</v>
      </c>
      <c r="I6452" s="39"/>
      <c r="J6452" s="152">
        <v>11</v>
      </c>
      <c r="L6452" s="215">
        <v>5.6800000000000003E-2</v>
      </c>
      <c r="M6452" s="33">
        <v>173.195336</v>
      </c>
      <c r="N6452" s="30">
        <f t="shared" si="647"/>
        <v>9.8374950848000005</v>
      </c>
      <c r="O6452" s="38">
        <f>SUM(N6452:N6457)</f>
        <v>18.754827534</v>
      </c>
      <c r="P6452" s="36" t="str">
        <f t="shared" si="642"/>
        <v/>
      </c>
      <c r="Q6452" s="216">
        <f t="shared" si="643"/>
        <v>0.14400000000000002</v>
      </c>
      <c r="R6452" s="216">
        <f t="shared" si="644"/>
        <v>0.14400000000000002</v>
      </c>
      <c r="S6452" s="217">
        <f t="shared" si="645"/>
        <v>0.14400000000000002</v>
      </c>
    </row>
    <row r="6453" spans="1:19" x14ac:dyDescent="0.25">
      <c r="A6453" s="262"/>
      <c r="B6453" s="260"/>
      <c r="C6453" s="35" t="s">
        <v>1122</v>
      </c>
      <c r="D6453" s="35" t="s">
        <v>87</v>
      </c>
      <c r="E6453" s="36">
        <v>6.4000000000000003E-3</v>
      </c>
      <c r="F6453" s="30">
        <v>166.67749999999998</v>
      </c>
      <c r="G6453" s="30">
        <f t="shared" si="646"/>
        <v>1.0667359999999999</v>
      </c>
      <c r="H6453" s="34"/>
      <c r="I6453" s="30"/>
      <c r="J6453" s="152">
        <v>11</v>
      </c>
      <c r="L6453" s="215">
        <v>6.4000000000000003E-3</v>
      </c>
      <c r="M6453" s="30">
        <v>142.67594</v>
      </c>
      <c r="N6453" s="30">
        <f t="shared" si="647"/>
        <v>0.91312601599999998</v>
      </c>
      <c r="O6453" s="34"/>
      <c r="P6453" s="36" t="str">
        <f t="shared" si="642"/>
        <v/>
      </c>
      <c r="Q6453" s="216">
        <f t="shared" si="643"/>
        <v>0.14399999999999991</v>
      </c>
      <c r="R6453" s="216">
        <f t="shared" si="644"/>
        <v>0.14399999999999991</v>
      </c>
      <c r="S6453" s="217" t="str">
        <f t="shared" si="645"/>
        <v/>
      </c>
    </row>
    <row r="6454" spans="1:19" x14ac:dyDescent="0.25">
      <c r="A6454" s="262"/>
      <c r="B6454" s="260"/>
      <c r="C6454" s="35" t="s">
        <v>1124</v>
      </c>
      <c r="D6454" s="35" t="s">
        <v>583</v>
      </c>
      <c r="E6454" s="36">
        <v>0.2041</v>
      </c>
      <c r="F6454" s="30">
        <v>25.127499999999998</v>
      </c>
      <c r="G6454" s="30">
        <f t="shared" si="646"/>
        <v>5.1285227499999992</v>
      </c>
      <c r="H6454" s="34"/>
      <c r="I6454" s="30"/>
      <c r="J6454" s="152">
        <v>11</v>
      </c>
      <c r="L6454" s="215">
        <v>0.2041</v>
      </c>
      <c r="M6454" s="30">
        <v>21.509139999999999</v>
      </c>
      <c r="N6454" s="30">
        <f t="shared" si="647"/>
        <v>4.3900154740000001</v>
      </c>
      <c r="O6454" s="34"/>
      <c r="P6454" s="36" t="str">
        <f t="shared" si="642"/>
        <v/>
      </c>
      <c r="Q6454" s="216">
        <f t="shared" si="643"/>
        <v>0.14400000000000002</v>
      </c>
      <c r="R6454" s="216">
        <f t="shared" si="644"/>
        <v>0.14399999999999979</v>
      </c>
      <c r="S6454" s="217" t="str">
        <f t="shared" si="645"/>
        <v/>
      </c>
    </row>
    <row r="6455" spans="1:19" x14ac:dyDescent="0.25">
      <c r="A6455" s="262"/>
      <c r="B6455" s="260"/>
      <c r="C6455" s="35" t="s">
        <v>584</v>
      </c>
      <c r="D6455" s="35" t="s">
        <v>583</v>
      </c>
      <c r="E6455" s="36">
        <v>0.2041</v>
      </c>
      <c r="F6455" s="30">
        <v>20.225499999999997</v>
      </c>
      <c r="G6455" s="30">
        <f t="shared" si="646"/>
        <v>4.1280245499999992</v>
      </c>
      <c r="H6455" s="34"/>
      <c r="I6455" s="30"/>
      <c r="J6455" s="152">
        <v>11</v>
      </c>
      <c r="L6455" s="215">
        <v>0.2041</v>
      </c>
      <c r="M6455" s="30">
        <v>17.313027999999996</v>
      </c>
      <c r="N6455" s="30">
        <f t="shared" si="647"/>
        <v>3.5335890147999991</v>
      </c>
      <c r="O6455" s="34"/>
      <c r="P6455" s="36" t="str">
        <f t="shared" si="642"/>
        <v/>
      </c>
      <c r="Q6455" s="216">
        <f t="shared" si="643"/>
        <v>0.14400000000000013</v>
      </c>
      <c r="R6455" s="216">
        <f t="shared" si="644"/>
        <v>0.14400000000000002</v>
      </c>
      <c r="S6455" s="217" t="str">
        <f t="shared" si="645"/>
        <v/>
      </c>
    </row>
    <row r="6456" spans="1:19" ht="38.25" x14ac:dyDescent="0.25">
      <c r="A6456" s="262"/>
      <c r="B6456" s="260"/>
      <c r="C6456" s="35" t="s">
        <v>963</v>
      </c>
      <c r="D6456" s="35" t="s">
        <v>813</v>
      </c>
      <c r="E6456" s="36">
        <v>5.4999999999999997E-3</v>
      </c>
      <c r="F6456" s="30">
        <v>7.6094999999999997</v>
      </c>
      <c r="G6456" s="30">
        <f t="shared" si="646"/>
        <v>4.1852249999999994E-2</v>
      </c>
      <c r="H6456" s="34"/>
      <c r="I6456" s="30"/>
      <c r="J6456" s="152">
        <v>11</v>
      </c>
      <c r="L6456" s="215">
        <v>5.4999999999999997E-3</v>
      </c>
      <c r="M6456" s="30">
        <v>6.5137320000000001</v>
      </c>
      <c r="N6456" s="30">
        <f t="shared" si="647"/>
        <v>3.5825525999999996E-2</v>
      </c>
      <c r="O6456" s="34"/>
      <c r="P6456" s="36" t="str">
        <f t="shared" si="642"/>
        <v/>
      </c>
      <c r="Q6456" s="216">
        <f t="shared" si="643"/>
        <v>0.14399999999999991</v>
      </c>
      <c r="R6456" s="216">
        <f t="shared" si="644"/>
        <v>0.14399999999999991</v>
      </c>
      <c r="S6456" s="217" t="str">
        <f t="shared" si="645"/>
        <v/>
      </c>
    </row>
    <row r="6457" spans="1:19" ht="38.25" x14ac:dyDescent="0.25">
      <c r="A6457" s="262"/>
      <c r="B6457" s="260"/>
      <c r="C6457" s="35" t="s">
        <v>1125</v>
      </c>
      <c r="D6457" s="35" t="s">
        <v>815</v>
      </c>
      <c r="E6457" s="36">
        <v>9.6600000000000005E-2</v>
      </c>
      <c r="F6457" s="30">
        <v>0.54149999999999998</v>
      </c>
      <c r="G6457" s="30">
        <f t="shared" si="646"/>
        <v>5.2308899999999998E-2</v>
      </c>
      <c r="H6457" s="34"/>
      <c r="I6457" s="30"/>
      <c r="J6457" s="152">
        <v>11</v>
      </c>
      <c r="L6457" s="215">
        <v>9.6600000000000005E-2</v>
      </c>
      <c r="M6457" s="30">
        <v>0.46352399999999999</v>
      </c>
      <c r="N6457" s="30">
        <f t="shared" si="647"/>
        <v>4.4776418400000004E-2</v>
      </c>
      <c r="O6457" s="34"/>
      <c r="P6457" s="36" t="str">
        <f t="shared" si="642"/>
        <v/>
      </c>
      <c r="Q6457" s="216">
        <f t="shared" si="643"/>
        <v>0.14400000000000002</v>
      </c>
      <c r="R6457" s="216">
        <f t="shared" si="644"/>
        <v>0.14399999999999991</v>
      </c>
      <c r="S6457" s="217" t="str">
        <f t="shared" si="645"/>
        <v/>
      </c>
    </row>
    <row r="6458" spans="1:19" ht="15.75" thickBot="1" x14ac:dyDescent="0.3">
      <c r="A6458" s="263"/>
      <c r="B6458" s="261"/>
      <c r="C6458" s="54"/>
      <c r="D6458" s="54"/>
      <c r="E6458" s="65"/>
      <c r="F6458" s="66" t="s">
        <v>416</v>
      </c>
      <c r="G6458" s="66" t="str">
        <f t="shared" si="646"/>
        <v/>
      </c>
      <c r="H6458" s="68"/>
      <c r="I6458" s="30"/>
      <c r="J6458" s="152">
        <v>11</v>
      </c>
      <c r="L6458" s="222"/>
      <c r="M6458" s="66"/>
      <c r="N6458" s="66" t="str">
        <f t="shared" si="647"/>
        <v/>
      </c>
      <c r="O6458" s="68"/>
      <c r="P6458" s="36" t="str">
        <f t="shared" si="642"/>
        <v/>
      </c>
      <c r="Q6458" s="216" t="str">
        <f t="shared" si="643"/>
        <v/>
      </c>
      <c r="R6458" s="216" t="str">
        <f t="shared" si="644"/>
        <v/>
      </c>
      <c r="S6458" s="217" t="str">
        <f t="shared" si="645"/>
        <v/>
      </c>
    </row>
    <row r="6459" spans="1:19" ht="15.75" hidden="1" thickBot="1" x14ac:dyDescent="0.3">
      <c r="A6459" s="256" t="s">
        <v>5801</v>
      </c>
      <c r="B6459" s="259" t="str">
        <f>INDEX(Orçamentária!A:B,MATCH(Composições!A6459,Orçamentária!A:A,0),2)</f>
        <v>Disjuntor tripolar trilho DIN até 40 A</v>
      </c>
      <c r="C6459" s="40"/>
      <c r="D6459" s="25" t="s">
        <v>16</v>
      </c>
      <c r="E6459" s="26"/>
      <c r="F6459" s="41" t="s">
        <v>416</v>
      </c>
      <c r="G6459" s="27" t="str">
        <f t="shared" si="646"/>
        <v/>
      </c>
      <c r="H6459" s="28"/>
      <c r="I6459" s="29"/>
      <c r="J6459" s="152">
        <v>0</v>
      </c>
      <c r="L6459" s="218"/>
      <c r="M6459" s="41"/>
      <c r="N6459" s="27" t="str">
        <f t="shared" si="647"/>
        <v/>
      </c>
      <c r="O6459" s="28"/>
      <c r="P6459" s="36" t="str">
        <f t="shared" si="642"/>
        <v/>
      </c>
      <c r="Q6459" s="216" t="str">
        <f t="shared" si="643"/>
        <v/>
      </c>
      <c r="R6459" s="216" t="str">
        <f t="shared" si="644"/>
        <v/>
      </c>
      <c r="S6459" s="217" t="str">
        <f t="shared" si="645"/>
        <v/>
      </c>
    </row>
    <row r="6460" spans="1:19" ht="15.75" hidden="1" thickBot="1" x14ac:dyDescent="0.3">
      <c r="A6460" s="262"/>
      <c r="B6460" s="260"/>
      <c r="C6460" s="31"/>
      <c r="D6460" s="31"/>
      <c r="E6460" s="32"/>
      <c r="F6460" s="42" t="s">
        <v>416</v>
      </c>
      <c r="G6460" s="30" t="str">
        <f t="shared" si="646"/>
        <v/>
      </c>
      <c r="H6460" s="34"/>
      <c r="I6460" s="30"/>
      <c r="J6460" s="152">
        <v>0</v>
      </c>
      <c r="L6460" s="219"/>
      <c r="M6460" s="42"/>
      <c r="N6460" s="30" t="str">
        <f t="shared" si="647"/>
        <v/>
      </c>
      <c r="O6460" s="34"/>
      <c r="P6460" s="36" t="str">
        <f t="shared" si="642"/>
        <v/>
      </c>
      <c r="Q6460" s="216" t="str">
        <f t="shared" si="643"/>
        <v/>
      </c>
      <c r="R6460" s="216" t="str">
        <f t="shared" si="644"/>
        <v/>
      </c>
      <c r="S6460" s="217" t="str">
        <f t="shared" si="645"/>
        <v/>
      </c>
    </row>
    <row r="6461" spans="1:19" ht="26.25" hidden="1" thickBot="1" x14ac:dyDescent="0.3">
      <c r="A6461" s="262"/>
      <c r="B6461" s="260"/>
      <c r="C6461" s="35" t="s">
        <v>8425</v>
      </c>
      <c r="D6461" s="35" t="s">
        <v>213</v>
      </c>
      <c r="E6461" s="36">
        <v>3</v>
      </c>
      <c r="F6461" s="33">
        <v>1.7765</v>
      </c>
      <c r="G6461" s="30">
        <f t="shared" si="646"/>
        <v>5.3294999999999995</v>
      </c>
      <c r="H6461" s="38">
        <f>SUM(G6461:G6464)</f>
        <v>107.54428829999999</v>
      </c>
      <c r="I6461" s="39"/>
      <c r="J6461" s="152">
        <v>0</v>
      </c>
      <c r="L6461" s="215">
        <v>3</v>
      </c>
      <c r="M6461" s="33">
        <v>1.5206839999999999</v>
      </c>
      <c r="N6461" s="30">
        <f t="shared" si="647"/>
        <v>4.5620519999999996</v>
      </c>
      <c r="O6461" s="38">
        <f>SUM(N6461:N6464)</f>
        <v>92.057910784799986</v>
      </c>
      <c r="P6461" s="36" t="str">
        <f t="shared" si="642"/>
        <v/>
      </c>
      <c r="Q6461" s="216">
        <f t="shared" si="643"/>
        <v>0.14400000000000002</v>
      </c>
      <c r="R6461" s="216">
        <f t="shared" si="644"/>
        <v>0.14400000000000002</v>
      </c>
      <c r="S6461" s="217">
        <f t="shared" si="645"/>
        <v>0.14400000000000002</v>
      </c>
    </row>
    <row r="6462" spans="1:19" ht="15.75" hidden="1" thickBot="1" x14ac:dyDescent="0.3">
      <c r="A6462" s="262"/>
      <c r="B6462" s="260"/>
      <c r="C6462" s="35" t="s">
        <v>8138</v>
      </c>
      <c r="D6462" s="35" t="s">
        <v>213</v>
      </c>
      <c r="E6462" s="36">
        <v>1</v>
      </c>
      <c r="F6462" s="33">
        <v>82.165499999999994</v>
      </c>
      <c r="G6462" s="30">
        <f t="shared" si="646"/>
        <v>82.165499999999994</v>
      </c>
      <c r="H6462" s="44"/>
      <c r="I6462" s="45"/>
      <c r="J6462" s="152">
        <v>0</v>
      </c>
      <c r="L6462" s="215">
        <v>1</v>
      </c>
      <c r="M6462" s="33">
        <v>70.333667999999989</v>
      </c>
      <c r="N6462" s="30">
        <f t="shared" si="647"/>
        <v>70.333667999999989</v>
      </c>
      <c r="O6462" s="44"/>
      <c r="P6462" s="36" t="str">
        <f t="shared" si="642"/>
        <v/>
      </c>
      <c r="Q6462" s="216">
        <f t="shared" si="643"/>
        <v>0.14400000000000013</v>
      </c>
      <c r="R6462" s="216">
        <f t="shared" si="644"/>
        <v>0.14400000000000013</v>
      </c>
      <c r="S6462" s="217" t="str">
        <f t="shared" si="645"/>
        <v/>
      </c>
    </row>
    <row r="6463" spans="1:19" ht="15.75" hidden="1" thickBot="1" x14ac:dyDescent="0.3">
      <c r="A6463" s="262"/>
      <c r="B6463" s="260"/>
      <c r="C6463" s="35" t="s">
        <v>1017</v>
      </c>
      <c r="D6463" s="35" t="s">
        <v>583</v>
      </c>
      <c r="E6463" s="36">
        <v>0.40570000000000001</v>
      </c>
      <c r="F6463" s="33">
        <v>21.584</v>
      </c>
      <c r="G6463" s="30">
        <f t="shared" si="646"/>
        <v>8.7566287999999997</v>
      </c>
      <c r="H6463" s="44"/>
      <c r="I6463" s="45"/>
      <c r="J6463" s="152">
        <v>0</v>
      </c>
      <c r="L6463" s="215">
        <v>0.40570000000000001</v>
      </c>
      <c r="M6463" s="33">
        <v>18.475904</v>
      </c>
      <c r="N6463" s="30">
        <f t="shared" si="647"/>
        <v>7.4956742527999998</v>
      </c>
      <c r="O6463" s="44"/>
      <c r="P6463" s="36" t="str">
        <f t="shared" si="642"/>
        <v/>
      </c>
      <c r="Q6463" s="216">
        <f t="shared" si="643"/>
        <v>0.14400000000000002</v>
      </c>
      <c r="R6463" s="216">
        <f t="shared" si="644"/>
        <v>0.14400000000000002</v>
      </c>
      <c r="S6463" s="217" t="str">
        <f t="shared" si="645"/>
        <v/>
      </c>
    </row>
    <row r="6464" spans="1:19" ht="15.75" hidden="1" thickBot="1" x14ac:dyDescent="0.3">
      <c r="A6464" s="262"/>
      <c r="B6464" s="260"/>
      <c r="C6464" s="35" t="s">
        <v>1018</v>
      </c>
      <c r="D6464" s="35" t="s">
        <v>583</v>
      </c>
      <c r="E6464" s="36">
        <v>0.40570000000000001</v>
      </c>
      <c r="F6464" s="30">
        <v>27.835000000000001</v>
      </c>
      <c r="G6464" s="30">
        <f t="shared" si="646"/>
        <v>11.292659500000001</v>
      </c>
      <c r="H6464" s="34"/>
      <c r="I6464" s="30"/>
      <c r="J6464" s="152">
        <v>0</v>
      </c>
      <c r="L6464" s="215">
        <v>0.40570000000000001</v>
      </c>
      <c r="M6464" s="30">
        <v>23.82676</v>
      </c>
      <c r="N6464" s="30">
        <f t="shared" si="647"/>
        <v>9.666516532000001</v>
      </c>
      <c r="O6464" s="34"/>
      <c r="P6464" s="36" t="str">
        <f t="shared" si="642"/>
        <v/>
      </c>
      <c r="Q6464" s="216">
        <f t="shared" si="643"/>
        <v>0.14400000000000002</v>
      </c>
      <c r="R6464" s="216">
        <f t="shared" si="644"/>
        <v>0.14400000000000002</v>
      </c>
      <c r="S6464" s="217" t="str">
        <f t="shared" si="645"/>
        <v/>
      </c>
    </row>
    <row r="6465" spans="1:19" ht="15.75" hidden="1" thickBot="1" x14ac:dyDescent="0.3">
      <c r="A6465" s="263"/>
      <c r="B6465" s="261"/>
      <c r="C6465" s="35"/>
      <c r="D6465" s="35"/>
      <c r="E6465" s="36"/>
      <c r="F6465" s="30" t="s">
        <v>416</v>
      </c>
      <c r="G6465" s="30" t="str">
        <f t="shared" si="646"/>
        <v/>
      </c>
      <c r="H6465" s="34"/>
      <c r="I6465" s="30"/>
      <c r="J6465" s="152">
        <v>0</v>
      </c>
      <c r="L6465" s="215"/>
      <c r="M6465" s="30"/>
      <c r="N6465" s="30" t="str">
        <f t="shared" si="647"/>
        <v/>
      </c>
      <c r="O6465" s="34"/>
      <c r="P6465" s="36" t="str">
        <f t="shared" si="642"/>
        <v/>
      </c>
      <c r="Q6465" s="216" t="str">
        <f t="shared" si="643"/>
        <v/>
      </c>
      <c r="R6465" s="216" t="str">
        <f t="shared" si="644"/>
        <v/>
      </c>
      <c r="S6465" s="217" t="str">
        <f t="shared" si="645"/>
        <v/>
      </c>
    </row>
    <row r="6466" spans="1:19" ht="15.75" hidden="1" thickBot="1" x14ac:dyDescent="0.3">
      <c r="A6466" s="256" t="s">
        <v>5812</v>
      </c>
      <c r="B6466" s="259" t="str">
        <f>INDEX(Orçamentária!A:B,MATCH(Composições!A6466,Orçamentária!A:A,0),2)</f>
        <v>Poste reto 4m para câmera de CFTV</v>
      </c>
      <c r="C6466" s="40"/>
      <c r="D6466" s="25" t="s">
        <v>16</v>
      </c>
      <c r="E6466" s="26"/>
      <c r="F6466" s="41" t="s">
        <v>416</v>
      </c>
      <c r="G6466" s="27" t="str">
        <f t="shared" si="646"/>
        <v/>
      </c>
      <c r="H6466" s="28"/>
      <c r="I6466" s="29"/>
      <c r="J6466" s="152">
        <v>0</v>
      </c>
      <c r="L6466" s="218"/>
      <c r="M6466" s="41"/>
      <c r="N6466" s="27" t="str">
        <f t="shared" si="647"/>
        <v/>
      </c>
      <c r="O6466" s="28"/>
      <c r="P6466" s="36" t="str">
        <f t="shared" si="642"/>
        <v/>
      </c>
      <c r="Q6466" s="216" t="str">
        <f t="shared" si="643"/>
        <v/>
      </c>
      <c r="R6466" s="216" t="str">
        <f t="shared" si="644"/>
        <v/>
      </c>
      <c r="S6466" s="217" t="str">
        <f t="shared" si="645"/>
        <v/>
      </c>
    </row>
    <row r="6467" spans="1:19" ht="15.75" hidden="1" thickBot="1" x14ac:dyDescent="0.3">
      <c r="A6467" s="262"/>
      <c r="B6467" s="260"/>
      <c r="C6467" s="31"/>
      <c r="D6467" s="31"/>
      <c r="E6467" s="32"/>
      <c r="F6467" s="42" t="s">
        <v>416</v>
      </c>
      <c r="G6467" s="30" t="str">
        <f t="shared" si="646"/>
        <v/>
      </c>
      <c r="H6467" s="34"/>
      <c r="I6467" s="30"/>
      <c r="J6467" s="152">
        <v>0</v>
      </c>
      <c r="L6467" s="219"/>
      <c r="M6467" s="42"/>
      <c r="N6467" s="30" t="str">
        <f t="shared" si="647"/>
        <v/>
      </c>
      <c r="O6467" s="34"/>
      <c r="P6467" s="36" t="str">
        <f t="shared" si="642"/>
        <v/>
      </c>
      <c r="Q6467" s="216" t="str">
        <f t="shared" si="643"/>
        <v/>
      </c>
      <c r="R6467" s="216" t="str">
        <f t="shared" si="644"/>
        <v/>
      </c>
      <c r="S6467" s="217" t="str">
        <f t="shared" si="645"/>
        <v/>
      </c>
    </row>
    <row r="6468" spans="1:19" ht="26.25" hidden="1" thickBot="1" x14ac:dyDescent="0.3">
      <c r="A6468" s="262"/>
      <c r="B6468" s="260"/>
      <c r="C6468" s="35" t="s">
        <v>8063</v>
      </c>
      <c r="D6468" s="35" t="s">
        <v>213</v>
      </c>
      <c r="E6468" s="36">
        <v>4</v>
      </c>
      <c r="F6468" s="33">
        <v>23.825999999999997</v>
      </c>
      <c r="G6468" s="30">
        <f t="shared" si="646"/>
        <v>95.303999999999988</v>
      </c>
      <c r="H6468" s="38">
        <f>SUM(G6468:G6471)</f>
        <v>213.80876699999999</v>
      </c>
      <c r="I6468" s="39"/>
      <c r="J6468" s="152">
        <v>0</v>
      </c>
      <c r="L6468" s="215">
        <v>4</v>
      </c>
      <c r="M6468" s="33">
        <v>20.395055999999997</v>
      </c>
      <c r="N6468" s="30">
        <f t="shared" si="647"/>
        <v>81.580223999999987</v>
      </c>
      <c r="O6468" s="38">
        <f>SUM(N6468:N6471)</f>
        <v>183.02030455199997</v>
      </c>
      <c r="P6468" s="36" t="str">
        <f t="shared" si="642"/>
        <v/>
      </c>
      <c r="Q6468" s="216">
        <f t="shared" si="643"/>
        <v>0.14400000000000002</v>
      </c>
      <c r="R6468" s="216">
        <f t="shared" si="644"/>
        <v>0.14400000000000002</v>
      </c>
      <c r="S6468" s="217">
        <f t="shared" si="645"/>
        <v>0.14400000000000013</v>
      </c>
    </row>
    <row r="6469" spans="1:19" ht="15.75" hidden="1" thickBot="1" x14ac:dyDescent="0.3">
      <c r="A6469" s="262"/>
      <c r="B6469" s="260"/>
      <c r="C6469" s="35" t="s">
        <v>5861</v>
      </c>
      <c r="D6469" s="35" t="s">
        <v>213</v>
      </c>
      <c r="E6469" s="36">
        <v>1</v>
      </c>
      <c r="F6469" s="33" t="s">
        <v>416</v>
      </c>
      <c r="G6469" s="30" t="str">
        <f t="shared" si="646"/>
        <v/>
      </c>
      <c r="H6469" s="44"/>
      <c r="I6469" s="45"/>
      <c r="J6469" s="152">
        <v>0</v>
      </c>
      <c r="L6469" s="215">
        <v>1</v>
      </c>
      <c r="M6469" s="33"/>
      <c r="N6469" s="30" t="str">
        <f t="shared" si="647"/>
        <v/>
      </c>
      <c r="O6469" s="44"/>
      <c r="P6469" s="36" t="str">
        <f t="shared" si="642"/>
        <v/>
      </c>
      <c r="Q6469" s="216" t="str">
        <f t="shared" si="643"/>
        <v/>
      </c>
      <c r="R6469" s="216" t="str">
        <f t="shared" si="644"/>
        <v/>
      </c>
      <c r="S6469" s="217" t="str">
        <f t="shared" si="645"/>
        <v/>
      </c>
    </row>
    <row r="6470" spans="1:19" ht="15.75" hidden="1" thickBot="1" x14ac:dyDescent="0.3">
      <c r="A6470" s="262"/>
      <c r="B6470" s="260"/>
      <c r="C6470" s="35" t="s">
        <v>1017</v>
      </c>
      <c r="D6470" s="35" t="s">
        <v>583</v>
      </c>
      <c r="E6470" s="36">
        <v>1.0580000000000001</v>
      </c>
      <c r="F6470" s="33">
        <v>21.584</v>
      </c>
      <c r="G6470" s="30">
        <f t="shared" si="646"/>
        <v>22.835872000000002</v>
      </c>
      <c r="H6470" s="44"/>
      <c r="I6470" s="45"/>
      <c r="J6470" s="152">
        <v>0</v>
      </c>
      <c r="L6470" s="215">
        <v>1.0580000000000001</v>
      </c>
      <c r="M6470" s="33">
        <v>18.475904</v>
      </c>
      <c r="N6470" s="30">
        <f t="shared" si="647"/>
        <v>19.547506432000002</v>
      </c>
      <c r="O6470" s="44"/>
      <c r="P6470" s="36" t="str">
        <f t="shared" si="642"/>
        <v/>
      </c>
      <c r="Q6470" s="216">
        <f t="shared" si="643"/>
        <v>0.14400000000000002</v>
      </c>
      <c r="R6470" s="216">
        <f t="shared" si="644"/>
        <v>0.14400000000000002</v>
      </c>
      <c r="S6470" s="217" t="str">
        <f t="shared" si="645"/>
        <v/>
      </c>
    </row>
    <row r="6471" spans="1:19" ht="15.75" hidden="1" thickBot="1" x14ac:dyDescent="0.3">
      <c r="A6471" s="262"/>
      <c r="B6471" s="260"/>
      <c r="C6471" s="35" t="s">
        <v>1018</v>
      </c>
      <c r="D6471" s="35" t="s">
        <v>583</v>
      </c>
      <c r="E6471" s="36">
        <v>3.4369999999999998</v>
      </c>
      <c r="F6471" s="30">
        <v>27.835000000000001</v>
      </c>
      <c r="G6471" s="30">
        <f t="shared" si="646"/>
        <v>95.668894999999992</v>
      </c>
      <c r="H6471" s="34"/>
      <c r="I6471" s="30"/>
      <c r="J6471" s="152">
        <v>0</v>
      </c>
      <c r="L6471" s="215">
        <v>3.4369999999999998</v>
      </c>
      <c r="M6471" s="30">
        <v>23.82676</v>
      </c>
      <c r="N6471" s="30">
        <f t="shared" si="647"/>
        <v>81.892574119999992</v>
      </c>
      <c r="O6471" s="34"/>
      <c r="P6471" s="36" t="str">
        <f t="shared" si="642"/>
        <v/>
      </c>
      <c r="Q6471" s="216">
        <f t="shared" si="643"/>
        <v>0.14400000000000002</v>
      </c>
      <c r="R6471" s="216">
        <f t="shared" si="644"/>
        <v>0.14400000000000002</v>
      </c>
      <c r="S6471" s="217" t="str">
        <f t="shared" si="645"/>
        <v/>
      </c>
    </row>
    <row r="6472" spans="1:19" ht="15.75" hidden="1" thickBot="1" x14ac:dyDescent="0.3">
      <c r="A6472" s="263"/>
      <c r="B6472" s="261"/>
      <c r="C6472" s="35"/>
      <c r="D6472" s="35"/>
      <c r="E6472" s="36"/>
      <c r="F6472" s="30" t="s">
        <v>416</v>
      </c>
      <c r="G6472" s="30" t="str">
        <f t="shared" si="646"/>
        <v/>
      </c>
      <c r="H6472" s="34"/>
      <c r="I6472" s="30"/>
      <c r="J6472" s="152">
        <v>0</v>
      </c>
      <c r="L6472" s="215"/>
      <c r="M6472" s="30"/>
      <c r="N6472" s="30" t="str">
        <f t="shared" si="647"/>
        <v/>
      </c>
      <c r="O6472" s="34"/>
      <c r="P6472" s="36" t="str">
        <f t="shared" ref="P6472:P6535" si="648">IF(ISBLANK(L6472),"",IF($E6472&lt;&gt;L6472,"SIM",""))</f>
        <v/>
      </c>
      <c r="Q6472" s="216" t="str">
        <f t="shared" ref="Q6472:Q6535" si="649">IF(M6472="","",1-M6472/$F6472)</f>
        <v/>
      </c>
      <c r="R6472" s="216" t="str">
        <f t="shared" ref="R6472:R6535" si="650">IF(N6472="","",1-N6472/$G6472)</f>
        <v/>
      </c>
      <c r="S6472" s="217" t="str">
        <f t="shared" ref="S6472:S6535" si="651">IF(O6472="","",1-O6472/$H6472)</f>
        <v/>
      </c>
    </row>
    <row r="6473" spans="1:19" ht="15.75" hidden="1" thickBot="1" x14ac:dyDescent="0.3">
      <c r="A6473" s="256" t="s">
        <v>5813</v>
      </c>
      <c r="B6473" s="259" t="str">
        <f>INDEX(Orçamentária!A:B,MATCH(Composições!A6473,Orçamentária!A:A,0),2)</f>
        <v>Caixa hermética para CFTV</v>
      </c>
      <c r="C6473" s="40"/>
      <c r="D6473" s="25" t="s">
        <v>16</v>
      </c>
      <c r="E6473" s="26"/>
      <c r="F6473" s="41" t="s">
        <v>416</v>
      </c>
      <c r="G6473" s="27" t="str">
        <f t="shared" si="646"/>
        <v/>
      </c>
      <c r="H6473" s="28"/>
      <c r="I6473" s="29"/>
      <c r="J6473" s="152">
        <v>0</v>
      </c>
      <c r="L6473" s="218"/>
      <c r="M6473" s="41"/>
      <c r="N6473" s="27" t="str">
        <f t="shared" si="647"/>
        <v/>
      </c>
      <c r="O6473" s="28"/>
      <c r="P6473" s="36" t="str">
        <f t="shared" si="648"/>
        <v/>
      </c>
      <c r="Q6473" s="216" t="str">
        <f t="shared" si="649"/>
        <v/>
      </c>
      <c r="R6473" s="216" t="str">
        <f t="shared" si="650"/>
        <v/>
      </c>
      <c r="S6473" s="217" t="str">
        <f t="shared" si="651"/>
        <v/>
      </c>
    </row>
    <row r="6474" spans="1:19" ht="15.75" hidden="1" thickBot="1" x14ac:dyDescent="0.3">
      <c r="A6474" s="262"/>
      <c r="B6474" s="260"/>
      <c r="C6474" s="31"/>
      <c r="D6474" s="31"/>
      <c r="E6474" s="32"/>
      <c r="F6474" s="42" t="s">
        <v>416</v>
      </c>
      <c r="G6474" s="30" t="str">
        <f t="shared" si="646"/>
        <v/>
      </c>
      <c r="H6474" s="34"/>
      <c r="I6474" s="30"/>
      <c r="J6474" s="152">
        <v>0</v>
      </c>
      <c r="L6474" s="219"/>
      <c r="M6474" s="42"/>
      <c r="N6474" s="30" t="str">
        <f t="shared" si="647"/>
        <v/>
      </c>
      <c r="O6474" s="34"/>
      <c r="P6474" s="36" t="str">
        <f t="shared" si="648"/>
        <v/>
      </c>
      <c r="Q6474" s="216" t="str">
        <f t="shared" si="649"/>
        <v/>
      </c>
      <c r="R6474" s="216" t="str">
        <f t="shared" si="650"/>
        <v/>
      </c>
      <c r="S6474" s="217" t="str">
        <f t="shared" si="651"/>
        <v/>
      </c>
    </row>
    <row r="6475" spans="1:19" ht="15.75" hidden="1" thickBot="1" x14ac:dyDescent="0.3">
      <c r="A6475" s="262"/>
      <c r="B6475" s="260"/>
      <c r="C6475" s="35" t="s">
        <v>5860</v>
      </c>
      <c r="D6475" s="46" t="s">
        <v>16</v>
      </c>
      <c r="E6475" s="36">
        <v>1</v>
      </c>
      <c r="F6475" s="33" t="s">
        <v>416</v>
      </c>
      <c r="G6475" s="30" t="str">
        <f t="shared" si="646"/>
        <v/>
      </c>
      <c r="H6475" s="38">
        <f>SUM(G6475:G6478)</f>
        <v>47.417608440249602</v>
      </c>
      <c r="I6475" s="39"/>
      <c r="J6475" s="152">
        <v>0</v>
      </c>
      <c r="L6475" s="215">
        <v>1</v>
      </c>
      <c r="M6475" s="33"/>
      <c r="N6475" s="30" t="str">
        <f t="shared" si="647"/>
        <v/>
      </c>
      <c r="O6475" s="38">
        <f>SUM(N6475:N6478)</f>
        <v>40.589472824853658</v>
      </c>
      <c r="P6475" s="36" t="str">
        <f t="shared" si="648"/>
        <v/>
      </c>
      <c r="Q6475" s="216" t="str">
        <f t="shared" si="649"/>
        <v/>
      </c>
      <c r="R6475" s="216" t="str">
        <f t="shared" si="650"/>
        <v/>
      </c>
      <c r="S6475" s="217">
        <f t="shared" si="651"/>
        <v>0.14400000000000002</v>
      </c>
    </row>
    <row r="6476" spans="1:19" ht="39" hidden="1" thickBot="1" x14ac:dyDescent="0.3">
      <c r="A6476" s="262"/>
      <c r="B6476" s="260"/>
      <c r="C6476" s="35" t="s">
        <v>2897</v>
      </c>
      <c r="D6476" s="46" t="s">
        <v>87</v>
      </c>
      <c r="E6476" s="36">
        <v>1.9199999999999998E-2</v>
      </c>
      <c r="F6476" s="33">
        <v>838.58271563799997</v>
      </c>
      <c r="G6476" s="30">
        <f t="shared" si="646"/>
        <v>16.100788140249598</v>
      </c>
      <c r="H6476" s="44"/>
      <c r="I6476" s="45"/>
      <c r="J6476" s="152">
        <v>0</v>
      </c>
      <c r="L6476" s="215">
        <v>1.9199999999999998E-2</v>
      </c>
      <c r="M6476" s="33">
        <v>717.82680458612799</v>
      </c>
      <c r="N6476" s="30">
        <f t="shared" si="647"/>
        <v>13.782274648053656</v>
      </c>
      <c r="O6476" s="44"/>
      <c r="P6476" s="36" t="str">
        <f t="shared" si="648"/>
        <v/>
      </c>
      <c r="Q6476" s="216">
        <f t="shared" si="649"/>
        <v>0.14400000000000002</v>
      </c>
      <c r="R6476" s="216">
        <f t="shared" si="650"/>
        <v>0.14400000000000002</v>
      </c>
      <c r="S6476" s="217" t="str">
        <f t="shared" si="651"/>
        <v/>
      </c>
    </row>
    <row r="6477" spans="1:19" ht="15.75" hidden="1" thickBot="1" x14ac:dyDescent="0.3">
      <c r="A6477" s="262"/>
      <c r="B6477" s="260"/>
      <c r="C6477" s="35" t="s">
        <v>1017</v>
      </c>
      <c r="D6477" s="35" t="s">
        <v>583</v>
      </c>
      <c r="E6477" s="36">
        <v>0.63370000000000004</v>
      </c>
      <c r="F6477" s="33">
        <v>21.584</v>
      </c>
      <c r="G6477" s="30">
        <f t="shared" si="646"/>
        <v>13.677780800000001</v>
      </c>
      <c r="H6477" s="44"/>
      <c r="I6477" s="45"/>
      <c r="J6477" s="152">
        <v>0</v>
      </c>
      <c r="L6477" s="215">
        <v>0.63370000000000004</v>
      </c>
      <c r="M6477" s="33">
        <v>18.475904</v>
      </c>
      <c r="N6477" s="30">
        <f t="shared" si="647"/>
        <v>11.7081803648</v>
      </c>
      <c r="O6477" s="44"/>
      <c r="P6477" s="36" t="str">
        <f t="shared" si="648"/>
        <v/>
      </c>
      <c r="Q6477" s="216">
        <f t="shared" si="649"/>
        <v>0.14400000000000002</v>
      </c>
      <c r="R6477" s="216">
        <f t="shared" si="650"/>
        <v>0.14400000000000002</v>
      </c>
      <c r="S6477" s="217" t="str">
        <f t="shared" si="651"/>
        <v/>
      </c>
    </row>
    <row r="6478" spans="1:19" ht="15.75" hidden="1" thickBot="1" x14ac:dyDescent="0.3">
      <c r="A6478" s="262"/>
      <c r="B6478" s="260"/>
      <c r="C6478" s="35" t="s">
        <v>1018</v>
      </c>
      <c r="D6478" s="35" t="s">
        <v>583</v>
      </c>
      <c r="E6478" s="36">
        <v>0.63370000000000004</v>
      </c>
      <c r="F6478" s="30">
        <v>27.835000000000001</v>
      </c>
      <c r="G6478" s="30">
        <f t="shared" si="646"/>
        <v>17.639039500000003</v>
      </c>
      <c r="H6478" s="34"/>
      <c r="I6478" s="30"/>
      <c r="J6478" s="152">
        <v>0</v>
      </c>
      <c r="L6478" s="215">
        <v>0.63370000000000004</v>
      </c>
      <c r="M6478" s="30">
        <v>23.82676</v>
      </c>
      <c r="N6478" s="30">
        <f t="shared" si="647"/>
        <v>15.099017812000001</v>
      </c>
      <c r="O6478" s="34"/>
      <c r="P6478" s="36" t="str">
        <f t="shared" si="648"/>
        <v/>
      </c>
      <c r="Q6478" s="216">
        <f t="shared" si="649"/>
        <v>0.14400000000000002</v>
      </c>
      <c r="R6478" s="216">
        <f t="shared" si="650"/>
        <v>0.14400000000000002</v>
      </c>
      <c r="S6478" s="217" t="str">
        <f t="shared" si="651"/>
        <v/>
      </c>
    </row>
    <row r="6479" spans="1:19" ht="15.75" hidden="1" thickBot="1" x14ac:dyDescent="0.3">
      <c r="A6479" s="263"/>
      <c r="B6479" s="261"/>
      <c r="C6479" s="54"/>
      <c r="D6479" s="54"/>
      <c r="E6479" s="65"/>
      <c r="F6479" s="66" t="s">
        <v>416</v>
      </c>
      <c r="G6479" s="66" t="str">
        <f t="shared" si="646"/>
        <v/>
      </c>
      <c r="H6479" s="68"/>
      <c r="I6479" s="30"/>
      <c r="J6479" s="152">
        <v>0</v>
      </c>
      <c r="L6479" s="222"/>
      <c r="M6479" s="66"/>
      <c r="N6479" s="66" t="str">
        <f t="shared" si="647"/>
        <v/>
      </c>
      <c r="O6479" s="68"/>
      <c r="P6479" s="36" t="str">
        <f t="shared" si="648"/>
        <v/>
      </c>
      <c r="Q6479" s="216" t="str">
        <f t="shared" si="649"/>
        <v/>
      </c>
      <c r="R6479" s="216" t="str">
        <f t="shared" si="650"/>
        <v/>
      </c>
      <c r="S6479" s="217" t="str">
        <f t="shared" si="651"/>
        <v/>
      </c>
    </row>
    <row r="6480" spans="1:19" ht="15.75" hidden="1" thickBot="1" x14ac:dyDescent="0.3">
      <c r="A6480" s="256" t="s">
        <v>5817</v>
      </c>
      <c r="B6480" s="259" t="str">
        <f>INDEX(Orçamentária!A:B,MATCH(Composições!A6480,Orçamentária!A:A,0),2)</f>
        <v>Quadro elétrico TTA - 6 disjuntores terminais</v>
      </c>
      <c r="C6480" s="40"/>
      <c r="D6480" s="25" t="s">
        <v>16</v>
      </c>
      <c r="E6480" s="26"/>
      <c r="F6480" s="41" t="s">
        <v>416</v>
      </c>
      <c r="G6480" s="27" t="str">
        <f t="shared" si="646"/>
        <v/>
      </c>
      <c r="H6480" s="28"/>
      <c r="I6480" s="29"/>
      <c r="J6480" s="152">
        <v>0</v>
      </c>
      <c r="L6480" s="218"/>
      <c r="M6480" s="41"/>
      <c r="N6480" s="27" t="str">
        <f t="shared" si="647"/>
        <v/>
      </c>
      <c r="O6480" s="28"/>
      <c r="P6480" s="36" t="str">
        <f t="shared" si="648"/>
        <v/>
      </c>
      <c r="Q6480" s="216" t="str">
        <f t="shared" si="649"/>
        <v/>
      </c>
      <c r="R6480" s="216" t="str">
        <f t="shared" si="650"/>
        <v/>
      </c>
      <c r="S6480" s="217" t="str">
        <f t="shared" si="651"/>
        <v/>
      </c>
    </row>
    <row r="6481" spans="1:19" ht="15.75" hidden="1" thickBot="1" x14ac:dyDescent="0.3">
      <c r="A6481" s="262"/>
      <c r="B6481" s="260"/>
      <c r="C6481" s="31"/>
      <c r="D6481" s="31"/>
      <c r="E6481" s="32"/>
      <c r="F6481" s="42" t="s">
        <v>416</v>
      </c>
      <c r="G6481" s="30" t="str">
        <f t="shared" si="646"/>
        <v/>
      </c>
      <c r="H6481" s="34"/>
      <c r="I6481" s="30"/>
      <c r="J6481" s="152">
        <v>0</v>
      </c>
      <c r="L6481" s="219"/>
      <c r="M6481" s="42"/>
      <c r="N6481" s="30" t="str">
        <f t="shared" si="647"/>
        <v/>
      </c>
      <c r="O6481" s="34"/>
      <c r="P6481" s="36" t="str">
        <f t="shared" si="648"/>
        <v/>
      </c>
      <c r="Q6481" s="216" t="str">
        <f t="shared" si="649"/>
        <v/>
      </c>
      <c r="R6481" s="216" t="str">
        <f t="shared" si="650"/>
        <v/>
      </c>
      <c r="S6481" s="217" t="str">
        <f t="shared" si="651"/>
        <v/>
      </c>
    </row>
    <row r="6482" spans="1:19" ht="26.25" hidden="1" thickBot="1" x14ac:dyDescent="0.3">
      <c r="A6482" s="262"/>
      <c r="B6482" s="260"/>
      <c r="C6482" s="35" t="s">
        <v>6940</v>
      </c>
      <c r="D6482" s="46" t="s">
        <v>16</v>
      </c>
      <c r="E6482" s="36">
        <v>1</v>
      </c>
      <c r="F6482" s="33" t="s">
        <v>416</v>
      </c>
      <c r="G6482" s="30" t="str">
        <f t="shared" si="646"/>
        <v/>
      </c>
      <c r="H6482" s="38">
        <f>SUM(G6482:G6485)</f>
        <v>47.417608440249602</v>
      </c>
      <c r="I6482" s="39"/>
      <c r="J6482" s="152">
        <v>0</v>
      </c>
      <c r="L6482" s="215">
        <v>1</v>
      </c>
      <c r="M6482" s="33"/>
      <c r="N6482" s="30" t="str">
        <f t="shared" si="647"/>
        <v/>
      </c>
      <c r="O6482" s="38">
        <f>SUM(N6482:N6485)</f>
        <v>40.589472824853658</v>
      </c>
      <c r="P6482" s="36" t="str">
        <f t="shared" si="648"/>
        <v/>
      </c>
      <c r="Q6482" s="216" t="str">
        <f t="shared" si="649"/>
        <v/>
      </c>
      <c r="R6482" s="216" t="str">
        <f t="shared" si="650"/>
        <v/>
      </c>
      <c r="S6482" s="217">
        <f t="shared" si="651"/>
        <v>0.14400000000000002</v>
      </c>
    </row>
    <row r="6483" spans="1:19" ht="39" hidden="1" thickBot="1" x14ac:dyDescent="0.3">
      <c r="A6483" s="262"/>
      <c r="B6483" s="260"/>
      <c r="C6483" s="35" t="s">
        <v>2897</v>
      </c>
      <c r="D6483" s="46" t="s">
        <v>87</v>
      </c>
      <c r="E6483" s="36">
        <v>1.9199999999999998E-2</v>
      </c>
      <c r="F6483" s="30">
        <v>838.58271563799997</v>
      </c>
      <c r="G6483" s="30">
        <f t="shared" si="646"/>
        <v>16.100788140249598</v>
      </c>
      <c r="H6483" s="34"/>
      <c r="I6483" s="30"/>
      <c r="J6483" s="152">
        <v>0</v>
      </c>
      <c r="L6483" s="215">
        <v>1.9199999999999998E-2</v>
      </c>
      <c r="M6483" s="30">
        <v>717.82680458612799</v>
      </c>
      <c r="N6483" s="30">
        <f t="shared" si="647"/>
        <v>13.782274648053656</v>
      </c>
      <c r="O6483" s="34"/>
      <c r="P6483" s="36" t="str">
        <f t="shared" si="648"/>
        <v/>
      </c>
      <c r="Q6483" s="216">
        <f t="shared" si="649"/>
        <v>0.14400000000000002</v>
      </c>
      <c r="R6483" s="216">
        <f t="shared" si="650"/>
        <v>0.14400000000000002</v>
      </c>
      <c r="S6483" s="217" t="str">
        <f t="shared" si="651"/>
        <v/>
      </c>
    </row>
    <row r="6484" spans="1:19" ht="15.75" hidden="1" thickBot="1" x14ac:dyDescent="0.3">
      <c r="A6484" s="262"/>
      <c r="B6484" s="260"/>
      <c r="C6484" s="35" t="s">
        <v>1017</v>
      </c>
      <c r="D6484" s="35" t="s">
        <v>583</v>
      </c>
      <c r="E6484" s="36">
        <v>0.63370000000000004</v>
      </c>
      <c r="F6484" s="30">
        <v>21.584</v>
      </c>
      <c r="G6484" s="30">
        <f t="shared" si="646"/>
        <v>13.677780800000001</v>
      </c>
      <c r="H6484" s="34"/>
      <c r="I6484" s="30"/>
      <c r="J6484" s="152">
        <v>0</v>
      </c>
      <c r="L6484" s="215">
        <v>0.63370000000000004</v>
      </c>
      <c r="M6484" s="30">
        <v>18.475904</v>
      </c>
      <c r="N6484" s="30">
        <f t="shared" si="647"/>
        <v>11.7081803648</v>
      </c>
      <c r="O6484" s="34"/>
      <c r="P6484" s="36" t="str">
        <f t="shared" si="648"/>
        <v/>
      </c>
      <c r="Q6484" s="216">
        <f t="shared" si="649"/>
        <v>0.14400000000000002</v>
      </c>
      <c r="R6484" s="216">
        <f t="shared" si="650"/>
        <v>0.14400000000000002</v>
      </c>
      <c r="S6484" s="217" t="str">
        <f t="shared" si="651"/>
        <v/>
      </c>
    </row>
    <row r="6485" spans="1:19" ht="15.75" hidden="1" thickBot="1" x14ac:dyDescent="0.3">
      <c r="A6485" s="262"/>
      <c r="B6485" s="260"/>
      <c r="C6485" s="35" t="s">
        <v>1018</v>
      </c>
      <c r="D6485" s="35" t="s">
        <v>583</v>
      </c>
      <c r="E6485" s="36">
        <v>0.63370000000000004</v>
      </c>
      <c r="F6485" s="30">
        <v>27.835000000000001</v>
      </c>
      <c r="G6485" s="33">
        <f t="shared" si="646"/>
        <v>17.639039500000003</v>
      </c>
      <c r="H6485" s="34"/>
      <c r="I6485" s="30"/>
      <c r="J6485" s="152">
        <v>0</v>
      </c>
      <c r="L6485" s="215">
        <v>0.63370000000000004</v>
      </c>
      <c r="M6485" s="30">
        <v>23.82676</v>
      </c>
      <c r="N6485" s="33">
        <f t="shared" si="647"/>
        <v>15.099017812000001</v>
      </c>
      <c r="O6485" s="34"/>
      <c r="P6485" s="36" t="str">
        <f t="shared" si="648"/>
        <v/>
      </c>
      <c r="Q6485" s="216">
        <f t="shared" si="649"/>
        <v>0.14400000000000002</v>
      </c>
      <c r="R6485" s="216">
        <f t="shared" si="650"/>
        <v>0.14400000000000002</v>
      </c>
      <c r="S6485" s="217" t="str">
        <f t="shared" si="651"/>
        <v/>
      </c>
    </row>
    <row r="6486" spans="1:19" ht="15.75" hidden="1" thickBot="1" x14ac:dyDescent="0.3">
      <c r="A6486" s="262"/>
      <c r="B6486" s="261"/>
      <c r="C6486" s="35"/>
      <c r="D6486" s="35"/>
      <c r="E6486" s="36"/>
      <c r="F6486" s="30" t="s">
        <v>416</v>
      </c>
      <c r="G6486" s="30" t="str">
        <f t="shared" si="646"/>
        <v/>
      </c>
      <c r="H6486" s="34"/>
      <c r="I6486" s="30"/>
      <c r="J6486" s="152">
        <v>0</v>
      </c>
      <c r="L6486" s="215"/>
      <c r="M6486" s="30"/>
      <c r="N6486" s="30" t="str">
        <f t="shared" si="647"/>
        <v/>
      </c>
      <c r="O6486" s="34"/>
      <c r="P6486" s="36" t="str">
        <f t="shared" si="648"/>
        <v/>
      </c>
      <c r="Q6486" s="216" t="str">
        <f t="shared" si="649"/>
        <v/>
      </c>
      <c r="R6486" s="216" t="str">
        <f t="shared" si="650"/>
        <v/>
      </c>
      <c r="S6486" s="217" t="str">
        <f t="shared" si="651"/>
        <v/>
      </c>
    </row>
    <row r="6487" spans="1:19" ht="15.75" hidden="1" thickBot="1" x14ac:dyDescent="0.3">
      <c r="A6487" s="256" t="s">
        <v>5818</v>
      </c>
      <c r="B6487" s="259" t="str">
        <f>INDEX(Orçamentária!A:B,MATCH(Composições!A6487,Orçamentária!A:A,0),2)</f>
        <v>Quadro elétrico TTA - 11 disjuntores terminais</v>
      </c>
      <c r="C6487" s="40"/>
      <c r="D6487" s="25" t="s">
        <v>16</v>
      </c>
      <c r="E6487" s="26"/>
      <c r="F6487" s="41" t="s">
        <v>416</v>
      </c>
      <c r="G6487" s="27" t="str">
        <f t="shared" si="646"/>
        <v/>
      </c>
      <c r="H6487" s="28"/>
      <c r="I6487" s="29"/>
      <c r="J6487" s="152">
        <v>0</v>
      </c>
      <c r="L6487" s="218"/>
      <c r="M6487" s="41"/>
      <c r="N6487" s="27" t="str">
        <f t="shared" si="647"/>
        <v/>
      </c>
      <c r="O6487" s="28"/>
      <c r="P6487" s="36" t="str">
        <f t="shared" si="648"/>
        <v/>
      </c>
      <c r="Q6487" s="216" t="str">
        <f t="shared" si="649"/>
        <v/>
      </c>
      <c r="R6487" s="216" t="str">
        <f t="shared" si="650"/>
        <v/>
      </c>
      <c r="S6487" s="217" t="str">
        <f t="shared" si="651"/>
        <v/>
      </c>
    </row>
    <row r="6488" spans="1:19" ht="15.75" hidden="1" thickBot="1" x14ac:dyDescent="0.3">
      <c r="A6488" s="262"/>
      <c r="B6488" s="260"/>
      <c r="C6488" s="31"/>
      <c r="D6488" s="31"/>
      <c r="E6488" s="32"/>
      <c r="F6488" s="42" t="s">
        <v>416</v>
      </c>
      <c r="G6488" s="30" t="str">
        <f t="shared" si="646"/>
        <v/>
      </c>
      <c r="H6488" s="34"/>
      <c r="I6488" s="30"/>
      <c r="J6488" s="152">
        <v>0</v>
      </c>
      <c r="L6488" s="219"/>
      <c r="M6488" s="42"/>
      <c r="N6488" s="30" t="str">
        <f t="shared" si="647"/>
        <v/>
      </c>
      <c r="O6488" s="34"/>
      <c r="P6488" s="36" t="str">
        <f t="shared" si="648"/>
        <v/>
      </c>
      <c r="Q6488" s="216" t="str">
        <f t="shared" si="649"/>
        <v/>
      </c>
      <c r="R6488" s="216" t="str">
        <f t="shared" si="650"/>
        <v/>
      </c>
      <c r="S6488" s="217" t="str">
        <f t="shared" si="651"/>
        <v/>
      </c>
    </row>
    <row r="6489" spans="1:19" ht="26.25" hidden="1" thickBot="1" x14ac:dyDescent="0.3">
      <c r="A6489" s="262"/>
      <c r="B6489" s="260"/>
      <c r="C6489" s="35" t="s">
        <v>6939</v>
      </c>
      <c r="D6489" s="46" t="s">
        <v>16</v>
      </c>
      <c r="E6489" s="36">
        <v>1</v>
      </c>
      <c r="F6489" s="33" t="s">
        <v>416</v>
      </c>
      <c r="G6489" s="30" t="str">
        <f t="shared" si="646"/>
        <v/>
      </c>
      <c r="H6489" s="38">
        <f>SUM(G6489:G6492)</f>
        <v>47.417608440249602</v>
      </c>
      <c r="I6489" s="39"/>
      <c r="J6489" s="152">
        <v>0</v>
      </c>
      <c r="L6489" s="215">
        <v>1</v>
      </c>
      <c r="M6489" s="33"/>
      <c r="N6489" s="30" t="str">
        <f t="shared" si="647"/>
        <v/>
      </c>
      <c r="O6489" s="38">
        <f>SUM(N6489:N6492)</f>
        <v>40.589472824853658</v>
      </c>
      <c r="P6489" s="36" t="str">
        <f t="shared" si="648"/>
        <v/>
      </c>
      <c r="Q6489" s="216" t="str">
        <f t="shared" si="649"/>
        <v/>
      </c>
      <c r="R6489" s="216" t="str">
        <f t="shared" si="650"/>
        <v/>
      </c>
      <c r="S6489" s="217">
        <f t="shared" si="651"/>
        <v>0.14400000000000002</v>
      </c>
    </row>
    <row r="6490" spans="1:19" ht="39" hidden="1" thickBot="1" x14ac:dyDescent="0.3">
      <c r="A6490" s="262"/>
      <c r="B6490" s="260"/>
      <c r="C6490" s="35" t="s">
        <v>2897</v>
      </c>
      <c r="D6490" s="46" t="s">
        <v>87</v>
      </c>
      <c r="E6490" s="36">
        <v>1.9199999999999998E-2</v>
      </c>
      <c r="F6490" s="30">
        <v>838.58271563799997</v>
      </c>
      <c r="G6490" s="30">
        <f t="shared" si="646"/>
        <v>16.100788140249598</v>
      </c>
      <c r="H6490" s="34"/>
      <c r="I6490" s="30"/>
      <c r="J6490" s="152">
        <v>0</v>
      </c>
      <c r="L6490" s="215">
        <v>1.9199999999999998E-2</v>
      </c>
      <c r="M6490" s="30">
        <v>717.82680458612799</v>
      </c>
      <c r="N6490" s="30">
        <f t="shared" si="647"/>
        <v>13.782274648053656</v>
      </c>
      <c r="O6490" s="34"/>
      <c r="P6490" s="36" t="str">
        <f t="shared" si="648"/>
        <v/>
      </c>
      <c r="Q6490" s="216">
        <f t="shared" si="649"/>
        <v>0.14400000000000002</v>
      </c>
      <c r="R6490" s="216">
        <f t="shared" si="650"/>
        <v>0.14400000000000002</v>
      </c>
      <c r="S6490" s="217" t="str">
        <f t="shared" si="651"/>
        <v/>
      </c>
    </row>
    <row r="6491" spans="1:19" ht="15.75" hidden="1" thickBot="1" x14ac:dyDescent="0.3">
      <c r="A6491" s="262"/>
      <c r="B6491" s="260"/>
      <c r="C6491" s="35" t="s">
        <v>1017</v>
      </c>
      <c r="D6491" s="35" t="s">
        <v>583</v>
      </c>
      <c r="E6491" s="36">
        <v>0.63370000000000004</v>
      </c>
      <c r="F6491" s="30">
        <v>21.584</v>
      </c>
      <c r="G6491" s="30">
        <f t="shared" si="646"/>
        <v>13.677780800000001</v>
      </c>
      <c r="H6491" s="34"/>
      <c r="I6491" s="30"/>
      <c r="J6491" s="152">
        <v>0</v>
      </c>
      <c r="L6491" s="215">
        <v>0.63370000000000004</v>
      </c>
      <c r="M6491" s="30">
        <v>18.475904</v>
      </c>
      <c r="N6491" s="30">
        <f t="shared" si="647"/>
        <v>11.7081803648</v>
      </c>
      <c r="O6491" s="34"/>
      <c r="P6491" s="36" t="str">
        <f t="shared" si="648"/>
        <v/>
      </c>
      <c r="Q6491" s="216">
        <f t="shared" si="649"/>
        <v>0.14400000000000002</v>
      </c>
      <c r="R6491" s="216">
        <f t="shared" si="650"/>
        <v>0.14400000000000002</v>
      </c>
      <c r="S6491" s="217" t="str">
        <f t="shared" si="651"/>
        <v/>
      </c>
    </row>
    <row r="6492" spans="1:19" ht="15.75" hidden="1" thickBot="1" x14ac:dyDescent="0.3">
      <c r="A6492" s="262"/>
      <c r="B6492" s="260"/>
      <c r="C6492" s="35" t="s">
        <v>1018</v>
      </c>
      <c r="D6492" s="35" t="s">
        <v>583</v>
      </c>
      <c r="E6492" s="36">
        <v>0.63370000000000004</v>
      </c>
      <c r="F6492" s="30">
        <v>27.835000000000001</v>
      </c>
      <c r="G6492" s="33">
        <f t="shared" si="646"/>
        <v>17.639039500000003</v>
      </c>
      <c r="H6492" s="34"/>
      <c r="I6492" s="30"/>
      <c r="J6492" s="152">
        <v>0</v>
      </c>
      <c r="L6492" s="215">
        <v>0.63370000000000004</v>
      </c>
      <c r="M6492" s="30">
        <v>23.82676</v>
      </c>
      <c r="N6492" s="33">
        <f t="shared" si="647"/>
        <v>15.099017812000001</v>
      </c>
      <c r="O6492" s="34"/>
      <c r="P6492" s="36" t="str">
        <f t="shared" si="648"/>
        <v/>
      </c>
      <c r="Q6492" s="216">
        <f t="shared" si="649"/>
        <v>0.14400000000000002</v>
      </c>
      <c r="R6492" s="216">
        <f t="shared" si="650"/>
        <v>0.14400000000000002</v>
      </c>
      <c r="S6492" s="217" t="str">
        <f t="shared" si="651"/>
        <v/>
      </c>
    </row>
    <row r="6493" spans="1:19" ht="15.75" hidden="1" thickBot="1" x14ac:dyDescent="0.3">
      <c r="A6493" s="262"/>
      <c r="B6493" s="261"/>
      <c r="C6493" s="35"/>
      <c r="D6493" s="35"/>
      <c r="E6493" s="36"/>
      <c r="F6493" s="30" t="s">
        <v>416</v>
      </c>
      <c r="G6493" s="30" t="str">
        <f t="shared" si="646"/>
        <v/>
      </c>
      <c r="H6493" s="34"/>
      <c r="I6493" s="30"/>
      <c r="J6493" s="152">
        <v>0</v>
      </c>
      <c r="L6493" s="215"/>
      <c r="M6493" s="30"/>
      <c r="N6493" s="30" t="str">
        <f t="shared" si="647"/>
        <v/>
      </c>
      <c r="O6493" s="34"/>
      <c r="P6493" s="36" t="str">
        <f t="shared" si="648"/>
        <v/>
      </c>
      <c r="Q6493" s="216" t="str">
        <f t="shared" si="649"/>
        <v/>
      </c>
      <c r="R6493" s="216" t="str">
        <f t="shared" si="650"/>
        <v/>
      </c>
      <c r="S6493" s="217" t="str">
        <f t="shared" si="651"/>
        <v/>
      </c>
    </row>
    <row r="6494" spans="1:19" ht="15.75" hidden="1" thickBot="1" x14ac:dyDescent="0.3">
      <c r="A6494" s="256" t="s">
        <v>5825</v>
      </c>
      <c r="B6494" s="259" t="str">
        <f>INDEX(Orçamentária!A:B,MATCH(Composições!A6494,Orçamentária!A:A,0),2)</f>
        <v>Anel de borracha para vedação na interligação de tubos de esgoto</v>
      </c>
      <c r="C6494" s="40"/>
      <c r="D6494" s="25" t="s">
        <v>16</v>
      </c>
      <c r="E6494" s="26"/>
      <c r="F6494" s="41" t="s">
        <v>416</v>
      </c>
      <c r="G6494" s="27" t="str">
        <f t="shared" si="646"/>
        <v/>
      </c>
      <c r="H6494" s="28"/>
      <c r="I6494" s="29"/>
      <c r="J6494" s="152">
        <v>0</v>
      </c>
      <c r="L6494" s="218"/>
      <c r="M6494" s="41"/>
      <c r="N6494" s="27" t="str">
        <f t="shared" si="647"/>
        <v/>
      </c>
      <c r="O6494" s="28"/>
      <c r="P6494" s="36" t="str">
        <f t="shared" si="648"/>
        <v/>
      </c>
      <c r="Q6494" s="216" t="str">
        <f t="shared" si="649"/>
        <v/>
      </c>
      <c r="R6494" s="216" t="str">
        <f t="shared" si="650"/>
        <v/>
      </c>
      <c r="S6494" s="217" t="str">
        <f t="shared" si="651"/>
        <v/>
      </c>
    </row>
    <row r="6495" spans="1:19" ht="15.75" hidden="1" thickBot="1" x14ac:dyDescent="0.3">
      <c r="A6495" s="262"/>
      <c r="B6495" s="260"/>
      <c r="C6495" s="31"/>
      <c r="D6495" s="31"/>
      <c r="E6495" s="32"/>
      <c r="F6495" s="42" t="s">
        <v>416</v>
      </c>
      <c r="G6495" s="30" t="str">
        <f t="shared" si="646"/>
        <v/>
      </c>
      <c r="H6495" s="34"/>
      <c r="I6495" s="30"/>
      <c r="J6495" s="152">
        <v>0</v>
      </c>
      <c r="L6495" s="219"/>
      <c r="M6495" s="42"/>
      <c r="N6495" s="30" t="str">
        <f t="shared" si="647"/>
        <v/>
      </c>
      <c r="O6495" s="34"/>
      <c r="P6495" s="36" t="str">
        <f t="shared" si="648"/>
        <v/>
      </c>
      <c r="Q6495" s="216" t="str">
        <f t="shared" si="649"/>
        <v/>
      </c>
      <c r="R6495" s="216" t="str">
        <f t="shared" si="650"/>
        <v/>
      </c>
      <c r="S6495" s="217" t="str">
        <f t="shared" si="651"/>
        <v/>
      </c>
    </row>
    <row r="6496" spans="1:19" ht="26.25" hidden="1" thickBot="1" x14ac:dyDescent="0.3">
      <c r="A6496" s="262"/>
      <c r="B6496" s="260"/>
      <c r="C6496" s="35" t="s">
        <v>7982</v>
      </c>
      <c r="D6496" s="35" t="s">
        <v>213</v>
      </c>
      <c r="E6496" s="36">
        <v>1</v>
      </c>
      <c r="F6496" s="30">
        <v>14.3925</v>
      </c>
      <c r="G6496" s="30">
        <f t="shared" si="646"/>
        <v>14.3925</v>
      </c>
      <c r="H6496" s="38">
        <f>SUM(G6496:G6496)</f>
        <v>14.3925</v>
      </c>
      <c r="I6496" s="39"/>
      <c r="J6496" s="152">
        <v>0</v>
      </c>
      <c r="L6496" s="215">
        <v>1</v>
      </c>
      <c r="M6496" s="30">
        <v>12.319980000000001</v>
      </c>
      <c r="N6496" s="30">
        <f t="shared" si="647"/>
        <v>12.319980000000001</v>
      </c>
      <c r="O6496" s="38">
        <f>SUM(N6496:N6496)</f>
        <v>12.319980000000001</v>
      </c>
      <c r="P6496" s="36" t="str">
        <f t="shared" si="648"/>
        <v/>
      </c>
      <c r="Q6496" s="216">
        <f t="shared" si="649"/>
        <v>0.14399999999999991</v>
      </c>
      <c r="R6496" s="216">
        <f t="shared" si="650"/>
        <v>0.14399999999999991</v>
      </c>
      <c r="S6496" s="217">
        <f t="shared" si="651"/>
        <v>0.14399999999999991</v>
      </c>
    </row>
    <row r="6497" spans="1:19" ht="15.75" hidden="1" thickBot="1" x14ac:dyDescent="0.3">
      <c r="A6497" s="263"/>
      <c r="B6497" s="261"/>
      <c r="C6497" s="54"/>
      <c r="D6497" s="54"/>
      <c r="E6497" s="65"/>
      <c r="F6497" s="66" t="s">
        <v>416</v>
      </c>
      <c r="G6497" s="66" t="str">
        <f t="shared" si="646"/>
        <v/>
      </c>
      <c r="H6497" s="68"/>
      <c r="I6497" s="30"/>
      <c r="J6497" s="152">
        <v>0</v>
      </c>
      <c r="L6497" s="222"/>
      <c r="M6497" s="66"/>
      <c r="N6497" s="66" t="str">
        <f t="shared" si="647"/>
        <v/>
      </c>
      <c r="O6497" s="68"/>
      <c r="P6497" s="36" t="str">
        <f t="shared" si="648"/>
        <v/>
      </c>
      <c r="Q6497" s="216" t="str">
        <f t="shared" si="649"/>
        <v/>
      </c>
      <c r="R6497" s="216" t="str">
        <f t="shared" si="650"/>
        <v/>
      </c>
      <c r="S6497" s="217" t="str">
        <f t="shared" si="651"/>
        <v/>
      </c>
    </row>
    <row r="6498" spans="1:19" ht="15.75" hidden="1" thickBot="1" x14ac:dyDescent="0.3">
      <c r="A6498" s="256" t="s">
        <v>5827</v>
      </c>
      <c r="B6498" s="259" t="str">
        <f>INDEX(Orçamentária!A:B,MATCH(Composições!A6498,Orçamentária!A:A,0),2)</f>
        <v>Anel de Vedação para bacia sanitária</v>
      </c>
      <c r="C6498" s="40"/>
      <c r="D6498" s="25" t="s">
        <v>16</v>
      </c>
      <c r="E6498" s="26"/>
      <c r="F6498" s="41" t="s">
        <v>416</v>
      </c>
      <c r="G6498" s="27" t="str">
        <f t="shared" si="646"/>
        <v/>
      </c>
      <c r="H6498" s="28"/>
      <c r="I6498" s="29"/>
      <c r="J6498" s="152">
        <v>0</v>
      </c>
      <c r="L6498" s="218"/>
      <c r="M6498" s="41"/>
      <c r="N6498" s="27" t="str">
        <f t="shared" si="647"/>
        <v/>
      </c>
      <c r="O6498" s="28"/>
      <c r="P6498" s="36" t="str">
        <f t="shared" si="648"/>
        <v/>
      </c>
      <c r="Q6498" s="216" t="str">
        <f t="shared" si="649"/>
        <v/>
      </c>
      <c r="R6498" s="216" t="str">
        <f t="shared" si="650"/>
        <v/>
      </c>
      <c r="S6498" s="217" t="str">
        <f t="shared" si="651"/>
        <v/>
      </c>
    </row>
    <row r="6499" spans="1:19" ht="15.75" hidden="1" thickBot="1" x14ac:dyDescent="0.3">
      <c r="A6499" s="262"/>
      <c r="B6499" s="260"/>
      <c r="C6499" s="31"/>
      <c r="D6499" s="31"/>
      <c r="E6499" s="32"/>
      <c r="F6499" s="42" t="s">
        <v>416</v>
      </c>
      <c r="G6499" s="30" t="str">
        <f t="shared" si="646"/>
        <v/>
      </c>
      <c r="H6499" s="34"/>
      <c r="I6499" s="30"/>
      <c r="J6499" s="152">
        <v>0</v>
      </c>
      <c r="L6499" s="219"/>
      <c r="M6499" s="42"/>
      <c r="N6499" s="30" t="str">
        <f t="shared" si="647"/>
        <v/>
      </c>
      <c r="O6499" s="34"/>
      <c r="P6499" s="36" t="str">
        <f t="shared" si="648"/>
        <v/>
      </c>
      <c r="Q6499" s="216" t="str">
        <f t="shared" si="649"/>
        <v/>
      </c>
      <c r="R6499" s="216" t="str">
        <f t="shared" si="650"/>
        <v/>
      </c>
      <c r="S6499" s="217" t="str">
        <f t="shared" si="651"/>
        <v/>
      </c>
    </row>
    <row r="6500" spans="1:19" ht="26.25" hidden="1" thickBot="1" x14ac:dyDescent="0.3">
      <c r="A6500" s="262"/>
      <c r="B6500" s="260"/>
      <c r="C6500" s="35" t="s">
        <v>7980</v>
      </c>
      <c r="D6500" s="35" t="s">
        <v>213</v>
      </c>
      <c r="E6500" s="36">
        <v>1</v>
      </c>
      <c r="F6500" s="30">
        <v>2.8499999999999996</v>
      </c>
      <c r="G6500" s="30">
        <f t="shared" si="646"/>
        <v>2.8499999999999996</v>
      </c>
      <c r="H6500" s="38">
        <f>SUM(G6500:G6500)</f>
        <v>2.8499999999999996</v>
      </c>
      <c r="I6500" s="39"/>
      <c r="J6500" s="152">
        <v>0</v>
      </c>
      <c r="L6500" s="215">
        <v>1</v>
      </c>
      <c r="M6500" s="30">
        <v>2.4395999999999995</v>
      </c>
      <c r="N6500" s="30">
        <f t="shared" si="647"/>
        <v>2.4395999999999995</v>
      </c>
      <c r="O6500" s="38">
        <f>SUM(N6500:N6500)</f>
        <v>2.4395999999999995</v>
      </c>
      <c r="P6500" s="36" t="str">
        <f t="shared" si="648"/>
        <v/>
      </c>
      <c r="Q6500" s="216">
        <f t="shared" si="649"/>
        <v>0.14400000000000002</v>
      </c>
      <c r="R6500" s="216">
        <f t="shared" si="650"/>
        <v>0.14400000000000002</v>
      </c>
      <c r="S6500" s="217">
        <f t="shared" si="651"/>
        <v>0.14400000000000002</v>
      </c>
    </row>
    <row r="6501" spans="1:19" ht="15.75" hidden="1" thickBot="1" x14ac:dyDescent="0.3">
      <c r="A6501" s="263"/>
      <c r="B6501" s="261"/>
      <c r="C6501" s="54"/>
      <c r="D6501" s="54"/>
      <c r="E6501" s="65"/>
      <c r="F6501" s="66" t="s">
        <v>416</v>
      </c>
      <c r="G6501" s="66" t="str">
        <f t="shared" si="646"/>
        <v/>
      </c>
      <c r="H6501" s="68"/>
      <c r="I6501" s="30"/>
      <c r="J6501" s="152">
        <v>0</v>
      </c>
      <c r="L6501" s="222"/>
      <c r="M6501" s="66"/>
      <c r="N6501" s="66" t="str">
        <f t="shared" si="647"/>
        <v/>
      </c>
      <c r="O6501" s="68"/>
      <c r="P6501" s="36" t="str">
        <f t="shared" si="648"/>
        <v/>
      </c>
      <c r="Q6501" s="216" t="str">
        <f t="shared" si="649"/>
        <v/>
      </c>
      <c r="R6501" s="216" t="str">
        <f t="shared" si="650"/>
        <v/>
      </c>
      <c r="S6501" s="217" t="str">
        <f t="shared" si="651"/>
        <v/>
      </c>
    </row>
    <row r="6502" spans="1:19" ht="15.75" hidden="1" thickBot="1" x14ac:dyDescent="0.3">
      <c r="A6502" s="256" t="s">
        <v>5828</v>
      </c>
      <c r="B6502" s="259" t="str">
        <f>INDEX(Orçamentária!A:B,MATCH(Composições!A6502,Orçamentária!A:A,0),2)</f>
        <v>Rejunte cimentício flexível</v>
      </c>
      <c r="C6502" s="40"/>
      <c r="D6502" s="25" t="s">
        <v>28</v>
      </c>
      <c r="E6502" s="26"/>
      <c r="F6502" s="41" t="s">
        <v>416</v>
      </c>
      <c r="G6502" s="27" t="str">
        <f t="shared" si="646"/>
        <v/>
      </c>
      <c r="H6502" s="28"/>
      <c r="I6502" s="29"/>
      <c r="J6502" s="152">
        <v>0</v>
      </c>
      <c r="L6502" s="218"/>
      <c r="M6502" s="41"/>
      <c r="N6502" s="27" t="str">
        <f t="shared" si="647"/>
        <v/>
      </c>
      <c r="O6502" s="28"/>
      <c r="P6502" s="36" t="str">
        <f t="shared" si="648"/>
        <v/>
      </c>
      <c r="Q6502" s="216" t="str">
        <f t="shared" si="649"/>
        <v/>
      </c>
      <c r="R6502" s="216" t="str">
        <f t="shared" si="650"/>
        <v/>
      </c>
      <c r="S6502" s="217" t="str">
        <f t="shared" si="651"/>
        <v/>
      </c>
    </row>
    <row r="6503" spans="1:19" ht="15.75" hidden="1" thickBot="1" x14ac:dyDescent="0.3">
      <c r="A6503" s="262"/>
      <c r="B6503" s="260"/>
      <c r="C6503" s="31"/>
      <c r="D6503" s="31"/>
      <c r="E6503" s="32"/>
      <c r="F6503" s="42" t="s">
        <v>416</v>
      </c>
      <c r="G6503" s="30" t="str">
        <f t="shared" si="646"/>
        <v/>
      </c>
      <c r="H6503" s="34"/>
      <c r="I6503" s="30"/>
      <c r="J6503" s="152">
        <v>0</v>
      </c>
      <c r="L6503" s="219"/>
      <c r="M6503" s="42"/>
      <c r="N6503" s="30" t="str">
        <f t="shared" si="647"/>
        <v/>
      </c>
      <c r="O6503" s="34"/>
      <c r="P6503" s="36" t="str">
        <f t="shared" si="648"/>
        <v/>
      </c>
      <c r="Q6503" s="216" t="str">
        <f t="shared" si="649"/>
        <v/>
      </c>
      <c r="R6503" s="216" t="str">
        <f t="shared" si="650"/>
        <v/>
      </c>
      <c r="S6503" s="217" t="str">
        <f t="shared" si="651"/>
        <v/>
      </c>
    </row>
    <row r="6504" spans="1:19" ht="15.75" hidden="1" thickBot="1" x14ac:dyDescent="0.3">
      <c r="A6504" s="262"/>
      <c r="B6504" s="260"/>
      <c r="C6504" s="35" t="s">
        <v>8367</v>
      </c>
      <c r="D6504" s="35" t="s">
        <v>773</v>
      </c>
      <c r="E6504" s="36">
        <v>1</v>
      </c>
      <c r="F6504" s="30">
        <v>3.4579999999999997</v>
      </c>
      <c r="G6504" s="30">
        <f t="shared" si="646"/>
        <v>3.4579999999999997</v>
      </c>
      <c r="H6504" s="38">
        <f>SUM(G6504:G6504)</f>
        <v>3.4579999999999997</v>
      </c>
      <c r="I6504" s="39"/>
      <c r="J6504" s="152">
        <v>0</v>
      </c>
      <c r="L6504" s="215">
        <v>1</v>
      </c>
      <c r="M6504" s="30">
        <v>2.9600479999999996</v>
      </c>
      <c r="N6504" s="30">
        <f t="shared" si="647"/>
        <v>2.9600479999999996</v>
      </c>
      <c r="O6504" s="38">
        <f>SUM(N6504:N6504)</f>
        <v>2.9600479999999996</v>
      </c>
      <c r="P6504" s="36" t="str">
        <f t="shared" si="648"/>
        <v/>
      </c>
      <c r="Q6504" s="216">
        <f t="shared" si="649"/>
        <v>0.14400000000000002</v>
      </c>
      <c r="R6504" s="216">
        <f t="shared" si="650"/>
        <v>0.14400000000000002</v>
      </c>
      <c r="S6504" s="217">
        <f t="shared" si="651"/>
        <v>0.14400000000000002</v>
      </c>
    </row>
    <row r="6505" spans="1:19" ht="15.75" hidden="1" thickBot="1" x14ac:dyDescent="0.3">
      <c r="A6505" s="263"/>
      <c r="B6505" s="261"/>
      <c r="C6505" s="54"/>
      <c r="D6505" s="54"/>
      <c r="E6505" s="65"/>
      <c r="F6505" s="66" t="s">
        <v>416</v>
      </c>
      <c r="G6505" s="66" t="str">
        <f t="shared" si="646"/>
        <v/>
      </c>
      <c r="H6505" s="68"/>
      <c r="I6505" s="30"/>
      <c r="J6505" s="152">
        <v>0</v>
      </c>
      <c r="L6505" s="222"/>
      <c r="M6505" s="66"/>
      <c r="N6505" s="66" t="str">
        <f t="shared" si="647"/>
        <v/>
      </c>
      <c r="O6505" s="68"/>
      <c r="P6505" s="36" t="str">
        <f t="shared" si="648"/>
        <v/>
      </c>
      <c r="Q6505" s="216" t="str">
        <f t="shared" si="649"/>
        <v/>
      </c>
      <c r="R6505" s="216" t="str">
        <f t="shared" si="650"/>
        <v/>
      </c>
      <c r="S6505" s="217" t="str">
        <f t="shared" si="651"/>
        <v/>
      </c>
    </row>
    <row r="6506" spans="1:19" ht="15.75" hidden="1" thickBot="1" x14ac:dyDescent="0.3">
      <c r="A6506" s="256" t="s">
        <v>5832</v>
      </c>
      <c r="B6506" s="259" t="str">
        <f>INDEX(Orçamentária!A:B,MATCH(Composições!A6506,Orçamentária!A:A,0),2)</f>
        <v>Assento para bacia convencional</v>
      </c>
      <c r="C6506" s="40"/>
      <c r="D6506" s="25" t="s">
        <v>16</v>
      </c>
      <c r="E6506" s="26"/>
      <c r="F6506" s="41" t="s">
        <v>416</v>
      </c>
      <c r="G6506" s="27" t="str">
        <f t="shared" si="646"/>
        <v/>
      </c>
      <c r="H6506" s="28"/>
      <c r="I6506" s="29"/>
      <c r="J6506" s="152">
        <v>0</v>
      </c>
      <c r="L6506" s="218"/>
      <c r="M6506" s="41"/>
      <c r="N6506" s="27" t="str">
        <f t="shared" si="647"/>
        <v/>
      </c>
      <c r="O6506" s="28"/>
      <c r="P6506" s="36" t="str">
        <f t="shared" si="648"/>
        <v/>
      </c>
      <c r="Q6506" s="216" t="str">
        <f t="shared" si="649"/>
        <v/>
      </c>
      <c r="R6506" s="216" t="str">
        <f t="shared" si="650"/>
        <v/>
      </c>
      <c r="S6506" s="217" t="str">
        <f t="shared" si="651"/>
        <v/>
      </c>
    </row>
    <row r="6507" spans="1:19" ht="15.75" hidden="1" thickBot="1" x14ac:dyDescent="0.3">
      <c r="A6507" s="262"/>
      <c r="B6507" s="260"/>
      <c r="C6507" s="31"/>
      <c r="D6507" s="31"/>
      <c r="E6507" s="32"/>
      <c r="F6507" s="42" t="s">
        <v>416</v>
      </c>
      <c r="G6507" s="30" t="str">
        <f t="shared" si="646"/>
        <v/>
      </c>
      <c r="H6507" s="34"/>
      <c r="I6507" s="30"/>
      <c r="J6507" s="152">
        <v>0</v>
      </c>
      <c r="L6507" s="219"/>
      <c r="M6507" s="42"/>
      <c r="N6507" s="30" t="str">
        <f t="shared" si="647"/>
        <v/>
      </c>
      <c r="O6507" s="34"/>
      <c r="P6507" s="36" t="str">
        <f t="shared" si="648"/>
        <v/>
      </c>
      <c r="Q6507" s="216" t="str">
        <f t="shared" si="649"/>
        <v/>
      </c>
      <c r="R6507" s="216" t="str">
        <f t="shared" si="650"/>
        <v/>
      </c>
      <c r="S6507" s="217" t="str">
        <f t="shared" si="651"/>
        <v/>
      </c>
    </row>
    <row r="6508" spans="1:19" ht="15.75" hidden="1" thickBot="1" x14ac:dyDescent="0.3">
      <c r="A6508" s="262"/>
      <c r="B6508" s="260"/>
      <c r="C6508" s="35" t="s">
        <v>7993</v>
      </c>
      <c r="D6508" s="35" t="s">
        <v>213</v>
      </c>
      <c r="E6508" s="36">
        <v>1</v>
      </c>
      <c r="F6508" s="30">
        <v>38.949999999999996</v>
      </c>
      <c r="G6508" s="30">
        <f t="shared" si="646"/>
        <v>38.949999999999996</v>
      </c>
      <c r="H6508" s="38">
        <f>SUM(G6508:G6508)</f>
        <v>38.949999999999996</v>
      </c>
      <c r="I6508" s="39"/>
      <c r="J6508" s="152">
        <v>0</v>
      </c>
      <c r="L6508" s="215">
        <v>1</v>
      </c>
      <c r="M6508" s="30">
        <v>33.341200000000001</v>
      </c>
      <c r="N6508" s="30">
        <f t="shared" si="647"/>
        <v>33.341200000000001</v>
      </c>
      <c r="O6508" s="38">
        <f>SUM(N6508:N6508)</f>
        <v>33.341200000000001</v>
      </c>
      <c r="P6508" s="36" t="str">
        <f t="shared" si="648"/>
        <v/>
      </c>
      <c r="Q6508" s="216">
        <f t="shared" si="649"/>
        <v>0.14399999999999991</v>
      </c>
      <c r="R6508" s="216">
        <f t="shared" si="650"/>
        <v>0.14399999999999991</v>
      </c>
      <c r="S6508" s="217">
        <f t="shared" si="651"/>
        <v>0.14399999999999991</v>
      </c>
    </row>
    <row r="6509" spans="1:19" ht="15.75" hidden="1" thickBot="1" x14ac:dyDescent="0.3">
      <c r="A6509" s="263"/>
      <c r="B6509" s="261"/>
      <c r="C6509" s="54"/>
      <c r="D6509" s="54"/>
      <c r="E6509" s="65"/>
      <c r="F6509" s="66" t="s">
        <v>416</v>
      </c>
      <c r="G6509" s="66" t="str">
        <f t="shared" si="646"/>
        <v/>
      </c>
      <c r="H6509" s="68"/>
      <c r="I6509" s="30"/>
      <c r="J6509" s="152">
        <v>0</v>
      </c>
      <c r="L6509" s="222"/>
      <c r="M6509" s="66"/>
      <c r="N6509" s="66" t="str">
        <f t="shared" si="647"/>
        <v/>
      </c>
      <c r="O6509" s="68"/>
      <c r="P6509" s="36" t="str">
        <f t="shared" si="648"/>
        <v/>
      </c>
      <c r="Q6509" s="216" t="str">
        <f t="shared" si="649"/>
        <v/>
      </c>
      <c r="R6509" s="216" t="str">
        <f t="shared" si="650"/>
        <v/>
      </c>
      <c r="S6509" s="217" t="str">
        <f t="shared" si="651"/>
        <v/>
      </c>
    </row>
    <row r="6510" spans="1:19" ht="15.75" hidden="1" thickBot="1" x14ac:dyDescent="0.3">
      <c r="A6510" s="256" t="s">
        <v>5838</v>
      </c>
      <c r="B6510" s="259" t="str">
        <f>INDEX(Orçamentária!A:B,MATCH(Composições!A6510,Orçamentária!A:A,0),2)</f>
        <v>Barra de apoio 70 cm - Linha Acessibilidade</v>
      </c>
      <c r="C6510" s="40"/>
      <c r="D6510" s="25" t="s">
        <v>16</v>
      </c>
      <c r="E6510" s="26"/>
      <c r="F6510" s="41" t="s">
        <v>416</v>
      </c>
      <c r="G6510" s="27" t="str">
        <f t="shared" si="646"/>
        <v/>
      </c>
      <c r="H6510" s="28"/>
      <c r="I6510" s="29"/>
      <c r="J6510" s="152">
        <v>0</v>
      </c>
      <c r="L6510" s="218"/>
      <c r="M6510" s="41"/>
      <c r="N6510" s="27" t="str">
        <f t="shared" si="647"/>
        <v/>
      </c>
      <c r="O6510" s="28"/>
      <c r="P6510" s="36" t="str">
        <f t="shared" si="648"/>
        <v/>
      </c>
      <c r="Q6510" s="216" t="str">
        <f t="shared" si="649"/>
        <v/>
      </c>
      <c r="R6510" s="216" t="str">
        <f t="shared" si="650"/>
        <v/>
      </c>
      <c r="S6510" s="217" t="str">
        <f t="shared" si="651"/>
        <v/>
      </c>
    </row>
    <row r="6511" spans="1:19" ht="15.75" hidden="1" thickBot="1" x14ac:dyDescent="0.3">
      <c r="A6511" s="262"/>
      <c r="B6511" s="260"/>
      <c r="C6511" s="31"/>
      <c r="D6511" s="31"/>
      <c r="E6511" s="32"/>
      <c r="F6511" s="42" t="s">
        <v>416</v>
      </c>
      <c r="G6511" s="30" t="str">
        <f t="shared" si="646"/>
        <v/>
      </c>
      <c r="H6511" s="34"/>
      <c r="I6511" s="30"/>
      <c r="J6511" s="152">
        <v>0</v>
      </c>
      <c r="L6511" s="219"/>
      <c r="M6511" s="42"/>
      <c r="N6511" s="30" t="str">
        <f t="shared" si="647"/>
        <v/>
      </c>
      <c r="O6511" s="34"/>
      <c r="P6511" s="36" t="str">
        <f t="shared" si="648"/>
        <v/>
      </c>
      <c r="Q6511" s="216" t="str">
        <f t="shared" si="649"/>
        <v/>
      </c>
      <c r="R6511" s="216" t="str">
        <f t="shared" si="650"/>
        <v/>
      </c>
      <c r="S6511" s="217" t="str">
        <f t="shared" si="651"/>
        <v/>
      </c>
    </row>
    <row r="6512" spans="1:19" ht="26.25" hidden="1" thickBot="1" x14ac:dyDescent="0.3">
      <c r="A6512" s="262"/>
      <c r="B6512" s="260"/>
      <c r="C6512" s="35" t="s">
        <v>7997</v>
      </c>
      <c r="D6512" s="35" t="s">
        <v>213</v>
      </c>
      <c r="E6512" s="36">
        <v>1</v>
      </c>
      <c r="F6512" s="30">
        <v>149.15</v>
      </c>
      <c r="G6512" s="30">
        <f t="shared" si="646"/>
        <v>149.15</v>
      </c>
      <c r="H6512" s="38">
        <f>SUM(G6512:G6512)</f>
        <v>149.15</v>
      </c>
      <c r="I6512" s="39"/>
      <c r="J6512" s="152">
        <v>0</v>
      </c>
      <c r="L6512" s="215">
        <v>1</v>
      </c>
      <c r="M6512" s="30">
        <v>127.67240000000001</v>
      </c>
      <c r="N6512" s="30">
        <f t="shared" si="647"/>
        <v>127.67240000000001</v>
      </c>
      <c r="O6512" s="38">
        <f>SUM(N6512:N6512)</f>
        <v>127.67240000000001</v>
      </c>
      <c r="P6512" s="36" t="str">
        <f t="shared" si="648"/>
        <v/>
      </c>
      <c r="Q6512" s="216">
        <f t="shared" si="649"/>
        <v>0.14400000000000002</v>
      </c>
      <c r="R6512" s="216">
        <f t="shared" si="650"/>
        <v>0.14400000000000002</v>
      </c>
      <c r="S6512" s="217">
        <f t="shared" si="651"/>
        <v>0.14400000000000002</v>
      </c>
    </row>
    <row r="6513" spans="1:19" ht="15.75" hidden="1" thickBot="1" x14ac:dyDescent="0.3">
      <c r="A6513" s="263"/>
      <c r="B6513" s="261"/>
      <c r="C6513" s="54"/>
      <c r="D6513" s="54"/>
      <c r="E6513" s="65"/>
      <c r="F6513" s="66" t="s">
        <v>416</v>
      </c>
      <c r="G6513" s="66" t="str">
        <f t="shared" si="646"/>
        <v/>
      </c>
      <c r="H6513" s="68"/>
      <c r="I6513" s="30"/>
      <c r="J6513" s="152">
        <v>0</v>
      </c>
      <c r="L6513" s="222"/>
      <c r="M6513" s="66"/>
      <c r="N6513" s="66" t="str">
        <f t="shared" si="647"/>
        <v/>
      </c>
      <c r="O6513" s="68"/>
      <c r="P6513" s="36" t="str">
        <f t="shared" si="648"/>
        <v/>
      </c>
      <c r="Q6513" s="216" t="str">
        <f t="shared" si="649"/>
        <v/>
      </c>
      <c r="R6513" s="216" t="str">
        <f t="shared" si="650"/>
        <v/>
      </c>
      <c r="S6513" s="217" t="str">
        <f t="shared" si="651"/>
        <v/>
      </c>
    </row>
    <row r="6514" spans="1:19" ht="15.75" hidden="1" thickBot="1" x14ac:dyDescent="0.3">
      <c r="A6514" s="256" t="s">
        <v>5839</v>
      </c>
      <c r="B6514" s="259" t="str">
        <f>INDEX(Orçamentária!A:B,MATCH(Composições!A6514,Orçamentária!A:A,0),2)</f>
        <v>Barra de apoio 80 cm - Linha Acessibilidade</v>
      </c>
      <c r="C6514" s="40"/>
      <c r="D6514" s="25" t="s">
        <v>16</v>
      </c>
      <c r="E6514" s="26"/>
      <c r="F6514" s="41" t="s">
        <v>416</v>
      </c>
      <c r="G6514" s="27" t="str">
        <f t="shared" ref="G6514:G6577" si="652">IF(ISNUMBER(F6514),E6514*F6514,"")</f>
        <v/>
      </c>
      <c r="H6514" s="28"/>
      <c r="I6514" s="29"/>
      <c r="J6514" s="152">
        <v>0</v>
      </c>
      <c r="L6514" s="218"/>
      <c r="M6514" s="41"/>
      <c r="N6514" s="27" t="str">
        <f t="shared" ref="N6514:N6577" si="653">IF(ISNUMBER(M6514),L6514*M6514,"")</f>
        <v/>
      </c>
      <c r="O6514" s="28"/>
      <c r="P6514" s="36" t="str">
        <f t="shared" si="648"/>
        <v/>
      </c>
      <c r="Q6514" s="216" t="str">
        <f t="shared" si="649"/>
        <v/>
      </c>
      <c r="R6514" s="216" t="str">
        <f t="shared" si="650"/>
        <v/>
      </c>
      <c r="S6514" s="217" t="str">
        <f t="shared" si="651"/>
        <v/>
      </c>
    </row>
    <row r="6515" spans="1:19" ht="15.75" hidden="1" thickBot="1" x14ac:dyDescent="0.3">
      <c r="A6515" s="262"/>
      <c r="B6515" s="260"/>
      <c r="C6515" s="31"/>
      <c r="D6515" s="31"/>
      <c r="E6515" s="32"/>
      <c r="F6515" s="42" t="s">
        <v>416</v>
      </c>
      <c r="G6515" s="30" t="str">
        <f t="shared" si="652"/>
        <v/>
      </c>
      <c r="H6515" s="34"/>
      <c r="I6515" s="30"/>
      <c r="J6515" s="152">
        <v>0</v>
      </c>
      <c r="L6515" s="219"/>
      <c r="M6515" s="42"/>
      <c r="N6515" s="30" t="str">
        <f t="shared" si="653"/>
        <v/>
      </c>
      <c r="O6515" s="34"/>
      <c r="P6515" s="36" t="str">
        <f t="shared" si="648"/>
        <v/>
      </c>
      <c r="Q6515" s="216" t="str">
        <f t="shared" si="649"/>
        <v/>
      </c>
      <c r="R6515" s="216" t="str">
        <f t="shared" si="650"/>
        <v/>
      </c>
      <c r="S6515" s="217" t="str">
        <f t="shared" si="651"/>
        <v/>
      </c>
    </row>
    <row r="6516" spans="1:19" ht="26.25" hidden="1" thickBot="1" x14ac:dyDescent="0.3">
      <c r="A6516" s="262"/>
      <c r="B6516" s="260"/>
      <c r="C6516" s="35" t="s">
        <v>7998</v>
      </c>
      <c r="D6516" s="35" t="s">
        <v>213</v>
      </c>
      <c r="E6516" s="36">
        <v>1</v>
      </c>
      <c r="F6516" s="30">
        <v>159.03</v>
      </c>
      <c r="G6516" s="30">
        <f t="shared" si="652"/>
        <v>159.03</v>
      </c>
      <c r="H6516" s="38">
        <f>SUM(G6516:G6516)</f>
        <v>159.03</v>
      </c>
      <c r="I6516" s="39"/>
      <c r="J6516" s="152">
        <v>0</v>
      </c>
      <c r="L6516" s="215">
        <v>1</v>
      </c>
      <c r="M6516" s="30">
        <v>136.12968000000001</v>
      </c>
      <c r="N6516" s="30">
        <f t="shared" si="653"/>
        <v>136.12968000000001</v>
      </c>
      <c r="O6516" s="38">
        <f>SUM(N6516:N6516)</f>
        <v>136.12968000000001</v>
      </c>
      <c r="P6516" s="36" t="str">
        <f t="shared" si="648"/>
        <v/>
      </c>
      <c r="Q6516" s="216">
        <f t="shared" si="649"/>
        <v>0.14399999999999991</v>
      </c>
      <c r="R6516" s="216">
        <f t="shared" si="650"/>
        <v>0.14399999999999991</v>
      </c>
      <c r="S6516" s="217">
        <f t="shared" si="651"/>
        <v>0.14399999999999991</v>
      </c>
    </row>
    <row r="6517" spans="1:19" ht="15.75" hidden="1" thickBot="1" x14ac:dyDescent="0.3">
      <c r="A6517" s="263"/>
      <c r="B6517" s="261"/>
      <c r="C6517" s="54"/>
      <c r="D6517" s="54"/>
      <c r="E6517" s="65"/>
      <c r="F6517" s="66" t="s">
        <v>416</v>
      </c>
      <c r="G6517" s="66" t="str">
        <f t="shared" si="652"/>
        <v/>
      </c>
      <c r="H6517" s="68"/>
      <c r="I6517" s="30"/>
      <c r="J6517" s="152">
        <v>0</v>
      </c>
      <c r="L6517" s="222"/>
      <c r="M6517" s="66"/>
      <c r="N6517" s="66" t="str">
        <f t="shared" si="653"/>
        <v/>
      </c>
      <c r="O6517" s="68"/>
      <c r="P6517" s="36" t="str">
        <f t="shared" si="648"/>
        <v/>
      </c>
      <c r="Q6517" s="216" t="str">
        <f t="shared" si="649"/>
        <v/>
      </c>
      <c r="R6517" s="216" t="str">
        <f t="shared" si="650"/>
        <v/>
      </c>
      <c r="S6517" s="217" t="str">
        <f t="shared" si="651"/>
        <v/>
      </c>
    </row>
    <row r="6518" spans="1:19" ht="15.75" hidden="1" thickBot="1" x14ac:dyDescent="0.3">
      <c r="A6518" s="256" t="s">
        <v>5843</v>
      </c>
      <c r="B6518" s="259" t="str">
        <f>INDEX(Orçamentária!A:B,MATCH(Composições!A6518,Orçamentária!A:A,0),2)</f>
        <v>Bolsa de ligação Branca para Vaso Sanitário</v>
      </c>
      <c r="C6518" s="40"/>
      <c r="D6518" s="25" t="s">
        <v>16</v>
      </c>
      <c r="E6518" s="26"/>
      <c r="F6518" s="41" t="s">
        <v>416</v>
      </c>
      <c r="G6518" s="27" t="str">
        <f t="shared" si="652"/>
        <v/>
      </c>
      <c r="H6518" s="28"/>
      <c r="I6518" s="29"/>
      <c r="J6518" s="152">
        <v>0</v>
      </c>
      <c r="L6518" s="218"/>
      <c r="M6518" s="41"/>
      <c r="N6518" s="27" t="str">
        <f t="shared" si="653"/>
        <v/>
      </c>
      <c r="O6518" s="28"/>
      <c r="P6518" s="36" t="str">
        <f t="shared" si="648"/>
        <v/>
      </c>
      <c r="Q6518" s="216" t="str">
        <f t="shared" si="649"/>
        <v/>
      </c>
      <c r="R6518" s="216" t="str">
        <f t="shared" si="650"/>
        <v/>
      </c>
      <c r="S6518" s="217" t="str">
        <f t="shared" si="651"/>
        <v/>
      </c>
    </row>
    <row r="6519" spans="1:19" ht="15.75" hidden="1" thickBot="1" x14ac:dyDescent="0.3">
      <c r="A6519" s="262"/>
      <c r="B6519" s="260"/>
      <c r="C6519" s="31"/>
      <c r="D6519" s="31"/>
      <c r="E6519" s="32"/>
      <c r="F6519" s="42" t="s">
        <v>416</v>
      </c>
      <c r="G6519" s="30" t="str">
        <f t="shared" si="652"/>
        <v/>
      </c>
      <c r="H6519" s="34"/>
      <c r="I6519" s="30"/>
      <c r="J6519" s="152">
        <v>0</v>
      </c>
      <c r="L6519" s="219"/>
      <c r="M6519" s="42"/>
      <c r="N6519" s="30" t="str">
        <f t="shared" si="653"/>
        <v/>
      </c>
      <c r="O6519" s="34"/>
      <c r="P6519" s="36" t="str">
        <f t="shared" si="648"/>
        <v/>
      </c>
      <c r="Q6519" s="216" t="str">
        <f t="shared" si="649"/>
        <v/>
      </c>
      <c r="R6519" s="216" t="str">
        <f t="shared" si="650"/>
        <v/>
      </c>
      <c r="S6519" s="217" t="str">
        <f t="shared" si="651"/>
        <v/>
      </c>
    </row>
    <row r="6520" spans="1:19" ht="26.25" hidden="1" thickBot="1" x14ac:dyDescent="0.3">
      <c r="A6520" s="262"/>
      <c r="B6520" s="260"/>
      <c r="C6520" s="35" t="s">
        <v>8006</v>
      </c>
      <c r="D6520" s="35" t="s">
        <v>213</v>
      </c>
      <c r="E6520" s="36">
        <v>1</v>
      </c>
      <c r="F6520" s="30">
        <v>4.1229999999999993</v>
      </c>
      <c r="G6520" s="30">
        <f t="shared" si="652"/>
        <v>4.1229999999999993</v>
      </c>
      <c r="H6520" s="38">
        <f>SUM(G6520:G6520)</f>
        <v>4.1229999999999993</v>
      </c>
      <c r="I6520" s="39"/>
      <c r="J6520" s="152">
        <v>0</v>
      </c>
      <c r="L6520" s="215">
        <v>1</v>
      </c>
      <c r="M6520" s="30">
        <v>3.5292879999999993</v>
      </c>
      <c r="N6520" s="30">
        <f t="shared" si="653"/>
        <v>3.5292879999999993</v>
      </c>
      <c r="O6520" s="38">
        <f>SUM(N6520:N6520)</f>
        <v>3.5292879999999993</v>
      </c>
      <c r="P6520" s="36" t="str">
        <f t="shared" si="648"/>
        <v/>
      </c>
      <c r="Q6520" s="216">
        <f t="shared" si="649"/>
        <v>0.14400000000000002</v>
      </c>
      <c r="R6520" s="216">
        <f t="shared" si="650"/>
        <v>0.14400000000000002</v>
      </c>
      <c r="S6520" s="217">
        <f t="shared" si="651"/>
        <v>0.14400000000000002</v>
      </c>
    </row>
    <row r="6521" spans="1:19" ht="15.75" hidden="1" thickBot="1" x14ac:dyDescent="0.3">
      <c r="A6521" s="263"/>
      <c r="B6521" s="261"/>
      <c r="C6521" s="54"/>
      <c r="D6521" s="54"/>
      <c r="E6521" s="65"/>
      <c r="F6521" s="66" t="s">
        <v>416</v>
      </c>
      <c r="G6521" s="66" t="str">
        <f t="shared" si="652"/>
        <v/>
      </c>
      <c r="H6521" s="68"/>
      <c r="I6521" s="30"/>
      <c r="J6521" s="152">
        <v>0</v>
      </c>
      <c r="L6521" s="222"/>
      <c r="M6521" s="66"/>
      <c r="N6521" s="66" t="str">
        <f t="shared" si="653"/>
        <v/>
      </c>
      <c r="O6521" s="68"/>
      <c r="P6521" s="36" t="str">
        <f t="shared" si="648"/>
        <v/>
      </c>
      <c r="Q6521" s="216" t="str">
        <f t="shared" si="649"/>
        <v/>
      </c>
      <c r="R6521" s="216" t="str">
        <f t="shared" si="650"/>
        <v/>
      </c>
      <c r="S6521" s="217" t="str">
        <f t="shared" si="651"/>
        <v/>
      </c>
    </row>
    <row r="6522" spans="1:19" ht="15.75" hidden="1" thickBot="1" x14ac:dyDescent="0.3">
      <c r="A6522" s="256" t="s">
        <v>5845</v>
      </c>
      <c r="B6522" s="259" t="str">
        <f>INDEX(Orçamentária!A:B,MATCH(Composições!A6522,Orçamentária!A:A,0),2)</f>
        <v>Botão de Acionamento para Mictório</v>
      </c>
      <c r="C6522" s="40"/>
      <c r="D6522" s="25" t="s">
        <v>16</v>
      </c>
      <c r="E6522" s="26"/>
      <c r="F6522" s="41" t="s">
        <v>416</v>
      </c>
      <c r="G6522" s="27" t="str">
        <f t="shared" si="652"/>
        <v/>
      </c>
      <c r="H6522" s="28"/>
      <c r="I6522" s="29"/>
      <c r="J6522" s="152">
        <v>0</v>
      </c>
      <c r="L6522" s="218"/>
      <c r="M6522" s="41"/>
      <c r="N6522" s="27" t="str">
        <f t="shared" si="653"/>
        <v/>
      </c>
      <c r="O6522" s="28"/>
      <c r="P6522" s="36" t="str">
        <f t="shared" si="648"/>
        <v/>
      </c>
      <c r="Q6522" s="216" t="str">
        <f t="shared" si="649"/>
        <v/>
      </c>
      <c r="R6522" s="216" t="str">
        <f t="shared" si="650"/>
        <v/>
      </c>
      <c r="S6522" s="217" t="str">
        <f t="shared" si="651"/>
        <v/>
      </c>
    </row>
    <row r="6523" spans="1:19" ht="15.75" hidden="1" thickBot="1" x14ac:dyDescent="0.3">
      <c r="A6523" s="262"/>
      <c r="B6523" s="260"/>
      <c r="C6523" s="31"/>
      <c r="D6523" s="31"/>
      <c r="E6523" s="32"/>
      <c r="F6523" s="42" t="s">
        <v>416</v>
      </c>
      <c r="G6523" s="30" t="str">
        <f t="shared" si="652"/>
        <v/>
      </c>
      <c r="H6523" s="34"/>
      <c r="I6523" s="30"/>
      <c r="J6523" s="152">
        <v>0</v>
      </c>
      <c r="L6523" s="219"/>
      <c r="M6523" s="42"/>
      <c r="N6523" s="30" t="str">
        <f t="shared" si="653"/>
        <v/>
      </c>
      <c r="O6523" s="34"/>
      <c r="P6523" s="36" t="str">
        <f t="shared" si="648"/>
        <v/>
      </c>
      <c r="Q6523" s="216" t="str">
        <f t="shared" si="649"/>
        <v/>
      </c>
      <c r="R6523" s="216" t="str">
        <f t="shared" si="650"/>
        <v/>
      </c>
      <c r="S6523" s="217" t="str">
        <f t="shared" si="651"/>
        <v/>
      </c>
    </row>
    <row r="6524" spans="1:19" ht="26.25" hidden="1" thickBot="1" x14ac:dyDescent="0.3">
      <c r="A6524" s="262"/>
      <c r="B6524" s="260"/>
      <c r="C6524" s="35" t="s">
        <v>8490</v>
      </c>
      <c r="D6524" s="35" t="s">
        <v>213</v>
      </c>
      <c r="E6524" s="36">
        <v>1</v>
      </c>
      <c r="F6524" s="30">
        <v>224.98849999999999</v>
      </c>
      <c r="G6524" s="30">
        <f t="shared" si="652"/>
        <v>224.98849999999999</v>
      </c>
      <c r="H6524" s="38">
        <f>SUM(G6524:G6524)</f>
        <v>224.98849999999999</v>
      </c>
      <c r="I6524" s="39"/>
      <c r="J6524" s="152">
        <v>0</v>
      </c>
      <c r="L6524" s="215">
        <v>1</v>
      </c>
      <c r="M6524" s="30">
        <v>192.59015599999998</v>
      </c>
      <c r="N6524" s="30">
        <f t="shared" si="653"/>
        <v>192.59015599999998</v>
      </c>
      <c r="O6524" s="38">
        <f>SUM(N6524:N6524)</f>
        <v>192.59015599999998</v>
      </c>
      <c r="P6524" s="36" t="str">
        <f t="shared" si="648"/>
        <v/>
      </c>
      <c r="Q6524" s="216">
        <f t="shared" si="649"/>
        <v>0.14400000000000002</v>
      </c>
      <c r="R6524" s="216">
        <f t="shared" si="650"/>
        <v>0.14400000000000002</v>
      </c>
      <c r="S6524" s="217">
        <f t="shared" si="651"/>
        <v>0.14400000000000002</v>
      </c>
    </row>
    <row r="6525" spans="1:19" ht="15.75" hidden="1" thickBot="1" x14ac:dyDescent="0.3">
      <c r="A6525" s="263"/>
      <c r="B6525" s="261"/>
      <c r="C6525" s="54"/>
      <c r="D6525" s="54"/>
      <c r="E6525" s="65"/>
      <c r="F6525" s="66" t="s">
        <v>416</v>
      </c>
      <c r="G6525" s="66" t="str">
        <f t="shared" si="652"/>
        <v/>
      </c>
      <c r="H6525" s="68"/>
      <c r="I6525" s="30"/>
      <c r="J6525" s="152">
        <v>0</v>
      </c>
      <c r="L6525" s="222"/>
      <c r="M6525" s="66"/>
      <c r="N6525" s="66" t="str">
        <f t="shared" si="653"/>
        <v/>
      </c>
      <c r="O6525" s="68"/>
      <c r="P6525" s="36" t="str">
        <f t="shared" si="648"/>
        <v/>
      </c>
      <c r="Q6525" s="216" t="str">
        <f t="shared" si="649"/>
        <v/>
      </c>
      <c r="R6525" s="216" t="str">
        <f t="shared" si="650"/>
        <v/>
      </c>
      <c r="S6525" s="217" t="str">
        <f t="shared" si="651"/>
        <v/>
      </c>
    </row>
    <row r="6526" spans="1:19" ht="15.75" hidden="1" thickBot="1" x14ac:dyDescent="0.3">
      <c r="A6526" s="256" t="s">
        <v>5847</v>
      </c>
      <c r="B6526" s="259" t="str">
        <f>INDEX(Orçamentária!A:B,MATCH(Composições!A6526,Orçamentária!A:A,0),2)</f>
        <v>Braço de metal para Chuveiro</v>
      </c>
      <c r="C6526" s="40"/>
      <c r="D6526" s="25" t="s">
        <v>16</v>
      </c>
      <c r="E6526" s="26"/>
      <c r="F6526" s="41" t="s">
        <v>416</v>
      </c>
      <c r="G6526" s="27" t="str">
        <f t="shared" si="652"/>
        <v/>
      </c>
      <c r="H6526" s="28"/>
      <c r="I6526" s="29"/>
      <c r="J6526" s="152">
        <v>0</v>
      </c>
      <c r="L6526" s="218"/>
      <c r="M6526" s="41"/>
      <c r="N6526" s="27" t="str">
        <f t="shared" si="653"/>
        <v/>
      </c>
      <c r="O6526" s="28"/>
      <c r="P6526" s="36" t="str">
        <f t="shared" si="648"/>
        <v/>
      </c>
      <c r="Q6526" s="216" t="str">
        <f t="shared" si="649"/>
        <v/>
      </c>
      <c r="R6526" s="216" t="str">
        <f t="shared" si="650"/>
        <v/>
      </c>
      <c r="S6526" s="217" t="str">
        <f t="shared" si="651"/>
        <v/>
      </c>
    </row>
    <row r="6527" spans="1:19" ht="15.75" hidden="1" thickBot="1" x14ac:dyDescent="0.3">
      <c r="A6527" s="262"/>
      <c r="B6527" s="260"/>
      <c r="C6527" s="31"/>
      <c r="D6527" s="31"/>
      <c r="E6527" s="32"/>
      <c r="F6527" s="42" t="s">
        <v>416</v>
      </c>
      <c r="G6527" s="30" t="str">
        <f t="shared" si="652"/>
        <v/>
      </c>
      <c r="H6527" s="34"/>
      <c r="I6527" s="30"/>
      <c r="J6527" s="152">
        <v>0</v>
      </c>
      <c r="L6527" s="219"/>
      <c r="M6527" s="42"/>
      <c r="N6527" s="30" t="str">
        <f t="shared" si="653"/>
        <v/>
      </c>
      <c r="O6527" s="34"/>
      <c r="P6527" s="36" t="str">
        <f t="shared" si="648"/>
        <v/>
      </c>
      <c r="Q6527" s="216" t="str">
        <f t="shared" si="649"/>
        <v/>
      </c>
      <c r="R6527" s="216" t="str">
        <f t="shared" si="650"/>
        <v/>
      </c>
      <c r="S6527" s="217" t="str">
        <f t="shared" si="651"/>
        <v/>
      </c>
    </row>
    <row r="6528" spans="1:19" ht="26.25" hidden="1" thickBot="1" x14ac:dyDescent="0.3">
      <c r="A6528" s="262"/>
      <c r="B6528" s="260"/>
      <c r="C6528" s="35" t="s">
        <v>8008</v>
      </c>
      <c r="D6528" s="35" t="s">
        <v>213</v>
      </c>
      <c r="E6528" s="36">
        <v>1</v>
      </c>
      <c r="F6528" s="30">
        <v>24.044499999999999</v>
      </c>
      <c r="G6528" s="30">
        <f t="shared" si="652"/>
        <v>24.044499999999999</v>
      </c>
      <c r="H6528" s="38">
        <f>SUM(G6528:G6528)</f>
        <v>24.044499999999999</v>
      </c>
      <c r="I6528" s="39"/>
      <c r="J6528" s="152">
        <v>0</v>
      </c>
      <c r="L6528" s="215">
        <v>1</v>
      </c>
      <c r="M6528" s="30">
        <v>20.582091999999999</v>
      </c>
      <c r="N6528" s="30">
        <f t="shared" si="653"/>
        <v>20.582091999999999</v>
      </c>
      <c r="O6528" s="38">
        <f>SUM(N6528:N6528)</f>
        <v>20.582091999999999</v>
      </c>
      <c r="P6528" s="36" t="str">
        <f t="shared" si="648"/>
        <v/>
      </c>
      <c r="Q6528" s="216">
        <f t="shared" si="649"/>
        <v>0.14400000000000002</v>
      </c>
      <c r="R6528" s="216">
        <f t="shared" si="650"/>
        <v>0.14400000000000002</v>
      </c>
      <c r="S6528" s="217">
        <f t="shared" si="651"/>
        <v>0.14400000000000002</v>
      </c>
    </row>
    <row r="6529" spans="1:19" ht="15.75" hidden="1" thickBot="1" x14ac:dyDescent="0.3">
      <c r="A6529" s="263"/>
      <c r="B6529" s="261"/>
      <c r="C6529" s="54"/>
      <c r="D6529" s="54"/>
      <c r="E6529" s="65"/>
      <c r="F6529" s="66" t="s">
        <v>416</v>
      </c>
      <c r="G6529" s="66" t="str">
        <f t="shared" si="652"/>
        <v/>
      </c>
      <c r="H6529" s="68"/>
      <c r="I6529" s="30"/>
      <c r="J6529" s="152">
        <v>0</v>
      </c>
      <c r="L6529" s="222"/>
      <c r="M6529" s="66"/>
      <c r="N6529" s="66" t="str">
        <f t="shared" si="653"/>
        <v/>
      </c>
      <c r="O6529" s="68"/>
      <c r="P6529" s="36" t="str">
        <f t="shared" si="648"/>
        <v/>
      </c>
      <c r="Q6529" s="216" t="str">
        <f t="shared" si="649"/>
        <v/>
      </c>
      <c r="R6529" s="216" t="str">
        <f t="shared" si="650"/>
        <v/>
      </c>
      <c r="S6529" s="217" t="str">
        <f t="shared" si="651"/>
        <v/>
      </c>
    </row>
    <row r="6530" spans="1:19" ht="15.75" hidden="1" thickBot="1" x14ac:dyDescent="0.3">
      <c r="A6530" s="256" t="s">
        <v>5850</v>
      </c>
      <c r="B6530" s="259" t="str">
        <f>INDEX(Orçamentária!A:B,MATCH(Composições!A6530,Orçamentária!A:A,0),2)</f>
        <v>Caixa de descarga alta/elevada</v>
      </c>
      <c r="C6530" s="40"/>
      <c r="D6530" s="25" t="s">
        <v>16</v>
      </c>
      <c r="E6530" s="26"/>
      <c r="F6530" s="41" t="s">
        <v>416</v>
      </c>
      <c r="G6530" s="27" t="str">
        <f t="shared" si="652"/>
        <v/>
      </c>
      <c r="H6530" s="28"/>
      <c r="I6530" s="29"/>
      <c r="J6530" s="152">
        <v>0</v>
      </c>
      <c r="L6530" s="218"/>
      <c r="M6530" s="41"/>
      <c r="N6530" s="27" t="str">
        <f t="shared" si="653"/>
        <v/>
      </c>
      <c r="O6530" s="28"/>
      <c r="P6530" s="36" t="str">
        <f t="shared" si="648"/>
        <v/>
      </c>
      <c r="Q6530" s="216" t="str">
        <f t="shared" si="649"/>
        <v/>
      </c>
      <c r="R6530" s="216" t="str">
        <f t="shared" si="650"/>
        <v/>
      </c>
      <c r="S6530" s="217" t="str">
        <f t="shared" si="651"/>
        <v/>
      </c>
    </row>
    <row r="6531" spans="1:19" ht="15.75" hidden="1" thickBot="1" x14ac:dyDescent="0.3">
      <c r="A6531" s="262"/>
      <c r="B6531" s="260"/>
      <c r="C6531" s="31"/>
      <c r="D6531" s="31"/>
      <c r="E6531" s="32"/>
      <c r="F6531" s="42" t="s">
        <v>416</v>
      </c>
      <c r="G6531" s="30" t="str">
        <f t="shared" si="652"/>
        <v/>
      </c>
      <c r="H6531" s="34"/>
      <c r="I6531" s="30"/>
      <c r="J6531" s="152">
        <v>0</v>
      </c>
      <c r="L6531" s="219"/>
      <c r="M6531" s="42"/>
      <c r="N6531" s="30" t="str">
        <f t="shared" si="653"/>
        <v/>
      </c>
      <c r="O6531" s="34"/>
      <c r="P6531" s="36" t="str">
        <f t="shared" si="648"/>
        <v/>
      </c>
      <c r="Q6531" s="216" t="str">
        <f t="shared" si="649"/>
        <v/>
      </c>
      <c r="R6531" s="216" t="str">
        <f t="shared" si="650"/>
        <v/>
      </c>
      <c r="S6531" s="217" t="str">
        <f t="shared" si="651"/>
        <v/>
      </c>
    </row>
    <row r="6532" spans="1:19" ht="26.25" hidden="1" thickBot="1" x14ac:dyDescent="0.3">
      <c r="A6532" s="262"/>
      <c r="B6532" s="260"/>
      <c r="C6532" s="35" t="s">
        <v>8033</v>
      </c>
      <c r="D6532" s="35" t="s">
        <v>213</v>
      </c>
      <c r="E6532" s="36">
        <v>1</v>
      </c>
      <c r="F6532" s="30">
        <v>47.404999999999994</v>
      </c>
      <c r="G6532" s="30">
        <f t="shared" si="652"/>
        <v>47.404999999999994</v>
      </c>
      <c r="H6532" s="38">
        <f>SUM(G6532:G6532)</f>
        <v>47.404999999999994</v>
      </c>
      <c r="I6532" s="39"/>
      <c r="J6532" s="152">
        <v>0</v>
      </c>
      <c r="L6532" s="215">
        <v>1</v>
      </c>
      <c r="M6532" s="30">
        <v>40.578679999999991</v>
      </c>
      <c r="N6532" s="30">
        <f t="shared" si="653"/>
        <v>40.578679999999991</v>
      </c>
      <c r="O6532" s="38">
        <f>SUM(N6532:N6532)</f>
        <v>40.578679999999991</v>
      </c>
      <c r="P6532" s="36" t="str">
        <f t="shared" si="648"/>
        <v/>
      </c>
      <c r="Q6532" s="216">
        <f t="shared" si="649"/>
        <v>0.14400000000000013</v>
      </c>
      <c r="R6532" s="216">
        <f t="shared" si="650"/>
        <v>0.14400000000000013</v>
      </c>
      <c r="S6532" s="217">
        <f t="shared" si="651"/>
        <v>0.14400000000000013</v>
      </c>
    </row>
    <row r="6533" spans="1:19" ht="15.75" hidden="1" thickBot="1" x14ac:dyDescent="0.3">
      <c r="A6533" s="263"/>
      <c r="B6533" s="261"/>
      <c r="C6533" s="54"/>
      <c r="D6533" s="54"/>
      <c r="E6533" s="65"/>
      <c r="F6533" s="66" t="s">
        <v>416</v>
      </c>
      <c r="G6533" s="66" t="str">
        <f t="shared" si="652"/>
        <v/>
      </c>
      <c r="H6533" s="68"/>
      <c r="I6533" s="30"/>
      <c r="J6533" s="152">
        <v>0</v>
      </c>
      <c r="L6533" s="222"/>
      <c r="M6533" s="66"/>
      <c r="N6533" s="66" t="str">
        <f t="shared" si="653"/>
        <v/>
      </c>
      <c r="O6533" s="68"/>
      <c r="P6533" s="36" t="str">
        <f t="shared" si="648"/>
        <v/>
      </c>
      <c r="Q6533" s="216" t="str">
        <f t="shared" si="649"/>
        <v/>
      </c>
      <c r="R6533" s="216" t="str">
        <f t="shared" si="650"/>
        <v/>
      </c>
      <c r="S6533" s="217" t="str">
        <f t="shared" si="651"/>
        <v/>
      </c>
    </row>
    <row r="6534" spans="1:19" ht="15.75" hidden="1" thickBot="1" x14ac:dyDescent="0.3">
      <c r="A6534" s="256" t="s">
        <v>5851</v>
      </c>
      <c r="B6534" s="259" t="str">
        <f>INDEX(Orçamentária!A:B,MATCH(Composições!A6534,Orçamentária!A:A,0),2)</f>
        <v>Caixa de gordura grande com cesta</v>
      </c>
      <c r="C6534" s="40"/>
      <c r="D6534" s="25" t="s">
        <v>16</v>
      </c>
      <c r="E6534" s="26"/>
      <c r="F6534" s="41" t="s">
        <v>416</v>
      </c>
      <c r="G6534" s="27" t="str">
        <f t="shared" si="652"/>
        <v/>
      </c>
      <c r="H6534" s="28"/>
      <c r="I6534" s="29"/>
      <c r="J6534" s="152">
        <v>0</v>
      </c>
      <c r="L6534" s="218"/>
      <c r="M6534" s="41"/>
      <c r="N6534" s="27" t="str">
        <f t="shared" si="653"/>
        <v/>
      </c>
      <c r="O6534" s="28"/>
      <c r="P6534" s="36" t="str">
        <f t="shared" si="648"/>
        <v/>
      </c>
      <c r="Q6534" s="216" t="str">
        <f t="shared" si="649"/>
        <v/>
      </c>
      <c r="R6534" s="216" t="str">
        <f t="shared" si="650"/>
        <v/>
      </c>
      <c r="S6534" s="217" t="str">
        <f t="shared" si="651"/>
        <v/>
      </c>
    </row>
    <row r="6535" spans="1:19" ht="15.75" hidden="1" thickBot="1" x14ac:dyDescent="0.3">
      <c r="A6535" s="262"/>
      <c r="B6535" s="260"/>
      <c r="C6535" s="31"/>
      <c r="D6535" s="31"/>
      <c r="E6535" s="32"/>
      <c r="F6535" s="42" t="s">
        <v>416</v>
      </c>
      <c r="G6535" s="30" t="str">
        <f t="shared" si="652"/>
        <v/>
      </c>
      <c r="H6535" s="34"/>
      <c r="I6535" s="30"/>
      <c r="J6535" s="152">
        <v>0</v>
      </c>
      <c r="L6535" s="219"/>
      <c r="M6535" s="42"/>
      <c r="N6535" s="30" t="str">
        <f t="shared" si="653"/>
        <v/>
      </c>
      <c r="O6535" s="34"/>
      <c r="P6535" s="36" t="str">
        <f t="shared" si="648"/>
        <v/>
      </c>
      <c r="Q6535" s="216" t="str">
        <f t="shared" si="649"/>
        <v/>
      </c>
      <c r="R6535" s="216" t="str">
        <f t="shared" si="650"/>
        <v/>
      </c>
      <c r="S6535" s="217" t="str">
        <f t="shared" si="651"/>
        <v/>
      </c>
    </row>
    <row r="6536" spans="1:19" ht="39" hidden="1" thickBot="1" x14ac:dyDescent="0.3">
      <c r="A6536" s="262"/>
      <c r="B6536" s="260"/>
      <c r="C6536" s="35" t="s">
        <v>8543</v>
      </c>
      <c r="D6536" s="35" t="s">
        <v>213</v>
      </c>
      <c r="E6536" s="36">
        <v>1</v>
      </c>
      <c r="F6536" s="30">
        <v>472.38749999999999</v>
      </c>
      <c r="G6536" s="30">
        <f t="shared" si="652"/>
        <v>472.38749999999999</v>
      </c>
      <c r="H6536" s="38">
        <f>SUM(G6536:G6536)</f>
        <v>472.38749999999999</v>
      </c>
      <c r="I6536" s="39"/>
      <c r="J6536" s="152">
        <v>0</v>
      </c>
      <c r="L6536" s="215">
        <v>1</v>
      </c>
      <c r="M6536" s="30">
        <v>404.36369999999999</v>
      </c>
      <c r="N6536" s="30">
        <f t="shared" si="653"/>
        <v>404.36369999999999</v>
      </c>
      <c r="O6536" s="38">
        <f>SUM(N6536:N6536)</f>
        <v>404.36369999999999</v>
      </c>
      <c r="P6536" s="36" t="str">
        <f t="shared" ref="P6536:P6599" si="654">IF(ISBLANK(L6536),"",IF($E6536&lt;&gt;L6536,"SIM",""))</f>
        <v/>
      </c>
      <c r="Q6536" s="216">
        <f t="shared" ref="Q6536:Q6599" si="655">IF(M6536="","",1-M6536/$F6536)</f>
        <v>0.14400000000000002</v>
      </c>
      <c r="R6536" s="216">
        <f t="shared" ref="R6536:R6599" si="656">IF(N6536="","",1-N6536/$G6536)</f>
        <v>0.14400000000000002</v>
      </c>
      <c r="S6536" s="217">
        <f t="shared" ref="S6536:S6599" si="657">IF(O6536="","",1-O6536/$H6536)</f>
        <v>0.14400000000000002</v>
      </c>
    </row>
    <row r="6537" spans="1:19" ht="15.75" hidden="1" thickBot="1" x14ac:dyDescent="0.3">
      <c r="A6537" s="263"/>
      <c r="B6537" s="261"/>
      <c r="C6537" s="54"/>
      <c r="D6537" s="54"/>
      <c r="E6537" s="65"/>
      <c r="F6537" s="66" t="s">
        <v>416</v>
      </c>
      <c r="G6537" s="66" t="str">
        <f t="shared" si="652"/>
        <v/>
      </c>
      <c r="H6537" s="68"/>
      <c r="I6537" s="30"/>
      <c r="J6537" s="152">
        <v>0</v>
      </c>
      <c r="L6537" s="222"/>
      <c r="M6537" s="66"/>
      <c r="N6537" s="66" t="str">
        <f t="shared" si="653"/>
        <v/>
      </c>
      <c r="O6537" s="68"/>
      <c r="P6537" s="36" t="str">
        <f t="shared" si="654"/>
        <v/>
      </c>
      <c r="Q6537" s="216" t="str">
        <f t="shared" si="655"/>
        <v/>
      </c>
      <c r="R6537" s="216" t="str">
        <f t="shared" si="656"/>
        <v/>
      </c>
      <c r="S6537" s="217" t="str">
        <f t="shared" si="657"/>
        <v/>
      </c>
    </row>
    <row r="6538" spans="1:19" ht="15.75" hidden="1" thickBot="1" x14ac:dyDescent="0.3">
      <c r="A6538" s="256" t="s">
        <v>5853</v>
      </c>
      <c r="B6538" s="259" t="str">
        <f>INDEX(Orçamentária!A:B,MATCH(Composições!A6538,Orçamentária!A:A,0),2)</f>
        <v>Caixa de hidrante de parede com vidro - 70x50 cm</v>
      </c>
      <c r="C6538" s="40"/>
      <c r="D6538" s="25" t="s">
        <v>16</v>
      </c>
      <c r="E6538" s="26"/>
      <c r="F6538" s="41" t="s">
        <v>416</v>
      </c>
      <c r="G6538" s="27" t="str">
        <f t="shared" si="652"/>
        <v/>
      </c>
      <c r="H6538" s="28"/>
      <c r="I6538" s="29"/>
      <c r="J6538" s="152">
        <v>0</v>
      </c>
      <c r="L6538" s="218"/>
      <c r="M6538" s="41"/>
      <c r="N6538" s="27" t="str">
        <f t="shared" si="653"/>
        <v/>
      </c>
      <c r="O6538" s="28"/>
      <c r="P6538" s="36" t="str">
        <f t="shared" si="654"/>
        <v/>
      </c>
      <c r="Q6538" s="216" t="str">
        <f t="shared" si="655"/>
        <v/>
      </c>
      <c r="R6538" s="216" t="str">
        <f t="shared" si="656"/>
        <v/>
      </c>
      <c r="S6538" s="217" t="str">
        <f t="shared" si="657"/>
        <v/>
      </c>
    </row>
    <row r="6539" spans="1:19" ht="15.75" hidden="1" thickBot="1" x14ac:dyDescent="0.3">
      <c r="A6539" s="262"/>
      <c r="B6539" s="260"/>
      <c r="C6539" s="31"/>
      <c r="D6539" s="31"/>
      <c r="E6539" s="32"/>
      <c r="F6539" s="42" t="s">
        <v>416</v>
      </c>
      <c r="G6539" s="30" t="str">
        <f t="shared" si="652"/>
        <v/>
      </c>
      <c r="H6539" s="34"/>
      <c r="I6539" s="30"/>
      <c r="J6539" s="152">
        <v>0</v>
      </c>
      <c r="L6539" s="219"/>
      <c r="M6539" s="42"/>
      <c r="N6539" s="30" t="str">
        <f t="shared" si="653"/>
        <v/>
      </c>
      <c r="O6539" s="34"/>
      <c r="P6539" s="36" t="str">
        <f t="shared" si="654"/>
        <v/>
      </c>
      <c r="Q6539" s="216" t="str">
        <f t="shared" si="655"/>
        <v/>
      </c>
      <c r="R6539" s="216" t="str">
        <f t="shared" si="656"/>
        <v/>
      </c>
      <c r="S6539" s="217" t="str">
        <f t="shared" si="657"/>
        <v/>
      </c>
    </row>
    <row r="6540" spans="1:19" ht="64.5" hidden="1" thickBot="1" x14ac:dyDescent="0.3">
      <c r="A6540" s="262"/>
      <c r="B6540" s="260"/>
      <c r="C6540" s="35" t="s">
        <v>8034</v>
      </c>
      <c r="D6540" s="35" t="s">
        <v>213</v>
      </c>
      <c r="E6540" s="36">
        <v>1</v>
      </c>
      <c r="F6540" s="30">
        <v>332.63299999999998</v>
      </c>
      <c r="G6540" s="30">
        <f t="shared" si="652"/>
        <v>332.63299999999998</v>
      </c>
      <c r="H6540" s="38">
        <f>SUM(G6540:G6540)</f>
        <v>332.63299999999998</v>
      </c>
      <c r="I6540" s="39"/>
      <c r="J6540" s="152">
        <v>0</v>
      </c>
      <c r="L6540" s="215">
        <v>1</v>
      </c>
      <c r="M6540" s="30">
        <v>284.73384799999997</v>
      </c>
      <c r="N6540" s="30">
        <f t="shared" si="653"/>
        <v>284.73384799999997</v>
      </c>
      <c r="O6540" s="38">
        <f>SUM(N6540:N6540)</f>
        <v>284.73384799999997</v>
      </c>
      <c r="P6540" s="36" t="str">
        <f t="shared" si="654"/>
        <v/>
      </c>
      <c r="Q6540" s="216">
        <f t="shared" si="655"/>
        <v>0.14400000000000002</v>
      </c>
      <c r="R6540" s="216">
        <f t="shared" si="656"/>
        <v>0.14400000000000002</v>
      </c>
      <c r="S6540" s="217">
        <f t="shared" si="657"/>
        <v>0.14400000000000002</v>
      </c>
    </row>
    <row r="6541" spans="1:19" ht="15.75" hidden="1" thickBot="1" x14ac:dyDescent="0.3">
      <c r="A6541" s="263"/>
      <c r="B6541" s="261"/>
      <c r="C6541" s="54"/>
      <c r="D6541" s="54"/>
      <c r="E6541" s="65"/>
      <c r="F6541" s="66" t="s">
        <v>416</v>
      </c>
      <c r="G6541" s="66" t="str">
        <f t="shared" si="652"/>
        <v/>
      </c>
      <c r="H6541" s="68"/>
      <c r="I6541" s="30"/>
      <c r="J6541" s="152">
        <v>0</v>
      </c>
      <c r="L6541" s="222"/>
      <c r="M6541" s="66"/>
      <c r="N6541" s="66" t="str">
        <f t="shared" si="653"/>
        <v/>
      </c>
      <c r="O6541" s="68"/>
      <c r="P6541" s="36" t="str">
        <f t="shared" si="654"/>
        <v/>
      </c>
      <c r="Q6541" s="216" t="str">
        <f t="shared" si="655"/>
        <v/>
      </c>
      <c r="R6541" s="216" t="str">
        <f t="shared" si="656"/>
        <v/>
      </c>
      <c r="S6541" s="217" t="str">
        <f t="shared" si="657"/>
        <v/>
      </c>
    </row>
    <row r="6542" spans="1:19" ht="15.75" hidden="1" thickBot="1" x14ac:dyDescent="0.3">
      <c r="A6542" s="256" t="s">
        <v>5855</v>
      </c>
      <c r="B6542" s="259" t="str">
        <f>INDEX(Orçamentária!A:B,MATCH(Composições!A6542,Orçamentária!A:A,0),2)</f>
        <v>Caixa sifonada de PVC DN 150 mm</v>
      </c>
      <c r="C6542" s="40"/>
      <c r="D6542" s="25" t="s">
        <v>16</v>
      </c>
      <c r="E6542" s="26"/>
      <c r="F6542" s="41" t="s">
        <v>416</v>
      </c>
      <c r="G6542" s="27" t="str">
        <f t="shared" si="652"/>
        <v/>
      </c>
      <c r="H6542" s="28"/>
      <c r="I6542" s="29"/>
      <c r="J6542" s="152">
        <v>0</v>
      </c>
      <c r="L6542" s="218"/>
      <c r="M6542" s="41"/>
      <c r="N6542" s="27" t="str">
        <f t="shared" si="653"/>
        <v/>
      </c>
      <c r="O6542" s="28"/>
      <c r="P6542" s="36" t="str">
        <f t="shared" si="654"/>
        <v/>
      </c>
      <c r="Q6542" s="216" t="str">
        <f t="shared" si="655"/>
        <v/>
      </c>
      <c r="R6542" s="216" t="str">
        <f t="shared" si="656"/>
        <v/>
      </c>
      <c r="S6542" s="217" t="str">
        <f t="shared" si="657"/>
        <v/>
      </c>
    </row>
    <row r="6543" spans="1:19" ht="15.75" hidden="1" thickBot="1" x14ac:dyDescent="0.3">
      <c r="A6543" s="262"/>
      <c r="B6543" s="260"/>
      <c r="C6543" s="31"/>
      <c r="D6543" s="31"/>
      <c r="E6543" s="32"/>
      <c r="F6543" s="42" t="s">
        <v>416</v>
      </c>
      <c r="G6543" s="30" t="str">
        <f t="shared" si="652"/>
        <v/>
      </c>
      <c r="H6543" s="34"/>
      <c r="I6543" s="30"/>
      <c r="J6543" s="152">
        <v>0</v>
      </c>
      <c r="L6543" s="219"/>
      <c r="M6543" s="42"/>
      <c r="N6543" s="30" t="str">
        <f t="shared" si="653"/>
        <v/>
      </c>
      <c r="O6543" s="34"/>
      <c r="P6543" s="36" t="str">
        <f t="shared" si="654"/>
        <v/>
      </c>
      <c r="Q6543" s="216" t="str">
        <f t="shared" si="655"/>
        <v/>
      </c>
      <c r="R6543" s="216" t="str">
        <f t="shared" si="656"/>
        <v/>
      </c>
      <c r="S6543" s="217" t="str">
        <f t="shared" si="657"/>
        <v/>
      </c>
    </row>
    <row r="6544" spans="1:19" ht="26.25" hidden="1" thickBot="1" x14ac:dyDescent="0.3">
      <c r="A6544" s="262"/>
      <c r="B6544" s="260"/>
      <c r="C6544" s="35" t="s">
        <v>8039</v>
      </c>
      <c r="D6544" s="35" t="s">
        <v>213</v>
      </c>
      <c r="E6544" s="36">
        <v>1</v>
      </c>
      <c r="F6544" s="30">
        <v>67.45</v>
      </c>
      <c r="G6544" s="30">
        <f t="shared" si="652"/>
        <v>67.45</v>
      </c>
      <c r="H6544" s="38">
        <f>SUM(G6544:G6544)</f>
        <v>67.45</v>
      </c>
      <c r="I6544" s="39"/>
      <c r="J6544" s="152">
        <v>0</v>
      </c>
      <c r="L6544" s="215">
        <v>1</v>
      </c>
      <c r="M6544" s="30">
        <v>57.737200000000001</v>
      </c>
      <c r="N6544" s="30">
        <f t="shared" si="653"/>
        <v>57.737200000000001</v>
      </c>
      <c r="O6544" s="38">
        <f>SUM(N6544:N6544)</f>
        <v>57.737200000000001</v>
      </c>
      <c r="P6544" s="36" t="str">
        <f t="shared" si="654"/>
        <v/>
      </c>
      <c r="Q6544" s="216">
        <f t="shared" si="655"/>
        <v>0.14400000000000002</v>
      </c>
      <c r="R6544" s="216">
        <f t="shared" si="656"/>
        <v>0.14400000000000002</v>
      </c>
      <c r="S6544" s="217">
        <f t="shared" si="657"/>
        <v>0.14400000000000002</v>
      </c>
    </row>
    <row r="6545" spans="1:19" ht="15.75" hidden="1" thickBot="1" x14ac:dyDescent="0.3">
      <c r="A6545" s="263"/>
      <c r="B6545" s="261"/>
      <c r="C6545" s="54"/>
      <c r="D6545" s="54"/>
      <c r="E6545" s="65"/>
      <c r="F6545" s="66" t="s">
        <v>416</v>
      </c>
      <c r="G6545" s="66" t="str">
        <f t="shared" si="652"/>
        <v/>
      </c>
      <c r="H6545" s="68"/>
      <c r="I6545" s="30"/>
      <c r="J6545" s="152">
        <v>0</v>
      </c>
      <c r="L6545" s="222"/>
      <c r="M6545" s="66"/>
      <c r="N6545" s="66" t="str">
        <f t="shared" si="653"/>
        <v/>
      </c>
      <c r="O6545" s="68"/>
      <c r="P6545" s="36" t="str">
        <f t="shared" si="654"/>
        <v/>
      </c>
      <c r="Q6545" s="216" t="str">
        <f t="shared" si="655"/>
        <v/>
      </c>
      <c r="R6545" s="216" t="str">
        <f t="shared" si="656"/>
        <v/>
      </c>
      <c r="S6545" s="217" t="str">
        <f t="shared" si="657"/>
        <v/>
      </c>
    </row>
    <row r="6546" spans="1:19" ht="15.75" hidden="1" thickBot="1" x14ac:dyDescent="0.3">
      <c r="A6546" s="256" t="s">
        <v>5856</v>
      </c>
      <c r="B6546" s="259" t="str">
        <f>INDEX(Orçamentária!A:B,MATCH(Composições!A6546,Orçamentária!A:A,0),2)</f>
        <v>Caixa sifonada de PVC DN 250 mm</v>
      </c>
      <c r="C6546" s="40"/>
      <c r="D6546" s="25" t="s">
        <v>16</v>
      </c>
      <c r="E6546" s="26"/>
      <c r="F6546" s="41" t="s">
        <v>416</v>
      </c>
      <c r="G6546" s="27" t="str">
        <f t="shared" si="652"/>
        <v/>
      </c>
      <c r="H6546" s="28"/>
      <c r="I6546" s="29"/>
      <c r="J6546" s="152">
        <v>0</v>
      </c>
      <c r="L6546" s="218"/>
      <c r="M6546" s="41"/>
      <c r="N6546" s="27" t="str">
        <f t="shared" si="653"/>
        <v/>
      </c>
      <c r="O6546" s="28"/>
      <c r="P6546" s="36" t="str">
        <f t="shared" si="654"/>
        <v/>
      </c>
      <c r="Q6546" s="216" t="str">
        <f t="shared" si="655"/>
        <v/>
      </c>
      <c r="R6546" s="216" t="str">
        <f t="shared" si="656"/>
        <v/>
      </c>
      <c r="S6546" s="217" t="str">
        <f t="shared" si="657"/>
        <v/>
      </c>
    </row>
    <row r="6547" spans="1:19" ht="15.75" hidden="1" thickBot="1" x14ac:dyDescent="0.3">
      <c r="A6547" s="262"/>
      <c r="B6547" s="260"/>
      <c r="C6547" s="31"/>
      <c r="D6547" s="31"/>
      <c r="E6547" s="32"/>
      <c r="F6547" s="42" t="s">
        <v>416</v>
      </c>
      <c r="G6547" s="30" t="str">
        <f t="shared" si="652"/>
        <v/>
      </c>
      <c r="H6547" s="34"/>
      <c r="I6547" s="30"/>
      <c r="J6547" s="152">
        <v>0</v>
      </c>
      <c r="L6547" s="219"/>
      <c r="M6547" s="42"/>
      <c r="N6547" s="30" t="str">
        <f t="shared" si="653"/>
        <v/>
      </c>
      <c r="O6547" s="34"/>
      <c r="P6547" s="36" t="str">
        <f t="shared" si="654"/>
        <v/>
      </c>
      <c r="Q6547" s="216" t="str">
        <f t="shared" si="655"/>
        <v/>
      </c>
      <c r="R6547" s="216" t="str">
        <f t="shared" si="656"/>
        <v/>
      </c>
      <c r="S6547" s="217" t="str">
        <f t="shared" si="657"/>
        <v/>
      </c>
    </row>
    <row r="6548" spans="1:19" ht="26.25" hidden="1" thickBot="1" x14ac:dyDescent="0.3">
      <c r="A6548" s="262"/>
      <c r="B6548" s="260"/>
      <c r="C6548" s="35" t="s">
        <v>8037</v>
      </c>
      <c r="D6548" s="35" t="s">
        <v>213</v>
      </c>
      <c r="E6548" s="36">
        <v>1</v>
      </c>
      <c r="F6548" s="30">
        <v>125.78</v>
      </c>
      <c r="G6548" s="30">
        <f t="shared" si="652"/>
        <v>125.78</v>
      </c>
      <c r="H6548" s="38">
        <f>SUM(G6548:G6548)</f>
        <v>125.78</v>
      </c>
      <c r="I6548" s="39"/>
      <c r="J6548" s="152">
        <v>0</v>
      </c>
      <c r="L6548" s="215">
        <v>1</v>
      </c>
      <c r="M6548" s="30">
        <v>107.66768</v>
      </c>
      <c r="N6548" s="30">
        <f t="shared" si="653"/>
        <v>107.66768</v>
      </c>
      <c r="O6548" s="38">
        <f>SUM(N6548:N6548)</f>
        <v>107.66768</v>
      </c>
      <c r="P6548" s="36" t="str">
        <f t="shared" si="654"/>
        <v/>
      </c>
      <c r="Q6548" s="216">
        <f t="shared" si="655"/>
        <v>0.14400000000000002</v>
      </c>
      <c r="R6548" s="216">
        <f t="shared" si="656"/>
        <v>0.14400000000000002</v>
      </c>
      <c r="S6548" s="217">
        <f t="shared" si="657"/>
        <v>0.14400000000000002</v>
      </c>
    </row>
    <row r="6549" spans="1:19" ht="15.75" hidden="1" thickBot="1" x14ac:dyDescent="0.3">
      <c r="A6549" s="263"/>
      <c r="B6549" s="261"/>
      <c r="C6549" s="54"/>
      <c r="D6549" s="54"/>
      <c r="E6549" s="65"/>
      <c r="F6549" s="66" t="s">
        <v>416</v>
      </c>
      <c r="G6549" s="66" t="str">
        <f t="shared" si="652"/>
        <v/>
      </c>
      <c r="H6549" s="68"/>
      <c r="I6549" s="30"/>
      <c r="J6549" s="152">
        <v>0</v>
      </c>
      <c r="L6549" s="222"/>
      <c r="M6549" s="66"/>
      <c r="N6549" s="66" t="str">
        <f t="shared" si="653"/>
        <v/>
      </c>
      <c r="O6549" s="68"/>
      <c r="P6549" s="36" t="str">
        <f t="shared" si="654"/>
        <v/>
      </c>
      <c r="Q6549" s="216" t="str">
        <f t="shared" si="655"/>
        <v/>
      </c>
      <c r="R6549" s="216" t="str">
        <f t="shared" si="656"/>
        <v/>
      </c>
      <c r="S6549" s="217" t="str">
        <f t="shared" si="657"/>
        <v/>
      </c>
    </row>
    <row r="6550" spans="1:19" ht="15.75" hidden="1" thickBot="1" x14ac:dyDescent="0.3">
      <c r="A6550" s="256" t="s">
        <v>5900</v>
      </c>
      <c r="B6550" s="259" t="str">
        <f>INDEX(Orçamentária!A:B,MATCH(Composições!A6550,Orçamentária!A:A,0),2)</f>
        <v>Chuveiro Elétrico</v>
      </c>
      <c r="C6550" s="40"/>
      <c r="D6550" s="25" t="s">
        <v>16</v>
      </c>
      <c r="E6550" s="26"/>
      <c r="F6550" s="41" t="s">
        <v>416</v>
      </c>
      <c r="G6550" s="27" t="str">
        <f t="shared" si="652"/>
        <v/>
      </c>
      <c r="H6550" s="28"/>
      <c r="I6550" s="29"/>
      <c r="J6550" s="152">
        <v>0</v>
      </c>
      <c r="L6550" s="218"/>
      <c r="M6550" s="41"/>
      <c r="N6550" s="27" t="str">
        <f t="shared" si="653"/>
        <v/>
      </c>
      <c r="O6550" s="28"/>
      <c r="P6550" s="36" t="str">
        <f t="shared" si="654"/>
        <v/>
      </c>
      <c r="Q6550" s="216" t="str">
        <f t="shared" si="655"/>
        <v/>
      </c>
      <c r="R6550" s="216" t="str">
        <f t="shared" si="656"/>
        <v/>
      </c>
      <c r="S6550" s="217" t="str">
        <f t="shared" si="657"/>
        <v/>
      </c>
    </row>
    <row r="6551" spans="1:19" ht="15.75" hidden="1" thickBot="1" x14ac:dyDescent="0.3">
      <c r="A6551" s="262"/>
      <c r="B6551" s="260"/>
      <c r="C6551" s="31"/>
      <c r="D6551" s="31"/>
      <c r="E6551" s="32"/>
      <c r="F6551" s="42" t="s">
        <v>416</v>
      </c>
      <c r="G6551" s="30" t="str">
        <f t="shared" si="652"/>
        <v/>
      </c>
      <c r="H6551" s="34"/>
      <c r="I6551" s="30"/>
      <c r="J6551" s="152">
        <v>0</v>
      </c>
      <c r="L6551" s="219"/>
      <c r="M6551" s="42"/>
      <c r="N6551" s="30" t="str">
        <f t="shared" si="653"/>
        <v/>
      </c>
      <c r="O6551" s="34"/>
      <c r="P6551" s="36" t="str">
        <f t="shared" si="654"/>
        <v/>
      </c>
      <c r="Q6551" s="216" t="str">
        <f t="shared" si="655"/>
        <v/>
      </c>
      <c r="R6551" s="216" t="str">
        <f t="shared" si="656"/>
        <v/>
      </c>
      <c r="S6551" s="217" t="str">
        <f t="shared" si="657"/>
        <v/>
      </c>
    </row>
    <row r="6552" spans="1:19" ht="26.25" hidden="1" thickBot="1" x14ac:dyDescent="0.3">
      <c r="A6552" s="262"/>
      <c r="B6552" s="260"/>
      <c r="C6552" s="35" t="s">
        <v>931</v>
      </c>
      <c r="D6552" s="35" t="s">
        <v>213</v>
      </c>
      <c r="E6552" s="36">
        <v>1</v>
      </c>
      <c r="F6552" s="30">
        <v>73.320999999999998</v>
      </c>
      <c r="G6552" s="30">
        <f t="shared" si="652"/>
        <v>73.320999999999998</v>
      </c>
      <c r="H6552" s="38">
        <f>SUM(G6552:G6552)</f>
        <v>73.320999999999998</v>
      </c>
      <c r="I6552" s="39"/>
      <c r="J6552" s="152">
        <v>0</v>
      </c>
      <c r="L6552" s="215">
        <v>1</v>
      </c>
      <c r="M6552" s="30">
        <v>62.762776000000002</v>
      </c>
      <c r="N6552" s="30">
        <f t="shared" si="653"/>
        <v>62.762776000000002</v>
      </c>
      <c r="O6552" s="38">
        <f>SUM(N6552:N6552)</f>
        <v>62.762776000000002</v>
      </c>
      <c r="P6552" s="36" t="str">
        <f t="shared" si="654"/>
        <v/>
      </c>
      <c r="Q6552" s="216">
        <f t="shared" si="655"/>
        <v>0.14399999999999991</v>
      </c>
      <c r="R6552" s="216">
        <f t="shared" si="656"/>
        <v>0.14399999999999991</v>
      </c>
      <c r="S6552" s="217">
        <f t="shared" si="657"/>
        <v>0.14399999999999991</v>
      </c>
    </row>
    <row r="6553" spans="1:19" ht="15.75" hidden="1" thickBot="1" x14ac:dyDescent="0.3">
      <c r="A6553" s="263"/>
      <c r="B6553" s="261"/>
      <c r="C6553" s="54"/>
      <c r="D6553" s="54"/>
      <c r="E6553" s="65"/>
      <c r="F6553" s="66" t="s">
        <v>416</v>
      </c>
      <c r="G6553" s="66" t="str">
        <f t="shared" si="652"/>
        <v/>
      </c>
      <c r="H6553" s="68"/>
      <c r="I6553" s="30"/>
      <c r="J6553" s="152">
        <v>0</v>
      </c>
      <c r="L6553" s="222"/>
      <c r="M6553" s="66"/>
      <c r="N6553" s="66" t="str">
        <f t="shared" si="653"/>
        <v/>
      </c>
      <c r="O6553" s="68"/>
      <c r="P6553" s="36" t="str">
        <f t="shared" si="654"/>
        <v/>
      </c>
      <c r="Q6553" s="216" t="str">
        <f t="shared" si="655"/>
        <v/>
      </c>
      <c r="R6553" s="216" t="str">
        <f t="shared" si="656"/>
        <v/>
      </c>
      <c r="S6553" s="217" t="str">
        <f t="shared" si="657"/>
        <v/>
      </c>
    </row>
    <row r="6554" spans="1:19" ht="15.75" hidden="1" thickBot="1" x14ac:dyDescent="0.3">
      <c r="A6554" s="256" t="s">
        <v>5914</v>
      </c>
      <c r="B6554" s="259" t="str">
        <f>INDEX(Orçamentária!A:B,MATCH(Composições!A6554,Orçamentária!A:A,0),2)</f>
        <v>Cuba retangular em aço inox</v>
      </c>
      <c r="C6554" s="40"/>
      <c r="D6554" s="25" t="s">
        <v>16</v>
      </c>
      <c r="E6554" s="26"/>
      <c r="F6554" s="41" t="s">
        <v>416</v>
      </c>
      <c r="G6554" s="27" t="str">
        <f t="shared" si="652"/>
        <v/>
      </c>
      <c r="H6554" s="28"/>
      <c r="I6554" s="29"/>
      <c r="J6554" s="152">
        <v>0</v>
      </c>
      <c r="L6554" s="218"/>
      <c r="M6554" s="41"/>
      <c r="N6554" s="27" t="str">
        <f t="shared" si="653"/>
        <v/>
      </c>
      <c r="O6554" s="28"/>
      <c r="P6554" s="36" t="str">
        <f t="shared" si="654"/>
        <v/>
      </c>
      <c r="Q6554" s="216" t="str">
        <f t="shared" si="655"/>
        <v/>
      </c>
      <c r="R6554" s="216" t="str">
        <f t="shared" si="656"/>
        <v/>
      </c>
      <c r="S6554" s="217" t="str">
        <f t="shared" si="657"/>
        <v/>
      </c>
    </row>
    <row r="6555" spans="1:19" ht="15.75" hidden="1" thickBot="1" x14ac:dyDescent="0.3">
      <c r="A6555" s="262"/>
      <c r="B6555" s="260"/>
      <c r="C6555" s="31"/>
      <c r="D6555" s="31"/>
      <c r="E6555" s="32"/>
      <c r="F6555" s="42" t="s">
        <v>416</v>
      </c>
      <c r="G6555" s="30" t="str">
        <f t="shared" si="652"/>
        <v/>
      </c>
      <c r="H6555" s="34"/>
      <c r="I6555" s="30"/>
      <c r="J6555" s="152">
        <v>0</v>
      </c>
      <c r="L6555" s="219"/>
      <c r="M6555" s="42"/>
      <c r="N6555" s="30" t="str">
        <f t="shared" si="653"/>
        <v/>
      </c>
      <c r="O6555" s="34"/>
      <c r="P6555" s="36" t="str">
        <f t="shared" si="654"/>
        <v/>
      </c>
      <c r="Q6555" s="216" t="str">
        <f t="shared" si="655"/>
        <v/>
      </c>
      <c r="R6555" s="216" t="str">
        <f t="shared" si="656"/>
        <v/>
      </c>
      <c r="S6555" s="217" t="str">
        <f t="shared" si="657"/>
        <v/>
      </c>
    </row>
    <row r="6556" spans="1:19" ht="26.25" hidden="1" thickBot="1" x14ac:dyDescent="0.3">
      <c r="A6556" s="262"/>
      <c r="B6556" s="260"/>
      <c r="C6556" s="35" t="s">
        <v>8102</v>
      </c>
      <c r="D6556" s="35" t="s">
        <v>213</v>
      </c>
      <c r="E6556" s="36">
        <v>1</v>
      </c>
      <c r="F6556" s="30">
        <v>122.71149999999999</v>
      </c>
      <c r="G6556" s="30">
        <f t="shared" si="652"/>
        <v>122.71149999999999</v>
      </c>
      <c r="H6556" s="38">
        <f>SUM(G6556:G6556)</f>
        <v>122.71149999999999</v>
      </c>
      <c r="I6556" s="39"/>
      <c r="J6556" s="152">
        <v>0</v>
      </c>
      <c r="L6556" s="215">
        <v>1</v>
      </c>
      <c r="M6556" s="30">
        <v>105.04104399999999</v>
      </c>
      <c r="N6556" s="30">
        <f t="shared" si="653"/>
        <v>105.04104399999999</v>
      </c>
      <c r="O6556" s="38">
        <f>SUM(N6556:N6556)</f>
        <v>105.04104399999999</v>
      </c>
      <c r="P6556" s="36" t="str">
        <f t="shared" si="654"/>
        <v/>
      </c>
      <c r="Q6556" s="216">
        <f t="shared" si="655"/>
        <v>0.14400000000000002</v>
      </c>
      <c r="R6556" s="216">
        <f t="shared" si="656"/>
        <v>0.14400000000000002</v>
      </c>
      <c r="S6556" s="217">
        <f t="shared" si="657"/>
        <v>0.14400000000000002</v>
      </c>
    </row>
    <row r="6557" spans="1:19" ht="15.75" hidden="1" thickBot="1" x14ac:dyDescent="0.3">
      <c r="A6557" s="263"/>
      <c r="B6557" s="261"/>
      <c r="C6557" s="54"/>
      <c r="D6557" s="54"/>
      <c r="E6557" s="65"/>
      <c r="F6557" s="66" t="s">
        <v>416</v>
      </c>
      <c r="G6557" s="66" t="str">
        <f t="shared" si="652"/>
        <v/>
      </c>
      <c r="H6557" s="68"/>
      <c r="I6557" s="30"/>
      <c r="J6557" s="152">
        <v>0</v>
      </c>
      <c r="L6557" s="222"/>
      <c r="M6557" s="66"/>
      <c r="N6557" s="66" t="str">
        <f t="shared" si="653"/>
        <v/>
      </c>
      <c r="O6557" s="68"/>
      <c r="P6557" s="36" t="str">
        <f t="shared" si="654"/>
        <v/>
      </c>
      <c r="Q6557" s="216" t="str">
        <f t="shared" si="655"/>
        <v/>
      </c>
      <c r="R6557" s="216" t="str">
        <f t="shared" si="656"/>
        <v/>
      </c>
      <c r="S6557" s="217" t="str">
        <f t="shared" si="657"/>
        <v/>
      </c>
    </row>
    <row r="6558" spans="1:19" ht="15.75" hidden="1" thickBot="1" x14ac:dyDescent="0.3">
      <c r="A6558" s="256" t="s">
        <v>5940</v>
      </c>
      <c r="B6558" s="259" t="str">
        <f>INDEX(Orçamentária!A:B,MATCH(Composições!A6558,Orçamentária!A:A,0),2)</f>
        <v>Manômetro DN63 (2 1/2”) até 150 psi - Seco</v>
      </c>
      <c r="C6558" s="40"/>
      <c r="D6558" s="25" t="s">
        <v>16</v>
      </c>
      <c r="E6558" s="26"/>
      <c r="F6558" s="41" t="s">
        <v>416</v>
      </c>
      <c r="G6558" s="27" t="str">
        <f t="shared" si="652"/>
        <v/>
      </c>
      <c r="H6558" s="28"/>
      <c r="I6558" s="29"/>
      <c r="J6558" s="152">
        <v>0</v>
      </c>
      <c r="L6558" s="218"/>
      <c r="M6558" s="41"/>
      <c r="N6558" s="27" t="str">
        <f t="shared" si="653"/>
        <v/>
      </c>
      <c r="O6558" s="28"/>
      <c r="P6558" s="36" t="str">
        <f t="shared" si="654"/>
        <v/>
      </c>
      <c r="Q6558" s="216" t="str">
        <f t="shared" si="655"/>
        <v/>
      </c>
      <c r="R6558" s="216" t="str">
        <f t="shared" si="656"/>
        <v/>
      </c>
      <c r="S6558" s="217" t="str">
        <f t="shared" si="657"/>
        <v/>
      </c>
    </row>
    <row r="6559" spans="1:19" ht="15.75" hidden="1" thickBot="1" x14ac:dyDescent="0.3">
      <c r="A6559" s="262"/>
      <c r="B6559" s="260"/>
      <c r="C6559" s="31"/>
      <c r="D6559" s="31"/>
      <c r="E6559" s="32"/>
      <c r="F6559" s="42" t="s">
        <v>416</v>
      </c>
      <c r="G6559" s="30" t="str">
        <f t="shared" si="652"/>
        <v/>
      </c>
      <c r="H6559" s="34"/>
      <c r="I6559" s="30"/>
      <c r="J6559" s="152">
        <v>0</v>
      </c>
      <c r="L6559" s="219"/>
      <c r="M6559" s="42"/>
      <c r="N6559" s="30" t="str">
        <f t="shared" si="653"/>
        <v/>
      </c>
      <c r="O6559" s="34"/>
      <c r="P6559" s="36" t="str">
        <f t="shared" si="654"/>
        <v/>
      </c>
      <c r="Q6559" s="216" t="str">
        <f t="shared" si="655"/>
        <v/>
      </c>
      <c r="R6559" s="216" t="str">
        <f t="shared" si="656"/>
        <v/>
      </c>
      <c r="S6559" s="217" t="str">
        <f t="shared" si="657"/>
        <v/>
      </c>
    </row>
    <row r="6560" spans="1:19" ht="26.25" hidden="1" thickBot="1" x14ac:dyDescent="0.3">
      <c r="A6560" s="262"/>
      <c r="B6560" s="260"/>
      <c r="C6560" s="35" t="s">
        <v>8285</v>
      </c>
      <c r="D6560" s="35" t="s">
        <v>213</v>
      </c>
      <c r="E6560" s="36">
        <v>1</v>
      </c>
      <c r="F6560" s="30">
        <v>108.82249999999999</v>
      </c>
      <c r="G6560" s="30">
        <f t="shared" si="652"/>
        <v>108.82249999999999</v>
      </c>
      <c r="H6560" s="38">
        <f>SUM(G6560:G6560)</f>
        <v>108.82249999999999</v>
      </c>
      <c r="I6560" s="39"/>
      <c r="J6560" s="152">
        <v>0</v>
      </c>
      <c r="L6560" s="215">
        <v>1</v>
      </c>
      <c r="M6560" s="30">
        <v>93.152059999999992</v>
      </c>
      <c r="N6560" s="30">
        <f t="shared" si="653"/>
        <v>93.152059999999992</v>
      </c>
      <c r="O6560" s="38">
        <f>SUM(N6560:N6560)</f>
        <v>93.152059999999992</v>
      </c>
      <c r="P6560" s="36" t="str">
        <f t="shared" si="654"/>
        <v/>
      </c>
      <c r="Q6560" s="216">
        <f t="shared" si="655"/>
        <v>0.14400000000000002</v>
      </c>
      <c r="R6560" s="216">
        <f t="shared" si="656"/>
        <v>0.14400000000000002</v>
      </c>
      <c r="S6560" s="217">
        <f t="shared" si="657"/>
        <v>0.14400000000000002</v>
      </c>
    </row>
    <row r="6561" spans="1:19" ht="15.75" hidden="1" thickBot="1" x14ac:dyDescent="0.3">
      <c r="A6561" s="263"/>
      <c r="B6561" s="261"/>
      <c r="C6561" s="54"/>
      <c r="D6561" s="54"/>
      <c r="E6561" s="65"/>
      <c r="F6561" s="66" t="s">
        <v>416</v>
      </c>
      <c r="G6561" s="66" t="str">
        <f t="shared" si="652"/>
        <v/>
      </c>
      <c r="H6561" s="68"/>
      <c r="I6561" s="30"/>
      <c r="J6561" s="152">
        <v>0</v>
      </c>
      <c r="L6561" s="222"/>
      <c r="M6561" s="66"/>
      <c r="N6561" s="66" t="str">
        <f t="shared" si="653"/>
        <v/>
      </c>
      <c r="O6561" s="68"/>
      <c r="P6561" s="36" t="str">
        <f t="shared" si="654"/>
        <v/>
      </c>
      <c r="Q6561" s="216" t="str">
        <f t="shared" si="655"/>
        <v/>
      </c>
      <c r="R6561" s="216" t="str">
        <f t="shared" si="656"/>
        <v/>
      </c>
      <c r="S6561" s="217" t="str">
        <f t="shared" si="657"/>
        <v/>
      </c>
    </row>
    <row r="6562" spans="1:19" ht="15.75" hidden="1" thickBot="1" x14ac:dyDescent="0.3">
      <c r="A6562" s="256" t="s">
        <v>5951</v>
      </c>
      <c r="B6562" s="259" t="str">
        <f>INDEX(Orçamentária!A:B,MATCH(Composições!A6562,Orçamentária!A:A,0),2)</f>
        <v>Tê misturador de transição 1/2” ou 3/4” – Linha Residencial</v>
      </c>
      <c r="C6562" s="40"/>
      <c r="D6562" s="25" t="s">
        <v>16</v>
      </c>
      <c r="E6562" s="26"/>
      <c r="F6562" s="41" t="s">
        <v>416</v>
      </c>
      <c r="G6562" s="27" t="str">
        <f t="shared" si="652"/>
        <v/>
      </c>
      <c r="H6562" s="28"/>
      <c r="I6562" s="29"/>
      <c r="J6562" s="152">
        <v>0</v>
      </c>
      <c r="L6562" s="218"/>
      <c r="M6562" s="41"/>
      <c r="N6562" s="27" t="str">
        <f t="shared" si="653"/>
        <v/>
      </c>
      <c r="O6562" s="28"/>
      <c r="P6562" s="36" t="str">
        <f t="shared" si="654"/>
        <v/>
      </c>
      <c r="Q6562" s="216" t="str">
        <f t="shared" si="655"/>
        <v/>
      </c>
      <c r="R6562" s="216" t="str">
        <f t="shared" si="656"/>
        <v/>
      </c>
      <c r="S6562" s="217" t="str">
        <f t="shared" si="657"/>
        <v/>
      </c>
    </row>
    <row r="6563" spans="1:19" ht="15.75" hidden="1" thickBot="1" x14ac:dyDescent="0.3">
      <c r="A6563" s="262"/>
      <c r="B6563" s="260"/>
      <c r="C6563" s="31"/>
      <c r="D6563" s="31"/>
      <c r="E6563" s="32"/>
      <c r="F6563" s="42" t="s">
        <v>416</v>
      </c>
      <c r="G6563" s="30" t="str">
        <f t="shared" si="652"/>
        <v/>
      </c>
      <c r="H6563" s="34"/>
      <c r="I6563" s="30"/>
      <c r="J6563" s="152">
        <v>0</v>
      </c>
      <c r="L6563" s="219"/>
      <c r="M6563" s="42"/>
      <c r="N6563" s="30" t="str">
        <f t="shared" si="653"/>
        <v/>
      </c>
      <c r="O6563" s="34"/>
      <c r="P6563" s="36" t="str">
        <f t="shared" si="654"/>
        <v/>
      </c>
      <c r="Q6563" s="216" t="str">
        <f t="shared" si="655"/>
        <v/>
      </c>
      <c r="R6563" s="216" t="str">
        <f t="shared" si="656"/>
        <v/>
      </c>
      <c r="S6563" s="217" t="str">
        <f t="shared" si="657"/>
        <v/>
      </c>
    </row>
    <row r="6564" spans="1:19" ht="26.25" hidden="1" thickBot="1" x14ac:dyDescent="0.3">
      <c r="A6564" s="262"/>
      <c r="B6564" s="260"/>
      <c r="C6564" s="35" t="s">
        <v>8296</v>
      </c>
      <c r="D6564" s="35" t="s">
        <v>213</v>
      </c>
      <c r="E6564" s="36">
        <v>1</v>
      </c>
      <c r="F6564" s="30">
        <v>182.38099999999997</v>
      </c>
      <c r="G6564" s="30">
        <f t="shared" si="652"/>
        <v>182.38099999999997</v>
      </c>
      <c r="H6564" s="38">
        <f>SUM(G6564:G6564)</f>
        <v>182.38099999999997</v>
      </c>
      <c r="I6564" s="39"/>
      <c r="J6564" s="152">
        <v>0</v>
      </c>
      <c r="L6564" s="215">
        <v>1</v>
      </c>
      <c r="M6564" s="30">
        <v>156.11813599999999</v>
      </c>
      <c r="N6564" s="30">
        <f t="shared" si="653"/>
        <v>156.11813599999999</v>
      </c>
      <c r="O6564" s="38">
        <f>SUM(N6564:N6564)</f>
        <v>156.11813599999999</v>
      </c>
      <c r="P6564" s="36" t="str">
        <f t="shared" si="654"/>
        <v/>
      </c>
      <c r="Q6564" s="216">
        <f t="shared" si="655"/>
        <v>0.14399999999999991</v>
      </c>
      <c r="R6564" s="216">
        <f t="shared" si="656"/>
        <v>0.14399999999999991</v>
      </c>
      <c r="S6564" s="217">
        <f t="shared" si="657"/>
        <v>0.14399999999999991</v>
      </c>
    </row>
    <row r="6565" spans="1:19" ht="15.75" hidden="1" thickBot="1" x14ac:dyDescent="0.3">
      <c r="A6565" s="263"/>
      <c r="B6565" s="261"/>
      <c r="C6565" s="54"/>
      <c r="D6565" s="54"/>
      <c r="E6565" s="65"/>
      <c r="F6565" s="66" t="s">
        <v>416</v>
      </c>
      <c r="G6565" s="66" t="str">
        <f t="shared" si="652"/>
        <v/>
      </c>
      <c r="H6565" s="68"/>
      <c r="I6565" s="30"/>
      <c r="J6565" s="152">
        <v>0</v>
      </c>
      <c r="L6565" s="222"/>
      <c r="M6565" s="66"/>
      <c r="N6565" s="66" t="str">
        <f t="shared" si="653"/>
        <v/>
      </c>
      <c r="O6565" s="68"/>
      <c r="P6565" s="36" t="str">
        <f t="shared" si="654"/>
        <v/>
      </c>
      <c r="Q6565" s="216" t="str">
        <f t="shared" si="655"/>
        <v/>
      </c>
      <c r="R6565" s="216" t="str">
        <f t="shared" si="656"/>
        <v/>
      </c>
      <c r="S6565" s="217" t="str">
        <f t="shared" si="657"/>
        <v/>
      </c>
    </row>
    <row r="6566" spans="1:19" ht="15.75" hidden="1" thickBot="1" x14ac:dyDescent="0.3">
      <c r="A6566" s="256" t="s">
        <v>5975</v>
      </c>
      <c r="B6566" s="259" t="str">
        <f>INDEX(Orçamentária!A:B,MATCH(Composições!A6566,Orçamentária!A:A,0),2)</f>
        <v>Ralo semi esférico, tipo Abacaxi - 4”</v>
      </c>
      <c r="C6566" s="40"/>
      <c r="D6566" s="25" t="s">
        <v>16</v>
      </c>
      <c r="E6566" s="26"/>
      <c r="F6566" s="41" t="s">
        <v>416</v>
      </c>
      <c r="G6566" s="27" t="str">
        <f t="shared" si="652"/>
        <v/>
      </c>
      <c r="H6566" s="28"/>
      <c r="I6566" s="29"/>
      <c r="J6566" s="152">
        <v>0</v>
      </c>
      <c r="L6566" s="218"/>
      <c r="M6566" s="41"/>
      <c r="N6566" s="27" t="str">
        <f t="shared" si="653"/>
        <v/>
      </c>
      <c r="O6566" s="28"/>
      <c r="P6566" s="36" t="str">
        <f t="shared" si="654"/>
        <v/>
      </c>
      <c r="Q6566" s="216" t="str">
        <f t="shared" si="655"/>
        <v/>
      </c>
      <c r="R6566" s="216" t="str">
        <f t="shared" si="656"/>
        <v/>
      </c>
      <c r="S6566" s="217" t="str">
        <f t="shared" si="657"/>
        <v/>
      </c>
    </row>
    <row r="6567" spans="1:19" ht="15.75" hidden="1" thickBot="1" x14ac:dyDescent="0.3">
      <c r="A6567" s="262"/>
      <c r="B6567" s="260"/>
      <c r="C6567" s="31"/>
      <c r="D6567" s="31"/>
      <c r="E6567" s="32"/>
      <c r="F6567" s="42" t="s">
        <v>416</v>
      </c>
      <c r="G6567" s="30" t="str">
        <f t="shared" si="652"/>
        <v/>
      </c>
      <c r="H6567" s="34"/>
      <c r="I6567" s="30"/>
      <c r="J6567" s="152">
        <v>0</v>
      </c>
      <c r="L6567" s="219"/>
      <c r="M6567" s="42"/>
      <c r="N6567" s="30" t="str">
        <f t="shared" si="653"/>
        <v/>
      </c>
      <c r="O6567" s="34"/>
      <c r="P6567" s="36" t="str">
        <f t="shared" si="654"/>
        <v/>
      </c>
      <c r="Q6567" s="216" t="str">
        <f t="shared" si="655"/>
        <v/>
      </c>
      <c r="R6567" s="216" t="str">
        <f t="shared" si="656"/>
        <v/>
      </c>
      <c r="S6567" s="217" t="str">
        <f t="shared" si="657"/>
        <v/>
      </c>
    </row>
    <row r="6568" spans="1:19" ht="15.75" hidden="1" thickBot="1" x14ac:dyDescent="0.3">
      <c r="A6568" s="262"/>
      <c r="B6568" s="260"/>
      <c r="C6568" s="35" t="s">
        <v>8348</v>
      </c>
      <c r="D6568" s="35" t="s">
        <v>213</v>
      </c>
      <c r="E6568" s="36">
        <v>1</v>
      </c>
      <c r="F6568" s="30">
        <v>23.284500000000001</v>
      </c>
      <c r="G6568" s="30">
        <f t="shared" si="652"/>
        <v>23.284500000000001</v>
      </c>
      <c r="H6568" s="38">
        <f>SUM(G6568:G6568)</f>
        <v>23.284500000000001</v>
      </c>
      <c r="I6568" s="39"/>
      <c r="J6568" s="152">
        <v>0</v>
      </c>
      <c r="L6568" s="215">
        <v>1</v>
      </c>
      <c r="M6568" s="30">
        <v>19.931532000000001</v>
      </c>
      <c r="N6568" s="30">
        <f t="shared" si="653"/>
        <v>19.931532000000001</v>
      </c>
      <c r="O6568" s="38">
        <f>SUM(N6568:N6568)</f>
        <v>19.931532000000001</v>
      </c>
      <c r="P6568" s="36" t="str">
        <f t="shared" si="654"/>
        <v/>
      </c>
      <c r="Q6568" s="216">
        <f t="shared" si="655"/>
        <v>0.14400000000000002</v>
      </c>
      <c r="R6568" s="216">
        <f t="shared" si="656"/>
        <v>0.14400000000000002</v>
      </c>
      <c r="S6568" s="217">
        <f t="shared" si="657"/>
        <v>0.14400000000000002</v>
      </c>
    </row>
    <row r="6569" spans="1:19" ht="15.75" hidden="1" thickBot="1" x14ac:dyDescent="0.3">
      <c r="A6569" s="263"/>
      <c r="B6569" s="261"/>
      <c r="C6569" s="54"/>
      <c r="D6569" s="54"/>
      <c r="E6569" s="65"/>
      <c r="F6569" s="66" t="s">
        <v>416</v>
      </c>
      <c r="G6569" s="66" t="str">
        <f t="shared" si="652"/>
        <v/>
      </c>
      <c r="H6569" s="68"/>
      <c r="I6569" s="30"/>
      <c r="J6569" s="152">
        <v>0</v>
      </c>
      <c r="L6569" s="222"/>
      <c r="M6569" s="66"/>
      <c r="N6569" s="66" t="str">
        <f t="shared" si="653"/>
        <v/>
      </c>
      <c r="O6569" s="68"/>
      <c r="P6569" s="36" t="str">
        <f t="shared" si="654"/>
        <v/>
      </c>
      <c r="Q6569" s="216" t="str">
        <f t="shared" si="655"/>
        <v/>
      </c>
      <c r="R6569" s="216" t="str">
        <f t="shared" si="656"/>
        <v/>
      </c>
      <c r="S6569" s="217" t="str">
        <f t="shared" si="657"/>
        <v/>
      </c>
    </row>
    <row r="6570" spans="1:19" ht="15.75" hidden="1" thickBot="1" x14ac:dyDescent="0.3">
      <c r="A6570" s="256" t="s">
        <v>5987</v>
      </c>
      <c r="B6570" s="259" t="str">
        <f>INDEX(Orçamentária!A:B,MATCH(Composições!A6570,Orçamentária!A:A,0),2)</f>
        <v>Válvula de esfera em bronze 1/2”</v>
      </c>
      <c r="C6570" s="40"/>
      <c r="D6570" s="25" t="s">
        <v>16</v>
      </c>
      <c r="E6570" s="26"/>
      <c r="F6570" s="41" t="s">
        <v>416</v>
      </c>
      <c r="G6570" s="27" t="str">
        <f t="shared" si="652"/>
        <v/>
      </c>
      <c r="H6570" s="28"/>
      <c r="I6570" s="29"/>
      <c r="J6570" s="152">
        <v>0</v>
      </c>
      <c r="L6570" s="218"/>
      <c r="M6570" s="41"/>
      <c r="N6570" s="27" t="str">
        <f t="shared" si="653"/>
        <v/>
      </c>
      <c r="O6570" s="28"/>
      <c r="P6570" s="36" t="str">
        <f t="shared" si="654"/>
        <v/>
      </c>
      <c r="Q6570" s="216" t="str">
        <f t="shared" si="655"/>
        <v/>
      </c>
      <c r="R6570" s="216" t="str">
        <f t="shared" si="656"/>
        <v/>
      </c>
      <c r="S6570" s="217" t="str">
        <f t="shared" si="657"/>
        <v/>
      </c>
    </row>
    <row r="6571" spans="1:19" ht="15.75" hidden="1" thickBot="1" x14ac:dyDescent="0.3">
      <c r="A6571" s="262"/>
      <c r="B6571" s="260"/>
      <c r="C6571" s="31"/>
      <c r="D6571" s="31"/>
      <c r="E6571" s="32"/>
      <c r="F6571" s="42" t="s">
        <v>416</v>
      </c>
      <c r="G6571" s="30" t="str">
        <f t="shared" si="652"/>
        <v/>
      </c>
      <c r="H6571" s="34"/>
      <c r="I6571" s="30"/>
      <c r="J6571" s="152">
        <v>0</v>
      </c>
      <c r="L6571" s="219"/>
      <c r="M6571" s="42"/>
      <c r="N6571" s="30" t="str">
        <f t="shared" si="653"/>
        <v/>
      </c>
      <c r="O6571" s="34"/>
      <c r="P6571" s="36" t="str">
        <f t="shared" si="654"/>
        <v/>
      </c>
      <c r="Q6571" s="216" t="str">
        <f t="shared" si="655"/>
        <v/>
      </c>
      <c r="R6571" s="216" t="str">
        <f t="shared" si="656"/>
        <v/>
      </c>
      <c r="S6571" s="217" t="str">
        <f t="shared" si="657"/>
        <v/>
      </c>
    </row>
    <row r="6572" spans="1:19" ht="15.75" hidden="1" thickBot="1" x14ac:dyDescent="0.3">
      <c r="A6572" s="262"/>
      <c r="B6572" s="260"/>
      <c r="C6572" s="35" t="s">
        <v>1003</v>
      </c>
      <c r="D6572" s="35" t="s">
        <v>213</v>
      </c>
      <c r="E6572" s="36">
        <v>1</v>
      </c>
      <c r="F6572" s="30">
        <v>53.399499999999996</v>
      </c>
      <c r="G6572" s="30">
        <f t="shared" si="652"/>
        <v>53.399499999999996</v>
      </c>
      <c r="H6572" s="38">
        <f>SUM(G6572:G6572)</f>
        <v>53.399499999999996</v>
      </c>
      <c r="I6572" s="39"/>
      <c r="J6572" s="152">
        <v>0</v>
      </c>
      <c r="L6572" s="215">
        <v>1</v>
      </c>
      <c r="M6572" s="30">
        <v>45.709971999999993</v>
      </c>
      <c r="N6572" s="30">
        <f t="shared" si="653"/>
        <v>45.709971999999993</v>
      </c>
      <c r="O6572" s="38">
        <f>SUM(N6572:N6572)</f>
        <v>45.709971999999993</v>
      </c>
      <c r="P6572" s="36" t="str">
        <f t="shared" si="654"/>
        <v/>
      </c>
      <c r="Q6572" s="216">
        <f t="shared" si="655"/>
        <v>0.14400000000000002</v>
      </c>
      <c r="R6572" s="216">
        <f t="shared" si="656"/>
        <v>0.14400000000000002</v>
      </c>
      <c r="S6572" s="217">
        <f t="shared" si="657"/>
        <v>0.14400000000000002</v>
      </c>
    </row>
    <row r="6573" spans="1:19" ht="15.75" hidden="1" thickBot="1" x14ac:dyDescent="0.3">
      <c r="A6573" s="263"/>
      <c r="B6573" s="261"/>
      <c r="C6573" s="54"/>
      <c r="D6573" s="54"/>
      <c r="E6573" s="65"/>
      <c r="F6573" s="66" t="s">
        <v>416</v>
      </c>
      <c r="G6573" s="66" t="str">
        <f t="shared" si="652"/>
        <v/>
      </c>
      <c r="H6573" s="68"/>
      <c r="I6573" s="30"/>
      <c r="J6573" s="152">
        <v>0</v>
      </c>
      <c r="L6573" s="222"/>
      <c r="M6573" s="66"/>
      <c r="N6573" s="66" t="str">
        <f t="shared" si="653"/>
        <v/>
      </c>
      <c r="O6573" s="68"/>
      <c r="P6573" s="36" t="str">
        <f t="shared" si="654"/>
        <v/>
      </c>
      <c r="Q6573" s="216" t="str">
        <f t="shared" si="655"/>
        <v/>
      </c>
      <c r="R6573" s="216" t="str">
        <f t="shared" si="656"/>
        <v/>
      </c>
      <c r="S6573" s="217" t="str">
        <f t="shared" si="657"/>
        <v/>
      </c>
    </row>
    <row r="6574" spans="1:19" ht="15.75" hidden="1" thickBot="1" x14ac:dyDescent="0.3">
      <c r="A6574" s="256" t="s">
        <v>5988</v>
      </c>
      <c r="B6574" s="259" t="str">
        <f>INDEX(Orçamentária!A:B,MATCH(Composições!A6574,Orçamentária!A:A,0),2)</f>
        <v>Válvula de esfera em bronze 3/4”</v>
      </c>
      <c r="C6574" s="40"/>
      <c r="D6574" s="25" t="s">
        <v>16</v>
      </c>
      <c r="E6574" s="26"/>
      <c r="F6574" s="41" t="s">
        <v>416</v>
      </c>
      <c r="G6574" s="27" t="str">
        <f t="shared" si="652"/>
        <v/>
      </c>
      <c r="H6574" s="28"/>
      <c r="I6574" s="29"/>
      <c r="J6574" s="152">
        <v>0</v>
      </c>
      <c r="L6574" s="218"/>
      <c r="M6574" s="41"/>
      <c r="N6574" s="27" t="str">
        <f t="shared" si="653"/>
        <v/>
      </c>
      <c r="O6574" s="28"/>
      <c r="P6574" s="36" t="str">
        <f t="shared" si="654"/>
        <v/>
      </c>
      <c r="Q6574" s="216" t="str">
        <f t="shared" si="655"/>
        <v/>
      </c>
      <c r="R6574" s="216" t="str">
        <f t="shared" si="656"/>
        <v/>
      </c>
      <c r="S6574" s="217" t="str">
        <f t="shared" si="657"/>
        <v/>
      </c>
    </row>
    <row r="6575" spans="1:19" ht="15.75" hidden="1" thickBot="1" x14ac:dyDescent="0.3">
      <c r="A6575" s="262"/>
      <c r="B6575" s="260"/>
      <c r="C6575" s="31"/>
      <c r="D6575" s="31"/>
      <c r="E6575" s="32"/>
      <c r="F6575" s="42" t="s">
        <v>416</v>
      </c>
      <c r="G6575" s="30" t="str">
        <f t="shared" si="652"/>
        <v/>
      </c>
      <c r="H6575" s="34"/>
      <c r="I6575" s="30"/>
      <c r="J6575" s="152">
        <v>0</v>
      </c>
      <c r="L6575" s="219"/>
      <c r="M6575" s="42"/>
      <c r="N6575" s="30" t="str">
        <f t="shared" si="653"/>
        <v/>
      </c>
      <c r="O6575" s="34"/>
      <c r="P6575" s="36" t="str">
        <f t="shared" si="654"/>
        <v/>
      </c>
      <c r="Q6575" s="216" t="str">
        <f t="shared" si="655"/>
        <v/>
      </c>
      <c r="R6575" s="216" t="str">
        <f t="shared" si="656"/>
        <v/>
      </c>
      <c r="S6575" s="217" t="str">
        <f t="shared" si="657"/>
        <v/>
      </c>
    </row>
    <row r="6576" spans="1:19" ht="15.75" hidden="1" thickBot="1" x14ac:dyDescent="0.3">
      <c r="A6576" s="262"/>
      <c r="B6576" s="260"/>
      <c r="C6576" s="35" t="s">
        <v>8494</v>
      </c>
      <c r="D6576" s="35" t="s">
        <v>213</v>
      </c>
      <c r="E6576" s="36">
        <v>1</v>
      </c>
      <c r="F6576" s="30">
        <v>61.645499999999998</v>
      </c>
      <c r="G6576" s="30">
        <f t="shared" si="652"/>
        <v>61.645499999999998</v>
      </c>
      <c r="H6576" s="38">
        <f>SUM(G6576:G6576)</f>
        <v>61.645499999999998</v>
      </c>
      <c r="I6576" s="39"/>
      <c r="J6576" s="152">
        <v>0</v>
      </c>
      <c r="L6576" s="215">
        <v>1</v>
      </c>
      <c r="M6576" s="30">
        <v>52.768547999999996</v>
      </c>
      <c r="N6576" s="30">
        <f t="shared" si="653"/>
        <v>52.768547999999996</v>
      </c>
      <c r="O6576" s="38">
        <f>SUM(N6576:N6576)</f>
        <v>52.768547999999996</v>
      </c>
      <c r="P6576" s="36" t="str">
        <f t="shared" si="654"/>
        <v/>
      </c>
      <c r="Q6576" s="216">
        <f t="shared" si="655"/>
        <v>0.14400000000000002</v>
      </c>
      <c r="R6576" s="216">
        <f t="shared" si="656"/>
        <v>0.14400000000000002</v>
      </c>
      <c r="S6576" s="217">
        <f t="shared" si="657"/>
        <v>0.14400000000000002</v>
      </c>
    </row>
    <row r="6577" spans="1:19" ht="15.75" hidden="1" thickBot="1" x14ac:dyDescent="0.3">
      <c r="A6577" s="263"/>
      <c r="B6577" s="261"/>
      <c r="C6577" s="54"/>
      <c r="D6577" s="54"/>
      <c r="E6577" s="65"/>
      <c r="F6577" s="66" t="s">
        <v>416</v>
      </c>
      <c r="G6577" s="66" t="str">
        <f t="shared" si="652"/>
        <v/>
      </c>
      <c r="H6577" s="68"/>
      <c r="I6577" s="30"/>
      <c r="J6577" s="152">
        <v>0</v>
      </c>
      <c r="L6577" s="222"/>
      <c r="M6577" s="66"/>
      <c r="N6577" s="66" t="str">
        <f t="shared" si="653"/>
        <v/>
      </c>
      <c r="O6577" s="68"/>
      <c r="P6577" s="36" t="str">
        <f t="shared" si="654"/>
        <v/>
      </c>
      <c r="Q6577" s="216" t="str">
        <f t="shared" si="655"/>
        <v/>
      </c>
      <c r="R6577" s="216" t="str">
        <f t="shared" si="656"/>
        <v/>
      </c>
      <c r="S6577" s="217" t="str">
        <f t="shared" si="657"/>
        <v/>
      </c>
    </row>
    <row r="6578" spans="1:19" ht="15.75" hidden="1" thickBot="1" x14ac:dyDescent="0.3">
      <c r="A6578" s="256" t="s">
        <v>5990</v>
      </c>
      <c r="B6578" s="259" t="str">
        <f>INDEX(Orçamentária!A:B,MATCH(Composições!A6578,Orçamentária!A:A,0),2)</f>
        <v>Válvula de esfera em bronze 1 1/2”</v>
      </c>
      <c r="C6578" s="40"/>
      <c r="D6578" s="25" t="s">
        <v>16</v>
      </c>
      <c r="E6578" s="26"/>
      <c r="F6578" s="41" t="s">
        <v>416</v>
      </c>
      <c r="G6578" s="27" t="str">
        <f t="shared" ref="G6578:G6641" si="658">IF(ISNUMBER(F6578),E6578*F6578,"")</f>
        <v/>
      </c>
      <c r="H6578" s="28"/>
      <c r="I6578" s="29"/>
      <c r="J6578" s="152">
        <v>0</v>
      </c>
      <c r="L6578" s="218"/>
      <c r="M6578" s="41"/>
      <c r="N6578" s="27" t="str">
        <f t="shared" ref="N6578:N6641" si="659">IF(ISNUMBER(M6578),L6578*M6578,"")</f>
        <v/>
      </c>
      <c r="O6578" s="28"/>
      <c r="P6578" s="36" t="str">
        <f t="shared" si="654"/>
        <v/>
      </c>
      <c r="Q6578" s="216" t="str">
        <f t="shared" si="655"/>
        <v/>
      </c>
      <c r="R6578" s="216" t="str">
        <f t="shared" si="656"/>
        <v/>
      </c>
      <c r="S6578" s="217" t="str">
        <f t="shared" si="657"/>
        <v/>
      </c>
    </row>
    <row r="6579" spans="1:19" ht="15.75" hidden="1" thickBot="1" x14ac:dyDescent="0.3">
      <c r="A6579" s="262"/>
      <c r="B6579" s="260"/>
      <c r="C6579" s="31"/>
      <c r="D6579" s="31"/>
      <c r="E6579" s="32"/>
      <c r="F6579" s="42" t="s">
        <v>416</v>
      </c>
      <c r="G6579" s="30" t="str">
        <f t="shared" si="658"/>
        <v/>
      </c>
      <c r="H6579" s="34"/>
      <c r="I6579" s="30"/>
      <c r="J6579" s="152">
        <v>0</v>
      </c>
      <c r="L6579" s="219"/>
      <c r="M6579" s="42"/>
      <c r="N6579" s="30" t="str">
        <f t="shared" si="659"/>
        <v/>
      </c>
      <c r="O6579" s="34"/>
      <c r="P6579" s="36" t="str">
        <f t="shared" si="654"/>
        <v/>
      </c>
      <c r="Q6579" s="216" t="str">
        <f t="shared" si="655"/>
        <v/>
      </c>
      <c r="R6579" s="216" t="str">
        <f t="shared" si="656"/>
        <v/>
      </c>
      <c r="S6579" s="217" t="str">
        <f t="shared" si="657"/>
        <v/>
      </c>
    </row>
    <row r="6580" spans="1:19" ht="26.25" hidden="1" thickBot="1" x14ac:dyDescent="0.3">
      <c r="A6580" s="262"/>
      <c r="B6580" s="260"/>
      <c r="C6580" s="35" t="s">
        <v>520</v>
      </c>
      <c r="D6580" s="35" t="s">
        <v>213</v>
      </c>
      <c r="E6580" s="36">
        <v>1</v>
      </c>
      <c r="F6580" s="30">
        <v>149.46350000000001</v>
      </c>
      <c r="G6580" s="30">
        <f t="shared" si="658"/>
        <v>149.46350000000001</v>
      </c>
      <c r="H6580" s="38">
        <f>SUM(G6580:G6580)</f>
        <v>149.46350000000001</v>
      </c>
      <c r="I6580" s="39"/>
      <c r="J6580" s="152">
        <v>0</v>
      </c>
      <c r="L6580" s="215">
        <v>1</v>
      </c>
      <c r="M6580" s="30">
        <v>127.94075600000001</v>
      </c>
      <c r="N6580" s="30">
        <f t="shared" si="659"/>
        <v>127.94075600000001</v>
      </c>
      <c r="O6580" s="38">
        <f>SUM(N6580:N6580)</f>
        <v>127.94075600000001</v>
      </c>
      <c r="P6580" s="36" t="str">
        <f t="shared" si="654"/>
        <v/>
      </c>
      <c r="Q6580" s="216">
        <f t="shared" si="655"/>
        <v>0.14400000000000002</v>
      </c>
      <c r="R6580" s="216">
        <f t="shared" si="656"/>
        <v>0.14400000000000002</v>
      </c>
      <c r="S6580" s="217">
        <f t="shared" si="657"/>
        <v>0.14400000000000002</v>
      </c>
    </row>
    <row r="6581" spans="1:19" ht="15.75" hidden="1" thickBot="1" x14ac:dyDescent="0.3">
      <c r="A6581" s="263"/>
      <c r="B6581" s="261"/>
      <c r="C6581" s="54"/>
      <c r="D6581" s="54"/>
      <c r="E6581" s="65"/>
      <c r="F6581" s="66" t="s">
        <v>416</v>
      </c>
      <c r="G6581" s="66" t="str">
        <f t="shared" si="658"/>
        <v/>
      </c>
      <c r="H6581" s="68"/>
      <c r="I6581" s="30"/>
      <c r="J6581" s="152">
        <v>0</v>
      </c>
      <c r="L6581" s="222"/>
      <c r="M6581" s="66"/>
      <c r="N6581" s="66" t="str">
        <f t="shared" si="659"/>
        <v/>
      </c>
      <c r="O6581" s="68"/>
      <c r="P6581" s="36" t="str">
        <f t="shared" si="654"/>
        <v/>
      </c>
      <c r="Q6581" s="216" t="str">
        <f t="shared" si="655"/>
        <v/>
      </c>
      <c r="R6581" s="216" t="str">
        <f t="shared" si="656"/>
        <v/>
      </c>
      <c r="S6581" s="217" t="str">
        <f t="shared" si="657"/>
        <v/>
      </c>
    </row>
    <row r="6582" spans="1:19" ht="15.75" hidden="1" thickBot="1" x14ac:dyDescent="0.3">
      <c r="A6582" s="256" t="s">
        <v>5992</v>
      </c>
      <c r="B6582" s="259" t="str">
        <f>INDEX(Orçamentária!A:B,MATCH(Composições!A6582,Orçamentária!A:A,0),2)</f>
        <v>Válvula de esfera em bronze 2”</v>
      </c>
      <c r="C6582" s="40"/>
      <c r="D6582" s="25" t="s">
        <v>16</v>
      </c>
      <c r="E6582" s="26"/>
      <c r="F6582" s="41" t="s">
        <v>416</v>
      </c>
      <c r="G6582" s="27" t="str">
        <f t="shared" si="658"/>
        <v/>
      </c>
      <c r="H6582" s="28"/>
      <c r="I6582" s="29"/>
      <c r="J6582" s="152">
        <v>0</v>
      </c>
      <c r="L6582" s="218"/>
      <c r="M6582" s="41"/>
      <c r="N6582" s="27" t="str">
        <f t="shared" si="659"/>
        <v/>
      </c>
      <c r="O6582" s="28"/>
      <c r="P6582" s="36" t="str">
        <f t="shared" si="654"/>
        <v/>
      </c>
      <c r="Q6582" s="216" t="str">
        <f t="shared" si="655"/>
        <v/>
      </c>
      <c r="R6582" s="216" t="str">
        <f t="shared" si="656"/>
        <v/>
      </c>
      <c r="S6582" s="217" t="str">
        <f t="shared" si="657"/>
        <v/>
      </c>
    </row>
    <row r="6583" spans="1:19" ht="15.75" hidden="1" thickBot="1" x14ac:dyDescent="0.3">
      <c r="A6583" s="262"/>
      <c r="B6583" s="260"/>
      <c r="C6583" s="31"/>
      <c r="D6583" s="31"/>
      <c r="E6583" s="32"/>
      <c r="F6583" s="42" t="s">
        <v>416</v>
      </c>
      <c r="G6583" s="30" t="str">
        <f t="shared" si="658"/>
        <v/>
      </c>
      <c r="H6583" s="34"/>
      <c r="I6583" s="30"/>
      <c r="J6583" s="152">
        <v>0</v>
      </c>
      <c r="L6583" s="219"/>
      <c r="M6583" s="42"/>
      <c r="N6583" s="30" t="str">
        <f t="shared" si="659"/>
        <v/>
      </c>
      <c r="O6583" s="34"/>
      <c r="P6583" s="36" t="str">
        <f t="shared" si="654"/>
        <v/>
      </c>
      <c r="Q6583" s="216" t="str">
        <f t="shared" si="655"/>
        <v/>
      </c>
      <c r="R6583" s="216" t="str">
        <f t="shared" si="656"/>
        <v/>
      </c>
      <c r="S6583" s="217" t="str">
        <f t="shared" si="657"/>
        <v/>
      </c>
    </row>
    <row r="6584" spans="1:19" ht="15.75" hidden="1" thickBot="1" x14ac:dyDescent="0.3">
      <c r="A6584" s="262"/>
      <c r="B6584" s="260"/>
      <c r="C6584" s="35" t="s">
        <v>8493</v>
      </c>
      <c r="D6584" s="35" t="s">
        <v>213</v>
      </c>
      <c r="E6584" s="36">
        <v>1</v>
      </c>
      <c r="F6584" s="30">
        <v>230.4795</v>
      </c>
      <c r="G6584" s="30">
        <f t="shared" si="658"/>
        <v>230.4795</v>
      </c>
      <c r="H6584" s="38">
        <f>SUM(G6584:G6584)</f>
        <v>230.4795</v>
      </c>
      <c r="I6584" s="39"/>
      <c r="J6584" s="152">
        <v>0</v>
      </c>
      <c r="L6584" s="215">
        <v>1</v>
      </c>
      <c r="M6584" s="30">
        <v>197.29045200000002</v>
      </c>
      <c r="N6584" s="30">
        <f t="shared" si="659"/>
        <v>197.29045200000002</v>
      </c>
      <c r="O6584" s="38">
        <f>SUM(N6584:N6584)</f>
        <v>197.29045200000002</v>
      </c>
      <c r="P6584" s="36" t="str">
        <f t="shared" si="654"/>
        <v/>
      </c>
      <c r="Q6584" s="216">
        <f t="shared" si="655"/>
        <v>0.14399999999999991</v>
      </c>
      <c r="R6584" s="216">
        <f t="shared" si="656"/>
        <v>0.14399999999999991</v>
      </c>
      <c r="S6584" s="217">
        <f t="shared" si="657"/>
        <v>0.14399999999999991</v>
      </c>
    </row>
    <row r="6585" spans="1:19" ht="15.75" hidden="1" thickBot="1" x14ac:dyDescent="0.3">
      <c r="A6585" s="263"/>
      <c r="B6585" s="261"/>
      <c r="C6585" s="54"/>
      <c r="D6585" s="54"/>
      <c r="E6585" s="65"/>
      <c r="F6585" s="66" t="s">
        <v>416</v>
      </c>
      <c r="G6585" s="66" t="str">
        <f t="shared" si="658"/>
        <v/>
      </c>
      <c r="H6585" s="68"/>
      <c r="I6585" s="30"/>
      <c r="J6585" s="152">
        <v>0</v>
      </c>
      <c r="L6585" s="222"/>
      <c r="M6585" s="66"/>
      <c r="N6585" s="66" t="str">
        <f t="shared" si="659"/>
        <v/>
      </c>
      <c r="O6585" s="68"/>
      <c r="P6585" s="36" t="str">
        <f t="shared" si="654"/>
        <v/>
      </c>
      <c r="Q6585" s="216" t="str">
        <f t="shared" si="655"/>
        <v/>
      </c>
      <c r="R6585" s="216" t="str">
        <f t="shared" si="656"/>
        <v/>
      </c>
      <c r="S6585" s="217" t="str">
        <f t="shared" si="657"/>
        <v/>
      </c>
    </row>
    <row r="6586" spans="1:19" ht="15.75" hidden="1" thickBot="1" x14ac:dyDescent="0.3">
      <c r="A6586" s="256" t="s">
        <v>5994</v>
      </c>
      <c r="B6586" s="259" t="str">
        <f>INDEX(Orçamentária!A:B,MATCH(Composições!A6586,Orçamentária!A:A,0),2)</f>
        <v>Válvula de esfera metálica 1/2” para gás</v>
      </c>
      <c r="C6586" s="40"/>
      <c r="D6586" s="25" t="s">
        <v>16</v>
      </c>
      <c r="E6586" s="26"/>
      <c r="F6586" s="41" t="s">
        <v>416</v>
      </c>
      <c r="G6586" s="27" t="str">
        <f t="shared" si="658"/>
        <v/>
      </c>
      <c r="H6586" s="28"/>
      <c r="I6586" s="29"/>
      <c r="J6586" s="152">
        <v>0</v>
      </c>
      <c r="L6586" s="218"/>
      <c r="M6586" s="41"/>
      <c r="N6586" s="27" t="str">
        <f t="shared" si="659"/>
        <v/>
      </c>
      <c r="O6586" s="28"/>
      <c r="P6586" s="36" t="str">
        <f t="shared" si="654"/>
        <v/>
      </c>
      <c r="Q6586" s="216" t="str">
        <f t="shared" si="655"/>
        <v/>
      </c>
      <c r="R6586" s="216" t="str">
        <f t="shared" si="656"/>
        <v/>
      </c>
      <c r="S6586" s="217" t="str">
        <f t="shared" si="657"/>
        <v/>
      </c>
    </row>
    <row r="6587" spans="1:19" ht="15.75" hidden="1" thickBot="1" x14ac:dyDescent="0.3">
      <c r="A6587" s="262"/>
      <c r="B6587" s="260"/>
      <c r="C6587" s="31"/>
      <c r="D6587" s="31"/>
      <c r="E6587" s="32"/>
      <c r="F6587" s="42" t="s">
        <v>416</v>
      </c>
      <c r="G6587" s="30" t="str">
        <f t="shared" si="658"/>
        <v/>
      </c>
      <c r="H6587" s="34"/>
      <c r="I6587" s="30"/>
      <c r="J6587" s="152">
        <v>0</v>
      </c>
      <c r="L6587" s="219"/>
      <c r="M6587" s="42"/>
      <c r="N6587" s="30" t="str">
        <f t="shared" si="659"/>
        <v/>
      </c>
      <c r="O6587" s="34"/>
      <c r="P6587" s="36" t="str">
        <f t="shared" si="654"/>
        <v/>
      </c>
      <c r="Q6587" s="216" t="str">
        <f t="shared" si="655"/>
        <v/>
      </c>
      <c r="R6587" s="216" t="str">
        <f t="shared" si="656"/>
        <v/>
      </c>
      <c r="S6587" s="217" t="str">
        <f t="shared" si="657"/>
        <v/>
      </c>
    </row>
    <row r="6588" spans="1:19" ht="15.75" hidden="1" thickBot="1" x14ac:dyDescent="0.3">
      <c r="A6588" s="262"/>
      <c r="B6588" s="260"/>
      <c r="C6588" s="35" t="s">
        <v>1003</v>
      </c>
      <c r="D6588" s="35" t="s">
        <v>213</v>
      </c>
      <c r="E6588" s="36">
        <v>1</v>
      </c>
      <c r="F6588" s="30">
        <v>53.399499999999996</v>
      </c>
      <c r="G6588" s="30">
        <f t="shared" si="658"/>
        <v>53.399499999999996</v>
      </c>
      <c r="H6588" s="38">
        <f>SUM(G6588:G6588)</f>
        <v>53.399499999999996</v>
      </c>
      <c r="I6588" s="39"/>
      <c r="J6588" s="152">
        <v>0</v>
      </c>
      <c r="L6588" s="215">
        <v>1</v>
      </c>
      <c r="M6588" s="30">
        <v>45.709971999999993</v>
      </c>
      <c r="N6588" s="30">
        <f t="shared" si="659"/>
        <v>45.709971999999993</v>
      </c>
      <c r="O6588" s="38">
        <f>SUM(N6588:N6588)</f>
        <v>45.709971999999993</v>
      </c>
      <c r="P6588" s="36" t="str">
        <f t="shared" si="654"/>
        <v/>
      </c>
      <c r="Q6588" s="216">
        <f t="shared" si="655"/>
        <v>0.14400000000000002</v>
      </c>
      <c r="R6588" s="216">
        <f t="shared" si="656"/>
        <v>0.14400000000000002</v>
      </c>
      <c r="S6588" s="217">
        <f t="shared" si="657"/>
        <v>0.14400000000000002</v>
      </c>
    </row>
    <row r="6589" spans="1:19" ht="15.75" hidden="1" thickBot="1" x14ac:dyDescent="0.3">
      <c r="A6589" s="263"/>
      <c r="B6589" s="261"/>
      <c r="C6589" s="54"/>
      <c r="D6589" s="54"/>
      <c r="E6589" s="65"/>
      <c r="F6589" s="66" t="s">
        <v>416</v>
      </c>
      <c r="G6589" s="66" t="str">
        <f t="shared" si="658"/>
        <v/>
      </c>
      <c r="H6589" s="68"/>
      <c r="I6589" s="30"/>
      <c r="J6589" s="152">
        <v>0</v>
      </c>
      <c r="L6589" s="222"/>
      <c r="M6589" s="66"/>
      <c r="N6589" s="66" t="str">
        <f t="shared" si="659"/>
        <v/>
      </c>
      <c r="O6589" s="68"/>
      <c r="P6589" s="36" t="str">
        <f t="shared" si="654"/>
        <v/>
      </c>
      <c r="Q6589" s="216" t="str">
        <f t="shared" si="655"/>
        <v/>
      </c>
      <c r="R6589" s="216" t="str">
        <f t="shared" si="656"/>
        <v/>
      </c>
      <c r="S6589" s="217" t="str">
        <f t="shared" si="657"/>
        <v/>
      </c>
    </row>
    <row r="6590" spans="1:19" ht="15.75" hidden="1" thickBot="1" x14ac:dyDescent="0.3">
      <c r="A6590" s="256" t="s">
        <v>5996</v>
      </c>
      <c r="B6590" s="259" t="str">
        <f>INDEX(Orçamentária!A:B,MATCH(Composições!A6590,Orçamentária!A:A,0),2)</f>
        <v>Registro de Gaveta Bruto 1 1/2”</v>
      </c>
      <c r="C6590" s="40"/>
      <c r="D6590" s="25" t="s">
        <v>16</v>
      </c>
      <c r="E6590" s="26"/>
      <c r="F6590" s="41" t="s">
        <v>416</v>
      </c>
      <c r="G6590" s="27" t="str">
        <f t="shared" si="658"/>
        <v/>
      </c>
      <c r="H6590" s="28"/>
      <c r="I6590" s="29"/>
      <c r="J6590" s="152">
        <v>0</v>
      </c>
      <c r="L6590" s="218"/>
      <c r="M6590" s="41"/>
      <c r="N6590" s="27" t="str">
        <f t="shared" si="659"/>
        <v/>
      </c>
      <c r="O6590" s="28"/>
      <c r="P6590" s="36" t="str">
        <f t="shared" si="654"/>
        <v/>
      </c>
      <c r="Q6590" s="216" t="str">
        <f t="shared" si="655"/>
        <v/>
      </c>
      <c r="R6590" s="216" t="str">
        <f t="shared" si="656"/>
        <v/>
      </c>
      <c r="S6590" s="217" t="str">
        <f t="shared" si="657"/>
        <v/>
      </c>
    </row>
    <row r="6591" spans="1:19" ht="15.75" hidden="1" thickBot="1" x14ac:dyDescent="0.3">
      <c r="A6591" s="262"/>
      <c r="B6591" s="260"/>
      <c r="C6591" s="31"/>
      <c r="D6591" s="31"/>
      <c r="E6591" s="32"/>
      <c r="F6591" s="42" t="s">
        <v>416</v>
      </c>
      <c r="G6591" s="30" t="str">
        <f t="shared" si="658"/>
        <v/>
      </c>
      <c r="H6591" s="34"/>
      <c r="I6591" s="30"/>
      <c r="J6591" s="152">
        <v>0</v>
      </c>
      <c r="L6591" s="219"/>
      <c r="M6591" s="42"/>
      <c r="N6591" s="30" t="str">
        <f t="shared" si="659"/>
        <v/>
      </c>
      <c r="O6591" s="34"/>
      <c r="P6591" s="36" t="str">
        <f t="shared" si="654"/>
        <v/>
      </c>
      <c r="Q6591" s="216" t="str">
        <f t="shared" si="655"/>
        <v/>
      </c>
      <c r="R6591" s="216" t="str">
        <f t="shared" si="656"/>
        <v/>
      </c>
      <c r="S6591" s="217" t="str">
        <f t="shared" si="657"/>
        <v/>
      </c>
    </row>
    <row r="6592" spans="1:19" ht="26.25" hidden="1" thickBot="1" x14ac:dyDescent="0.3">
      <c r="A6592" s="262"/>
      <c r="B6592" s="260"/>
      <c r="C6592" s="35" t="s">
        <v>8355</v>
      </c>
      <c r="D6592" s="35" t="s">
        <v>213</v>
      </c>
      <c r="E6592" s="36">
        <v>1</v>
      </c>
      <c r="F6592" s="30">
        <v>102.0585</v>
      </c>
      <c r="G6592" s="30">
        <f t="shared" si="658"/>
        <v>102.0585</v>
      </c>
      <c r="H6592" s="38">
        <f>SUM(G6592:G6592)</f>
        <v>102.0585</v>
      </c>
      <c r="I6592" s="39"/>
      <c r="J6592" s="152">
        <v>0</v>
      </c>
      <c r="L6592" s="215">
        <v>1</v>
      </c>
      <c r="M6592" s="30">
        <v>87.362076000000002</v>
      </c>
      <c r="N6592" s="30">
        <f t="shared" si="659"/>
        <v>87.362076000000002</v>
      </c>
      <c r="O6592" s="38">
        <f>SUM(N6592:N6592)</f>
        <v>87.362076000000002</v>
      </c>
      <c r="P6592" s="36" t="str">
        <f t="shared" si="654"/>
        <v/>
      </c>
      <c r="Q6592" s="216">
        <f t="shared" si="655"/>
        <v>0.14399999999999991</v>
      </c>
      <c r="R6592" s="216">
        <f t="shared" si="656"/>
        <v>0.14399999999999991</v>
      </c>
      <c r="S6592" s="217">
        <f t="shared" si="657"/>
        <v>0.14399999999999991</v>
      </c>
    </row>
    <row r="6593" spans="1:19" ht="15.75" hidden="1" thickBot="1" x14ac:dyDescent="0.3">
      <c r="A6593" s="263"/>
      <c r="B6593" s="261"/>
      <c r="C6593" s="54"/>
      <c r="D6593" s="54"/>
      <c r="E6593" s="65"/>
      <c r="F6593" s="66" t="s">
        <v>416</v>
      </c>
      <c r="G6593" s="66" t="str">
        <f t="shared" si="658"/>
        <v/>
      </c>
      <c r="H6593" s="68"/>
      <c r="I6593" s="30"/>
      <c r="J6593" s="152">
        <v>0</v>
      </c>
      <c r="L6593" s="222"/>
      <c r="M6593" s="66"/>
      <c r="N6593" s="66" t="str">
        <f t="shared" si="659"/>
        <v/>
      </c>
      <c r="O6593" s="68"/>
      <c r="P6593" s="36" t="str">
        <f t="shared" si="654"/>
        <v/>
      </c>
      <c r="Q6593" s="216" t="str">
        <f t="shared" si="655"/>
        <v/>
      </c>
      <c r="R6593" s="216" t="str">
        <f t="shared" si="656"/>
        <v/>
      </c>
      <c r="S6593" s="217" t="str">
        <f t="shared" si="657"/>
        <v/>
      </c>
    </row>
    <row r="6594" spans="1:19" ht="15.75" hidden="1" thickBot="1" x14ac:dyDescent="0.3">
      <c r="A6594" s="256" t="s">
        <v>5998</v>
      </c>
      <c r="B6594" s="259" t="str">
        <f>INDEX(Orçamentária!A:B,MATCH(Composições!A6594,Orçamentária!A:A,0),2)</f>
        <v>Registro de Gaveta Bruto 1 1/4”</v>
      </c>
      <c r="C6594" s="40"/>
      <c r="D6594" s="25" t="s">
        <v>16</v>
      </c>
      <c r="E6594" s="26"/>
      <c r="F6594" s="41" t="s">
        <v>416</v>
      </c>
      <c r="G6594" s="27" t="str">
        <f t="shared" si="658"/>
        <v/>
      </c>
      <c r="H6594" s="28"/>
      <c r="I6594" s="29"/>
      <c r="J6594" s="152">
        <v>0</v>
      </c>
      <c r="L6594" s="218"/>
      <c r="M6594" s="41"/>
      <c r="N6594" s="27" t="str">
        <f t="shared" si="659"/>
        <v/>
      </c>
      <c r="O6594" s="28"/>
      <c r="P6594" s="36" t="str">
        <f t="shared" si="654"/>
        <v/>
      </c>
      <c r="Q6594" s="216" t="str">
        <f t="shared" si="655"/>
        <v/>
      </c>
      <c r="R6594" s="216" t="str">
        <f t="shared" si="656"/>
        <v/>
      </c>
      <c r="S6594" s="217" t="str">
        <f t="shared" si="657"/>
        <v/>
      </c>
    </row>
    <row r="6595" spans="1:19" ht="15.75" hidden="1" thickBot="1" x14ac:dyDescent="0.3">
      <c r="A6595" s="262"/>
      <c r="B6595" s="260"/>
      <c r="C6595" s="31"/>
      <c r="D6595" s="31"/>
      <c r="E6595" s="32"/>
      <c r="F6595" s="42" t="s">
        <v>416</v>
      </c>
      <c r="G6595" s="30" t="str">
        <f t="shared" si="658"/>
        <v/>
      </c>
      <c r="H6595" s="34"/>
      <c r="I6595" s="30"/>
      <c r="J6595" s="152">
        <v>0</v>
      </c>
      <c r="L6595" s="219"/>
      <c r="M6595" s="42"/>
      <c r="N6595" s="30" t="str">
        <f t="shared" si="659"/>
        <v/>
      </c>
      <c r="O6595" s="34"/>
      <c r="P6595" s="36" t="str">
        <f t="shared" si="654"/>
        <v/>
      </c>
      <c r="Q6595" s="216" t="str">
        <f t="shared" si="655"/>
        <v/>
      </c>
      <c r="R6595" s="216" t="str">
        <f t="shared" si="656"/>
        <v/>
      </c>
      <c r="S6595" s="217" t="str">
        <f t="shared" si="657"/>
        <v/>
      </c>
    </row>
    <row r="6596" spans="1:19" ht="26.25" hidden="1" thickBot="1" x14ac:dyDescent="0.3">
      <c r="A6596" s="262"/>
      <c r="B6596" s="260"/>
      <c r="C6596" s="35" t="s">
        <v>8356</v>
      </c>
      <c r="D6596" s="35" t="s">
        <v>213</v>
      </c>
      <c r="E6596" s="36">
        <v>1</v>
      </c>
      <c r="F6596" s="30">
        <v>80.835499999999996</v>
      </c>
      <c r="G6596" s="30">
        <f t="shared" si="658"/>
        <v>80.835499999999996</v>
      </c>
      <c r="H6596" s="38">
        <f>SUM(G6596:G6596)</f>
        <v>80.835499999999996</v>
      </c>
      <c r="I6596" s="39"/>
      <c r="J6596" s="152">
        <v>0</v>
      </c>
      <c r="L6596" s="215">
        <v>1</v>
      </c>
      <c r="M6596" s="30">
        <v>69.195188000000002</v>
      </c>
      <c r="N6596" s="30">
        <f t="shared" si="659"/>
        <v>69.195188000000002</v>
      </c>
      <c r="O6596" s="38">
        <f>SUM(N6596:N6596)</f>
        <v>69.195188000000002</v>
      </c>
      <c r="P6596" s="36" t="str">
        <f t="shared" si="654"/>
        <v/>
      </c>
      <c r="Q6596" s="216">
        <f t="shared" si="655"/>
        <v>0.14399999999999991</v>
      </c>
      <c r="R6596" s="216">
        <f t="shared" si="656"/>
        <v>0.14399999999999991</v>
      </c>
      <c r="S6596" s="217">
        <f t="shared" si="657"/>
        <v>0.14399999999999991</v>
      </c>
    </row>
    <row r="6597" spans="1:19" ht="15.75" hidden="1" thickBot="1" x14ac:dyDescent="0.3">
      <c r="A6597" s="263"/>
      <c r="B6597" s="261"/>
      <c r="C6597" s="54"/>
      <c r="D6597" s="54"/>
      <c r="E6597" s="65"/>
      <c r="F6597" s="66" t="s">
        <v>416</v>
      </c>
      <c r="G6597" s="66" t="str">
        <f t="shared" si="658"/>
        <v/>
      </c>
      <c r="H6597" s="68"/>
      <c r="I6597" s="30"/>
      <c r="J6597" s="152">
        <v>0</v>
      </c>
      <c r="L6597" s="222"/>
      <c r="M6597" s="66"/>
      <c r="N6597" s="66" t="str">
        <f t="shared" si="659"/>
        <v/>
      </c>
      <c r="O6597" s="68"/>
      <c r="P6597" s="36" t="str">
        <f t="shared" si="654"/>
        <v/>
      </c>
      <c r="Q6597" s="216" t="str">
        <f t="shared" si="655"/>
        <v/>
      </c>
      <c r="R6597" s="216" t="str">
        <f t="shared" si="656"/>
        <v/>
      </c>
      <c r="S6597" s="217" t="str">
        <f t="shared" si="657"/>
        <v/>
      </c>
    </row>
    <row r="6598" spans="1:19" ht="15.75" hidden="1" thickBot="1" x14ac:dyDescent="0.3">
      <c r="A6598" s="256" t="s">
        <v>6000</v>
      </c>
      <c r="B6598" s="259" t="str">
        <f>INDEX(Orçamentária!A:B,MATCH(Composições!A6598,Orçamentária!A:A,0),2)</f>
        <v>Registro de Gaveta Bruto 1”</v>
      </c>
      <c r="C6598" s="40"/>
      <c r="D6598" s="25" t="s">
        <v>16</v>
      </c>
      <c r="E6598" s="26"/>
      <c r="F6598" s="41" t="s">
        <v>416</v>
      </c>
      <c r="G6598" s="27" t="str">
        <f t="shared" si="658"/>
        <v/>
      </c>
      <c r="H6598" s="28"/>
      <c r="I6598" s="29"/>
      <c r="J6598" s="152">
        <v>0</v>
      </c>
      <c r="L6598" s="218"/>
      <c r="M6598" s="41"/>
      <c r="N6598" s="27" t="str">
        <f t="shared" si="659"/>
        <v/>
      </c>
      <c r="O6598" s="28"/>
      <c r="P6598" s="36" t="str">
        <f t="shared" si="654"/>
        <v/>
      </c>
      <c r="Q6598" s="216" t="str">
        <f t="shared" si="655"/>
        <v/>
      </c>
      <c r="R6598" s="216" t="str">
        <f t="shared" si="656"/>
        <v/>
      </c>
      <c r="S6598" s="217" t="str">
        <f t="shared" si="657"/>
        <v/>
      </c>
    </row>
    <row r="6599" spans="1:19" ht="15.75" hidden="1" thickBot="1" x14ac:dyDescent="0.3">
      <c r="A6599" s="262"/>
      <c r="B6599" s="260"/>
      <c r="C6599" s="31"/>
      <c r="D6599" s="31"/>
      <c r="E6599" s="32"/>
      <c r="F6599" s="42" t="s">
        <v>416</v>
      </c>
      <c r="G6599" s="30" t="str">
        <f t="shared" si="658"/>
        <v/>
      </c>
      <c r="H6599" s="34"/>
      <c r="I6599" s="30"/>
      <c r="J6599" s="152">
        <v>0</v>
      </c>
      <c r="L6599" s="219"/>
      <c r="M6599" s="42"/>
      <c r="N6599" s="30" t="str">
        <f t="shared" si="659"/>
        <v/>
      </c>
      <c r="O6599" s="34"/>
      <c r="P6599" s="36" t="str">
        <f t="shared" si="654"/>
        <v/>
      </c>
      <c r="Q6599" s="216" t="str">
        <f t="shared" si="655"/>
        <v/>
      </c>
      <c r="R6599" s="216" t="str">
        <f t="shared" si="656"/>
        <v/>
      </c>
      <c r="S6599" s="217" t="str">
        <f t="shared" si="657"/>
        <v/>
      </c>
    </row>
    <row r="6600" spans="1:19" ht="26.25" hidden="1" thickBot="1" x14ac:dyDescent="0.3">
      <c r="A6600" s="262"/>
      <c r="B6600" s="260"/>
      <c r="C6600" s="35" t="s">
        <v>8354</v>
      </c>
      <c r="D6600" s="35" t="s">
        <v>213</v>
      </c>
      <c r="E6600" s="36">
        <v>1</v>
      </c>
      <c r="F6600" s="30">
        <v>59.317999999999998</v>
      </c>
      <c r="G6600" s="30">
        <f t="shared" si="658"/>
        <v>59.317999999999998</v>
      </c>
      <c r="H6600" s="38">
        <f>SUM(G6600:G6600)</f>
        <v>59.317999999999998</v>
      </c>
      <c r="I6600" s="39"/>
      <c r="J6600" s="152">
        <v>0</v>
      </c>
      <c r="L6600" s="215">
        <v>1</v>
      </c>
      <c r="M6600" s="30">
        <v>50.776207999999997</v>
      </c>
      <c r="N6600" s="30">
        <f t="shared" si="659"/>
        <v>50.776207999999997</v>
      </c>
      <c r="O6600" s="38">
        <f>SUM(N6600:N6600)</f>
        <v>50.776207999999997</v>
      </c>
      <c r="P6600" s="36" t="str">
        <f t="shared" ref="P6600:P6663" si="660">IF(ISBLANK(L6600),"",IF($E6600&lt;&gt;L6600,"SIM",""))</f>
        <v/>
      </c>
      <c r="Q6600" s="216">
        <f t="shared" ref="Q6600:Q6663" si="661">IF(M6600="","",1-M6600/$F6600)</f>
        <v>0.14400000000000002</v>
      </c>
      <c r="R6600" s="216">
        <f t="shared" ref="R6600:R6663" si="662">IF(N6600="","",1-N6600/$G6600)</f>
        <v>0.14400000000000002</v>
      </c>
      <c r="S6600" s="217">
        <f t="shared" ref="S6600:S6663" si="663">IF(O6600="","",1-O6600/$H6600)</f>
        <v>0.14400000000000002</v>
      </c>
    </row>
    <row r="6601" spans="1:19" ht="15.75" hidden="1" thickBot="1" x14ac:dyDescent="0.3">
      <c r="A6601" s="263"/>
      <c r="B6601" s="261"/>
      <c r="C6601" s="54"/>
      <c r="D6601" s="54"/>
      <c r="E6601" s="65"/>
      <c r="F6601" s="66" t="s">
        <v>416</v>
      </c>
      <c r="G6601" s="66" t="str">
        <f t="shared" si="658"/>
        <v/>
      </c>
      <c r="H6601" s="68"/>
      <c r="I6601" s="30"/>
      <c r="J6601" s="152">
        <v>0</v>
      </c>
      <c r="L6601" s="222"/>
      <c r="M6601" s="66"/>
      <c r="N6601" s="66" t="str">
        <f t="shared" si="659"/>
        <v/>
      </c>
      <c r="O6601" s="68"/>
      <c r="P6601" s="36" t="str">
        <f t="shared" si="660"/>
        <v/>
      </c>
      <c r="Q6601" s="216" t="str">
        <f t="shared" si="661"/>
        <v/>
      </c>
      <c r="R6601" s="216" t="str">
        <f t="shared" si="662"/>
        <v/>
      </c>
      <c r="S6601" s="217" t="str">
        <f t="shared" si="663"/>
        <v/>
      </c>
    </row>
    <row r="6602" spans="1:19" ht="15.75" hidden="1" thickBot="1" x14ac:dyDescent="0.3">
      <c r="A6602" s="256" t="s">
        <v>6002</v>
      </c>
      <c r="B6602" s="259" t="str">
        <f>INDEX(Orçamentária!A:B,MATCH(Composições!A6602,Orçamentária!A:A,0),2)</f>
        <v>Registro de Gaveta Bruto 1/2”</v>
      </c>
      <c r="C6602" s="40"/>
      <c r="D6602" s="25" t="s">
        <v>16</v>
      </c>
      <c r="E6602" s="26"/>
      <c r="F6602" s="41" t="s">
        <v>416</v>
      </c>
      <c r="G6602" s="27" t="str">
        <f t="shared" si="658"/>
        <v/>
      </c>
      <c r="H6602" s="28"/>
      <c r="I6602" s="29"/>
      <c r="J6602" s="152">
        <v>0</v>
      </c>
      <c r="L6602" s="218"/>
      <c r="M6602" s="41"/>
      <c r="N6602" s="27" t="str">
        <f t="shared" si="659"/>
        <v/>
      </c>
      <c r="O6602" s="28"/>
      <c r="P6602" s="36" t="str">
        <f t="shared" si="660"/>
        <v/>
      </c>
      <c r="Q6602" s="216" t="str">
        <f t="shared" si="661"/>
        <v/>
      </c>
      <c r="R6602" s="216" t="str">
        <f t="shared" si="662"/>
        <v/>
      </c>
      <c r="S6602" s="217" t="str">
        <f t="shared" si="663"/>
        <v/>
      </c>
    </row>
    <row r="6603" spans="1:19" ht="15.75" hidden="1" thickBot="1" x14ac:dyDescent="0.3">
      <c r="A6603" s="262"/>
      <c r="B6603" s="260"/>
      <c r="C6603" s="31"/>
      <c r="D6603" s="31"/>
      <c r="E6603" s="32"/>
      <c r="F6603" s="42" t="s">
        <v>416</v>
      </c>
      <c r="G6603" s="30" t="str">
        <f t="shared" si="658"/>
        <v/>
      </c>
      <c r="H6603" s="34"/>
      <c r="I6603" s="30"/>
      <c r="J6603" s="152">
        <v>0</v>
      </c>
      <c r="L6603" s="219"/>
      <c r="M6603" s="42"/>
      <c r="N6603" s="30" t="str">
        <f t="shared" si="659"/>
        <v/>
      </c>
      <c r="O6603" s="34"/>
      <c r="P6603" s="36" t="str">
        <f t="shared" si="660"/>
        <v/>
      </c>
      <c r="Q6603" s="216" t="str">
        <f t="shared" si="661"/>
        <v/>
      </c>
      <c r="R6603" s="216" t="str">
        <f t="shared" si="662"/>
        <v/>
      </c>
      <c r="S6603" s="217" t="str">
        <f t="shared" si="663"/>
        <v/>
      </c>
    </row>
    <row r="6604" spans="1:19" ht="26.25" hidden="1" thickBot="1" x14ac:dyDescent="0.3">
      <c r="A6604" s="262"/>
      <c r="B6604" s="260"/>
      <c r="C6604" s="35" t="s">
        <v>8357</v>
      </c>
      <c r="D6604" s="35" t="s">
        <v>213</v>
      </c>
      <c r="E6604" s="36">
        <v>1</v>
      </c>
      <c r="F6604" s="30">
        <v>35.625</v>
      </c>
      <c r="G6604" s="30">
        <f t="shared" si="658"/>
        <v>35.625</v>
      </c>
      <c r="H6604" s="38">
        <f>SUM(G6604:G6604)</f>
        <v>35.625</v>
      </c>
      <c r="I6604" s="39"/>
      <c r="J6604" s="152">
        <v>0</v>
      </c>
      <c r="L6604" s="215">
        <v>1</v>
      </c>
      <c r="M6604" s="30">
        <v>30.495000000000001</v>
      </c>
      <c r="N6604" s="30">
        <f t="shared" si="659"/>
        <v>30.495000000000001</v>
      </c>
      <c r="O6604" s="38">
        <f>SUM(N6604:N6604)</f>
        <v>30.495000000000001</v>
      </c>
      <c r="P6604" s="36" t="str">
        <f t="shared" si="660"/>
        <v/>
      </c>
      <c r="Q6604" s="216">
        <f t="shared" si="661"/>
        <v>0.14400000000000002</v>
      </c>
      <c r="R6604" s="216">
        <f t="shared" si="662"/>
        <v>0.14400000000000002</v>
      </c>
      <c r="S6604" s="217">
        <f t="shared" si="663"/>
        <v>0.14400000000000002</v>
      </c>
    </row>
    <row r="6605" spans="1:19" ht="15.75" hidden="1" thickBot="1" x14ac:dyDescent="0.3">
      <c r="A6605" s="263"/>
      <c r="B6605" s="261"/>
      <c r="C6605" s="54"/>
      <c r="D6605" s="54"/>
      <c r="E6605" s="65"/>
      <c r="F6605" s="66" t="s">
        <v>416</v>
      </c>
      <c r="G6605" s="66" t="str">
        <f t="shared" si="658"/>
        <v/>
      </c>
      <c r="H6605" s="68"/>
      <c r="I6605" s="30"/>
      <c r="J6605" s="152">
        <v>0</v>
      </c>
      <c r="L6605" s="222"/>
      <c r="M6605" s="66"/>
      <c r="N6605" s="66" t="str">
        <f t="shared" si="659"/>
        <v/>
      </c>
      <c r="O6605" s="68"/>
      <c r="P6605" s="36" t="str">
        <f t="shared" si="660"/>
        <v/>
      </c>
      <c r="Q6605" s="216" t="str">
        <f t="shared" si="661"/>
        <v/>
      </c>
      <c r="R6605" s="216" t="str">
        <f t="shared" si="662"/>
        <v/>
      </c>
      <c r="S6605" s="217" t="str">
        <f t="shared" si="663"/>
        <v/>
      </c>
    </row>
    <row r="6606" spans="1:19" ht="15.75" hidden="1" thickBot="1" x14ac:dyDescent="0.3">
      <c r="A6606" s="256" t="s">
        <v>6004</v>
      </c>
      <c r="B6606" s="259" t="str">
        <f>INDEX(Orçamentária!A:B,MATCH(Composições!A6606,Orçamentária!A:A,0),2)</f>
        <v>Registro de Gaveta Bruto 2 1/2”</v>
      </c>
      <c r="C6606" s="40"/>
      <c r="D6606" s="25" t="s">
        <v>16</v>
      </c>
      <c r="E6606" s="26"/>
      <c r="F6606" s="41" t="s">
        <v>416</v>
      </c>
      <c r="G6606" s="27" t="str">
        <f t="shared" si="658"/>
        <v/>
      </c>
      <c r="H6606" s="28"/>
      <c r="I6606" s="29"/>
      <c r="J6606" s="152">
        <v>0</v>
      </c>
      <c r="L6606" s="218"/>
      <c r="M6606" s="41"/>
      <c r="N6606" s="27" t="str">
        <f t="shared" si="659"/>
        <v/>
      </c>
      <c r="O6606" s="28"/>
      <c r="P6606" s="36" t="str">
        <f t="shared" si="660"/>
        <v/>
      </c>
      <c r="Q6606" s="216" t="str">
        <f t="shared" si="661"/>
        <v/>
      </c>
      <c r="R6606" s="216" t="str">
        <f t="shared" si="662"/>
        <v/>
      </c>
      <c r="S6606" s="217" t="str">
        <f t="shared" si="663"/>
        <v/>
      </c>
    </row>
    <row r="6607" spans="1:19" ht="15.75" hidden="1" thickBot="1" x14ac:dyDescent="0.3">
      <c r="A6607" s="262"/>
      <c r="B6607" s="260"/>
      <c r="C6607" s="31"/>
      <c r="D6607" s="31"/>
      <c r="E6607" s="32"/>
      <c r="F6607" s="42" t="s">
        <v>416</v>
      </c>
      <c r="G6607" s="30" t="str">
        <f t="shared" si="658"/>
        <v/>
      </c>
      <c r="H6607" s="34"/>
      <c r="I6607" s="30"/>
      <c r="J6607" s="152">
        <v>0</v>
      </c>
      <c r="L6607" s="219"/>
      <c r="M6607" s="42"/>
      <c r="N6607" s="30" t="str">
        <f t="shared" si="659"/>
        <v/>
      </c>
      <c r="O6607" s="34"/>
      <c r="P6607" s="36" t="str">
        <f t="shared" si="660"/>
        <v/>
      </c>
      <c r="Q6607" s="216" t="str">
        <f t="shared" si="661"/>
        <v/>
      </c>
      <c r="R6607" s="216" t="str">
        <f t="shared" si="662"/>
        <v/>
      </c>
      <c r="S6607" s="217" t="str">
        <f t="shared" si="663"/>
        <v/>
      </c>
    </row>
    <row r="6608" spans="1:19" ht="26.25" hidden="1" thickBot="1" x14ac:dyDescent="0.3">
      <c r="A6608" s="262"/>
      <c r="B6608" s="260"/>
      <c r="C6608" s="35" t="s">
        <v>8359</v>
      </c>
      <c r="D6608" s="35" t="s">
        <v>213</v>
      </c>
      <c r="E6608" s="36">
        <v>1</v>
      </c>
      <c r="F6608" s="30">
        <v>294.81349999999998</v>
      </c>
      <c r="G6608" s="30">
        <f t="shared" si="658"/>
        <v>294.81349999999998</v>
      </c>
      <c r="H6608" s="38">
        <f>SUM(G6608:G6608)</f>
        <v>294.81349999999998</v>
      </c>
      <c r="I6608" s="39"/>
      <c r="J6608" s="152">
        <v>0</v>
      </c>
      <c r="L6608" s="215">
        <v>1</v>
      </c>
      <c r="M6608" s="30">
        <v>252.36035599999997</v>
      </c>
      <c r="N6608" s="30">
        <f t="shared" si="659"/>
        <v>252.36035599999997</v>
      </c>
      <c r="O6608" s="38">
        <f>SUM(N6608:N6608)</f>
        <v>252.36035599999997</v>
      </c>
      <c r="P6608" s="36" t="str">
        <f t="shared" si="660"/>
        <v/>
      </c>
      <c r="Q6608" s="216">
        <f t="shared" si="661"/>
        <v>0.14400000000000002</v>
      </c>
      <c r="R6608" s="216">
        <f t="shared" si="662"/>
        <v>0.14400000000000002</v>
      </c>
      <c r="S6608" s="217">
        <f t="shared" si="663"/>
        <v>0.14400000000000002</v>
      </c>
    </row>
    <row r="6609" spans="1:19" ht="15.75" hidden="1" thickBot="1" x14ac:dyDescent="0.3">
      <c r="A6609" s="263"/>
      <c r="B6609" s="261"/>
      <c r="C6609" s="54"/>
      <c r="D6609" s="54"/>
      <c r="E6609" s="65"/>
      <c r="F6609" s="66" t="s">
        <v>416</v>
      </c>
      <c r="G6609" s="66" t="str">
        <f t="shared" si="658"/>
        <v/>
      </c>
      <c r="H6609" s="68"/>
      <c r="I6609" s="30"/>
      <c r="J6609" s="152">
        <v>0</v>
      </c>
      <c r="L6609" s="222"/>
      <c r="M6609" s="66"/>
      <c r="N6609" s="66" t="str">
        <f t="shared" si="659"/>
        <v/>
      </c>
      <c r="O6609" s="68"/>
      <c r="P6609" s="36" t="str">
        <f t="shared" si="660"/>
        <v/>
      </c>
      <c r="Q6609" s="216" t="str">
        <f t="shared" si="661"/>
        <v/>
      </c>
      <c r="R6609" s="216" t="str">
        <f t="shared" si="662"/>
        <v/>
      </c>
      <c r="S6609" s="217" t="str">
        <f t="shared" si="663"/>
        <v/>
      </c>
    </row>
    <row r="6610" spans="1:19" ht="15.75" hidden="1" thickBot="1" x14ac:dyDescent="0.3">
      <c r="A6610" s="256" t="s">
        <v>6006</v>
      </c>
      <c r="B6610" s="259" t="str">
        <f>INDEX(Orçamentária!A:B,MATCH(Composições!A6610,Orçamentária!A:A,0),2)</f>
        <v>Registro de Gaveta Bruto 2”</v>
      </c>
      <c r="C6610" s="40"/>
      <c r="D6610" s="25" t="s">
        <v>16</v>
      </c>
      <c r="E6610" s="26"/>
      <c r="F6610" s="41" t="s">
        <v>416</v>
      </c>
      <c r="G6610" s="27" t="str">
        <f t="shared" si="658"/>
        <v/>
      </c>
      <c r="H6610" s="28"/>
      <c r="I6610" s="29"/>
      <c r="J6610" s="152">
        <v>0</v>
      </c>
      <c r="L6610" s="218"/>
      <c r="M6610" s="41"/>
      <c r="N6610" s="27" t="str">
        <f t="shared" si="659"/>
        <v/>
      </c>
      <c r="O6610" s="28"/>
      <c r="P6610" s="36" t="str">
        <f t="shared" si="660"/>
        <v/>
      </c>
      <c r="Q6610" s="216" t="str">
        <f t="shared" si="661"/>
        <v/>
      </c>
      <c r="R6610" s="216" t="str">
        <f t="shared" si="662"/>
        <v/>
      </c>
      <c r="S6610" s="217" t="str">
        <f t="shared" si="663"/>
        <v/>
      </c>
    </row>
    <row r="6611" spans="1:19" ht="15.75" hidden="1" thickBot="1" x14ac:dyDescent="0.3">
      <c r="A6611" s="262"/>
      <c r="B6611" s="260"/>
      <c r="C6611" s="31"/>
      <c r="D6611" s="31"/>
      <c r="E6611" s="32"/>
      <c r="F6611" s="42" t="s">
        <v>416</v>
      </c>
      <c r="G6611" s="30" t="str">
        <f t="shared" si="658"/>
        <v/>
      </c>
      <c r="H6611" s="34"/>
      <c r="I6611" s="30"/>
      <c r="J6611" s="152">
        <v>0</v>
      </c>
      <c r="L6611" s="219"/>
      <c r="M6611" s="42"/>
      <c r="N6611" s="30" t="str">
        <f t="shared" si="659"/>
        <v/>
      </c>
      <c r="O6611" s="34"/>
      <c r="P6611" s="36" t="str">
        <f t="shared" si="660"/>
        <v/>
      </c>
      <c r="Q6611" s="216" t="str">
        <f t="shared" si="661"/>
        <v/>
      </c>
      <c r="R6611" s="216" t="str">
        <f t="shared" si="662"/>
        <v/>
      </c>
      <c r="S6611" s="217" t="str">
        <f t="shared" si="663"/>
        <v/>
      </c>
    </row>
    <row r="6612" spans="1:19" ht="26.25" hidden="1" thickBot="1" x14ac:dyDescent="0.3">
      <c r="A6612" s="262"/>
      <c r="B6612" s="260"/>
      <c r="C6612" s="35" t="s">
        <v>8358</v>
      </c>
      <c r="D6612" s="35" t="s">
        <v>213</v>
      </c>
      <c r="E6612" s="36">
        <v>1</v>
      </c>
      <c r="F6612" s="30">
        <v>142.14849999999998</v>
      </c>
      <c r="G6612" s="30">
        <f t="shared" si="658"/>
        <v>142.14849999999998</v>
      </c>
      <c r="H6612" s="38">
        <f>SUM(G6612:G6612)</f>
        <v>142.14849999999998</v>
      </c>
      <c r="I6612" s="39"/>
      <c r="J6612" s="152">
        <v>0</v>
      </c>
      <c r="L6612" s="215">
        <v>1</v>
      </c>
      <c r="M6612" s="30">
        <v>121.67911599999999</v>
      </c>
      <c r="N6612" s="30">
        <f t="shared" si="659"/>
        <v>121.67911599999999</v>
      </c>
      <c r="O6612" s="38">
        <f>SUM(N6612:N6612)</f>
        <v>121.67911599999999</v>
      </c>
      <c r="P6612" s="36" t="str">
        <f t="shared" si="660"/>
        <v/>
      </c>
      <c r="Q6612" s="216">
        <f t="shared" si="661"/>
        <v>0.14399999999999991</v>
      </c>
      <c r="R6612" s="216">
        <f t="shared" si="662"/>
        <v>0.14399999999999991</v>
      </c>
      <c r="S6612" s="217">
        <f t="shared" si="663"/>
        <v>0.14399999999999991</v>
      </c>
    </row>
    <row r="6613" spans="1:19" ht="15.75" hidden="1" thickBot="1" x14ac:dyDescent="0.3">
      <c r="A6613" s="263"/>
      <c r="B6613" s="261"/>
      <c r="C6613" s="54"/>
      <c r="D6613" s="54"/>
      <c r="E6613" s="65"/>
      <c r="F6613" s="66" t="s">
        <v>416</v>
      </c>
      <c r="G6613" s="66" t="str">
        <f t="shared" si="658"/>
        <v/>
      </c>
      <c r="H6613" s="68"/>
      <c r="I6613" s="30"/>
      <c r="J6613" s="152">
        <v>0</v>
      </c>
      <c r="L6613" s="222"/>
      <c r="M6613" s="66"/>
      <c r="N6613" s="66" t="str">
        <f t="shared" si="659"/>
        <v/>
      </c>
      <c r="O6613" s="68"/>
      <c r="P6613" s="36" t="str">
        <f t="shared" si="660"/>
        <v/>
      </c>
      <c r="Q6613" s="216" t="str">
        <f t="shared" si="661"/>
        <v/>
      </c>
      <c r="R6613" s="216" t="str">
        <f t="shared" si="662"/>
        <v/>
      </c>
      <c r="S6613" s="217" t="str">
        <f t="shared" si="663"/>
        <v/>
      </c>
    </row>
    <row r="6614" spans="1:19" ht="15.75" hidden="1" thickBot="1" x14ac:dyDescent="0.3">
      <c r="A6614" s="256" t="s">
        <v>6008</v>
      </c>
      <c r="B6614" s="259" t="str">
        <f>INDEX(Orçamentária!A:B,MATCH(Composições!A6614,Orçamentária!A:A,0),2)</f>
        <v>Registro de Gaveta Bruto 3”</v>
      </c>
      <c r="C6614" s="40"/>
      <c r="D6614" s="25" t="s">
        <v>16</v>
      </c>
      <c r="E6614" s="26"/>
      <c r="F6614" s="41" t="s">
        <v>416</v>
      </c>
      <c r="G6614" s="27" t="str">
        <f t="shared" si="658"/>
        <v/>
      </c>
      <c r="H6614" s="28"/>
      <c r="I6614" s="29"/>
      <c r="J6614" s="152">
        <v>0</v>
      </c>
      <c r="L6614" s="218"/>
      <c r="M6614" s="41"/>
      <c r="N6614" s="27" t="str">
        <f t="shared" si="659"/>
        <v/>
      </c>
      <c r="O6614" s="28"/>
      <c r="P6614" s="36" t="str">
        <f t="shared" si="660"/>
        <v/>
      </c>
      <c r="Q6614" s="216" t="str">
        <f t="shared" si="661"/>
        <v/>
      </c>
      <c r="R6614" s="216" t="str">
        <f t="shared" si="662"/>
        <v/>
      </c>
      <c r="S6614" s="217" t="str">
        <f t="shared" si="663"/>
        <v/>
      </c>
    </row>
    <row r="6615" spans="1:19" ht="15.75" hidden="1" thickBot="1" x14ac:dyDescent="0.3">
      <c r="A6615" s="262"/>
      <c r="B6615" s="260"/>
      <c r="C6615" s="31"/>
      <c r="D6615" s="31"/>
      <c r="E6615" s="32"/>
      <c r="F6615" s="42" t="s">
        <v>416</v>
      </c>
      <c r="G6615" s="30" t="str">
        <f t="shared" si="658"/>
        <v/>
      </c>
      <c r="H6615" s="34"/>
      <c r="I6615" s="30"/>
      <c r="J6615" s="152">
        <v>0</v>
      </c>
      <c r="L6615" s="219"/>
      <c r="M6615" s="42"/>
      <c r="N6615" s="30" t="str">
        <f t="shared" si="659"/>
        <v/>
      </c>
      <c r="O6615" s="34"/>
      <c r="P6615" s="36" t="str">
        <f t="shared" si="660"/>
        <v/>
      </c>
      <c r="Q6615" s="216" t="str">
        <f t="shared" si="661"/>
        <v/>
      </c>
      <c r="R6615" s="216" t="str">
        <f t="shared" si="662"/>
        <v/>
      </c>
      <c r="S6615" s="217" t="str">
        <f t="shared" si="663"/>
        <v/>
      </c>
    </row>
    <row r="6616" spans="1:19" ht="26.25" hidden="1" thickBot="1" x14ac:dyDescent="0.3">
      <c r="A6616" s="262"/>
      <c r="B6616" s="260"/>
      <c r="C6616" s="35" t="s">
        <v>8360</v>
      </c>
      <c r="D6616" s="35" t="s">
        <v>213</v>
      </c>
      <c r="E6616" s="36">
        <v>1</v>
      </c>
      <c r="F6616" s="30">
        <v>356.92449999999997</v>
      </c>
      <c r="G6616" s="30">
        <f t="shared" si="658"/>
        <v>356.92449999999997</v>
      </c>
      <c r="H6616" s="38">
        <f>SUM(G6616:G6616)</f>
        <v>356.92449999999997</v>
      </c>
      <c r="I6616" s="39"/>
      <c r="J6616" s="152">
        <v>0</v>
      </c>
      <c r="L6616" s="215">
        <v>1</v>
      </c>
      <c r="M6616" s="30">
        <v>305.52737199999996</v>
      </c>
      <c r="N6616" s="30">
        <f t="shared" si="659"/>
        <v>305.52737199999996</v>
      </c>
      <c r="O6616" s="38">
        <f>SUM(N6616:N6616)</f>
        <v>305.52737199999996</v>
      </c>
      <c r="P6616" s="36" t="str">
        <f t="shared" si="660"/>
        <v/>
      </c>
      <c r="Q6616" s="216">
        <f t="shared" si="661"/>
        <v>0.14400000000000002</v>
      </c>
      <c r="R6616" s="216">
        <f t="shared" si="662"/>
        <v>0.14400000000000002</v>
      </c>
      <c r="S6616" s="217">
        <f t="shared" si="663"/>
        <v>0.14400000000000002</v>
      </c>
    </row>
    <row r="6617" spans="1:19" ht="15.75" hidden="1" thickBot="1" x14ac:dyDescent="0.3">
      <c r="A6617" s="263"/>
      <c r="B6617" s="261"/>
      <c r="C6617" s="54"/>
      <c r="D6617" s="54"/>
      <c r="E6617" s="65"/>
      <c r="F6617" s="66" t="s">
        <v>416</v>
      </c>
      <c r="G6617" s="66" t="str">
        <f t="shared" si="658"/>
        <v/>
      </c>
      <c r="H6617" s="68"/>
      <c r="I6617" s="30"/>
      <c r="J6617" s="152">
        <v>0</v>
      </c>
      <c r="L6617" s="222"/>
      <c r="M6617" s="66"/>
      <c r="N6617" s="66" t="str">
        <f t="shared" si="659"/>
        <v/>
      </c>
      <c r="O6617" s="68"/>
      <c r="P6617" s="36" t="str">
        <f t="shared" si="660"/>
        <v/>
      </c>
      <c r="Q6617" s="216" t="str">
        <f t="shared" si="661"/>
        <v/>
      </c>
      <c r="R6617" s="216" t="str">
        <f t="shared" si="662"/>
        <v/>
      </c>
      <c r="S6617" s="217" t="str">
        <f t="shared" si="663"/>
        <v/>
      </c>
    </row>
    <row r="6618" spans="1:19" ht="15.75" hidden="1" thickBot="1" x14ac:dyDescent="0.3">
      <c r="A6618" s="256" t="s">
        <v>6010</v>
      </c>
      <c r="B6618" s="259" t="str">
        <f>INDEX(Orçamentária!A:B,MATCH(Composições!A6618,Orçamentária!A:A,0),2)</f>
        <v>Registro de Gaveta Bruto 3/4”</v>
      </c>
      <c r="C6618" s="40"/>
      <c r="D6618" s="25" t="s">
        <v>16</v>
      </c>
      <c r="E6618" s="26"/>
      <c r="F6618" s="41" t="s">
        <v>416</v>
      </c>
      <c r="G6618" s="27" t="str">
        <f t="shared" si="658"/>
        <v/>
      </c>
      <c r="H6618" s="28"/>
      <c r="I6618" s="29"/>
      <c r="J6618" s="152">
        <v>0</v>
      </c>
      <c r="L6618" s="218"/>
      <c r="M6618" s="41"/>
      <c r="N6618" s="27" t="str">
        <f t="shared" si="659"/>
        <v/>
      </c>
      <c r="O6618" s="28"/>
      <c r="P6618" s="36" t="str">
        <f t="shared" si="660"/>
        <v/>
      </c>
      <c r="Q6618" s="216" t="str">
        <f t="shared" si="661"/>
        <v/>
      </c>
      <c r="R6618" s="216" t="str">
        <f t="shared" si="662"/>
        <v/>
      </c>
      <c r="S6618" s="217" t="str">
        <f t="shared" si="663"/>
        <v/>
      </c>
    </row>
    <row r="6619" spans="1:19" ht="15.75" hidden="1" thickBot="1" x14ac:dyDescent="0.3">
      <c r="A6619" s="262"/>
      <c r="B6619" s="260"/>
      <c r="C6619" s="31"/>
      <c r="D6619" s="31"/>
      <c r="E6619" s="32"/>
      <c r="F6619" s="42" t="s">
        <v>416</v>
      </c>
      <c r="G6619" s="30" t="str">
        <f t="shared" si="658"/>
        <v/>
      </c>
      <c r="H6619" s="34"/>
      <c r="I6619" s="30"/>
      <c r="J6619" s="152">
        <v>0</v>
      </c>
      <c r="L6619" s="219"/>
      <c r="M6619" s="42"/>
      <c r="N6619" s="30" t="str">
        <f t="shared" si="659"/>
        <v/>
      </c>
      <c r="O6619" s="34"/>
      <c r="P6619" s="36" t="str">
        <f t="shared" si="660"/>
        <v/>
      </c>
      <c r="Q6619" s="216" t="str">
        <f t="shared" si="661"/>
        <v/>
      </c>
      <c r="R6619" s="216" t="str">
        <f t="shared" si="662"/>
        <v/>
      </c>
      <c r="S6619" s="217" t="str">
        <f t="shared" si="663"/>
        <v/>
      </c>
    </row>
    <row r="6620" spans="1:19" ht="26.25" hidden="1" thickBot="1" x14ac:dyDescent="0.3">
      <c r="A6620" s="262"/>
      <c r="B6620" s="260"/>
      <c r="C6620" s="35" t="s">
        <v>8361</v>
      </c>
      <c r="D6620" s="35" t="s">
        <v>213</v>
      </c>
      <c r="E6620" s="36">
        <v>1</v>
      </c>
      <c r="F6620" s="30">
        <v>37.572499999999998</v>
      </c>
      <c r="G6620" s="30">
        <f t="shared" si="658"/>
        <v>37.572499999999998</v>
      </c>
      <c r="H6620" s="38">
        <f>SUM(G6620:G6620)</f>
        <v>37.572499999999998</v>
      </c>
      <c r="I6620" s="39"/>
      <c r="J6620" s="152">
        <v>0</v>
      </c>
      <c r="L6620" s="215">
        <v>1</v>
      </c>
      <c r="M6620" s="30">
        <v>32.162059999999997</v>
      </c>
      <c r="N6620" s="30">
        <f t="shared" si="659"/>
        <v>32.162059999999997</v>
      </c>
      <c r="O6620" s="38">
        <f>SUM(N6620:N6620)</f>
        <v>32.162059999999997</v>
      </c>
      <c r="P6620" s="36" t="str">
        <f t="shared" si="660"/>
        <v/>
      </c>
      <c r="Q6620" s="216">
        <f t="shared" si="661"/>
        <v>0.14400000000000002</v>
      </c>
      <c r="R6620" s="216">
        <f t="shared" si="662"/>
        <v>0.14400000000000002</v>
      </c>
      <c r="S6620" s="217">
        <f t="shared" si="663"/>
        <v>0.14400000000000002</v>
      </c>
    </row>
    <row r="6621" spans="1:19" ht="15.75" hidden="1" thickBot="1" x14ac:dyDescent="0.3">
      <c r="A6621" s="263"/>
      <c r="B6621" s="261"/>
      <c r="C6621" s="54"/>
      <c r="D6621" s="54"/>
      <c r="E6621" s="65"/>
      <c r="F6621" s="66" t="s">
        <v>416</v>
      </c>
      <c r="G6621" s="66" t="str">
        <f t="shared" si="658"/>
        <v/>
      </c>
      <c r="H6621" s="68"/>
      <c r="I6621" s="30"/>
      <c r="J6621" s="152">
        <v>0</v>
      </c>
      <c r="L6621" s="222"/>
      <c r="M6621" s="66"/>
      <c r="N6621" s="66" t="str">
        <f t="shared" si="659"/>
        <v/>
      </c>
      <c r="O6621" s="68"/>
      <c r="P6621" s="36" t="str">
        <f t="shared" si="660"/>
        <v/>
      </c>
      <c r="Q6621" s="216" t="str">
        <f t="shared" si="661"/>
        <v/>
      </c>
      <c r="R6621" s="216" t="str">
        <f t="shared" si="662"/>
        <v/>
      </c>
      <c r="S6621" s="217" t="str">
        <f t="shared" si="663"/>
        <v/>
      </c>
    </row>
    <row r="6622" spans="1:19" ht="15.75" hidden="1" thickBot="1" x14ac:dyDescent="0.3">
      <c r="A6622" s="256" t="s">
        <v>6012</v>
      </c>
      <c r="B6622" s="259" t="str">
        <f>INDEX(Orçamentária!A:B,MATCH(Composições!A6622,Orçamentária!A:A,0),2)</f>
        <v>Registro de Gaveta Bruto 4”</v>
      </c>
      <c r="C6622" s="40"/>
      <c r="D6622" s="25" t="s">
        <v>16</v>
      </c>
      <c r="E6622" s="26"/>
      <c r="F6622" s="41" t="s">
        <v>416</v>
      </c>
      <c r="G6622" s="27" t="str">
        <f t="shared" si="658"/>
        <v/>
      </c>
      <c r="H6622" s="28"/>
      <c r="I6622" s="29"/>
      <c r="J6622" s="152">
        <v>0</v>
      </c>
      <c r="L6622" s="218"/>
      <c r="M6622" s="41"/>
      <c r="N6622" s="27" t="str">
        <f t="shared" si="659"/>
        <v/>
      </c>
      <c r="O6622" s="28"/>
      <c r="P6622" s="36" t="str">
        <f t="shared" si="660"/>
        <v/>
      </c>
      <c r="Q6622" s="216" t="str">
        <f t="shared" si="661"/>
        <v/>
      </c>
      <c r="R6622" s="216" t="str">
        <f t="shared" si="662"/>
        <v/>
      </c>
      <c r="S6622" s="217" t="str">
        <f t="shared" si="663"/>
        <v/>
      </c>
    </row>
    <row r="6623" spans="1:19" ht="15.75" hidden="1" thickBot="1" x14ac:dyDescent="0.3">
      <c r="A6623" s="262"/>
      <c r="B6623" s="260"/>
      <c r="C6623" s="31"/>
      <c r="D6623" s="31"/>
      <c r="E6623" s="32"/>
      <c r="F6623" s="42" t="s">
        <v>416</v>
      </c>
      <c r="G6623" s="30" t="str">
        <f t="shared" si="658"/>
        <v/>
      </c>
      <c r="H6623" s="34"/>
      <c r="I6623" s="30"/>
      <c r="J6623" s="152">
        <v>0</v>
      </c>
      <c r="L6623" s="219"/>
      <c r="M6623" s="42"/>
      <c r="N6623" s="30" t="str">
        <f t="shared" si="659"/>
        <v/>
      </c>
      <c r="O6623" s="34"/>
      <c r="P6623" s="36" t="str">
        <f t="shared" si="660"/>
        <v/>
      </c>
      <c r="Q6623" s="216" t="str">
        <f t="shared" si="661"/>
        <v/>
      </c>
      <c r="R6623" s="216" t="str">
        <f t="shared" si="662"/>
        <v/>
      </c>
      <c r="S6623" s="217" t="str">
        <f t="shared" si="663"/>
        <v/>
      </c>
    </row>
    <row r="6624" spans="1:19" ht="26.25" hidden="1" thickBot="1" x14ac:dyDescent="0.3">
      <c r="A6624" s="262"/>
      <c r="B6624" s="260"/>
      <c r="C6624" s="35" t="s">
        <v>8362</v>
      </c>
      <c r="D6624" s="35" t="s">
        <v>213</v>
      </c>
      <c r="E6624" s="36">
        <v>1</v>
      </c>
      <c r="F6624" s="30">
        <v>743.69799999999998</v>
      </c>
      <c r="G6624" s="30">
        <f t="shared" si="658"/>
        <v>743.69799999999998</v>
      </c>
      <c r="H6624" s="38">
        <f>SUM(G6624:G6624)</f>
        <v>743.69799999999998</v>
      </c>
      <c r="I6624" s="39"/>
      <c r="J6624" s="152">
        <v>0</v>
      </c>
      <c r="L6624" s="215">
        <v>1</v>
      </c>
      <c r="M6624" s="30">
        <v>636.60548800000004</v>
      </c>
      <c r="N6624" s="30">
        <f t="shared" si="659"/>
        <v>636.60548800000004</v>
      </c>
      <c r="O6624" s="38">
        <f>SUM(N6624:N6624)</f>
        <v>636.60548800000004</v>
      </c>
      <c r="P6624" s="36" t="str">
        <f t="shared" si="660"/>
        <v/>
      </c>
      <c r="Q6624" s="216">
        <f t="shared" si="661"/>
        <v>0.14399999999999991</v>
      </c>
      <c r="R6624" s="216">
        <f t="shared" si="662"/>
        <v>0.14399999999999991</v>
      </c>
      <c r="S6624" s="217">
        <f t="shared" si="663"/>
        <v>0.14399999999999991</v>
      </c>
    </row>
    <row r="6625" spans="1:19" ht="15.75" hidden="1" thickBot="1" x14ac:dyDescent="0.3">
      <c r="A6625" s="263"/>
      <c r="B6625" s="261"/>
      <c r="C6625" s="54"/>
      <c r="D6625" s="54"/>
      <c r="E6625" s="65"/>
      <c r="F6625" s="66" t="s">
        <v>416</v>
      </c>
      <c r="G6625" s="66" t="str">
        <f t="shared" si="658"/>
        <v/>
      </c>
      <c r="H6625" s="68"/>
      <c r="I6625" s="30"/>
      <c r="J6625" s="152">
        <v>0</v>
      </c>
      <c r="L6625" s="222"/>
      <c r="M6625" s="66"/>
      <c r="N6625" s="66" t="str">
        <f t="shared" si="659"/>
        <v/>
      </c>
      <c r="O6625" s="68"/>
      <c r="P6625" s="36" t="str">
        <f t="shared" si="660"/>
        <v/>
      </c>
      <c r="Q6625" s="216" t="str">
        <f t="shared" si="661"/>
        <v/>
      </c>
      <c r="R6625" s="216" t="str">
        <f t="shared" si="662"/>
        <v/>
      </c>
      <c r="S6625" s="217" t="str">
        <f t="shared" si="663"/>
        <v/>
      </c>
    </row>
    <row r="6626" spans="1:19" ht="15.75" hidden="1" thickBot="1" x14ac:dyDescent="0.3">
      <c r="A6626" s="256" t="s">
        <v>6018</v>
      </c>
      <c r="B6626" s="259" t="str">
        <f>INDEX(Orçamentária!A:B,MATCH(Composições!A6626,Orçamentária!A:A,0),2)</f>
        <v>Registro de Pressão Bruto 1/2”</v>
      </c>
      <c r="C6626" s="40"/>
      <c r="D6626" s="25" t="s">
        <v>16</v>
      </c>
      <c r="E6626" s="26"/>
      <c r="F6626" s="41" t="s">
        <v>416</v>
      </c>
      <c r="G6626" s="27" t="str">
        <f t="shared" si="658"/>
        <v/>
      </c>
      <c r="H6626" s="28"/>
      <c r="I6626" s="29"/>
      <c r="J6626" s="152">
        <v>0</v>
      </c>
      <c r="L6626" s="218"/>
      <c r="M6626" s="41"/>
      <c r="N6626" s="27" t="str">
        <f t="shared" si="659"/>
        <v/>
      </c>
      <c r="O6626" s="28"/>
      <c r="P6626" s="36" t="str">
        <f t="shared" si="660"/>
        <v/>
      </c>
      <c r="Q6626" s="216" t="str">
        <f t="shared" si="661"/>
        <v/>
      </c>
      <c r="R6626" s="216" t="str">
        <f t="shared" si="662"/>
        <v/>
      </c>
      <c r="S6626" s="217" t="str">
        <f t="shared" si="663"/>
        <v/>
      </c>
    </row>
    <row r="6627" spans="1:19" ht="15.75" hidden="1" thickBot="1" x14ac:dyDescent="0.3">
      <c r="A6627" s="262"/>
      <c r="B6627" s="260"/>
      <c r="C6627" s="31"/>
      <c r="D6627" s="31"/>
      <c r="E6627" s="32"/>
      <c r="F6627" s="42" t="s">
        <v>416</v>
      </c>
      <c r="G6627" s="30" t="str">
        <f t="shared" si="658"/>
        <v/>
      </c>
      <c r="H6627" s="34"/>
      <c r="I6627" s="30"/>
      <c r="J6627" s="152">
        <v>0</v>
      </c>
      <c r="L6627" s="219"/>
      <c r="M6627" s="42"/>
      <c r="N6627" s="30" t="str">
        <f t="shared" si="659"/>
        <v/>
      </c>
      <c r="O6627" s="34"/>
      <c r="P6627" s="36" t="str">
        <f t="shared" si="660"/>
        <v/>
      </c>
      <c r="Q6627" s="216" t="str">
        <f t="shared" si="661"/>
        <v/>
      </c>
      <c r="R6627" s="216" t="str">
        <f t="shared" si="662"/>
        <v/>
      </c>
      <c r="S6627" s="217" t="str">
        <f t="shared" si="663"/>
        <v/>
      </c>
    </row>
    <row r="6628" spans="1:19" ht="26.25" hidden="1" thickBot="1" x14ac:dyDescent="0.3">
      <c r="A6628" s="262"/>
      <c r="B6628" s="260"/>
      <c r="C6628" s="35" t="s">
        <v>8364</v>
      </c>
      <c r="D6628" s="35" t="s">
        <v>213</v>
      </c>
      <c r="E6628" s="36">
        <v>1</v>
      </c>
      <c r="F6628" s="30">
        <v>25.241499999999998</v>
      </c>
      <c r="G6628" s="30">
        <f t="shared" si="658"/>
        <v>25.241499999999998</v>
      </c>
      <c r="H6628" s="38">
        <f>SUM(G6628:G6628)</f>
        <v>25.241499999999998</v>
      </c>
      <c r="I6628" s="39"/>
      <c r="J6628" s="152">
        <v>0</v>
      </c>
      <c r="L6628" s="215">
        <v>1</v>
      </c>
      <c r="M6628" s="30">
        <v>21.606724</v>
      </c>
      <c r="N6628" s="30">
        <f t="shared" si="659"/>
        <v>21.606724</v>
      </c>
      <c r="O6628" s="38">
        <f>SUM(N6628:N6628)</f>
        <v>21.606724</v>
      </c>
      <c r="P6628" s="36" t="str">
        <f t="shared" si="660"/>
        <v/>
      </c>
      <c r="Q6628" s="216">
        <f t="shared" si="661"/>
        <v>0.14399999999999991</v>
      </c>
      <c r="R6628" s="216">
        <f t="shared" si="662"/>
        <v>0.14399999999999991</v>
      </c>
      <c r="S6628" s="217">
        <f t="shared" si="663"/>
        <v>0.14399999999999991</v>
      </c>
    </row>
    <row r="6629" spans="1:19" ht="15.75" hidden="1" thickBot="1" x14ac:dyDescent="0.3">
      <c r="A6629" s="263"/>
      <c r="B6629" s="261"/>
      <c r="C6629" s="54"/>
      <c r="D6629" s="54"/>
      <c r="E6629" s="65"/>
      <c r="F6629" s="66" t="s">
        <v>416</v>
      </c>
      <c r="G6629" s="66" t="str">
        <f t="shared" si="658"/>
        <v/>
      </c>
      <c r="H6629" s="68"/>
      <c r="I6629" s="30"/>
      <c r="J6629" s="152">
        <v>0</v>
      </c>
      <c r="L6629" s="222"/>
      <c r="M6629" s="66"/>
      <c r="N6629" s="66" t="str">
        <f t="shared" si="659"/>
        <v/>
      </c>
      <c r="O6629" s="68"/>
      <c r="P6629" s="36" t="str">
        <f t="shared" si="660"/>
        <v/>
      </c>
      <c r="Q6629" s="216" t="str">
        <f t="shared" si="661"/>
        <v/>
      </c>
      <c r="R6629" s="216" t="str">
        <f t="shared" si="662"/>
        <v/>
      </c>
      <c r="S6629" s="217" t="str">
        <f t="shared" si="663"/>
        <v/>
      </c>
    </row>
    <row r="6630" spans="1:19" ht="15.75" hidden="1" thickBot="1" x14ac:dyDescent="0.3">
      <c r="A6630" s="256" t="s">
        <v>6020</v>
      </c>
      <c r="B6630" s="259" t="str">
        <f>INDEX(Orçamentária!A:B,MATCH(Composições!A6630,Orçamentária!A:A,0),2)</f>
        <v>Registro de Pressão Bruto 3/4”</v>
      </c>
      <c r="C6630" s="40"/>
      <c r="D6630" s="25" t="s">
        <v>16</v>
      </c>
      <c r="E6630" s="26"/>
      <c r="F6630" s="41" t="s">
        <v>416</v>
      </c>
      <c r="G6630" s="27" t="str">
        <f t="shared" si="658"/>
        <v/>
      </c>
      <c r="H6630" s="28"/>
      <c r="I6630" s="29"/>
      <c r="J6630" s="152">
        <v>0</v>
      </c>
      <c r="L6630" s="218"/>
      <c r="M6630" s="41"/>
      <c r="N6630" s="27" t="str">
        <f t="shared" si="659"/>
        <v/>
      </c>
      <c r="O6630" s="28"/>
      <c r="P6630" s="36" t="str">
        <f t="shared" si="660"/>
        <v/>
      </c>
      <c r="Q6630" s="216" t="str">
        <f t="shared" si="661"/>
        <v/>
      </c>
      <c r="R6630" s="216" t="str">
        <f t="shared" si="662"/>
        <v/>
      </c>
      <c r="S6630" s="217" t="str">
        <f t="shared" si="663"/>
        <v/>
      </c>
    </row>
    <row r="6631" spans="1:19" ht="15.75" hidden="1" thickBot="1" x14ac:dyDescent="0.3">
      <c r="A6631" s="262"/>
      <c r="B6631" s="260"/>
      <c r="C6631" s="31"/>
      <c r="D6631" s="31"/>
      <c r="E6631" s="32"/>
      <c r="F6631" s="42" t="s">
        <v>416</v>
      </c>
      <c r="G6631" s="30" t="str">
        <f t="shared" si="658"/>
        <v/>
      </c>
      <c r="H6631" s="34"/>
      <c r="I6631" s="30"/>
      <c r="J6631" s="152">
        <v>0</v>
      </c>
      <c r="L6631" s="219"/>
      <c r="M6631" s="42"/>
      <c r="N6631" s="30" t="str">
        <f t="shared" si="659"/>
        <v/>
      </c>
      <c r="O6631" s="34"/>
      <c r="P6631" s="36" t="str">
        <f t="shared" si="660"/>
        <v/>
      </c>
      <c r="Q6631" s="216" t="str">
        <f t="shared" si="661"/>
        <v/>
      </c>
      <c r="R6631" s="216" t="str">
        <f t="shared" si="662"/>
        <v/>
      </c>
      <c r="S6631" s="217" t="str">
        <f t="shared" si="663"/>
        <v/>
      </c>
    </row>
    <row r="6632" spans="1:19" ht="26.25" hidden="1" thickBot="1" x14ac:dyDescent="0.3">
      <c r="A6632" s="262"/>
      <c r="B6632" s="260"/>
      <c r="C6632" s="35" t="s">
        <v>8365</v>
      </c>
      <c r="D6632" s="35" t="s">
        <v>213</v>
      </c>
      <c r="E6632" s="36">
        <v>1</v>
      </c>
      <c r="F6632" s="30">
        <v>30.1435</v>
      </c>
      <c r="G6632" s="30">
        <f t="shared" si="658"/>
        <v>30.1435</v>
      </c>
      <c r="H6632" s="38">
        <f>SUM(G6632:G6632)</f>
        <v>30.1435</v>
      </c>
      <c r="I6632" s="39"/>
      <c r="J6632" s="152">
        <v>0</v>
      </c>
      <c r="L6632" s="215">
        <v>1</v>
      </c>
      <c r="M6632" s="30">
        <v>25.802835999999999</v>
      </c>
      <c r="N6632" s="30">
        <f t="shared" si="659"/>
        <v>25.802835999999999</v>
      </c>
      <c r="O6632" s="38">
        <f>SUM(N6632:N6632)</f>
        <v>25.802835999999999</v>
      </c>
      <c r="P6632" s="36" t="str">
        <f t="shared" si="660"/>
        <v/>
      </c>
      <c r="Q6632" s="216">
        <f t="shared" si="661"/>
        <v>0.14400000000000002</v>
      </c>
      <c r="R6632" s="216">
        <f t="shared" si="662"/>
        <v>0.14400000000000002</v>
      </c>
      <c r="S6632" s="217">
        <f t="shared" si="663"/>
        <v>0.14400000000000002</v>
      </c>
    </row>
    <row r="6633" spans="1:19" ht="15.75" hidden="1" thickBot="1" x14ac:dyDescent="0.3">
      <c r="A6633" s="263"/>
      <c r="B6633" s="261"/>
      <c r="C6633" s="54"/>
      <c r="D6633" s="54"/>
      <c r="E6633" s="65"/>
      <c r="F6633" s="66" t="s">
        <v>416</v>
      </c>
      <c r="G6633" s="66" t="str">
        <f t="shared" si="658"/>
        <v/>
      </c>
      <c r="H6633" s="68"/>
      <c r="I6633" s="30"/>
      <c r="J6633" s="152">
        <v>0</v>
      </c>
      <c r="L6633" s="222"/>
      <c r="M6633" s="66"/>
      <c r="N6633" s="66" t="str">
        <f t="shared" si="659"/>
        <v/>
      </c>
      <c r="O6633" s="68"/>
      <c r="P6633" s="36" t="str">
        <f t="shared" si="660"/>
        <v/>
      </c>
      <c r="Q6633" s="216" t="str">
        <f t="shared" si="661"/>
        <v/>
      </c>
      <c r="R6633" s="216" t="str">
        <f t="shared" si="662"/>
        <v/>
      </c>
      <c r="S6633" s="217" t="str">
        <f t="shared" si="663"/>
        <v/>
      </c>
    </row>
    <row r="6634" spans="1:19" ht="15.75" hidden="1" thickBot="1" x14ac:dyDescent="0.3">
      <c r="A6634" s="256" t="s">
        <v>6022</v>
      </c>
      <c r="B6634" s="259" t="str">
        <f>INDEX(Orçamentária!A:B,MATCH(Composições!A6634,Orçamentária!A:A,0),2)</f>
        <v>Registro Esfera PVC VS Roscável 1/2”</v>
      </c>
      <c r="C6634" s="40"/>
      <c r="D6634" s="25" t="s">
        <v>16</v>
      </c>
      <c r="E6634" s="26"/>
      <c r="F6634" s="41" t="s">
        <v>416</v>
      </c>
      <c r="G6634" s="27" t="str">
        <f t="shared" si="658"/>
        <v/>
      </c>
      <c r="H6634" s="28"/>
      <c r="I6634" s="29"/>
      <c r="J6634" s="152">
        <v>0</v>
      </c>
      <c r="L6634" s="218"/>
      <c r="M6634" s="41"/>
      <c r="N6634" s="27" t="str">
        <f t="shared" si="659"/>
        <v/>
      </c>
      <c r="O6634" s="28"/>
      <c r="P6634" s="36" t="str">
        <f t="shared" si="660"/>
        <v/>
      </c>
      <c r="Q6634" s="216" t="str">
        <f t="shared" si="661"/>
        <v/>
      </c>
      <c r="R6634" s="216" t="str">
        <f t="shared" si="662"/>
        <v/>
      </c>
      <c r="S6634" s="217" t="str">
        <f t="shared" si="663"/>
        <v/>
      </c>
    </row>
    <row r="6635" spans="1:19" ht="15.75" hidden="1" thickBot="1" x14ac:dyDescent="0.3">
      <c r="A6635" s="262"/>
      <c r="B6635" s="260"/>
      <c r="C6635" s="31"/>
      <c r="D6635" s="31"/>
      <c r="E6635" s="32"/>
      <c r="F6635" s="42" t="s">
        <v>416</v>
      </c>
      <c r="G6635" s="30" t="str">
        <f t="shared" si="658"/>
        <v/>
      </c>
      <c r="H6635" s="34"/>
      <c r="I6635" s="30"/>
      <c r="J6635" s="152">
        <v>0</v>
      </c>
      <c r="L6635" s="219"/>
      <c r="M6635" s="42"/>
      <c r="N6635" s="30" t="str">
        <f t="shared" si="659"/>
        <v/>
      </c>
      <c r="O6635" s="34"/>
      <c r="P6635" s="36" t="str">
        <f t="shared" si="660"/>
        <v/>
      </c>
      <c r="Q6635" s="216" t="str">
        <f t="shared" si="661"/>
        <v/>
      </c>
      <c r="R6635" s="216" t="str">
        <f t="shared" si="662"/>
        <v/>
      </c>
      <c r="S6635" s="217" t="str">
        <f t="shared" si="663"/>
        <v/>
      </c>
    </row>
    <row r="6636" spans="1:19" ht="26.25" hidden="1" thickBot="1" x14ac:dyDescent="0.3">
      <c r="A6636" s="262"/>
      <c r="B6636" s="260"/>
      <c r="C6636" s="35" t="s">
        <v>8352</v>
      </c>
      <c r="D6636" s="35" t="s">
        <v>213</v>
      </c>
      <c r="E6636" s="36">
        <v>1</v>
      </c>
      <c r="F6636" s="30">
        <v>23.588499999999996</v>
      </c>
      <c r="G6636" s="30">
        <f t="shared" si="658"/>
        <v>23.588499999999996</v>
      </c>
      <c r="H6636" s="38">
        <f>SUM(G6636:G6636)</f>
        <v>23.588499999999996</v>
      </c>
      <c r="I6636" s="39"/>
      <c r="J6636" s="152">
        <v>0</v>
      </c>
      <c r="L6636" s="215">
        <v>1</v>
      </c>
      <c r="M6636" s="30">
        <v>20.191755999999998</v>
      </c>
      <c r="N6636" s="30">
        <f t="shared" si="659"/>
        <v>20.191755999999998</v>
      </c>
      <c r="O6636" s="38">
        <f>SUM(N6636:N6636)</f>
        <v>20.191755999999998</v>
      </c>
      <c r="P6636" s="36" t="str">
        <f t="shared" si="660"/>
        <v/>
      </c>
      <c r="Q6636" s="216">
        <f t="shared" si="661"/>
        <v>0.14399999999999991</v>
      </c>
      <c r="R6636" s="216">
        <f t="shared" si="662"/>
        <v>0.14399999999999991</v>
      </c>
      <c r="S6636" s="217">
        <f t="shared" si="663"/>
        <v>0.14399999999999991</v>
      </c>
    </row>
    <row r="6637" spans="1:19" ht="15.75" hidden="1" thickBot="1" x14ac:dyDescent="0.3">
      <c r="A6637" s="263"/>
      <c r="B6637" s="261"/>
      <c r="C6637" s="54"/>
      <c r="D6637" s="54"/>
      <c r="E6637" s="65"/>
      <c r="F6637" s="66" t="s">
        <v>416</v>
      </c>
      <c r="G6637" s="66" t="str">
        <f t="shared" si="658"/>
        <v/>
      </c>
      <c r="H6637" s="68"/>
      <c r="I6637" s="30"/>
      <c r="J6637" s="152">
        <v>0</v>
      </c>
      <c r="L6637" s="222"/>
      <c r="M6637" s="66"/>
      <c r="N6637" s="66" t="str">
        <f t="shared" si="659"/>
        <v/>
      </c>
      <c r="O6637" s="68"/>
      <c r="P6637" s="36" t="str">
        <f t="shared" si="660"/>
        <v/>
      </c>
      <c r="Q6637" s="216" t="str">
        <f t="shared" si="661"/>
        <v/>
      </c>
      <c r="R6637" s="216" t="str">
        <f t="shared" si="662"/>
        <v/>
      </c>
      <c r="S6637" s="217" t="str">
        <f t="shared" si="663"/>
        <v/>
      </c>
    </row>
    <row r="6638" spans="1:19" ht="15.75" hidden="1" thickBot="1" x14ac:dyDescent="0.3">
      <c r="A6638" s="256" t="s">
        <v>6024</v>
      </c>
      <c r="B6638" s="259" t="str">
        <f>INDEX(Orçamentária!A:B,MATCH(Composições!A6638,Orçamentária!A:A,0),2)</f>
        <v>Registro Esfera PVC VS Roscável 1 1/2”</v>
      </c>
      <c r="C6638" s="40"/>
      <c r="D6638" s="25" t="s">
        <v>16</v>
      </c>
      <c r="E6638" s="26"/>
      <c r="F6638" s="41" t="s">
        <v>416</v>
      </c>
      <c r="G6638" s="27" t="str">
        <f t="shared" si="658"/>
        <v/>
      </c>
      <c r="H6638" s="28"/>
      <c r="I6638" s="29"/>
      <c r="J6638" s="152">
        <v>0</v>
      </c>
      <c r="L6638" s="218"/>
      <c r="M6638" s="41"/>
      <c r="N6638" s="27" t="str">
        <f t="shared" si="659"/>
        <v/>
      </c>
      <c r="O6638" s="28"/>
      <c r="P6638" s="36" t="str">
        <f t="shared" si="660"/>
        <v/>
      </c>
      <c r="Q6638" s="216" t="str">
        <f t="shared" si="661"/>
        <v/>
      </c>
      <c r="R6638" s="216" t="str">
        <f t="shared" si="662"/>
        <v/>
      </c>
      <c r="S6638" s="217" t="str">
        <f t="shared" si="663"/>
        <v/>
      </c>
    </row>
    <row r="6639" spans="1:19" ht="15.75" hidden="1" thickBot="1" x14ac:dyDescent="0.3">
      <c r="A6639" s="262"/>
      <c r="B6639" s="260"/>
      <c r="C6639" s="31"/>
      <c r="D6639" s="31"/>
      <c r="E6639" s="32"/>
      <c r="F6639" s="42" t="s">
        <v>416</v>
      </c>
      <c r="G6639" s="30" t="str">
        <f t="shared" si="658"/>
        <v/>
      </c>
      <c r="H6639" s="34"/>
      <c r="I6639" s="30"/>
      <c r="J6639" s="152">
        <v>0</v>
      </c>
      <c r="L6639" s="219"/>
      <c r="M6639" s="42"/>
      <c r="N6639" s="30" t="str">
        <f t="shared" si="659"/>
        <v/>
      </c>
      <c r="O6639" s="34"/>
      <c r="P6639" s="36" t="str">
        <f t="shared" si="660"/>
        <v/>
      </c>
      <c r="Q6639" s="216" t="str">
        <f t="shared" si="661"/>
        <v/>
      </c>
      <c r="R6639" s="216" t="str">
        <f t="shared" si="662"/>
        <v/>
      </c>
      <c r="S6639" s="217" t="str">
        <f t="shared" si="663"/>
        <v/>
      </c>
    </row>
    <row r="6640" spans="1:19" ht="26.25" hidden="1" thickBot="1" x14ac:dyDescent="0.3">
      <c r="A6640" s="262"/>
      <c r="B6640" s="260"/>
      <c r="C6640" s="35" t="s">
        <v>8351</v>
      </c>
      <c r="D6640" s="35" t="s">
        <v>213</v>
      </c>
      <c r="E6640" s="36">
        <v>1</v>
      </c>
      <c r="F6640" s="30">
        <v>64.656999999999996</v>
      </c>
      <c r="G6640" s="30">
        <f t="shared" si="658"/>
        <v>64.656999999999996</v>
      </c>
      <c r="H6640" s="38">
        <f>SUM(G6640:G6640)</f>
        <v>64.656999999999996</v>
      </c>
      <c r="I6640" s="39"/>
      <c r="J6640" s="152">
        <v>0</v>
      </c>
      <c r="L6640" s="215">
        <v>1</v>
      </c>
      <c r="M6640" s="30">
        <v>55.346391999999994</v>
      </c>
      <c r="N6640" s="30">
        <f t="shared" si="659"/>
        <v>55.346391999999994</v>
      </c>
      <c r="O6640" s="38">
        <f>SUM(N6640:N6640)</f>
        <v>55.346391999999994</v>
      </c>
      <c r="P6640" s="36" t="str">
        <f t="shared" si="660"/>
        <v/>
      </c>
      <c r="Q6640" s="216">
        <f t="shared" si="661"/>
        <v>0.14400000000000002</v>
      </c>
      <c r="R6640" s="216">
        <f t="shared" si="662"/>
        <v>0.14400000000000002</v>
      </c>
      <c r="S6640" s="217">
        <f t="shared" si="663"/>
        <v>0.14400000000000002</v>
      </c>
    </row>
    <row r="6641" spans="1:19" ht="15.75" hidden="1" thickBot="1" x14ac:dyDescent="0.3">
      <c r="A6641" s="263"/>
      <c r="B6641" s="261"/>
      <c r="C6641" s="54"/>
      <c r="D6641" s="54"/>
      <c r="E6641" s="65"/>
      <c r="F6641" s="66" t="s">
        <v>416</v>
      </c>
      <c r="G6641" s="66" t="str">
        <f t="shared" si="658"/>
        <v/>
      </c>
      <c r="H6641" s="68"/>
      <c r="I6641" s="30"/>
      <c r="J6641" s="152">
        <v>0</v>
      </c>
      <c r="L6641" s="222"/>
      <c r="M6641" s="66"/>
      <c r="N6641" s="66" t="str">
        <f t="shared" si="659"/>
        <v/>
      </c>
      <c r="O6641" s="68"/>
      <c r="P6641" s="36" t="str">
        <f t="shared" si="660"/>
        <v/>
      </c>
      <c r="Q6641" s="216" t="str">
        <f t="shared" si="661"/>
        <v/>
      </c>
      <c r="R6641" s="216" t="str">
        <f t="shared" si="662"/>
        <v/>
      </c>
      <c r="S6641" s="217" t="str">
        <f t="shared" si="663"/>
        <v/>
      </c>
    </row>
    <row r="6642" spans="1:19" ht="15.75" hidden="1" thickBot="1" x14ac:dyDescent="0.3">
      <c r="A6642" s="256" t="s">
        <v>6026</v>
      </c>
      <c r="B6642" s="259" t="str">
        <f>INDEX(Orçamentária!A:B,MATCH(Composições!A6642,Orçamentária!A:A,0),2)</f>
        <v>Registro Esfera PVC VS Soldável 60 mm</v>
      </c>
      <c r="C6642" s="40"/>
      <c r="D6642" s="25" t="s">
        <v>16</v>
      </c>
      <c r="E6642" s="26"/>
      <c r="F6642" s="41" t="s">
        <v>416</v>
      </c>
      <c r="G6642" s="27" t="str">
        <f t="shared" ref="G6642:G6705" si="664">IF(ISNUMBER(F6642),E6642*F6642,"")</f>
        <v/>
      </c>
      <c r="H6642" s="28"/>
      <c r="I6642" s="29"/>
      <c r="J6642" s="152">
        <v>0</v>
      </c>
      <c r="L6642" s="218"/>
      <c r="M6642" s="41"/>
      <c r="N6642" s="27" t="str">
        <f t="shared" ref="N6642:N6705" si="665">IF(ISNUMBER(M6642),L6642*M6642,"")</f>
        <v/>
      </c>
      <c r="O6642" s="28"/>
      <c r="P6642" s="36" t="str">
        <f t="shared" si="660"/>
        <v/>
      </c>
      <c r="Q6642" s="216" t="str">
        <f t="shared" si="661"/>
        <v/>
      </c>
      <c r="R6642" s="216" t="str">
        <f t="shared" si="662"/>
        <v/>
      </c>
      <c r="S6642" s="217" t="str">
        <f t="shared" si="663"/>
        <v/>
      </c>
    </row>
    <row r="6643" spans="1:19" ht="15.75" hidden="1" thickBot="1" x14ac:dyDescent="0.3">
      <c r="A6643" s="262"/>
      <c r="B6643" s="260"/>
      <c r="C6643" s="31"/>
      <c r="D6643" s="31"/>
      <c r="E6643" s="32"/>
      <c r="F6643" s="42" t="s">
        <v>416</v>
      </c>
      <c r="G6643" s="30" t="str">
        <f t="shared" si="664"/>
        <v/>
      </c>
      <c r="H6643" s="34"/>
      <c r="I6643" s="30"/>
      <c r="J6643" s="152">
        <v>0</v>
      </c>
      <c r="L6643" s="219"/>
      <c r="M6643" s="42"/>
      <c r="N6643" s="30" t="str">
        <f t="shared" si="665"/>
        <v/>
      </c>
      <c r="O6643" s="34"/>
      <c r="P6643" s="36" t="str">
        <f t="shared" si="660"/>
        <v/>
      </c>
      <c r="Q6643" s="216" t="str">
        <f t="shared" si="661"/>
        <v/>
      </c>
      <c r="R6643" s="216" t="str">
        <f t="shared" si="662"/>
        <v/>
      </c>
      <c r="S6643" s="217" t="str">
        <f t="shared" si="663"/>
        <v/>
      </c>
    </row>
    <row r="6644" spans="1:19" ht="26.25" hidden="1" thickBot="1" x14ac:dyDescent="0.3">
      <c r="A6644" s="262"/>
      <c r="B6644" s="260"/>
      <c r="C6644" s="35" t="s">
        <v>8353</v>
      </c>
      <c r="D6644" s="35" t="s">
        <v>213</v>
      </c>
      <c r="E6644" s="36">
        <v>1</v>
      </c>
      <c r="F6644" s="30">
        <v>115.10199999999999</v>
      </c>
      <c r="G6644" s="30">
        <f t="shared" si="664"/>
        <v>115.10199999999999</v>
      </c>
      <c r="H6644" s="38">
        <f>SUM(G6644:G6644)</f>
        <v>115.10199999999999</v>
      </c>
      <c r="I6644" s="39"/>
      <c r="J6644" s="152">
        <v>0</v>
      </c>
      <c r="L6644" s="215">
        <v>1</v>
      </c>
      <c r="M6644" s="30">
        <v>98.527311999999995</v>
      </c>
      <c r="N6644" s="30">
        <f t="shared" si="665"/>
        <v>98.527311999999995</v>
      </c>
      <c r="O6644" s="38">
        <f>SUM(N6644:N6644)</f>
        <v>98.527311999999995</v>
      </c>
      <c r="P6644" s="36" t="str">
        <f t="shared" si="660"/>
        <v/>
      </c>
      <c r="Q6644" s="216">
        <f t="shared" si="661"/>
        <v>0.14400000000000002</v>
      </c>
      <c r="R6644" s="216">
        <f t="shared" si="662"/>
        <v>0.14400000000000002</v>
      </c>
      <c r="S6644" s="217">
        <f t="shared" si="663"/>
        <v>0.14400000000000002</v>
      </c>
    </row>
    <row r="6645" spans="1:19" ht="15.75" hidden="1" thickBot="1" x14ac:dyDescent="0.3">
      <c r="A6645" s="263"/>
      <c r="B6645" s="261"/>
      <c r="C6645" s="54"/>
      <c r="D6645" s="54"/>
      <c r="E6645" s="65"/>
      <c r="F6645" s="66" t="s">
        <v>416</v>
      </c>
      <c r="G6645" s="66" t="str">
        <f t="shared" si="664"/>
        <v/>
      </c>
      <c r="H6645" s="68"/>
      <c r="I6645" s="30"/>
      <c r="J6645" s="152">
        <v>0</v>
      </c>
      <c r="L6645" s="222"/>
      <c r="M6645" s="66"/>
      <c r="N6645" s="66" t="str">
        <f t="shared" si="665"/>
        <v/>
      </c>
      <c r="O6645" s="68"/>
      <c r="P6645" s="36" t="str">
        <f t="shared" si="660"/>
        <v/>
      </c>
      <c r="Q6645" s="216" t="str">
        <f t="shared" si="661"/>
        <v/>
      </c>
      <c r="R6645" s="216" t="str">
        <f t="shared" si="662"/>
        <v/>
      </c>
      <c r="S6645" s="217" t="str">
        <f t="shared" si="663"/>
        <v/>
      </c>
    </row>
    <row r="6646" spans="1:19" ht="15.75" hidden="1" thickBot="1" x14ac:dyDescent="0.3">
      <c r="A6646" s="256" t="s">
        <v>6027</v>
      </c>
      <c r="B6646" s="259" t="str">
        <f>INDEX(Orçamentária!A:B,MATCH(Composições!A6646,Orçamentária!A:A,0),2)</f>
        <v>Registro para Hidrante 2 1/2”</v>
      </c>
      <c r="C6646" s="40"/>
      <c r="D6646" s="25" t="s">
        <v>16</v>
      </c>
      <c r="E6646" s="26"/>
      <c r="F6646" s="41" t="s">
        <v>416</v>
      </c>
      <c r="G6646" s="27" t="str">
        <f t="shared" si="664"/>
        <v/>
      </c>
      <c r="H6646" s="28"/>
      <c r="I6646" s="29"/>
      <c r="J6646" s="152">
        <v>0</v>
      </c>
      <c r="L6646" s="218"/>
      <c r="M6646" s="41"/>
      <c r="N6646" s="27" t="str">
        <f t="shared" si="665"/>
        <v/>
      </c>
      <c r="O6646" s="28"/>
      <c r="P6646" s="36" t="str">
        <f t="shared" si="660"/>
        <v/>
      </c>
      <c r="Q6646" s="216" t="str">
        <f t="shared" si="661"/>
        <v/>
      </c>
      <c r="R6646" s="216" t="str">
        <f t="shared" si="662"/>
        <v/>
      </c>
      <c r="S6646" s="217" t="str">
        <f t="shared" si="663"/>
        <v/>
      </c>
    </row>
    <row r="6647" spans="1:19" ht="15.75" hidden="1" thickBot="1" x14ac:dyDescent="0.3">
      <c r="A6647" s="262"/>
      <c r="B6647" s="260"/>
      <c r="C6647" s="31"/>
      <c r="D6647" s="31"/>
      <c r="E6647" s="32"/>
      <c r="F6647" s="42" t="s">
        <v>416</v>
      </c>
      <c r="G6647" s="30" t="str">
        <f t="shared" si="664"/>
        <v/>
      </c>
      <c r="H6647" s="34"/>
      <c r="I6647" s="30"/>
      <c r="J6647" s="152">
        <v>0</v>
      </c>
      <c r="L6647" s="219"/>
      <c r="M6647" s="42"/>
      <c r="N6647" s="30" t="str">
        <f t="shared" si="665"/>
        <v/>
      </c>
      <c r="O6647" s="34"/>
      <c r="P6647" s="36" t="str">
        <f t="shared" si="660"/>
        <v/>
      </c>
      <c r="Q6647" s="216" t="str">
        <f t="shared" si="661"/>
        <v/>
      </c>
      <c r="R6647" s="216" t="str">
        <f t="shared" si="662"/>
        <v/>
      </c>
      <c r="S6647" s="217" t="str">
        <f t="shared" si="663"/>
        <v/>
      </c>
    </row>
    <row r="6648" spans="1:19" ht="51.75" hidden="1" thickBot="1" x14ac:dyDescent="0.3">
      <c r="A6648" s="262"/>
      <c r="B6648" s="260"/>
      <c r="C6648" s="35" t="s">
        <v>8363</v>
      </c>
      <c r="D6648" s="35" t="s">
        <v>213</v>
      </c>
      <c r="E6648" s="36">
        <v>1</v>
      </c>
      <c r="F6648" s="30">
        <v>171</v>
      </c>
      <c r="G6648" s="30">
        <f t="shared" si="664"/>
        <v>171</v>
      </c>
      <c r="H6648" s="38">
        <f>SUM(G6648:G6648)</f>
        <v>171</v>
      </c>
      <c r="I6648" s="39"/>
      <c r="J6648" s="152">
        <v>0</v>
      </c>
      <c r="L6648" s="215">
        <v>1</v>
      </c>
      <c r="M6648" s="30">
        <v>146.376</v>
      </c>
      <c r="N6648" s="30">
        <f t="shared" si="665"/>
        <v>146.376</v>
      </c>
      <c r="O6648" s="38">
        <f>SUM(N6648:N6648)</f>
        <v>146.376</v>
      </c>
      <c r="P6648" s="36" t="str">
        <f t="shared" si="660"/>
        <v/>
      </c>
      <c r="Q6648" s="216">
        <f t="shared" si="661"/>
        <v>0.14400000000000002</v>
      </c>
      <c r="R6648" s="216">
        <f t="shared" si="662"/>
        <v>0.14400000000000002</v>
      </c>
      <c r="S6648" s="217">
        <f t="shared" si="663"/>
        <v>0.14400000000000002</v>
      </c>
    </row>
    <row r="6649" spans="1:19" ht="15.75" hidden="1" thickBot="1" x14ac:dyDescent="0.3">
      <c r="A6649" s="263"/>
      <c r="B6649" s="261"/>
      <c r="C6649" s="54"/>
      <c r="D6649" s="54"/>
      <c r="E6649" s="65"/>
      <c r="F6649" s="66" t="s">
        <v>416</v>
      </c>
      <c r="G6649" s="66" t="str">
        <f t="shared" si="664"/>
        <v/>
      </c>
      <c r="H6649" s="68"/>
      <c r="I6649" s="30"/>
      <c r="J6649" s="152">
        <v>0</v>
      </c>
      <c r="L6649" s="222"/>
      <c r="M6649" s="66"/>
      <c r="N6649" s="66" t="str">
        <f t="shared" si="665"/>
        <v/>
      </c>
      <c r="O6649" s="68"/>
      <c r="P6649" s="36" t="str">
        <f t="shared" si="660"/>
        <v/>
      </c>
      <c r="Q6649" s="216" t="str">
        <f t="shared" si="661"/>
        <v/>
      </c>
      <c r="R6649" s="216" t="str">
        <f t="shared" si="662"/>
        <v/>
      </c>
      <c r="S6649" s="217" t="str">
        <f t="shared" si="663"/>
        <v/>
      </c>
    </row>
    <row r="6650" spans="1:19" ht="15.75" hidden="1" thickBot="1" x14ac:dyDescent="0.3">
      <c r="A6650" s="256" t="s">
        <v>6064</v>
      </c>
      <c r="B6650" s="259" t="str">
        <f>INDEX(Orçamentária!A:B,MATCH(Composições!A6650,Orçamentária!A:A,0),2)</f>
        <v>Terminal de Ventilação PVC - 100 mm</v>
      </c>
      <c r="C6650" s="40"/>
      <c r="D6650" s="25" t="s">
        <v>16</v>
      </c>
      <c r="E6650" s="26"/>
      <c r="F6650" s="41" t="s">
        <v>416</v>
      </c>
      <c r="G6650" s="27" t="str">
        <f t="shared" si="664"/>
        <v/>
      </c>
      <c r="H6650" s="28"/>
      <c r="I6650" s="29"/>
      <c r="J6650" s="152">
        <v>0</v>
      </c>
      <c r="L6650" s="218"/>
      <c r="M6650" s="41"/>
      <c r="N6650" s="27" t="str">
        <f t="shared" si="665"/>
        <v/>
      </c>
      <c r="O6650" s="28"/>
      <c r="P6650" s="36" t="str">
        <f t="shared" si="660"/>
        <v/>
      </c>
      <c r="Q6650" s="216" t="str">
        <f t="shared" si="661"/>
        <v/>
      </c>
      <c r="R6650" s="216" t="str">
        <f t="shared" si="662"/>
        <v/>
      </c>
      <c r="S6650" s="217" t="str">
        <f t="shared" si="663"/>
        <v/>
      </c>
    </row>
    <row r="6651" spans="1:19" ht="15.75" hidden="1" thickBot="1" x14ac:dyDescent="0.3">
      <c r="A6651" s="262"/>
      <c r="B6651" s="260"/>
      <c r="C6651" s="31"/>
      <c r="D6651" s="31"/>
      <c r="E6651" s="32"/>
      <c r="F6651" s="42" t="s">
        <v>416</v>
      </c>
      <c r="G6651" s="30" t="str">
        <f t="shared" si="664"/>
        <v/>
      </c>
      <c r="H6651" s="34"/>
      <c r="I6651" s="30"/>
      <c r="J6651" s="152">
        <v>0</v>
      </c>
      <c r="L6651" s="219"/>
      <c r="M6651" s="42"/>
      <c r="N6651" s="30" t="str">
        <f t="shared" si="665"/>
        <v/>
      </c>
      <c r="O6651" s="34"/>
      <c r="P6651" s="36" t="str">
        <f t="shared" si="660"/>
        <v/>
      </c>
      <c r="Q6651" s="216" t="str">
        <f t="shared" si="661"/>
        <v/>
      </c>
      <c r="R6651" s="216" t="str">
        <f t="shared" si="662"/>
        <v/>
      </c>
      <c r="S6651" s="217" t="str">
        <f t="shared" si="663"/>
        <v/>
      </c>
    </row>
    <row r="6652" spans="1:19" ht="26.25" hidden="1" thickBot="1" x14ac:dyDescent="0.3">
      <c r="A6652" s="262"/>
      <c r="B6652" s="260"/>
      <c r="C6652" s="35" t="s">
        <v>8433</v>
      </c>
      <c r="D6652" s="35" t="s">
        <v>213</v>
      </c>
      <c r="E6652" s="36">
        <v>1</v>
      </c>
      <c r="F6652" s="30">
        <v>21.555499999999999</v>
      </c>
      <c r="G6652" s="30">
        <f t="shared" si="664"/>
        <v>21.555499999999999</v>
      </c>
      <c r="H6652" s="38">
        <f>SUM(G6652:G6652)</f>
        <v>21.555499999999999</v>
      </c>
      <c r="I6652" s="39"/>
      <c r="J6652" s="152">
        <v>0</v>
      </c>
      <c r="L6652" s="215">
        <v>1</v>
      </c>
      <c r="M6652" s="30">
        <v>18.451508</v>
      </c>
      <c r="N6652" s="30">
        <f t="shared" si="665"/>
        <v>18.451508</v>
      </c>
      <c r="O6652" s="38">
        <f>SUM(N6652:N6652)</f>
        <v>18.451508</v>
      </c>
      <c r="P6652" s="36" t="str">
        <f t="shared" si="660"/>
        <v/>
      </c>
      <c r="Q6652" s="216">
        <f t="shared" si="661"/>
        <v>0.14399999999999991</v>
      </c>
      <c r="R6652" s="216">
        <f t="shared" si="662"/>
        <v>0.14399999999999991</v>
      </c>
      <c r="S6652" s="217">
        <f t="shared" si="663"/>
        <v>0.14399999999999991</v>
      </c>
    </row>
    <row r="6653" spans="1:19" ht="15.75" hidden="1" thickBot="1" x14ac:dyDescent="0.3">
      <c r="A6653" s="263"/>
      <c r="B6653" s="261"/>
      <c r="C6653" s="54"/>
      <c r="D6653" s="54"/>
      <c r="E6653" s="65"/>
      <c r="F6653" s="66" t="s">
        <v>416</v>
      </c>
      <c r="G6653" s="66" t="str">
        <f t="shared" si="664"/>
        <v/>
      </c>
      <c r="H6653" s="68"/>
      <c r="I6653" s="30"/>
      <c r="J6653" s="152">
        <v>0</v>
      </c>
      <c r="L6653" s="222"/>
      <c r="M6653" s="66"/>
      <c r="N6653" s="66" t="str">
        <f t="shared" si="665"/>
        <v/>
      </c>
      <c r="O6653" s="68"/>
      <c r="P6653" s="36" t="str">
        <f t="shared" si="660"/>
        <v/>
      </c>
      <c r="Q6653" s="216" t="str">
        <f t="shared" si="661"/>
        <v/>
      </c>
      <c r="R6653" s="216" t="str">
        <f t="shared" si="662"/>
        <v/>
      </c>
      <c r="S6653" s="217" t="str">
        <f t="shared" si="663"/>
        <v/>
      </c>
    </row>
    <row r="6654" spans="1:19" ht="15.75" hidden="1" thickBot="1" x14ac:dyDescent="0.3">
      <c r="A6654" s="256" t="s">
        <v>6066</v>
      </c>
      <c r="B6654" s="259" t="str">
        <f>INDEX(Orçamentária!A:B,MATCH(Composições!A6654,Orçamentária!A:A,0),2)</f>
        <v>Terminal de Ventilação PVC - 50 mm</v>
      </c>
      <c r="C6654" s="40"/>
      <c r="D6654" s="25" t="s">
        <v>16</v>
      </c>
      <c r="E6654" s="26"/>
      <c r="F6654" s="41" t="s">
        <v>416</v>
      </c>
      <c r="G6654" s="27" t="str">
        <f t="shared" si="664"/>
        <v/>
      </c>
      <c r="H6654" s="28"/>
      <c r="I6654" s="29"/>
      <c r="J6654" s="152">
        <v>0</v>
      </c>
      <c r="L6654" s="218"/>
      <c r="M6654" s="41"/>
      <c r="N6654" s="27" t="str">
        <f t="shared" si="665"/>
        <v/>
      </c>
      <c r="O6654" s="28"/>
      <c r="P6654" s="36" t="str">
        <f t="shared" si="660"/>
        <v/>
      </c>
      <c r="Q6654" s="216" t="str">
        <f t="shared" si="661"/>
        <v/>
      </c>
      <c r="R6654" s="216" t="str">
        <f t="shared" si="662"/>
        <v/>
      </c>
      <c r="S6654" s="217" t="str">
        <f t="shared" si="663"/>
        <v/>
      </c>
    </row>
    <row r="6655" spans="1:19" ht="15.75" hidden="1" thickBot="1" x14ac:dyDescent="0.3">
      <c r="A6655" s="262"/>
      <c r="B6655" s="260"/>
      <c r="C6655" s="31"/>
      <c r="D6655" s="31"/>
      <c r="E6655" s="32"/>
      <c r="F6655" s="42" t="s">
        <v>416</v>
      </c>
      <c r="G6655" s="30" t="str">
        <f t="shared" si="664"/>
        <v/>
      </c>
      <c r="H6655" s="34"/>
      <c r="I6655" s="30"/>
      <c r="J6655" s="152">
        <v>0</v>
      </c>
      <c r="L6655" s="219"/>
      <c r="M6655" s="42"/>
      <c r="N6655" s="30" t="str">
        <f t="shared" si="665"/>
        <v/>
      </c>
      <c r="O6655" s="34"/>
      <c r="P6655" s="36" t="str">
        <f t="shared" si="660"/>
        <v/>
      </c>
      <c r="Q6655" s="216" t="str">
        <f t="shared" si="661"/>
        <v/>
      </c>
      <c r="R6655" s="216" t="str">
        <f t="shared" si="662"/>
        <v/>
      </c>
      <c r="S6655" s="217" t="str">
        <f t="shared" si="663"/>
        <v/>
      </c>
    </row>
    <row r="6656" spans="1:19" ht="26.25" hidden="1" thickBot="1" x14ac:dyDescent="0.3">
      <c r="A6656" s="262"/>
      <c r="B6656" s="260"/>
      <c r="C6656" s="35" t="s">
        <v>8434</v>
      </c>
      <c r="D6656" s="35" t="s">
        <v>213</v>
      </c>
      <c r="E6656" s="36">
        <v>1</v>
      </c>
      <c r="F6656" s="30">
        <v>8.968</v>
      </c>
      <c r="G6656" s="30">
        <f t="shared" si="664"/>
        <v>8.968</v>
      </c>
      <c r="H6656" s="38">
        <f>SUM(G6656:G6656)</f>
        <v>8.968</v>
      </c>
      <c r="I6656" s="39"/>
      <c r="J6656" s="152">
        <v>0</v>
      </c>
      <c r="L6656" s="215">
        <v>1</v>
      </c>
      <c r="M6656" s="30">
        <v>7.6766079999999999</v>
      </c>
      <c r="N6656" s="30">
        <f t="shared" si="665"/>
        <v>7.6766079999999999</v>
      </c>
      <c r="O6656" s="38">
        <f>SUM(N6656:N6656)</f>
        <v>7.6766079999999999</v>
      </c>
      <c r="P6656" s="36" t="str">
        <f t="shared" si="660"/>
        <v/>
      </c>
      <c r="Q6656" s="216">
        <f t="shared" si="661"/>
        <v>0.14400000000000002</v>
      </c>
      <c r="R6656" s="216">
        <f t="shared" si="662"/>
        <v>0.14400000000000002</v>
      </c>
      <c r="S6656" s="217">
        <f t="shared" si="663"/>
        <v>0.14400000000000002</v>
      </c>
    </row>
    <row r="6657" spans="1:19" ht="15.75" hidden="1" thickBot="1" x14ac:dyDescent="0.3">
      <c r="A6657" s="263"/>
      <c r="B6657" s="261"/>
      <c r="C6657" s="54"/>
      <c r="D6657" s="54"/>
      <c r="E6657" s="65"/>
      <c r="F6657" s="66" t="s">
        <v>416</v>
      </c>
      <c r="G6657" s="66" t="str">
        <f t="shared" si="664"/>
        <v/>
      </c>
      <c r="H6657" s="68"/>
      <c r="I6657" s="30"/>
      <c r="J6657" s="152">
        <v>0</v>
      </c>
      <c r="L6657" s="222"/>
      <c r="M6657" s="66"/>
      <c r="N6657" s="66" t="str">
        <f t="shared" si="665"/>
        <v/>
      </c>
      <c r="O6657" s="68"/>
      <c r="P6657" s="36" t="str">
        <f t="shared" si="660"/>
        <v/>
      </c>
      <c r="Q6657" s="216" t="str">
        <f t="shared" si="661"/>
        <v/>
      </c>
      <c r="R6657" s="216" t="str">
        <f t="shared" si="662"/>
        <v/>
      </c>
      <c r="S6657" s="217" t="str">
        <f t="shared" si="663"/>
        <v/>
      </c>
    </row>
    <row r="6658" spans="1:19" ht="15.75" hidden="1" thickBot="1" x14ac:dyDescent="0.3">
      <c r="A6658" s="256" t="s">
        <v>6068</v>
      </c>
      <c r="B6658" s="259" t="str">
        <f>INDEX(Orçamentária!A:B,MATCH(Composições!A6658,Orçamentária!A:A,0),2)</f>
        <v>Terminal de Ventilação PVC - 75 mm</v>
      </c>
      <c r="C6658" s="40"/>
      <c r="D6658" s="25" t="s">
        <v>16</v>
      </c>
      <c r="E6658" s="26"/>
      <c r="F6658" s="41" t="s">
        <v>416</v>
      </c>
      <c r="G6658" s="27" t="str">
        <f t="shared" si="664"/>
        <v/>
      </c>
      <c r="H6658" s="28"/>
      <c r="I6658" s="29"/>
      <c r="J6658" s="152">
        <v>0</v>
      </c>
      <c r="L6658" s="218"/>
      <c r="M6658" s="41"/>
      <c r="N6658" s="27" t="str">
        <f t="shared" si="665"/>
        <v/>
      </c>
      <c r="O6658" s="28"/>
      <c r="P6658" s="36" t="str">
        <f t="shared" si="660"/>
        <v/>
      </c>
      <c r="Q6658" s="216" t="str">
        <f t="shared" si="661"/>
        <v/>
      </c>
      <c r="R6658" s="216" t="str">
        <f t="shared" si="662"/>
        <v/>
      </c>
      <c r="S6658" s="217" t="str">
        <f t="shared" si="663"/>
        <v/>
      </c>
    </row>
    <row r="6659" spans="1:19" ht="15.75" hidden="1" thickBot="1" x14ac:dyDescent="0.3">
      <c r="A6659" s="262"/>
      <c r="B6659" s="260"/>
      <c r="C6659" s="31"/>
      <c r="D6659" s="31"/>
      <c r="E6659" s="32"/>
      <c r="F6659" s="42" t="s">
        <v>416</v>
      </c>
      <c r="G6659" s="30" t="str">
        <f t="shared" si="664"/>
        <v/>
      </c>
      <c r="H6659" s="34"/>
      <c r="I6659" s="30"/>
      <c r="J6659" s="152">
        <v>0</v>
      </c>
      <c r="L6659" s="219"/>
      <c r="M6659" s="42"/>
      <c r="N6659" s="30" t="str">
        <f t="shared" si="665"/>
        <v/>
      </c>
      <c r="O6659" s="34"/>
      <c r="P6659" s="36" t="str">
        <f t="shared" si="660"/>
        <v/>
      </c>
      <c r="Q6659" s="216" t="str">
        <f t="shared" si="661"/>
        <v/>
      </c>
      <c r="R6659" s="216" t="str">
        <f t="shared" si="662"/>
        <v/>
      </c>
      <c r="S6659" s="217" t="str">
        <f t="shared" si="663"/>
        <v/>
      </c>
    </row>
    <row r="6660" spans="1:19" ht="26.25" hidden="1" thickBot="1" x14ac:dyDescent="0.3">
      <c r="A6660" s="262"/>
      <c r="B6660" s="260"/>
      <c r="C6660" s="35" t="s">
        <v>8435</v>
      </c>
      <c r="D6660" s="35" t="s">
        <v>213</v>
      </c>
      <c r="E6660" s="36">
        <v>1</v>
      </c>
      <c r="F6660" s="30">
        <v>17.242499999999996</v>
      </c>
      <c r="G6660" s="30">
        <f t="shared" si="664"/>
        <v>17.242499999999996</v>
      </c>
      <c r="H6660" s="38">
        <f>SUM(G6660:G6660)</f>
        <v>17.242499999999996</v>
      </c>
      <c r="I6660" s="39"/>
      <c r="J6660" s="152">
        <v>0</v>
      </c>
      <c r="L6660" s="215">
        <v>1</v>
      </c>
      <c r="M6660" s="30">
        <v>14.759579999999996</v>
      </c>
      <c r="N6660" s="30">
        <f t="shared" si="665"/>
        <v>14.759579999999996</v>
      </c>
      <c r="O6660" s="38">
        <f>SUM(N6660:N6660)</f>
        <v>14.759579999999996</v>
      </c>
      <c r="P6660" s="36" t="str">
        <f t="shared" si="660"/>
        <v/>
      </c>
      <c r="Q6660" s="216">
        <f t="shared" si="661"/>
        <v>0.14400000000000002</v>
      </c>
      <c r="R6660" s="216">
        <f t="shared" si="662"/>
        <v>0.14400000000000002</v>
      </c>
      <c r="S6660" s="217">
        <f t="shared" si="663"/>
        <v>0.14400000000000002</v>
      </c>
    </row>
    <row r="6661" spans="1:19" ht="15.75" hidden="1" thickBot="1" x14ac:dyDescent="0.3">
      <c r="A6661" s="263"/>
      <c r="B6661" s="261"/>
      <c r="C6661" s="54"/>
      <c r="D6661" s="54"/>
      <c r="E6661" s="65"/>
      <c r="F6661" s="66" t="s">
        <v>416</v>
      </c>
      <c r="G6661" s="66" t="str">
        <f t="shared" si="664"/>
        <v/>
      </c>
      <c r="H6661" s="68"/>
      <c r="I6661" s="30"/>
      <c r="J6661" s="152">
        <v>0</v>
      </c>
      <c r="L6661" s="222"/>
      <c r="M6661" s="66"/>
      <c r="N6661" s="66" t="str">
        <f t="shared" si="665"/>
        <v/>
      </c>
      <c r="O6661" s="68"/>
      <c r="P6661" s="36" t="str">
        <f t="shared" si="660"/>
        <v/>
      </c>
      <c r="Q6661" s="216" t="str">
        <f t="shared" si="661"/>
        <v/>
      </c>
      <c r="R6661" s="216" t="str">
        <f t="shared" si="662"/>
        <v/>
      </c>
      <c r="S6661" s="217" t="str">
        <f t="shared" si="663"/>
        <v/>
      </c>
    </row>
    <row r="6662" spans="1:19" ht="15.75" hidden="1" thickBot="1" x14ac:dyDescent="0.3">
      <c r="A6662" s="256" t="s">
        <v>6072</v>
      </c>
      <c r="B6662" s="259" t="str">
        <f>INDEX(Orçamentária!A:B,MATCH(Composições!A6662,Orçamentária!A:A,0),2)</f>
        <v>Torneira de Bóia Com Balão Plástico 1 1/2”</v>
      </c>
      <c r="C6662" s="40"/>
      <c r="D6662" s="25" t="s">
        <v>16</v>
      </c>
      <c r="E6662" s="26"/>
      <c r="F6662" s="41" t="s">
        <v>416</v>
      </c>
      <c r="G6662" s="27" t="str">
        <f t="shared" si="664"/>
        <v/>
      </c>
      <c r="H6662" s="28"/>
      <c r="I6662" s="29"/>
      <c r="J6662" s="152">
        <v>0</v>
      </c>
      <c r="L6662" s="218"/>
      <c r="M6662" s="41"/>
      <c r="N6662" s="27" t="str">
        <f t="shared" si="665"/>
        <v/>
      </c>
      <c r="O6662" s="28"/>
      <c r="P6662" s="36" t="str">
        <f t="shared" si="660"/>
        <v/>
      </c>
      <c r="Q6662" s="216" t="str">
        <f t="shared" si="661"/>
        <v/>
      </c>
      <c r="R6662" s="216" t="str">
        <f t="shared" si="662"/>
        <v/>
      </c>
      <c r="S6662" s="217" t="str">
        <f t="shared" si="663"/>
        <v/>
      </c>
    </row>
    <row r="6663" spans="1:19" ht="15.75" hidden="1" thickBot="1" x14ac:dyDescent="0.3">
      <c r="A6663" s="262"/>
      <c r="B6663" s="260"/>
      <c r="C6663" s="31"/>
      <c r="D6663" s="31"/>
      <c r="E6663" s="32"/>
      <c r="F6663" s="42" t="s">
        <v>416</v>
      </c>
      <c r="G6663" s="30" t="str">
        <f t="shared" si="664"/>
        <v/>
      </c>
      <c r="H6663" s="34"/>
      <c r="I6663" s="30"/>
      <c r="J6663" s="152">
        <v>0</v>
      </c>
      <c r="L6663" s="219"/>
      <c r="M6663" s="42"/>
      <c r="N6663" s="30" t="str">
        <f t="shared" si="665"/>
        <v/>
      </c>
      <c r="O6663" s="34"/>
      <c r="P6663" s="36" t="str">
        <f t="shared" si="660"/>
        <v/>
      </c>
      <c r="Q6663" s="216" t="str">
        <f t="shared" si="661"/>
        <v/>
      </c>
      <c r="R6663" s="216" t="str">
        <f t="shared" si="662"/>
        <v/>
      </c>
      <c r="S6663" s="217" t="str">
        <f t="shared" si="663"/>
        <v/>
      </c>
    </row>
    <row r="6664" spans="1:19" ht="39" hidden="1" thickBot="1" x14ac:dyDescent="0.3">
      <c r="A6664" s="262"/>
      <c r="B6664" s="260"/>
      <c r="C6664" s="35" t="s">
        <v>8444</v>
      </c>
      <c r="D6664" s="35" t="s">
        <v>213</v>
      </c>
      <c r="E6664" s="36">
        <v>1</v>
      </c>
      <c r="F6664" s="30">
        <v>439.60300000000001</v>
      </c>
      <c r="G6664" s="30">
        <f t="shared" si="664"/>
        <v>439.60300000000001</v>
      </c>
      <c r="H6664" s="38">
        <f>SUM(G6664:G6664)</f>
        <v>439.60300000000001</v>
      </c>
      <c r="I6664" s="39"/>
      <c r="J6664" s="152">
        <v>0</v>
      </c>
      <c r="L6664" s="215">
        <v>1</v>
      </c>
      <c r="M6664" s="30">
        <v>376.30016799999999</v>
      </c>
      <c r="N6664" s="30">
        <f t="shared" si="665"/>
        <v>376.30016799999999</v>
      </c>
      <c r="O6664" s="38">
        <f>SUM(N6664:N6664)</f>
        <v>376.30016799999999</v>
      </c>
      <c r="P6664" s="36" t="str">
        <f t="shared" ref="P6664:P6727" si="666">IF(ISBLANK(L6664),"",IF($E6664&lt;&gt;L6664,"SIM",""))</f>
        <v/>
      </c>
      <c r="Q6664" s="216">
        <f t="shared" ref="Q6664:Q6727" si="667">IF(M6664="","",1-M6664/$F6664)</f>
        <v>0.14400000000000002</v>
      </c>
      <c r="R6664" s="216">
        <f t="shared" ref="R6664:R6727" si="668">IF(N6664="","",1-N6664/$G6664)</f>
        <v>0.14400000000000002</v>
      </c>
      <c r="S6664" s="217">
        <f t="shared" ref="S6664:S6727" si="669">IF(O6664="","",1-O6664/$H6664)</f>
        <v>0.14400000000000002</v>
      </c>
    </row>
    <row r="6665" spans="1:19" ht="15.75" hidden="1" thickBot="1" x14ac:dyDescent="0.3">
      <c r="A6665" s="263"/>
      <c r="B6665" s="261"/>
      <c r="C6665" s="54"/>
      <c r="D6665" s="54"/>
      <c r="E6665" s="65"/>
      <c r="F6665" s="66" t="s">
        <v>416</v>
      </c>
      <c r="G6665" s="66" t="str">
        <f t="shared" si="664"/>
        <v/>
      </c>
      <c r="H6665" s="68"/>
      <c r="I6665" s="30"/>
      <c r="J6665" s="152">
        <v>0</v>
      </c>
      <c r="L6665" s="222"/>
      <c r="M6665" s="66"/>
      <c r="N6665" s="66" t="str">
        <f t="shared" si="665"/>
        <v/>
      </c>
      <c r="O6665" s="68"/>
      <c r="P6665" s="36" t="str">
        <f t="shared" si="666"/>
        <v/>
      </c>
      <c r="Q6665" s="216" t="str">
        <f t="shared" si="667"/>
        <v/>
      </c>
      <c r="R6665" s="216" t="str">
        <f t="shared" si="668"/>
        <v/>
      </c>
      <c r="S6665" s="217" t="str">
        <f t="shared" si="669"/>
        <v/>
      </c>
    </row>
    <row r="6666" spans="1:19" ht="15.75" hidden="1" thickBot="1" x14ac:dyDescent="0.3">
      <c r="A6666" s="256" t="s">
        <v>6074</v>
      </c>
      <c r="B6666" s="259" t="str">
        <f>INDEX(Orçamentária!A:B,MATCH(Composições!A6666,Orçamentária!A:A,0),2)</f>
        <v>Torneira de Bóia Com Balão Plástico 1 1/4”</v>
      </c>
      <c r="C6666" s="40"/>
      <c r="D6666" s="25" t="s">
        <v>16</v>
      </c>
      <c r="E6666" s="26"/>
      <c r="F6666" s="41" t="s">
        <v>416</v>
      </c>
      <c r="G6666" s="27" t="str">
        <f t="shared" si="664"/>
        <v/>
      </c>
      <c r="H6666" s="28"/>
      <c r="I6666" s="29"/>
      <c r="J6666" s="152">
        <v>0</v>
      </c>
      <c r="L6666" s="218"/>
      <c r="M6666" s="41"/>
      <c r="N6666" s="27" t="str">
        <f t="shared" si="665"/>
        <v/>
      </c>
      <c r="O6666" s="28"/>
      <c r="P6666" s="36" t="str">
        <f t="shared" si="666"/>
        <v/>
      </c>
      <c r="Q6666" s="216" t="str">
        <f t="shared" si="667"/>
        <v/>
      </c>
      <c r="R6666" s="216" t="str">
        <f t="shared" si="668"/>
        <v/>
      </c>
      <c r="S6666" s="217" t="str">
        <f t="shared" si="669"/>
        <v/>
      </c>
    </row>
    <row r="6667" spans="1:19" ht="15.75" hidden="1" thickBot="1" x14ac:dyDescent="0.3">
      <c r="A6667" s="262"/>
      <c r="B6667" s="260"/>
      <c r="C6667" s="31"/>
      <c r="D6667" s="31"/>
      <c r="E6667" s="32"/>
      <c r="F6667" s="42" t="s">
        <v>416</v>
      </c>
      <c r="G6667" s="30" t="str">
        <f t="shared" si="664"/>
        <v/>
      </c>
      <c r="H6667" s="34"/>
      <c r="I6667" s="30"/>
      <c r="J6667" s="152">
        <v>0</v>
      </c>
      <c r="L6667" s="219"/>
      <c r="M6667" s="42"/>
      <c r="N6667" s="30" t="str">
        <f t="shared" si="665"/>
        <v/>
      </c>
      <c r="O6667" s="34"/>
      <c r="P6667" s="36" t="str">
        <f t="shared" si="666"/>
        <v/>
      </c>
      <c r="Q6667" s="216" t="str">
        <f t="shared" si="667"/>
        <v/>
      </c>
      <c r="R6667" s="216" t="str">
        <f t="shared" si="668"/>
        <v/>
      </c>
      <c r="S6667" s="217" t="str">
        <f t="shared" si="669"/>
        <v/>
      </c>
    </row>
    <row r="6668" spans="1:19" ht="39" hidden="1" thickBot="1" x14ac:dyDescent="0.3">
      <c r="A6668" s="262"/>
      <c r="B6668" s="260"/>
      <c r="C6668" s="35" t="s">
        <v>8445</v>
      </c>
      <c r="D6668" s="35" t="s">
        <v>213</v>
      </c>
      <c r="E6668" s="36">
        <v>1</v>
      </c>
      <c r="F6668" s="30">
        <v>360.66749999999996</v>
      </c>
      <c r="G6668" s="30">
        <f t="shared" si="664"/>
        <v>360.66749999999996</v>
      </c>
      <c r="H6668" s="38">
        <f>SUM(G6668:G6668)</f>
        <v>360.66749999999996</v>
      </c>
      <c r="I6668" s="39"/>
      <c r="J6668" s="152">
        <v>0</v>
      </c>
      <c r="L6668" s="215">
        <v>1</v>
      </c>
      <c r="M6668" s="30">
        <v>308.73137999999994</v>
      </c>
      <c r="N6668" s="30">
        <f t="shared" si="665"/>
        <v>308.73137999999994</v>
      </c>
      <c r="O6668" s="38">
        <f>SUM(N6668:N6668)</f>
        <v>308.73137999999994</v>
      </c>
      <c r="P6668" s="36" t="str">
        <f t="shared" si="666"/>
        <v/>
      </c>
      <c r="Q6668" s="216">
        <f t="shared" si="667"/>
        <v>0.14400000000000002</v>
      </c>
      <c r="R6668" s="216">
        <f t="shared" si="668"/>
        <v>0.14400000000000002</v>
      </c>
      <c r="S6668" s="217">
        <f t="shared" si="669"/>
        <v>0.14400000000000002</v>
      </c>
    </row>
    <row r="6669" spans="1:19" ht="15.75" hidden="1" thickBot="1" x14ac:dyDescent="0.3">
      <c r="A6669" s="263"/>
      <c r="B6669" s="261"/>
      <c r="C6669" s="54"/>
      <c r="D6669" s="54"/>
      <c r="E6669" s="65"/>
      <c r="F6669" s="66" t="s">
        <v>416</v>
      </c>
      <c r="G6669" s="66" t="str">
        <f t="shared" si="664"/>
        <v/>
      </c>
      <c r="H6669" s="68"/>
      <c r="I6669" s="30"/>
      <c r="J6669" s="152">
        <v>0</v>
      </c>
      <c r="L6669" s="222"/>
      <c r="M6669" s="66"/>
      <c r="N6669" s="66" t="str">
        <f t="shared" si="665"/>
        <v/>
      </c>
      <c r="O6669" s="68"/>
      <c r="P6669" s="36" t="str">
        <f t="shared" si="666"/>
        <v/>
      </c>
      <c r="Q6669" s="216" t="str">
        <f t="shared" si="667"/>
        <v/>
      </c>
      <c r="R6669" s="216" t="str">
        <f t="shared" si="668"/>
        <v/>
      </c>
      <c r="S6669" s="217" t="str">
        <f t="shared" si="669"/>
        <v/>
      </c>
    </row>
    <row r="6670" spans="1:19" ht="15.75" hidden="1" thickBot="1" x14ac:dyDescent="0.3">
      <c r="A6670" s="256" t="s">
        <v>6076</v>
      </c>
      <c r="B6670" s="259" t="str">
        <f>INDEX(Orçamentária!A:B,MATCH(Composições!A6670,Orçamentária!A:A,0),2)</f>
        <v>Torneira de Bóia Com Balão Plástico 1”</v>
      </c>
      <c r="C6670" s="40"/>
      <c r="D6670" s="25" t="s">
        <v>16</v>
      </c>
      <c r="E6670" s="26"/>
      <c r="F6670" s="41" t="s">
        <v>416</v>
      </c>
      <c r="G6670" s="27" t="str">
        <f t="shared" si="664"/>
        <v/>
      </c>
      <c r="H6670" s="28"/>
      <c r="I6670" s="29"/>
      <c r="J6670" s="152">
        <v>0</v>
      </c>
      <c r="L6670" s="218"/>
      <c r="M6670" s="41"/>
      <c r="N6670" s="27" t="str">
        <f t="shared" si="665"/>
        <v/>
      </c>
      <c r="O6670" s="28"/>
      <c r="P6670" s="36" t="str">
        <f t="shared" si="666"/>
        <v/>
      </c>
      <c r="Q6670" s="216" t="str">
        <f t="shared" si="667"/>
        <v/>
      </c>
      <c r="R6670" s="216" t="str">
        <f t="shared" si="668"/>
        <v/>
      </c>
      <c r="S6670" s="217" t="str">
        <f t="shared" si="669"/>
        <v/>
      </c>
    </row>
    <row r="6671" spans="1:19" ht="15.75" hidden="1" thickBot="1" x14ac:dyDescent="0.3">
      <c r="A6671" s="262"/>
      <c r="B6671" s="260"/>
      <c r="C6671" s="31"/>
      <c r="D6671" s="31"/>
      <c r="E6671" s="32"/>
      <c r="F6671" s="42" t="s">
        <v>416</v>
      </c>
      <c r="G6671" s="30" t="str">
        <f t="shared" si="664"/>
        <v/>
      </c>
      <c r="H6671" s="34"/>
      <c r="I6671" s="30"/>
      <c r="J6671" s="152">
        <v>0</v>
      </c>
      <c r="L6671" s="219"/>
      <c r="M6671" s="42"/>
      <c r="N6671" s="30" t="str">
        <f t="shared" si="665"/>
        <v/>
      </c>
      <c r="O6671" s="34"/>
      <c r="P6671" s="36" t="str">
        <f t="shared" si="666"/>
        <v/>
      </c>
      <c r="Q6671" s="216" t="str">
        <f t="shared" si="667"/>
        <v/>
      </c>
      <c r="R6671" s="216" t="str">
        <f t="shared" si="668"/>
        <v/>
      </c>
      <c r="S6671" s="217" t="str">
        <f t="shared" si="669"/>
        <v/>
      </c>
    </row>
    <row r="6672" spans="1:19" ht="26.25" hidden="1" thickBot="1" x14ac:dyDescent="0.3">
      <c r="A6672" s="262"/>
      <c r="B6672" s="260"/>
      <c r="C6672" s="35" t="s">
        <v>8447</v>
      </c>
      <c r="D6672" s="35" t="s">
        <v>213</v>
      </c>
      <c r="E6672" s="36">
        <v>1</v>
      </c>
      <c r="F6672" s="30">
        <v>211.77399999999997</v>
      </c>
      <c r="G6672" s="30">
        <f t="shared" si="664"/>
        <v>211.77399999999997</v>
      </c>
      <c r="H6672" s="38">
        <f>SUM(G6672:G6672)</f>
        <v>211.77399999999997</v>
      </c>
      <c r="I6672" s="39"/>
      <c r="J6672" s="152">
        <v>0</v>
      </c>
      <c r="L6672" s="215">
        <v>1</v>
      </c>
      <c r="M6672" s="30">
        <v>181.27854399999998</v>
      </c>
      <c r="N6672" s="30">
        <f t="shared" si="665"/>
        <v>181.27854399999998</v>
      </c>
      <c r="O6672" s="38">
        <f>SUM(N6672:N6672)</f>
        <v>181.27854399999998</v>
      </c>
      <c r="P6672" s="36" t="str">
        <f t="shared" si="666"/>
        <v/>
      </c>
      <c r="Q6672" s="216">
        <f t="shared" si="667"/>
        <v>0.14400000000000002</v>
      </c>
      <c r="R6672" s="216">
        <f t="shared" si="668"/>
        <v>0.14400000000000002</v>
      </c>
      <c r="S6672" s="217">
        <f t="shared" si="669"/>
        <v>0.14400000000000002</v>
      </c>
    </row>
    <row r="6673" spans="1:19" ht="15.75" hidden="1" thickBot="1" x14ac:dyDescent="0.3">
      <c r="A6673" s="263"/>
      <c r="B6673" s="261"/>
      <c r="C6673" s="54"/>
      <c r="D6673" s="54"/>
      <c r="E6673" s="65"/>
      <c r="F6673" s="66" t="s">
        <v>416</v>
      </c>
      <c r="G6673" s="66" t="str">
        <f t="shared" si="664"/>
        <v/>
      </c>
      <c r="H6673" s="68"/>
      <c r="I6673" s="30"/>
      <c r="J6673" s="152">
        <v>0</v>
      </c>
      <c r="L6673" s="222"/>
      <c r="M6673" s="66"/>
      <c r="N6673" s="66" t="str">
        <f t="shared" si="665"/>
        <v/>
      </c>
      <c r="O6673" s="68"/>
      <c r="P6673" s="36" t="str">
        <f t="shared" si="666"/>
        <v/>
      </c>
      <c r="Q6673" s="216" t="str">
        <f t="shared" si="667"/>
        <v/>
      </c>
      <c r="R6673" s="216" t="str">
        <f t="shared" si="668"/>
        <v/>
      </c>
      <c r="S6673" s="217" t="str">
        <f t="shared" si="669"/>
        <v/>
      </c>
    </row>
    <row r="6674" spans="1:19" ht="15.75" hidden="1" thickBot="1" x14ac:dyDescent="0.3">
      <c r="A6674" s="256" t="s">
        <v>6078</v>
      </c>
      <c r="B6674" s="259" t="str">
        <f>INDEX(Orçamentária!A:B,MATCH(Composições!A6674,Orçamentária!A:A,0),2)</f>
        <v>Torneira de Bóia Com Balão Plástico 2”</v>
      </c>
      <c r="C6674" s="40"/>
      <c r="D6674" s="25" t="s">
        <v>16</v>
      </c>
      <c r="E6674" s="26"/>
      <c r="F6674" s="41" t="s">
        <v>416</v>
      </c>
      <c r="G6674" s="27" t="str">
        <f t="shared" si="664"/>
        <v/>
      </c>
      <c r="H6674" s="28"/>
      <c r="I6674" s="29"/>
      <c r="J6674" s="152">
        <v>0</v>
      </c>
      <c r="L6674" s="218"/>
      <c r="M6674" s="41"/>
      <c r="N6674" s="27" t="str">
        <f t="shared" si="665"/>
        <v/>
      </c>
      <c r="O6674" s="28"/>
      <c r="P6674" s="36" t="str">
        <f t="shared" si="666"/>
        <v/>
      </c>
      <c r="Q6674" s="216" t="str">
        <f t="shared" si="667"/>
        <v/>
      </c>
      <c r="R6674" s="216" t="str">
        <f t="shared" si="668"/>
        <v/>
      </c>
      <c r="S6674" s="217" t="str">
        <f t="shared" si="669"/>
        <v/>
      </c>
    </row>
    <row r="6675" spans="1:19" ht="15.75" hidden="1" thickBot="1" x14ac:dyDescent="0.3">
      <c r="A6675" s="262"/>
      <c r="B6675" s="260"/>
      <c r="C6675" s="31"/>
      <c r="D6675" s="31"/>
      <c r="E6675" s="32"/>
      <c r="F6675" s="42" t="s">
        <v>416</v>
      </c>
      <c r="G6675" s="30" t="str">
        <f t="shared" si="664"/>
        <v/>
      </c>
      <c r="H6675" s="34"/>
      <c r="I6675" s="30"/>
      <c r="J6675" s="152">
        <v>0</v>
      </c>
      <c r="L6675" s="219"/>
      <c r="M6675" s="42"/>
      <c r="N6675" s="30" t="str">
        <f t="shared" si="665"/>
        <v/>
      </c>
      <c r="O6675" s="34"/>
      <c r="P6675" s="36" t="str">
        <f t="shared" si="666"/>
        <v/>
      </c>
      <c r="Q6675" s="216" t="str">
        <f t="shared" si="667"/>
        <v/>
      </c>
      <c r="R6675" s="216" t="str">
        <f t="shared" si="668"/>
        <v/>
      </c>
      <c r="S6675" s="217" t="str">
        <f t="shared" si="669"/>
        <v/>
      </c>
    </row>
    <row r="6676" spans="1:19" ht="26.25" hidden="1" thickBot="1" x14ac:dyDescent="0.3">
      <c r="A6676" s="262"/>
      <c r="B6676" s="260"/>
      <c r="C6676" s="35" t="s">
        <v>8448</v>
      </c>
      <c r="D6676" s="35" t="s">
        <v>213</v>
      </c>
      <c r="E6676" s="36">
        <v>1</v>
      </c>
      <c r="F6676" s="30">
        <v>564.03399999999999</v>
      </c>
      <c r="G6676" s="30">
        <f t="shared" si="664"/>
        <v>564.03399999999999</v>
      </c>
      <c r="H6676" s="38">
        <f>SUM(G6676:G6676)</f>
        <v>564.03399999999999</v>
      </c>
      <c r="I6676" s="39"/>
      <c r="J6676" s="152">
        <v>0</v>
      </c>
      <c r="L6676" s="215">
        <v>1</v>
      </c>
      <c r="M6676" s="30">
        <v>482.81310400000001</v>
      </c>
      <c r="N6676" s="30">
        <f t="shared" si="665"/>
        <v>482.81310400000001</v>
      </c>
      <c r="O6676" s="38">
        <f>SUM(N6676:N6676)</f>
        <v>482.81310400000001</v>
      </c>
      <c r="P6676" s="36" t="str">
        <f t="shared" si="666"/>
        <v/>
      </c>
      <c r="Q6676" s="216">
        <f t="shared" si="667"/>
        <v>0.14400000000000002</v>
      </c>
      <c r="R6676" s="216">
        <f t="shared" si="668"/>
        <v>0.14400000000000002</v>
      </c>
      <c r="S6676" s="217">
        <f t="shared" si="669"/>
        <v>0.14400000000000002</v>
      </c>
    </row>
    <row r="6677" spans="1:19" ht="15.75" hidden="1" thickBot="1" x14ac:dyDescent="0.3">
      <c r="A6677" s="263"/>
      <c r="B6677" s="261"/>
      <c r="C6677" s="54"/>
      <c r="D6677" s="54"/>
      <c r="E6677" s="65"/>
      <c r="F6677" s="66" t="s">
        <v>416</v>
      </c>
      <c r="G6677" s="66" t="str">
        <f t="shared" si="664"/>
        <v/>
      </c>
      <c r="H6677" s="68"/>
      <c r="I6677" s="30"/>
      <c r="J6677" s="152">
        <v>0</v>
      </c>
      <c r="L6677" s="222"/>
      <c r="M6677" s="66"/>
      <c r="N6677" s="66" t="str">
        <f t="shared" si="665"/>
        <v/>
      </c>
      <c r="O6677" s="68"/>
      <c r="P6677" s="36" t="str">
        <f t="shared" si="666"/>
        <v/>
      </c>
      <c r="Q6677" s="216" t="str">
        <f t="shared" si="667"/>
        <v/>
      </c>
      <c r="R6677" s="216" t="str">
        <f t="shared" si="668"/>
        <v/>
      </c>
      <c r="S6677" s="217" t="str">
        <f t="shared" si="669"/>
        <v/>
      </c>
    </row>
    <row r="6678" spans="1:19" ht="15.75" hidden="1" thickBot="1" x14ac:dyDescent="0.3">
      <c r="A6678" s="256" t="s">
        <v>6080</v>
      </c>
      <c r="B6678" s="259" t="str">
        <f>INDEX(Orçamentária!A:B,MATCH(Composições!A6678,Orçamentária!A:A,0),2)</f>
        <v>Torneira de Bóia Com Balão Plástico 3/4”</v>
      </c>
      <c r="C6678" s="40"/>
      <c r="D6678" s="25" t="s">
        <v>16</v>
      </c>
      <c r="E6678" s="26"/>
      <c r="F6678" s="41" t="s">
        <v>416</v>
      </c>
      <c r="G6678" s="27" t="str">
        <f t="shared" si="664"/>
        <v/>
      </c>
      <c r="H6678" s="28"/>
      <c r="I6678" s="29"/>
      <c r="J6678" s="152">
        <v>0</v>
      </c>
      <c r="L6678" s="218"/>
      <c r="M6678" s="41"/>
      <c r="N6678" s="27" t="str">
        <f t="shared" si="665"/>
        <v/>
      </c>
      <c r="O6678" s="28"/>
      <c r="P6678" s="36" t="str">
        <f t="shared" si="666"/>
        <v/>
      </c>
      <c r="Q6678" s="216" t="str">
        <f t="shared" si="667"/>
        <v/>
      </c>
      <c r="R6678" s="216" t="str">
        <f t="shared" si="668"/>
        <v/>
      </c>
      <c r="S6678" s="217" t="str">
        <f t="shared" si="669"/>
        <v/>
      </c>
    </row>
    <row r="6679" spans="1:19" ht="15.75" hidden="1" thickBot="1" x14ac:dyDescent="0.3">
      <c r="A6679" s="262"/>
      <c r="B6679" s="260"/>
      <c r="C6679" s="31"/>
      <c r="D6679" s="31"/>
      <c r="E6679" s="32"/>
      <c r="F6679" s="42" t="s">
        <v>416</v>
      </c>
      <c r="G6679" s="30" t="str">
        <f t="shared" si="664"/>
        <v/>
      </c>
      <c r="H6679" s="34"/>
      <c r="I6679" s="30"/>
      <c r="J6679" s="152">
        <v>0</v>
      </c>
      <c r="L6679" s="219"/>
      <c r="M6679" s="42"/>
      <c r="N6679" s="30" t="str">
        <f t="shared" si="665"/>
        <v/>
      </c>
      <c r="O6679" s="34"/>
      <c r="P6679" s="36" t="str">
        <f t="shared" si="666"/>
        <v/>
      </c>
      <c r="Q6679" s="216" t="str">
        <f t="shared" si="667"/>
        <v/>
      </c>
      <c r="R6679" s="216" t="str">
        <f t="shared" si="668"/>
        <v/>
      </c>
      <c r="S6679" s="217" t="str">
        <f t="shared" si="669"/>
        <v/>
      </c>
    </row>
    <row r="6680" spans="1:19" ht="26.25" hidden="1" thickBot="1" x14ac:dyDescent="0.3">
      <c r="A6680" s="262"/>
      <c r="B6680" s="260"/>
      <c r="C6680" s="35" t="s">
        <v>8446</v>
      </c>
      <c r="D6680" s="35" t="s">
        <v>213</v>
      </c>
      <c r="E6680" s="36">
        <v>1</v>
      </c>
      <c r="F6680" s="30">
        <v>94.135499999999993</v>
      </c>
      <c r="G6680" s="30">
        <f t="shared" si="664"/>
        <v>94.135499999999993</v>
      </c>
      <c r="H6680" s="38">
        <f>SUM(G6680:G6680)</f>
        <v>94.135499999999993</v>
      </c>
      <c r="I6680" s="39"/>
      <c r="J6680" s="152">
        <v>0</v>
      </c>
      <c r="L6680" s="215">
        <v>1</v>
      </c>
      <c r="M6680" s="30">
        <v>80.579988</v>
      </c>
      <c r="N6680" s="30">
        <f t="shared" si="665"/>
        <v>80.579988</v>
      </c>
      <c r="O6680" s="38">
        <f>SUM(N6680:N6680)</f>
        <v>80.579988</v>
      </c>
      <c r="P6680" s="36" t="str">
        <f t="shared" si="666"/>
        <v/>
      </c>
      <c r="Q6680" s="216">
        <f t="shared" si="667"/>
        <v>0.14399999999999991</v>
      </c>
      <c r="R6680" s="216">
        <f t="shared" si="668"/>
        <v>0.14399999999999991</v>
      </c>
      <c r="S6680" s="217">
        <f t="shared" si="669"/>
        <v>0.14399999999999991</v>
      </c>
    </row>
    <row r="6681" spans="1:19" ht="15.75" hidden="1" thickBot="1" x14ac:dyDescent="0.3">
      <c r="A6681" s="263"/>
      <c r="B6681" s="261"/>
      <c r="C6681" s="54"/>
      <c r="D6681" s="54"/>
      <c r="E6681" s="65"/>
      <c r="F6681" s="66" t="s">
        <v>416</v>
      </c>
      <c r="G6681" s="66" t="str">
        <f t="shared" si="664"/>
        <v/>
      </c>
      <c r="H6681" s="68"/>
      <c r="I6681" s="30"/>
      <c r="J6681" s="152">
        <v>0</v>
      </c>
      <c r="L6681" s="222"/>
      <c r="M6681" s="66"/>
      <c r="N6681" s="66" t="str">
        <f t="shared" si="665"/>
        <v/>
      </c>
      <c r="O6681" s="68"/>
      <c r="P6681" s="36" t="str">
        <f t="shared" si="666"/>
        <v/>
      </c>
      <c r="Q6681" s="216" t="str">
        <f t="shared" si="667"/>
        <v/>
      </c>
      <c r="R6681" s="216" t="str">
        <f t="shared" si="668"/>
        <v/>
      </c>
      <c r="S6681" s="217" t="str">
        <f t="shared" si="669"/>
        <v/>
      </c>
    </row>
    <row r="6682" spans="1:19" ht="15.75" hidden="1" thickBot="1" x14ac:dyDescent="0.3">
      <c r="A6682" s="256" t="s">
        <v>6088</v>
      </c>
      <c r="B6682" s="259" t="str">
        <f>INDEX(Orçamentária!A:B,MATCH(Composições!A6682,Orçamentária!A:A,0),2)</f>
        <v>Tubo de cobre classe “E” 22 mm</v>
      </c>
      <c r="C6682" s="40"/>
      <c r="D6682" s="25" t="s">
        <v>69</v>
      </c>
      <c r="E6682" s="26"/>
      <c r="F6682" s="41" t="s">
        <v>416</v>
      </c>
      <c r="G6682" s="27" t="str">
        <f t="shared" si="664"/>
        <v/>
      </c>
      <c r="H6682" s="28"/>
      <c r="I6682" s="29"/>
      <c r="J6682" s="152">
        <v>0</v>
      </c>
      <c r="L6682" s="218"/>
      <c r="M6682" s="41"/>
      <c r="N6682" s="27" t="str">
        <f t="shared" si="665"/>
        <v/>
      </c>
      <c r="O6682" s="28"/>
      <c r="P6682" s="36" t="str">
        <f t="shared" si="666"/>
        <v/>
      </c>
      <c r="Q6682" s="216" t="str">
        <f t="shared" si="667"/>
        <v/>
      </c>
      <c r="R6682" s="216" t="str">
        <f t="shared" si="668"/>
        <v/>
      </c>
      <c r="S6682" s="217" t="str">
        <f t="shared" si="669"/>
        <v/>
      </c>
    </row>
    <row r="6683" spans="1:19" ht="15.75" hidden="1" thickBot="1" x14ac:dyDescent="0.3">
      <c r="A6683" s="262"/>
      <c r="B6683" s="260"/>
      <c r="C6683" s="31"/>
      <c r="D6683" s="31"/>
      <c r="E6683" s="32"/>
      <c r="F6683" s="42" t="s">
        <v>416</v>
      </c>
      <c r="G6683" s="30" t="str">
        <f t="shared" si="664"/>
        <v/>
      </c>
      <c r="H6683" s="34"/>
      <c r="I6683" s="30"/>
      <c r="J6683" s="152">
        <v>0</v>
      </c>
      <c r="L6683" s="219"/>
      <c r="M6683" s="42"/>
      <c r="N6683" s="30" t="str">
        <f t="shared" si="665"/>
        <v/>
      </c>
      <c r="O6683" s="34"/>
      <c r="P6683" s="36" t="str">
        <f t="shared" si="666"/>
        <v/>
      </c>
      <c r="Q6683" s="216" t="str">
        <f t="shared" si="667"/>
        <v/>
      </c>
      <c r="R6683" s="216" t="str">
        <f t="shared" si="668"/>
        <v/>
      </c>
      <c r="S6683" s="217" t="str">
        <f t="shared" si="669"/>
        <v/>
      </c>
    </row>
    <row r="6684" spans="1:19" ht="26.25" hidden="1" thickBot="1" x14ac:dyDescent="0.3">
      <c r="A6684" s="262"/>
      <c r="B6684" s="260"/>
      <c r="C6684" s="35" t="s">
        <v>823</v>
      </c>
      <c r="D6684" s="35" t="s">
        <v>385</v>
      </c>
      <c r="E6684" s="36">
        <v>1</v>
      </c>
      <c r="F6684" s="30">
        <v>56.097499999999997</v>
      </c>
      <c r="G6684" s="30">
        <f t="shared" si="664"/>
        <v>56.097499999999997</v>
      </c>
      <c r="H6684" s="38">
        <f>SUM(G6684:G6684)</f>
        <v>56.097499999999997</v>
      </c>
      <c r="I6684" s="39"/>
      <c r="J6684" s="152">
        <v>0</v>
      </c>
      <c r="L6684" s="215">
        <v>1</v>
      </c>
      <c r="M6684" s="30">
        <v>48.019459999999995</v>
      </c>
      <c r="N6684" s="30">
        <f t="shared" si="665"/>
        <v>48.019459999999995</v>
      </c>
      <c r="O6684" s="38">
        <f>SUM(N6684:N6684)</f>
        <v>48.019459999999995</v>
      </c>
      <c r="P6684" s="36" t="str">
        <f t="shared" si="666"/>
        <v/>
      </c>
      <c r="Q6684" s="216">
        <f t="shared" si="667"/>
        <v>0.14400000000000002</v>
      </c>
      <c r="R6684" s="216">
        <f t="shared" si="668"/>
        <v>0.14400000000000002</v>
      </c>
      <c r="S6684" s="217">
        <f t="shared" si="669"/>
        <v>0.14400000000000002</v>
      </c>
    </row>
    <row r="6685" spans="1:19" ht="15.75" hidden="1" thickBot="1" x14ac:dyDescent="0.3">
      <c r="A6685" s="263"/>
      <c r="B6685" s="261"/>
      <c r="C6685" s="54"/>
      <c r="D6685" s="54"/>
      <c r="E6685" s="65"/>
      <c r="F6685" s="66" t="s">
        <v>416</v>
      </c>
      <c r="G6685" s="66" t="str">
        <f t="shared" si="664"/>
        <v/>
      </c>
      <c r="H6685" s="68"/>
      <c r="I6685" s="30"/>
      <c r="J6685" s="152">
        <v>0</v>
      </c>
      <c r="L6685" s="222"/>
      <c r="M6685" s="66"/>
      <c r="N6685" s="66" t="str">
        <f t="shared" si="665"/>
        <v/>
      </c>
      <c r="O6685" s="68"/>
      <c r="P6685" s="36" t="str">
        <f t="shared" si="666"/>
        <v/>
      </c>
      <c r="Q6685" s="216" t="str">
        <f t="shared" si="667"/>
        <v/>
      </c>
      <c r="R6685" s="216" t="str">
        <f t="shared" si="668"/>
        <v/>
      </c>
      <c r="S6685" s="217" t="str">
        <f t="shared" si="669"/>
        <v/>
      </c>
    </row>
    <row r="6686" spans="1:19" ht="15.75" hidden="1" thickBot="1" x14ac:dyDescent="0.3">
      <c r="A6686" s="256" t="s">
        <v>6089</v>
      </c>
      <c r="B6686" s="259" t="str">
        <f>INDEX(Orçamentária!A:B,MATCH(Composições!A6686,Orçamentária!A:A,0),2)</f>
        <v>Tubo de cobre classe “E” 28 mm</v>
      </c>
      <c r="C6686" s="40"/>
      <c r="D6686" s="25" t="s">
        <v>69</v>
      </c>
      <c r="E6686" s="26"/>
      <c r="F6686" s="41" t="s">
        <v>416</v>
      </c>
      <c r="G6686" s="27" t="str">
        <f t="shared" si="664"/>
        <v/>
      </c>
      <c r="H6686" s="28"/>
      <c r="I6686" s="29"/>
      <c r="J6686" s="152">
        <v>0</v>
      </c>
      <c r="L6686" s="218"/>
      <c r="M6686" s="41"/>
      <c r="N6686" s="27" t="str">
        <f t="shared" si="665"/>
        <v/>
      </c>
      <c r="O6686" s="28"/>
      <c r="P6686" s="36" t="str">
        <f t="shared" si="666"/>
        <v/>
      </c>
      <c r="Q6686" s="216" t="str">
        <f t="shared" si="667"/>
        <v/>
      </c>
      <c r="R6686" s="216" t="str">
        <f t="shared" si="668"/>
        <v/>
      </c>
      <c r="S6686" s="217" t="str">
        <f t="shared" si="669"/>
        <v/>
      </c>
    </row>
    <row r="6687" spans="1:19" ht="15.75" hidden="1" thickBot="1" x14ac:dyDescent="0.3">
      <c r="A6687" s="262"/>
      <c r="B6687" s="260"/>
      <c r="C6687" s="31"/>
      <c r="D6687" s="31"/>
      <c r="E6687" s="32"/>
      <c r="F6687" s="42" t="s">
        <v>416</v>
      </c>
      <c r="G6687" s="30" t="str">
        <f t="shared" si="664"/>
        <v/>
      </c>
      <c r="H6687" s="34"/>
      <c r="I6687" s="30"/>
      <c r="J6687" s="152">
        <v>0</v>
      </c>
      <c r="L6687" s="219"/>
      <c r="M6687" s="42"/>
      <c r="N6687" s="30" t="str">
        <f t="shared" si="665"/>
        <v/>
      </c>
      <c r="O6687" s="34"/>
      <c r="P6687" s="36" t="str">
        <f t="shared" si="666"/>
        <v/>
      </c>
      <c r="Q6687" s="216" t="str">
        <f t="shared" si="667"/>
        <v/>
      </c>
      <c r="R6687" s="216" t="str">
        <f t="shared" si="668"/>
        <v/>
      </c>
      <c r="S6687" s="217" t="str">
        <f t="shared" si="669"/>
        <v/>
      </c>
    </row>
    <row r="6688" spans="1:19" ht="26.25" hidden="1" thickBot="1" x14ac:dyDescent="0.3">
      <c r="A6688" s="262"/>
      <c r="B6688" s="260"/>
      <c r="C6688" s="35" t="s">
        <v>827</v>
      </c>
      <c r="D6688" s="35" t="s">
        <v>385</v>
      </c>
      <c r="E6688" s="36">
        <v>1</v>
      </c>
      <c r="F6688" s="30">
        <v>71.202500000000001</v>
      </c>
      <c r="G6688" s="30">
        <f t="shared" si="664"/>
        <v>71.202500000000001</v>
      </c>
      <c r="H6688" s="38">
        <f>SUM(G6688:G6688)</f>
        <v>71.202500000000001</v>
      </c>
      <c r="I6688" s="39"/>
      <c r="J6688" s="152">
        <v>0</v>
      </c>
      <c r="L6688" s="215">
        <v>1</v>
      </c>
      <c r="M6688" s="30">
        <v>60.949339999999999</v>
      </c>
      <c r="N6688" s="30">
        <f t="shared" si="665"/>
        <v>60.949339999999999</v>
      </c>
      <c r="O6688" s="38">
        <f>SUM(N6688:N6688)</f>
        <v>60.949339999999999</v>
      </c>
      <c r="P6688" s="36" t="str">
        <f t="shared" si="666"/>
        <v/>
      </c>
      <c r="Q6688" s="216">
        <f t="shared" si="667"/>
        <v>0.14400000000000002</v>
      </c>
      <c r="R6688" s="216">
        <f t="shared" si="668"/>
        <v>0.14400000000000002</v>
      </c>
      <c r="S6688" s="217">
        <f t="shared" si="669"/>
        <v>0.14400000000000002</v>
      </c>
    </row>
    <row r="6689" spans="1:19" ht="15.75" hidden="1" thickBot="1" x14ac:dyDescent="0.3">
      <c r="A6689" s="263"/>
      <c r="B6689" s="261"/>
      <c r="C6689" s="54"/>
      <c r="D6689" s="54"/>
      <c r="E6689" s="65"/>
      <c r="F6689" s="66" t="s">
        <v>416</v>
      </c>
      <c r="G6689" s="66" t="str">
        <f t="shared" si="664"/>
        <v/>
      </c>
      <c r="H6689" s="68"/>
      <c r="I6689" s="30"/>
      <c r="J6689" s="152">
        <v>0</v>
      </c>
      <c r="L6689" s="222"/>
      <c r="M6689" s="66"/>
      <c r="N6689" s="66" t="str">
        <f t="shared" si="665"/>
        <v/>
      </c>
      <c r="O6689" s="68"/>
      <c r="P6689" s="36" t="str">
        <f t="shared" si="666"/>
        <v/>
      </c>
      <c r="Q6689" s="216" t="str">
        <f t="shared" si="667"/>
        <v/>
      </c>
      <c r="R6689" s="216" t="str">
        <f t="shared" si="668"/>
        <v/>
      </c>
      <c r="S6689" s="217" t="str">
        <f t="shared" si="669"/>
        <v/>
      </c>
    </row>
    <row r="6690" spans="1:19" ht="15.75" hidden="1" thickBot="1" x14ac:dyDescent="0.3">
      <c r="A6690" s="256" t="s">
        <v>6091</v>
      </c>
      <c r="B6690" s="259" t="str">
        <f>INDEX(Orçamentária!A:B,MATCH(Composições!A6690,Orçamentária!A:A,0),2)</f>
        <v>Tubo de cobre classe “E” 42 mm</v>
      </c>
      <c r="C6690" s="40"/>
      <c r="D6690" s="25" t="s">
        <v>69</v>
      </c>
      <c r="E6690" s="26"/>
      <c r="F6690" s="41" t="s">
        <v>416</v>
      </c>
      <c r="G6690" s="27" t="str">
        <f t="shared" si="664"/>
        <v/>
      </c>
      <c r="H6690" s="28"/>
      <c r="I6690" s="29"/>
      <c r="J6690" s="152">
        <v>0</v>
      </c>
      <c r="L6690" s="218"/>
      <c r="M6690" s="41"/>
      <c r="N6690" s="27" t="str">
        <f t="shared" si="665"/>
        <v/>
      </c>
      <c r="O6690" s="28"/>
      <c r="P6690" s="36" t="str">
        <f t="shared" si="666"/>
        <v/>
      </c>
      <c r="Q6690" s="216" t="str">
        <f t="shared" si="667"/>
        <v/>
      </c>
      <c r="R6690" s="216" t="str">
        <f t="shared" si="668"/>
        <v/>
      </c>
      <c r="S6690" s="217" t="str">
        <f t="shared" si="669"/>
        <v/>
      </c>
    </row>
    <row r="6691" spans="1:19" ht="15.75" hidden="1" thickBot="1" x14ac:dyDescent="0.3">
      <c r="A6691" s="262"/>
      <c r="B6691" s="260"/>
      <c r="C6691" s="31"/>
      <c r="D6691" s="31"/>
      <c r="E6691" s="32"/>
      <c r="F6691" s="42" t="s">
        <v>416</v>
      </c>
      <c r="G6691" s="30" t="str">
        <f t="shared" si="664"/>
        <v/>
      </c>
      <c r="H6691" s="34"/>
      <c r="I6691" s="30"/>
      <c r="J6691" s="152">
        <v>0</v>
      </c>
      <c r="L6691" s="219"/>
      <c r="M6691" s="42"/>
      <c r="N6691" s="30" t="str">
        <f t="shared" si="665"/>
        <v/>
      </c>
      <c r="O6691" s="34"/>
      <c r="P6691" s="36" t="str">
        <f t="shared" si="666"/>
        <v/>
      </c>
      <c r="Q6691" s="216" t="str">
        <f t="shared" si="667"/>
        <v/>
      </c>
      <c r="R6691" s="216" t="str">
        <f t="shared" si="668"/>
        <v/>
      </c>
      <c r="S6691" s="217" t="str">
        <f t="shared" si="669"/>
        <v/>
      </c>
    </row>
    <row r="6692" spans="1:19" ht="26.25" hidden="1" thickBot="1" x14ac:dyDescent="0.3">
      <c r="A6692" s="262"/>
      <c r="B6692" s="260"/>
      <c r="C6692" s="35" t="s">
        <v>829</v>
      </c>
      <c r="D6692" s="35" t="s">
        <v>385</v>
      </c>
      <c r="E6692" s="36">
        <v>1</v>
      </c>
      <c r="F6692" s="30">
        <v>139.63099999999997</v>
      </c>
      <c r="G6692" s="30">
        <f t="shared" si="664"/>
        <v>139.63099999999997</v>
      </c>
      <c r="H6692" s="38">
        <f>SUM(G6692:G6692)</f>
        <v>139.63099999999997</v>
      </c>
      <c r="I6692" s="39"/>
      <c r="J6692" s="152">
        <v>0</v>
      </c>
      <c r="L6692" s="215">
        <v>1</v>
      </c>
      <c r="M6692" s="30">
        <v>119.52413599999997</v>
      </c>
      <c r="N6692" s="30">
        <f t="shared" si="665"/>
        <v>119.52413599999997</v>
      </c>
      <c r="O6692" s="38">
        <f>SUM(N6692:N6692)</f>
        <v>119.52413599999997</v>
      </c>
      <c r="P6692" s="36" t="str">
        <f t="shared" si="666"/>
        <v/>
      </c>
      <c r="Q6692" s="216">
        <f t="shared" si="667"/>
        <v>0.14400000000000002</v>
      </c>
      <c r="R6692" s="216">
        <f t="shared" si="668"/>
        <v>0.14400000000000002</v>
      </c>
      <c r="S6692" s="217">
        <f t="shared" si="669"/>
        <v>0.14400000000000002</v>
      </c>
    </row>
    <row r="6693" spans="1:19" ht="15.75" hidden="1" thickBot="1" x14ac:dyDescent="0.3">
      <c r="A6693" s="263"/>
      <c r="B6693" s="261"/>
      <c r="C6693" s="54"/>
      <c r="D6693" s="54"/>
      <c r="E6693" s="65"/>
      <c r="F6693" s="66" t="s">
        <v>416</v>
      </c>
      <c r="G6693" s="66" t="str">
        <f t="shared" si="664"/>
        <v/>
      </c>
      <c r="H6693" s="68"/>
      <c r="I6693" s="30"/>
      <c r="J6693" s="152">
        <v>0</v>
      </c>
      <c r="L6693" s="222"/>
      <c r="M6693" s="66"/>
      <c r="N6693" s="66" t="str">
        <f t="shared" si="665"/>
        <v/>
      </c>
      <c r="O6693" s="68"/>
      <c r="P6693" s="36" t="str">
        <f t="shared" si="666"/>
        <v/>
      </c>
      <c r="Q6693" s="216" t="str">
        <f t="shared" si="667"/>
        <v/>
      </c>
      <c r="R6693" s="216" t="str">
        <f t="shared" si="668"/>
        <v/>
      </c>
      <c r="S6693" s="217" t="str">
        <f t="shared" si="669"/>
        <v/>
      </c>
    </row>
    <row r="6694" spans="1:19" ht="15.75" hidden="1" thickBot="1" x14ac:dyDescent="0.3">
      <c r="A6694" s="256" t="s">
        <v>6092</v>
      </c>
      <c r="B6694" s="259" t="str">
        <f>INDEX(Orçamentária!A:B,MATCH(Composições!A6694,Orçamentária!A:A,0),2)</f>
        <v>Tubo de cobre classe “E” 35 mm</v>
      </c>
      <c r="C6694" s="40"/>
      <c r="D6694" s="25" t="s">
        <v>69</v>
      </c>
      <c r="E6694" s="26"/>
      <c r="F6694" s="41" t="s">
        <v>416</v>
      </c>
      <c r="G6694" s="27" t="str">
        <f t="shared" si="664"/>
        <v/>
      </c>
      <c r="H6694" s="28"/>
      <c r="I6694" s="29"/>
      <c r="J6694" s="152">
        <v>0</v>
      </c>
      <c r="L6694" s="218"/>
      <c r="M6694" s="41"/>
      <c r="N6694" s="27" t="str">
        <f t="shared" si="665"/>
        <v/>
      </c>
      <c r="O6694" s="28"/>
      <c r="P6694" s="36" t="str">
        <f t="shared" si="666"/>
        <v/>
      </c>
      <c r="Q6694" s="216" t="str">
        <f t="shared" si="667"/>
        <v/>
      </c>
      <c r="R6694" s="216" t="str">
        <f t="shared" si="668"/>
        <v/>
      </c>
      <c r="S6694" s="217" t="str">
        <f t="shared" si="669"/>
        <v/>
      </c>
    </row>
    <row r="6695" spans="1:19" ht="15.75" hidden="1" thickBot="1" x14ac:dyDescent="0.3">
      <c r="A6695" s="262"/>
      <c r="B6695" s="260"/>
      <c r="C6695" s="31"/>
      <c r="D6695" s="31"/>
      <c r="E6695" s="32"/>
      <c r="F6695" s="42" t="s">
        <v>416</v>
      </c>
      <c r="G6695" s="30" t="str">
        <f t="shared" si="664"/>
        <v/>
      </c>
      <c r="H6695" s="34"/>
      <c r="I6695" s="30"/>
      <c r="J6695" s="152">
        <v>0</v>
      </c>
      <c r="L6695" s="219"/>
      <c r="M6695" s="42"/>
      <c r="N6695" s="30" t="str">
        <f t="shared" si="665"/>
        <v/>
      </c>
      <c r="O6695" s="34"/>
      <c r="P6695" s="36" t="str">
        <f t="shared" si="666"/>
        <v/>
      </c>
      <c r="Q6695" s="216" t="str">
        <f t="shared" si="667"/>
        <v/>
      </c>
      <c r="R6695" s="216" t="str">
        <f t="shared" si="668"/>
        <v/>
      </c>
      <c r="S6695" s="217" t="str">
        <f t="shared" si="669"/>
        <v/>
      </c>
    </row>
    <row r="6696" spans="1:19" ht="26.25" hidden="1" thickBot="1" x14ac:dyDescent="0.3">
      <c r="A6696" s="262"/>
      <c r="B6696" s="260"/>
      <c r="C6696" s="35" t="s">
        <v>8457</v>
      </c>
      <c r="D6696" s="35" t="s">
        <v>385</v>
      </c>
      <c r="E6696" s="36">
        <v>1</v>
      </c>
      <c r="F6696" s="30">
        <v>103.398</v>
      </c>
      <c r="G6696" s="30">
        <f t="shared" si="664"/>
        <v>103.398</v>
      </c>
      <c r="H6696" s="38">
        <f>SUM(G6696:G6696)</f>
        <v>103.398</v>
      </c>
      <c r="I6696" s="39"/>
      <c r="J6696" s="152">
        <v>0</v>
      </c>
      <c r="L6696" s="215">
        <v>1</v>
      </c>
      <c r="M6696" s="30">
        <v>88.508687999999992</v>
      </c>
      <c r="N6696" s="30">
        <f t="shared" si="665"/>
        <v>88.508687999999992</v>
      </c>
      <c r="O6696" s="38">
        <f>SUM(N6696:N6696)</f>
        <v>88.508687999999992</v>
      </c>
      <c r="P6696" s="36" t="str">
        <f t="shared" si="666"/>
        <v/>
      </c>
      <c r="Q6696" s="216">
        <f t="shared" si="667"/>
        <v>0.14400000000000002</v>
      </c>
      <c r="R6696" s="216">
        <f t="shared" si="668"/>
        <v>0.14400000000000002</v>
      </c>
      <c r="S6696" s="217">
        <f t="shared" si="669"/>
        <v>0.14400000000000002</v>
      </c>
    </row>
    <row r="6697" spans="1:19" ht="15.75" hidden="1" thickBot="1" x14ac:dyDescent="0.3">
      <c r="A6697" s="263"/>
      <c r="B6697" s="261"/>
      <c r="C6697" s="54"/>
      <c r="D6697" s="54"/>
      <c r="E6697" s="65"/>
      <c r="F6697" s="66" t="s">
        <v>416</v>
      </c>
      <c r="G6697" s="66" t="str">
        <f t="shared" si="664"/>
        <v/>
      </c>
      <c r="H6697" s="68"/>
      <c r="I6697" s="30"/>
      <c r="J6697" s="152">
        <v>0</v>
      </c>
      <c r="L6697" s="222"/>
      <c r="M6697" s="66"/>
      <c r="N6697" s="66" t="str">
        <f t="shared" si="665"/>
        <v/>
      </c>
      <c r="O6697" s="68"/>
      <c r="P6697" s="36" t="str">
        <f t="shared" si="666"/>
        <v/>
      </c>
      <c r="Q6697" s="216" t="str">
        <f t="shared" si="667"/>
        <v/>
      </c>
      <c r="R6697" s="216" t="str">
        <f t="shared" si="668"/>
        <v/>
      </c>
      <c r="S6697" s="217" t="str">
        <f t="shared" si="669"/>
        <v/>
      </c>
    </row>
    <row r="6698" spans="1:19" ht="15.75" hidden="1" thickBot="1" x14ac:dyDescent="0.3">
      <c r="A6698" s="256" t="s">
        <v>6093</v>
      </c>
      <c r="B6698" s="259" t="str">
        <f>INDEX(Orçamentária!A:B,MATCH(Composições!A6698,Orçamentária!A:A,0),2)</f>
        <v>Tubo de cobre classe “E” 54 mm</v>
      </c>
      <c r="C6698" s="40"/>
      <c r="D6698" s="25" t="s">
        <v>69</v>
      </c>
      <c r="E6698" s="26"/>
      <c r="F6698" s="41" t="s">
        <v>416</v>
      </c>
      <c r="G6698" s="27" t="str">
        <f t="shared" si="664"/>
        <v/>
      </c>
      <c r="H6698" s="28"/>
      <c r="I6698" s="29"/>
      <c r="J6698" s="152">
        <v>0</v>
      </c>
      <c r="L6698" s="218"/>
      <c r="M6698" s="41"/>
      <c r="N6698" s="27" t="str">
        <f t="shared" si="665"/>
        <v/>
      </c>
      <c r="O6698" s="28"/>
      <c r="P6698" s="36" t="str">
        <f t="shared" si="666"/>
        <v/>
      </c>
      <c r="Q6698" s="216" t="str">
        <f t="shared" si="667"/>
        <v/>
      </c>
      <c r="R6698" s="216" t="str">
        <f t="shared" si="668"/>
        <v/>
      </c>
      <c r="S6698" s="217" t="str">
        <f t="shared" si="669"/>
        <v/>
      </c>
    </row>
    <row r="6699" spans="1:19" ht="15.75" hidden="1" thickBot="1" x14ac:dyDescent="0.3">
      <c r="A6699" s="262"/>
      <c r="B6699" s="260"/>
      <c r="C6699" s="31"/>
      <c r="D6699" s="31"/>
      <c r="E6699" s="32"/>
      <c r="F6699" s="42" t="s">
        <v>416</v>
      </c>
      <c r="G6699" s="30" t="str">
        <f t="shared" si="664"/>
        <v/>
      </c>
      <c r="H6699" s="34"/>
      <c r="I6699" s="30"/>
      <c r="J6699" s="152">
        <v>0</v>
      </c>
      <c r="L6699" s="219"/>
      <c r="M6699" s="42"/>
      <c r="N6699" s="30" t="str">
        <f t="shared" si="665"/>
        <v/>
      </c>
      <c r="O6699" s="34"/>
      <c r="P6699" s="36" t="str">
        <f t="shared" si="666"/>
        <v/>
      </c>
      <c r="Q6699" s="216" t="str">
        <f t="shared" si="667"/>
        <v/>
      </c>
      <c r="R6699" s="216" t="str">
        <f t="shared" si="668"/>
        <v/>
      </c>
      <c r="S6699" s="217" t="str">
        <f t="shared" si="669"/>
        <v/>
      </c>
    </row>
    <row r="6700" spans="1:19" ht="26.25" hidden="1" thickBot="1" x14ac:dyDescent="0.3">
      <c r="A6700" s="262"/>
      <c r="B6700" s="260"/>
      <c r="C6700" s="35" t="s">
        <v>8458</v>
      </c>
      <c r="D6700" s="35" t="s">
        <v>385</v>
      </c>
      <c r="E6700" s="36">
        <v>1</v>
      </c>
      <c r="F6700" s="30">
        <v>202.49250000000001</v>
      </c>
      <c r="G6700" s="30">
        <f t="shared" si="664"/>
        <v>202.49250000000001</v>
      </c>
      <c r="H6700" s="38">
        <f>SUM(G6700:G6700)</f>
        <v>202.49250000000001</v>
      </c>
      <c r="I6700" s="39"/>
      <c r="J6700" s="152">
        <v>0</v>
      </c>
      <c r="L6700" s="215">
        <v>1</v>
      </c>
      <c r="M6700" s="30">
        <v>173.33358000000001</v>
      </c>
      <c r="N6700" s="30">
        <f t="shared" si="665"/>
        <v>173.33358000000001</v>
      </c>
      <c r="O6700" s="38">
        <f>SUM(N6700:N6700)</f>
        <v>173.33358000000001</v>
      </c>
      <c r="P6700" s="36" t="str">
        <f t="shared" si="666"/>
        <v/>
      </c>
      <c r="Q6700" s="216">
        <f t="shared" si="667"/>
        <v>0.14400000000000002</v>
      </c>
      <c r="R6700" s="216">
        <f t="shared" si="668"/>
        <v>0.14400000000000002</v>
      </c>
      <c r="S6700" s="217">
        <f t="shared" si="669"/>
        <v>0.14400000000000002</v>
      </c>
    </row>
    <row r="6701" spans="1:19" ht="15.75" hidden="1" thickBot="1" x14ac:dyDescent="0.3">
      <c r="A6701" s="263"/>
      <c r="B6701" s="261"/>
      <c r="C6701" s="54"/>
      <c r="D6701" s="54"/>
      <c r="E6701" s="65"/>
      <c r="F6701" s="66" t="s">
        <v>416</v>
      </c>
      <c r="G6701" s="66" t="str">
        <f t="shared" si="664"/>
        <v/>
      </c>
      <c r="H6701" s="68"/>
      <c r="I6701" s="30"/>
      <c r="J6701" s="152">
        <v>0</v>
      </c>
      <c r="L6701" s="222"/>
      <c r="M6701" s="66"/>
      <c r="N6701" s="66" t="str">
        <f t="shared" si="665"/>
        <v/>
      </c>
      <c r="O6701" s="68"/>
      <c r="P6701" s="36" t="str">
        <f t="shared" si="666"/>
        <v/>
      </c>
      <c r="Q6701" s="216" t="str">
        <f t="shared" si="667"/>
        <v/>
      </c>
      <c r="R6701" s="216" t="str">
        <f t="shared" si="668"/>
        <v/>
      </c>
      <c r="S6701" s="217" t="str">
        <f t="shared" si="669"/>
        <v/>
      </c>
    </row>
    <row r="6702" spans="1:19" ht="15.75" hidden="1" thickBot="1" x14ac:dyDescent="0.3">
      <c r="A6702" s="256" t="s">
        <v>6094</v>
      </c>
      <c r="B6702" s="259" t="str">
        <f>INDEX(Orçamentária!A:B,MATCH(Composições!A6702,Orçamentária!A:A,0),2)</f>
        <v>Tubo de cobre classe “E” 66 mm</v>
      </c>
      <c r="C6702" s="40"/>
      <c r="D6702" s="25" t="s">
        <v>69</v>
      </c>
      <c r="E6702" s="26"/>
      <c r="F6702" s="41" t="s">
        <v>416</v>
      </c>
      <c r="G6702" s="27" t="str">
        <f t="shared" si="664"/>
        <v/>
      </c>
      <c r="H6702" s="28"/>
      <c r="I6702" s="29"/>
      <c r="J6702" s="152">
        <v>0</v>
      </c>
      <c r="L6702" s="218"/>
      <c r="M6702" s="41"/>
      <c r="N6702" s="27" t="str">
        <f t="shared" si="665"/>
        <v/>
      </c>
      <c r="O6702" s="28"/>
      <c r="P6702" s="36" t="str">
        <f t="shared" si="666"/>
        <v/>
      </c>
      <c r="Q6702" s="216" t="str">
        <f t="shared" si="667"/>
        <v/>
      </c>
      <c r="R6702" s="216" t="str">
        <f t="shared" si="668"/>
        <v/>
      </c>
      <c r="S6702" s="217" t="str">
        <f t="shared" si="669"/>
        <v/>
      </c>
    </row>
    <row r="6703" spans="1:19" ht="15.75" hidden="1" thickBot="1" x14ac:dyDescent="0.3">
      <c r="A6703" s="262"/>
      <c r="B6703" s="260"/>
      <c r="C6703" s="31"/>
      <c r="D6703" s="31"/>
      <c r="E6703" s="32"/>
      <c r="F6703" s="42" t="s">
        <v>416</v>
      </c>
      <c r="G6703" s="30" t="str">
        <f t="shared" si="664"/>
        <v/>
      </c>
      <c r="H6703" s="34"/>
      <c r="I6703" s="30"/>
      <c r="J6703" s="152">
        <v>0</v>
      </c>
      <c r="L6703" s="219"/>
      <c r="M6703" s="42"/>
      <c r="N6703" s="30" t="str">
        <f t="shared" si="665"/>
        <v/>
      </c>
      <c r="O6703" s="34"/>
      <c r="P6703" s="36" t="str">
        <f t="shared" si="666"/>
        <v/>
      </c>
      <c r="Q6703" s="216" t="str">
        <f t="shared" si="667"/>
        <v/>
      </c>
      <c r="R6703" s="216" t="str">
        <f t="shared" si="668"/>
        <v/>
      </c>
      <c r="S6703" s="217" t="str">
        <f t="shared" si="669"/>
        <v/>
      </c>
    </row>
    <row r="6704" spans="1:19" ht="26.25" hidden="1" thickBot="1" x14ac:dyDescent="0.3">
      <c r="A6704" s="262"/>
      <c r="B6704" s="260"/>
      <c r="C6704" s="35" t="s">
        <v>8459</v>
      </c>
      <c r="D6704" s="35" t="s">
        <v>385</v>
      </c>
      <c r="E6704" s="36">
        <v>1</v>
      </c>
      <c r="F6704" s="30">
        <v>285.27550000000002</v>
      </c>
      <c r="G6704" s="30">
        <f t="shared" si="664"/>
        <v>285.27550000000002</v>
      </c>
      <c r="H6704" s="38">
        <f>SUM(G6704:G6704)</f>
        <v>285.27550000000002</v>
      </c>
      <c r="I6704" s="39"/>
      <c r="J6704" s="152">
        <v>0</v>
      </c>
      <c r="L6704" s="215">
        <v>1</v>
      </c>
      <c r="M6704" s="30">
        <v>244.19582800000001</v>
      </c>
      <c r="N6704" s="30">
        <f t="shared" si="665"/>
        <v>244.19582800000001</v>
      </c>
      <c r="O6704" s="38">
        <f>SUM(N6704:N6704)</f>
        <v>244.19582800000001</v>
      </c>
      <c r="P6704" s="36" t="str">
        <f t="shared" si="666"/>
        <v/>
      </c>
      <c r="Q6704" s="216">
        <f t="shared" si="667"/>
        <v>0.14400000000000002</v>
      </c>
      <c r="R6704" s="216">
        <f t="shared" si="668"/>
        <v>0.14400000000000002</v>
      </c>
      <c r="S6704" s="217">
        <f t="shared" si="669"/>
        <v>0.14400000000000002</v>
      </c>
    </row>
    <row r="6705" spans="1:19" ht="15.75" hidden="1" thickBot="1" x14ac:dyDescent="0.3">
      <c r="A6705" s="263"/>
      <c r="B6705" s="261"/>
      <c r="C6705" s="54"/>
      <c r="D6705" s="54"/>
      <c r="E6705" s="65"/>
      <c r="F6705" s="66" t="s">
        <v>416</v>
      </c>
      <c r="G6705" s="66" t="str">
        <f t="shared" si="664"/>
        <v/>
      </c>
      <c r="H6705" s="68"/>
      <c r="I6705" s="30"/>
      <c r="J6705" s="152">
        <v>0</v>
      </c>
      <c r="L6705" s="222"/>
      <c r="M6705" s="66"/>
      <c r="N6705" s="66" t="str">
        <f t="shared" si="665"/>
        <v/>
      </c>
      <c r="O6705" s="68"/>
      <c r="P6705" s="36" t="str">
        <f t="shared" si="666"/>
        <v/>
      </c>
      <c r="Q6705" s="216" t="str">
        <f t="shared" si="667"/>
        <v/>
      </c>
      <c r="R6705" s="216" t="str">
        <f t="shared" si="668"/>
        <v/>
      </c>
      <c r="S6705" s="217" t="str">
        <f t="shared" si="669"/>
        <v/>
      </c>
    </row>
    <row r="6706" spans="1:19" ht="15.75" hidden="1" thickBot="1" x14ac:dyDescent="0.3">
      <c r="A6706" s="256" t="s">
        <v>6095</v>
      </c>
      <c r="B6706" s="259" t="str">
        <f>INDEX(Orçamentária!A:B,MATCH(Composições!A6706,Orçamentária!A:A,0),2)</f>
        <v>Tubo de cobre classe “E” 79 mm</v>
      </c>
      <c r="C6706" s="40"/>
      <c r="D6706" s="25" t="s">
        <v>69</v>
      </c>
      <c r="E6706" s="26"/>
      <c r="F6706" s="41" t="s">
        <v>416</v>
      </c>
      <c r="G6706" s="27" t="str">
        <f t="shared" ref="G6706:G6769" si="670">IF(ISNUMBER(F6706),E6706*F6706,"")</f>
        <v/>
      </c>
      <c r="H6706" s="28"/>
      <c r="I6706" s="29"/>
      <c r="J6706" s="152">
        <v>0</v>
      </c>
      <c r="L6706" s="218"/>
      <c r="M6706" s="41"/>
      <c r="N6706" s="27" t="str">
        <f t="shared" ref="N6706:N6769" si="671">IF(ISNUMBER(M6706),L6706*M6706,"")</f>
        <v/>
      </c>
      <c r="O6706" s="28"/>
      <c r="P6706" s="36" t="str">
        <f t="shared" si="666"/>
        <v/>
      </c>
      <c r="Q6706" s="216" t="str">
        <f t="shared" si="667"/>
        <v/>
      </c>
      <c r="R6706" s="216" t="str">
        <f t="shared" si="668"/>
        <v/>
      </c>
      <c r="S6706" s="217" t="str">
        <f t="shared" si="669"/>
        <v/>
      </c>
    </row>
    <row r="6707" spans="1:19" ht="15.75" hidden="1" thickBot="1" x14ac:dyDescent="0.3">
      <c r="A6707" s="262"/>
      <c r="B6707" s="260"/>
      <c r="C6707" s="31"/>
      <c r="D6707" s="31"/>
      <c r="E6707" s="32"/>
      <c r="F6707" s="42" t="s">
        <v>416</v>
      </c>
      <c r="G6707" s="30" t="str">
        <f t="shared" si="670"/>
        <v/>
      </c>
      <c r="H6707" s="34"/>
      <c r="I6707" s="30"/>
      <c r="J6707" s="152">
        <v>0</v>
      </c>
      <c r="L6707" s="219"/>
      <c r="M6707" s="42"/>
      <c r="N6707" s="30" t="str">
        <f t="shared" si="671"/>
        <v/>
      </c>
      <c r="O6707" s="34"/>
      <c r="P6707" s="36" t="str">
        <f t="shared" si="666"/>
        <v/>
      </c>
      <c r="Q6707" s="216" t="str">
        <f t="shared" si="667"/>
        <v/>
      </c>
      <c r="R6707" s="216" t="str">
        <f t="shared" si="668"/>
        <v/>
      </c>
      <c r="S6707" s="217" t="str">
        <f t="shared" si="669"/>
        <v/>
      </c>
    </row>
    <row r="6708" spans="1:19" ht="26.25" hidden="1" thickBot="1" x14ac:dyDescent="0.3">
      <c r="A6708" s="262"/>
      <c r="B6708" s="260"/>
      <c r="C6708" s="35" t="s">
        <v>8460</v>
      </c>
      <c r="D6708" s="35" t="s">
        <v>385</v>
      </c>
      <c r="E6708" s="36">
        <v>1</v>
      </c>
      <c r="F6708" s="30">
        <v>417.0215</v>
      </c>
      <c r="G6708" s="30">
        <f t="shared" si="670"/>
        <v>417.0215</v>
      </c>
      <c r="H6708" s="38">
        <f>SUM(G6708:G6708)</f>
        <v>417.0215</v>
      </c>
      <c r="I6708" s="39"/>
      <c r="J6708" s="152">
        <v>0</v>
      </c>
      <c r="L6708" s="215">
        <v>1</v>
      </c>
      <c r="M6708" s="30">
        <v>356.97040400000003</v>
      </c>
      <c r="N6708" s="30">
        <f t="shared" si="671"/>
        <v>356.97040400000003</v>
      </c>
      <c r="O6708" s="38">
        <f>SUM(N6708:N6708)</f>
        <v>356.97040400000003</v>
      </c>
      <c r="P6708" s="36" t="str">
        <f t="shared" si="666"/>
        <v/>
      </c>
      <c r="Q6708" s="216">
        <f t="shared" si="667"/>
        <v>0.14399999999999991</v>
      </c>
      <c r="R6708" s="216">
        <f t="shared" si="668"/>
        <v>0.14399999999999991</v>
      </c>
      <c r="S6708" s="217">
        <f t="shared" si="669"/>
        <v>0.14399999999999991</v>
      </c>
    </row>
    <row r="6709" spans="1:19" ht="15.75" hidden="1" thickBot="1" x14ac:dyDescent="0.3">
      <c r="A6709" s="263"/>
      <c r="B6709" s="261"/>
      <c r="C6709" s="54"/>
      <c r="D6709" s="54"/>
      <c r="E6709" s="65"/>
      <c r="F6709" s="66" t="s">
        <v>416</v>
      </c>
      <c r="G6709" s="66" t="str">
        <f t="shared" si="670"/>
        <v/>
      </c>
      <c r="H6709" s="68"/>
      <c r="I6709" s="30"/>
      <c r="J6709" s="152">
        <v>0</v>
      </c>
      <c r="L6709" s="222"/>
      <c r="M6709" s="66"/>
      <c r="N6709" s="66" t="str">
        <f t="shared" si="671"/>
        <v/>
      </c>
      <c r="O6709" s="68"/>
      <c r="P6709" s="36" t="str">
        <f t="shared" si="666"/>
        <v/>
      </c>
      <c r="Q6709" s="216" t="str">
        <f t="shared" si="667"/>
        <v/>
      </c>
      <c r="R6709" s="216" t="str">
        <f t="shared" si="668"/>
        <v/>
      </c>
      <c r="S6709" s="217" t="str">
        <f t="shared" si="669"/>
        <v/>
      </c>
    </row>
    <row r="6710" spans="1:19" ht="15.75" hidden="1" thickBot="1" x14ac:dyDescent="0.3">
      <c r="A6710" s="256" t="s">
        <v>6096</v>
      </c>
      <c r="B6710" s="259" t="str">
        <f>INDEX(Orçamentária!A:B,MATCH(Composições!A6710,Orçamentária!A:A,0),2)</f>
        <v>Tubo de cobre classe “E” 104 mm</v>
      </c>
      <c r="C6710" s="40"/>
      <c r="D6710" s="25" t="s">
        <v>69</v>
      </c>
      <c r="E6710" s="26"/>
      <c r="F6710" s="41" t="s">
        <v>416</v>
      </c>
      <c r="G6710" s="27" t="str">
        <f t="shared" si="670"/>
        <v/>
      </c>
      <c r="H6710" s="28"/>
      <c r="I6710" s="29"/>
      <c r="J6710" s="152">
        <v>0</v>
      </c>
      <c r="L6710" s="218"/>
      <c r="M6710" s="41"/>
      <c r="N6710" s="27" t="str">
        <f t="shared" si="671"/>
        <v/>
      </c>
      <c r="O6710" s="28"/>
      <c r="P6710" s="36" t="str">
        <f t="shared" si="666"/>
        <v/>
      </c>
      <c r="Q6710" s="216" t="str">
        <f t="shared" si="667"/>
        <v/>
      </c>
      <c r="R6710" s="216" t="str">
        <f t="shared" si="668"/>
        <v/>
      </c>
      <c r="S6710" s="217" t="str">
        <f t="shared" si="669"/>
        <v/>
      </c>
    </row>
    <row r="6711" spans="1:19" ht="15.75" hidden="1" thickBot="1" x14ac:dyDescent="0.3">
      <c r="A6711" s="262"/>
      <c r="B6711" s="260"/>
      <c r="C6711" s="31"/>
      <c r="D6711" s="31"/>
      <c r="E6711" s="32"/>
      <c r="F6711" s="42" t="s">
        <v>416</v>
      </c>
      <c r="G6711" s="30" t="str">
        <f t="shared" si="670"/>
        <v/>
      </c>
      <c r="H6711" s="34"/>
      <c r="I6711" s="30"/>
      <c r="J6711" s="152">
        <v>0</v>
      </c>
      <c r="L6711" s="219"/>
      <c r="M6711" s="42"/>
      <c r="N6711" s="30" t="str">
        <f t="shared" si="671"/>
        <v/>
      </c>
      <c r="O6711" s="34"/>
      <c r="P6711" s="36" t="str">
        <f t="shared" si="666"/>
        <v/>
      </c>
      <c r="Q6711" s="216" t="str">
        <f t="shared" si="667"/>
        <v/>
      </c>
      <c r="R6711" s="216" t="str">
        <f t="shared" si="668"/>
        <v/>
      </c>
      <c r="S6711" s="217" t="str">
        <f t="shared" si="669"/>
        <v/>
      </c>
    </row>
    <row r="6712" spans="1:19" ht="26.25" hidden="1" thickBot="1" x14ac:dyDescent="0.3">
      <c r="A6712" s="262"/>
      <c r="B6712" s="260"/>
      <c r="C6712" s="35" t="s">
        <v>8456</v>
      </c>
      <c r="D6712" s="35" t="s">
        <v>385</v>
      </c>
      <c r="E6712" s="36">
        <v>1</v>
      </c>
      <c r="F6712" s="30">
        <v>614.92549999999994</v>
      </c>
      <c r="G6712" s="30">
        <f t="shared" si="670"/>
        <v>614.92549999999994</v>
      </c>
      <c r="H6712" s="38">
        <f>SUM(G6712:G6712)</f>
        <v>614.92549999999994</v>
      </c>
      <c r="I6712" s="39"/>
      <c r="J6712" s="152">
        <v>0</v>
      </c>
      <c r="L6712" s="215">
        <v>1</v>
      </c>
      <c r="M6712" s="30">
        <v>526.37622799999997</v>
      </c>
      <c r="N6712" s="30">
        <f t="shared" si="671"/>
        <v>526.37622799999997</v>
      </c>
      <c r="O6712" s="38">
        <f>SUM(N6712:N6712)</f>
        <v>526.37622799999997</v>
      </c>
      <c r="P6712" s="36" t="str">
        <f t="shared" si="666"/>
        <v/>
      </c>
      <c r="Q6712" s="216">
        <f t="shared" si="667"/>
        <v>0.14400000000000002</v>
      </c>
      <c r="R6712" s="216">
        <f t="shared" si="668"/>
        <v>0.14400000000000002</v>
      </c>
      <c r="S6712" s="217">
        <f t="shared" si="669"/>
        <v>0.14400000000000002</v>
      </c>
    </row>
    <row r="6713" spans="1:19" ht="15.75" hidden="1" thickBot="1" x14ac:dyDescent="0.3">
      <c r="A6713" s="263"/>
      <c r="B6713" s="261"/>
      <c r="C6713" s="54"/>
      <c r="D6713" s="54"/>
      <c r="E6713" s="65"/>
      <c r="F6713" s="66" t="s">
        <v>416</v>
      </c>
      <c r="G6713" s="66" t="str">
        <f t="shared" si="670"/>
        <v/>
      </c>
      <c r="H6713" s="68"/>
      <c r="I6713" s="30"/>
      <c r="J6713" s="152">
        <v>0</v>
      </c>
      <c r="L6713" s="222"/>
      <c r="M6713" s="66"/>
      <c r="N6713" s="66" t="str">
        <f t="shared" si="671"/>
        <v/>
      </c>
      <c r="O6713" s="68"/>
      <c r="P6713" s="36" t="str">
        <f t="shared" si="666"/>
        <v/>
      </c>
      <c r="Q6713" s="216" t="str">
        <f t="shared" si="667"/>
        <v/>
      </c>
      <c r="R6713" s="216" t="str">
        <f t="shared" si="668"/>
        <v/>
      </c>
      <c r="S6713" s="217" t="str">
        <f t="shared" si="669"/>
        <v/>
      </c>
    </row>
    <row r="6714" spans="1:19" ht="15.75" hidden="1" thickBot="1" x14ac:dyDescent="0.3">
      <c r="A6714" s="256" t="s">
        <v>6097</v>
      </c>
      <c r="B6714" s="259" t="str">
        <f>INDEX(Orçamentária!A:B,MATCH(Composições!A6714,Orçamentária!A:A,0),2)</f>
        <v>Tubo CPVC soldável 22 mm – Linha Residencial</v>
      </c>
      <c r="C6714" s="40"/>
      <c r="D6714" s="25" t="s">
        <v>69</v>
      </c>
      <c r="E6714" s="26"/>
      <c r="F6714" s="41" t="s">
        <v>416</v>
      </c>
      <c r="G6714" s="27" t="str">
        <f t="shared" si="670"/>
        <v/>
      </c>
      <c r="H6714" s="28"/>
      <c r="I6714" s="29"/>
      <c r="J6714" s="152">
        <v>0</v>
      </c>
      <c r="L6714" s="218"/>
      <c r="M6714" s="41"/>
      <c r="N6714" s="27" t="str">
        <f t="shared" si="671"/>
        <v/>
      </c>
      <c r="O6714" s="28"/>
      <c r="P6714" s="36" t="str">
        <f t="shared" si="666"/>
        <v/>
      </c>
      <c r="Q6714" s="216" t="str">
        <f t="shared" si="667"/>
        <v/>
      </c>
      <c r="R6714" s="216" t="str">
        <f t="shared" si="668"/>
        <v/>
      </c>
      <c r="S6714" s="217" t="str">
        <f t="shared" si="669"/>
        <v/>
      </c>
    </row>
    <row r="6715" spans="1:19" ht="15.75" hidden="1" thickBot="1" x14ac:dyDescent="0.3">
      <c r="A6715" s="262"/>
      <c r="B6715" s="260"/>
      <c r="C6715" s="31"/>
      <c r="D6715" s="31"/>
      <c r="E6715" s="32"/>
      <c r="F6715" s="42" t="s">
        <v>416</v>
      </c>
      <c r="G6715" s="30" t="str">
        <f t="shared" si="670"/>
        <v/>
      </c>
      <c r="H6715" s="34"/>
      <c r="I6715" s="30"/>
      <c r="J6715" s="152">
        <v>0</v>
      </c>
      <c r="L6715" s="219"/>
      <c r="M6715" s="42"/>
      <c r="N6715" s="30" t="str">
        <f t="shared" si="671"/>
        <v/>
      </c>
      <c r="O6715" s="34"/>
      <c r="P6715" s="36" t="str">
        <f t="shared" si="666"/>
        <v/>
      </c>
      <c r="Q6715" s="216" t="str">
        <f t="shared" si="667"/>
        <v/>
      </c>
      <c r="R6715" s="216" t="str">
        <f t="shared" si="668"/>
        <v/>
      </c>
      <c r="S6715" s="217" t="str">
        <f t="shared" si="669"/>
        <v/>
      </c>
    </row>
    <row r="6716" spans="1:19" ht="26.25" hidden="1" thickBot="1" x14ac:dyDescent="0.3">
      <c r="A6716" s="262"/>
      <c r="B6716" s="260"/>
      <c r="C6716" s="35" t="s">
        <v>2948</v>
      </c>
      <c r="D6716" s="35" t="s">
        <v>385</v>
      </c>
      <c r="E6716" s="36">
        <v>1</v>
      </c>
      <c r="F6716" s="30">
        <v>13.034000000000001</v>
      </c>
      <c r="G6716" s="30">
        <f t="shared" si="670"/>
        <v>13.034000000000001</v>
      </c>
      <c r="H6716" s="38">
        <f>SUM(G6716:G6716)</f>
        <v>13.034000000000001</v>
      </c>
      <c r="I6716" s="39"/>
      <c r="J6716" s="152">
        <v>0</v>
      </c>
      <c r="L6716" s="215">
        <v>1</v>
      </c>
      <c r="M6716" s="30">
        <v>11.157104</v>
      </c>
      <c r="N6716" s="30">
        <f t="shared" si="671"/>
        <v>11.157104</v>
      </c>
      <c r="O6716" s="38">
        <f>SUM(N6716:N6716)</f>
        <v>11.157104</v>
      </c>
      <c r="P6716" s="36" t="str">
        <f t="shared" si="666"/>
        <v/>
      </c>
      <c r="Q6716" s="216">
        <f t="shared" si="667"/>
        <v>0.14400000000000002</v>
      </c>
      <c r="R6716" s="216">
        <f t="shared" si="668"/>
        <v>0.14400000000000002</v>
      </c>
      <c r="S6716" s="217">
        <f t="shared" si="669"/>
        <v>0.14400000000000002</v>
      </c>
    </row>
    <row r="6717" spans="1:19" ht="15.75" hidden="1" thickBot="1" x14ac:dyDescent="0.3">
      <c r="A6717" s="263"/>
      <c r="B6717" s="261"/>
      <c r="C6717" s="54"/>
      <c r="D6717" s="54"/>
      <c r="E6717" s="65"/>
      <c r="F6717" s="66" t="s">
        <v>416</v>
      </c>
      <c r="G6717" s="66" t="str">
        <f t="shared" si="670"/>
        <v/>
      </c>
      <c r="H6717" s="68"/>
      <c r="I6717" s="30"/>
      <c r="J6717" s="152">
        <v>0</v>
      </c>
      <c r="L6717" s="222"/>
      <c r="M6717" s="66"/>
      <c r="N6717" s="66" t="str">
        <f t="shared" si="671"/>
        <v/>
      </c>
      <c r="O6717" s="68"/>
      <c r="P6717" s="36" t="str">
        <f t="shared" si="666"/>
        <v/>
      </c>
      <c r="Q6717" s="216" t="str">
        <f t="shared" si="667"/>
        <v/>
      </c>
      <c r="R6717" s="216" t="str">
        <f t="shared" si="668"/>
        <v/>
      </c>
      <c r="S6717" s="217" t="str">
        <f t="shared" si="669"/>
        <v/>
      </c>
    </row>
    <row r="6718" spans="1:19" ht="15.75" hidden="1" thickBot="1" x14ac:dyDescent="0.3">
      <c r="A6718" s="256" t="s">
        <v>6099</v>
      </c>
      <c r="B6718" s="259" t="str">
        <f>INDEX(Orçamentária!A:B,MATCH(Composições!A6718,Orçamentária!A:A,0),2)</f>
        <v>Tubo CPVC soldável 28 mm  – Linha Residencial</v>
      </c>
      <c r="C6718" s="40"/>
      <c r="D6718" s="25" t="s">
        <v>69</v>
      </c>
      <c r="E6718" s="26"/>
      <c r="F6718" s="41" t="s">
        <v>416</v>
      </c>
      <c r="G6718" s="27" t="str">
        <f t="shared" si="670"/>
        <v/>
      </c>
      <c r="H6718" s="28"/>
      <c r="I6718" s="29"/>
      <c r="J6718" s="152">
        <v>0</v>
      </c>
      <c r="L6718" s="218"/>
      <c r="M6718" s="41"/>
      <c r="N6718" s="27" t="str">
        <f t="shared" si="671"/>
        <v/>
      </c>
      <c r="O6718" s="28"/>
      <c r="P6718" s="36" t="str">
        <f t="shared" si="666"/>
        <v/>
      </c>
      <c r="Q6718" s="216" t="str">
        <f t="shared" si="667"/>
        <v/>
      </c>
      <c r="R6718" s="216" t="str">
        <f t="shared" si="668"/>
        <v/>
      </c>
      <c r="S6718" s="217" t="str">
        <f t="shared" si="669"/>
        <v/>
      </c>
    </row>
    <row r="6719" spans="1:19" ht="15.75" hidden="1" thickBot="1" x14ac:dyDescent="0.3">
      <c r="A6719" s="262"/>
      <c r="B6719" s="260"/>
      <c r="C6719" s="31"/>
      <c r="D6719" s="31"/>
      <c r="E6719" s="32"/>
      <c r="F6719" s="42" t="s">
        <v>416</v>
      </c>
      <c r="G6719" s="30" t="str">
        <f t="shared" si="670"/>
        <v/>
      </c>
      <c r="H6719" s="34"/>
      <c r="I6719" s="30"/>
      <c r="J6719" s="152">
        <v>0</v>
      </c>
      <c r="L6719" s="219"/>
      <c r="M6719" s="42"/>
      <c r="N6719" s="30" t="str">
        <f t="shared" si="671"/>
        <v/>
      </c>
      <c r="O6719" s="34"/>
      <c r="P6719" s="36" t="str">
        <f t="shared" si="666"/>
        <v/>
      </c>
      <c r="Q6719" s="216" t="str">
        <f t="shared" si="667"/>
        <v/>
      </c>
      <c r="R6719" s="216" t="str">
        <f t="shared" si="668"/>
        <v/>
      </c>
      <c r="S6719" s="217" t="str">
        <f t="shared" si="669"/>
        <v/>
      </c>
    </row>
    <row r="6720" spans="1:19" ht="26.25" hidden="1" thickBot="1" x14ac:dyDescent="0.3">
      <c r="A6720" s="262"/>
      <c r="B6720" s="260"/>
      <c r="C6720" s="35" t="s">
        <v>2949</v>
      </c>
      <c r="D6720" s="35" t="s">
        <v>385</v>
      </c>
      <c r="E6720" s="36">
        <v>1</v>
      </c>
      <c r="F6720" s="30">
        <v>22.448499999999999</v>
      </c>
      <c r="G6720" s="30">
        <f t="shared" si="670"/>
        <v>22.448499999999999</v>
      </c>
      <c r="H6720" s="38">
        <f>SUM(G6720:G6720)</f>
        <v>22.448499999999999</v>
      </c>
      <c r="I6720" s="39"/>
      <c r="J6720" s="152">
        <v>0</v>
      </c>
      <c r="L6720" s="215">
        <v>1</v>
      </c>
      <c r="M6720" s="30">
        <v>19.215916</v>
      </c>
      <c r="N6720" s="30">
        <f t="shared" si="671"/>
        <v>19.215916</v>
      </c>
      <c r="O6720" s="38">
        <f>SUM(N6720:N6720)</f>
        <v>19.215916</v>
      </c>
      <c r="P6720" s="36" t="str">
        <f t="shared" si="666"/>
        <v/>
      </c>
      <c r="Q6720" s="216">
        <f t="shared" si="667"/>
        <v>0.14400000000000002</v>
      </c>
      <c r="R6720" s="216">
        <f t="shared" si="668"/>
        <v>0.14400000000000002</v>
      </c>
      <c r="S6720" s="217">
        <f t="shared" si="669"/>
        <v>0.14400000000000002</v>
      </c>
    </row>
    <row r="6721" spans="1:19" ht="15.75" hidden="1" thickBot="1" x14ac:dyDescent="0.3">
      <c r="A6721" s="263"/>
      <c r="B6721" s="261"/>
      <c r="C6721" s="54"/>
      <c r="D6721" s="54"/>
      <c r="E6721" s="65"/>
      <c r="F6721" s="66" t="s">
        <v>416</v>
      </c>
      <c r="G6721" s="66" t="str">
        <f t="shared" si="670"/>
        <v/>
      </c>
      <c r="H6721" s="68"/>
      <c r="I6721" s="30"/>
      <c r="J6721" s="152">
        <v>0</v>
      </c>
      <c r="L6721" s="222"/>
      <c r="M6721" s="66"/>
      <c r="N6721" s="66" t="str">
        <f t="shared" si="671"/>
        <v/>
      </c>
      <c r="O6721" s="68"/>
      <c r="P6721" s="36" t="str">
        <f t="shared" si="666"/>
        <v/>
      </c>
      <c r="Q6721" s="216" t="str">
        <f t="shared" si="667"/>
        <v/>
      </c>
      <c r="R6721" s="216" t="str">
        <f t="shared" si="668"/>
        <v/>
      </c>
      <c r="S6721" s="217" t="str">
        <f t="shared" si="669"/>
        <v/>
      </c>
    </row>
    <row r="6722" spans="1:19" ht="15.75" hidden="1" thickBot="1" x14ac:dyDescent="0.3">
      <c r="A6722" s="256" t="s">
        <v>6101</v>
      </c>
      <c r="B6722" s="259" t="str">
        <f>INDEX(Orçamentária!A:B,MATCH(Composições!A6722,Orçamentária!A:A,0),2)</f>
        <v>Tubo de aço-carbono galvanizado 1 1/4” – Água Potável e Combate a Incêndio</v>
      </c>
      <c r="C6722" s="40"/>
      <c r="D6722" s="25" t="s">
        <v>69</v>
      </c>
      <c r="E6722" s="26"/>
      <c r="F6722" s="41" t="s">
        <v>416</v>
      </c>
      <c r="G6722" s="27" t="str">
        <f t="shared" si="670"/>
        <v/>
      </c>
      <c r="H6722" s="28"/>
      <c r="I6722" s="29"/>
      <c r="J6722" s="152">
        <v>0</v>
      </c>
      <c r="L6722" s="218"/>
      <c r="M6722" s="41"/>
      <c r="N6722" s="27" t="str">
        <f t="shared" si="671"/>
        <v/>
      </c>
      <c r="O6722" s="28"/>
      <c r="P6722" s="36" t="str">
        <f t="shared" si="666"/>
        <v/>
      </c>
      <c r="Q6722" s="216" t="str">
        <f t="shared" si="667"/>
        <v/>
      </c>
      <c r="R6722" s="216" t="str">
        <f t="shared" si="668"/>
        <v/>
      </c>
      <c r="S6722" s="217" t="str">
        <f t="shared" si="669"/>
        <v/>
      </c>
    </row>
    <row r="6723" spans="1:19" ht="15.75" hidden="1" thickBot="1" x14ac:dyDescent="0.3">
      <c r="A6723" s="262"/>
      <c r="B6723" s="260"/>
      <c r="C6723" s="31"/>
      <c r="D6723" s="31"/>
      <c r="E6723" s="32"/>
      <c r="F6723" s="42" t="s">
        <v>416</v>
      </c>
      <c r="G6723" s="30" t="str">
        <f t="shared" si="670"/>
        <v/>
      </c>
      <c r="H6723" s="34"/>
      <c r="I6723" s="30"/>
      <c r="J6723" s="152">
        <v>0</v>
      </c>
      <c r="L6723" s="219"/>
      <c r="M6723" s="42"/>
      <c r="N6723" s="30" t="str">
        <f t="shared" si="671"/>
        <v/>
      </c>
      <c r="O6723" s="34"/>
      <c r="P6723" s="36" t="str">
        <f t="shared" si="666"/>
        <v/>
      </c>
      <c r="Q6723" s="216" t="str">
        <f t="shared" si="667"/>
        <v/>
      </c>
      <c r="R6723" s="216" t="str">
        <f t="shared" si="668"/>
        <v/>
      </c>
      <c r="S6723" s="217" t="str">
        <f t="shared" si="669"/>
        <v/>
      </c>
    </row>
    <row r="6724" spans="1:19" ht="26.25" hidden="1" thickBot="1" x14ac:dyDescent="0.3">
      <c r="A6724" s="262"/>
      <c r="B6724" s="260"/>
      <c r="C6724" s="35" t="s">
        <v>8544</v>
      </c>
      <c r="D6724" s="35" t="s">
        <v>385</v>
      </c>
      <c r="E6724" s="36">
        <v>1</v>
      </c>
      <c r="F6724" s="30">
        <v>49.580499999999994</v>
      </c>
      <c r="G6724" s="30">
        <f t="shared" si="670"/>
        <v>49.580499999999994</v>
      </c>
      <c r="H6724" s="38">
        <f>SUM(G6724:G6724)</f>
        <v>49.580499999999994</v>
      </c>
      <c r="I6724" s="39"/>
      <c r="J6724" s="152">
        <v>0</v>
      </c>
      <c r="L6724" s="215">
        <v>1</v>
      </c>
      <c r="M6724" s="30">
        <v>42.440907999999993</v>
      </c>
      <c r="N6724" s="30">
        <f t="shared" si="671"/>
        <v>42.440907999999993</v>
      </c>
      <c r="O6724" s="38">
        <f>SUM(N6724:N6724)</f>
        <v>42.440907999999993</v>
      </c>
      <c r="P6724" s="36" t="str">
        <f t="shared" si="666"/>
        <v/>
      </c>
      <c r="Q6724" s="216">
        <f t="shared" si="667"/>
        <v>0.14400000000000002</v>
      </c>
      <c r="R6724" s="216">
        <f t="shared" si="668"/>
        <v>0.14400000000000002</v>
      </c>
      <c r="S6724" s="217">
        <f t="shared" si="669"/>
        <v>0.14400000000000002</v>
      </c>
    </row>
    <row r="6725" spans="1:19" ht="15.75" hidden="1" thickBot="1" x14ac:dyDescent="0.3">
      <c r="A6725" s="263"/>
      <c r="B6725" s="261"/>
      <c r="C6725" s="54"/>
      <c r="D6725" s="54"/>
      <c r="E6725" s="65"/>
      <c r="F6725" s="66" t="s">
        <v>416</v>
      </c>
      <c r="G6725" s="66" t="str">
        <f t="shared" si="670"/>
        <v/>
      </c>
      <c r="H6725" s="68"/>
      <c r="I6725" s="30"/>
      <c r="J6725" s="152">
        <v>0</v>
      </c>
      <c r="L6725" s="222"/>
      <c r="M6725" s="66"/>
      <c r="N6725" s="66" t="str">
        <f t="shared" si="671"/>
        <v/>
      </c>
      <c r="O6725" s="68"/>
      <c r="P6725" s="36" t="str">
        <f t="shared" si="666"/>
        <v/>
      </c>
      <c r="Q6725" s="216" t="str">
        <f t="shared" si="667"/>
        <v/>
      </c>
      <c r="R6725" s="216" t="str">
        <f t="shared" si="668"/>
        <v/>
      </c>
      <c r="S6725" s="217" t="str">
        <f t="shared" si="669"/>
        <v/>
      </c>
    </row>
    <row r="6726" spans="1:19" ht="15.75" hidden="1" thickBot="1" x14ac:dyDescent="0.3">
      <c r="A6726" s="256" t="s">
        <v>6103</v>
      </c>
      <c r="B6726" s="259" t="str">
        <f>INDEX(Orçamentária!A:B,MATCH(Composições!A6726,Orçamentária!A:A,0),2)</f>
        <v>Tubo de aço-carbono galvanizado 1/2” – Água Potável e Combate a Incêndio</v>
      </c>
      <c r="C6726" s="40"/>
      <c r="D6726" s="25" t="s">
        <v>69</v>
      </c>
      <c r="E6726" s="26"/>
      <c r="F6726" s="41" t="s">
        <v>416</v>
      </c>
      <c r="G6726" s="27" t="str">
        <f t="shared" si="670"/>
        <v/>
      </c>
      <c r="H6726" s="28"/>
      <c r="I6726" s="29"/>
      <c r="J6726" s="152">
        <v>0</v>
      </c>
      <c r="L6726" s="218"/>
      <c r="M6726" s="41"/>
      <c r="N6726" s="27" t="str">
        <f t="shared" si="671"/>
        <v/>
      </c>
      <c r="O6726" s="28"/>
      <c r="P6726" s="36" t="str">
        <f t="shared" si="666"/>
        <v/>
      </c>
      <c r="Q6726" s="216" t="str">
        <f t="shared" si="667"/>
        <v/>
      </c>
      <c r="R6726" s="216" t="str">
        <f t="shared" si="668"/>
        <v/>
      </c>
      <c r="S6726" s="217" t="str">
        <f t="shared" si="669"/>
        <v/>
      </c>
    </row>
    <row r="6727" spans="1:19" ht="15.75" hidden="1" thickBot="1" x14ac:dyDescent="0.3">
      <c r="A6727" s="262"/>
      <c r="B6727" s="260"/>
      <c r="C6727" s="31"/>
      <c r="D6727" s="31"/>
      <c r="E6727" s="32"/>
      <c r="F6727" s="42" t="s">
        <v>416</v>
      </c>
      <c r="G6727" s="30" t="str">
        <f t="shared" si="670"/>
        <v/>
      </c>
      <c r="H6727" s="34"/>
      <c r="I6727" s="30"/>
      <c r="J6727" s="152">
        <v>0</v>
      </c>
      <c r="L6727" s="219"/>
      <c r="M6727" s="42"/>
      <c r="N6727" s="30" t="str">
        <f t="shared" si="671"/>
        <v/>
      </c>
      <c r="O6727" s="34"/>
      <c r="P6727" s="36" t="str">
        <f t="shared" si="666"/>
        <v/>
      </c>
      <c r="Q6727" s="216" t="str">
        <f t="shared" si="667"/>
        <v/>
      </c>
      <c r="R6727" s="216" t="str">
        <f t="shared" si="668"/>
        <v/>
      </c>
      <c r="S6727" s="217" t="str">
        <f t="shared" si="669"/>
        <v/>
      </c>
    </row>
    <row r="6728" spans="1:19" ht="26.25" hidden="1" thickBot="1" x14ac:dyDescent="0.3">
      <c r="A6728" s="262"/>
      <c r="B6728" s="260"/>
      <c r="C6728" s="35" t="s">
        <v>8545</v>
      </c>
      <c r="D6728" s="35" t="s">
        <v>385</v>
      </c>
      <c r="E6728" s="36">
        <v>1</v>
      </c>
      <c r="F6728" s="30">
        <v>19.456</v>
      </c>
      <c r="G6728" s="30">
        <f t="shared" si="670"/>
        <v>19.456</v>
      </c>
      <c r="H6728" s="38">
        <f>SUM(G6728:G6728)</f>
        <v>19.456</v>
      </c>
      <c r="I6728" s="39"/>
      <c r="J6728" s="152">
        <v>0</v>
      </c>
      <c r="L6728" s="215">
        <v>1</v>
      </c>
      <c r="M6728" s="30">
        <v>16.654336000000001</v>
      </c>
      <c r="N6728" s="30">
        <f t="shared" si="671"/>
        <v>16.654336000000001</v>
      </c>
      <c r="O6728" s="38">
        <f>SUM(N6728:N6728)</f>
        <v>16.654336000000001</v>
      </c>
      <c r="P6728" s="36" t="str">
        <f t="shared" ref="P6728:P6791" si="672">IF(ISBLANK(L6728),"",IF($E6728&lt;&gt;L6728,"SIM",""))</f>
        <v/>
      </c>
      <c r="Q6728" s="216">
        <f t="shared" ref="Q6728:Q6791" si="673">IF(M6728="","",1-M6728/$F6728)</f>
        <v>0.14399999999999991</v>
      </c>
      <c r="R6728" s="216">
        <f t="shared" ref="R6728:R6791" si="674">IF(N6728="","",1-N6728/$G6728)</f>
        <v>0.14399999999999991</v>
      </c>
      <c r="S6728" s="217">
        <f t="shared" ref="S6728:S6791" si="675">IF(O6728="","",1-O6728/$H6728)</f>
        <v>0.14399999999999991</v>
      </c>
    </row>
    <row r="6729" spans="1:19" ht="15.75" hidden="1" thickBot="1" x14ac:dyDescent="0.3">
      <c r="A6729" s="263"/>
      <c r="B6729" s="261"/>
      <c r="C6729" s="54"/>
      <c r="D6729" s="54"/>
      <c r="E6729" s="65"/>
      <c r="F6729" s="66" t="s">
        <v>416</v>
      </c>
      <c r="G6729" s="66" t="str">
        <f t="shared" si="670"/>
        <v/>
      </c>
      <c r="H6729" s="68"/>
      <c r="I6729" s="30"/>
      <c r="J6729" s="152">
        <v>0</v>
      </c>
      <c r="L6729" s="222"/>
      <c r="M6729" s="66"/>
      <c r="N6729" s="66" t="str">
        <f t="shared" si="671"/>
        <v/>
      </c>
      <c r="O6729" s="68"/>
      <c r="P6729" s="36" t="str">
        <f t="shared" si="672"/>
        <v/>
      </c>
      <c r="Q6729" s="216" t="str">
        <f t="shared" si="673"/>
        <v/>
      </c>
      <c r="R6729" s="216" t="str">
        <f t="shared" si="674"/>
        <v/>
      </c>
      <c r="S6729" s="217" t="str">
        <f t="shared" si="675"/>
        <v/>
      </c>
    </row>
    <row r="6730" spans="1:19" ht="15.75" hidden="1" thickBot="1" x14ac:dyDescent="0.3">
      <c r="A6730" s="256" t="s">
        <v>6105</v>
      </c>
      <c r="B6730" s="259" t="str">
        <f>INDEX(Orçamentária!A:B,MATCH(Composições!A6730,Orçamentária!A:A,0),2)</f>
        <v>Tubo de aço-carbono galvanizado 3/4” – Água Potável e Combate a Incêndio</v>
      </c>
      <c r="C6730" s="40"/>
      <c r="D6730" s="25" t="s">
        <v>69</v>
      </c>
      <c r="E6730" s="26"/>
      <c r="F6730" s="41" t="s">
        <v>416</v>
      </c>
      <c r="G6730" s="27" t="str">
        <f t="shared" si="670"/>
        <v/>
      </c>
      <c r="H6730" s="28"/>
      <c r="I6730" s="29"/>
      <c r="J6730" s="152">
        <v>0</v>
      </c>
      <c r="L6730" s="218"/>
      <c r="M6730" s="41"/>
      <c r="N6730" s="27" t="str">
        <f t="shared" si="671"/>
        <v/>
      </c>
      <c r="O6730" s="28"/>
      <c r="P6730" s="36" t="str">
        <f t="shared" si="672"/>
        <v/>
      </c>
      <c r="Q6730" s="216" t="str">
        <f t="shared" si="673"/>
        <v/>
      </c>
      <c r="R6730" s="216" t="str">
        <f t="shared" si="674"/>
        <v/>
      </c>
      <c r="S6730" s="217" t="str">
        <f t="shared" si="675"/>
        <v/>
      </c>
    </row>
    <row r="6731" spans="1:19" ht="15.75" hidden="1" thickBot="1" x14ac:dyDescent="0.3">
      <c r="A6731" s="262"/>
      <c r="B6731" s="260"/>
      <c r="C6731" s="31"/>
      <c r="D6731" s="31"/>
      <c r="E6731" s="32"/>
      <c r="F6731" s="42" t="s">
        <v>416</v>
      </c>
      <c r="G6731" s="30" t="str">
        <f t="shared" si="670"/>
        <v/>
      </c>
      <c r="H6731" s="34"/>
      <c r="I6731" s="30"/>
      <c r="J6731" s="152">
        <v>0</v>
      </c>
      <c r="L6731" s="219"/>
      <c r="M6731" s="42"/>
      <c r="N6731" s="30" t="str">
        <f t="shared" si="671"/>
        <v/>
      </c>
      <c r="O6731" s="34"/>
      <c r="P6731" s="36" t="str">
        <f t="shared" si="672"/>
        <v/>
      </c>
      <c r="Q6731" s="216" t="str">
        <f t="shared" si="673"/>
        <v/>
      </c>
      <c r="R6731" s="216" t="str">
        <f t="shared" si="674"/>
        <v/>
      </c>
      <c r="S6731" s="217" t="str">
        <f t="shared" si="675"/>
        <v/>
      </c>
    </row>
    <row r="6732" spans="1:19" ht="26.25" hidden="1" thickBot="1" x14ac:dyDescent="0.3">
      <c r="A6732" s="262"/>
      <c r="B6732" s="260"/>
      <c r="C6732" s="35" t="s">
        <v>8546</v>
      </c>
      <c r="D6732" s="35" t="s">
        <v>385</v>
      </c>
      <c r="E6732" s="36">
        <v>1</v>
      </c>
      <c r="F6732" s="30">
        <v>25.336500000000001</v>
      </c>
      <c r="G6732" s="30">
        <f t="shared" si="670"/>
        <v>25.336500000000001</v>
      </c>
      <c r="H6732" s="38">
        <f>SUM(G6732:G6732)</f>
        <v>25.336500000000001</v>
      </c>
      <c r="I6732" s="39"/>
      <c r="J6732" s="152">
        <v>0</v>
      </c>
      <c r="L6732" s="215">
        <v>1</v>
      </c>
      <c r="M6732" s="30">
        <v>21.688044000000001</v>
      </c>
      <c r="N6732" s="30">
        <f t="shared" si="671"/>
        <v>21.688044000000001</v>
      </c>
      <c r="O6732" s="38">
        <f>SUM(N6732:N6732)</f>
        <v>21.688044000000001</v>
      </c>
      <c r="P6732" s="36" t="str">
        <f t="shared" si="672"/>
        <v/>
      </c>
      <c r="Q6732" s="216">
        <f t="shared" si="673"/>
        <v>0.14400000000000002</v>
      </c>
      <c r="R6732" s="216">
        <f t="shared" si="674"/>
        <v>0.14400000000000002</v>
      </c>
      <c r="S6732" s="217">
        <f t="shared" si="675"/>
        <v>0.14400000000000002</v>
      </c>
    </row>
    <row r="6733" spans="1:19" ht="15.75" hidden="1" thickBot="1" x14ac:dyDescent="0.3">
      <c r="A6733" s="263"/>
      <c r="B6733" s="261"/>
      <c r="C6733" s="54"/>
      <c r="D6733" s="54"/>
      <c r="E6733" s="65"/>
      <c r="F6733" s="66" t="s">
        <v>416</v>
      </c>
      <c r="G6733" s="66" t="str">
        <f t="shared" si="670"/>
        <v/>
      </c>
      <c r="H6733" s="68"/>
      <c r="I6733" s="30"/>
      <c r="J6733" s="152">
        <v>0</v>
      </c>
      <c r="L6733" s="222"/>
      <c r="M6733" s="66"/>
      <c r="N6733" s="66" t="str">
        <f t="shared" si="671"/>
        <v/>
      </c>
      <c r="O6733" s="68"/>
      <c r="P6733" s="36" t="str">
        <f t="shared" si="672"/>
        <v/>
      </c>
      <c r="Q6733" s="216" t="str">
        <f t="shared" si="673"/>
        <v/>
      </c>
      <c r="R6733" s="216" t="str">
        <f t="shared" si="674"/>
        <v/>
      </c>
      <c r="S6733" s="217" t="str">
        <f t="shared" si="675"/>
        <v/>
      </c>
    </row>
    <row r="6734" spans="1:19" ht="15.75" hidden="1" thickBot="1" x14ac:dyDescent="0.3">
      <c r="A6734" s="256" t="s">
        <v>6107</v>
      </c>
      <c r="B6734" s="259" t="str">
        <f>INDEX(Orçamentária!A:B,MATCH(Composições!A6734,Orçamentária!A:A,0),2)</f>
        <v>Tubo de aço-carbono galvanizado 1” – Água Potável e Combate a Incêndio</v>
      </c>
      <c r="C6734" s="40"/>
      <c r="D6734" s="25" t="s">
        <v>69</v>
      </c>
      <c r="E6734" s="26"/>
      <c r="F6734" s="41" t="s">
        <v>416</v>
      </c>
      <c r="G6734" s="27" t="str">
        <f t="shared" si="670"/>
        <v/>
      </c>
      <c r="H6734" s="28"/>
      <c r="I6734" s="29"/>
      <c r="J6734" s="152">
        <v>0</v>
      </c>
      <c r="L6734" s="218"/>
      <c r="M6734" s="41"/>
      <c r="N6734" s="27" t="str">
        <f t="shared" si="671"/>
        <v/>
      </c>
      <c r="O6734" s="28"/>
      <c r="P6734" s="36" t="str">
        <f t="shared" si="672"/>
        <v/>
      </c>
      <c r="Q6734" s="216" t="str">
        <f t="shared" si="673"/>
        <v/>
      </c>
      <c r="R6734" s="216" t="str">
        <f t="shared" si="674"/>
        <v/>
      </c>
      <c r="S6734" s="217" t="str">
        <f t="shared" si="675"/>
        <v/>
      </c>
    </row>
    <row r="6735" spans="1:19" ht="15.75" hidden="1" thickBot="1" x14ac:dyDescent="0.3">
      <c r="A6735" s="262"/>
      <c r="B6735" s="260"/>
      <c r="C6735" s="31"/>
      <c r="D6735" s="31"/>
      <c r="E6735" s="32"/>
      <c r="F6735" s="42" t="s">
        <v>416</v>
      </c>
      <c r="G6735" s="30" t="str">
        <f t="shared" si="670"/>
        <v/>
      </c>
      <c r="H6735" s="34"/>
      <c r="I6735" s="30"/>
      <c r="J6735" s="152">
        <v>0</v>
      </c>
      <c r="L6735" s="219"/>
      <c r="M6735" s="42"/>
      <c r="N6735" s="30" t="str">
        <f t="shared" si="671"/>
        <v/>
      </c>
      <c r="O6735" s="34"/>
      <c r="P6735" s="36" t="str">
        <f t="shared" si="672"/>
        <v/>
      </c>
      <c r="Q6735" s="216" t="str">
        <f t="shared" si="673"/>
        <v/>
      </c>
      <c r="R6735" s="216" t="str">
        <f t="shared" si="674"/>
        <v/>
      </c>
      <c r="S6735" s="217" t="str">
        <f t="shared" si="675"/>
        <v/>
      </c>
    </row>
    <row r="6736" spans="1:19" ht="26.25" hidden="1" thickBot="1" x14ac:dyDescent="0.3">
      <c r="A6736" s="262"/>
      <c r="B6736" s="260"/>
      <c r="C6736" s="35" t="s">
        <v>8547</v>
      </c>
      <c r="D6736" s="35" t="s">
        <v>385</v>
      </c>
      <c r="E6736" s="36">
        <v>1</v>
      </c>
      <c r="F6736" s="30">
        <v>34.019500000000001</v>
      </c>
      <c r="G6736" s="30">
        <f t="shared" si="670"/>
        <v>34.019500000000001</v>
      </c>
      <c r="H6736" s="38">
        <f>SUM(G6736:G6736)</f>
        <v>34.019500000000001</v>
      </c>
      <c r="I6736" s="39"/>
      <c r="J6736" s="152">
        <v>0</v>
      </c>
      <c r="L6736" s="215">
        <v>1</v>
      </c>
      <c r="M6736" s="30">
        <v>29.120692000000002</v>
      </c>
      <c r="N6736" s="30">
        <f t="shared" si="671"/>
        <v>29.120692000000002</v>
      </c>
      <c r="O6736" s="38">
        <f>SUM(N6736:N6736)</f>
        <v>29.120692000000002</v>
      </c>
      <c r="P6736" s="36" t="str">
        <f t="shared" si="672"/>
        <v/>
      </c>
      <c r="Q6736" s="216">
        <f t="shared" si="673"/>
        <v>0.14400000000000002</v>
      </c>
      <c r="R6736" s="216">
        <f t="shared" si="674"/>
        <v>0.14400000000000002</v>
      </c>
      <c r="S6736" s="217">
        <f t="shared" si="675"/>
        <v>0.14400000000000002</v>
      </c>
    </row>
    <row r="6737" spans="1:19" ht="15.75" hidden="1" thickBot="1" x14ac:dyDescent="0.3">
      <c r="A6737" s="263"/>
      <c r="B6737" s="261"/>
      <c r="C6737" s="54"/>
      <c r="D6737" s="54"/>
      <c r="E6737" s="65"/>
      <c r="F6737" s="66" t="s">
        <v>416</v>
      </c>
      <c r="G6737" s="66" t="str">
        <f t="shared" si="670"/>
        <v/>
      </c>
      <c r="H6737" s="68"/>
      <c r="I6737" s="30"/>
      <c r="J6737" s="152">
        <v>0</v>
      </c>
      <c r="L6737" s="222"/>
      <c r="M6737" s="66"/>
      <c r="N6737" s="66" t="str">
        <f t="shared" si="671"/>
        <v/>
      </c>
      <c r="O6737" s="68"/>
      <c r="P6737" s="36" t="str">
        <f t="shared" si="672"/>
        <v/>
      </c>
      <c r="Q6737" s="216" t="str">
        <f t="shared" si="673"/>
        <v/>
      </c>
      <c r="R6737" s="216" t="str">
        <f t="shared" si="674"/>
        <v/>
      </c>
      <c r="S6737" s="217" t="str">
        <f t="shared" si="675"/>
        <v/>
      </c>
    </row>
    <row r="6738" spans="1:19" ht="15.75" hidden="1" thickBot="1" x14ac:dyDescent="0.3">
      <c r="A6738" s="256" t="s">
        <v>6109</v>
      </c>
      <c r="B6738" s="259" t="str">
        <f>INDEX(Orçamentária!A:B,MATCH(Composições!A6738,Orçamentária!A:A,0),2)</f>
        <v>Tubo de aço-carbono galvanizado 2” – Água Potável e Combate a Incêndio</v>
      </c>
      <c r="C6738" s="40"/>
      <c r="D6738" s="25" t="s">
        <v>69</v>
      </c>
      <c r="E6738" s="26"/>
      <c r="F6738" s="41" t="s">
        <v>416</v>
      </c>
      <c r="G6738" s="27" t="str">
        <f t="shared" si="670"/>
        <v/>
      </c>
      <c r="H6738" s="28"/>
      <c r="I6738" s="29"/>
      <c r="J6738" s="152">
        <v>0</v>
      </c>
      <c r="L6738" s="218"/>
      <c r="M6738" s="41"/>
      <c r="N6738" s="27" t="str">
        <f t="shared" si="671"/>
        <v/>
      </c>
      <c r="O6738" s="28"/>
      <c r="P6738" s="36" t="str">
        <f t="shared" si="672"/>
        <v/>
      </c>
      <c r="Q6738" s="216" t="str">
        <f t="shared" si="673"/>
        <v/>
      </c>
      <c r="R6738" s="216" t="str">
        <f t="shared" si="674"/>
        <v/>
      </c>
      <c r="S6738" s="217" t="str">
        <f t="shared" si="675"/>
        <v/>
      </c>
    </row>
    <row r="6739" spans="1:19" ht="15.75" hidden="1" thickBot="1" x14ac:dyDescent="0.3">
      <c r="A6739" s="262"/>
      <c r="B6739" s="260"/>
      <c r="C6739" s="31"/>
      <c r="D6739" s="31"/>
      <c r="E6739" s="32"/>
      <c r="F6739" s="42" t="s">
        <v>416</v>
      </c>
      <c r="G6739" s="30" t="str">
        <f t="shared" si="670"/>
        <v/>
      </c>
      <c r="H6739" s="34"/>
      <c r="I6739" s="30"/>
      <c r="J6739" s="152">
        <v>0</v>
      </c>
      <c r="L6739" s="219"/>
      <c r="M6739" s="42"/>
      <c r="N6739" s="30" t="str">
        <f t="shared" si="671"/>
        <v/>
      </c>
      <c r="O6739" s="34"/>
      <c r="P6739" s="36" t="str">
        <f t="shared" si="672"/>
        <v/>
      </c>
      <c r="Q6739" s="216" t="str">
        <f t="shared" si="673"/>
        <v/>
      </c>
      <c r="R6739" s="216" t="str">
        <f t="shared" si="674"/>
        <v/>
      </c>
      <c r="S6739" s="217" t="str">
        <f t="shared" si="675"/>
        <v/>
      </c>
    </row>
    <row r="6740" spans="1:19" ht="26.25" hidden="1" thickBot="1" x14ac:dyDescent="0.3">
      <c r="A6740" s="262"/>
      <c r="B6740" s="260"/>
      <c r="C6740" s="35" t="s">
        <v>8548</v>
      </c>
      <c r="D6740" s="35" t="s">
        <v>385</v>
      </c>
      <c r="E6740" s="36">
        <v>1</v>
      </c>
      <c r="F6740" s="30">
        <v>71.497</v>
      </c>
      <c r="G6740" s="30">
        <f t="shared" si="670"/>
        <v>71.497</v>
      </c>
      <c r="H6740" s="38">
        <f>SUM(G6740:G6740)</f>
        <v>71.497</v>
      </c>
      <c r="I6740" s="39"/>
      <c r="J6740" s="152">
        <v>0</v>
      </c>
      <c r="L6740" s="215">
        <v>1</v>
      </c>
      <c r="M6740" s="30">
        <v>61.201431999999997</v>
      </c>
      <c r="N6740" s="30">
        <f t="shared" si="671"/>
        <v>61.201431999999997</v>
      </c>
      <c r="O6740" s="38">
        <f>SUM(N6740:N6740)</f>
        <v>61.201431999999997</v>
      </c>
      <c r="P6740" s="36" t="str">
        <f t="shared" si="672"/>
        <v/>
      </c>
      <c r="Q6740" s="216">
        <f t="shared" si="673"/>
        <v>0.14400000000000002</v>
      </c>
      <c r="R6740" s="216">
        <f t="shared" si="674"/>
        <v>0.14400000000000002</v>
      </c>
      <c r="S6740" s="217">
        <f t="shared" si="675"/>
        <v>0.14400000000000002</v>
      </c>
    </row>
    <row r="6741" spans="1:19" ht="15.75" hidden="1" thickBot="1" x14ac:dyDescent="0.3">
      <c r="A6741" s="263"/>
      <c r="B6741" s="261"/>
      <c r="C6741" s="54"/>
      <c r="D6741" s="54"/>
      <c r="E6741" s="65"/>
      <c r="F6741" s="66" t="s">
        <v>416</v>
      </c>
      <c r="G6741" s="66" t="str">
        <f t="shared" si="670"/>
        <v/>
      </c>
      <c r="H6741" s="68"/>
      <c r="I6741" s="30"/>
      <c r="J6741" s="152">
        <v>0</v>
      </c>
      <c r="L6741" s="222"/>
      <c r="M6741" s="66"/>
      <c r="N6741" s="66" t="str">
        <f t="shared" si="671"/>
        <v/>
      </c>
      <c r="O6741" s="68"/>
      <c r="P6741" s="36" t="str">
        <f t="shared" si="672"/>
        <v/>
      </c>
      <c r="Q6741" s="216" t="str">
        <f t="shared" si="673"/>
        <v/>
      </c>
      <c r="R6741" s="216" t="str">
        <f t="shared" si="674"/>
        <v/>
      </c>
      <c r="S6741" s="217" t="str">
        <f t="shared" si="675"/>
        <v/>
      </c>
    </row>
    <row r="6742" spans="1:19" ht="15.75" hidden="1" thickBot="1" x14ac:dyDescent="0.3">
      <c r="A6742" s="256" t="s">
        <v>6111</v>
      </c>
      <c r="B6742" s="259" t="str">
        <f>INDEX(Orçamentária!A:B,MATCH(Composições!A6742,Orçamentária!A:A,0),2)</f>
        <v>Tubo de aço-carbono galvanizado 2 1/2” – Água Potável e Combate a Incêndio</v>
      </c>
      <c r="C6742" s="40"/>
      <c r="D6742" s="25" t="s">
        <v>69</v>
      </c>
      <c r="E6742" s="26"/>
      <c r="F6742" s="41" t="s">
        <v>416</v>
      </c>
      <c r="G6742" s="27" t="str">
        <f t="shared" si="670"/>
        <v/>
      </c>
      <c r="H6742" s="28"/>
      <c r="I6742" s="29"/>
      <c r="J6742" s="152">
        <v>0</v>
      </c>
      <c r="L6742" s="218"/>
      <c r="M6742" s="41"/>
      <c r="N6742" s="27" t="str">
        <f t="shared" si="671"/>
        <v/>
      </c>
      <c r="O6742" s="28"/>
      <c r="P6742" s="36" t="str">
        <f t="shared" si="672"/>
        <v/>
      </c>
      <c r="Q6742" s="216" t="str">
        <f t="shared" si="673"/>
        <v/>
      </c>
      <c r="R6742" s="216" t="str">
        <f t="shared" si="674"/>
        <v/>
      </c>
      <c r="S6742" s="217" t="str">
        <f t="shared" si="675"/>
        <v/>
      </c>
    </row>
    <row r="6743" spans="1:19" ht="15.75" hidden="1" thickBot="1" x14ac:dyDescent="0.3">
      <c r="A6743" s="262"/>
      <c r="B6743" s="260"/>
      <c r="C6743" s="31"/>
      <c r="D6743" s="31"/>
      <c r="E6743" s="32"/>
      <c r="F6743" s="42" t="s">
        <v>416</v>
      </c>
      <c r="G6743" s="30" t="str">
        <f t="shared" si="670"/>
        <v/>
      </c>
      <c r="H6743" s="34"/>
      <c r="I6743" s="30"/>
      <c r="J6743" s="152">
        <v>0</v>
      </c>
      <c r="L6743" s="219"/>
      <c r="M6743" s="42"/>
      <c r="N6743" s="30" t="str">
        <f t="shared" si="671"/>
        <v/>
      </c>
      <c r="O6743" s="34"/>
      <c r="P6743" s="36" t="str">
        <f t="shared" si="672"/>
        <v/>
      </c>
      <c r="Q6743" s="216" t="str">
        <f t="shared" si="673"/>
        <v/>
      </c>
      <c r="R6743" s="216" t="str">
        <f t="shared" si="674"/>
        <v/>
      </c>
      <c r="S6743" s="217" t="str">
        <f t="shared" si="675"/>
        <v/>
      </c>
    </row>
    <row r="6744" spans="1:19" ht="26.25" hidden="1" thickBot="1" x14ac:dyDescent="0.3">
      <c r="A6744" s="262"/>
      <c r="B6744" s="260"/>
      <c r="C6744" s="35" t="s">
        <v>8549</v>
      </c>
      <c r="D6744" s="35" t="s">
        <v>385</v>
      </c>
      <c r="E6744" s="36">
        <v>1</v>
      </c>
      <c r="F6744" s="30">
        <v>100.0445</v>
      </c>
      <c r="G6744" s="30">
        <f t="shared" si="670"/>
        <v>100.0445</v>
      </c>
      <c r="H6744" s="38">
        <f>SUM(G6744:G6744)</f>
        <v>100.0445</v>
      </c>
      <c r="I6744" s="39"/>
      <c r="J6744" s="152">
        <v>0</v>
      </c>
      <c r="L6744" s="215">
        <v>1</v>
      </c>
      <c r="M6744" s="30">
        <v>85.638092</v>
      </c>
      <c r="N6744" s="30">
        <f t="shared" si="671"/>
        <v>85.638092</v>
      </c>
      <c r="O6744" s="38">
        <f>SUM(N6744:N6744)</f>
        <v>85.638092</v>
      </c>
      <c r="P6744" s="36" t="str">
        <f t="shared" si="672"/>
        <v/>
      </c>
      <c r="Q6744" s="216">
        <f t="shared" si="673"/>
        <v>0.14400000000000002</v>
      </c>
      <c r="R6744" s="216">
        <f t="shared" si="674"/>
        <v>0.14400000000000002</v>
      </c>
      <c r="S6744" s="217">
        <f t="shared" si="675"/>
        <v>0.14400000000000002</v>
      </c>
    </row>
    <row r="6745" spans="1:19" ht="15.75" hidden="1" thickBot="1" x14ac:dyDescent="0.3">
      <c r="A6745" s="263"/>
      <c r="B6745" s="261"/>
      <c r="C6745" s="54"/>
      <c r="D6745" s="54"/>
      <c r="E6745" s="65"/>
      <c r="F6745" s="66" t="s">
        <v>416</v>
      </c>
      <c r="G6745" s="66" t="str">
        <f t="shared" si="670"/>
        <v/>
      </c>
      <c r="H6745" s="68"/>
      <c r="I6745" s="30"/>
      <c r="J6745" s="152">
        <v>0</v>
      </c>
      <c r="L6745" s="222"/>
      <c r="M6745" s="66"/>
      <c r="N6745" s="66" t="str">
        <f t="shared" si="671"/>
        <v/>
      </c>
      <c r="O6745" s="68"/>
      <c r="P6745" s="36" t="str">
        <f t="shared" si="672"/>
        <v/>
      </c>
      <c r="Q6745" s="216" t="str">
        <f t="shared" si="673"/>
        <v/>
      </c>
      <c r="R6745" s="216" t="str">
        <f t="shared" si="674"/>
        <v/>
      </c>
      <c r="S6745" s="217" t="str">
        <f t="shared" si="675"/>
        <v/>
      </c>
    </row>
    <row r="6746" spans="1:19" ht="15.75" hidden="1" thickBot="1" x14ac:dyDescent="0.3">
      <c r="A6746" s="256" t="s">
        <v>6113</v>
      </c>
      <c r="B6746" s="259" t="str">
        <f>INDEX(Orçamentária!A:B,MATCH(Composições!A6746,Orçamentária!A:A,0),2)</f>
        <v>Tubo de aço-carbono galvanizado 3” – Água Potável e Combate a Incêndio</v>
      </c>
      <c r="C6746" s="40"/>
      <c r="D6746" s="25" t="s">
        <v>69</v>
      </c>
      <c r="E6746" s="26"/>
      <c r="F6746" s="41" t="s">
        <v>416</v>
      </c>
      <c r="G6746" s="27" t="str">
        <f t="shared" si="670"/>
        <v/>
      </c>
      <c r="H6746" s="28"/>
      <c r="I6746" s="29"/>
      <c r="J6746" s="152">
        <v>0</v>
      </c>
      <c r="L6746" s="218"/>
      <c r="M6746" s="41"/>
      <c r="N6746" s="27" t="str">
        <f t="shared" si="671"/>
        <v/>
      </c>
      <c r="O6746" s="28"/>
      <c r="P6746" s="36" t="str">
        <f t="shared" si="672"/>
        <v/>
      </c>
      <c r="Q6746" s="216" t="str">
        <f t="shared" si="673"/>
        <v/>
      </c>
      <c r="R6746" s="216" t="str">
        <f t="shared" si="674"/>
        <v/>
      </c>
      <c r="S6746" s="217" t="str">
        <f t="shared" si="675"/>
        <v/>
      </c>
    </row>
    <row r="6747" spans="1:19" ht="15.75" hidden="1" thickBot="1" x14ac:dyDescent="0.3">
      <c r="A6747" s="262"/>
      <c r="B6747" s="260"/>
      <c r="C6747" s="31"/>
      <c r="D6747" s="31"/>
      <c r="E6747" s="32"/>
      <c r="F6747" s="42" t="s">
        <v>416</v>
      </c>
      <c r="G6747" s="30" t="str">
        <f t="shared" si="670"/>
        <v/>
      </c>
      <c r="H6747" s="34"/>
      <c r="I6747" s="30"/>
      <c r="J6747" s="152">
        <v>0</v>
      </c>
      <c r="L6747" s="219"/>
      <c r="M6747" s="42"/>
      <c r="N6747" s="30" t="str">
        <f t="shared" si="671"/>
        <v/>
      </c>
      <c r="O6747" s="34"/>
      <c r="P6747" s="36" t="str">
        <f t="shared" si="672"/>
        <v/>
      </c>
      <c r="Q6747" s="216" t="str">
        <f t="shared" si="673"/>
        <v/>
      </c>
      <c r="R6747" s="216" t="str">
        <f t="shared" si="674"/>
        <v/>
      </c>
      <c r="S6747" s="217" t="str">
        <f t="shared" si="675"/>
        <v/>
      </c>
    </row>
    <row r="6748" spans="1:19" ht="26.25" hidden="1" thickBot="1" x14ac:dyDescent="0.3">
      <c r="A6748" s="262"/>
      <c r="B6748" s="260"/>
      <c r="C6748" s="35" t="s">
        <v>8550</v>
      </c>
      <c r="D6748" s="35" t="s">
        <v>385</v>
      </c>
      <c r="E6748" s="36">
        <v>1</v>
      </c>
      <c r="F6748" s="30">
        <v>114.94049999999999</v>
      </c>
      <c r="G6748" s="30">
        <f t="shared" si="670"/>
        <v>114.94049999999999</v>
      </c>
      <c r="H6748" s="38">
        <f>SUM(G6748:G6748)</f>
        <v>114.94049999999999</v>
      </c>
      <c r="I6748" s="39"/>
      <c r="J6748" s="152">
        <v>0</v>
      </c>
      <c r="L6748" s="215">
        <v>1</v>
      </c>
      <c r="M6748" s="30">
        <v>98.38906799999998</v>
      </c>
      <c r="N6748" s="30">
        <f t="shared" si="671"/>
        <v>98.38906799999998</v>
      </c>
      <c r="O6748" s="38">
        <f>SUM(N6748:N6748)</f>
        <v>98.38906799999998</v>
      </c>
      <c r="P6748" s="36" t="str">
        <f t="shared" si="672"/>
        <v/>
      </c>
      <c r="Q6748" s="216">
        <f t="shared" si="673"/>
        <v>0.14400000000000002</v>
      </c>
      <c r="R6748" s="216">
        <f t="shared" si="674"/>
        <v>0.14400000000000002</v>
      </c>
      <c r="S6748" s="217">
        <f t="shared" si="675"/>
        <v>0.14400000000000002</v>
      </c>
    </row>
    <row r="6749" spans="1:19" ht="15.75" hidden="1" thickBot="1" x14ac:dyDescent="0.3">
      <c r="A6749" s="263"/>
      <c r="B6749" s="261"/>
      <c r="C6749" s="54"/>
      <c r="D6749" s="54"/>
      <c r="E6749" s="65"/>
      <c r="F6749" s="66" t="s">
        <v>416</v>
      </c>
      <c r="G6749" s="66" t="str">
        <f t="shared" si="670"/>
        <v/>
      </c>
      <c r="H6749" s="68"/>
      <c r="I6749" s="30"/>
      <c r="J6749" s="152">
        <v>0</v>
      </c>
      <c r="L6749" s="222"/>
      <c r="M6749" s="66"/>
      <c r="N6749" s="66" t="str">
        <f t="shared" si="671"/>
        <v/>
      </c>
      <c r="O6749" s="68"/>
      <c r="P6749" s="36" t="str">
        <f t="shared" si="672"/>
        <v/>
      </c>
      <c r="Q6749" s="216" t="str">
        <f t="shared" si="673"/>
        <v/>
      </c>
      <c r="R6749" s="216" t="str">
        <f t="shared" si="674"/>
        <v/>
      </c>
      <c r="S6749" s="217" t="str">
        <f t="shared" si="675"/>
        <v/>
      </c>
    </row>
    <row r="6750" spans="1:19" ht="15.75" hidden="1" thickBot="1" x14ac:dyDescent="0.3">
      <c r="A6750" s="256" t="s">
        <v>6115</v>
      </c>
      <c r="B6750" s="259" t="str">
        <f>INDEX(Orçamentária!A:B,MATCH(Composições!A6750,Orçamentária!A:A,0),2)</f>
        <v>Niple de aço-carbono galvanizado 2”</v>
      </c>
      <c r="C6750" s="40"/>
      <c r="D6750" s="25" t="s">
        <v>16</v>
      </c>
      <c r="E6750" s="26"/>
      <c r="F6750" s="41" t="s">
        <v>416</v>
      </c>
      <c r="G6750" s="27" t="str">
        <f t="shared" si="670"/>
        <v/>
      </c>
      <c r="H6750" s="28"/>
      <c r="I6750" s="29"/>
      <c r="J6750" s="152">
        <v>0</v>
      </c>
      <c r="L6750" s="218"/>
      <c r="M6750" s="41"/>
      <c r="N6750" s="27" t="str">
        <f t="shared" si="671"/>
        <v/>
      </c>
      <c r="O6750" s="28"/>
      <c r="P6750" s="36" t="str">
        <f t="shared" si="672"/>
        <v/>
      </c>
      <c r="Q6750" s="216" t="str">
        <f t="shared" si="673"/>
        <v/>
      </c>
      <c r="R6750" s="216" t="str">
        <f t="shared" si="674"/>
        <v/>
      </c>
      <c r="S6750" s="217" t="str">
        <f t="shared" si="675"/>
        <v/>
      </c>
    </row>
    <row r="6751" spans="1:19" ht="15.75" hidden="1" thickBot="1" x14ac:dyDescent="0.3">
      <c r="A6751" s="262"/>
      <c r="B6751" s="260"/>
      <c r="C6751" s="31"/>
      <c r="D6751" s="31"/>
      <c r="E6751" s="32"/>
      <c r="F6751" s="42" t="s">
        <v>416</v>
      </c>
      <c r="G6751" s="30" t="str">
        <f t="shared" si="670"/>
        <v/>
      </c>
      <c r="H6751" s="34"/>
      <c r="I6751" s="30"/>
      <c r="J6751" s="152">
        <v>0</v>
      </c>
      <c r="L6751" s="219"/>
      <c r="M6751" s="42"/>
      <c r="N6751" s="30" t="str">
        <f t="shared" si="671"/>
        <v/>
      </c>
      <c r="O6751" s="34"/>
      <c r="P6751" s="36" t="str">
        <f t="shared" si="672"/>
        <v/>
      </c>
      <c r="Q6751" s="216" t="str">
        <f t="shared" si="673"/>
        <v/>
      </c>
      <c r="R6751" s="216" t="str">
        <f t="shared" si="674"/>
        <v/>
      </c>
      <c r="S6751" s="217" t="str">
        <f t="shared" si="675"/>
        <v/>
      </c>
    </row>
    <row r="6752" spans="1:19" ht="15.75" hidden="1" thickBot="1" x14ac:dyDescent="0.3">
      <c r="A6752" s="262"/>
      <c r="B6752" s="260"/>
      <c r="C6752" s="35" t="s">
        <v>8298</v>
      </c>
      <c r="D6752" s="35" t="s">
        <v>213</v>
      </c>
      <c r="E6752" s="36">
        <v>1</v>
      </c>
      <c r="F6752" s="30">
        <v>35.0075</v>
      </c>
      <c r="G6752" s="30">
        <f t="shared" si="670"/>
        <v>35.0075</v>
      </c>
      <c r="H6752" s="38">
        <f>SUM(G6752:G6752)</f>
        <v>35.0075</v>
      </c>
      <c r="I6752" s="39"/>
      <c r="J6752" s="152">
        <v>0</v>
      </c>
      <c r="L6752" s="215">
        <v>1</v>
      </c>
      <c r="M6752" s="30">
        <v>29.966419999999999</v>
      </c>
      <c r="N6752" s="30">
        <f t="shared" si="671"/>
        <v>29.966419999999999</v>
      </c>
      <c r="O6752" s="38">
        <f>SUM(N6752:N6752)</f>
        <v>29.966419999999999</v>
      </c>
      <c r="P6752" s="36" t="str">
        <f t="shared" si="672"/>
        <v/>
      </c>
      <c r="Q6752" s="216">
        <f t="shared" si="673"/>
        <v>0.14400000000000002</v>
      </c>
      <c r="R6752" s="216">
        <f t="shared" si="674"/>
        <v>0.14400000000000002</v>
      </c>
      <c r="S6752" s="217">
        <f t="shared" si="675"/>
        <v>0.14400000000000002</v>
      </c>
    </row>
    <row r="6753" spans="1:19" ht="15.75" hidden="1" thickBot="1" x14ac:dyDescent="0.3">
      <c r="A6753" s="263"/>
      <c r="B6753" s="261"/>
      <c r="C6753" s="54"/>
      <c r="D6753" s="54"/>
      <c r="E6753" s="65"/>
      <c r="F6753" s="66" t="s">
        <v>416</v>
      </c>
      <c r="G6753" s="66" t="str">
        <f t="shared" si="670"/>
        <v/>
      </c>
      <c r="H6753" s="68"/>
      <c r="I6753" s="30"/>
      <c r="J6753" s="152">
        <v>0</v>
      </c>
      <c r="L6753" s="222"/>
      <c r="M6753" s="66"/>
      <c r="N6753" s="66" t="str">
        <f t="shared" si="671"/>
        <v/>
      </c>
      <c r="O6753" s="68"/>
      <c r="P6753" s="36" t="str">
        <f t="shared" si="672"/>
        <v/>
      </c>
      <c r="Q6753" s="216" t="str">
        <f t="shared" si="673"/>
        <v/>
      </c>
      <c r="R6753" s="216" t="str">
        <f t="shared" si="674"/>
        <v/>
      </c>
      <c r="S6753" s="217" t="str">
        <f t="shared" si="675"/>
        <v/>
      </c>
    </row>
    <row r="6754" spans="1:19" ht="15.75" hidden="1" thickBot="1" x14ac:dyDescent="0.3">
      <c r="A6754" s="256" t="s">
        <v>6117</v>
      </c>
      <c r="B6754" s="259" t="str">
        <f>INDEX(Orçamentária!A:B,MATCH(Composições!A6754,Orçamentária!A:A,0),2)</f>
        <v>Niple de aço-carbono galvanizado 2 1/2”</v>
      </c>
      <c r="C6754" s="40"/>
      <c r="D6754" s="25" t="s">
        <v>16</v>
      </c>
      <c r="E6754" s="26"/>
      <c r="F6754" s="41" t="s">
        <v>416</v>
      </c>
      <c r="G6754" s="27" t="str">
        <f t="shared" si="670"/>
        <v/>
      </c>
      <c r="H6754" s="28"/>
      <c r="I6754" s="29"/>
      <c r="J6754" s="152">
        <v>0</v>
      </c>
      <c r="L6754" s="218"/>
      <c r="M6754" s="41"/>
      <c r="N6754" s="27" t="str">
        <f t="shared" si="671"/>
        <v/>
      </c>
      <c r="O6754" s="28"/>
      <c r="P6754" s="36" t="str">
        <f t="shared" si="672"/>
        <v/>
      </c>
      <c r="Q6754" s="216" t="str">
        <f t="shared" si="673"/>
        <v/>
      </c>
      <c r="R6754" s="216" t="str">
        <f t="shared" si="674"/>
        <v/>
      </c>
      <c r="S6754" s="217" t="str">
        <f t="shared" si="675"/>
        <v/>
      </c>
    </row>
    <row r="6755" spans="1:19" ht="15.75" hidden="1" thickBot="1" x14ac:dyDescent="0.3">
      <c r="A6755" s="262"/>
      <c r="B6755" s="260"/>
      <c r="C6755" s="31"/>
      <c r="D6755" s="31"/>
      <c r="E6755" s="32"/>
      <c r="F6755" s="42" t="s">
        <v>416</v>
      </c>
      <c r="G6755" s="30" t="str">
        <f t="shared" si="670"/>
        <v/>
      </c>
      <c r="H6755" s="34"/>
      <c r="I6755" s="30"/>
      <c r="J6755" s="152">
        <v>0</v>
      </c>
      <c r="L6755" s="219"/>
      <c r="M6755" s="42"/>
      <c r="N6755" s="30" t="str">
        <f t="shared" si="671"/>
        <v/>
      </c>
      <c r="O6755" s="34"/>
      <c r="P6755" s="36" t="str">
        <f t="shared" si="672"/>
        <v/>
      </c>
      <c r="Q6755" s="216" t="str">
        <f t="shared" si="673"/>
        <v/>
      </c>
      <c r="R6755" s="216" t="str">
        <f t="shared" si="674"/>
        <v/>
      </c>
      <c r="S6755" s="217" t="str">
        <f t="shared" si="675"/>
        <v/>
      </c>
    </row>
    <row r="6756" spans="1:19" ht="15.75" hidden="1" thickBot="1" x14ac:dyDescent="0.3">
      <c r="A6756" s="262"/>
      <c r="B6756" s="260"/>
      <c r="C6756" s="35" t="s">
        <v>8297</v>
      </c>
      <c r="D6756" s="35" t="s">
        <v>213</v>
      </c>
      <c r="E6756" s="36">
        <v>1</v>
      </c>
      <c r="F6756" s="30">
        <v>53.58</v>
      </c>
      <c r="G6756" s="30">
        <f t="shared" si="670"/>
        <v>53.58</v>
      </c>
      <c r="H6756" s="38">
        <f>SUM(G6756:G6756)</f>
        <v>53.58</v>
      </c>
      <c r="I6756" s="39"/>
      <c r="J6756" s="152">
        <v>0</v>
      </c>
      <c r="L6756" s="215">
        <v>1</v>
      </c>
      <c r="M6756" s="30">
        <v>45.86448</v>
      </c>
      <c r="N6756" s="30">
        <f t="shared" si="671"/>
        <v>45.86448</v>
      </c>
      <c r="O6756" s="38">
        <f>SUM(N6756:N6756)</f>
        <v>45.86448</v>
      </c>
      <c r="P6756" s="36" t="str">
        <f t="shared" si="672"/>
        <v/>
      </c>
      <c r="Q6756" s="216">
        <f t="shared" si="673"/>
        <v>0.14400000000000002</v>
      </c>
      <c r="R6756" s="216">
        <f t="shared" si="674"/>
        <v>0.14400000000000002</v>
      </c>
      <c r="S6756" s="217">
        <f t="shared" si="675"/>
        <v>0.14400000000000002</v>
      </c>
    </row>
    <row r="6757" spans="1:19" ht="15.75" hidden="1" thickBot="1" x14ac:dyDescent="0.3">
      <c r="A6757" s="263"/>
      <c r="B6757" s="261"/>
      <c r="C6757" s="54"/>
      <c r="D6757" s="54"/>
      <c r="E6757" s="65"/>
      <c r="F6757" s="66" t="s">
        <v>416</v>
      </c>
      <c r="G6757" s="66" t="str">
        <f t="shared" si="670"/>
        <v/>
      </c>
      <c r="H6757" s="68"/>
      <c r="I6757" s="30"/>
      <c r="J6757" s="152">
        <v>0</v>
      </c>
      <c r="L6757" s="222"/>
      <c r="M6757" s="66"/>
      <c r="N6757" s="66" t="str">
        <f t="shared" si="671"/>
        <v/>
      </c>
      <c r="O6757" s="68"/>
      <c r="P6757" s="36" t="str">
        <f t="shared" si="672"/>
        <v/>
      </c>
      <c r="Q6757" s="216" t="str">
        <f t="shared" si="673"/>
        <v/>
      </c>
      <c r="R6757" s="216" t="str">
        <f t="shared" si="674"/>
        <v/>
      </c>
      <c r="S6757" s="217" t="str">
        <f t="shared" si="675"/>
        <v/>
      </c>
    </row>
    <row r="6758" spans="1:19" ht="15.75" hidden="1" thickBot="1" x14ac:dyDescent="0.3">
      <c r="A6758" s="256" t="s">
        <v>6119</v>
      </c>
      <c r="B6758" s="259" t="str">
        <f>INDEX(Orçamentária!A:B,MATCH(Composições!A6758,Orçamentária!A:A,0),2)</f>
        <v>Niple de aço-carbono galvanizado 3”</v>
      </c>
      <c r="C6758" s="40"/>
      <c r="D6758" s="25" t="s">
        <v>16</v>
      </c>
      <c r="E6758" s="26"/>
      <c r="F6758" s="41" t="s">
        <v>416</v>
      </c>
      <c r="G6758" s="27" t="str">
        <f t="shared" si="670"/>
        <v/>
      </c>
      <c r="H6758" s="28"/>
      <c r="I6758" s="29"/>
      <c r="J6758" s="152">
        <v>0</v>
      </c>
      <c r="L6758" s="218"/>
      <c r="M6758" s="41"/>
      <c r="N6758" s="27" t="str">
        <f t="shared" si="671"/>
        <v/>
      </c>
      <c r="O6758" s="28"/>
      <c r="P6758" s="36" t="str">
        <f t="shared" si="672"/>
        <v/>
      </c>
      <c r="Q6758" s="216" t="str">
        <f t="shared" si="673"/>
        <v/>
      </c>
      <c r="R6758" s="216" t="str">
        <f t="shared" si="674"/>
        <v/>
      </c>
      <c r="S6758" s="217" t="str">
        <f t="shared" si="675"/>
        <v/>
      </c>
    </row>
    <row r="6759" spans="1:19" ht="15.75" hidden="1" thickBot="1" x14ac:dyDescent="0.3">
      <c r="A6759" s="262"/>
      <c r="B6759" s="260"/>
      <c r="C6759" s="31"/>
      <c r="D6759" s="31"/>
      <c r="E6759" s="32"/>
      <c r="F6759" s="42" t="s">
        <v>416</v>
      </c>
      <c r="G6759" s="30" t="str">
        <f t="shared" si="670"/>
        <v/>
      </c>
      <c r="H6759" s="34"/>
      <c r="I6759" s="30"/>
      <c r="J6759" s="152">
        <v>0</v>
      </c>
      <c r="L6759" s="219"/>
      <c r="M6759" s="42"/>
      <c r="N6759" s="30" t="str">
        <f t="shared" si="671"/>
        <v/>
      </c>
      <c r="O6759" s="34"/>
      <c r="P6759" s="36" t="str">
        <f t="shared" si="672"/>
        <v/>
      </c>
      <c r="Q6759" s="216" t="str">
        <f t="shared" si="673"/>
        <v/>
      </c>
      <c r="R6759" s="216" t="str">
        <f t="shared" si="674"/>
        <v/>
      </c>
      <c r="S6759" s="217" t="str">
        <f t="shared" si="675"/>
        <v/>
      </c>
    </row>
    <row r="6760" spans="1:19" ht="15.75" hidden="1" thickBot="1" x14ac:dyDescent="0.3">
      <c r="A6760" s="262"/>
      <c r="B6760" s="260"/>
      <c r="C6760" s="35" t="s">
        <v>8299</v>
      </c>
      <c r="D6760" s="35" t="s">
        <v>213</v>
      </c>
      <c r="E6760" s="36">
        <v>1</v>
      </c>
      <c r="F6760" s="30">
        <v>87.162499999999994</v>
      </c>
      <c r="G6760" s="30">
        <f t="shared" si="670"/>
        <v>87.162499999999994</v>
      </c>
      <c r="H6760" s="38">
        <f>SUM(G6760:G6760)</f>
        <v>87.162499999999994</v>
      </c>
      <c r="I6760" s="39"/>
      <c r="J6760" s="152">
        <v>0</v>
      </c>
      <c r="L6760" s="215">
        <v>1</v>
      </c>
      <c r="M6760" s="30">
        <v>74.611099999999993</v>
      </c>
      <c r="N6760" s="30">
        <f t="shared" si="671"/>
        <v>74.611099999999993</v>
      </c>
      <c r="O6760" s="38">
        <f>SUM(N6760:N6760)</f>
        <v>74.611099999999993</v>
      </c>
      <c r="P6760" s="36" t="str">
        <f t="shared" si="672"/>
        <v/>
      </c>
      <c r="Q6760" s="216">
        <f t="shared" si="673"/>
        <v>0.14400000000000002</v>
      </c>
      <c r="R6760" s="216">
        <f t="shared" si="674"/>
        <v>0.14400000000000002</v>
      </c>
      <c r="S6760" s="217">
        <f t="shared" si="675"/>
        <v>0.14400000000000002</v>
      </c>
    </row>
    <row r="6761" spans="1:19" ht="15.75" hidden="1" thickBot="1" x14ac:dyDescent="0.3">
      <c r="A6761" s="263"/>
      <c r="B6761" s="261"/>
      <c r="C6761" s="54"/>
      <c r="D6761" s="54"/>
      <c r="E6761" s="65"/>
      <c r="F6761" s="66" t="s">
        <v>416</v>
      </c>
      <c r="G6761" s="66" t="str">
        <f t="shared" si="670"/>
        <v/>
      </c>
      <c r="H6761" s="68"/>
      <c r="I6761" s="30"/>
      <c r="J6761" s="152">
        <v>0</v>
      </c>
      <c r="L6761" s="222"/>
      <c r="M6761" s="66"/>
      <c r="N6761" s="66" t="str">
        <f t="shared" si="671"/>
        <v/>
      </c>
      <c r="O6761" s="68"/>
      <c r="P6761" s="36" t="str">
        <f t="shared" si="672"/>
        <v/>
      </c>
      <c r="Q6761" s="216" t="str">
        <f t="shared" si="673"/>
        <v/>
      </c>
      <c r="R6761" s="216" t="str">
        <f t="shared" si="674"/>
        <v/>
      </c>
      <c r="S6761" s="217" t="str">
        <f t="shared" si="675"/>
        <v/>
      </c>
    </row>
    <row r="6762" spans="1:19" ht="15.75" hidden="1" thickBot="1" x14ac:dyDescent="0.3">
      <c r="A6762" s="256" t="s">
        <v>6125</v>
      </c>
      <c r="B6762" s="259" t="str">
        <f>INDEX(Orçamentária!A:B,MATCH(Composições!A6762,Orçamentária!A:A,0),2)</f>
        <v>Tubo PVC esgoto DN 300 mm - Ocre</v>
      </c>
      <c r="C6762" s="40"/>
      <c r="D6762" s="25" t="s">
        <v>69</v>
      </c>
      <c r="E6762" s="26"/>
      <c r="F6762" s="41" t="s">
        <v>416</v>
      </c>
      <c r="G6762" s="27" t="str">
        <f t="shared" si="670"/>
        <v/>
      </c>
      <c r="H6762" s="28"/>
      <c r="I6762" s="29"/>
      <c r="J6762" s="152">
        <v>0</v>
      </c>
      <c r="L6762" s="218"/>
      <c r="M6762" s="41"/>
      <c r="N6762" s="27" t="str">
        <f t="shared" si="671"/>
        <v/>
      </c>
      <c r="O6762" s="28"/>
      <c r="P6762" s="36" t="str">
        <f t="shared" si="672"/>
        <v/>
      </c>
      <c r="Q6762" s="216" t="str">
        <f t="shared" si="673"/>
        <v/>
      </c>
      <c r="R6762" s="216" t="str">
        <f t="shared" si="674"/>
        <v/>
      </c>
      <c r="S6762" s="217" t="str">
        <f t="shared" si="675"/>
        <v/>
      </c>
    </row>
    <row r="6763" spans="1:19" ht="15.75" hidden="1" thickBot="1" x14ac:dyDescent="0.3">
      <c r="A6763" s="262"/>
      <c r="B6763" s="260"/>
      <c r="C6763" s="31"/>
      <c r="D6763" s="31"/>
      <c r="E6763" s="32"/>
      <c r="F6763" s="42" t="s">
        <v>416</v>
      </c>
      <c r="G6763" s="30" t="str">
        <f t="shared" si="670"/>
        <v/>
      </c>
      <c r="H6763" s="34"/>
      <c r="I6763" s="30"/>
      <c r="J6763" s="152">
        <v>0</v>
      </c>
      <c r="L6763" s="219"/>
      <c r="M6763" s="42"/>
      <c r="N6763" s="30" t="str">
        <f t="shared" si="671"/>
        <v/>
      </c>
      <c r="O6763" s="34"/>
      <c r="P6763" s="36" t="str">
        <f t="shared" si="672"/>
        <v/>
      </c>
      <c r="Q6763" s="216" t="str">
        <f t="shared" si="673"/>
        <v/>
      </c>
      <c r="R6763" s="216" t="str">
        <f t="shared" si="674"/>
        <v/>
      </c>
      <c r="S6763" s="217" t="str">
        <f t="shared" si="675"/>
        <v/>
      </c>
    </row>
    <row r="6764" spans="1:19" ht="15.75" hidden="1" thickBot="1" x14ac:dyDescent="0.3">
      <c r="A6764" s="262"/>
      <c r="B6764" s="260"/>
      <c r="C6764" s="35" t="s">
        <v>8455</v>
      </c>
      <c r="D6764" s="35" t="s">
        <v>385</v>
      </c>
      <c r="E6764" s="36">
        <v>1</v>
      </c>
      <c r="F6764" s="30">
        <v>316.77749999999997</v>
      </c>
      <c r="G6764" s="30">
        <f t="shared" si="670"/>
        <v>316.77749999999997</v>
      </c>
      <c r="H6764" s="38">
        <f>SUM(G6764:G6764)</f>
        <v>316.77749999999997</v>
      </c>
      <c r="I6764" s="39"/>
      <c r="J6764" s="152">
        <v>0</v>
      </c>
      <c r="L6764" s="215">
        <v>1</v>
      </c>
      <c r="M6764" s="30">
        <v>271.16154</v>
      </c>
      <c r="N6764" s="30">
        <f t="shared" si="671"/>
        <v>271.16154</v>
      </c>
      <c r="O6764" s="38">
        <f>SUM(N6764:N6764)</f>
        <v>271.16154</v>
      </c>
      <c r="P6764" s="36" t="str">
        <f t="shared" si="672"/>
        <v/>
      </c>
      <c r="Q6764" s="216">
        <f t="shared" si="673"/>
        <v>0.14399999999999991</v>
      </c>
      <c r="R6764" s="216">
        <f t="shared" si="674"/>
        <v>0.14399999999999991</v>
      </c>
      <c r="S6764" s="217">
        <f t="shared" si="675"/>
        <v>0.14399999999999991</v>
      </c>
    </row>
    <row r="6765" spans="1:19" ht="15.75" hidden="1" thickBot="1" x14ac:dyDescent="0.3">
      <c r="A6765" s="263"/>
      <c r="B6765" s="261"/>
      <c r="C6765" s="54"/>
      <c r="D6765" s="54"/>
      <c r="E6765" s="65"/>
      <c r="F6765" s="66" t="s">
        <v>416</v>
      </c>
      <c r="G6765" s="66" t="str">
        <f t="shared" si="670"/>
        <v/>
      </c>
      <c r="H6765" s="68"/>
      <c r="I6765" s="30"/>
      <c r="J6765" s="152">
        <v>0</v>
      </c>
      <c r="L6765" s="222"/>
      <c r="M6765" s="66"/>
      <c r="N6765" s="66" t="str">
        <f t="shared" si="671"/>
        <v/>
      </c>
      <c r="O6765" s="68"/>
      <c r="P6765" s="36" t="str">
        <f t="shared" si="672"/>
        <v/>
      </c>
      <c r="Q6765" s="216" t="str">
        <f t="shared" si="673"/>
        <v/>
      </c>
      <c r="R6765" s="216" t="str">
        <f t="shared" si="674"/>
        <v/>
      </c>
      <c r="S6765" s="217" t="str">
        <f t="shared" si="675"/>
        <v/>
      </c>
    </row>
    <row r="6766" spans="1:19" ht="15.75" hidden="1" thickBot="1" x14ac:dyDescent="0.3">
      <c r="A6766" s="256" t="s">
        <v>6127</v>
      </c>
      <c r="B6766" s="259" t="str">
        <f>INDEX(Orçamentária!A:B,MATCH(Composições!A6766,Orçamentária!A:A,0),2)</f>
        <v>Tubo PVC esgoto ou águas pluviais predial DN 100 mm</v>
      </c>
      <c r="C6766" s="40"/>
      <c r="D6766" s="25" t="s">
        <v>69</v>
      </c>
      <c r="E6766" s="26"/>
      <c r="F6766" s="41" t="s">
        <v>416</v>
      </c>
      <c r="G6766" s="27" t="str">
        <f t="shared" si="670"/>
        <v/>
      </c>
      <c r="H6766" s="28"/>
      <c r="I6766" s="29"/>
      <c r="J6766" s="152">
        <v>0</v>
      </c>
      <c r="L6766" s="218"/>
      <c r="M6766" s="41"/>
      <c r="N6766" s="27" t="str">
        <f t="shared" si="671"/>
        <v/>
      </c>
      <c r="O6766" s="28"/>
      <c r="P6766" s="36" t="str">
        <f t="shared" si="672"/>
        <v/>
      </c>
      <c r="Q6766" s="216" t="str">
        <f t="shared" si="673"/>
        <v/>
      </c>
      <c r="R6766" s="216" t="str">
        <f t="shared" si="674"/>
        <v/>
      </c>
      <c r="S6766" s="217" t="str">
        <f t="shared" si="675"/>
        <v/>
      </c>
    </row>
    <row r="6767" spans="1:19" ht="15.75" hidden="1" thickBot="1" x14ac:dyDescent="0.3">
      <c r="A6767" s="262"/>
      <c r="B6767" s="260"/>
      <c r="C6767" s="31"/>
      <c r="D6767" s="31"/>
      <c r="E6767" s="32"/>
      <c r="F6767" s="42" t="s">
        <v>416</v>
      </c>
      <c r="G6767" s="30" t="str">
        <f t="shared" si="670"/>
        <v/>
      </c>
      <c r="H6767" s="34"/>
      <c r="I6767" s="30"/>
      <c r="J6767" s="152">
        <v>0</v>
      </c>
      <c r="L6767" s="219"/>
      <c r="M6767" s="42"/>
      <c r="N6767" s="30" t="str">
        <f t="shared" si="671"/>
        <v/>
      </c>
      <c r="O6767" s="34"/>
      <c r="P6767" s="36" t="str">
        <f t="shared" si="672"/>
        <v/>
      </c>
      <c r="Q6767" s="216" t="str">
        <f t="shared" si="673"/>
        <v/>
      </c>
      <c r="R6767" s="216" t="str">
        <f t="shared" si="674"/>
        <v/>
      </c>
      <c r="S6767" s="217" t="str">
        <f t="shared" si="675"/>
        <v/>
      </c>
    </row>
    <row r="6768" spans="1:19" ht="26.25" hidden="1" thickBot="1" x14ac:dyDescent="0.3">
      <c r="A6768" s="262"/>
      <c r="B6768" s="260"/>
      <c r="C6768" s="35" t="s">
        <v>8551</v>
      </c>
      <c r="D6768" s="35" t="s">
        <v>385</v>
      </c>
      <c r="E6768" s="36">
        <v>1</v>
      </c>
      <c r="F6768" s="30">
        <v>14.648999999999999</v>
      </c>
      <c r="G6768" s="30">
        <f t="shared" si="670"/>
        <v>14.648999999999999</v>
      </c>
      <c r="H6768" s="38">
        <f>SUM(G6768:G6768)</f>
        <v>14.648999999999999</v>
      </c>
      <c r="I6768" s="39"/>
      <c r="J6768" s="152">
        <v>0</v>
      </c>
      <c r="L6768" s="215">
        <v>1</v>
      </c>
      <c r="M6768" s="30">
        <v>12.539543999999999</v>
      </c>
      <c r="N6768" s="30">
        <f t="shared" si="671"/>
        <v>12.539543999999999</v>
      </c>
      <c r="O6768" s="38">
        <f>SUM(N6768:N6768)</f>
        <v>12.539543999999999</v>
      </c>
      <c r="P6768" s="36" t="str">
        <f t="shared" si="672"/>
        <v/>
      </c>
      <c r="Q6768" s="216">
        <f t="shared" si="673"/>
        <v>0.14400000000000002</v>
      </c>
      <c r="R6768" s="216">
        <f t="shared" si="674"/>
        <v>0.14400000000000002</v>
      </c>
      <c r="S6768" s="217">
        <f t="shared" si="675"/>
        <v>0.14400000000000002</v>
      </c>
    </row>
    <row r="6769" spans="1:19" ht="15.75" hidden="1" thickBot="1" x14ac:dyDescent="0.3">
      <c r="A6769" s="263"/>
      <c r="B6769" s="261"/>
      <c r="C6769" s="54"/>
      <c r="D6769" s="54"/>
      <c r="E6769" s="65"/>
      <c r="F6769" s="66" t="s">
        <v>416</v>
      </c>
      <c r="G6769" s="66" t="str">
        <f t="shared" si="670"/>
        <v/>
      </c>
      <c r="H6769" s="68"/>
      <c r="I6769" s="30"/>
      <c r="J6769" s="152">
        <v>0</v>
      </c>
      <c r="L6769" s="222"/>
      <c r="M6769" s="66"/>
      <c r="N6769" s="66" t="str">
        <f t="shared" si="671"/>
        <v/>
      </c>
      <c r="O6769" s="68"/>
      <c r="P6769" s="36" t="str">
        <f t="shared" si="672"/>
        <v/>
      </c>
      <c r="Q6769" s="216" t="str">
        <f t="shared" si="673"/>
        <v/>
      </c>
      <c r="R6769" s="216" t="str">
        <f t="shared" si="674"/>
        <v/>
      </c>
      <c r="S6769" s="217" t="str">
        <f t="shared" si="675"/>
        <v/>
      </c>
    </row>
    <row r="6770" spans="1:19" ht="15.75" hidden="1" thickBot="1" x14ac:dyDescent="0.3">
      <c r="A6770" s="256" t="s">
        <v>6128</v>
      </c>
      <c r="B6770" s="259" t="str">
        <f>INDEX(Orçamentária!A:B,MATCH(Composições!A6770,Orçamentária!A:A,0),2)</f>
        <v>Tubo PVC esgoto ou águas pluviais predial DN 150 mm</v>
      </c>
      <c r="C6770" s="40"/>
      <c r="D6770" s="25" t="s">
        <v>69</v>
      </c>
      <c r="E6770" s="26"/>
      <c r="F6770" s="41" t="s">
        <v>416</v>
      </c>
      <c r="G6770" s="27" t="str">
        <f t="shared" ref="G6770:G6833" si="676">IF(ISNUMBER(F6770),E6770*F6770,"")</f>
        <v/>
      </c>
      <c r="H6770" s="28"/>
      <c r="I6770" s="29"/>
      <c r="J6770" s="152">
        <v>0</v>
      </c>
      <c r="L6770" s="218"/>
      <c r="M6770" s="41"/>
      <c r="N6770" s="27" t="str">
        <f t="shared" ref="N6770:N6833" si="677">IF(ISNUMBER(M6770),L6770*M6770,"")</f>
        <v/>
      </c>
      <c r="O6770" s="28"/>
      <c r="P6770" s="36" t="str">
        <f t="shared" si="672"/>
        <v/>
      </c>
      <c r="Q6770" s="216" t="str">
        <f t="shared" si="673"/>
        <v/>
      </c>
      <c r="R6770" s="216" t="str">
        <f t="shared" si="674"/>
        <v/>
      </c>
      <c r="S6770" s="217" t="str">
        <f t="shared" si="675"/>
        <v/>
      </c>
    </row>
    <row r="6771" spans="1:19" ht="15.75" hidden="1" thickBot="1" x14ac:dyDescent="0.3">
      <c r="A6771" s="262"/>
      <c r="B6771" s="260"/>
      <c r="C6771" s="31"/>
      <c r="D6771" s="31"/>
      <c r="E6771" s="32"/>
      <c r="F6771" s="42" t="s">
        <v>416</v>
      </c>
      <c r="G6771" s="30" t="str">
        <f t="shared" si="676"/>
        <v/>
      </c>
      <c r="H6771" s="34"/>
      <c r="I6771" s="30"/>
      <c r="J6771" s="152">
        <v>0</v>
      </c>
      <c r="L6771" s="219"/>
      <c r="M6771" s="42"/>
      <c r="N6771" s="30" t="str">
        <f t="shared" si="677"/>
        <v/>
      </c>
      <c r="O6771" s="34"/>
      <c r="P6771" s="36" t="str">
        <f t="shared" si="672"/>
        <v/>
      </c>
      <c r="Q6771" s="216" t="str">
        <f t="shared" si="673"/>
        <v/>
      </c>
      <c r="R6771" s="216" t="str">
        <f t="shared" si="674"/>
        <v/>
      </c>
      <c r="S6771" s="217" t="str">
        <f t="shared" si="675"/>
        <v/>
      </c>
    </row>
    <row r="6772" spans="1:19" ht="26.25" hidden="1" thickBot="1" x14ac:dyDescent="0.3">
      <c r="A6772" s="262"/>
      <c r="B6772" s="260"/>
      <c r="C6772" s="35" t="s">
        <v>8552</v>
      </c>
      <c r="D6772" s="35" t="s">
        <v>385</v>
      </c>
      <c r="E6772" s="36">
        <v>1</v>
      </c>
      <c r="F6772" s="30">
        <v>38.294499999999999</v>
      </c>
      <c r="G6772" s="30">
        <f t="shared" si="676"/>
        <v>38.294499999999999</v>
      </c>
      <c r="H6772" s="38">
        <f>SUM(G6772:G6772)</f>
        <v>38.294499999999999</v>
      </c>
      <c r="I6772" s="39"/>
      <c r="J6772" s="152">
        <v>0</v>
      </c>
      <c r="L6772" s="215">
        <v>1</v>
      </c>
      <c r="M6772" s="30">
        <v>32.780091999999996</v>
      </c>
      <c r="N6772" s="30">
        <f t="shared" si="677"/>
        <v>32.780091999999996</v>
      </c>
      <c r="O6772" s="38">
        <f>SUM(N6772:N6772)</f>
        <v>32.780091999999996</v>
      </c>
      <c r="P6772" s="36" t="str">
        <f t="shared" si="672"/>
        <v/>
      </c>
      <c r="Q6772" s="216">
        <f t="shared" si="673"/>
        <v>0.14400000000000013</v>
      </c>
      <c r="R6772" s="216">
        <f t="shared" si="674"/>
        <v>0.14400000000000013</v>
      </c>
      <c r="S6772" s="217">
        <f t="shared" si="675"/>
        <v>0.14400000000000013</v>
      </c>
    </row>
    <row r="6773" spans="1:19" ht="15.75" hidden="1" thickBot="1" x14ac:dyDescent="0.3">
      <c r="A6773" s="263"/>
      <c r="B6773" s="261"/>
      <c r="C6773" s="54"/>
      <c r="D6773" s="54"/>
      <c r="E6773" s="65"/>
      <c r="F6773" s="66" t="s">
        <v>416</v>
      </c>
      <c r="G6773" s="66" t="str">
        <f t="shared" si="676"/>
        <v/>
      </c>
      <c r="H6773" s="68"/>
      <c r="I6773" s="30"/>
      <c r="J6773" s="152">
        <v>0</v>
      </c>
      <c r="L6773" s="222"/>
      <c r="M6773" s="66"/>
      <c r="N6773" s="66" t="str">
        <f t="shared" si="677"/>
        <v/>
      </c>
      <c r="O6773" s="68"/>
      <c r="P6773" s="36" t="str">
        <f t="shared" si="672"/>
        <v/>
      </c>
      <c r="Q6773" s="216" t="str">
        <f t="shared" si="673"/>
        <v/>
      </c>
      <c r="R6773" s="216" t="str">
        <f t="shared" si="674"/>
        <v/>
      </c>
      <c r="S6773" s="217" t="str">
        <f t="shared" si="675"/>
        <v/>
      </c>
    </row>
    <row r="6774" spans="1:19" ht="15.75" hidden="1" thickBot="1" x14ac:dyDescent="0.3">
      <c r="A6774" s="256" t="s">
        <v>6129</v>
      </c>
      <c r="B6774" s="259" t="str">
        <f>INDEX(Orçamentária!A:B,MATCH(Composições!A6774,Orçamentária!A:A,0),2)</f>
        <v>Tubo PVC esgoto ou águas pluviais predial DN 40 mm</v>
      </c>
      <c r="C6774" s="40"/>
      <c r="D6774" s="25" t="s">
        <v>69</v>
      </c>
      <c r="E6774" s="26"/>
      <c r="F6774" s="41" t="s">
        <v>416</v>
      </c>
      <c r="G6774" s="27" t="str">
        <f t="shared" si="676"/>
        <v/>
      </c>
      <c r="H6774" s="28"/>
      <c r="I6774" s="29"/>
      <c r="J6774" s="152">
        <v>0</v>
      </c>
      <c r="L6774" s="218"/>
      <c r="M6774" s="41"/>
      <c r="N6774" s="27" t="str">
        <f t="shared" si="677"/>
        <v/>
      </c>
      <c r="O6774" s="28"/>
      <c r="P6774" s="36" t="str">
        <f t="shared" si="672"/>
        <v/>
      </c>
      <c r="Q6774" s="216" t="str">
        <f t="shared" si="673"/>
        <v/>
      </c>
      <c r="R6774" s="216" t="str">
        <f t="shared" si="674"/>
        <v/>
      </c>
      <c r="S6774" s="217" t="str">
        <f t="shared" si="675"/>
        <v/>
      </c>
    </row>
    <row r="6775" spans="1:19" ht="15.75" hidden="1" thickBot="1" x14ac:dyDescent="0.3">
      <c r="A6775" s="262"/>
      <c r="B6775" s="260"/>
      <c r="C6775" s="31"/>
      <c r="D6775" s="31"/>
      <c r="E6775" s="32"/>
      <c r="F6775" s="42" t="s">
        <v>416</v>
      </c>
      <c r="G6775" s="30" t="str">
        <f t="shared" si="676"/>
        <v/>
      </c>
      <c r="H6775" s="34"/>
      <c r="I6775" s="30"/>
      <c r="J6775" s="152">
        <v>0</v>
      </c>
      <c r="L6775" s="219"/>
      <c r="M6775" s="42"/>
      <c r="N6775" s="30" t="str">
        <f t="shared" si="677"/>
        <v/>
      </c>
      <c r="O6775" s="34"/>
      <c r="P6775" s="36" t="str">
        <f t="shared" si="672"/>
        <v/>
      </c>
      <c r="Q6775" s="216" t="str">
        <f t="shared" si="673"/>
        <v/>
      </c>
      <c r="R6775" s="216" t="str">
        <f t="shared" si="674"/>
        <v/>
      </c>
      <c r="S6775" s="217" t="str">
        <f t="shared" si="675"/>
        <v/>
      </c>
    </row>
    <row r="6776" spans="1:19" ht="26.25" hidden="1" thickBot="1" x14ac:dyDescent="0.3">
      <c r="A6776" s="262"/>
      <c r="B6776" s="260"/>
      <c r="C6776" s="35" t="s">
        <v>8553</v>
      </c>
      <c r="D6776" s="35" t="s">
        <v>385</v>
      </c>
      <c r="E6776" s="36">
        <v>1</v>
      </c>
      <c r="F6776" s="30">
        <v>6.4029999999999996</v>
      </c>
      <c r="G6776" s="30">
        <f t="shared" si="676"/>
        <v>6.4029999999999996</v>
      </c>
      <c r="H6776" s="38">
        <f>SUM(G6776:G6776)</f>
        <v>6.4029999999999996</v>
      </c>
      <c r="I6776" s="39"/>
      <c r="J6776" s="152">
        <v>0</v>
      </c>
      <c r="L6776" s="215">
        <v>1</v>
      </c>
      <c r="M6776" s="30">
        <v>5.4809679999999998</v>
      </c>
      <c r="N6776" s="30">
        <f t="shared" si="677"/>
        <v>5.4809679999999998</v>
      </c>
      <c r="O6776" s="38">
        <f>SUM(N6776:N6776)</f>
        <v>5.4809679999999998</v>
      </c>
      <c r="P6776" s="36" t="str">
        <f t="shared" si="672"/>
        <v/>
      </c>
      <c r="Q6776" s="216">
        <f t="shared" si="673"/>
        <v>0.14400000000000002</v>
      </c>
      <c r="R6776" s="216">
        <f t="shared" si="674"/>
        <v>0.14400000000000002</v>
      </c>
      <c r="S6776" s="217">
        <f t="shared" si="675"/>
        <v>0.14400000000000002</v>
      </c>
    </row>
    <row r="6777" spans="1:19" ht="15.75" hidden="1" thickBot="1" x14ac:dyDescent="0.3">
      <c r="A6777" s="263"/>
      <c r="B6777" s="261"/>
      <c r="C6777" s="54"/>
      <c r="D6777" s="54"/>
      <c r="E6777" s="65"/>
      <c r="F6777" s="66" t="s">
        <v>416</v>
      </c>
      <c r="G6777" s="66" t="str">
        <f t="shared" si="676"/>
        <v/>
      </c>
      <c r="H6777" s="68"/>
      <c r="I6777" s="30"/>
      <c r="J6777" s="152">
        <v>0</v>
      </c>
      <c r="L6777" s="222"/>
      <c r="M6777" s="66"/>
      <c r="N6777" s="66" t="str">
        <f t="shared" si="677"/>
        <v/>
      </c>
      <c r="O6777" s="68"/>
      <c r="P6777" s="36" t="str">
        <f t="shared" si="672"/>
        <v/>
      </c>
      <c r="Q6777" s="216" t="str">
        <f t="shared" si="673"/>
        <v/>
      </c>
      <c r="R6777" s="216" t="str">
        <f t="shared" si="674"/>
        <v/>
      </c>
      <c r="S6777" s="217" t="str">
        <f t="shared" si="675"/>
        <v/>
      </c>
    </row>
    <row r="6778" spans="1:19" ht="15.75" hidden="1" thickBot="1" x14ac:dyDescent="0.3">
      <c r="A6778" s="256" t="s">
        <v>6131</v>
      </c>
      <c r="B6778" s="259" t="str">
        <f>INDEX(Orçamentária!A:B,MATCH(Composições!A6778,Orçamentária!A:A,0),2)</f>
        <v>Tubo PVC esgoto ou águas pluviais predial DN 50 mm</v>
      </c>
      <c r="C6778" s="40"/>
      <c r="D6778" s="25" t="s">
        <v>69</v>
      </c>
      <c r="E6778" s="26"/>
      <c r="F6778" s="41" t="s">
        <v>416</v>
      </c>
      <c r="G6778" s="27" t="str">
        <f t="shared" si="676"/>
        <v/>
      </c>
      <c r="H6778" s="28"/>
      <c r="I6778" s="29"/>
      <c r="J6778" s="152">
        <v>0</v>
      </c>
      <c r="L6778" s="218"/>
      <c r="M6778" s="41"/>
      <c r="N6778" s="27" t="str">
        <f t="shared" si="677"/>
        <v/>
      </c>
      <c r="O6778" s="28"/>
      <c r="P6778" s="36" t="str">
        <f t="shared" si="672"/>
        <v/>
      </c>
      <c r="Q6778" s="216" t="str">
        <f t="shared" si="673"/>
        <v/>
      </c>
      <c r="R6778" s="216" t="str">
        <f t="shared" si="674"/>
        <v/>
      </c>
      <c r="S6778" s="217" t="str">
        <f t="shared" si="675"/>
        <v/>
      </c>
    </row>
    <row r="6779" spans="1:19" ht="15.75" hidden="1" thickBot="1" x14ac:dyDescent="0.3">
      <c r="A6779" s="262"/>
      <c r="B6779" s="260"/>
      <c r="C6779" s="31"/>
      <c r="D6779" s="31"/>
      <c r="E6779" s="32"/>
      <c r="F6779" s="42" t="s">
        <v>416</v>
      </c>
      <c r="G6779" s="30" t="str">
        <f t="shared" si="676"/>
        <v/>
      </c>
      <c r="H6779" s="34"/>
      <c r="I6779" s="30"/>
      <c r="J6779" s="152">
        <v>0</v>
      </c>
      <c r="L6779" s="219"/>
      <c r="M6779" s="42"/>
      <c r="N6779" s="30" t="str">
        <f t="shared" si="677"/>
        <v/>
      </c>
      <c r="O6779" s="34"/>
      <c r="P6779" s="36" t="str">
        <f t="shared" si="672"/>
        <v/>
      </c>
      <c r="Q6779" s="216" t="str">
        <f t="shared" si="673"/>
        <v/>
      </c>
      <c r="R6779" s="216" t="str">
        <f t="shared" si="674"/>
        <v/>
      </c>
      <c r="S6779" s="217" t="str">
        <f t="shared" si="675"/>
        <v/>
      </c>
    </row>
    <row r="6780" spans="1:19" ht="26.25" hidden="1" thickBot="1" x14ac:dyDescent="0.3">
      <c r="A6780" s="262"/>
      <c r="B6780" s="260"/>
      <c r="C6780" s="35" t="s">
        <v>8466</v>
      </c>
      <c r="D6780" s="35" t="s">
        <v>385</v>
      </c>
      <c r="E6780" s="36">
        <v>1</v>
      </c>
      <c r="F6780" s="30">
        <v>10.563999999999998</v>
      </c>
      <c r="G6780" s="30">
        <f t="shared" si="676"/>
        <v>10.563999999999998</v>
      </c>
      <c r="H6780" s="38">
        <f>SUM(G6780:G6780)</f>
        <v>10.563999999999998</v>
      </c>
      <c r="I6780" s="39"/>
      <c r="J6780" s="152">
        <v>0</v>
      </c>
      <c r="L6780" s="215">
        <v>1</v>
      </c>
      <c r="M6780" s="30">
        <v>9.0427839999999993</v>
      </c>
      <c r="N6780" s="30">
        <f t="shared" si="677"/>
        <v>9.0427839999999993</v>
      </c>
      <c r="O6780" s="38">
        <f>SUM(N6780:N6780)</f>
        <v>9.0427839999999993</v>
      </c>
      <c r="P6780" s="36" t="str">
        <f t="shared" si="672"/>
        <v/>
      </c>
      <c r="Q6780" s="216">
        <f t="shared" si="673"/>
        <v>0.14399999999999991</v>
      </c>
      <c r="R6780" s="216">
        <f t="shared" si="674"/>
        <v>0.14399999999999991</v>
      </c>
      <c r="S6780" s="217">
        <f t="shared" si="675"/>
        <v>0.14399999999999991</v>
      </c>
    </row>
    <row r="6781" spans="1:19" ht="15.75" hidden="1" thickBot="1" x14ac:dyDescent="0.3">
      <c r="A6781" s="263"/>
      <c r="B6781" s="261"/>
      <c r="C6781" s="54"/>
      <c r="D6781" s="54"/>
      <c r="E6781" s="65"/>
      <c r="F6781" s="66" t="s">
        <v>416</v>
      </c>
      <c r="G6781" s="66" t="str">
        <f t="shared" si="676"/>
        <v/>
      </c>
      <c r="H6781" s="68"/>
      <c r="I6781" s="30"/>
      <c r="J6781" s="152">
        <v>0</v>
      </c>
      <c r="L6781" s="222"/>
      <c r="M6781" s="66"/>
      <c r="N6781" s="66" t="str">
        <f t="shared" si="677"/>
        <v/>
      </c>
      <c r="O6781" s="68"/>
      <c r="P6781" s="36" t="str">
        <f t="shared" si="672"/>
        <v/>
      </c>
      <c r="Q6781" s="216" t="str">
        <f t="shared" si="673"/>
        <v/>
      </c>
      <c r="R6781" s="216" t="str">
        <f t="shared" si="674"/>
        <v/>
      </c>
      <c r="S6781" s="217" t="str">
        <f t="shared" si="675"/>
        <v/>
      </c>
    </row>
    <row r="6782" spans="1:19" ht="15.75" hidden="1" thickBot="1" x14ac:dyDescent="0.3">
      <c r="A6782" s="256" t="s">
        <v>6132</v>
      </c>
      <c r="B6782" s="259" t="str">
        <f>INDEX(Orçamentária!A:B,MATCH(Composições!A6782,Orçamentária!A:A,0),2)</f>
        <v>Tubo PVC esgoto ou águas pluviais predial DN 75 mm</v>
      </c>
      <c r="C6782" s="40"/>
      <c r="D6782" s="25" t="s">
        <v>69</v>
      </c>
      <c r="E6782" s="26"/>
      <c r="F6782" s="41" t="s">
        <v>416</v>
      </c>
      <c r="G6782" s="27" t="str">
        <f t="shared" si="676"/>
        <v/>
      </c>
      <c r="H6782" s="28"/>
      <c r="I6782" s="29"/>
      <c r="J6782" s="152">
        <v>0</v>
      </c>
      <c r="L6782" s="218"/>
      <c r="M6782" s="41"/>
      <c r="N6782" s="27" t="str">
        <f t="shared" si="677"/>
        <v/>
      </c>
      <c r="O6782" s="28"/>
      <c r="P6782" s="36" t="str">
        <f t="shared" si="672"/>
        <v/>
      </c>
      <c r="Q6782" s="216" t="str">
        <f t="shared" si="673"/>
        <v/>
      </c>
      <c r="R6782" s="216" t="str">
        <f t="shared" si="674"/>
        <v/>
      </c>
      <c r="S6782" s="217" t="str">
        <f t="shared" si="675"/>
        <v/>
      </c>
    </row>
    <row r="6783" spans="1:19" ht="15.75" hidden="1" thickBot="1" x14ac:dyDescent="0.3">
      <c r="A6783" s="262"/>
      <c r="B6783" s="260"/>
      <c r="C6783" s="31"/>
      <c r="D6783" s="31"/>
      <c r="E6783" s="32"/>
      <c r="F6783" s="42" t="s">
        <v>416</v>
      </c>
      <c r="G6783" s="30" t="str">
        <f t="shared" si="676"/>
        <v/>
      </c>
      <c r="H6783" s="34"/>
      <c r="I6783" s="30"/>
      <c r="J6783" s="152">
        <v>0</v>
      </c>
      <c r="L6783" s="219"/>
      <c r="M6783" s="42"/>
      <c r="N6783" s="30" t="str">
        <f t="shared" si="677"/>
        <v/>
      </c>
      <c r="O6783" s="34"/>
      <c r="P6783" s="36" t="str">
        <f t="shared" si="672"/>
        <v/>
      </c>
      <c r="Q6783" s="216" t="str">
        <f t="shared" si="673"/>
        <v/>
      </c>
      <c r="R6783" s="216" t="str">
        <f t="shared" si="674"/>
        <v/>
      </c>
      <c r="S6783" s="217" t="str">
        <f t="shared" si="675"/>
        <v/>
      </c>
    </row>
    <row r="6784" spans="1:19" ht="26.25" hidden="1" thickBot="1" x14ac:dyDescent="0.3">
      <c r="A6784" s="262"/>
      <c r="B6784" s="260"/>
      <c r="C6784" s="35" t="s">
        <v>8467</v>
      </c>
      <c r="D6784" s="35" t="s">
        <v>385</v>
      </c>
      <c r="E6784" s="36">
        <v>1</v>
      </c>
      <c r="F6784" s="30">
        <v>13.87</v>
      </c>
      <c r="G6784" s="30">
        <f t="shared" si="676"/>
        <v>13.87</v>
      </c>
      <c r="H6784" s="38">
        <f>SUM(G6784:G6784)</f>
        <v>13.87</v>
      </c>
      <c r="I6784" s="39"/>
      <c r="J6784" s="152">
        <v>0</v>
      </c>
      <c r="L6784" s="215">
        <v>1</v>
      </c>
      <c r="M6784" s="30">
        <v>11.872719999999999</v>
      </c>
      <c r="N6784" s="30">
        <f t="shared" si="677"/>
        <v>11.872719999999999</v>
      </c>
      <c r="O6784" s="38">
        <f>SUM(N6784:N6784)</f>
        <v>11.872719999999999</v>
      </c>
      <c r="P6784" s="36" t="str">
        <f t="shared" si="672"/>
        <v/>
      </c>
      <c r="Q6784" s="216">
        <f t="shared" si="673"/>
        <v>0.14400000000000002</v>
      </c>
      <c r="R6784" s="216">
        <f t="shared" si="674"/>
        <v>0.14400000000000002</v>
      </c>
      <c r="S6784" s="217">
        <f t="shared" si="675"/>
        <v>0.14400000000000002</v>
      </c>
    </row>
    <row r="6785" spans="1:19" ht="15.75" hidden="1" thickBot="1" x14ac:dyDescent="0.3">
      <c r="A6785" s="263"/>
      <c r="B6785" s="261"/>
      <c r="C6785" s="54"/>
      <c r="D6785" s="54"/>
      <c r="E6785" s="65"/>
      <c r="F6785" s="66" t="s">
        <v>416</v>
      </c>
      <c r="G6785" s="66" t="str">
        <f t="shared" si="676"/>
        <v/>
      </c>
      <c r="H6785" s="68"/>
      <c r="I6785" s="30"/>
      <c r="J6785" s="152">
        <v>0</v>
      </c>
      <c r="L6785" s="222"/>
      <c r="M6785" s="66"/>
      <c r="N6785" s="66" t="str">
        <f t="shared" si="677"/>
        <v/>
      </c>
      <c r="O6785" s="68"/>
      <c r="P6785" s="36" t="str">
        <f t="shared" si="672"/>
        <v/>
      </c>
      <c r="Q6785" s="216" t="str">
        <f t="shared" si="673"/>
        <v/>
      </c>
      <c r="R6785" s="216" t="str">
        <f t="shared" si="674"/>
        <v/>
      </c>
      <c r="S6785" s="217" t="str">
        <f t="shared" si="675"/>
        <v/>
      </c>
    </row>
    <row r="6786" spans="1:19" ht="15.75" hidden="1" thickBot="1" x14ac:dyDescent="0.3">
      <c r="A6786" s="256" t="s">
        <v>6133</v>
      </c>
      <c r="B6786" s="259" t="str">
        <f>INDEX(Orçamentária!A:B,MATCH(Composições!A6786,Orçamentária!A:A,0),2)</f>
        <v>Tubo PVC roscável para água fria 1 1/2”</v>
      </c>
      <c r="C6786" s="40"/>
      <c r="D6786" s="25" t="s">
        <v>69</v>
      </c>
      <c r="E6786" s="26"/>
      <c r="F6786" s="41" t="s">
        <v>416</v>
      </c>
      <c r="G6786" s="27" t="str">
        <f t="shared" si="676"/>
        <v/>
      </c>
      <c r="H6786" s="28"/>
      <c r="I6786" s="29"/>
      <c r="J6786" s="152">
        <v>0</v>
      </c>
      <c r="L6786" s="218"/>
      <c r="M6786" s="41"/>
      <c r="N6786" s="27" t="str">
        <f t="shared" si="677"/>
        <v/>
      </c>
      <c r="O6786" s="28"/>
      <c r="P6786" s="36" t="str">
        <f t="shared" si="672"/>
        <v/>
      </c>
      <c r="Q6786" s="216" t="str">
        <f t="shared" si="673"/>
        <v/>
      </c>
      <c r="R6786" s="216" t="str">
        <f t="shared" si="674"/>
        <v/>
      </c>
      <c r="S6786" s="217" t="str">
        <f t="shared" si="675"/>
        <v/>
      </c>
    </row>
    <row r="6787" spans="1:19" ht="15.75" hidden="1" thickBot="1" x14ac:dyDescent="0.3">
      <c r="A6787" s="262"/>
      <c r="B6787" s="260"/>
      <c r="C6787" s="31"/>
      <c r="D6787" s="31"/>
      <c r="E6787" s="32"/>
      <c r="F6787" s="42" t="s">
        <v>416</v>
      </c>
      <c r="G6787" s="30" t="str">
        <f t="shared" si="676"/>
        <v/>
      </c>
      <c r="H6787" s="34"/>
      <c r="I6787" s="30"/>
      <c r="J6787" s="152">
        <v>0</v>
      </c>
      <c r="L6787" s="219"/>
      <c r="M6787" s="42"/>
      <c r="N6787" s="30" t="str">
        <f t="shared" si="677"/>
        <v/>
      </c>
      <c r="O6787" s="34"/>
      <c r="P6787" s="36" t="str">
        <f t="shared" si="672"/>
        <v/>
      </c>
      <c r="Q6787" s="216" t="str">
        <f t="shared" si="673"/>
        <v/>
      </c>
      <c r="R6787" s="216" t="str">
        <f t="shared" si="674"/>
        <v/>
      </c>
      <c r="S6787" s="217" t="str">
        <f t="shared" si="675"/>
        <v/>
      </c>
    </row>
    <row r="6788" spans="1:19" ht="15.75" hidden="1" thickBot="1" x14ac:dyDescent="0.3">
      <c r="A6788" s="262"/>
      <c r="B6788" s="260"/>
      <c r="C6788" s="35" t="s">
        <v>8554</v>
      </c>
      <c r="D6788" s="35" t="s">
        <v>385</v>
      </c>
      <c r="E6788" s="36">
        <v>1</v>
      </c>
      <c r="F6788" s="30">
        <v>30.960500000000003</v>
      </c>
      <c r="G6788" s="30">
        <f t="shared" si="676"/>
        <v>30.960500000000003</v>
      </c>
      <c r="H6788" s="38">
        <f>SUM(G6788:G6788)</f>
        <v>30.960500000000003</v>
      </c>
      <c r="I6788" s="39"/>
      <c r="J6788" s="152">
        <v>0</v>
      </c>
      <c r="L6788" s="215">
        <v>1</v>
      </c>
      <c r="M6788" s="30">
        <v>26.502188000000004</v>
      </c>
      <c r="N6788" s="30">
        <f t="shared" si="677"/>
        <v>26.502188000000004</v>
      </c>
      <c r="O6788" s="38">
        <f>SUM(N6788:N6788)</f>
        <v>26.502188000000004</v>
      </c>
      <c r="P6788" s="36" t="str">
        <f t="shared" si="672"/>
        <v/>
      </c>
      <c r="Q6788" s="216">
        <f t="shared" si="673"/>
        <v>0.14400000000000002</v>
      </c>
      <c r="R6788" s="216">
        <f t="shared" si="674"/>
        <v>0.14400000000000002</v>
      </c>
      <c r="S6788" s="217">
        <f t="shared" si="675"/>
        <v>0.14400000000000002</v>
      </c>
    </row>
    <row r="6789" spans="1:19" ht="15.75" hidden="1" thickBot="1" x14ac:dyDescent="0.3">
      <c r="A6789" s="263"/>
      <c r="B6789" s="261"/>
      <c r="C6789" s="54"/>
      <c r="D6789" s="54"/>
      <c r="E6789" s="65"/>
      <c r="F6789" s="66" t="s">
        <v>416</v>
      </c>
      <c r="G6789" s="66" t="str">
        <f t="shared" si="676"/>
        <v/>
      </c>
      <c r="H6789" s="68"/>
      <c r="I6789" s="30"/>
      <c r="J6789" s="152">
        <v>0</v>
      </c>
      <c r="L6789" s="222"/>
      <c r="M6789" s="66"/>
      <c r="N6789" s="66" t="str">
        <f t="shared" si="677"/>
        <v/>
      </c>
      <c r="O6789" s="68"/>
      <c r="P6789" s="36" t="str">
        <f t="shared" si="672"/>
        <v/>
      </c>
      <c r="Q6789" s="216" t="str">
        <f t="shared" si="673"/>
        <v/>
      </c>
      <c r="R6789" s="216" t="str">
        <f t="shared" si="674"/>
        <v/>
      </c>
      <c r="S6789" s="217" t="str">
        <f t="shared" si="675"/>
        <v/>
      </c>
    </row>
    <row r="6790" spans="1:19" ht="15.75" hidden="1" thickBot="1" x14ac:dyDescent="0.3">
      <c r="A6790" s="256" t="s">
        <v>6135</v>
      </c>
      <c r="B6790" s="259" t="str">
        <f>INDEX(Orçamentária!A:B,MATCH(Composições!A6790,Orçamentária!A:A,0),2)</f>
        <v>Tubo PVC roscável para água fria 1”</v>
      </c>
      <c r="C6790" s="40"/>
      <c r="D6790" s="25" t="s">
        <v>69</v>
      </c>
      <c r="E6790" s="26"/>
      <c r="F6790" s="41" t="s">
        <v>416</v>
      </c>
      <c r="G6790" s="27" t="str">
        <f t="shared" si="676"/>
        <v/>
      </c>
      <c r="H6790" s="28"/>
      <c r="I6790" s="29"/>
      <c r="J6790" s="152">
        <v>0</v>
      </c>
      <c r="L6790" s="218"/>
      <c r="M6790" s="41"/>
      <c r="N6790" s="27" t="str">
        <f t="shared" si="677"/>
        <v/>
      </c>
      <c r="O6790" s="28"/>
      <c r="P6790" s="36" t="str">
        <f t="shared" si="672"/>
        <v/>
      </c>
      <c r="Q6790" s="216" t="str">
        <f t="shared" si="673"/>
        <v/>
      </c>
      <c r="R6790" s="216" t="str">
        <f t="shared" si="674"/>
        <v/>
      </c>
      <c r="S6790" s="217" t="str">
        <f t="shared" si="675"/>
        <v/>
      </c>
    </row>
    <row r="6791" spans="1:19" ht="15.75" hidden="1" thickBot="1" x14ac:dyDescent="0.3">
      <c r="A6791" s="262"/>
      <c r="B6791" s="260"/>
      <c r="C6791" s="31"/>
      <c r="D6791" s="31"/>
      <c r="E6791" s="32"/>
      <c r="F6791" s="42" t="s">
        <v>416</v>
      </c>
      <c r="G6791" s="30" t="str">
        <f t="shared" si="676"/>
        <v/>
      </c>
      <c r="H6791" s="34"/>
      <c r="I6791" s="30"/>
      <c r="J6791" s="152">
        <v>0</v>
      </c>
      <c r="L6791" s="219"/>
      <c r="M6791" s="42"/>
      <c r="N6791" s="30" t="str">
        <f t="shared" si="677"/>
        <v/>
      </c>
      <c r="O6791" s="34"/>
      <c r="P6791" s="36" t="str">
        <f t="shared" si="672"/>
        <v/>
      </c>
      <c r="Q6791" s="216" t="str">
        <f t="shared" si="673"/>
        <v/>
      </c>
      <c r="R6791" s="216" t="str">
        <f t="shared" si="674"/>
        <v/>
      </c>
      <c r="S6791" s="217" t="str">
        <f t="shared" si="675"/>
        <v/>
      </c>
    </row>
    <row r="6792" spans="1:19" ht="15.75" hidden="1" thickBot="1" x14ac:dyDescent="0.3">
      <c r="A6792" s="262"/>
      <c r="B6792" s="260"/>
      <c r="C6792" s="35" t="s">
        <v>8468</v>
      </c>
      <c r="D6792" s="35" t="s">
        <v>385</v>
      </c>
      <c r="E6792" s="36">
        <v>1</v>
      </c>
      <c r="F6792" s="30">
        <v>20.985499999999998</v>
      </c>
      <c r="G6792" s="30">
        <f t="shared" si="676"/>
        <v>20.985499999999998</v>
      </c>
      <c r="H6792" s="38">
        <f>SUM(G6792:G6792)</f>
        <v>20.985499999999998</v>
      </c>
      <c r="I6792" s="39"/>
      <c r="J6792" s="152">
        <v>0</v>
      </c>
      <c r="L6792" s="215">
        <v>1</v>
      </c>
      <c r="M6792" s="30">
        <v>17.963587999999998</v>
      </c>
      <c r="N6792" s="30">
        <f t="shared" si="677"/>
        <v>17.963587999999998</v>
      </c>
      <c r="O6792" s="38">
        <f>SUM(N6792:N6792)</f>
        <v>17.963587999999998</v>
      </c>
      <c r="P6792" s="36" t="str">
        <f t="shared" ref="P6792:P6855" si="678">IF(ISBLANK(L6792),"",IF($E6792&lt;&gt;L6792,"SIM",""))</f>
        <v/>
      </c>
      <c r="Q6792" s="216">
        <f t="shared" ref="Q6792:Q6855" si="679">IF(M6792="","",1-M6792/$F6792)</f>
        <v>0.14400000000000002</v>
      </c>
      <c r="R6792" s="216">
        <f t="shared" ref="R6792:R6855" si="680">IF(N6792="","",1-N6792/$G6792)</f>
        <v>0.14400000000000002</v>
      </c>
      <c r="S6792" s="217">
        <f t="shared" ref="S6792:S6855" si="681">IF(O6792="","",1-O6792/$H6792)</f>
        <v>0.14400000000000002</v>
      </c>
    </row>
    <row r="6793" spans="1:19" ht="15.75" hidden="1" thickBot="1" x14ac:dyDescent="0.3">
      <c r="A6793" s="263"/>
      <c r="B6793" s="261"/>
      <c r="C6793" s="54"/>
      <c r="D6793" s="54"/>
      <c r="E6793" s="65"/>
      <c r="F6793" s="66" t="s">
        <v>416</v>
      </c>
      <c r="G6793" s="66" t="str">
        <f t="shared" si="676"/>
        <v/>
      </c>
      <c r="H6793" s="68"/>
      <c r="I6793" s="30"/>
      <c r="J6793" s="152">
        <v>0</v>
      </c>
      <c r="L6793" s="222"/>
      <c r="M6793" s="66"/>
      <c r="N6793" s="66" t="str">
        <f t="shared" si="677"/>
        <v/>
      </c>
      <c r="O6793" s="68"/>
      <c r="P6793" s="36" t="str">
        <f t="shared" si="678"/>
        <v/>
      </c>
      <c r="Q6793" s="216" t="str">
        <f t="shared" si="679"/>
        <v/>
      </c>
      <c r="R6793" s="216" t="str">
        <f t="shared" si="680"/>
        <v/>
      </c>
      <c r="S6793" s="217" t="str">
        <f t="shared" si="681"/>
        <v/>
      </c>
    </row>
    <row r="6794" spans="1:19" ht="15.75" hidden="1" thickBot="1" x14ac:dyDescent="0.3">
      <c r="A6794" s="256" t="s">
        <v>6137</v>
      </c>
      <c r="B6794" s="259" t="str">
        <f>INDEX(Orçamentária!A:B,MATCH(Composições!A6794,Orçamentária!A:A,0),2)</f>
        <v>Tubo PVC roscável para água fria 2 1/2”</v>
      </c>
      <c r="C6794" s="40"/>
      <c r="D6794" s="25" t="s">
        <v>69</v>
      </c>
      <c r="E6794" s="26"/>
      <c r="F6794" s="41" t="s">
        <v>416</v>
      </c>
      <c r="G6794" s="27" t="str">
        <f t="shared" si="676"/>
        <v/>
      </c>
      <c r="H6794" s="28"/>
      <c r="I6794" s="29"/>
      <c r="J6794" s="152">
        <v>0</v>
      </c>
      <c r="L6794" s="218"/>
      <c r="M6794" s="41"/>
      <c r="N6794" s="27" t="str">
        <f t="shared" si="677"/>
        <v/>
      </c>
      <c r="O6794" s="28"/>
      <c r="P6794" s="36" t="str">
        <f t="shared" si="678"/>
        <v/>
      </c>
      <c r="Q6794" s="216" t="str">
        <f t="shared" si="679"/>
        <v/>
      </c>
      <c r="R6794" s="216" t="str">
        <f t="shared" si="680"/>
        <v/>
      </c>
      <c r="S6794" s="217" t="str">
        <f t="shared" si="681"/>
        <v/>
      </c>
    </row>
    <row r="6795" spans="1:19" ht="15.75" hidden="1" thickBot="1" x14ac:dyDescent="0.3">
      <c r="A6795" s="262"/>
      <c r="B6795" s="260"/>
      <c r="C6795" s="31"/>
      <c r="D6795" s="31"/>
      <c r="E6795" s="32"/>
      <c r="F6795" s="42" t="s">
        <v>416</v>
      </c>
      <c r="G6795" s="30" t="str">
        <f t="shared" si="676"/>
        <v/>
      </c>
      <c r="H6795" s="34"/>
      <c r="I6795" s="30"/>
      <c r="J6795" s="152">
        <v>0</v>
      </c>
      <c r="L6795" s="219"/>
      <c r="M6795" s="42"/>
      <c r="N6795" s="30" t="str">
        <f t="shared" si="677"/>
        <v/>
      </c>
      <c r="O6795" s="34"/>
      <c r="P6795" s="36" t="str">
        <f t="shared" si="678"/>
        <v/>
      </c>
      <c r="Q6795" s="216" t="str">
        <f t="shared" si="679"/>
        <v/>
      </c>
      <c r="R6795" s="216" t="str">
        <f t="shared" si="680"/>
        <v/>
      </c>
      <c r="S6795" s="217" t="str">
        <f t="shared" si="681"/>
        <v/>
      </c>
    </row>
    <row r="6796" spans="1:19" ht="15.75" hidden="1" thickBot="1" x14ac:dyDescent="0.3">
      <c r="A6796" s="262"/>
      <c r="B6796" s="260"/>
      <c r="C6796" s="35" t="s">
        <v>8555</v>
      </c>
      <c r="D6796" s="35" t="s">
        <v>385</v>
      </c>
      <c r="E6796" s="36">
        <v>1</v>
      </c>
      <c r="F6796" s="30">
        <v>60.704999999999998</v>
      </c>
      <c r="G6796" s="30">
        <f t="shared" si="676"/>
        <v>60.704999999999998</v>
      </c>
      <c r="H6796" s="38">
        <f>SUM(G6796:G6796)</f>
        <v>60.704999999999998</v>
      </c>
      <c r="I6796" s="39"/>
      <c r="J6796" s="152">
        <v>0</v>
      </c>
      <c r="L6796" s="215">
        <v>1</v>
      </c>
      <c r="M6796" s="30">
        <v>51.963479999999997</v>
      </c>
      <c r="N6796" s="30">
        <f t="shared" si="677"/>
        <v>51.963479999999997</v>
      </c>
      <c r="O6796" s="38">
        <f>SUM(N6796:N6796)</f>
        <v>51.963479999999997</v>
      </c>
      <c r="P6796" s="36" t="str">
        <f t="shared" si="678"/>
        <v/>
      </c>
      <c r="Q6796" s="216">
        <f t="shared" si="679"/>
        <v>0.14400000000000002</v>
      </c>
      <c r="R6796" s="216">
        <f t="shared" si="680"/>
        <v>0.14400000000000002</v>
      </c>
      <c r="S6796" s="217">
        <f t="shared" si="681"/>
        <v>0.14400000000000002</v>
      </c>
    </row>
    <row r="6797" spans="1:19" ht="15.75" hidden="1" thickBot="1" x14ac:dyDescent="0.3">
      <c r="A6797" s="263"/>
      <c r="B6797" s="261"/>
      <c r="C6797" s="54"/>
      <c r="D6797" s="54"/>
      <c r="E6797" s="65"/>
      <c r="F6797" s="66" t="s">
        <v>416</v>
      </c>
      <c r="G6797" s="66" t="str">
        <f t="shared" si="676"/>
        <v/>
      </c>
      <c r="H6797" s="68"/>
      <c r="I6797" s="30"/>
      <c r="J6797" s="152">
        <v>0</v>
      </c>
      <c r="L6797" s="222"/>
      <c r="M6797" s="66"/>
      <c r="N6797" s="66" t="str">
        <f t="shared" si="677"/>
        <v/>
      </c>
      <c r="O6797" s="68"/>
      <c r="P6797" s="36" t="str">
        <f t="shared" si="678"/>
        <v/>
      </c>
      <c r="Q6797" s="216" t="str">
        <f t="shared" si="679"/>
        <v/>
      </c>
      <c r="R6797" s="216" t="str">
        <f t="shared" si="680"/>
        <v/>
      </c>
      <c r="S6797" s="217" t="str">
        <f t="shared" si="681"/>
        <v/>
      </c>
    </row>
    <row r="6798" spans="1:19" ht="15.75" hidden="1" thickBot="1" x14ac:dyDescent="0.3">
      <c r="A6798" s="256" t="s">
        <v>6139</v>
      </c>
      <c r="B6798" s="259" t="str">
        <f>INDEX(Orçamentária!A:B,MATCH(Composições!A6798,Orçamentária!A:A,0),2)</f>
        <v>Tubo PVC roscável para água fria 2”</v>
      </c>
      <c r="C6798" s="40"/>
      <c r="D6798" s="25" t="s">
        <v>69</v>
      </c>
      <c r="E6798" s="26"/>
      <c r="F6798" s="41" t="s">
        <v>416</v>
      </c>
      <c r="G6798" s="27" t="str">
        <f t="shared" si="676"/>
        <v/>
      </c>
      <c r="H6798" s="28"/>
      <c r="I6798" s="29"/>
      <c r="J6798" s="152">
        <v>0</v>
      </c>
      <c r="L6798" s="218"/>
      <c r="M6798" s="41"/>
      <c r="N6798" s="27" t="str">
        <f t="shared" si="677"/>
        <v/>
      </c>
      <c r="O6798" s="28"/>
      <c r="P6798" s="36" t="str">
        <f t="shared" si="678"/>
        <v/>
      </c>
      <c r="Q6798" s="216" t="str">
        <f t="shared" si="679"/>
        <v/>
      </c>
      <c r="R6798" s="216" t="str">
        <f t="shared" si="680"/>
        <v/>
      </c>
      <c r="S6798" s="217" t="str">
        <f t="shared" si="681"/>
        <v/>
      </c>
    </row>
    <row r="6799" spans="1:19" ht="15.75" hidden="1" thickBot="1" x14ac:dyDescent="0.3">
      <c r="A6799" s="262"/>
      <c r="B6799" s="260"/>
      <c r="C6799" s="31"/>
      <c r="D6799" s="31"/>
      <c r="E6799" s="32"/>
      <c r="F6799" s="42" t="s">
        <v>416</v>
      </c>
      <c r="G6799" s="30" t="str">
        <f t="shared" si="676"/>
        <v/>
      </c>
      <c r="H6799" s="34"/>
      <c r="I6799" s="30"/>
      <c r="J6799" s="152">
        <v>0</v>
      </c>
      <c r="L6799" s="219"/>
      <c r="M6799" s="42"/>
      <c r="N6799" s="30" t="str">
        <f t="shared" si="677"/>
        <v/>
      </c>
      <c r="O6799" s="34"/>
      <c r="P6799" s="36" t="str">
        <f t="shared" si="678"/>
        <v/>
      </c>
      <c r="Q6799" s="216" t="str">
        <f t="shared" si="679"/>
        <v/>
      </c>
      <c r="R6799" s="216" t="str">
        <f t="shared" si="680"/>
        <v/>
      </c>
      <c r="S6799" s="217" t="str">
        <f t="shared" si="681"/>
        <v/>
      </c>
    </row>
    <row r="6800" spans="1:19" ht="15.75" hidden="1" thickBot="1" x14ac:dyDescent="0.3">
      <c r="A6800" s="262"/>
      <c r="B6800" s="260"/>
      <c r="C6800" s="35" t="s">
        <v>8556</v>
      </c>
      <c r="D6800" s="35" t="s">
        <v>385</v>
      </c>
      <c r="E6800" s="36">
        <v>1</v>
      </c>
      <c r="F6800" s="30">
        <v>44.308</v>
      </c>
      <c r="G6800" s="30">
        <f t="shared" si="676"/>
        <v>44.308</v>
      </c>
      <c r="H6800" s="38">
        <f>SUM(G6800:G6800)</f>
        <v>44.308</v>
      </c>
      <c r="I6800" s="39"/>
      <c r="J6800" s="152">
        <v>0</v>
      </c>
      <c r="L6800" s="215">
        <v>1</v>
      </c>
      <c r="M6800" s="30">
        <v>37.927647999999998</v>
      </c>
      <c r="N6800" s="30">
        <f t="shared" si="677"/>
        <v>37.927647999999998</v>
      </c>
      <c r="O6800" s="38">
        <f>SUM(N6800:N6800)</f>
        <v>37.927647999999998</v>
      </c>
      <c r="P6800" s="36" t="str">
        <f t="shared" si="678"/>
        <v/>
      </c>
      <c r="Q6800" s="216">
        <f t="shared" si="679"/>
        <v>0.14400000000000002</v>
      </c>
      <c r="R6800" s="216">
        <f t="shared" si="680"/>
        <v>0.14400000000000002</v>
      </c>
      <c r="S6800" s="217">
        <f t="shared" si="681"/>
        <v>0.14400000000000002</v>
      </c>
    </row>
    <row r="6801" spans="1:19" ht="15.75" hidden="1" thickBot="1" x14ac:dyDescent="0.3">
      <c r="A6801" s="263"/>
      <c r="B6801" s="261"/>
      <c r="C6801" s="54"/>
      <c r="D6801" s="54"/>
      <c r="E6801" s="65"/>
      <c r="F6801" s="66" t="s">
        <v>416</v>
      </c>
      <c r="G6801" s="66" t="str">
        <f t="shared" si="676"/>
        <v/>
      </c>
      <c r="H6801" s="68"/>
      <c r="I6801" s="30"/>
      <c r="J6801" s="152">
        <v>0</v>
      </c>
      <c r="L6801" s="222"/>
      <c r="M6801" s="66"/>
      <c r="N6801" s="66" t="str">
        <f t="shared" si="677"/>
        <v/>
      </c>
      <c r="O6801" s="68"/>
      <c r="P6801" s="36" t="str">
        <f t="shared" si="678"/>
        <v/>
      </c>
      <c r="Q6801" s="216" t="str">
        <f t="shared" si="679"/>
        <v/>
      </c>
      <c r="R6801" s="216" t="str">
        <f t="shared" si="680"/>
        <v/>
      </c>
      <c r="S6801" s="217" t="str">
        <f t="shared" si="681"/>
        <v/>
      </c>
    </row>
    <row r="6802" spans="1:19" ht="15.75" hidden="1" thickBot="1" x14ac:dyDescent="0.3">
      <c r="A6802" s="256" t="s">
        <v>6141</v>
      </c>
      <c r="B6802" s="259" t="str">
        <f>INDEX(Orçamentária!A:B,MATCH(Composições!A6802,Orçamentária!A:A,0),2)</f>
        <v>Tubo PVC roscável para água fria 3”</v>
      </c>
      <c r="C6802" s="40"/>
      <c r="D6802" s="25" t="s">
        <v>69</v>
      </c>
      <c r="E6802" s="26"/>
      <c r="F6802" s="41" t="s">
        <v>416</v>
      </c>
      <c r="G6802" s="27" t="str">
        <f t="shared" si="676"/>
        <v/>
      </c>
      <c r="H6802" s="28"/>
      <c r="I6802" s="29"/>
      <c r="J6802" s="152">
        <v>0</v>
      </c>
      <c r="L6802" s="218"/>
      <c r="M6802" s="41"/>
      <c r="N6802" s="27" t="str">
        <f t="shared" si="677"/>
        <v/>
      </c>
      <c r="O6802" s="28"/>
      <c r="P6802" s="36" t="str">
        <f t="shared" si="678"/>
        <v/>
      </c>
      <c r="Q6802" s="216" t="str">
        <f t="shared" si="679"/>
        <v/>
      </c>
      <c r="R6802" s="216" t="str">
        <f t="shared" si="680"/>
        <v/>
      </c>
      <c r="S6802" s="217" t="str">
        <f t="shared" si="681"/>
        <v/>
      </c>
    </row>
    <row r="6803" spans="1:19" ht="15.75" hidden="1" thickBot="1" x14ac:dyDescent="0.3">
      <c r="A6803" s="262"/>
      <c r="B6803" s="260"/>
      <c r="C6803" s="31"/>
      <c r="D6803" s="31"/>
      <c r="E6803" s="32"/>
      <c r="F6803" s="42" t="s">
        <v>416</v>
      </c>
      <c r="G6803" s="30" t="str">
        <f t="shared" si="676"/>
        <v/>
      </c>
      <c r="H6803" s="34"/>
      <c r="I6803" s="30"/>
      <c r="J6803" s="152">
        <v>0</v>
      </c>
      <c r="L6803" s="219"/>
      <c r="M6803" s="42"/>
      <c r="N6803" s="30" t="str">
        <f t="shared" si="677"/>
        <v/>
      </c>
      <c r="O6803" s="34"/>
      <c r="P6803" s="36" t="str">
        <f t="shared" si="678"/>
        <v/>
      </c>
      <c r="Q6803" s="216" t="str">
        <f t="shared" si="679"/>
        <v/>
      </c>
      <c r="R6803" s="216" t="str">
        <f t="shared" si="680"/>
        <v/>
      </c>
      <c r="S6803" s="217" t="str">
        <f t="shared" si="681"/>
        <v/>
      </c>
    </row>
    <row r="6804" spans="1:19" ht="15.75" hidden="1" thickBot="1" x14ac:dyDescent="0.3">
      <c r="A6804" s="262"/>
      <c r="B6804" s="260"/>
      <c r="C6804" s="35" t="s">
        <v>6583</v>
      </c>
      <c r="D6804" s="46" t="s">
        <v>69</v>
      </c>
      <c r="E6804" s="36">
        <v>1</v>
      </c>
      <c r="F6804" s="30">
        <v>0</v>
      </c>
      <c r="G6804" s="30">
        <f t="shared" si="676"/>
        <v>0</v>
      </c>
      <c r="H6804" s="38">
        <f>SUM(G6804:G6804)</f>
        <v>0</v>
      </c>
      <c r="I6804" s="39"/>
      <c r="J6804" s="152">
        <v>0</v>
      </c>
      <c r="L6804" s="215">
        <v>1</v>
      </c>
      <c r="M6804" s="30">
        <v>0</v>
      </c>
      <c r="N6804" s="30">
        <f t="shared" si="677"/>
        <v>0</v>
      </c>
      <c r="O6804" s="38">
        <f>SUM(N6804:N6804)</f>
        <v>0</v>
      </c>
      <c r="P6804" s="36" t="str">
        <f t="shared" si="678"/>
        <v/>
      </c>
      <c r="Q6804" s="216" t="e">
        <f t="shared" si="679"/>
        <v>#DIV/0!</v>
      </c>
      <c r="R6804" s="216" t="e">
        <f t="shared" si="680"/>
        <v>#DIV/0!</v>
      </c>
      <c r="S6804" s="217" t="e">
        <f t="shared" si="681"/>
        <v>#DIV/0!</v>
      </c>
    </row>
    <row r="6805" spans="1:19" ht="15.75" hidden="1" thickBot="1" x14ac:dyDescent="0.3">
      <c r="A6805" s="263"/>
      <c r="B6805" s="261"/>
      <c r="C6805" s="54"/>
      <c r="D6805" s="54"/>
      <c r="E6805" s="65"/>
      <c r="F6805" s="66" t="s">
        <v>416</v>
      </c>
      <c r="G6805" s="66" t="str">
        <f t="shared" si="676"/>
        <v/>
      </c>
      <c r="H6805" s="68"/>
      <c r="I6805" s="30"/>
      <c r="J6805" s="152">
        <v>0</v>
      </c>
      <c r="L6805" s="222"/>
      <c r="M6805" s="66"/>
      <c r="N6805" s="66" t="str">
        <f t="shared" si="677"/>
        <v/>
      </c>
      <c r="O6805" s="68"/>
      <c r="P6805" s="36" t="str">
        <f t="shared" si="678"/>
        <v/>
      </c>
      <c r="Q6805" s="216" t="str">
        <f t="shared" si="679"/>
        <v/>
      </c>
      <c r="R6805" s="216" t="str">
        <f t="shared" si="680"/>
        <v/>
      </c>
      <c r="S6805" s="217" t="str">
        <f t="shared" si="681"/>
        <v/>
      </c>
    </row>
    <row r="6806" spans="1:19" ht="15.75" hidden="1" thickBot="1" x14ac:dyDescent="0.3">
      <c r="A6806" s="256" t="s">
        <v>6143</v>
      </c>
      <c r="B6806" s="259" t="str">
        <f>INDEX(Orçamentária!A:B,MATCH(Composições!A6806,Orçamentária!A:A,0),2)</f>
        <v>Tubo PVC roscável para água fria 3/4”</v>
      </c>
      <c r="C6806" s="40"/>
      <c r="D6806" s="25" t="s">
        <v>69</v>
      </c>
      <c r="E6806" s="26"/>
      <c r="F6806" s="41" t="s">
        <v>416</v>
      </c>
      <c r="G6806" s="27" t="str">
        <f t="shared" si="676"/>
        <v/>
      </c>
      <c r="H6806" s="28"/>
      <c r="I6806" s="29"/>
      <c r="J6806" s="152">
        <v>0</v>
      </c>
      <c r="L6806" s="218"/>
      <c r="M6806" s="41"/>
      <c r="N6806" s="27" t="str">
        <f t="shared" si="677"/>
        <v/>
      </c>
      <c r="O6806" s="28"/>
      <c r="P6806" s="36" t="str">
        <f t="shared" si="678"/>
        <v/>
      </c>
      <c r="Q6806" s="216" t="str">
        <f t="shared" si="679"/>
        <v/>
      </c>
      <c r="R6806" s="216" t="str">
        <f t="shared" si="680"/>
        <v/>
      </c>
      <c r="S6806" s="217" t="str">
        <f t="shared" si="681"/>
        <v/>
      </c>
    </row>
    <row r="6807" spans="1:19" ht="15.75" hidden="1" thickBot="1" x14ac:dyDescent="0.3">
      <c r="A6807" s="262"/>
      <c r="B6807" s="260"/>
      <c r="C6807" s="31"/>
      <c r="D6807" s="31"/>
      <c r="E6807" s="32"/>
      <c r="F6807" s="42" t="s">
        <v>416</v>
      </c>
      <c r="G6807" s="30" t="str">
        <f t="shared" si="676"/>
        <v/>
      </c>
      <c r="H6807" s="34"/>
      <c r="I6807" s="30"/>
      <c r="J6807" s="152">
        <v>0</v>
      </c>
      <c r="L6807" s="219"/>
      <c r="M6807" s="42"/>
      <c r="N6807" s="30" t="str">
        <f t="shared" si="677"/>
        <v/>
      </c>
      <c r="O6807" s="34"/>
      <c r="P6807" s="36" t="str">
        <f t="shared" si="678"/>
        <v/>
      </c>
      <c r="Q6807" s="216" t="str">
        <f t="shared" si="679"/>
        <v/>
      </c>
      <c r="R6807" s="216" t="str">
        <f t="shared" si="680"/>
        <v/>
      </c>
      <c r="S6807" s="217" t="str">
        <f t="shared" si="681"/>
        <v/>
      </c>
    </row>
    <row r="6808" spans="1:19" ht="15.75" hidden="1" thickBot="1" x14ac:dyDescent="0.3">
      <c r="A6808" s="262"/>
      <c r="B6808" s="260"/>
      <c r="C6808" s="35" t="s">
        <v>8557</v>
      </c>
      <c r="D6808" s="35" t="s">
        <v>385</v>
      </c>
      <c r="E6808" s="36">
        <v>1</v>
      </c>
      <c r="F6808" s="30">
        <v>10.041499999999999</v>
      </c>
      <c r="G6808" s="30">
        <f t="shared" si="676"/>
        <v>10.041499999999999</v>
      </c>
      <c r="H6808" s="38">
        <f>SUM(G6808:G6808)</f>
        <v>10.041499999999999</v>
      </c>
      <c r="I6808" s="39"/>
      <c r="J6808" s="152">
        <v>0</v>
      </c>
      <c r="L6808" s="215">
        <v>1</v>
      </c>
      <c r="M6808" s="30">
        <v>8.5955239999999993</v>
      </c>
      <c r="N6808" s="30">
        <f t="shared" si="677"/>
        <v>8.5955239999999993</v>
      </c>
      <c r="O6808" s="38">
        <f>SUM(N6808:N6808)</f>
        <v>8.5955239999999993</v>
      </c>
      <c r="P6808" s="36" t="str">
        <f t="shared" si="678"/>
        <v/>
      </c>
      <c r="Q6808" s="216">
        <f t="shared" si="679"/>
        <v>0.14400000000000002</v>
      </c>
      <c r="R6808" s="216">
        <f t="shared" si="680"/>
        <v>0.14400000000000002</v>
      </c>
      <c r="S6808" s="217">
        <f t="shared" si="681"/>
        <v>0.14400000000000002</v>
      </c>
    </row>
    <row r="6809" spans="1:19" ht="15.75" hidden="1" thickBot="1" x14ac:dyDescent="0.3">
      <c r="A6809" s="263"/>
      <c r="B6809" s="261"/>
      <c r="C6809" s="54"/>
      <c r="D6809" s="54"/>
      <c r="E6809" s="65"/>
      <c r="F6809" s="66" t="s">
        <v>416</v>
      </c>
      <c r="G6809" s="66" t="str">
        <f t="shared" si="676"/>
        <v/>
      </c>
      <c r="H6809" s="68"/>
      <c r="I6809" s="30"/>
      <c r="J6809" s="152">
        <v>0</v>
      </c>
      <c r="L6809" s="222"/>
      <c r="M6809" s="66"/>
      <c r="N6809" s="66" t="str">
        <f t="shared" si="677"/>
        <v/>
      </c>
      <c r="O6809" s="68"/>
      <c r="P6809" s="36" t="str">
        <f t="shared" si="678"/>
        <v/>
      </c>
      <c r="Q6809" s="216" t="str">
        <f t="shared" si="679"/>
        <v/>
      </c>
      <c r="R6809" s="216" t="str">
        <f t="shared" si="680"/>
        <v/>
      </c>
      <c r="S6809" s="217" t="str">
        <f t="shared" si="681"/>
        <v/>
      </c>
    </row>
    <row r="6810" spans="1:19" ht="15.75" hidden="1" thickBot="1" x14ac:dyDescent="0.3">
      <c r="A6810" s="256" t="s">
        <v>6145</v>
      </c>
      <c r="B6810" s="259" t="str">
        <f>INDEX(Orçamentária!A:B,MATCH(Composições!A6810,Orçamentária!A:A,0),2)</f>
        <v>Tubo PVC roscável para água fria 4”</v>
      </c>
      <c r="C6810" s="40"/>
      <c r="D6810" s="25" t="s">
        <v>69</v>
      </c>
      <c r="E6810" s="26"/>
      <c r="F6810" s="41" t="s">
        <v>416</v>
      </c>
      <c r="G6810" s="27" t="str">
        <f t="shared" si="676"/>
        <v/>
      </c>
      <c r="H6810" s="28"/>
      <c r="I6810" s="29"/>
      <c r="J6810" s="152">
        <v>0</v>
      </c>
      <c r="L6810" s="218"/>
      <c r="M6810" s="41"/>
      <c r="N6810" s="27" t="str">
        <f t="shared" si="677"/>
        <v/>
      </c>
      <c r="O6810" s="28"/>
      <c r="P6810" s="36" t="str">
        <f t="shared" si="678"/>
        <v/>
      </c>
      <c r="Q6810" s="216" t="str">
        <f t="shared" si="679"/>
        <v/>
      </c>
      <c r="R6810" s="216" t="str">
        <f t="shared" si="680"/>
        <v/>
      </c>
      <c r="S6810" s="217" t="str">
        <f t="shared" si="681"/>
        <v/>
      </c>
    </row>
    <row r="6811" spans="1:19" ht="15.75" hidden="1" thickBot="1" x14ac:dyDescent="0.3">
      <c r="A6811" s="262"/>
      <c r="B6811" s="260"/>
      <c r="C6811" s="31"/>
      <c r="D6811" s="31"/>
      <c r="E6811" s="32"/>
      <c r="F6811" s="42" t="s">
        <v>416</v>
      </c>
      <c r="G6811" s="30" t="str">
        <f t="shared" si="676"/>
        <v/>
      </c>
      <c r="H6811" s="34"/>
      <c r="I6811" s="30"/>
      <c r="J6811" s="152">
        <v>0</v>
      </c>
      <c r="L6811" s="219"/>
      <c r="M6811" s="42"/>
      <c r="N6811" s="30" t="str">
        <f t="shared" si="677"/>
        <v/>
      </c>
      <c r="O6811" s="34"/>
      <c r="P6811" s="36" t="str">
        <f t="shared" si="678"/>
        <v/>
      </c>
      <c r="Q6811" s="216" t="str">
        <f t="shared" si="679"/>
        <v/>
      </c>
      <c r="R6811" s="216" t="str">
        <f t="shared" si="680"/>
        <v/>
      </c>
      <c r="S6811" s="217" t="str">
        <f t="shared" si="681"/>
        <v/>
      </c>
    </row>
    <row r="6812" spans="1:19" ht="15.75" hidden="1" thickBot="1" x14ac:dyDescent="0.3">
      <c r="A6812" s="262"/>
      <c r="B6812" s="260"/>
      <c r="C6812" s="35" t="s">
        <v>6585</v>
      </c>
      <c r="D6812" s="46" t="s">
        <v>69</v>
      </c>
      <c r="E6812" s="36">
        <v>1</v>
      </c>
      <c r="F6812" s="30">
        <v>0</v>
      </c>
      <c r="G6812" s="30">
        <f t="shared" si="676"/>
        <v>0</v>
      </c>
      <c r="H6812" s="38">
        <f>SUM(G6812:G6812)</f>
        <v>0</v>
      </c>
      <c r="I6812" s="39"/>
      <c r="J6812" s="152">
        <v>0</v>
      </c>
      <c r="L6812" s="215">
        <v>1</v>
      </c>
      <c r="M6812" s="30">
        <v>0</v>
      </c>
      <c r="N6812" s="30">
        <f t="shared" si="677"/>
        <v>0</v>
      </c>
      <c r="O6812" s="38">
        <f>SUM(N6812:N6812)</f>
        <v>0</v>
      </c>
      <c r="P6812" s="36" t="str">
        <f t="shared" si="678"/>
        <v/>
      </c>
      <c r="Q6812" s="216" t="e">
        <f t="shared" si="679"/>
        <v>#DIV/0!</v>
      </c>
      <c r="R6812" s="216" t="e">
        <f t="shared" si="680"/>
        <v>#DIV/0!</v>
      </c>
      <c r="S6812" s="217" t="e">
        <f t="shared" si="681"/>
        <v>#DIV/0!</v>
      </c>
    </row>
    <row r="6813" spans="1:19" ht="15.75" hidden="1" thickBot="1" x14ac:dyDescent="0.3">
      <c r="A6813" s="263"/>
      <c r="B6813" s="261"/>
      <c r="C6813" s="54"/>
      <c r="D6813" s="54"/>
      <c r="E6813" s="65"/>
      <c r="F6813" s="66" t="s">
        <v>416</v>
      </c>
      <c r="G6813" s="66" t="str">
        <f t="shared" si="676"/>
        <v/>
      </c>
      <c r="H6813" s="68"/>
      <c r="I6813" s="30"/>
      <c r="J6813" s="152">
        <v>0</v>
      </c>
      <c r="L6813" s="222"/>
      <c r="M6813" s="66"/>
      <c r="N6813" s="66" t="str">
        <f t="shared" si="677"/>
        <v/>
      </c>
      <c r="O6813" s="68"/>
      <c r="P6813" s="36" t="str">
        <f t="shared" si="678"/>
        <v/>
      </c>
      <c r="Q6813" s="216" t="str">
        <f t="shared" si="679"/>
        <v/>
      </c>
      <c r="R6813" s="216" t="str">
        <f t="shared" si="680"/>
        <v/>
      </c>
      <c r="S6813" s="217" t="str">
        <f t="shared" si="681"/>
        <v/>
      </c>
    </row>
    <row r="6814" spans="1:19" ht="15.75" hidden="1" thickBot="1" x14ac:dyDescent="0.3">
      <c r="A6814" s="256" t="s">
        <v>6149</v>
      </c>
      <c r="B6814" s="259" t="str">
        <f>INDEX(Orçamentária!A:B,MATCH(Composições!A6814,Orçamentária!A:A,0),2)</f>
        <v>Tubo PVC soldável água fria DN 20 mm</v>
      </c>
      <c r="C6814" s="40"/>
      <c r="D6814" s="25" t="s">
        <v>69</v>
      </c>
      <c r="E6814" s="26"/>
      <c r="F6814" s="41" t="s">
        <v>416</v>
      </c>
      <c r="G6814" s="27" t="str">
        <f t="shared" si="676"/>
        <v/>
      </c>
      <c r="H6814" s="28"/>
      <c r="I6814" s="29"/>
      <c r="J6814" s="152">
        <v>0</v>
      </c>
      <c r="L6814" s="218"/>
      <c r="M6814" s="41"/>
      <c r="N6814" s="27" t="str">
        <f t="shared" si="677"/>
        <v/>
      </c>
      <c r="O6814" s="28"/>
      <c r="P6814" s="36" t="str">
        <f t="shared" si="678"/>
        <v/>
      </c>
      <c r="Q6814" s="216" t="str">
        <f t="shared" si="679"/>
        <v/>
      </c>
      <c r="R6814" s="216" t="str">
        <f t="shared" si="680"/>
        <v/>
      </c>
      <c r="S6814" s="217" t="str">
        <f t="shared" si="681"/>
        <v/>
      </c>
    </row>
    <row r="6815" spans="1:19" ht="15.75" hidden="1" thickBot="1" x14ac:dyDescent="0.3">
      <c r="A6815" s="262"/>
      <c r="B6815" s="260"/>
      <c r="C6815" s="31"/>
      <c r="D6815" s="31"/>
      <c r="E6815" s="32"/>
      <c r="F6815" s="42" t="s">
        <v>416</v>
      </c>
      <c r="G6815" s="30" t="str">
        <f t="shared" si="676"/>
        <v/>
      </c>
      <c r="H6815" s="34"/>
      <c r="I6815" s="30"/>
      <c r="J6815" s="152">
        <v>0</v>
      </c>
      <c r="L6815" s="219"/>
      <c r="M6815" s="42"/>
      <c r="N6815" s="30" t="str">
        <f t="shared" si="677"/>
        <v/>
      </c>
      <c r="O6815" s="34"/>
      <c r="P6815" s="36" t="str">
        <f t="shared" si="678"/>
        <v/>
      </c>
      <c r="Q6815" s="216" t="str">
        <f t="shared" si="679"/>
        <v/>
      </c>
      <c r="R6815" s="216" t="str">
        <f t="shared" si="680"/>
        <v/>
      </c>
      <c r="S6815" s="217" t="str">
        <f t="shared" si="681"/>
        <v/>
      </c>
    </row>
    <row r="6816" spans="1:19" ht="15.75" hidden="1" thickBot="1" x14ac:dyDescent="0.3">
      <c r="A6816" s="262"/>
      <c r="B6816" s="260"/>
      <c r="C6816" s="35" t="s">
        <v>8474</v>
      </c>
      <c r="D6816" s="35" t="s">
        <v>385</v>
      </c>
      <c r="E6816" s="36">
        <v>1</v>
      </c>
      <c r="F6816" s="30">
        <v>3.6385000000000001</v>
      </c>
      <c r="G6816" s="30">
        <f t="shared" si="676"/>
        <v>3.6385000000000001</v>
      </c>
      <c r="H6816" s="38">
        <f>SUM(G6816:G6816)</f>
        <v>3.6385000000000001</v>
      </c>
      <c r="I6816" s="39"/>
      <c r="J6816" s="152">
        <v>0</v>
      </c>
      <c r="L6816" s="215">
        <v>1</v>
      </c>
      <c r="M6816" s="30">
        <v>3.1145560000000003</v>
      </c>
      <c r="N6816" s="30">
        <f t="shared" si="677"/>
        <v>3.1145560000000003</v>
      </c>
      <c r="O6816" s="38">
        <f>SUM(N6816:N6816)</f>
        <v>3.1145560000000003</v>
      </c>
      <c r="P6816" s="36" t="str">
        <f t="shared" si="678"/>
        <v/>
      </c>
      <c r="Q6816" s="216">
        <f t="shared" si="679"/>
        <v>0.14399999999999991</v>
      </c>
      <c r="R6816" s="216">
        <f t="shared" si="680"/>
        <v>0.14399999999999991</v>
      </c>
      <c r="S6816" s="217">
        <f t="shared" si="681"/>
        <v>0.14399999999999991</v>
      </c>
    </row>
    <row r="6817" spans="1:19" ht="15.75" hidden="1" thickBot="1" x14ac:dyDescent="0.3">
      <c r="A6817" s="263"/>
      <c r="B6817" s="261"/>
      <c r="C6817" s="54"/>
      <c r="D6817" s="54"/>
      <c r="E6817" s="65"/>
      <c r="F6817" s="66" t="s">
        <v>416</v>
      </c>
      <c r="G6817" s="66" t="str">
        <f t="shared" si="676"/>
        <v/>
      </c>
      <c r="H6817" s="68"/>
      <c r="I6817" s="30"/>
      <c r="J6817" s="152">
        <v>0</v>
      </c>
      <c r="L6817" s="222"/>
      <c r="M6817" s="66"/>
      <c r="N6817" s="66" t="str">
        <f t="shared" si="677"/>
        <v/>
      </c>
      <c r="O6817" s="68"/>
      <c r="P6817" s="36" t="str">
        <f t="shared" si="678"/>
        <v/>
      </c>
      <c r="Q6817" s="216" t="str">
        <f t="shared" si="679"/>
        <v/>
      </c>
      <c r="R6817" s="216" t="str">
        <f t="shared" si="680"/>
        <v/>
      </c>
      <c r="S6817" s="217" t="str">
        <f t="shared" si="681"/>
        <v/>
      </c>
    </row>
    <row r="6818" spans="1:19" ht="15.75" hidden="1" thickBot="1" x14ac:dyDescent="0.3">
      <c r="A6818" s="256" t="s">
        <v>6150</v>
      </c>
      <c r="B6818" s="259" t="str">
        <f>INDEX(Orçamentária!A:B,MATCH(Composições!A6818,Orçamentária!A:A,0),2)</f>
        <v>Tubo PVC soldável água fria DN 25 mm</v>
      </c>
      <c r="C6818" s="40"/>
      <c r="D6818" s="25" t="s">
        <v>69</v>
      </c>
      <c r="E6818" s="26"/>
      <c r="F6818" s="41" t="s">
        <v>416</v>
      </c>
      <c r="G6818" s="27" t="str">
        <f t="shared" si="676"/>
        <v/>
      </c>
      <c r="H6818" s="28"/>
      <c r="I6818" s="29"/>
      <c r="J6818" s="152">
        <v>0</v>
      </c>
      <c r="L6818" s="218"/>
      <c r="M6818" s="41"/>
      <c r="N6818" s="27" t="str">
        <f t="shared" si="677"/>
        <v/>
      </c>
      <c r="O6818" s="28"/>
      <c r="P6818" s="36" t="str">
        <f t="shared" si="678"/>
        <v/>
      </c>
      <c r="Q6818" s="216" t="str">
        <f t="shared" si="679"/>
        <v/>
      </c>
      <c r="R6818" s="216" t="str">
        <f t="shared" si="680"/>
        <v/>
      </c>
      <c r="S6818" s="217" t="str">
        <f t="shared" si="681"/>
        <v/>
      </c>
    </row>
    <row r="6819" spans="1:19" ht="15.75" hidden="1" thickBot="1" x14ac:dyDescent="0.3">
      <c r="A6819" s="262"/>
      <c r="B6819" s="260"/>
      <c r="C6819" s="31"/>
      <c r="D6819" s="31"/>
      <c r="E6819" s="32"/>
      <c r="F6819" s="42" t="s">
        <v>416</v>
      </c>
      <c r="G6819" s="30" t="str">
        <f t="shared" si="676"/>
        <v/>
      </c>
      <c r="H6819" s="34"/>
      <c r="I6819" s="30"/>
      <c r="J6819" s="152">
        <v>0</v>
      </c>
      <c r="L6819" s="219"/>
      <c r="M6819" s="42"/>
      <c r="N6819" s="30" t="str">
        <f t="shared" si="677"/>
        <v/>
      </c>
      <c r="O6819" s="34"/>
      <c r="P6819" s="36" t="str">
        <f t="shared" si="678"/>
        <v/>
      </c>
      <c r="Q6819" s="216" t="str">
        <f t="shared" si="679"/>
        <v/>
      </c>
      <c r="R6819" s="216" t="str">
        <f t="shared" si="680"/>
        <v/>
      </c>
      <c r="S6819" s="217" t="str">
        <f t="shared" si="681"/>
        <v/>
      </c>
    </row>
    <row r="6820" spans="1:19" ht="15.75" hidden="1" thickBot="1" x14ac:dyDescent="0.3">
      <c r="A6820" s="262"/>
      <c r="B6820" s="260"/>
      <c r="C6820" s="35" t="s">
        <v>8475</v>
      </c>
      <c r="D6820" s="35" t="s">
        <v>385</v>
      </c>
      <c r="E6820" s="36">
        <v>1</v>
      </c>
      <c r="F6820" s="30">
        <v>4.1040000000000001</v>
      </c>
      <c r="G6820" s="30">
        <f t="shared" si="676"/>
        <v>4.1040000000000001</v>
      </c>
      <c r="H6820" s="38">
        <f>SUM(G6820:G6820)</f>
        <v>4.1040000000000001</v>
      </c>
      <c r="I6820" s="39"/>
      <c r="J6820" s="152">
        <v>0</v>
      </c>
      <c r="L6820" s="215">
        <v>1</v>
      </c>
      <c r="M6820" s="30">
        <v>3.5130240000000001</v>
      </c>
      <c r="N6820" s="30">
        <f t="shared" si="677"/>
        <v>3.5130240000000001</v>
      </c>
      <c r="O6820" s="38">
        <f>SUM(N6820:N6820)</f>
        <v>3.5130240000000001</v>
      </c>
      <c r="P6820" s="36" t="str">
        <f t="shared" si="678"/>
        <v/>
      </c>
      <c r="Q6820" s="216">
        <f t="shared" si="679"/>
        <v>0.14400000000000002</v>
      </c>
      <c r="R6820" s="216">
        <f t="shared" si="680"/>
        <v>0.14400000000000002</v>
      </c>
      <c r="S6820" s="217">
        <f t="shared" si="681"/>
        <v>0.14400000000000002</v>
      </c>
    </row>
    <row r="6821" spans="1:19" ht="15.75" hidden="1" thickBot="1" x14ac:dyDescent="0.3">
      <c r="A6821" s="263"/>
      <c r="B6821" s="261"/>
      <c r="C6821" s="54"/>
      <c r="D6821" s="54"/>
      <c r="E6821" s="65"/>
      <c r="F6821" s="66" t="s">
        <v>416</v>
      </c>
      <c r="G6821" s="66" t="str">
        <f t="shared" si="676"/>
        <v/>
      </c>
      <c r="H6821" s="68"/>
      <c r="I6821" s="30"/>
      <c r="J6821" s="152">
        <v>0</v>
      </c>
      <c r="L6821" s="222"/>
      <c r="M6821" s="66"/>
      <c r="N6821" s="66" t="str">
        <f t="shared" si="677"/>
        <v/>
      </c>
      <c r="O6821" s="68"/>
      <c r="P6821" s="36" t="str">
        <f t="shared" si="678"/>
        <v/>
      </c>
      <c r="Q6821" s="216" t="str">
        <f t="shared" si="679"/>
        <v/>
      </c>
      <c r="R6821" s="216" t="str">
        <f t="shared" si="680"/>
        <v/>
      </c>
      <c r="S6821" s="217" t="str">
        <f t="shared" si="681"/>
        <v/>
      </c>
    </row>
    <row r="6822" spans="1:19" ht="15.75" hidden="1" thickBot="1" x14ac:dyDescent="0.3">
      <c r="A6822" s="256" t="s">
        <v>6151</v>
      </c>
      <c r="B6822" s="259" t="str">
        <f>INDEX(Orçamentária!A:B,MATCH(Composições!A6822,Orçamentária!A:A,0),2)</f>
        <v>Tubo PVC soldável água fria DN 32 mm</v>
      </c>
      <c r="C6822" s="40"/>
      <c r="D6822" s="25" t="s">
        <v>69</v>
      </c>
      <c r="E6822" s="26"/>
      <c r="F6822" s="41" t="s">
        <v>416</v>
      </c>
      <c r="G6822" s="27" t="str">
        <f t="shared" si="676"/>
        <v/>
      </c>
      <c r="H6822" s="28"/>
      <c r="I6822" s="29"/>
      <c r="J6822" s="152">
        <v>0</v>
      </c>
      <c r="L6822" s="218"/>
      <c r="M6822" s="41"/>
      <c r="N6822" s="27" t="str">
        <f t="shared" si="677"/>
        <v/>
      </c>
      <c r="O6822" s="28"/>
      <c r="P6822" s="36" t="str">
        <f t="shared" si="678"/>
        <v/>
      </c>
      <c r="Q6822" s="216" t="str">
        <f t="shared" si="679"/>
        <v/>
      </c>
      <c r="R6822" s="216" t="str">
        <f t="shared" si="680"/>
        <v/>
      </c>
      <c r="S6822" s="217" t="str">
        <f t="shared" si="681"/>
        <v/>
      </c>
    </row>
    <row r="6823" spans="1:19" ht="15.75" hidden="1" thickBot="1" x14ac:dyDescent="0.3">
      <c r="A6823" s="262"/>
      <c r="B6823" s="260"/>
      <c r="C6823" s="31"/>
      <c r="D6823" s="31"/>
      <c r="E6823" s="32"/>
      <c r="F6823" s="42" t="s">
        <v>416</v>
      </c>
      <c r="G6823" s="30" t="str">
        <f t="shared" si="676"/>
        <v/>
      </c>
      <c r="H6823" s="34"/>
      <c r="I6823" s="30"/>
      <c r="J6823" s="152">
        <v>0</v>
      </c>
      <c r="L6823" s="219"/>
      <c r="M6823" s="42"/>
      <c r="N6823" s="30" t="str">
        <f t="shared" si="677"/>
        <v/>
      </c>
      <c r="O6823" s="34"/>
      <c r="P6823" s="36" t="str">
        <f t="shared" si="678"/>
        <v/>
      </c>
      <c r="Q6823" s="216" t="str">
        <f t="shared" si="679"/>
        <v/>
      </c>
      <c r="R6823" s="216" t="str">
        <f t="shared" si="680"/>
        <v/>
      </c>
      <c r="S6823" s="217" t="str">
        <f t="shared" si="681"/>
        <v/>
      </c>
    </row>
    <row r="6824" spans="1:19" ht="15.75" hidden="1" thickBot="1" x14ac:dyDescent="0.3">
      <c r="A6824" s="262"/>
      <c r="B6824" s="260"/>
      <c r="C6824" s="35" t="s">
        <v>8476</v>
      </c>
      <c r="D6824" s="35" t="s">
        <v>385</v>
      </c>
      <c r="E6824" s="36">
        <v>1</v>
      </c>
      <c r="F6824" s="30">
        <v>8.8539999999999992</v>
      </c>
      <c r="G6824" s="30">
        <f t="shared" si="676"/>
        <v>8.8539999999999992</v>
      </c>
      <c r="H6824" s="38">
        <f>SUM(G6824:G6824)</f>
        <v>8.8539999999999992</v>
      </c>
      <c r="I6824" s="39"/>
      <c r="J6824" s="152">
        <v>0</v>
      </c>
      <c r="L6824" s="215">
        <v>1</v>
      </c>
      <c r="M6824" s="30">
        <v>7.5790239999999995</v>
      </c>
      <c r="N6824" s="30">
        <f t="shared" si="677"/>
        <v>7.5790239999999995</v>
      </c>
      <c r="O6824" s="38">
        <f>SUM(N6824:N6824)</f>
        <v>7.5790239999999995</v>
      </c>
      <c r="P6824" s="36" t="str">
        <f t="shared" si="678"/>
        <v/>
      </c>
      <c r="Q6824" s="216">
        <f t="shared" si="679"/>
        <v>0.14400000000000002</v>
      </c>
      <c r="R6824" s="216">
        <f t="shared" si="680"/>
        <v>0.14400000000000002</v>
      </c>
      <c r="S6824" s="217">
        <f t="shared" si="681"/>
        <v>0.14400000000000002</v>
      </c>
    </row>
    <row r="6825" spans="1:19" ht="15.75" hidden="1" thickBot="1" x14ac:dyDescent="0.3">
      <c r="A6825" s="263"/>
      <c r="B6825" s="261"/>
      <c r="C6825" s="54"/>
      <c r="D6825" s="54"/>
      <c r="E6825" s="65"/>
      <c r="F6825" s="66" t="s">
        <v>416</v>
      </c>
      <c r="G6825" s="66" t="str">
        <f t="shared" si="676"/>
        <v/>
      </c>
      <c r="H6825" s="68"/>
      <c r="I6825" s="30"/>
      <c r="J6825" s="152">
        <v>0</v>
      </c>
      <c r="L6825" s="222"/>
      <c r="M6825" s="66"/>
      <c r="N6825" s="66" t="str">
        <f t="shared" si="677"/>
        <v/>
      </c>
      <c r="O6825" s="68"/>
      <c r="P6825" s="36" t="str">
        <f t="shared" si="678"/>
        <v/>
      </c>
      <c r="Q6825" s="216" t="str">
        <f t="shared" si="679"/>
        <v/>
      </c>
      <c r="R6825" s="216" t="str">
        <f t="shared" si="680"/>
        <v/>
      </c>
      <c r="S6825" s="217" t="str">
        <f t="shared" si="681"/>
        <v/>
      </c>
    </row>
    <row r="6826" spans="1:19" ht="15.75" hidden="1" thickBot="1" x14ac:dyDescent="0.3">
      <c r="A6826" s="256" t="s">
        <v>6152</v>
      </c>
      <c r="B6826" s="259" t="str">
        <f>INDEX(Orçamentária!A:B,MATCH(Composições!A6826,Orçamentária!A:A,0),2)</f>
        <v>Tubo PVC soldável água fria DN 40 mm</v>
      </c>
      <c r="C6826" s="40"/>
      <c r="D6826" s="25" t="s">
        <v>69</v>
      </c>
      <c r="E6826" s="26"/>
      <c r="F6826" s="41" t="s">
        <v>416</v>
      </c>
      <c r="G6826" s="27" t="str">
        <f t="shared" si="676"/>
        <v/>
      </c>
      <c r="H6826" s="28"/>
      <c r="I6826" s="29"/>
      <c r="J6826" s="152">
        <v>0</v>
      </c>
      <c r="L6826" s="218"/>
      <c r="M6826" s="41"/>
      <c r="N6826" s="27" t="str">
        <f t="shared" si="677"/>
        <v/>
      </c>
      <c r="O6826" s="28"/>
      <c r="P6826" s="36" t="str">
        <f t="shared" si="678"/>
        <v/>
      </c>
      <c r="Q6826" s="216" t="str">
        <f t="shared" si="679"/>
        <v/>
      </c>
      <c r="R6826" s="216" t="str">
        <f t="shared" si="680"/>
        <v/>
      </c>
      <c r="S6826" s="217" t="str">
        <f t="shared" si="681"/>
        <v/>
      </c>
    </row>
    <row r="6827" spans="1:19" ht="15.75" hidden="1" thickBot="1" x14ac:dyDescent="0.3">
      <c r="A6827" s="262"/>
      <c r="B6827" s="260"/>
      <c r="C6827" s="31"/>
      <c r="D6827" s="31"/>
      <c r="E6827" s="32"/>
      <c r="F6827" s="42" t="s">
        <v>416</v>
      </c>
      <c r="G6827" s="30" t="str">
        <f t="shared" si="676"/>
        <v/>
      </c>
      <c r="H6827" s="34"/>
      <c r="I6827" s="30"/>
      <c r="J6827" s="152">
        <v>0</v>
      </c>
      <c r="L6827" s="219"/>
      <c r="M6827" s="42"/>
      <c r="N6827" s="30" t="str">
        <f t="shared" si="677"/>
        <v/>
      </c>
      <c r="O6827" s="34"/>
      <c r="P6827" s="36" t="str">
        <f t="shared" si="678"/>
        <v/>
      </c>
      <c r="Q6827" s="216" t="str">
        <f t="shared" si="679"/>
        <v/>
      </c>
      <c r="R6827" s="216" t="str">
        <f t="shared" si="680"/>
        <v/>
      </c>
      <c r="S6827" s="217" t="str">
        <f t="shared" si="681"/>
        <v/>
      </c>
    </row>
    <row r="6828" spans="1:19" ht="15.75" hidden="1" thickBot="1" x14ac:dyDescent="0.3">
      <c r="A6828" s="262"/>
      <c r="B6828" s="260"/>
      <c r="C6828" s="35" t="s">
        <v>8477</v>
      </c>
      <c r="D6828" s="35" t="s">
        <v>385</v>
      </c>
      <c r="E6828" s="36">
        <v>1</v>
      </c>
      <c r="F6828" s="30">
        <v>13.907999999999999</v>
      </c>
      <c r="G6828" s="30">
        <f t="shared" si="676"/>
        <v>13.907999999999999</v>
      </c>
      <c r="H6828" s="38">
        <f>SUM(G6828:G6828)</f>
        <v>13.907999999999999</v>
      </c>
      <c r="I6828" s="39"/>
      <c r="J6828" s="152">
        <v>0</v>
      </c>
      <c r="L6828" s="215">
        <v>1</v>
      </c>
      <c r="M6828" s="30">
        <v>11.905248</v>
      </c>
      <c r="N6828" s="30">
        <f t="shared" si="677"/>
        <v>11.905248</v>
      </c>
      <c r="O6828" s="38">
        <f>SUM(N6828:N6828)</f>
        <v>11.905248</v>
      </c>
      <c r="P6828" s="36" t="str">
        <f t="shared" si="678"/>
        <v/>
      </c>
      <c r="Q6828" s="216">
        <f t="shared" si="679"/>
        <v>0.14399999999999991</v>
      </c>
      <c r="R6828" s="216">
        <f t="shared" si="680"/>
        <v>0.14399999999999991</v>
      </c>
      <c r="S6828" s="217">
        <f t="shared" si="681"/>
        <v>0.14399999999999991</v>
      </c>
    </row>
    <row r="6829" spans="1:19" ht="15.75" hidden="1" thickBot="1" x14ac:dyDescent="0.3">
      <c r="A6829" s="263"/>
      <c r="B6829" s="261"/>
      <c r="C6829" s="54"/>
      <c r="D6829" s="54"/>
      <c r="E6829" s="65"/>
      <c r="F6829" s="66" t="s">
        <v>416</v>
      </c>
      <c r="G6829" s="66" t="str">
        <f t="shared" si="676"/>
        <v/>
      </c>
      <c r="H6829" s="68"/>
      <c r="I6829" s="30"/>
      <c r="J6829" s="152">
        <v>0</v>
      </c>
      <c r="L6829" s="222"/>
      <c r="M6829" s="66"/>
      <c r="N6829" s="66" t="str">
        <f t="shared" si="677"/>
        <v/>
      </c>
      <c r="O6829" s="68"/>
      <c r="P6829" s="36" t="str">
        <f t="shared" si="678"/>
        <v/>
      </c>
      <c r="Q6829" s="216" t="str">
        <f t="shared" si="679"/>
        <v/>
      </c>
      <c r="R6829" s="216" t="str">
        <f t="shared" si="680"/>
        <v/>
      </c>
      <c r="S6829" s="217" t="str">
        <f t="shared" si="681"/>
        <v/>
      </c>
    </row>
    <row r="6830" spans="1:19" ht="15.75" hidden="1" thickBot="1" x14ac:dyDescent="0.3">
      <c r="A6830" s="256" t="s">
        <v>6153</v>
      </c>
      <c r="B6830" s="259" t="str">
        <f>INDEX(Orçamentária!A:B,MATCH(Composições!A6830,Orçamentária!A:A,0),2)</f>
        <v>Tubo PVC soldável água fria DN 50 mm</v>
      </c>
      <c r="C6830" s="40"/>
      <c r="D6830" s="25" t="s">
        <v>69</v>
      </c>
      <c r="E6830" s="26"/>
      <c r="F6830" s="41" t="s">
        <v>416</v>
      </c>
      <c r="G6830" s="27" t="str">
        <f t="shared" si="676"/>
        <v/>
      </c>
      <c r="H6830" s="28"/>
      <c r="I6830" s="29"/>
      <c r="J6830" s="152">
        <v>0</v>
      </c>
      <c r="L6830" s="218"/>
      <c r="M6830" s="41"/>
      <c r="N6830" s="27" t="str">
        <f t="shared" si="677"/>
        <v/>
      </c>
      <c r="O6830" s="28"/>
      <c r="P6830" s="36" t="str">
        <f t="shared" si="678"/>
        <v/>
      </c>
      <c r="Q6830" s="216" t="str">
        <f t="shared" si="679"/>
        <v/>
      </c>
      <c r="R6830" s="216" t="str">
        <f t="shared" si="680"/>
        <v/>
      </c>
      <c r="S6830" s="217" t="str">
        <f t="shared" si="681"/>
        <v/>
      </c>
    </row>
    <row r="6831" spans="1:19" ht="15.75" hidden="1" thickBot="1" x14ac:dyDescent="0.3">
      <c r="A6831" s="262"/>
      <c r="B6831" s="260"/>
      <c r="C6831" s="31"/>
      <c r="D6831" s="31"/>
      <c r="E6831" s="32"/>
      <c r="F6831" s="42" t="s">
        <v>416</v>
      </c>
      <c r="G6831" s="30" t="str">
        <f t="shared" si="676"/>
        <v/>
      </c>
      <c r="H6831" s="34"/>
      <c r="I6831" s="30"/>
      <c r="J6831" s="152">
        <v>0</v>
      </c>
      <c r="L6831" s="219"/>
      <c r="M6831" s="42"/>
      <c r="N6831" s="30" t="str">
        <f t="shared" si="677"/>
        <v/>
      </c>
      <c r="O6831" s="34"/>
      <c r="P6831" s="36" t="str">
        <f t="shared" si="678"/>
        <v/>
      </c>
      <c r="Q6831" s="216" t="str">
        <f t="shared" si="679"/>
        <v/>
      </c>
      <c r="R6831" s="216" t="str">
        <f t="shared" si="680"/>
        <v/>
      </c>
      <c r="S6831" s="217" t="str">
        <f t="shared" si="681"/>
        <v/>
      </c>
    </row>
    <row r="6832" spans="1:19" ht="15.75" hidden="1" thickBot="1" x14ac:dyDescent="0.3">
      <c r="A6832" s="262"/>
      <c r="B6832" s="260"/>
      <c r="C6832" s="35" t="s">
        <v>8478</v>
      </c>
      <c r="D6832" s="35" t="s">
        <v>385</v>
      </c>
      <c r="E6832" s="36">
        <v>1</v>
      </c>
      <c r="F6832" s="30">
        <v>15.256999999999998</v>
      </c>
      <c r="G6832" s="30">
        <f t="shared" si="676"/>
        <v>15.256999999999998</v>
      </c>
      <c r="H6832" s="38">
        <f>SUM(G6832:G6832)</f>
        <v>15.256999999999998</v>
      </c>
      <c r="I6832" s="39"/>
      <c r="J6832" s="152">
        <v>0</v>
      </c>
      <c r="L6832" s="215">
        <v>1</v>
      </c>
      <c r="M6832" s="30">
        <v>13.059991999999998</v>
      </c>
      <c r="N6832" s="30">
        <f t="shared" si="677"/>
        <v>13.059991999999998</v>
      </c>
      <c r="O6832" s="38">
        <f>SUM(N6832:N6832)</f>
        <v>13.059991999999998</v>
      </c>
      <c r="P6832" s="36" t="str">
        <f t="shared" si="678"/>
        <v/>
      </c>
      <c r="Q6832" s="216">
        <f t="shared" si="679"/>
        <v>0.14400000000000002</v>
      </c>
      <c r="R6832" s="216">
        <f t="shared" si="680"/>
        <v>0.14400000000000002</v>
      </c>
      <c r="S6832" s="217">
        <f t="shared" si="681"/>
        <v>0.14400000000000002</v>
      </c>
    </row>
    <row r="6833" spans="1:19" ht="15.75" hidden="1" thickBot="1" x14ac:dyDescent="0.3">
      <c r="A6833" s="263"/>
      <c r="B6833" s="261"/>
      <c r="C6833" s="54"/>
      <c r="D6833" s="54"/>
      <c r="E6833" s="65"/>
      <c r="F6833" s="66" t="s">
        <v>416</v>
      </c>
      <c r="G6833" s="66" t="str">
        <f t="shared" si="676"/>
        <v/>
      </c>
      <c r="H6833" s="68"/>
      <c r="I6833" s="30"/>
      <c r="J6833" s="152">
        <v>0</v>
      </c>
      <c r="L6833" s="222"/>
      <c r="M6833" s="66"/>
      <c r="N6833" s="66" t="str">
        <f t="shared" si="677"/>
        <v/>
      </c>
      <c r="O6833" s="68"/>
      <c r="P6833" s="36" t="str">
        <f t="shared" si="678"/>
        <v/>
      </c>
      <c r="Q6833" s="216" t="str">
        <f t="shared" si="679"/>
        <v/>
      </c>
      <c r="R6833" s="216" t="str">
        <f t="shared" si="680"/>
        <v/>
      </c>
      <c r="S6833" s="217" t="str">
        <f t="shared" si="681"/>
        <v/>
      </c>
    </row>
    <row r="6834" spans="1:19" ht="15.75" hidden="1" thickBot="1" x14ac:dyDescent="0.3">
      <c r="A6834" s="256" t="s">
        <v>6154</v>
      </c>
      <c r="B6834" s="259" t="str">
        <f>INDEX(Orçamentária!A:B,MATCH(Composições!A6834,Orçamentária!A:A,0),2)</f>
        <v>Tubo PVC soldável água fria DN 60 mm</v>
      </c>
      <c r="C6834" s="40"/>
      <c r="D6834" s="25" t="s">
        <v>69</v>
      </c>
      <c r="E6834" s="26"/>
      <c r="F6834" s="41" t="s">
        <v>416</v>
      </c>
      <c r="G6834" s="27" t="str">
        <f t="shared" ref="G6834:G6897" si="682">IF(ISNUMBER(F6834),E6834*F6834,"")</f>
        <v/>
      </c>
      <c r="H6834" s="28"/>
      <c r="I6834" s="29"/>
      <c r="J6834" s="152">
        <v>0</v>
      </c>
      <c r="L6834" s="218"/>
      <c r="M6834" s="41"/>
      <c r="N6834" s="27" t="str">
        <f t="shared" ref="N6834:N6897" si="683">IF(ISNUMBER(M6834),L6834*M6834,"")</f>
        <v/>
      </c>
      <c r="O6834" s="28"/>
      <c r="P6834" s="36" t="str">
        <f t="shared" si="678"/>
        <v/>
      </c>
      <c r="Q6834" s="216" t="str">
        <f t="shared" si="679"/>
        <v/>
      </c>
      <c r="R6834" s="216" t="str">
        <f t="shared" si="680"/>
        <v/>
      </c>
      <c r="S6834" s="217" t="str">
        <f t="shared" si="681"/>
        <v/>
      </c>
    </row>
    <row r="6835" spans="1:19" ht="15.75" hidden="1" thickBot="1" x14ac:dyDescent="0.3">
      <c r="A6835" s="262"/>
      <c r="B6835" s="260"/>
      <c r="C6835" s="31"/>
      <c r="D6835" s="31"/>
      <c r="E6835" s="32"/>
      <c r="F6835" s="42" t="s">
        <v>416</v>
      </c>
      <c r="G6835" s="30" t="str">
        <f t="shared" si="682"/>
        <v/>
      </c>
      <c r="H6835" s="34"/>
      <c r="I6835" s="30"/>
      <c r="J6835" s="152">
        <v>0</v>
      </c>
      <c r="L6835" s="219"/>
      <c r="M6835" s="42"/>
      <c r="N6835" s="30" t="str">
        <f t="shared" si="683"/>
        <v/>
      </c>
      <c r="O6835" s="34"/>
      <c r="P6835" s="36" t="str">
        <f t="shared" si="678"/>
        <v/>
      </c>
      <c r="Q6835" s="216" t="str">
        <f t="shared" si="679"/>
        <v/>
      </c>
      <c r="R6835" s="216" t="str">
        <f t="shared" si="680"/>
        <v/>
      </c>
      <c r="S6835" s="217" t="str">
        <f t="shared" si="681"/>
        <v/>
      </c>
    </row>
    <row r="6836" spans="1:19" ht="15.75" hidden="1" thickBot="1" x14ac:dyDescent="0.3">
      <c r="A6836" s="262"/>
      <c r="B6836" s="260"/>
      <c r="C6836" s="35" t="s">
        <v>8479</v>
      </c>
      <c r="D6836" s="35" t="s">
        <v>385</v>
      </c>
      <c r="E6836" s="36">
        <v>1</v>
      </c>
      <c r="F6836" s="30">
        <v>25.099</v>
      </c>
      <c r="G6836" s="30">
        <f t="shared" si="682"/>
        <v>25.099</v>
      </c>
      <c r="H6836" s="38">
        <f>SUM(G6836:G6836)</f>
        <v>25.099</v>
      </c>
      <c r="I6836" s="39"/>
      <c r="J6836" s="152">
        <v>0</v>
      </c>
      <c r="L6836" s="215">
        <v>1</v>
      </c>
      <c r="M6836" s="30">
        <v>21.484743999999999</v>
      </c>
      <c r="N6836" s="30">
        <f t="shared" si="683"/>
        <v>21.484743999999999</v>
      </c>
      <c r="O6836" s="38">
        <f>SUM(N6836:N6836)</f>
        <v>21.484743999999999</v>
      </c>
      <c r="P6836" s="36" t="str">
        <f t="shared" si="678"/>
        <v/>
      </c>
      <c r="Q6836" s="216">
        <f t="shared" si="679"/>
        <v>0.14400000000000002</v>
      </c>
      <c r="R6836" s="216">
        <f t="shared" si="680"/>
        <v>0.14400000000000002</v>
      </c>
      <c r="S6836" s="217">
        <f t="shared" si="681"/>
        <v>0.14400000000000002</v>
      </c>
    </row>
    <row r="6837" spans="1:19" ht="15.75" hidden="1" thickBot="1" x14ac:dyDescent="0.3">
      <c r="A6837" s="263"/>
      <c r="B6837" s="261"/>
      <c r="C6837" s="54"/>
      <c r="D6837" s="54"/>
      <c r="E6837" s="65"/>
      <c r="F6837" s="66" t="s">
        <v>416</v>
      </c>
      <c r="G6837" s="66" t="str">
        <f t="shared" si="682"/>
        <v/>
      </c>
      <c r="H6837" s="68"/>
      <c r="I6837" s="30"/>
      <c r="J6837" s="152">
        <v>0</v>
      </c>
      <c r="L6837" s="222"/>
      <c r="M6837" s="66"/>
      <c r="N6837" s="66" t="str">
        <f t="shared" si="683"/>
        <v/>
      </c>
      <c r="O6837" s="68"/>
      <c r="P6837" s="36" t="str">
        <f t="shared" si="678"/>
        <v/>
      </c>
      <c r="Q6837" s="216" t="str">
        <f t="shared" si="679"/>
        <v/>
      </c>
      <c r="R6837" s="216" t="str">
        <f t="shared" si="680"/>
        <v/>
      </c>
      <c r="S6837" s="217" t="str">
        <f t="shared" si="681"/>
        <v/>
      </c>
    </row>
    <row r="6838" spans="1:19" ht="15.75" hidden="1" thickBot="1" x14ac:dyDescent="0.3">
      <c r="A6838" s="256" t="s">
        <v>6155</v>
      </c>
      <c r="B6838" s="259" t="str">
        <f>INDEX(Orçamentária!A:B,MATCH(Composições!A6838,Orçamentária!A:A,0),2)</f>
        <v>Tubo PVC soldável água fria DN 75 mm</v>
      </c>
      <c r="C6838" s="40"/>
      <c r="D6838" s="25" t="s">
        <v>69</v>
      </c>
      <c r="E6838" s="26"/>
      <c r="F6838" s="41" t="s">
        <v>416</v>
      </c>
      <c r="G6838" s="27" t="str">
        <f t="shared" si="682"/>
        <v/>
      </c>
      <c r="H6838" s="28"/>
      <c r="I6838" s="29"/>
      <c r="J6838" s="152">
        <v>0</v>
      </c>
      <c r="L6838" s="218"/>
      <c r="M6838" s="41"/>
      <c r="N6838" s="27" t="str">
        <f t="shared" si="683"/>
        <v/>
      </c>
      <c r="O6838" s="28"/>
      <c r="P6838" s="36" t="str">
        <f t="shared" si="678"/>
        <v/>
      </c>
      <c r="Q6838" s="216" t="str">
        <f t="shared" si="679"/>
        <v/>
      </c>
      <c r="R6838" s="216" t="str">
        <f t="shared" si="680"/>
        <v/>
      </c>
      <c r="S6838" s="217" t="str">
        <f t="shared" si="681"/>
        <v/>
      </c>
    </row>
    <row r="6839" spans="1:19" ht="15.75" hidden="1" thickBot="1" x14ac:dyDescent="0.3">
      <c r="A6839" s="262"/>
      <c r="B6839" s="260"/>
      <c r="C6839" s="31"/>
      <c r="D6839" s="31"/>
      <c r="E6839" s="32"/>
      <c r="F6839" s="42" t="s">
        <v>416</v>
      </c>
      <c r="G6839" s="30" t="str">
        <f t="shared" si="682"/>
        <v/>
      </c>
      <c r="H6839" s="34"/>
      <c r="I6839" s="30"/>
      <c r="J6839" s="152">
        <v>0</v>
      </c>
      <c r="L6839" s="219"/>
      <c r="M6839" s="42"/>
      <c r="N6839" s="30" t="str">
        <f t="shared" si="683"/>
        <v/>
      </c>
      <c r="O6839" s="34"/>
      <c r="P6839" s="36" t="str">
        <f t="shared" si="678"/>
        <v/>
      </c>
      <c r="Q6839" s="216" t="str">
        <f t="shared" si="679"/>
        <v/>
      </c>
      <c r="R6839" s="216" t="str">
        <f t="shared" si="680"/>
        <v/>
      </c>
      <c r="S6839" s="217" t="str">
        <f t="shared" si="681"/>
        <v/>
      </c>
    </row>
    <row r="6840" spans="1:19" ht="15.75" hidden="1" thickBot="1" x14ac:dyDescent="0.3">
      <c r="A6840" s="262"/>
      <c r="B6840" s="260"/>
      <c r="C6840" s="35" t="s">
        <v>8480</v>
      </c>
      <c r="D6840" s="35" t="s">
        <v>385</v>
      </c>
      <c r="E6840" s="36">
        <v>1</v>
      </c>
      <c r="F6840" s="30">
        <v>41.581499999999998</v>
      </c>
      <c r="G6840" s="30">
        <f t="shared" si="682"/>
        <v>41.581499999999998</v>
      </c>
      <c r="H6840" s="38">
        <f>SUM(G6840:G6840)</f>
        <v>41.581499999999998</v>
      </c>
      <c r="I6840" s="39"/>
      <c r="J6840" s="152">
        <v>0</v>
      </c>
      <c r="L6840" s="215">
        <v>1</v>
      </c>
      <c r="M6840" s="30">
        <v>35.593764</v>
      </c>
      <c r="N6840" s="30">
        <f t="shared" si="683"/>
        <v>35.593764</v>
      </c>
      <c r="O6840" s="38">
        <f>SUM(N6840:N6840)</f>
        <v>35.593764</v>
      </c>
      <c r="P6840" s="36" t="str">
        <f t="shared" si="678"/>
        <v/>
      </c>
      <c r="Q6840" s="216">
        <f t="shared" si="679"/>
        <v>0.14400000000000002</v>
      </c>
      <c r="R6840" s="216">
        <f t="shared" si="680"/>
        <v>0.14400000000000002</v>
      </c>
      <c r="S6840" s="217">
        <f t="shared" si="681"/>
        <v>0.14400000000000002</v>
      </c>
    </row>
    <row r="6841" spans="1:19" ht="15.75" hidden="1" thickBot="1" x14ac:dyDescent="0.3">
      <c r="A6841" s="263"/>
      <c r="B6841" s="261"/>
      <c r="C6841" s="54"/>
      <c r="D6841" s="54"/>
      <c r="E6841" s="65"/>
      <c r="F6841" s="66" t="s">
        <v>416</v>
      </c>
      <c r="G6841" s="66" t="str">
        <f t="shared" si="682"/>
        <v/>
      </c>
      <c r="H6841" s="68"/>
      <c r="I6841" s="30"/>
      <c r="J6841" s="152">
        <v>0</v>
      </c>
      <c r="L6841" s="222"/>
      <c r="M6841" s="66"/>
      <c r="N6841" s="66" t="str">
        <f t="shared" si="683"/>
        <v/>
      </c>
      <c r="O6841" s="68"/>
      <c r="P6841" s="36" t="str">
        <f t="shared" si="678"/>
        <v/>
      </c>
      <c r="Q6841" s="216" t="str">
        <f t="shared" si="679"/>
        <v/>
      </c>
      <c r="R6841" s="216" t="str">
        <f t="shared" si="680"/>
        <v/>
      </c>
      <c r="S6841" s="217" t="str">
        <f t="shared" si="681"/>
        <v/>
      </c>
    </row>
    <row r="6842" spans="1:19" ht="15.75" hidden="1" thickBot="1" x14ac:dyDescent="0.3">
      <c r="A6842" s="256" t="s">
        <v>6157</v>
      </c>
      <c r="B6842" s="259" t="str">
        <f>INDEX(Orçamentária!A:B,MATCH(Composições!A6842,Orçamentária!A:A,0),2)</f>
        <v>Tubo PVC soldável água fria DN 85 mm</v>
      </c>
      <c r="C6842" s="40"/>
      <c r="D6842" s="25" t="s">
        <v>69</v>
      </c>
      <c r="E6842" s="26"/>
      <c r="F6842" s="41" t="s">
        <v>416</v>
      </c>
      <c r="G6842" s="27" t="str">
        <f t="shared" si="682"/>
        <v/>
      </c>
      <c r="H6842" s="28"/>
      <c r="I6842" s="29"/>
      <c r="J6842" s="152">
        <v>0</v>
      </c>
      <c r="L6842" s="218"/>
      <c r="M6842" s="41"/>
      <c r="N6842" s="27" t="str">
        <f t="shared" si="683"/>
        <v/>
      </c>
      <c r="O6842" s="28"/>
      <c r="P6842" s="36" t="str">
        <f t="shared" si="678"/>
        <v/>
      </c>
      <c r="Q6842" s="216" t="str">
        <f t="shared" si="679"/>
        <v/>
      </c>
      <c r="R6842" s="216" t="str">
        <f t="shared" si="680"/>
        <v/>
      </c>
      <c r="S6842" s="217" t="str">
        <f t="shared" si="681"/>
        <v/>
      </c>
    </row>
    <row r="6843" spans="1:19" ht="15.75" hidden="1" thickBot="1" x14ac:dyDescent="0.3">
      <c r="A6843" s="262"/>
      <c r="B6843" s="260"/>
      <c r="C6843" s="31"/>
      <c r="D6843" s="31"/>
      <c r="E6843" s="32"/>
      <c r="F6843" s="42" t="s">
        <v>416</v>
      </c>
      <c r="G6843" s="30" t="str">
        <f t="shared" si="682"/>
        <v/>
      </c>
      <c r="H6843" s="34"/>
      <c r="I6843" s="30"/>
      <c r="J6843" s="152">
        <v>0</v>
      </c>
      <c r="L6843" s="219"/>
      <c r="M6843" s="42"/>
      <c r="N6843" s="30" t="str">
        <f t="shared" si="683"/>
        <v/>
      </c>
      <c r="O6843" s="34"/>
      <c r="P6843" s="36" t="str">
        <f t="shared" si="678"/>
        <v/>
      </c>
      <c r="Q6843" s="216" t="str">
        <f t="shared" si="679"/>
        <v/>
      </c>
      <c r="R6843" s="216" t="str">
        <f t="shared" si="680"/>
        <v/>
      </c>
      <c r="S6843" s="217" t="str">
        <f t="shared" si="681"/>
        <v/>
      </c>
    </row>
    <row r="6844" spans="1:19" ht="15.75" hidden="1" thickBot="1" x14ac:dyDescent="0.3">
      <c r="A6844" s="262"/>
      <c r="B6844" s="260"/>
      <c r="C6844" s="35" t="s">
        <v>8481</v>
      </c>
      <c r="D6844" s="35" t="s">
        <v>385</v>
      </c>
      <c r="E6844" s="36">
        <v>1</v>
      </c>
      <c r="F6844" s="30">
        <v>57.854999999999997</v>
      </c>
      <c r="G6844" s="30">
        <f t="shared" si="682"/>
        <v>57.854999999999997</v>
      </c>
      <c r="H6844" s="38">
        <f>SUM(G6844:G6844)</f>
        <v>57.854999999999997</v>
      </c>
      <c r="I6844" s="39"/>
      <c r="J6844" s="152">
        <v>0</v>
      </c>
      <c r="L6844" s="215">
        <v>1</v>
      </c>
      <c r="M6844" s="30">
        <v>49.523879999999998</v>
      </c>
      <c r="N6844" s="30">
        <f t="shared" si="683"/>
        <v>49.523879999999998</v>
      </c>
      <c r="O6844" s="38">
        <f>SUM(N6844:N6844)</f>
        <v>49.523879999999998</v>
      </c>
      <c r="P6844" s="36" t="str">
        <f t="shared" si="678"/>
        <v/>
      </c>
      <c r="Q6844" s="216">
        <f t="shared" si="679"/>
        <v>0.14400000000000002</v>
      </c>
      <c r="R6844" s="216">
        <f t="shared" si="680"/>
        <v>0.14400000000000002</v>
      </c>
      <c r="S6844" s="217">
        <f t="shared" si="681"/>
        <v>0.14400000000000002</v>
      </c>
    </row>
    <row r="6845" spans="1:19" ht="15.75" hidden="1" thickBot="1" x14ac:dyDescent="0.3">
      <c r="A6845" s="263"/>
      <c r="B6845" s="261"/>
      <c r="C6845" s="54"/>
      <c r="D6845" s="54"/>
      <c r="E6845" s="65"/>
      <c r="F6845" s="66" t="s">
        <v>416</v>
      </c>
      <c r="G6845" s="66" t="str">
        <f t="shared" si="682"/>
        <v/>
      </c>
      <c r="H6845" s="68"/>
      <c r="I6845" s="30"/>
      <c r="J6845" s="152">
        <v>0</v>
      </c>
      <c r="L6845" s="222"/>
      <c r="M6845" s="66"/>
      <c r="N6845" s="66" t="str">
        <f t="shared" si="683"/>
        <v/>
      </c>
      <c r="O6845" s="68"/>
      <c r="P6845" s="36" t="str">
        <f t="shared" si="678"/>
        <v/>
      </c>
      <c r="Q6845" s="216" t="str">
        <f t="shared" si="679"/>
        <v/>
      </c>
      <c r="R6845" s="216" t="str">
        <f t="shared" si="680"/>
        <v/>
      </c>
      <c r="S6845" s="217" t="str">
        <f t="shared" si="681"/>
        <v/>
      </c>
    </row>
    <row r="6846" spans="1:19" ht="15.75" hidden="1" thickBot="1" x14ac:dyDescent="0.3">
      <c r="A6846" s="256" t="s">
        <v>6159</v>
      </c>
      <c r="B6846" s="259" t="str">
        <f>INDEX(Orçamentária!A:B,MATCH(Composições!A6846,Orçamentária!A:A,0),2)</f>
        <v>Tubo PVC soldável água fria DN 110 mm</v>
      </c>
      <c r="C6846" s="40"/>
      <c r="D6846" s="25" t="s">
        <v>69</v>
      </c>
      <c r="E6846" s="26"/>
      <c r="F6846" s="41" t="s">
        <v>416</v>
      </c>
      <c r="G6846" s="27" t="str">
        <f t="shared" si="682"/>
        <v/>
      </c>
      <c r="H6846" s="28"/>
      <c r="I6846" s="29"/>
      <c r="J6846" s="152">
        <v>0</v>
      </c>
      <c r="L6846" s="218"/>
      <c r="M6846" s="41"/>
      <c r="N6846" s="27" t="str">
        <f t="shared" si="683"/>
        <v/>
      </c>
      <c r="O6846" s="28"/>
      <c r="P6846" s="36" t="str">
        <f t="shared" si="678"/>
        <v/>
      </c>
      <c r="Q6846" s="216" t="str">
        <f t="shared" si="679"/>
        <v/>
      </c>
      <c r="R6846" s="216" t="str">
        <f t="shared" si="680"/>
        <v/>
      </c>
      <c r="S6846" s="217" t="str">
        <f t="shared" si="681"/>
        <v/>
      </c>
    </row>
    <row r="6847" spans="1:19" ht="15.75" hidden="1" thickBot="1" x14ac:dyDescent="0.3">
      <c r="A6847" s="262"/>
      <c r="B6847" s="260"/>
      <c r="C6847" s="31"/>
      <c r="D6847" s="31"/>
      <c r="E6847" s="32"/>
      <c r="F6847" s="42" t="s">
        <v>416</v>
      </c>
      <c r="G6847" s="30" t="str">
        <f t="shared" si="682"/>
        <v/>
      </c>
      <c r="H6847" s="34"/>
      <c r="I6847" s="30"/>
      <c r="J6847" s="152">
        <v>0</v>
      </c>
      <c r="L6847" s="219"/>
      <c r="M6847" s="42"/>
      <c r="N6847" s="30" t="str">
        <f t="shared" si="683"/>
        <v/>
      </c>
      <c r="O6847" s="34"/>
      <c r="P6847" s="36" t="str">
        <f t="shared" si="678"/>
        <v/>
      </c>
      <c r="Q6847" s="216" t="str">
        <f t="shared" si="679"/>
        <v/>
      </c>
      <c r="R6847" s="216" t="str">
        <f t="shared" si="680"/>
        <v/>
      </c>
      <c r="S6847" s="217" t="str">
        <f t="shared" si="681"/>
        <v/>
      </c>
    </row>
    <row r="6848" spans="1:19" ht="15.75" hidden="1" thickBot="1" x14ac:dyDescent="0.3">
      <c r="A6848" s="262"/>
      <c r="B6848" s="260"/>
      <c r="C6848" s="35" t="s">
        <v>8473</v>
      </c>
      <c r="D6848" s="35" t="s">
        <v>385</v>
      </c>
      <c r="E6848" s="36">
        <v>1</v>
      </c>
      <c r="F6848" s="30">
        <v>90.534999999999997</v>
      </c>
      <c r="G6848" s="30">
        <f t="shared" si="682"/>
        <v>90.534999999999997</v>
      </c>
      <c r="H6848" s="38">
        <f>SUM(G6848:G6848)</f>
        <v>90.534999999999997</v>
      </c>
      <c r="I6848" s="39"/>
      <c r="J6848" s="152">
        <v>0</v>
      </c>
      <c r="L6848" s="215">
        <v>1</v>
      </c>
      <c r="M6848" s="30">
        <v>77.497959999999992</v>
      </c>
      <c r="N6848" s="30">
        <f t="shared" si="683"/>
        <v>77.497959999999992</v>
      </c>
      <c r="O6848" s="38">
        <f>SUM(N6848:N6848)</f>
        <v>77.497959999999992</v>
      </c>
      <c r="P6848" s="36" t="str">
        <f t="shared" si="678"/>
        <v/>
      </c>
      <c r="Q6848" s="216">
        <f t="shared" si="679"/>
        <v>0.14400000000000002</v>
      </c>
      <c r="R6848" s="216">
        <f t="shared" si="680"/>
        <v>0.14400000000000002</v>
      </c>
      <c r="S6848" s="217">
        <f t="shared" si="681"/>
        <v>0.14400000000000002</v>
      </c>
    </row>
    <row r="6849" spans="1:19" ht="15.75" hidden="1" thickBot="1" x14ac:dyDescent="0.3">
      <c r="A6849" s="263"/>
      <c r="B6849" s="261"/>
      <c r="C6849" s="54"/>
      <c r="D6849" s="54"/>
      <c r="E6849" s="65"/>
      <c r="F6849" s="66" t="s">
        <v>416</v>
      </c>
      <c r="G6849" s="66" t="str">
        <f t="shared" si="682"/>
        <v/>
      </c>
      <c r="H6849" s="68"/>
      <c r="I6849" s="30"/>
      <c r="J6849" s="152">
        <v>0</v>
      </c>
      <c r="L6849" s="222"/>
      <c r="M6849" s="66"/>
      <c r="N6849" s="66" t="str">
        <f t="shared" si="683"/>
        <v/>
      </c>
      <c r="O6849" s="68"/>
      <c r="P6849" s="36" t="str">
        <f t="shared" si="678"/>
        <v/>
      </c>
      <c r="Q6849" s="216" t="str">
        <f t="shared" si="679"/>
        <v/>
      </c>
      <c r="R6849" s="216" t="str">
        <f t="shared" si="680"/>
        <v/>
      </c>
      <c r="S6849" s="217" t="str">
        <f t="shared" si="681"/>
        <v/>
      </c>
    </row>
    <row r="6850" spans="1:19" ht="15.75" hidden="1" thickBot="1" x14ac:dyDescent="0.3">
      <c r="A6850" s="256" t="s">
        <v>6178</v>
      </c>
      <c r="B6850" s="259" t="str">
        <f>INDEX(Orçamentária!A:B,MATCH(Composições!A6850,Orçamentária!A:A,0),2)</f>
        <v>Válvula de escoamento para lavatório e bidê</v>
      </c>
      <c r="C6850" s="40"/>
      <c r="D6850" s="25" t="s">
        <v>16</v>
      </c>
      <c r="E6850" s="26"/>
      <c r="F6850" s="41" t="s">
        <v>416</v>
      </c>
      <c r="G6850" s="27" t="str">
        <f t="shared" si="682"/>
        <v/>
      </c>
      <c r="H6850" s="28"/>
      <c r="I6850" s="29"/>
      <c r="J6850" s="152">
        <v>0</v>
      </c>
      <c r="L6850" s="218"/>
      <c r="M6850" s="41"/>
      <c r="N6850" s="27" t="str">
        <f t="shared" si="683"/>
        <v/>
      </c>
      <c r="O6850" s="28"/>
      <c r="P6850" s="36" t="str">
        <f t="shared" si="678"/>
        <v/>
      </c>
      <c r="Q6850" s="216" t="str">
        <f t="shared" si="679"/>
        <v/>
      </c>
      <c r="R6850" s="216" t="str">
        <f t="shared" si="680"/>
        <v/>
      </c>
      <c r="S6850" s="217" t="str">
        <f t="shared" si="681"/>
        <v/>
      </c>
    </row>
    <row r="6851" spans="1:19" ht="15.75" hidden="1" thickBot="1" x14ac:dyDescent="0.3">
      <c r="A6851" s="262"/>
      <c r="B6851" s="260"/>
      <c r="C6851" s="31"/>
      <c r="D6851" s="31"/>
      <c r="E6851" s="32"/>
      <c r="F6851" s="42" t="s">
        <v>416</v>
      </c>
      <c r="G6851" s="30" t="str">
        <f t="shared" si="682"/>
        <v/>
      </c>
      <c r="H6851" s="34"/>
      <c r="I6851" s="30"/>
      <c r="J6851" s="152">
        <v>0</v>
      </c>
      <c r="L6851" s="219"/>
      <c r="M6851" s="42"/>
      <c r="N6851" s="30" t="str">
        <f t="shared" si="683"/>
        <v/>
      </c>
      <c r="O6851" s="34"/>
      <c r="P6851" s="36" t="str">
        <f t="shared" si="678"/>
        <v/>
      </c>
      <c r="Q6851" s="216" t="str">
        <f t="shared" si="679"/>
        <v/>
      </c>
      <c r="R6851" s="216" t="str">
        <f t="shared" si="680"/>
        <v/>
      </c>
      <c r="S6851" s="217" t="str">
        <f t="shared" si="681"/>
        <v/>
      </c>
    </row>
    <row r="6852" spans="1:19" ht="15.75" hidden="1" thickBot="1" x14ac:dyDescent="0.3">
      <c r="A6852" s="262"/>
      <c r="B6852" s="260"/>
      <c r="C6852" s="35" t="s">
        <v>8503</v>
      </c>
      <c r="D6852" s="35" t="s">
        <v>213</v>
      </c>
      <c r="E6852" s="36">
        <v>1</v>
      </c>
      <c r="F6852" s="30">
        <v>37.173500000000004</v>
      </c>
      <c r="G6852" s="30">
        <f t="shared" si="682"/>
        <v>37.173500000000004</v>
      </c>
      <c r="H6852" s="38">
        <f>SUM(G6852:G6852)</f>
        <v>37.173500000000004</v>
      </c>
      <c r="I6852" s="39"/>
      <c r="J6852" s="152">
        <v>0</v>
      </c>
      <c r="L6852" s="215">
        <v>1</v>
      </c>
      <c r="M6852" s="30">
        <v>31.820516000000005</v>
      </c>
      <c r="N6852" s="30">
        <f t="shared" si="683"/>
        <v>31.820516000000005</v>
      </c>
      <c r="O6852" s="38">
        <f>SUM(N6852:N6852)</f>
        <v>31.820516000000005</v>
      </c>
      <c r="P6852" s="36" t="str">
        <f t="shared" si="678"/>
        <v/>
      </c>
      <c r="Q6852" s="216">
        <f t="shared" si="679"/>
        <v>0.14400000000000002</v>
      </c>
      <c r="R6852" s="216">
        <f t="shared" si="680"/>
        <v>0.14400000000000002</v>
      </c>
      <c r="S6852" s="217">
        <f t="shared" si="681"/>
        <v>0.14400000000000002</v>
      </c>
    </row>
    <row r="6853" spans="1:19" ht="15.75" hidden="1" thickBot="1" x14ac:dyDescent="0.3">
      <c r="A6853" s="263"/>
      <c r="B6853" s="261"/>
      <c r="C6853" s="54"/>
      <c r="D6853" s="54"/>
      <c r="E6853" s="65"/>
      <c r="F6853" s="66" t="s">
        <v>416</v>
      </c>
      <c r="G6853" s="66" t="str">
        <f t="shared" si="682"/>
        <v/>
      </c>
      <c r="H6853" s="68"/>
      <c r="I6853" s="30"/>
      <c r="J6853" s="152">
        <v>0</v>
      </c>
      <c r="L6853" s="222"/>
      <c r="M6853" s="66"/>
      <c r="N6853" s="66" t="str">
        <f t="shared" si="683"/>
        <v/>
      </c>
      <c r="O6853" s="68"/>
      <c r="P6853" s="36" t="str">
        <f t="shared" si="678"/>
        <v/>
      </c>
      <c r="Q6853" s="216" t="str">
        <f t="shared" si="679"/>
        <v/>
      </c>
      <c r="R6853" s="216" t="str">
        <f t="shared" si="680"/>
        <v/>
      </c>
      <c r="S6853" s="217" t="str">
        <f t="shared" si="681"/>
        <v/>
      </c>
    </row>
    <row r="6854" spans="1:19" ht="15.75" hidden="1" thickBot="1" x14ac:dyDescent="0.3">
      <c r="A6854" s="256" t="s">
        <v>6180</v>
      </c>
      <c r="B6854" s="259" t="str">
        <f>INDEX(Orçamentária!A:B,MATCH(Composições!A6854,Orçamentária!A:A,0),2)</f>
        <v>Válvula de escoamento para pia de cozinha 3 1/2”</v>
      </c>
      <c r="C6854" s="40"/>
      <c r="D6854" s="25" t="s">
        <v>16</v>
      </c>
      <c r="E6854" s="26"/>
      <c r="F6854" s="41" t="s">
        <v>416</v>
      </c>
      <c r="G6854" s="27" t="str">
        <f t="shared" si="682"/>
        <v/>
      </c>
      <c r="H6854" s="28"/>
      <c r="I6854" s="29"/>
      <c r="J6854" s="152">
        <v>0</v>
      </c>
      <c r="L6854" s="218"/>
      <c r="M6854" s="41"/>
      <c r="N6854" s="27" t="str">
        <f t="shared" si="683"/>
        <v/>
      </c>
      <c r="O6854" s="28"/>
      <c r="P6854" s="36" t="str">
        <f t="shared" si="678"/>
        <v/>
      </c>
      <c r="Q6854" s="216" t="str">
        <f t="shared" si="679"/>
        <v/>
      </c>
      <c r="R6854" s="216" t="str">
        <f t="shared" si="680"/>
        <v/>
      </c>
      <c r="S6854" s="217" t="str">
        <f t="shared" si="681"/>
        <v/>
      </c>
    </row>
    <row r="6855" spans="1:19" ht="15.75" hidden="1" thickBot="1" x14ac:dyDescent="0.3">
      <c r="A6855" s="262"/>
      <c r="B6855" s="260"/>
      <c r="C6855" s="31"/>
      <c r="D6855" s="31"/>
      <c r="E6855" s="32"/>
      <c r="F6855" s="42" t="s">
        <v>416</v>
      </c>
      <c r="G6855" s="30" t="str">
        <f t="shared" si="682"/>
        <v/>
      </c>
      <c r="H6855" s="34"/>
      <c r="I6855" s="30"/>
      <c r="J6855" s="152">
        <v>0</v>
      </c>
      <c r="L6855" s="219"/>
      <c r="M6855" s="42"/>
      <c r="N6855" s="30" t="str">
        <f t="shared" si="683"/>
        <v/>
      </c>
      <c r="O6855" s="34"/>
      <c r="P6855" s="36" t="str">
        <f t="shared" si="678"/>
        <v/>
      </c>
      <c r="Q6855" s="216" t="str">
        <f t="shared" si="679"/>
        <v/>
      </c>
      <c r="R6855" s="216" t="str">
        <f t="shared" si="680"/>
        <v/>
      </c>
      <c r="S6855" s="217" t="str">
        <f t="shared" si="681"/>
        <v/>
      </c>
    </row>
    <row r="6856" spans="1:19" ht="15.75" hidden="1" thickBot="1" x14ac:dyDescent="0.3">
      <c r="A6856" s="262"/>
      <c r="B6856" s="260"/>
      <c r="C6856" s="35" t="s">
        <v>8504</v>
      </c>
      <c r="D6856" s="35" t="s">
        <v>213</v>
      </c>
      <c r="E6856" s="36">
        <v>1</v>
      </c>
      <c r="F6856" s="30">
        <v>50.786999999999999</v>
      </c>
      <c r="G6856" s="30">
        <f t="shared" si="682"/>
        <v>50.786999999999999</v>
      </c>
      <c r="H6856" s="38">
        <f>SUM(G6856:G6856)</f>
        <v>50.786999999999999</v>
      </c>
      <c r="I6856" s="39"/>
      <c r="J6856" s="152">
        <v>0</v>
      </c>
      <c r="L6856" s="215">
        <v>1</v>
      </c>
      <c r="M6856" s="30">
        <v>43.473672000000001</v>
      </c>
      <c r="N6856" s="30">
        <f t="shared" si="683"/>
        <v>43.473672000000001</v>
      </c>
      <c r="O6856" s="38">
        <f>SUM(N6856:N6856)</f>
        <v>43.473672000000001</v>
      </c>
      <c r="P6856" s="36" t="str">
        <f t="shared" ref="P6856:P6919" si="684">IF(ISBLANK(L6856),"",IF($E6856&lt;&gt;L6856,"SIM",""))</f>
        <v/>
      </c>
      <c r="Q6856" s="216">
        <f t="shared" ref="Q6856:Q6919" si="685">IF(M6856="","",1-M6856/$F6856)</f>
        <v>0.14400000000000002</v>
      </c>
      <c r="R6856" s="216">
        <f t="shared" ref="R6856:R6919" si="686">IF(N6856="","",1-N6856/$G6856)</f>
        <v>0.14400000000000002</v>
      </c>
      <c r="S6856" s="217">
        <f t="shared" ref="S6856:S6919" si="687">IF(O6856="","",1-O6856/$H6856)</f>
        <v>0.14400000000000002</v>
      </c>
    </row>
    <row r="6857" spans="1:19" ht="15.75" hidden="1" thickBot="1" x14ac:dyDescent="0.3">
      <c r="A6857" s="263"/>
      <c r="B6857" s="261"/>
      <c r="C6857" s="54"/>
      <c r="D6857" s="54"/>
      <c r="E6857" s="65"/>
      <c r="F6857" s="66" t="s">
        <v>416</v>
      </c>
      <c r="G6857" s="66" t="str">
        <f t="shared" si="682"/>
        <v/>
      </c>
      <c r="H6857" s="68"/>
      <c r="I6857" s="30"/>
      <c r="J6857" s="152">
        <v>0</v>
      </c>
      <c r="L6857" s="222"/>
      <c r="M6857" s="66"/>
      <c r="N6857" s="66" t="str">
        <f t="shared" si="683"/>
        <v/>
      </c>
      <c r="O6857" s="68"/>
      <c r="P6857" s="36" t="str">
        <f t="shared" si="684"/>
        <v/>
      </c>
      <c r="Q6857" s="216" t="str">
        <f t="shared" si="685"/>
        <v/>
      </c>
      <c r="R6857" s="216" t="str">
        <f t="shared" si="686"/>
        <v/>
      </c>
      <c r="S6857" s="217" t="str">
        <f t="shared" si="687"/>
        <v/>
      </c>
    </row>
    <row r="6858" spans="1:19" ht="15.75" hidden="1" thickBot="1" x14ac:dyDescent="0.3">
      <c r="A6858" s="256" t="s">
        <v>6183</v>
      </c>
      <c r="B6858" s="259" t="str">
        <f>INDEX(Orçamentária!A:B,MATCH(Composições!A6858,Orçamentária!A:A,0),2)</f>
        <v>Válvula de Sucção tipo Pé com Crivos 1”</v>
      </c>
      <c r="C6858" s="40"/>
      <c r="D6858" s="25" t="s">
        <v>16</v>
      </c>
      <c r="E6858" s="26"/>
      <c r="F6858" s="41" t="s">
        <v>416</v>
      </c>
      <c r="G6858" s="27" t="str">
        <f t="shared" si="682"/>
        <v/>
      </c>
      <c r="H6858" s="28"/>
      <c r="I6858" s="29"/>
      <c r="J6858" s="152">
        <v>0</v>
      </c>
      <c r="L6858" s="218"/>
      <c r="M6858" s="41"/>
      <c r="N6858" s="27" t="str">
        <f t="shared" si="683"/>
        <v/>
      </c>
      <c r="O6858" s="28"/>
      <c r="P6858" s="36" t="str">
        <f t="shared" si="684"/>
        <v/>
      </c>
      <c r="Q6858" s="216" t="str">
        <f t="shared" si="685"/>
        <v/>
      </c>
      <c r="R6858" s="216" t="str">
        <f t="shared" si="686"/>
        <v/>
      </c>
      <c r="S6858" s="217" t="str">
        <f t="shared" si="687"/>
        <v/>
      </c>
    </row>
    <row r="6859" spans="1:19" ht="15.75" hidden="1" thickBot="1" x14ac:dyDescent="0.3">
      <c r="A6859" s="262"/>
      <c r="B6859" s="260"/>
      <c r="C6859" s="31"/>
      <c r="D6859" s="31"/>
      <c r="E6859" s="32"/>
      <c r="F6859" s="42" t="s">
        <v>416</v>
      </c>
      <c r="G6859" s="30" t="str">
        <f t="shared" si="682"/>
        <v/>
      </c>
      <c r="H6859" s="34"/>
      <c r="I6859" s="30"/>
      <c r="J6859" s="152">
        <v>0</v>
      </c>
      <c r="L6859" s="219"/>
      <c r="M6859" s="42"/>
      <c r="N6859" s="30" t="str">
        <f t="shared" si="683"/>
        <v/>
      </c>
      <c r="O6859" s="34"/>
      <c r="P6859" s="36" t="str">
        <f t="shared" si="684"/>
        <v/>
      </c>
      <c r="Q6859" s="216" t="str">
        <f t="shared" si="685"/>
        <v/>
      </c>
      <c r="R6859" s="216" t="str">
        <f t="shared" si="686"/>
        <v/>
      </c>
      <c r="S6859" s="217" t="str">
        <f t="shared" si="687"/>
        <v/>
      </c>
    </row>
    <row r="6860" spans="1:19" ht="26.25" hidden="1" thickBot="1" x14ac:dyDescent="0.3">
      <c r="A6860" s="262"/>
      <c r="B6860" s="260"/>
      <c r="C6860" s="35" t="s">
        <v>8495</v>
      </c>
      <c r="D6860" s="35" t="s">
        <v>213</v>
      </c>
      <c r="E6860" s="36">
        <v>1</v>
      </c>
      <c r="F6860" s="30">
        <v>56.439499999999995</v>
      </c>
      <c r="G6860" s="30">
        <f t="shared" si="682"/>
        <v>56.439499999999995</v>
      </c>
      <c r="H6860" s="38">
        <f>SUM(G6860:G6860)</f>
        <v>56.439499999999995</v>
      </c>
      <c r="I6860" s="39"/>
      <c r="J6860" s="152">
        <v>0</v>
      </c>
      <c r="L6860" s="215">
        <v>1</v>
      </c>
      <c r="M6860" s="30">
        <v>48.312211999999995</v>
      </c>
      <c r="N6860" s="30">
        <f t="shared" si="683"/>
        <v>48.312211999999995</v>
      </c>
      <c r="O6860" s="38">
        <f>SUM(N6860:N6860)</f>
        <v>48.312211999999995</v>
      </c>
      <c r="P6860" s="36" t="str">
        <f t="shared" si="684"/>
        <v/>
      </c>
      <c r="Q6860" s="216">
        <f t="shared" si="685"/>
        <v>0.14400000000000002</v>
      </c>
      <c r="R6860" s="216">
        <f t="shared" si="686"/>
        <v>0.14400000000000002</v>
      </c>
      <c r="S6860" s="217">
        <f t="shared" si="687"/>
        <v>0.14400000000000002</v>
      </c>
    </row>
    <row r="6861" spans="1:19" ht="15.75" hidden="1" thickBot="1" x14ac:dyDescent="0.3">
      <c r="A6861" s="263"/>
      <c r="B6861" s="261"/>
      <c r="C6861" s="54"/>
      <c r="D6861" s="54"/>
      <c r="E6861" s="65"/>
      <c r="F6861" s="66" t="s">
        <v>416</v>
      </c>
      <c r="G6861" s="66" t="str">
        <f t="shared" si="682"/>
        <v/>
      </c>
      <c r="H6861" s="68"/>
      <c r="I6861" s="30"/>
      <c r="J6861" s="152">
        <v>0</v>
      </c>
      <c r="L6861" s="222"/>
      <c r="M6861" s="66"/>
      <c r="N6861" s="66" t="str">
        <f t="shared" si="683"/>
        <v/>
      </c>
      <c r="O6861" s="68"/>
      <c r="P6861" s="36" t="str">
        <f t="shared" si="684"/>
        <v/>
      </c>
      <c r="Q6861" s="216" t="str">
        <f t="shared" si="685"/>
        <v/>
      </c>
      <c r="R6861" s="216" t="str">
        <f t="shared" si="686"/>
        <v/>
      </c>
      <c r="S6861" s="217" t="str">
        <f t="shared" si="687"/>
        <v/>
      </c>
    </row>
    <row r="6862" spans="1:19" ht="15.75" hidden="1" thickBot="1" x14ac:dyDescent="0.3">
      <c r="A6862" s="256" t="s">
        <v>6185</v>
      </c>
      <c r="B6862" s="259" t="str">
        <f>INDEX(Orçamentária!A:B,MATCH(Composições!A6862,Orçamentária!A:A,0),2)</f>
        <v>Válvula de Sucção tipo Pé com Crivos 2”</v>
      </c>
      <c r="C6862" s="40"/>
      <c r="D6862" s="25" t="s">
        <v>16</v>
      </c>
      <c r="E6862" s="26"/>
      <c r="F6862" s="41" t="s">
        <v>416</v>
      </c>
      <c r="G6862" s="27" t="str">
        <f t="shared" si="682"/>
        <v/>
      </c>
      <c r="H6862" s="28"/>
      <c r="I6862" s="29"/>
      <c r="J6862" s="152">
        <v>0</v>
      </c>
      <c r="L6862" s="218"/>
      <c r="M6862" s="41"/>
      <c r="N6862" s="27" t="str">
        <f t="shared" si="683"/>
        <v/>
      </c>
      <c r="O6862" s="28"/>
      <c r="P6862" s="36" t="str">
        <f t="shared" si="684"/>
        <v/>
      </c>
      <c r="Q6862" s="216" t="str">
        <f t="shared" si="685"/>
        <v/>
      </c>
      <c r="R6862" s="216" t="str">
        <f t="shared" si="686"/>
        <v/>
      </c>
      <c r="S6862" s="217" t="str">
        <f t="shared" si="687"/>
        <v/>
      </c>
    </row>
    <row r="6863" spans="1:19" ht="15.75" hidden="1" thickBot="1" x14ac:dyDescent="0.3">
      <c r="A6863" s="262"/>
      <c r="B6863" s="260"/>
      <c r="C6863" s="31"/>
      <c r="D6863" s="31"/>
      <c r="E6863" s="32"/>
      <c r="F6863" s="42" t="s">
        <v>416</v>
      </c>
      <c r="G6863" s="30" t="str">
        <f t="shared" si="682"/>
        <v/>
      </c>
      <c r="H6863" s="34"/>
      <c r="I6863" s="30"/>
      <c r="J6863" s="152">
        <v>0</v>
      </c>
      <c r="L6863" s="219"/>
      <c r="M6863" s="42"/>
      <c r="N6863" s="30" t="str">
        <f t="shared" si="683"/>
        <v/>
      </c>
      <c r="O6863" s="34"/>
      <c r="P6863" s="36" t="str">
        <f t="shared" si="684"/>
        <v/>
      </c>
      <c r="Q6863" s="216" t="str">
        <f t="shared" si="685"/>
        <v/>
      </c>
      <c r="R6863" s="216" t="str">
        <f t="shared" si="686"/>
        <v/>
      </c>
      <c r="S6863" s="217" t="str">
        <f t="shared" si="687"/>
        <v/>
      </c>
    </row>
    <row r="6864" spans="1:19" ht="26.25" hidden="1" thickBot="1" x14ac:dyDescent="0.3">
      <c r="A6864" s="262"/>
      <c r="B6864" s="260"/>
      <c r="C6864" s="35" t="s">
        <v>8496</v>
      </c>
      <c r="D6864" s="35" t="s">
        <v>213</v>
      </c>
      <c r="E6864" s="36">
        <v>1</v>
      </c>
      <c r="F6864" s="30">
        <v>144.82749999999999</v>
      </c>
      <c r="G6864" s="30">
        <f t="shared" si="682"/>
        <v>144.82749999999999</v>
      </c>
      <c r="H6864" s="38">
        <f>SUM(G6864:G6864)</f>
        <v>144.82749999999999</v>
      </c>
      <c r="I6864" s="39"/>
      <c r="J6864" s="152">
        <v>0</v>
      </c>
      <c r="L6864" s="215">
        <v>1</v>
      </c>
      <c r="M6864" s="30">
        <v>123.97233999999999</v>
      </c>
      <c r="N6864" s="30">
        <f t="shared" si="683"/>
        <v>123.97233999999999</v>
      </c>
      <c r="O6864" s="38">
        <f>SUM(N6864:N6864)</f>
        <v>123.97233999999999</v>
      </c>
      <c r="P6864" s="36" t="str">
        <f t="shared" si="684"/>
        <v/>
      </c>
      <c r="Q6864" s="216">
        <f t="shared" si="685"/>
        <v>0.14400000000000002</v>
      </c>
      <c r="R6864" s="216">
        <f t="shared" si="686"/>
        <v>0.14400000000000002</v>
      </c>
      <c r="S6864" s="217">
        <f t="shared" si="687"/>
        <v>0.14400000000000002</v>
      </c>
    </row>
    <row r="6865" spans="1:19" ht="15.75" hidden="1" thickBot="1" x14ac:dyDescent="0.3">
      <c r="A6865" s="263"/>
      <c r="B6865" s="261"/>
      <c r="C6865" s="54"/>
      <c r="D6865" s="54"/>
      <c r="E6865" s="65"/>
      <c r="F6865" s="66" t="s">
        <v>416</v>
      </c>
      <c r="G6865" s="66" t="str">
        <f t="shared" si="682"/>
        <v/>
      </c>
      <c r="H6865" s="68"/>
      <c r="I6865" s="30"/>
      <c r="J6865" s="152">
        <v>0</v>
      </c>
      <c r="L6865" s="222"/>
      <c r="M6865" s="66"/>
      <c r="N6865" s="66" t="str">
        <f t="shared" si="683"/>
        <v/>
      </c>
      <c r="O6865" s="68"/>
      <c r="P6865" s="36" t="str">
        <f t="shared" si="684"/>
        <v/>
      </c>
      <c r="Q6865" s="216" t="str">
        <f t="shared" si="685"/>
        <v/>
      </c>
      <c r="R6865" s="216" t="str">
        <f t="shared" si="686"/>
        <v/>
      </c>
      <c r="S6865" s="217" t="str">
        <f t="shared" si="687"/>
        <v/>
      </c>
    </row>
    <row r="6866" spans="1:19" ht="15.75" hidden="1" thickBot="1" x14ac:dyDescent="0.3">
      <c r="A6866" s="256" t="s">
        <v>6189</v>
      </c>
      <c r="B6866" s="259" t="str">
        <f>INDEX(Orçamentária!A:B,MATCH(Composições!A6866,Orçamentária!A:A,0),2)</f>
        <v>Válvula de retenção horizontal – PN-25 3/4”</v>
      </c>
      <c r="C6866" s="40"/>
      <c r="D6866" s="25" t="s">
        <v>16</v>
      </c>
      <c r="E6866" s="26"/>
      <c r="F6866" s="41" t="s">
        <v>416</v>
      </c>
      <c r="G6866" s="27" t="str">
        <f t="shared" si="682"/>
        <v/>
      </c>
      <c r="H6866" s="28"/>
      <c r="I6866" s="29"/>
      <c r="J6866" s="152">
        <v>0</v>
      </c>
      <c r="L6866" s="218"/>
      <c r="M6866" s="41"/>
      <c r="N6866" s="27" t="str">
        <f t="shared" si="683"/>
        <v/>
      </c>
      <c r="O6866" s="28"/>
      <c r="P6866" s="36" t="str">
        <f t="shared" si="684"/>
        <v/>
      </c>
      <c r="Q6866" s="216" t="str">
        <f t="shared" si="685"/>
        <v/>
      </c>
      <c r="R6866" s="216" t="str">
        <f t="shared" si="686"/>
        <v/>
      </c>
      <c r="S6866" s="217" t="str">
        <f t="shared" si="687"/>
        <v/>
      </c>
    </row>
    <row r="6867" spans="1:19" ht="15.75" hidden="1" thickBot="1" x14ac:dyDescent="0.3">
      <c r="A6867" s="262"/>
      <c r="B6867" s="260"/>
      <c r="C6867" s="31"/>
      <c r="D6867" s="31"/>
      <c r="E6867" s="32"/>
      <c r="F6867" s="42" t="s">
        <v>416</v>
      </c>
      <c r="G6867" s="30" t="str">
        <f t="shared" si="682"/>
        <v/>
      </c>
      <c r="H6867" s="34"/>
      <c r="I6867" s="30"/>
      <c r="J6867" s="152">
        <v>0</v>
      </c>
      <c r="L6867" s="219"/>
      <c r="M6867" s="42"/>
      <c r="N6867" s="30" t="str">
        <f t="shared" si="683"/>
        <v/>
      </c>
      <c r="O6867" s="34"/>
      <c r="P6867" s="36" t="str">
        <f t="shared" si="684"/>
        <v/>
      </c>
      <c r="Q6867" s="216" t="str">
        <f t="shared" si="685"/>
        <v/>
      </c>
      <c r="R6867" s="216" t="str">
        <f t="shared" si="686"/>
        <v/>
      </c>
      <c r="S6867" s="217" t="str">
        <f t="shared" si="687"/>
        <v/>
      </c>
    </row>
    <row r="6868" spans="1:19" ht="26.25" hidden="1" thickBot="1" x14ac:dyDescent="0.3">
      <c r="A6868" s="262"/>
      <c r="B6868" s="260"/>
      <c r="C6868" s="35" t="s">
        <v>8498</v>
      </c>
      <c r="D6868" s="35" t="s">
        <v>213</v>
      </c>
      <c r="E6868" s="36">
        <v>1</v>
      </c>
      <c r="F6868" s="30">
        <v>81.585999999999999</v>
      </c>
      <c r="G6868" s="30">
        <f t="shared" si="682"/>
        <v>81.585999999999999</v>
      </c>
      <c r="H6868" s="38">
        <f>SUM(G6868:G6868)</f>
        <v>81.585999999999999</v>
      </c>
      <c r="I6868" s="39"/>
      <c r="J6868" s="152">
        <v>0</v>
      </c>
      <c r="L6868" s="215">
        <v>1</v>
      </c>
      <c r="M6868" s="30">
        <v>69.837615999999997</v>
      </c>
      <c r="N6868" s="30">
        <f t="shared" si="683"/>
        <v>69.837615999999997</v>
      </c>
      <c r="O6868" s="38">
        <f>SUM(N6868:N6868)</f>
        <v>69.837615999999997</v>
      </c>
      <c r="P6868" s="36" t="str">
        <f t="shared" si="684"/>
        <v/>
      </c>
      <c r="Q6868" s="216">
        <f t="shared" si="685"/>
        <v>0.14400000000000002</v>
      </c>
      <c r="R6868" s="216">
        <f t="shared" si="686"/>
        <v>0.14400000000000002</v>
      </c>
      <c r="S6868" s="217">
        <f t="shared" si="687"/>
        <v>0.14400000000000002</v>
      </c>
    </row>
    <row r="6869" spans="1:19" ht="15.75" hidden="1" thickBot="1" x14ac:dyDescent="0.3">
      <c r="A6869" s="263"/>
      <c r="B6869" s="261"/>
      <c r="C6869" s="54"/>
      <c r="D6869" s="54"/>
      <c r="E6869" s="65"/>
      <c r="F6869" s="66" t="s">
        <v>416</v>
      </c>
      <c r="G6869" s="66" t="str">
        <f t="shared" si="682"/>
        <v/>
      </c>
      <c r="H6869" s="68"/>
      <c r="I6869" s="30"/>
      <c r="J6869" s="152">
        <v>0</v>
      </c>
      <c r="L6869" s="222"/>
      <c r="M6869" s="66"/>
      <c r="N6869" s="66" t="str">
        <f t="shared" si="683"/>
        <v/>
      </c>
      <c r="O6869" s="68"/>
      <c r="P6869" s="36" t="str">
        <f t="shared" si="684"/>
        <v/>
      </c>
      <c r="Q6869" s="216" t="str">
        <f t="shared" si="685"/>
        <v/>
      </c>
      <c r="R6869" s="216" t="str">
        <f t="shared" si="686"/>
        <v/>
      </c>
      <c r="S6869" s="217" t="str">
        <f t="shared" si="687"/>
        <v/>
      </c>
    </row>
    <row r="6870" spans="1:19" ht="15.75" hidden="1" thickBot="1" x14ac:dyDescent="0.3">
      <c r="A6870" s="256" t="s">
        <v>6191</v>
      </c>
      <c r="B6870" s="259" t="str">
        <f>INDEX(Orçamentária!A:B,MATCH(Composições!A6870,Orçamentária!A:A,0),2)</f>
        <v>Válvula de retenção horizontal – PN-25 2”</v>
      </c>
      <c r="C6870" s="40"/>
      <c r="D6870" s="25" t="s">
        <v>16</v>
      </c>
      <c r="E6870" s="26"/>
      <c r="F6870" s="41" t="s">
        <v>416</v>
      </c>
      <c r="G6870" s="27" t="str">
        <f t="shared" si="682"/>
        <v/>
      </c>
      <c r="H6870" s="28"/>
      <c r="I6870" s="29"/>
      <c r="J6870" s="152">
        <v>0</v>
      </c>
      <c r="L6870" s="218"/>
      <c r="M6870" s="41"/>
      <c r="N6870" s="27" t="str">
        <f t="shared" si="683"/>
        <v/>
      </c>
      <c r="O6870" s="28"/>
      <c r="P6870" s="36" t="str">
        <f t="shared" si="684"/>
        <v/>
      </c>
      <c r="Q6870" s="216" t="str">
        <f t="shared" si="685"/>
        <v/>
      </c>
      <c r="R6870" s="216" t="str">
        <f t="shared" si="686"/>
        <v/>
      </c>
      <c r="S6870" s="217" t="str">
        <f t="shared" si="687"/>
        <v/>
      </c>
    </row>
    <row r="6871" spans="1:19" ht="15.75" hidden="1" thickBot="1" x14ac:dyDescent="0.3">
      <c r="A6871" s="262"/>
      <c r="B6871" s="260"/>
      <c r="C6871" s="31"/>
      <c r="D6871" s="31"/>
      <c r="E6871" s="32"/>
      <c r="F6871" s="42" t="s">
        <v>416</v>
      </c>
      <c r="G6871" s="30" t="str">
        <f t="shared" si="682"/>
        <v/>
      </c>
      <c r="H6871" s="34"/>
      <c r="I6871" s="30"/>
      <c r="J6871" s="152">
        <v>0</v>
      </c>
      <c r="L6871" s="219"/>
      <c r="M6871" s="42"/>
      <c r="N6871" s="30" t="str">
        <f t="shared" si="683"/>
        <v/>
      </c>
      <c r="O6871" s="34"/>
      <c r="P6871" s="36" t="str">
        <f t="shared" si="684"/>
        <v/>
      </c>
      <c r="Q6871" s="216" t="str">
        <f t="shared" si="685"/>
        <v/>
      </c>
      <c r="R6871" s="216" t="str">
        <f t="shared" si="686"/>
        <v/>
      </c>
      <c r="S6871" s="217" t="str">
        <f t="shared" si="687"/>
        <v/>
      </c>
    </row>
    <row r="6872" spans="1:19" ht="26.25" hidden="1" thickBot="1" x14ac:dyDescent="0.3">
      <c r="A6872" s="262"/>
      <c r="B6872" s="260"/>
      <c r="C6872" s="35" t="s">
        <v>8497</v>
      </c>
      <c r="D6872" s="35" t="s">
        <v>213</v>
      </c>
      <c r="E6872" s="36">
        <v>1</v>
      </c>
      <c r="F6872" s="30">
        <v>259.90099999999995</v>
      </c>
      <c r="G6872" s="30">
        <f t="shared" si="682"/>
        <v>259.90099999999995</v>
      </c>
      <c r="H6872" s="38">
        <f>SUM(G6872:G6872)</f>
        <v>259.90099999999995</v>
      </c>
      <c r="I6872" s="39"/>
      <c r="J6872" s="152">
        <v>0</v>
      </c>
      <c r="L6872" s="215">
        <v>1</v>
      </c>
      <c r="M6872" s="30">
        <v>222.47525599999997</v>
      </c>
      <c r="N6872" s="30">
        <f t="shared" si="683"/>
        <v>222.47525599999997</v>
      </c>
      <c r="O6872" s="38">
        <f>SUM(N6872:N6872)</f>
        <v>222.47525599999997</v>
      </c>
      <c r="P6872" s="36" t="str">
        <f t="shared" si="684"/>
        <v/>
      </c>
      <c r="Q6872" s="216">
        <f t="shared" si="685"/>
        <v>0.14399999999999991</v>
      </c>
      <c r="R6872" s="216">
        <f t="shared" si="686"/>
        <v>0.14399999999999991</v>
      </c>
      <c r="S6872" s="217">
        <f t="shared" si="687"/>
        <v>0.14399999999999991</v>
      </c>
    </row>
    <row r="6873" spans="1:19" ht="15.75" hidden="1" thickBot="1" x14ac:dyDescent="0.3">
      <c r="A6873" s="263"/>
      <c r="B6873" s="261"/>
      <c r="C6873" s="54"/>
      <c r="D6873" s="54"/>
      <c r="E6873" s="65"/>
      <c r="F6873" s="66" t="s">
        <v>416</v>
      </c>
      <c r="G6873" s="66" t="str">
        <f t="shared" si="682"/>
        <v/>
      </c>
      <c r="H6873" s="68"/>
      <c r="I6873" s="30"/>
      <c r="J6873" s="152">
        <v>0</v>
      </c>
      <c r="L6873" s="222"/>
      <c r="M6873" s="66"/>
      <c r="N6873" s="66" t="str">
        <f t="shared" si="683"/>
        <v/>
      </c>
      <c r="O6873" s="68"/>
      <c r="P6873" s="36" t="str">
        <f t="shared" si="684"/>
        <v/>
      </c>
      <c r="Q6873" s="216" t="str">
        <f t="shared" si="685"/>
        <v/>
      </c>
      <c r="R6873" s="216" t="str">
        <f t="shared" si="686"/>
        <v/>
      </c>
      <c r="S6873" s="217" t="str">
        <f t="shared" si="687"/>
        <v/>
      </c>
    </row>
    <row r="6874" spans="1:19" ht="15.75" hidden="1" thickBot="1" x14ac:dyDescent="0.3">
      <c r="A6874" s="256" t="s">
        <v>6193</v>
      </c>
      <c r="B6874" s="259" t="str">
        <f>INDEX(Orçamentária!A:B,MATCH(Composições!A6874,Orçamentária!A:A,0),2)</f>
        <v>Válvula de retenção vertical - 3”</v>
      </c>
      <c r="C6874" s="40"/>
      <c r="D6874" s="25" t="s">
        <v>16</v>
      </c>
      <c r="E6874" s="26"/>
      <c r="F6874" s="41" t="s">
        <v>416</v>
      </c>
      <c r="G6874" s="27" t="str">
        <f t="shared" si="682"/>
        <v/>
      </c>
      <c r="H6874" s="28"/>
      <c r="I6874" s="29"/>
      <c r="J6874" s="152">
        <v>0</v>
      </c>
      <c r="L6874" s="218"/>
      <c r="M6874" s="41"/>
      <c r="N6874" s="27" t="str">
        <f t="shared" si="683"/>
        <v/>
      </c>
      <c r="O6874" s="28"/>
      <c r="P6874" s="36" t="str">
        <f t="shared" si="684"/>
        <v/>
      </c>
      <c r="Q6874" s="216" t="str">
        <f t="shared" si="685"/>
        <v/>
      </c>
      <c r="R6874" s="216" t="str">
        <f t="shared" si="686"/>
        <v/>
      </c>
      <c r="S6874" s="217" t="str">
        <f t="shared" si="687"/>
        <v/>
      </c>
    </row>
    <row r="6875" spans="1:19" ht="15.75" hidden="1" thickBot="1" x14ac:dyDescent="0.3">
      <c r="A6875" s="262"/>
      <c r="B6875" s="260"/>
      <c r="C6875" s="31"/>
      <c r="D6875" s="31"/>
      <c r="E6875" s="32"/>
      <c r="F6875" s="42" t="s">
        <v>416</v>
      </c>
      <c r="G6875" s="30" t="str">
        <f t="shared" si="682"/>
        <v/>
      </c>
      <c r="H6875" s="34"/>
      <c r="I6875" s="30"/>
      <c r="J6875" s="152">
        <v>0</v>
      </c>
      <c r="L6875" s="219"/>
      <c r="M6875" s="42"/>
      <c r="N6875" s="30" t="str">
        <f t="shared" si="683"/>
        <v/>
      </c>
      <c r="O6875" s="34"/>
      <c r="P6875" s="36" t="str">
        <f t="shared" si="684"/>
        <v/>
      </c>
      <c r="Q6875" s="216" t="str">
        <f t="shared" si="685"/>
        <v/>
      </c>
      <c r="R6875" s="216" t="str">
        <f t="shared" si="686"/>
        <v/>
      </c>
      <c r="S6875" s="217" t="str">
        <f t="shared" si="687"/>
        <v/>
      </c>
    </row>
    <row r="6876" spans="1:19" ht="26.25" hidden="1" thickBot="1" x14ac:dyDescent="0.3">
      <c r="A6876" s="262"/>
      <c r="B6876" s="260"/>
      <c r="C6876" s="35" t="s">
        <v>8501</v>
      </c>
      <c r="D6876" s="35" t="s">
        <v>213</v>
      </c>
      <c r="E6876" s="36">
        <v>1</v>
      </c>
      <c r="F6876" s="30">
        <v>314.88699999999994</v>
      </c>
      <c r="G6876" s="30">
        <f t="shared" si="682"/>
        <v>314.88699999999994</v>
      </c>
      <c r="H6876" s="38">
        <f>SUM(G6876:G6876)</f>
        <v>314.88699999999994</v>
      </c>
      <c r="I6876" s="39"/>
      <c r="J6876" s="152">
        <v>0</v>
      </c>
      <c r="L6876" s="215">
        <v>1</v>
      </c>
      <c r="M6876" s="30">
        <v>269.54327199999994</v>
      </c>
      <c r="N6876" s="30">
        <f t="shared" si="683"/>
        <v>269.54327199999994</v>
      </c>
      <c r="O6876" s="38">
        <f>SUM(N6876:N6876)</f>
        <v>269.54327199999994</v>
      </c>
      <c r="P6876" s="36" t="str">
        <f t="shared" si="684"/>
        <v/>
      </c>
      <c r="Q6876" s="216">
        <f t="shared" si="685"/>
        <v>0.14400000000000002</v>
      </c>
      <c r="R6876" s="216">
        <f t="shared" si="686"/>
        <v>0.14400000000000002</v>
      </c>
      <c r="S6876" s="217">
        <f t="shared" si="687"/>
        <v>0.14400000000000002</v>
      </c>
    </row>
    <row r="6877" spans="1:19" ht="15.75" hidden="1" thickBot="1" x14ac:dyDescent="0.3">
      <c r="A6877" s="263"/>
      <c r="B6877" s="261"/>
      <c r="C6877" s="54"/>
      <c r="D6877" s="54"/>
      <c r="E6877" s="65"/>
      <c r="F6877" s="66" t="s">
        <v>416</v>
      </c>
      <c r="G6877" s="66" t="str">
        <f t="shared" si="682"/>
        <v/>
      </c>
      <c r="H6877" s="68"/>
      <c r="I6877" s="30"/>
      <c r="J6877" s="152">
        <v>0</v>
      </c>
      <c r="L6877" s="222"/>
      <c r="M6877" s="66"/>
      <c r="N6877" s="66" t="str">
        <f t="shared" si="683"/>
        <v/>
      </c>
      <c r="O6877" s="68"/>
      <c r="P6877" s="36" t="str">
        <f t="shared" si="684"/>
        <v/>
      </c>
      <c r="Q6877" s="216" t="str">
        <f t="shared" si="685"/>
        <v/>
      </c>
      <c r="R6877" s="216" t="str">
        <f t="shared" si="686"/>
        <v/>
      </c>
      <c r="S6877" s="217" t="str">
        <f t="shared" si="687"/>
        <v/>
      </c>
    </row>
    <row r="6878" spans="1:19" ht="15.75" hidden="1" thickBot="1" x14ac:dyDescent="0.3">
      <c r="A6878" s="256" t="s">
        <v>6195</v>
      </c>
      <c r="B6878" s="259" t="str">
        <f>INDEX(Orçamentária!A:B,MATCH(Composições!A6878,Orçamentária!A:A,0),2)</f>
        <v>Válvula de retenção vertical - 4”</v>
      </c>
      <c r="C6878" s="40"/>
      <c r="D6878" s="25" t="s">
        <v>16</v>
      </c>
      <c r="E6878" s="26"/>
      <c r="F6878" s="41" t="s">
        <v>416</v>
      </c>
      <c r="G6878" s="27" t="str">
        <f t="shared" si="682"/>
        <v/>
      </c>
      <c r="H6878" s="28"/>
      <c r="I6878" s="29"/>
      <c r="J6878" s="152">
        <v>0</v>
      </c>
      <c r="L6878" s="218"/>
      <c r="M6878" s="41"/>
      <c r="N6878" s="27" t="str">
        <f t="shared" si="683"/>
        <v/>
      </c>
      <c r="O6878" s="28"/>
      <c r="P6878" s="36" t="str">
        <f t="shared" si="684"/>
        <v/>
      </c>
      <c r="Q6878" s="216" t="str">
        <f t="shared" si="685"/>
        <v/>
      </c>
      <c r="R6878" s="216" t="str">
        <f t="shared" si="686"/>
        <v/>
      </c>
      <c r="S6878" s="217" t="str">
        <f t="shared" si="687"/>
        <v/>
      </c>
    </row>
    <row r="6879" spans="1:19" ht="15.75" hidden="1" thickBot="1" x14ac:dyDescent="0.3">
      <c r="A6879" s="262"/>
      <c r="B6879" s="260"/>
      <c r="C6879" s="31"/>
      <c r="D6879" s="31"/>
      <c r="E6879" s="32"/>
      <c r="F6879" s="42" t="s">
        <v>416</v>
      </c>
      <c r="G6879" s="30" t="str">
        <f t="shared" si="682"/>
        <v/>
      </c>
      <c r="H6879" s="34"/>
      <c r="I6879" s="30"/>
      <c r="J6879" s="152">
        <v>0</v>
      </c>
      <c r="L6879" s="219"/>
      <c r="M6879" s="42"/>
      <c r="N6879" s="30" t="str">
        <f t="shared" si="683"/>
        <v/>
      </c>
      <c r="O6879" s="34"/>
      <c r="P6879" s="36" t="str">
        <f t="shared" si="684"/>
        <v/>
      </c>
      <c r="Q6879" s="216" t="str">
        <f t="shared" si="685"/>
        <v/>
      </c>
      <c r="R6879" s="216" t="str">
        <f t="shared" si="686"/>
        <v/>
      </c>
      <c r="S6879" s="217" t="str">
        <f t="shared" si="687"/>
        <v/>
      </c>
    </row>
    <row r="6880" spans="1:19" ht="26.25" hidden="1" thickBot="1" x14ac:dyDescent="0.3">
      <c r="A6880" s="262"/>
      <c r="B6880" s="260"/>
      <c r="C6880" s="35" t="s">
        <v>8502</v>
      </c>
      <c r="D6880" s="35" t="s">
        <v>213</v>
      </c>
      <c r="E6880" s="36">
        <v>1</v>
      </c>
      <c r="F6880" s="30">
        <v>546.49699999999996</v>
      </c>
      <c r="G6880" s="30">
        <f t="shared" si="682"/>
        <v>546.49699999999996</v>
      </c>
      <c r="H6880" s="38">
        <f>SUM(G6880:G6880)</f>
        <v>546.49699999999996</v>
      </c>
      <c r="I6880" s="39"/>
      <c r="J6880" s="152">
        <v>0</v>
      </c>
      <c r="L6880" s="215">
        <v>1</v>
      </c>
      <c r="M6880" s="30">
        <v>467.80143199999998</v>
      </c>
      <c r="N6880" s="30">
        <f t="shared" si="683"/>
        <v>467.80143199999998</v>
      </c>
      <c r="O6880" s="38">
        <f>SUM(N6880:N6880)</f>
        <v>467.80143199999998</v>
      </c>
      <c r="P6880" s="36" t="str">
        <f t="shared" si="684"/>
        <v/>
      </c>
      <c r="Q6880" s="216">
        <f t="shared" si="685"/>
        <v>0.14400000000000002</v>
      </c>
      <c r="R6880" s="216">
        <f t="shared" si="686"/>
        <v>0.14400000000000002</v>
      </c>
      <c r="S6880" s="217">
        <f t="shared" si="687"/>
        <v>0.14400000000000002</v>
      </c>
    </row>
    <row r="6881" spans="1:19" ht="15.75" hidden="1" thickBot="1" x14ac:dyDescent="0.3">
      <c r="A6881" s="263"/>
      <c r="B6881" s="261"/>
      <c r="C6881" s="54"/>
      <c r="D6881" s="54"/>
      <c r="E6881" s="65"/>
      <c r="F6881" s="66" t="s">
        <v>416</v>
      </c>
      <c r="G6881" s="66" t="str">
        <f t="shared" si="682"/>
        <v/>
      </c>
      <c r="H6881" s="68"/>
      <c r="I6881" s="30"/>
      <c r="J6881" s="152">
        <v>0</v>
      </c>
      <c r="L6881" s="222"/>
      <c r="M6881" s="66"/>
      <c r="N6881" s="66" t="str">
        <f t="shared" si="683"/>
        <v/>
      </c>
      <c r="O6881" s="68"/>
      <c r="P6881" s="36" t="str">
        <f t="shared" si="684"/>
        <v/>
      </c>
      <c r="Q6881" s="216" t="str">
        <f t="shared" si="685"/>
        <v/>
      </c>
      <c r="R6881" s="216" t="str">
        <f t="shared" si="686"/>
        <v/>
      </c>
      <c r="S6881" s="217" t="str">
        <f t="shared" si="687"/>
        <v/>
      </c>
    </row>
    <row r="6882" spans="1:19" ht="15.75" hidden="1" thickBot="1" x14ac:dyDescent="0.3">
      <c r="A6882" s="256" t="s">
        <v>6197</v>
      </c>
      <c r="B6882" s="259" t="str">
        <f>INDEX(Orçamentária!A:B,MATCH(Composições!A6882,Orçamentária!A:A,0),2)</f>
        <v>Válvula de retenção vertical - 2”</v>
      </c>
      <c r="C6882" s="40"/>
      <c r="D6882" s="25" t="s">
        <v>16</v>
      </c>
      <c r="E6882" s="26"/>
      <c r="F6882" s="41" t="s">
        <v>416</v>
      </c>
      <c r="G6882" s="27" t="str">
        <f t="shared" si="682"/>
        <v/>
      </c>
      <c r="H6882" s="28"/>
      <c r="I6882" s="29"/>
      <c r="J6882" s="152">
        <v>0</v>
      </c>
      <c r="L6882" s="218"/>
      <c r="M6882" s="41"/>
      <c r="N6882" s="27" t="str">
        <f t="shared" si="683"/>
        <v/>
      </c>
      <c r="O6882" s="28"/>
      <c r="P6882" s="36" t="str">
        <f t="shared" si="684"/>
        <v/>
      </c>
      <c r="Q6882" s="216" t="str">
        <f t="shared" si="685"/>
        <v/>
      </c>
      <c r="R6882" s="216" t="str">
        <f t="shared" si="686"/>
        <v/>
      </c>
      <c r="S6882" s="217" t="str">
        <f t="shared" si="687"/>
        <v/>
      </c>
    </row>
    <row r="6883" spans="1:19" ht="15.75" hidden="1" thickBot="1" x14ac:dyDescent="0.3">
      <c r="A6883" s="262"/>
      <c r="B6883" s="260"/>
      <c r="C6883" s="31"/>
      <c r="D6883" s="31"/>
      <c r="E6883" s="32"/>
      <c r="F6883" s="42" t="s">
        <v>416</v>
      </c>
      <c r="G6883" s="30" t="str">
        <f t="shared" si="682"/>
        <v/>
      </c>
      <c r="H6883" s="34"/>
      <c r="I6883" s="30"/>
      <c r="J6883" s="152">
        <v>0</v>
      </c>
      <c r="L6883" s="219"/>
      <c r="M6883" s="42"/>
      <c r="N6883" s="30" t="str">
        <f t="shared" si="683"/>
        <v/>
      </c>
      <c r="O6883" s="34"/>
      <c r="P6883" s="36" t="str">
        <f t="shared" si="684"/>
        <v/>
      </c>
      <c r="Q6883" s="216" t="str">
        <f t="shared" si="685"/>
        <v/>
      </c>
      <c r="R6883" s="216" t="str">
        <f t="shared" si="686"/>
        <v/>
      </c>
      <c r="S6883" s="217" t="str">
        <f t="shared" si="687"/>
        <v/>
      </c>
    </row>
    <row r="6884" spans="1:19" ht="26.25" hidden="1" thickBot="1" x14ac:dyDescent="0.3">
      <c r="A6884" s="262"/>
      <c r="B6884" s="260"/>
      <c r="C6884" s="35" t="s">
        <v>8500</v>
      </c>
      <c r="D6884" s="35" t="s">
        <v>213</v>
      </c>
      <c r="E6884" s="36">
        <v>1</v>
      </c>
      <c r="F6884" s="30">
        <v>143.8965</v>
      </c>
      <c r="G6884" s="30">
        <f t="shared" si="682"/>
        <v>143.8965</v>
      </c>
      <c r="H6884" s="38">
        <f>SUM(G6884:G6884)</f>
        <v>143.8965</v>
      </c>
      <c r="I6884" s="39"/>
      <c r="J6884" s="152">
        <v>0</v>
      </c>
      <c r="L6884" s="215">
        <v>1</v>
      </c>
      <c r="M6884" s="30">
        <v>123.175404</v>
      </c>
      <c r="N6884" s="30">
        <f t="shared" si="683"/>
        <v>123.175404</v>
      </c>
      <c r="O6884" s="38">
        <f>SUM(N6884:N6884)</f>
        <v>123.175404</v>
      </c>
      <c r="P6884" s="36" t="str">
        <f t="shared" si="684"/>
        <v/>
      </c>
      <c r="Q6884" s="216">
        <f t="shared" si="685"/>
        <v>0.14400000000000002</v>
      </c>
      <c r="R6884" s="216">
        <f t="shared" si="686"/>
        <v>0.14400000000000002</v>
      </c>
      <c r="S6884" s="217">
        <f t="shared" si="687"/>
        <v>0.14400000000000002</v>
      </c>
    </row>
    <row r="6885" spans="1:19" ht="15.75" hidden="1" thickBot="1" x14ac:dyDescent="0.3">
      <c r="A6885" s="263"/>
      <c r="B6885" s="261"/>
      <c r="C6885" s="54"/>
      <c r="D6885" s="54"/>
      <c r="E6885" s="65"/>
      <c r="F6885" s="66" t="s">
        <v>416</v>
      </c>
      <c r="G6885" s="66" t="str">
        <f t="shared" si="682"/>
        <v/>
      </c>
      <c r="H6885" s="68"/>
      <c r="I6885" s="30"/>
      <c r="J6885" s="152">
        <v>0</v>
      </c>
      <c r="L6885" s="222"/>
      <c r="M6885" s="66"/>
      <c r="N6885" s="66" t="str">
        <f t="shared" si="683"/>
        <v/>
      </c>
      <c r="O6885" s="68"/>
      <c r="P6885" s="36" t="str">
        <f t="shared" si="684"/>
        <v/>
      </c>
      <c r="Q6885" s="216" t="str">
        <f t="shared" si="685"/>
        <v/>
      </c>
      <c r="R6885" s="216" t="str">
        <f t="shared" si="686"/>
        <v/>
      </c>
      <c r="S6885" s="217" t="str">
        <f t="shared" si="687"/>
        <v/>
      </c>
    </row>
    <row r="6886" spans="1:19" ht="15.75" hidden="1" thickBot="1" x14ac:dyDescent="0.3">
      <c r="A6886" s="256" t="s">
        <v>6199</v>
      </c>
      <c r="B6886" s="259" t="str">
        <f>INDEX(Orçamentária!A:B,MATCH(Composições!A6886,Orçamentária!A:A,0),2)</f>
        <v>Válvula de retenção vertical - 2 1/2”</v>
      </c>
      <c r="C6886" s="40"/>
      <c r="D6886" s="25" t="s">
        <v>16</v>
      </c>
      <c r="E6886" s="26"/>
      <c r="F6886" s="41" t="s">
        <v>416</v>
      </c>
      <c r="G6886" s="27" t="str">
        <f t="shared" si="682"/>
        <v/>
      </c>
      <c r="H6886" s="28"/>
      <c r="I6886" s="29"/>
      <c r="J6886" s="152">
        <v>0</v>
      </c>
      <c r="L6886" s="218"/>
      <c r="M6886" s="41"/>
      <c r="N6886" s="27" t="str">
        <f t="shared" si="683"/>
        <v/>
      </c>
      <c r="O6886" s="28"/>
      <c r="P6886" s="36" t="str">
        <f t="shared" si="684"/>
        <v/>
      </c>
      <c r="Q6886" s="216" t="str">
        <f t="shared" si="685"/>
        <v/>
      </c>
      <c r="R6886" s="216" t="str">
        <f t="shared" si="686"/>
        <v/>
      </c>
      <c r="S6886" s="217" t="str">
        <f t="shared" si="687"/>
        <v/>
      </c>
    </row>
    <row r="6887" spans="1:19" ht="15.75" hidden="1" thickBot="1" x14ac:dyDescent="0.3">
      <c r="A6887" s="262"/>
      <c r="B6887" s="260"/>
      <c r="C6887" s="31"/>
      <c r="D6887" s="31"/>
      <c r="E6887" s="32"/>
      <c r="F6887" s="42" t="s">
        <v>416</v>
      </c>
      <c r="G6887" s="30" t="str">
        <f t="shared" si="682"/>
        <v/>
      </c>
      <c r="H6887" s="34"/>
      <c r="I6887" s="30"/>
      <c r="J6887" s="152">
        <v>0</v>
      </c>
      <c r="L6887" s="219"/>
      <c r="M6887" s="42"/>
      <c r="N6887" s="30" t="str">
        <f t="shared" si="683"/>
        <v/>
      </c>
      <c r="O6887" s="34"/>
      <c r="P6887" s="36" t="str">
        <f t="shared" si="684"/>
        <v/>
      </c>
      <c r="Q6887" s="216" t="str">
        <f t="shared" si="685"/>
        <v/>
      </c>
      <c r="R6887" s="216" t="str">
        <f t="shared" si="686"/>
        <v/>
      </c>
      <c r="S6887" s="217" t="str">
        <f t="shared" si="687"/>
        <v/>
      </c>
    </row>
    <row r="6888" spans="1:19" ht="26.25" hidden="1" thickBot="1" x14ac:dyDescent="0.3">
      <c r="A6888" s="262"/>
      <c r="B6888" s="260"/>
      <c r="C6888" s="35" t="s">
        <v>8499</v>
      </c>
      <c r="D6888" s="35" t="s">
        <v>213</v>
      </c>
      <c r="E6888" s="36">
        <v>1</v>
      </c>
      <c r="F6888" s="30">
        <v>230.58399999999997</v>
      </c>
      <c r="G6888" s="30">
        <f t="shared" si="682"/>
        <v>230.58399999999997</v>
      </c>
      <c r="H6888" s="38">
        <f>SUM(G6888:G6888)</f>
        <v>230.58399999999997</v>
      </c>
      <c r="I6888" s="39"/>
      <c r="J6888" s="152">
        <v>0</v>
      </c>
      <c r="L6888" s="215">
        <v>1</v>
      </c>
      <c r="M6888" s="30">
        <v>197.37990399999998</v>
      </c>
      <c r="N6888" s="30">
        <f t="shared" si="683"/>
        <v>197.37990399999998</v>
      </c>
      <c r="O6888" s="38">
        <f>SUM(N6888:N6888)</f>
        <v>197.37990399999998</v>
      </c>
      <c r="P6888" s="36" t="str">
        <f t="shared" si="684"/>
        <v/>
      </c>
      <c r="Q6888" s="216">
        <f t="shared" si="685"/>
        <v>0.14400000000000002</v>
      </c>
      <c r="R6888" s="216">
        <f t="shared" si="686"/>
        <v>0.14400000000000002</v>
      </c>
      <c r="S6888" s="217">
        <f t="shared" si="687"/>
        <v>0.14400000000000002</v>
      </c>
    </row>
    <row r="6889" spans="1:19" ht="15.75" hidden="1" thickBot="1" x14ac:dyDescent="0.3">
      <c r="A6889" s="263"/>
      <c r="B6889" s="261"/>
      <c r="C6889" s="54"/>
      <c r="D6889" s="54"/>
      <c r="E6889" s="65"/>
      <c r="F6889" s="66" t="s">
        <v>416</v>
      </c>
      <c r="G6889" s="66" t="str">
        <f t="shared" si="682"/>
        <v/>
      </c>
      <c r="H6889" s="68"/>
      <c r="I6889" s="30"/>
      <c r="J6889" s="152">
        <v>0</v>
      </c>
      <c r="L6889" s="222"/>
      <c r="M6889" s="66"/>
      <c r="N6889" s="66" t="str">
        <f t="shared" si="683"/>
        <v/>
      </c>
      <c r="O6889" s="68"/>
      <c r="P6889" s="36" t="str">
        <f t="shared" si="684"/>
        <v/>
      </c>
      <c r="Q6889" s="216" t="str">
        <f t="shared" si="685"/>
        <v/>
      </c>
      <c r="R6889" s="216" t="str">
        <f t="shared" si="686"/>
        <v/>
      </c>
      <c r="S6889" s="217" t="str">
        <f t="shared" si="687"/>
        <v/>
      </c>
    </row>
    <row r="6890" spans="1:19" ht="15.75" hidden="1" thickBot="1" x14ac:dyDescent="0.3">
      <c r="A6890" s="256" t="s">
        <v>6203</v>
      </c>
      <c r="B6890" s="259" t="str">
        <f>INDEX(Orçamentária!A:B,MATCH(Composições!A6890,Orçamentária!A:A,0),2)</f>
        <v>Válvula de escoamento para tanque</v>
      </c>
      <c r="C6890" s="40"/>
      <c r="D6890" s="25" t="s">
        <v>16</v>
      </c>
      <c r="E6890" s="26"/>
      <c r="F6890" s="41" t="s">
        <v>416</v>
      </c>
      <c r="G6890" s="27" t="str">
        <f t="shared" si="682"/>
        <v/>
      </c>
      <c r="H6890" s="28"/>
      <c r="I6890" s="29"/>
      <c r="J6890" s="152">
        <v>0</v>
      </c>
      <c r="L6890" s="218"/>
      <c r="M6890" s="41"/>
      <c r="N6890" s="27" t="str">
        <f t="shared" si="683"/>
        <v/>
      </c>
      <c r="O6890" s="28"/>
      <c r="P6890" s="36" t="str">
        <f t="shared" si="684"/>
        <v/>
      </c>
      <c r="Q6890" s="216" t="str">
        <f t="shared" si="685"/>
        <v/>
      </c>
      <c r="R6890" s="216" t="str">
        <f t="shared" si="686"/>
        <v/>
      </c>
      <c r="S6890" s="217" t="str">
        <f t="shared" si="687"/>
        <v/>
      </c>
    </row>
    <row r="6891" spans="1:19" ht="15.75" hidden="1" thickBot="1" x14ac:dyDescent="0.3">
      <c r="A6891" s="262"/>
      <c r="B6891" s="260"/>
      <c r="C6891" s="31"/>
      <c r="D6891" s="31"/>
      <c r="E6891" s="32"/>
      <c r="F6891" s="42" t="s">
        <v>416</v>
      </c>
      <c r="G6891" s="30" t="str">
        <f t="shared" si="682"/>
        <v/>
      </c>
      <c r="H6891" s="34"/>
      <c r="I6891" s="30"/>
      <c r="J6891" s="152">
        <v>0</v>
      </c>
      <c r="L6891" s="219"/>
      <c r="M6891" s="42"/>
      <c r="N6891" s="30" t="str">
        <f t="shared" si="683"/>
        <v/>
      </c>
      <c r="O6891" s="34"/>
      <c r="P6891" s="36" t="str">
        <f t="shared" si="684"/>
        <v/>
      </c>
      <c r="Q6891" s="216" t="str">
        <f t="shared" si="685"/>
        <v/>
      </c>
      <c r="R6891" s="216" t="str">
        <f t="shared" si="686"/>
        <v/>
      </c>
      <c r="S6891" s="217" t="str">
        <f t="shared" si="687"/>
        <v/>
      </c>
    </row>
    <row r="6892" spans="1:19" ht="26.25" hidden="1" thickBot="1" x14ac:dyDescent="0.3">
      <c r="A6892" s="262"/>
      <c r="B6892" s="260"/>
      <c r="C6892" s="35" t="s">
        <v>8491</v>
      </c>
      <c r="D6892" s="35" t="s">
        <v>213</v>
      </c>
      <c r="E6892" s="36">
        <v>1</v>
      </c>
      <c r="F6892" s="30">
        <v>46.777999999999999</v>
      </c>
      <c r="G6892" s="30">
        <f t="shared" si="682"/>
        <v>46.777999999999999</v>
      </c>
      <c r="H6892" s="38">
        <f>SUM(G6892:G6892)</f>
        <v>46.777999999999999</v>
      </c>
      <c r="I6892" s="39"/>
      <c r="J6892" s="152">
        <v>0</v>
      </c>
      <c r="L6892" s="215">
        <v>1</v>
      </c>
      <c r="M6892" s="30">
        <v>40.041967999999997</v>
      </c>
      <c r="N6892" s="30">
        <f t="shared" si="683"/>
        <v>40.041967999999997</v>
      </c>
      <c r="O6892" s="38">
        <f>SUM(N6892:N6892)</f>
        <v>40.041967999999997</v>
      </c>
      <c r="P6892" s="36" t="str">
        <f t="shared" si="684"/>
        <v/>
      </c>
      <c r="Q6892" s="216">
        <f t="shared" si="685"/>
        <v>0.14400000000000002</v>
      </c>
      <c r="R6892" s="216">
        <f t="shared" si="686"/>
        <v>0.14400000000000002</v>
      </c>
      <c r="S6892" s="217">
        <f t="shared" si="687"/>
        <v>0.14400000000000002</v>
      </c>
    </row>
    <row r="6893" spans="1:19" ht="15.75" hidden="1" thickBot="1" x14ac:dyDescent="0.3">
      <c r="A6893" s="263"/>
      <c r="B6893" s="261"/>
      <c r="C6893" s="54"/>
      <c r="D6893" s="54"/>
      <c r="E6893" s="65"/>
      <c r="F6893" s="66" t="s">
        <v>416</v>
      </c>
      <c r="G6893" s="66" t="str">
        <f t="shared" si="682"/>
        <v/>
      </c>
      <c r="H6893" s="68"/>
      <c r="I6893" s="30"/>
      <c r="J6893" s="152">
        <v>0</v>
      </c>
      <c r="L6893" s="222"/>
      <c r="M6893" s="66"/>
      <c r="N6893" s="66" t="str">
        <f t="shared" si="683"/>
        <v/>
      </c>
      <c r="O6893" s="68"/>
      <c r="P6893" s="36" t="str">
        <f t="shared" si="684"/>
        <v/>
      </c>
      <c r="Q6893" s="216" t="str">
        <f t="shared" si="685"/>
        <v/>
      </c>
      <c r="R6893" s="216" t="str">
        <f t="shared" si="686"/>
        <v/>
      </c>
      <c r="S6893" s="217" t="str">
        <f t="shared" si="687"/>
        <v/>
      </c>
    </row>
    <row r="6894" spans="1:19" ht="15.75" hidden="1" thickBot="1" x14ac:dyDescent="0.3">
      <c r="A6894" s="256" t="s">
        <v>6204</v>
      </c>
      <c r="B6894" s="259" t="str">
        <f>INDEX(Orçamentária!A:B,MATCH(Composições!A6894,Orçamentária!A:A,0),2)</f>
        <v>Sifão para tanque</v>
      </c>
      <c r="C6894" s="40"/>
      <c r="D6894" s="25" t="s">
        <v>16</v>
      </c>
      <c r="E6894" s="26"/>
      <c r="F6894" s="41" t="s">
        <v>416</v>
      </c>
      <c r="G6894" s="27" t="str">
        <f t="shared" si="682"/>
        <v/>
      </c>
      <c r="H6894" s="28"/>
      <c r="I6894" s="29"/>
      <c r="J6894" s="152">
        <v>0</v>
      </c>
      <c r="L6894" s="218"/>
      <c r="M6894" s="41"/>
      <c r="N6894" s="27" t="str">
        <f t="shared" si="683"/>
        <v/>
      </c>
      <c r="O6894" s="28"/>
      <c r="P6894" s="36" t="str">
        <f t="shared" si="684"/>
        <v/>
      </c>
      <c r="Q6894" s="216" t="str">
        <f t="shared" si="685"/>
        <v/>
      </c>
      <c r="R6894" s="216" t="str">
        <f t="shared" si="686"/>
        <v/>
      </c>
      <c r="S6894" s="217" t="str">
        <f t="shared" si="687"/>
        <v/>
      </c>
    </row>
    <row r="6895" spans="1:19" ht="15.75" hidden="1" thickBot="1" x14ac:dyDescent="0.3">
      <c r="A6895" s="262"/>
      <c r="B6895" s="260"/>
      <c r="C6895" s="31"/>
      <c r="D6895" s="31"/>
      <c r="E6895" s="32"/>
      <c r="F6895" s="42" t="s">
        <v>416</v>
      </c>
      <c r="G6895" s="30" t="str">
        <f t="shared" si="682"/>
        <v/>
      </c>
      <c r="H6895" s="34"/>
      <c r="I6895" s="30"/>
      <c r="J6895" s="152">
        <v>0</v>
      </c>
      <c r="L6895" s="219"/>
      <c r="M6895" s="42"/>
      <c r="N6895" s="30" t="str">
        <f t="shared" si="683"/>
        <v/>
      </c>
      <c r="O6895" s="34"/>
      <c r="P6895" s="36" t="str">
        <f t="shared" si="684"/>
        <v/>
      </c>
      <c r="Q6895" s="216" t="str">
        <f t="shared" si="685"/>
        <v/>
      </c>
      <c r="R6895" s="216" t="str">
        <f t="shared" si="686"/>
        <v/>
      </c>
      <c r="S6895" s="217" t="str">
        <f t="shared" si="687"/>
        <v/>
      </c>
    </row>
    <row r="6896" spans="1:19" ht="15.75" hidden="1" thickBot="1" x14ac:dyDescent="0.3">
      <c r="A6896" s="262"/>
      <c r="B6896" s="260"/>
      <c r="C6896" s="35" t="s">
        <v>8372</v>
      </c>
      <c r="D6896" s="35" t="s">
        <v>213</v>
      </c>
      <c r="E6896" s="36">
        <v>1</v>
      </c>
      <c r="F6896" s="30">
        <v>157.49099999999999</v>
      </c>
      <c r="G6896" s="30">
        <f t="shared" si="682"/>
        <v>157.49099999999999</v>
      </c>
      <c r="H6896" s="38">
        <f>SUM(G6896:G6896)</f>
        <v>157.49099999999999</v>
      </c>
      <c r="I6896" s="39"/>
      <c r="J6896" s="152">
        <v>0</v>
      </c>
      <c r="L6896" s="215">
        <v>1</v>
      </c>
      <c r="M6896" s="30">
        <v>134.812296</v>
      </c>
      <c r="N6896" s="30">
        <f t="shared" si="683"/>
        <v>134.812296</v>
      </c>
      <c r="O6896" s="38">
        <f>SUM(N6896:N6896)</f>
        <v>134.812296</v>
      </c>
      <c r="P6896" s="36" t="str">
        <f t="shared" si="684"/>
        <v/>
      </c>
      <c r="Q6896" s="216">
        <f t="shared" si="685"/>
        <v>0.14399999999999991</v>
      </c>
      <c r="R6896" s="216">
        <f t="shared" si="686"/>
        <v>0.14399999999999991</v>
      </c>
      <c r="S6896" s="217">
        <f t="shared" si="687"/>
        <v>0.14399999999999991</v>
      </c>
    </row>
    <row r="6897" spans="1:19" ht="15.75" hidden="1" thickBot="1" x14ac:dyDescent="0.3">
      <c r="A6897" s="263"/>
      <c r="B6897" s="261"/>
      <c r="C6897" s="54"/>
      <c r="D6897" s="54"/>
      <c r="E6897" s="65"/>
      <c r="F6897" s="66" t="s">
        <v>416</v>
      </c>
      <c r="G6897" s="66" t="str">
        <f t="shared" si="682"/>
        <v/>
      </c>
      <c r="H6897" s="68"/>
      <c r="I6897" s="30"/>
      <c r="J6897" s="152">
        <v>0</v>
      </c>
      <c r="L6897" s="222"/>
      <c r="M6897" s="66"/>
      <c r="N6897" s="66" t="str">
        <f t="shared" si="683"/>
        <v/>
      </c>
      <c r="O6897" s="68"/>
      <c r="P6897" s="36" t="str">
        <f t="shared" si="684"/>
        <v/>
      </c>
      <c r="Q6897" s="216" t="str">
        <f t="shared" si="685"/>
        <v/>
      </c>
      <c r="R6897" s="216" t="str">
        <f t="shared" si="686"/>
        <v/>
      </c>
      <c r="S6897" s="217" t="str">
        <f t="shared" si="687"/>
        <v/>
      </c>
    </row>
    <row r="6898" spans="1:19" ht="15.75" hidden="1" thickBot="1" x14ac:dyDescent="0.3">
      <c r="A6898" s="256" t="s">
        <v>6205</v>
      </c>
      <c r="B6898" s="259" t="str">
        <f>INDEX(Orçamentária!A:B,MATCH(Composições!A6898,Orçamentária!A:A,0),2)</f>
        <v>Tampa em ferro fundido 20x20 cm</v>
      </c>
      <c r="C6898" s="40"/>
      <c r="D6898" s="25" t="s">
        <v>16</v>
      </c>
      <c r="E6898" s="26"/>
      <c r="F6898" s="41" t="s">
        <v>416</v>
      </c>
      <c r="G6898" s="27" t="str">
        <f t="shared" ref="G6898:G6961" si="688">IF(ISNUMBER(F6898),E6898*F6898,"")</f>
        <v/>
      </c>
      <c r="H6898" s="28"/>
      <c r="I6898" s="29"/>
      <c r="J6898" s="152">
        <v>0</v>
      </c>
      <c r="L6898" s="218"/>
      <c r="M6898" s="41"/>
      <c r="N6898" s="27" t="str">
        <f t="shared" ref="N6898:N6961" si="689">IF(ISNUMBER(M6898),L6898*M6898,"")</f>
        <v/>
      </c>
      <c r="O6898" s="28"/>
      <c r="P6898" s="36" t="str">
        <f t="shared" si="684"/>
        <v/>
      </c>
      <c r="Q6898" s="216" t="str">
        <f t="shared" si="685"/>
        <v/>
      </c>
      <c r="R6898" s="216" t="str">
        <f t="shared" si="686"/>
        <v/>
      </c>
      <c r="S6898" s="217" t="str">
        <f t="shared" si="687"/>
        <v/>
      </c>
    </row>
    <row r="6899" spans="1:19" ht="15.75" hidden="1" thickBot="1" x14ac:dyDescent="0.3">
      <c r="A6899" s="262"/>
      <c r="B6899" s="260"/>
      <c r="C6899" s="31"/>
      <c r="D6899" s="31"/>
      <c r="E6899" s="32"/>
      <c r="F6899" s="42" t="s">
        <v>416</v>
      </c>
      <c r="G6899" s="30" t="str">
        <f t="shared" si="688"/>
        <v/>
      </c>
      <c r="H6899" s="34"/>
      <c r="I6899" s="30"/>
      <c r="J6899" s="152">
        <v>0</v>
      </c>
      <c r="L6899" s="219"/>
      <c r="M6899" s="42"/>
      <c r="N6899" s="30" t="str">
        <f t="shared" si="689"/>
        <v/>
      </c>
      <c r="O6899" s="34"/>
      <c r="P6899" s="36" t="str">
        <f t="shared" si="684"/>
        <v/>
      </c>
      <c r="Q6899" s="216" t="str">
        <f t="shared" si="685"/>
        <v/>
      </c>
      <c r="R6899" s="216" t="str">
        <f t="shared" si="686"/>
        <v/>
      </c>
      <c r="S6899" s="217" t="str">
        <f t="shared" si="687"/>
        <v/>
      </c>
    </row>
    <row r="6900" spans="1:19" ht="26.25" hidden="1" thickBot="1" x14ac:dyDescent="0.3">
      <c r="A6900" s="262"/>
      <c r="B6900" s="260"/>
      <c r="C6900" s="35" t="s">
        <v>1030</v>
      </c>
      <c r="D6900" s="35" t="s">
        <v>213</v>
      </c>
      <c r="E6900" s="36">
        <v>1</v>
      </c>
      <c r="F6900" s="30">
        <v>94.847999999999999</v>
      </c>
      <c r="G6900" s="30">
        <f t="shared" si="688"/>
        <v>94.847999999999999</v>
      </c>
      <c r="H6900" s="38">
        <f>SUM(G6900:G6900)</f>
        <v>94.847999999999999</v>
      </c>
      <c r="I6900" s="39"/>
      <c r="J6900" s="152">
        <v>0</v>
      </c>
      <c r="L6900" s="215">
        <v>1</v>
      </c>
      <c r="M6900" s="30">
        <v>81.189887999999996</v>
      </c>
      <c r="N6900" s="30">
        <f t="shared" si="689"/>
        <v>81.189887999999996</v>
      </c>
      <c r="O6900" s="38">
        <f>SUM(N6900:N6900)</f>
        <v>81.189887999999996</v>
      </c>
      <c r="P6900" s="36" t="str">
        <f t="shared" si="684"/>
        <v/>
      </c>
      <c r="Q6900" s="216">
        <f t="shared" si="685"/>
        <v>0.14400000000000002</v>
      </c>
      <c r="R6900" s="216">
        <f t="shared" si="686"/>
        <v>0.14400000000000002</v>
      </c>
      <c r="S6900" s="217">
        <f t="shared" si="687"/>
        <v>0.14400000000000002</v>
      </c>
    </row>
    <row r="6901" spans="1:19" ht="15.75" hidden="1" thickBot="1" x14ac:dyDescent="0.3">
      <c r="A6901" s="263"/>
      <c r="B6901" s="261"/>
      <c r="C6901" s="54"/>
      <c r="D6901" s="54"/>
      <c r="E6901" s="65"/>
      <c r="F6901" s="66" t="s">
        <v>416</v>
      </c>
      <c r="G6901" s="66" t="str">
        <f t="shared" si="688"/>
        <v/>
      </c>
      <c r="H6901" s="68"/>
      <c r="I6901" s="30"/>
      <c r="J6901" s="152">
        <v>0</v>
      </c>
      <c r="L6901" s="222"/>
      <c r="M6901" s="66"/>
      <c r="N6901" s="66" t="str">
        <f t="shared" si="689"/>
        <v/>
      </c>
      <c r="O6901" s="68"/>
      <c r="P6901" s="36" t="str">
        <f t="shared" si="684"/>
        <v/>
      </c>
      <c r="Q6901" s="216" t="str">
        <f t="shared" si="685"/>
        <v/>
      </c>
      <c r="R6901" s="216" t="str">
        <f t="shared" si="686"/>
        <v/>
      </c>
      <c r="S6901" s="217" t="str">
        <f t="shared" si="687"/>
        <v/>
      </c>
    </row>
    <row r="6902" spans="1:19" ht="15.75" hidden="1" thickBot="1" x14ac:dyDescent="0.3">
      <c r="A6902" s="256" t="s">
        <v>6207</v>
      </c>
      <c r="B6902" s="259" t="str">
        <f>INDEX(Orçamentária!A:B,MATCH(Composições!A6902,Orçamentária!A:A,0),2)</f>
        <v>Adaptador com Flange e Anel 85 mm x 3”</v>
      </c>
      <c r="C6902" s="40"/>
      <c r="D6902" s="25" t="s">
        <v>16</v>
      </c>
      <c r="E6902" s="26"/>
      <c r="F6902" s="41" t="s">
        <v>416</v>
      </c>
      <c r="G6902" s="27" t="str">
        <f t="shared" si="688"/>
        <v/>
      </c>
      <c r="H6902" s="28"/>
      <c r="I6902" s="29"/>
      <c r="J6902" s="152">
        <v>0</v>
      </c>
      <c r="L6902" s="218"/>
      <c r="M6902" s="41"/>
      <c r="N6902" s="27" t="str">
        <f t="shared" si="689"/>
        <v/>
      </c>
      <c r="O6902" s="28"/>
      <c r="P6902" s="36" t="str">
        <f t="shared" si="684"/>
        <v/>
      </c>
      <c r="Q6902" s="216" t="str">
        <f t="shared" si="685"/>
        <v/>
      </c>
      <c r="R6902" s="216" t="str">
        <f t="shared" si="686"/>
        <v/>
      </c>
      <c r="S6902" s="217" t="str">
        <f t="shared" si="687"/>
        <v/>
      </c>
    </row>
    <row r="6903" spans="1:19" ht="15.75" hidden="1" thickBot="1" x14ac:dyDescent="0.3">
      <c r="A6903" s="262"/>
      <c r="B6903" s="260"/>
      <c r="C6903" s="31"/>
      <c r="D6903" s="31"/>
      <c r="E6903" s="32"/>
      <c r="F6903" s="42" t="s">
        <v>416</v>
      </c>
      <c r="G6903" s="30" t="str">
        <f t="shared" si="688"/>
        <v/>
      </c>
      <c r="H6903" s="34"/>
      <c r="I6903" s="30"/>
      <c r="J6903" s="152">
        <v>0</v>
      </c>
      <c r="L6903" s="219"/>
      <c r="M6903" s="42"/>
      <c r="N6903" s="30" t="str">
        <f t="shared" si="689"/>
        <v/>
      </c>
      <c r="O6903" s="34"/>
      <c r="P6903" s="36" t="str">
        <f t="shared" si="684"/>
        <v/>
      </c>
      <c r="Q6903" s="216" t="str">
        <f t="shared" si="685"/>
        <v/>
      </c>
      <c r="R6903" s="216" t="str">
        <f t="shared" si="686"/>
        <v/>
      </c>
      <c r="S6903" s="217" t="str">
        <f t="shared" si="687"/>
        <v/>
      </c>
    </row>
    <row r="6904" spans="1:19" ht="26.25" hidden="1" thickBot="1" x14ac:dyDescent="0.3">
      <c r="A6904" s="262"/>
      <c r="B6904" s="260"/>
      <c r="C6904" s="35" t="s">
        <v>7973</v>
      </c>
      <c r="D6904" s="35" t="s">
        <v>213</v>
      </c>
      <c r="E6904" s="36">
        <v>1</v>
      </c>
      <c r="F6904" s="30">
        <v>301.72000000000003</v>
      </c>
      <c r="G6904" s="30">
        <f t="shared" si="688"/>
        <v>301.72000000000003</v>
      </c>
      <c r="H6904" s="38">
        <f>SUM(G6904:G6904)</f>
        <v>301.72000000000003</v>
      </c>
      <c r="I6904" s="39"/>
      <c r="J6904" s="152">
        <v>0</v>
      </c>
      <c r="L6904" s="215">
        <v>1</v>
      </c>
      <c r="M6904" s="30">
        <v>258.27232000000004</v>
      </c>
      <c r="N6904" s="30">
        <f t="shared" si="689"/>
        <v>258.27232000000004</v>
      </c>
      <c r="O6904" s="38">
        <f>SUM(N6904:N6904)</f>
        <v>258.27232000000004</v>
      </c>
      <c r="P6904" s="36" t="str">
        <f t="shared" si="684"/>
        <v/>
      </c>
      <c r="Q6904" s="216">
        <f t="shared" si="685"/>
        <v>0.14399999999999991</v>
      </c>
      <c r="R6904" s="216">
        <f t="shared" si="686"/>
        <v>0.14399999999999991</v>
      </c>
      <c r="S6904" s="217">
        <f t="shared" si="687"/>
        <v>0.14399999999999991</v>
      </c>
    </row>
    <row r="6905" spans="1:19" ht="15.75" hidden="1" thickBot="1" x14ac:dyDescent="0.3">
      <c r="A6905" s="263"/>
      <c r="B6905" s="261"/>
      <c r="C6905" s="54"/>
      <c r="D6905" s="54"/>
      <c r="E6905" s="65"/>
      <c r="F6905" s="66" t="s">
        <v>416</v>
      </c>
      <c r="G6905" s="66" t="str">
        <f t="shared" si="688"/>
        <v/>
      </c>
      <c r="H6905" s="68"/>
      <c r="I6905" s="30"/>
      <c r="J6905" s="152">
        <v>0</v>
      </c>
      <c r="L6905" s="222"/>
      <c r="M6905" s="66"/>
      <c r="N6905" s="66" t="str">
        <f t="shared" si="689"/>
        <v/>
      </c>
      <c r="O6905" s="68"/>
      <c r="P6905" s="36" t="str">
        <f t="shared" si="684"/>
        <v/>
      </c>
      <c r="Q6905" s="216" t="str">
        <f t="shared" si="685"/>
        <v/>
      </c>
      <c r="R6905" s="216" t="str">
        <f t="shared" si="686"/>
        <v/>
      </c>
      <c r="S6905" s="217" t="str">
        <f t="shared" si="687"/>
        <v/>
      </c>
    </row>
    <row r="6906" spans="1:19" ht="15.75" hidden="1" thickBot="1" x14ac:dyDescent="0.3">
      <c r="A6906" s="256" t="s">
        <v>6215</v>
      </c>
      <c r="B6906" s="259" t="str">
        <f>INDEX(Orçamentária!A:B,MATCH(Composições!A6906,Orçamentária!A:A,0),2)</f>
        <v>Adaptador PVC água fria- 60 mm x 2”</v>
      </c>
      <c r="C6906" s="40"/>
      <c r="D6906" s="25" t="s">
        <v>16</v>
      </c>
      <c r="E6906" s="26"/>
      <c r="F6906" s="41" t="s">
        <v>416</v>
      </c>
      <c r="G6906" s="27" t="str">
        <f t="shared" si="688"/>
        <v/>
      </c>
      <c r="H6906" s="28"/>
      <c r="I6906" s="29"/>
      <c r="J6906" s="152">
        <v>0</v>
      </c>
      <c r="L6906" s="218"/>
      <c r="M6906" s="41"/>
      <c r="N6906" s="27" t="str">
        <f t="shared" si="689"/>
        <v/>
      </c>
      <c r="O6906" s="28"/>
      <c r="P6906" s="36" t="str">
        <f t="shared" si="684"/>
        <v/>
      </c>
      <c r="Q6906" s="216" t="str">
        <f t="shared" si="685"/>
        <v/>
      </c>
      <c r="R6906" s="216" t="str">
        <f t="shared" si="686"/>
        <v/>
      </c>
      <c r="S6906" s="217" t="str">
        <f t="shared" si="687"/>
        <v/>
      </c>
    </row>
    <row r="6907" spans="1:19" ht="15.75" hidden="1" thickBot="1" x14ac:dyDescent="0.3">
      <c r="A6907" s="262"/>
      <c r="B6907" s="260"/>
      <c r="C6907" s="31"/>
      <c r="D6907" s="31"/>
      <c r="E6907" s="32"/>
      <c r="F6907" s="42" t="s">
        <v>416</v>
      </c>
      <c r="G6907" s="30" t="str">
        <f t="shared" si="688"/>
        <v/>
      </c>
      <c r="H6907" s="34"/>
      <c r="I6907" s="30"/>
      <c r="J6907" s="152">
        <v>0</v>
      </c>
      <c r="L6907" s="219"/>
      <c r="M6907" s="42"/>
      <c r="N6907" s="30" t="str">
        <f t="shared" si="689"/>
        <v/>
      </c>
      <c r="O6907" s="34"/>
      <c r="P6907" s="36" t="str">
        <f t="shared" si="684"/>
        <v/>
      </c>
      <c r="Q6907" s="216" t="str">
        <f t="shared" si="685"/>
        <v/>
      </c>
      <c r="R6907" s="216" t="str">
        <f t="shared" si="686"/>
        <v/>
      </c>
      <c r="S6907" s="217" t="str">
        <f t="shared" si="687"/>
        <v/>
      </c>
    </row>
    <row r="6908" spans="1:19" ht="26.25" hidden="1" thickBot="1" x14ac:dyDescent="0.3">
      <c r="A6908" s="262"/>
      <c r="B6908" s="260"/>
      <c r="C6908" s="35" t="s">
        <v>7964</v>
      </c>
      <c r="D6908" s="35" t="s">
        <v>213</v>
      </c>
      <c r="E6908" s="36">
        <v>1</v>
      </c>
      <c r="F6908" s="30">
        <v>11.038999999999998</v>
      </c>
      <c r="G6908" s="30">
        <f t="shared" si="688"/>
        <v>11.038999999999998</v>
      </c>
      <c r="H6908" s="38">
        <f>SUM(G6908:G6908)</f>
        <v>11.038999999999998</v>
      </c>
      <c r="I6908" s="39"/>
      <c r="J6908" s="152">
        <v>0</v>
      </c>
      <c r="L6908" s="215">
        <v>1</v>
      </c>
      <c r="M6908" s="30">
        <v>9.4493839999999985</v>
      </c>
      <c r="N6908" s="30">
        <f t="shared" si="689"/>
        <v>9.4493839999999985</v>
      </c>
      <c r="O6908" s="38">
        <f>SUM(N6908:N6908)</f>
        <v>9.4493839999999985</v>
      </c>
      <c r="P6908" s="36" t="str">
        <f t="shared" si="684"/>
        <v/>
      </c>
      <c r="Q6908" s="216">
        <f t="shared" si="685"/>
        <v>0.14400000000000002</v>
      </c>
      <c r="R6908" s="216">
        <f t="shared" si="686"/>
        <v>0.14400000000000002</v>
      </c>
      <c r="S6908" s="217">
        <f t="shared" si="687"/>
        <v>0.14400000000000002</v>
      </c>
    </row>
    <row r="6909" spans="1:19" ht="15.75" hidden="1" thickBot="1" x14ac:dyDescent="0.3">
      <c r="A6909" s="263"/>
      <c r="B6909" s="261"/>
      <c r="C6909" s="54"/>
      <c r="D6909" s="54"/>
      <c r="E6909" s="65"/>
      <c r="F6909" s="66" t="s">
        <v>416</v>
      </c>
      <c r="G6909" s="66" t="str">
        <f t="shared" si="688"/>
        <v/>
      </c>
      <c r="H6909" s="68"/>
      <c r="I6909" s="30"/>
      <c r="J6909" s="152">
        <v>0</v>
      </c>
      <c r="L6909" s="222"/>
      <c r="M6909" s="66"/>
      <c r="N6909" s="66" t="str">
        <f t="shared" si="689"/>
        <v/>
      </c>
      <c r="O6909" s="68"/>
      <c r="P6909" s="36" t="str">
        <f t="shared" si="684"/>
        <v/>
      </c>
      <c r="Q6909" s="216" t="str">
        <f t="shared" si="685"/>
        <v/>
      </c>
      <c r="R6909" s="216" t="str">
        <f t="shared" si="686"/>
        <v/>
      </c>
      <c r="S6909" s="217" t="str">
        <f t="shared" si="687"/>
        <v/>
      </c>
    </row>
    <row r="6910" spans="1:19" ht="15.75" hidden="1" thickBot="1" x14ac:dyDescent="0.3">
      <c r="A6910" s="256" t="s">
        <v>6217</v>
      </c>
      <c r="B6910" s="259" t="str">
        <f>INDEX(Orçamentária!A:B,MATCH(Composições!A6910,Orçamentária!A:A,0),2)</f>
        <v>Manilha para Poço – 1,10 x 0,50 x 0,05 m</v>
      </c>
      <c r="C6910" s="40"/>
      <c r="D6910" s="25" t="s">
        <v>16</v>
      </c>
      <c r="E6910" s="26"/>
      <c r="F6910" s="41" t="s">
        <v>416</v>
      </c>
      <c r="G6910" s="27" t="str">
        <f t="shared" si="688"/>
        <v/>
      </c>
      <c r="H6910" s="28"/>
      <c r="I6910" s="29"/>
      <c r="J6910" s="152">
        <v>0</v>
      </c>
      <c r="L6910" s="218"/>
      <c r="M6910" s="41"/>
      <c r="N6910" s="27" t="str">
        <f t="shared" si="689"/>
        <v/>
      </c>
      <c r="O6910" s="28"/>
      <c r="P6910" s="36" t="str">
        <f t="shared" si="684"/>
        <v/>
      </c>
      <c r="Q6910" s="216" t="str">
        <f t="shared" si="685"/>
        <v/>
      </c>
      <c r="R6910" s="216" t="str">
        <f t="shared" si="686"/>
        <v/>
      </c>
      <c r="S6910" s="217" t="str">
        <f t="shared" si="687"/>
        <v/>
      </c>
    </row>
    <row r="6911" spans="1:19" ht="15.75" hidden="1" thickBot="1" x14ac:dyDescent="0.3">
      <c r="A6911" s="262"/>
      <c r="B6911" s="260"/>
      <c r="C6911" s="31"/>
      <c r="D6911" s="31"/>
      <c r="E6911" s="32"/>
      <c r="F6911" s="42" t="s">
        <v>416</v>
      </c>
      <c r="G6911" s="30" t="str">
        <f t="shared" si="688"/>
        <v/>
      </c>
      <c r="H6911" s="34"/>
      <c r="I6911" s="30"/>
      <c r="J6911" s="152">
        <v>0</v>
      </c>
      <c r="L6911" s="219"/>
      <c r="M6911" s="42"/>
      <c r="N6911" s="30" t="str">
        <f t="shared" si="689"/>
        <v/>
      </c>
      <c r="O6911" s="34"/>
      <c r="P6911" s="36" t="str">
        <f t="shared" si="684"/>
        <v/>
      </c>
      <c r="Q6911" s="216" t="str">
        <f t="shared" si="685"/>
        <v/>
      </c>
      <c r="R6911" s="216" t="str">
        <f t="shared" si="686"/>
        <v/>
      </c>
      <c r="S6911" s="217" t="str">
        <f t="shared" si="687"/>
        <v/>
      </c>
    </row>
    <row r="6912" spans="1:19" ht="39" hidden="1" thickBot="1" x14ac:dyDescent="0.3">
      <c r="A6912" s="262"/>
      <c r="B6912" s="260"/>
      <c r="C6912" s="35" t="s">
        <v>7983</v>
      </c>
      <c r="D6912" s="35" t="s">
        <v>213</v>
      </c>
      <c r="E6912" s="36">
        <v>1</v>
      </c>
      <c r="F6912" s="30">
        <v>278.39749999999998</v>
      </c>
      <c r="G6912" s="30">
        <f t="shared" si="688"/>
        <v>278.39749999999998</v>
      </c>
      <c r="H6912" s="38">
        <f>SUM(G6912:G6912)</f>
        <v>278.39749999999998</v>
      </c>
      <c r="I6912" s="39"/>
      <c r="J6912" s="152">
        <v>0</v>
      </c>
      <c r="L6912" s="215">
        <v>1</v>
      </c>
      <c r="M6912" s="30">
        <v>238.30825999999999</v>
      </c>
      <c r="N6912" s="30">
        <f t="shared" si="689"/>
        <v>238.30825999999999</v>
      </c>
      <c r="O6912" s="38">
        <f>SUM(N6912:N6912)</f>
        <v>238.30825999999999</v>
      </c>
      <c r="P6912" s="36" t="str">
        <f t="shared" si="684"/>
        <v/>
      </c>
      <c r="Q6912" s="216">
        <f t="shared" si="685"/>
        <v>0.14400000000000002</v>
      </c>
      <c r="R6912" s="216">
        <f t="shared" si="686"/>
        <v>0.14400000000000002</v>
      </c>
      <c r="S6912" s="217">
        <f t="shared" si="687"/>
        <v>0.14400000000000002</v>
      </c>
    </row>
    <row r="6913" spans="1:19" ht="15.75" hidden="1" thickBot="1" x14ac:dyDescent="0.3">
      <c r="A6913" s="263"/>
      <c r="B6913" s="261"/>
      <c r="C6913" s="54"/>
      <c r="D6913" s="54"/>
      <c r="E6913" s="65"/>
      <c r="F6913" s="66" t="s">
        <v>416</v>
      </c>
      <c r="G6913" s="66" t="str">
        <f t="shared" si="688"/>
        <v/>
      </c>
      <c r="H6913" s="68"/>
      <c r="I6913" s="30"/>
      <c r="J6913" s="152">
        <v>0</v>
      </c>
      <c r="L6913" s="222"/>
      <c r="M6913" s="66"/>
      <c r="N6913" s="66" t="str">
        <f t="shared" si="689"/>
        <v/>
      </c>
      <c r="O6913" s="68"/>
      <c r="P6913" s="36" t="str">
        <f t="shared" si="684"/>
        <v/>
      </c>
      <c r="Q6913" s="216" t="str">
        <f t="shared" si="685"/>
        <v/>
      </c>
      <c r="R6913" s="216" t="str">
        <f t="shared" si="686"/>
        <v/>
      </c>
      <c r="S6913" s="217" t="str">
        <f t="shared" si="687"/>
        <v/>
      </c>
    </row>
    <row r="6914" spans="1:19" ht="15.75" hidden="1" thickBot="1" x14ac:dyDescent="0.3">
      <c r="A6914" s="256" t="s">
        <v>6219</v>
      </c>
      <c r="B6914" s="259" t="str">
        <f>INDEX(Orçamentária!A:B,MATCH(Composições!A6914,Orçamentária!A:A,0),2)</f>
        <v>Aquecedor elétrico horizontal – 200 L – Linha Residencial</v>
      </c>
      <c r="C6914" s="40"/>
      <c r="D6914" s="25" t="s">
        <v>16</v>
      </c>
      <c r="E6914" s="26"/>
      <c r="F6914" s="41" t="s">
        <v>416</v>
      </c>
      <c r="G6914" s="27" t="str">
        <f t="shared" si="688"/>
        <v/>
      </c>
      <c r="H6914" s="28"/>
      <c r="I6914" s="29"/>
      <c r="J6914" s="152">
        <v>0</v>
      </c>
      <c r="L6914" s="218"/>
      <c r="M6914" s="41"/>
      <c r="N6914" s="27" t="str">
        <f t="shared" si="689"/>
        <v/>
      </c>
      <c r="O6914" s="28"/>
      <c r="P6914" s="36" t="str">
        <f t="shared" si="684"/>
        <v/>
      </c>
      <c r="Q6914" s="216" t="str">
        <f t="shared" si="685"/>
        <v/>
      </c>
      <c r="R6914" s="216" t="str">
        <f t="shared" si="686"/>
        <v/>
      </c>
      <c r="S6914" s="217" t="str">
        <f t="shared" si="687"/>
        <v/>
      </c>
    </row>
    <row r="6915" spans="1:19" ht="15.75" hidden="1" thickBot="1" x14ac:dyDescent="0.3">
      <c r="A6915" s="262"/>
      <c r="B6915" s="260"/>
      <c r="C6915" s="31"/>
      <c r="D6915" s="31"/>
      <c r="E6915" s="32"/>
      <c r="F6915" s="42" t="s">
        <v>416</v>
      </c>
      <c r="G6915" s="30" t="str">
        <f t="shared" si="688"/>
        <v/>
      </c>
      <c r="H6915" s="34"/>
      <c r="I6915" s="30"/>
      <c r="J6915" s="152">
        <v>0</v>
      </c>
      <c r="L6915" s="219"/>
      <c r="M6915" s="42"/>
      <c r="N6915" s="30" t="str">
        <f t="shared" si="689"/>
        <v/>
      </c>
      <c r="O6915" s="34"/>
      <c r="P6915" s="36" t="str">
        <f t="shared" si="684"/>
        <v/>
      </c>
      <c r="Q6915" s="216" t="str">
        <f t="shared" si="685"/>
        <v/>
      </c>
      <c r="R6915" s="216" t="str">
        <f t="shared" si="686"/>
        <v/>
      </c>
      <c r="S6915" s="217" t="str">
        <f t="shared" si="687"/>
        <v/>
      </c>
    </row>
    <row r="6916" spans="1:19" ht="39" hidden="1" thickBot="1" x14ac:dyDescent="0.3">
      <c r="A6916" s="262"/>
      <c r="B6916" s="260"/>
      <c r="C6916" s="35" t="s">
        <v>7984</v>
      </c>
      <c r="D6916" s="35" t="s">
        <v>213</v>
      </c>
      <c r="E6916" s="36">
        <v>1</v>
      </c>
      <c r="F6916" s="30">
        <v>4887.1324999999997</v>
      </c>
      <c r="G6916" s="30">
        <f t="shared" si="688"/>
        <v>4887.1324999999997</v>
      </c>
      <c r="H6916" s="38">
        <f>SUM(G6916:G6916)</f>
        <v>4887.1324999999997</v>
      </c>
      <c r="I6916" s="39"/>
      <c r="J6916" s="152">
        <v>0</v>
      </c>
      <c r="L6916" s="215">
        <v>1</v>
      </c>
      <c r="M6916" s="30">
        <v>4183.3854199999996</v>
      </c>
      <c r="N6916" s="30">
        <f t="shared" si="689"/>
        <v>4183.3854199999996</v>
      </c>
      <c r="O6916" s="38">
        <f>SUM(N6916:N6916)</f>
        <v>4183.3854199999996</v>
      </c>
      <c r="P6916" s="36" t="str">
        <f t="shared" si="684"/>
        <v/>
      </c>
      <c r="Q6916" s="216">
        <f t="shared" si="685"/>
        <v>0.14400000000000002</v>
      </c>
      <c r="R6916" s="216">
        <f t="shared" si="686"/>
        <v>0.14400000000000002</v>
      </c>
      <c r="S6916" s="217">
        <f t="shared" si="687"/>
        <v>0.14400000000000002</v>
      </c>
    </row>
    <row r="6917" spans="1:19" ht="15.75" hidden="1" thickBot="1" x14ac:dyDescent="0.3">
      <c r="A6917" s="263"/>
      <c r="B6917" s="261"/>
      <c r="C6917" s="54"/>
      <c r="D6917" s="54"/>
      <c r="E6917" s="65"/>
      <c r="F6917" s="66" t="s">
        <v>416</v>
      </c>
      <c r="G6917" s="66" t="str">
        <f t="shared" si="688"/>
        <v/>
      </c>
      <c r="H6917" s="68"/>
      <c r="I6917" s="30"/>
      <c r="J6917" s="152">
        <v>0</v>
      </c>
      <c r="L6917" s="222"/>
      <c r="M6917" s="66"/>
      <c r="N6917" s="66" t="str">
        <f t="shared" si="689"/>
        <v/>
      </c>
      <c r="O6917" s="68"/>
      <c r="P6917" s="36" t="str">
        <f t="shared" si="684"/>
        <v/>
      </c>
      <c r="Q6917" s="216" t="str">
        <f t="shared" si="685"/>
        <v/>
      </c>
      <c r="R6917" s="216" t="str">
        <f t="shared" si="686"/>
        <v/>
      </c>
      <c r="S6917" s="217" t="str">
        <f t="shared" si="687"/>
        <v/>
      </c>
    </row>
    <row r="6918" spans="1:19" ht="15.75" hidden="1" thickBot="1" x14ac:dyDescent="0.3">
      <c r="A6918" s="256" t="s">
        <v>6253</v>
      </c>
      <c r="B6918" s="259" t="str">
        <f>INDEX(Orçamentária!A:B,MATCH(Composições!A6918,Orçamentária!A:A,0),2)</f>
        <v>Bucha de Redução em CPVC 28 x 22 mm</v>
      </c>
      <c r="C6918" s="40"/>
      <c r="D6918" s="25" t="s">
        <v>16</v>
      </c>
      <c r="E6918" s="26"/>
      <c r="F6918" s="41" t="s">
        <v>416</v>
      </c>
      <c r="G6918" s="27" t="str">
        <f t="shared" si="688"/>
        <v/>
      </c>
      <c r="H6918" s="28"/>
      <c r="I6918" s="29"/>
      <c r="J6918" s="152">
        <v>0</v>
      </c>
      <c r="L6918" s="218"/>
      <c r="M6918" s="41"/>
      <c r="N6918" s="27" t="str">
        <f t="shared" si="689"/>
        <v/>
      </c>
      <c r="O6918" s="28"/>
      <c r="P6918" s="36" t="str">
        <f t="shared" si="684"/>
        <v/>
      </c>
      <c r="Q6918" s="216" t="str">
        <f t="shared" si="685"/>
        <v/>
      </c>
      <c r="R6918" s="216" t="str">
        <f t="shared" si="686"/>
        <v/>
      </c>
      <c r="S6918" s="217" t="str">
        <f t="shared" si="687"/>
        <v/>
      </c>
    </row>
    <row r="6919" spans="1:19" ht="15.75" hidden="1" thickBot="1" x14ac:dyDescent="0.3">
      <c r="A6919" s="262"/>
      <c r="B6919" s="260"/>
      <c r="C6919" s="31"/>
      <c r="D6919" s="31"/>
      <c r="E6919" s="32"/>
      <c r="F6919" s="42" t="s">
        <v>416</v>
      </c>
      <c r="G6919" s="30" t="str">
        <f t="shared" si="688"/>
        <v/>
      </c>
      <c r="H6919" s="34"/>
      <c r="I6919" s="30"/>
      <c r="J6919" s="152">
        <v>0</v>
      </c>
      <c r="L6919" s="219"/>
      <c r="M6919" s="42"/>
      <c r="N6919" s="30" t="str">
        <f t="shared" si="689"/>
        <v/>
      </c>
      <c r="O6919" s="34"/>
      <c r="P6919" s="36" t="str">
        <f t="shared" si="684"/>
        <v/>
      </c>
      <c r="Q6919" s="216" t="str">
        <f t="shared" si="685"/>
        <v/>
      </c>
      <c r="R6919" s="216" t="str">
        <f t="shared" si="686"/>
        <v/>
      </c>
      <c r="S6919" s="217" t="str">
        <f t="shared" si="687"/>
        <v/>
      </c>
    </row>
    <row r="6920" spans="1:19" ht="26.25" hidden="1" thickBot="1" x14ac:dyDescent="0.3">
      <c r="A6920" s="262"/>
      <c r="B6920" s="260"/>
      <c r="C6920" s="35" t="s">
        <v>8023</v>
      </c>
      <c r="D6920" s="35" t="s">
        <v>213</v>
      </c>
      <c r="E6920" s="36">
        <v>1</v>
      </c>
      <c r="F6920" s="30">
        <v>2.8119999999999998</v>
      </c>
      <c r="G6920" s="30">
        <f t="shared" si="688"/>
        <v>2.8119999999999998</v>
      </c>
      <c r="H6920" s="38">
        <f>SUM(G6920:G6920)</f>
        <v>2.8119999999999998</v>
      </c>
      <c r="I6920" s="39"/>
      <c r="J6920" s="152">
        <v>0</v>
      </c>
      <c r="L6920" s="215">
        <v>1</v>
      </c>
      <c r="M6920" s="30">
        <v>2.4070719999999999</v>
      </c>
      <c r="N6920" s="30">
        <f t="shared" si="689"/>
        <v>2.4070719999999999</v>
      </c>
      <c r="O6920" s="38">
        <f>SUM(N6920:N6920)</f>
        <v>2.4070719999999999</v>
      </c>
      <c r="P6920" s="36" t="str">
        <f t="shared" ref="P6920:P6983" si="690">IF(ISBLANK(L6920),"",IF($E6920&lt;&gt;L6920,"SIM",""))</f>
        <v/>
      </c>
      <c r="Q6920" s="216">
        <f t="shared" ref="Q6920:Q6983" si="691">IF(M6920="","",1-M6920/$F6920)</f>
        <v>0.14400000000000002</v>
      </c>
      <c r="R6920" s="216">
        <f t="shared" ref="R6920:R6983" si="692">IF(N6920="","",1-N6920/$G6920)</f>
        <v>0.14400000000000002</v>
      </c>
      <c r="S6920" s="217">
        <f t="shared" ref="S6920:S6983" si="693">IF(O6920="","",1-O6920/$H6920)</f>
        <v>0.14400000000000002</v>
      </c>
    </row>
    <row r="6921" spans="1:19" ht="15.75" hidden="1" thickBot="1" x14ac:dyDescent="0.3">
      <c r="A6921" s="263"/>
      <c r="B6921" s="261"/>
      <c r="C6921" s="54"/>
      <c r="D6921" s="54"/>
      <c r="E6921" s="65"/>
      <c r="F6921" s="66" t="s">
        <v>416</v>
      </c>
      <c r="G6921" s="66" t="str">
        <f t="shared" si="688"/>
        <v/>
      </c>
      <c r="H6921" s="68"/>
      <c r="I6921" s="30"/>
      <c r="J6921" s="152">
        <v>0</v>
      </c>
      <c r="L6921" s="222"/>
      <c r="M6921" s="66"/>
      <c r="N6921" s="66" t="str">
        <f t="shared" si="689"/>
        <v/>
      </c>
      <c r="O6921" s="68"/>
      <c r="P6921" s="36" t="str">
        <f t="shared" si="690"/>
        <v/>
      </c>
      <c r="Q6921" s="216" t="str">
        <f t="shared" si="691"/>
        <v/>
      </c>
      <c r="R6921" s="216" t="str">
        <f t="shared" si="692"/>
        <v/>
      </c>
      <c r="S6921" s="217" t="str">
        <f t="shared" si="693"/>
        <v/>
      </c>
    </row>
    <row r="6922" spans="1:19" ht="15.75" hidden="1" thickBot="1" x14ac:dyDescent="0.3">
      <c r="A6922" s="256" t="s">
        <v>6258</v>
      </c>
      <c r="B6922" s="259" t="str">
        <f>INDEX(Orçamentária!A:B,MATCH(Composições!A6922,Orçamentária!A:A,0),2)</f>
        <v>Plug Galvanizado 4”</v>
      </c>
      <c r="C6922" s="40"/>
      <c r="D6922" s="25" t="s">
        <v>16</v>
      </c>
      <c r="E6922" s="26"/>
      <c r="F6922" s="41" t="s">
        <v>416</v>
      </c>
      <c r="G6922" s="27" t="str">
        <f t="shared" si="688"/>
        <v/>
      </c>
      <c r="H6922" s="28"/>
      <c r="I6922" s="29"/>
      <c r="J6922" s="152">
        <v>0</v>
      </c>
      <c r="L6922" s="218"/>
      <c r="M6922" s="41"/>
      <c r="N6922" s="27" t="str">
        <f t="shared" si="689"/>
        <v/>
      </c>
      <c r="O6922" s="28"/>
      <c r="P6922" s="36" t="str">
        <f t="shared" si="690"/>
        <v/>
      </c>
      <c r="Q6922" s="216" t="str">
        <f t="shared" si="691"/>
        <v/>
      </c>
      <c r="R6922" s="216" t="str">
        <f t="shared" si="692"/>
        <v/>
      </c>
      <c r="S6922" s="217" t="str">
        <f t="shared" si="693"/>
        <v/>
      </c>
    </row>
    <row r="6923" spans="1:19" ht="15.75" hidden="1" thickBot="1" x14ac:dyDescent="0.3">
      <c r="A6923" s="262"/>
      <c r="B6923" s="260"/>
      <c r="C6923" s="31"/>
      <c r="D6923" s="31"/>
      <c r="E6923" s="32"/>
      <c r="F6923" s="42" t="s">
        <v>416</v>
      </c>
      <c r="G6923" s="30" t="str">
        <f t="shared" si="688"/>
        <v/>
      </c>
      <c r="H6923" s="34"/>
      <c r="I6923" s="30"/>
      <c r="J6923" s="152">
        <v>0</v>
      </c>
      <c r="L6923" s="219"/>
      <c r="M6923" s="42"/>
      <c r="N6923" s="30" t="str">
        <f t="shared" si="689"/>
        <v/>
      </c>
      <c r="O6923" s="34"/>
      <c r="P6923" s="36" t="str">
        <f t="shared" si="690"/>
        <v/>
      </c>
      <c r="Q6923" s="216" t="str">
        <f t="shared" si="691"/>
        <v/>
      </c>
      <c r="R6923" s="216" t="str">
        <f t="shared" si="692"/>
        <v/>
      </c>
      <c r="S6923" s="217" t="str">
        <f t="shared" si="693"/>
        <v/>
      </c>
    </row>
    <row r="6924" spans="1:19" ht="15.75" hidden="1" thickBot="1" x14ac:dyDescent="0.3">
      <c r="A6924" s="262"/>
      <c r="B6924" s="260"/>
      <c r="C6924" s="35" t="s">
        <v>8326</v>
      </c>
      <c r="D6924" s="35" t="s">
        <v>213</v>
      </c>
      <c r="E6924" s="36">
        <v>1</v>
      </c>
      <c r="F6924" s="30">
        <v>108.05299999999998</v>
      </c>
      <c r="G6924" s="30">
        <f t="shared" si="688"/>
        <v>108.05299999999998</v>
      </c>
      <c r="H6924" s="38">
        <f>SUM(G6924:G6924)</f>
        <v>108.05299999999998</v>
      </c>
      <c r="I6924" s="39"/>
      <c r="J6924" s="152">
        <v>0</v>
      </c>
      <c r="L6924" s="215">
        <v>1</v>
      </c>
      <c r="M6924" s="30">
        <v>92.49336799999999</v>
      </c>
      <c r="N6924" s="30">
        <f t="shared" si="689"/>
        <v>92.49336799999999</v>
      </c>
      <c r="O6924" s="38">
        <f>SUM(N6924:N6924)</f>
        <v>92.49336799999999</v>
      </c>
      <c r="P6924" s="36" t="str">
        <f t="shared" si="690"/>
        <v/>
      </c>
      <c r="Q6924" s="216">
        <f t="shared" si="691"/>
        <v>0.14400000000000002</v>
      </c>
      <c r="R6924" s="216">
        <f t="shared" si="692"/>
        <v>0.14400000000000002</v>
      </c>
      <c r="S6924" s="217">
        <f t="shared" si="693"/>
        <v>0.14400000000000002</v>
      </c>
    </row>
    <row r="6925" spans="1:19" ht="15.75" hidden="1" thickBot="1" x14ac:dyDescent="0.3">
      <c r="A6925" s="263"/>
      <c r="B6925" s="261"/>
      <c r="C6925" s="54"/>
      <c r="D6925" s="54"/>
      <c r="E6925" s="65"/>
      <c r="F6925" s="66" t="s">
        <v>416</v>
      </c>
      <c r="G6925" s="66" t="str">
        <f t="shared" si="688"/>
        <v/>
      </c>
      <c r="H6925" s="68"/>
      <c r="I6925" s="30"/>
      <c r="J6925" s="152">
        <v>0</v>
      </c>
      <c r="L6925" s="222"/>
      <c r="M6925" s="66"/>
      <c r="N6925" s="66" t="str">
        <f t="shared" si="689"/>
        <v/>
      </c>
      <c r="O6925" s="68"/>
      <c r="P6925" s="36" t="str">
        <f t="shared" si="690"/>
        <v/>
      </c>
      <c r="Q6925" s="216" t="str">
        <f t="shared" si="691"/>
        <v/>
      </c>
      <c r="R6925" s="216" t="str">
        <f t="shared" si="692"/>
        <v/>
      </c>
      <c r="S6925" s="217" t="str">
        <f t="shared" si="693"/>
        <v/>
      </c>
    </row>
    <row r="6926" spans="1:19" ht="15.75" hidden="1" thickBot="1" x14ac:dyDescent="0.3">
      <c r="A6926" s="256" t="s">
        <v>6260</v>
      </c>
      <c r="B6926" s="259" t="str">
        <f>INDEX(Orçamentária!A:B,MATCH(Composições!A6926,Orçamentária!A:A,0),2)</f>
        <v>Caixa d’água 1000 Litros</v>
      </c>
      <c r="C6926" s="40"/>
      <c r="D6926" s="25" t="s">
        <v>16</v>
      </c>
      <c r="E6926" s="26"/>
      <c r="F6926" s="41" t="s">
        <v>416</v>
      </c>
      <c r="G6926" s="27" t="str">
        <f t="shared" si="688"/>
        <v/>
      </c>
      <c r="H6926" s="28"/>
      <c r="I6926" s="29"/>
      <c r="J6926" s="152">
        <v>0</v>
      </c>
      <c r="L6926" s="218"/>
      <c r="M6926" s="41"/>
      <c r="N6926" s="27" t="str">
        <f t="shared" si="689"/>
        <v/>
      </c>
      <c r="O6926" s="28"/>
      <c r="P6926" s="36" t="str">
        <f t="shared" si="690"/>
        <v/>
      </c>
      <c r="Q6926" s="216" t="str">
        <f t="shared" si="691"/>
        <v/>
      </c>
      <c r="R6926" s="216" t="str">
        <f t="shared" si="692"/>
        <v/>
      </c>
      <c r="S6926" s="217" t="str">
        <f t="shared" si="693"/>
        <v/>
      </c>
    </row>
    <row r="6927" spans="1:19" ht="15.75" hidden="1" thickBot="1" x14ac:dyDescent="0.3">
      <c r="A6927" s="262"/>
      <c r="B6927" s="260"/>
      <c r="C6927" s="31"/>
      <c r="D6927" s="31"/>
      <c r="E6927" s="32"/>
      <c r="F6927" s="42" t="s">
        <v>416</v>
      </c>
      <c r="G6927" s="30" t="str">
        <f t="shared" si="688"/>
        <v/>
      </c>
      <c r="H6927" s="34"/>
      <c r="I6927" s="30"/>
      <c r="J6927" s="152">
        <v>0</v>
      </c>
      <c r="L6927" s="219"/>
      <c r="M6927" s="42"/>
      <c r="N6927" s="30" t="str">
        <f t="shared" si="689"/>
        <v/>
      </c>
      <c r="O6927" s="34"/>
      <c r="P6927" s="36" t="str">
        <f t="shared" si="690"/>
        <v/>
      </c>
      <c r="Q6927" s="216" t="str">
        <f t="shared" si="691"/>
        <v/>
      </c>
      <c r="R6927" s="216" t="str">
        <f t="shared" si="692"/>
        <v/>
      </c>
      <c r="S6927" s="217" t="str">
        <f t="shared" si="693"/>
        <v/>
      </c>
    </row>
    <row r="6928" spans="1:19" ht="15.75" hidden="1" thickBot="1" x14ac:dyDescent="0.3">
      <c r="A6928" s="262"/>
      <c r="B6928" s="260"/>
      <c r="C6928" s="35" t="s">
        <v>8032</v>
      </c>
      <c r="D6928" s="35" t="s">
        <v>213</v>
      </c>
      <c r="E6928" s="36">
        <v>1</v>
      </c>
      <c r="F6928" s="30">
        <v>455.90499999999997</v>
      </c>
      <c r="G6928" s="30">
        <f t="shared" si="688"/>
        <v>455.90499999999997</v>
      </c>
      <c r="H6928" s="38">
        <f>SUM(G6928:G6928)</f>
        <v>455.90499999999997</v>
      </c>
      <c r="I6928" s="39"/>
      <c r="J6928" s="152">
        <v>0</v>
      </c>
      <c r="L6928" s="215">
        <v>1</v>
      </c>
      <c r="M6928" s="30">
        <v>390.25468000000001</v>
      </c>
      <c r="N6928" s="30">
        <f t="shared" si="689"/>
        <v>390.25468000000001</v>
      </c>
      <c r="O6928" s="38">
        <f>SUM(N6928:N6928)</f>
        <v>390.25468000000001</v>
      </c>
      <c r="P6928" s="36" t="str">
        <f t="shared" si="690"/>
        <v/>
      </c>
      <c r="Q6928" s="216">
        <f t="shared" si="691"/>
        <v>0.14399999999999991</v>
      </c>
      <c r="R6928" s="216">
        <f t="shared" si="692"/>
        <v>0.14399999999999991</v>
      </c>
      <c r="S6928" s="217">
        <f t="shared" si="693"/>
        <v>0.14399999999999991</v>
      </c>
    </row>
    <row r="6929" spans="1:19" ht="15.75" hidden="1" thickBot="1" x14ac:dyDescent="0.3">
      <c r="A6929" s="263"/>
      <c r="B6929" s="261"/>
      <c r="C6929" s="54"/>
      <c r="D6929" s="54"/>
      <c r="E6929" s="65"/>
      <c r="F6929" s="66" t="s">
        <v>416</v>
      </c>
      <c r="G6929" s="66" t="str">
        <f t="shared" si="688"/>
        <v/>
      </c>
      <c r="H6929" s="68"/>
      <c r="I6929" s="30"/>
      <c r="J6929" s="152">
        <v>0</v>
      </c>
      <c r="L6929" s="222"/>
      <c r="M6929" s="66"/>
      <c r="N6929" s="66" t="str">
        <f t="shared" si="689"/>
        <v/>
      </c>
      <c r="O6929" s="68"/>
      <c r="P6929" s="36" t="str">
        <f t="shared" si="690"/>
        <v/>
      </c>
      <c r="Q6929" s="216" t="str">
        <f t="shared" si="691"/>
        <v/>
      </c>
      <c r="R6929" s="216" t="str">
        <f t="shared" si="692"/>
        <v/>
      </c>
      <c r="S6929" s="217" t="str">
        <f t="shared" si="693"/>
        <v/>
      </c>
    </row>
    <row r="6930" spans="1:19" ht="15.75" hidden="1" thickBot="1" x14ac:dyDescent="0.3">
      <c r="A6930" s="256" t="s">
        <v>6262</v>
      </c>
      <c r="B6930" s="259" t="str">
        <f>INDEX(Orçamentária!A:B,MATCH(Composições!A6930,Orçamentária!A:A,0),2)</f>
        <v>Canopla para Sprinkler de 1/2”, em latão cromado, diâmetro externo de 6,5 cm</v>
      </c>
      <c r="C6930" s="40"/>
      <c r="D6930" s="25" t="s">
        <v>16</v>
      </c>
      <c r="E6930" s="26"/>
      <c r="F6930" s="41" t="s">
        <v>416</v>
      </c>
      <c r="G6930" s="27" t="str">
        <f t="shared" si="688"/>
        <v/>
      </c>
      <c r="H6930" s="28"/>
      <c r="I6930" s="29"/>
      <c r="J6930" s="152">
        <v>0</v>
      </c>
      <c r="L6930" s="218"/>
      <c r="M6930" s="41"/>
      <c r="N6930" s="27" t="str">
        <f t="shared" si="689"/>
        <v/>
      </c>
      <c r="O6930" s="28"/>
      <c r="P6930" s="36" t="str">
        <f t="shared" si="690"/>
        <v/>
      </c>
      <c r="Q6930" s="216" t="str">
        <f t="shared" si="691"/>
        <v/>
      </c>
      <c r="R6930" s="216" t="str">
        <f t="shared" si="692"/>
        <v/>
      </c>
      <c r="S6930" s="217" t="str">
        <f t="shared" si="693"/>
        <v/>
      </c>
    </row>
    <row r="6931" spans="1:19" ht="15.75" hidden="1" thickBot="1" x14ac:dyDescent="0.3">
      <c r="A6931" s="262"/>
      <c r="B6931" s="260"/>
      <c r="C6931" s="31"/>
      <c r="D6931" s="31"/>
      <c r="E6931" s="32"/>
      <c r="F6931" s="42" t="s">
        <v>416</v>
      </c>
      <c r="G6931" s="30" t="str">
        <f t="shared" si="688"/>
        <v/>
      </c>
      <c r="H6931" s="34"/>
      <c r="I6931" s="30"/>
      <c r="J6931" s="152">
        <v>0</v>
      </c>
      <c r="L6931" s="219"/>
      <c r="M6931" s="42"/>
      <c r="N6931" s="30" t="str">
        <f t="shared" si="689"/>
        <v/>
      </c>
      <c r="O6931" s="34"/>
      <c r="P6931" s="36" t="str">
        <f t="shared" si="690"/>
        <v/>
      </c>
      <c r="Q6931" s="216" t="str">
        <f t="shared" si="691"/>
        <v/>
      </c>
      <c r="R6931" s="216" t="str">
        <f t="shared" si="692"/>
        <v/>
      </c>
      <c r="S6931" s="217" t="str">
        <f t="shared" si="693"/>
        <v/>
      </c>
    </row>
    <row r="6932" spans="1:19" ht="26.25" hidden="1" thickBot="1" x14ac:dyDescent="0.3">
      <c r="A6932" s="262"/>
      <c r="B6932" s="260"/>
      <c r="C6932" s="35" t="s">
        <v>8045</v>
      </c>
      <c r="D6932" s="35" t="s">
        <v>213</v>
      </c>
      <c r="E6932" s="36">
        <v>1</v>
      </c>
      <c r="F6932" s="30">
        <v>5.4339999999999993</v>
      </c>
      <c r="G6932" s="30">
        <f t="shared" si="688"/>
        <v>5.4339999999999993</v>
      </c>
      <c r="H6932" s="38">
        <f>SUM(G6932:G6932)</f>
        <v>5.4339999999999993</v>
      </c>
      <c r="I6932" s="39"/>
      <c r="J6932" s="152">
        <v>0</v>
      </c>
      <c r="L6932" s="215">
        <v>1</v>
      </c>
      <c r="M6932" s="30">
        <v>4.6515039999999992</v>
      </c>
      <c r="N6932" s="30">
        <f t="shared" si="689"/>
        <v>4.6515039999999992</v>
      </c>
      <c r="O6932" s="38">
        <f>SUM(N6932:N6932)</f>
        <v>4.6515039999999992</v>
      </c>
      <c r="P6932" s="36" t="str">
        <f t="shared" si="690"/>
        <v/>
      </c>
      <c r="Q6932" s="216">
        <f t="shared" si="691"/>
        <v>0.14400000000000002</v>
      </c>
      <c r="R6932" s="216">
        <f t="shared" si="692"/>
        <v>0.14400000000000002</v>
      </c>
      <c r="S6932" s="217">
        <f t="shared" si="693"/>
        <v>0.14400000000000002</v>
      </c>
    </row>
    <row r="6933" spans="1:19" ht="15.75" hidden="1" thickBot="1" x14ac:dyDescent="0.3">
      <c r="A6933" s="263"/>
      <c r="B6933" s="261"/>
      <c r="C6933" s="54"/>
      <c r="D6933" s="54"/>
      <c r="E6933" s="65"/>
      <c r="F6933" s="66" t="s">
        <v>416</v>
      </c>
      <c r="G6933" s="66" t="str">
        <f t="shared" si="688"/>
        <v/>
      </c>
      <c r="H6933" s="68"/>
      <c r="I6933" s="30"/>
      <c r="J6933" s="152">
        <v>0</v>
      </c>
      <c r="L6933" s="222"/>
      <c r="M6933" s="66"/>
      <c r="N6933" s="66" t="str">
        <f t="shared" si="689"/>
        <v/>
      </c>
      <c r="O6933" s="68"/>
      <c r="P6933" s="36" t="str">
        <f t="shared" si="690"/>
        <v/>
      </c>
      <c r="Q6933" s="216" t="str">
        <f t="shared" si="691"/>
        <v/>
      </c>
      <c r="R6933" s="216" t="str">
        <f t="shared" si="692"/>
        <v/>
      </c>
      <c r="S6933" s="217" t="str">
        <f t="shared" si="693"/>
        <v/>
      </c>
    </row>
    <row r="6934" spans="1:19" ht="15.75" hidden="1" thickBot="1" x14ac:dyDescent="0.3">
      <c r="A6934" s="256" t="s">
        <v>6263</v>
      </c>
      <c r="B6934" s="259" t="str">
        <f>INDEX(Orçamentária!A:B,MATCH(Composições!A6934,Orçamentária!A:A,0),2)</f>
        <v>Sprinkler Pendente 1/2” Cromado 68°C, Fator K80 (5,6)</v>
      </c>
      <c r="C6934" s="40"/>
      <c r="D6934" s="25" t="s">
        <v>16</v>
      </c>
      <c r="E6934" s="26"/>
      <c r="F6934" s="41" t="s">
        <v>416</v>
      </c>
      <c r="G6934" s="27" t="str">
        <f t="shared" si="688"/>
        <v/>
      </c>
      <c r="H6934" s="28"/>
      <c r="I6934" s="29"/>
      <c r="J6934" s="152">
        <v>0</v>
      </c>
      <c r="L6934" s="218"/>
      <c r="M6934" s="41"/>
      <c r="N6934" s="27" t="str">
        <f t="shared" si="689"/>
        <v/>
      </c>
      <c r="O6934" s="28"/>
      <c r="P6934" s="36" t="str">
        <f t="shared" si="690"/>
        <v/>
      </c>
      <c r="Q6934" s="216" t="str">
        <f t="shared" si="691"/>
        <v/>
      </c>
      <c r="R6934" s="216" t="str">
        <f t="shared" si="692"/>
        <v/>
      </c>
      <c r="S6934" s="217" t="str">
        <f t="shared" si="693"/>
        <v/>
      </c>
    </row>
    <row r="6935" spans="1:19" ht="15.75" hidden="1" thickBot="1" x14ac:dyDescent="0.3">
      <c r="A6935" s="262"/>
      <c r="B6935" s="260"/>
      <c r="C6935" s="31"/>
      <c r="D6935" s="31"/>
      <c r="E6935" s="32"/>
      <c r="F6935" s="42" t="s">
        <v>416</v>
      </c>
      <c r="G6935" s="30" t="str">
        <f t="shared" si="688"/>
        <v/>
      </c>
      <c r="H6935" s="34"/>
      <c r="I6935" s="30"/>
      <c r="J6935" s="152">
        <v>0</v>
      </c>
      <c r="L6935" s="219"/>
      <c r="M6935" s="42"/>
      <c r="N6935" s="30" t="str">
        <f t="shared" si="689"/>
        <v/>
      </c>
      <c r="O6935" s="34"/>
      <c r="P6935" s="36" t="str">
        <f t="shared" si="690"/>
        <v/>
      </c>
      <c r="Q6935" s="216" t="str">
        <f t="shared" si="691"/>
        <v/>
      </c>
      <c r="R6935" s="216" t="str">
        <f t="shared" si="692"/>
        <v/>
      </c>
      <c r="S6935" s="217" t="str">
        <f t="shared" si="693"/>
        <v/>
      </c>
    </row>
    <row r="6936" spans="1:19" ht="39" hidden="1" thickBot="1" x14ac:dyDescent="0.3">
      <c r="A6936" s="262"/>
      <c r="B6936" s="260"/>
      <c r="C6936" s="35" t="s">
        <v>8376</v>
      </c>
      <c r="D6936" s="35" t="s">
        <v>213</v>
      </c>
      <c r="E6936" s="36">
        <v>1</v>
      </c>
      <c r="F6936" s="30">
        <v>33.981500000000004</v>
      </c>
      <c r="G6936" s="30">
        <f t="shared" si="688"/>
        <v>33.981500000000004</v>
      </c>
      <c r="H6936" s="38">
        <f>SUM(G6936:G6936)</f>
        <v>33.981500000000004</v>
      </c>
      <c r="I6936" s="39"/>
      <c r="J6936" s="152">
        <v>0</v>
      </c>
      <c r="L6936" s="215">
        <v>1</v>
      </c>
      <c r="M6936" s="30">
        <v>29.088164000000003</v>
      </c>
      <c r="N6936" s="30">
        <f t="shared" si="689"/>
        <v>29.088164000000003</v>
      </c>
      <c r="O6936" s="38">
        <f>SUM(N6936:N6936)</f>
        <v>29.088164000000003</v>
      </c>
      <c r="P6936" s="36" t="str">
        <f t="shared" si="690"/>
        <v/>
      </c>
      <c r="Q6936" s="216">
        <f t="shared" si="691"/>
        <v>0.14400000000000002</v>
      </c>
      <c r="R6936" s="216">
        <f t="shared" si="692"/>
        <v>0.14400000000000002</v>
      </c>
      <c r="S6936" s="217">
        <f t="shared" si="693"/>
        <v>0.14400000000000002</v>
      </c>
    </row>
    <row r="6937" spans="1:19" ht="15.75" hidden="1" thickBot="1" x14ac:dyDescent="0.3">
      <c r="A6937" s="263"/>
      <c r="B6937" s="261"/>
      <c r="C6937" s="54"/>
      <c r="D6937" s="54"/>
      <c r="E6937" s="65"/>
      <c r="F6937" s="66" t="s">
        <v>416</v>
      </c>
      <c r="G6937" s="66" t="str">
        <f t="shared" si="688"/>
        <v/>
      </c>
      <c r="H6937" s="68"/>
      <c r="I6937" s="30"/>
      <c r="J6937" s="152">
        <v>0</v>
      </c>
      <c r="L6937" s="222"/>
      <c r="M6937" s="66"/>
      <c r="N6937" s="66" t="str">
        <f t="shared" si="689"/>
        <v/>
      </c>
      <c r="O6937" s="68"/>
      <c r="P6937" s="36" t="str">
        <f t="shared" si="690"/>
        <v/>
      </c>
      <c r="Q6937" s="216" t="str">
        <f t="shared" si="691"/>
        <v/>
      </c>
      <c r="R6937" s="216" t="str">
        <f t="shared" si="692"/>
        <v/>
      </c>
      <c r="S6937" s="217" t="str">
        <f t="shared" si="693"/>
        <v/>
      </c>
    </row>
    <row r="6938" spans="1:19" ht="15.75" hidden="1" thickBot="1" x14ac:dyDescent="0.3">
      <c r="A6938" s="256" t="s">
        <v>6265</v>
      </c>
      <c r="B6938" s="259" t="str">
        <f>INDEX(Orçamentária!A:B,MATCH(Composições!A6938,Orçamentária!A:A,0),2)</f>
        <v>Cap PVC Soldável 60 mm</v>
      </c>
      <c r="C6938" s="40"/>
      <c r="D6938" s="25" t="s">
        <v>16</v>
      </c>
      <c r="E6938" s="26"/>
      <c r="F6938" s="41" t="s">
        <v>416</v>
      </c>
      <c r="G6938" s="27" t="str">
        <f t="shared" si="688"/>
        <v/>
      </c>
      <c r="H6938" s="28"/>
      <c r="I6938" s="29"/>
      <c r="J6938" s="152">
        <v>0</v>
      </c>
      <c r="L6938" s="218"/>
      <c r="M6938" s="41"/>
      <c r="N6938" s="27" t="str">
        <f t="shared" si="689"/>
        <v/>
      </c>
      <c r="O6938" s="28"/>
      <c r="P6938" s="36" t="str">
        <f t="shared" si="690"/>
        <v/>
      </c>
      <c r="Q6938" s="216" t="str">
        <f t="shared" si="691"/>
        <v/>
      </c>
      <c r="R6938" s="216" t="str">
        <f t="shared" si="692"/>
        <v/>
      </c>
      <c r="S6938" s="217" t="str">
        <f t="shared" si="693"/>
        <v/>
      </c>
    </row>
    <row r="6939" spans="1:19" ht="15.75" hidden="1" thickBot="1" x14ac:dyDescent="0.3">
      <c r="A6939" s="262"/>
      <c r="B6939" s="260"/>
      <c r="C6939" s="31"/>
      <c r="D6939" s="31"/>
      <c r="E6939" s="32"/>
      <c r="F6939" s="42" t="s">
        <v>416</v>
      </c>
      <c r="G6939" s="30" t="str">
        <f t="shared" si="688"/>
        <v/>
      </c>
      <c r="H6939" s="34"/>
      <c r="I6939" s="30"/>
      <c r="J6939" s="152">
        <v>0</v>
      </c>
      <c r="L6939" s="219"/>
      <c r="M6939" s="42"/>
      <c r="N6939" s="30" t="str">
        <f t="shared" si="689"/>
        <v/>
      </c>
      <c r="O6939" s="34"/>
      <c r="P6939" s="36" t="str">
        <f t="shared" si="690"/>
        <v/>
      </c>
      <c r="Q6939" s="216" t="str">
        <f t="shared" si="691"/>
        <v/>
      </c>
      <c r="R6939" s="216" t="str">
        <f t="shared" si="692"/>
        <v/>
      </c>
      <c r="S6939" s="217" t="str">
        <f t="shared" si="693"/>
        <v/>
      </c>
    </row>
    <row r="6940" spans="1:19" ht="15.75" hidden="1" thickBot="1" x14ac:dyDescent="0.3">
      <c r="A6940" s="262"/>
      <c r="B6940" s="260"/>
      <c r="C6940" s="35" t="s">
        <v>8054</v>
      </c>
      <c r="D6940" s="35" t="s">
        <v>213</v>
      </c>
      <c r="E6940" s="36">
        <v>1</v>
      </c>
      <c r="F6940" s="30">
        <v>11.798999999999999</v>
      </c>
      <c r="G6940" s="30">
        <f t="shared" si="688"/>
        <v>11.798999999999999</v>
      </c>
      <c r="H6940" s="38">
        <f>SUM(G6940:G6940)</f>
        <v>11.798999999999999</v>
      </c>
      <c r="I6940" s="39"/>
      <c r="J6940" s="152">
        <v>0</v>
      </c>
      <c r="L6940" s="215">
        <v>1</v>
      </c>
      <c r="M6940" s="30">
        <v>10.099943999999999</v>
      </c>
      <c r="N6940" s="30">
        <f t="shared" si="689"/>
        <v>10.099943999999999</v>
      </c>
      <c r="O6940" s="38">
        <f>SUM(N6940:N6940)</f>
        <v>10.099943999999999</v>
      </c>
      <c r="P6940" s="36" t="str">
        <f t="shared" si="690"/>
        <v/>
      </c>
      <c r="Q6940" s="216">
        <f t="shared" si="691"/>
        <v>0.14400000000000002</v>
      </c>
      <c r="R6940" s="216">
        <f t="shared" si="692"/>
        <v>0.14400000000000002</v>
      </c>
      <c r="S6940" s="217">
        <f t="shared" si="693"/>
        <v>0.14400000000000002</v>
      </c>
    </row>
    <row r="6941" spans="1:19" ht="15.75" hidden="1" thickBot="1" x14ac:dyDescent="0.3">
      <c r="A6941" s="263"/>
      <c r="B6941" s="261"/>
      <c r="C6941" s="54"/>
      <c r="D6941" s="54"/>
      <c r="E6941" s="65"/>
      <c r="F6941" s="66" t="s">
        <v>416</v>
      </c>
      <c r="G6941" s="66" t="str">
        <f t="shared" si="688"/>
        <v/>
      </c>
      <c r="H6941" s="68"/>
      <c r="I6941" s="30"/>
      <c r="J6941" s="152">
        <v>0</v>
      </c>
      <c r="L6941" s="222"/>
      <c r="M6941" s="66"/>
      <c r="N6941" s="66" t="str">
        <f t="shared" si="689"/>
        <v/>
      </c>
      <c r="O6941" s="68"/>
      <c r="P6941" s="36" t="str">
        <f t="shared" si="690"/>
        <v/>
      </c>
      <c r="Q6941" s="216" t="str">
        <f t="shared" si="691"/>
        <v/>
      </c>
      <c r="R6941" s="216" t="str">
        <f t="shared" si="692"/>
        <v/>
      </c>
      <c r="S6941" s="217" t="str">
        <f t="shared" si="693"/>
        <v/>
      </c>
    </row>
    <row r="6942" spans="1:19" ht="15.75" hidden="1" thickBot="1" x14ac:dyDescent="0.3">
      <c r="A6942" s="256" t="s">
        <v>6269</v>
      </c>
      <c r="B6942" s="259" t="str">
        <f>INDEX(Orçamentária!A:B,MATCH(Composições!A6942,Orçamentária!A:A,0),2)</f>
        <v>Tê 90° em cobre 22 mm</v>
      </c>
      <c r="C6942" s="40"/>
      <c r="D6942" s="25" t="s">
        <v>16</v>
      </c>
      <c r="E6942" s="26"/>
      <c r="F6942" s="41" t="s">
        <v>416</v>
      </c>
      <c r="G6942" s="27" t="str">
        <f t="shared" si="688"/>
        <v/>
      </c>
      <c r="H6942" s="28"/>
      <c r="I6942" s="29"/>
      <c r="J6942" s="152">
        <v>0</v>
      </c>
      <c r="L6942" s="218"/>
      <c r="M6942" s="41"/>
      <c r="N6942" s="27" t="str">
        <f t="shared" si="689"/>
        <v/>
      </c>
      <c r="O6942" s="28"/>
      <c r="P6942" s="36" t="str">
        <f t="shared" si="690"/>
        <v/>
      </c>
      <c r="Q6942" s="216" t="str">
        <f t="shared" si="691"/>
        <v/>
      </c>
      <c r="R6942" s="216" t="str">
        <f t="shared" si="692"/>
        <v/>
      </c>
      <c r="S6942" s="217" t="str">
        <f t="shared" si="693"/>
        <v/>
      </c>
    </row>
    <row r="6943" spans="1:19" ht="15.75" hidden="1" thickBot="1" x14ac:dyDescent="0.3">
      <c r="A6943" s="262"/>
      <c r="B6943" s="260"/>
      <c r="C6943" s="31"/>
      <c r="D6943" s="31"/>
      <c r="E6943" s="32"/>
      <c r="F6943" s="42" t="s">
        <v>416</v>
      </c>
      <c r="G6943" s="30" t="str">
        <f t="shared" si="688"/>
        <v/>
      </c>
      <c r="H6943" s="34"/>
      <c r="I6943" s="30"/>
      <c r="J6943" s="152">
        <v>0</v>
      </c>
      <c r="L6943" s="219"/>
      <c r="M6943" s="42"/>
      <c r="N6943" s="30" t="str">
        <f t="shared" si="689"/>
        <v/>
      </c>
      <c r="O6943" s="34"/>
      <c r="P6943" s="36" t="str">
        <f t="shared" si="690"/>
        <v/>
      </c>
      <c r="Q6943" s="216" t="str">
        <f t="shared" si="691"/>
        <v/>
      </c>
      <c r="R6943" s="216" t="str">
        <f t="shared" si="692"/>
        <v/>
      </c>
      <c r="S6943" s="217" t="str">
        <f t="shared" si="693"/>
        <v/>
      </c>
    </row>
    <row r="6944" spans="1:19" ht="26.25" hidden="1" thickBot="1" x14ac:dyDescent="0.3">
      <c r="A6944" s="262"/>
      <c r="B6944" s="260"/>
      <c r="C6944" s="35" t="s">
        <v>8395</v>
      </c>
      <c r="D6944" s="35" t="s">
        <v>213</v>
      </c>
      <c r="E6944" s="36">
        <v>1</v>
      </c>
      <c r="F6944" s="30">
        <v>15.874499999999999</v>
      </c>
      <c r="G6944" s="30">
        <f t="shared" si="688"/>
        <v>15.874499999999999</v>
      </c>
      <c r="H6944" s="38">
        <f>SUM(G6944:G6944)</f>
        <v>15.874499999999999</v>
      </c>
      <c r="I6944" s="39"/>
      <c r="J6944" s="152">
        <v>0</v>
      </c>
      <c r="L6944" s="215">
        <v>1</v>
      </c>
      <c r="M6944" s="30">
        <v>13.588571999999999</v>
      </c>
      <c r="N6944" s="30">
        <f t="shared" si="689"/>
        <v>13.588571999999999</v>
      </c>
      <c r="O6944" s="38">
        <f>SUM(N6944:N6944)</f>
        <v>13.588571999999999</v>
      </c>
      <c r="P6944" s="36" t="str">
        <f t="shared" si="690"/>
        <v/>
      </c>
      <c r="Q6944" s="216">
        <f t="shared" si="691"/>
        <v>0.14400000000000002</v>
      </c>
      <c r="R6944" s="216">
        <f t="shared" si="692"/>
        <v>0.14400000000000002</v>
      </c>
      <c r="S6944" s="217">
        <f t="shared" si="693"/>
        <v>0.14400000000000002</v>
      </c>
    </row>
    <row r="6945" spans="1:19" ht="15.75" hidden="1" thickBot="1" x14ac:dyDescent="0.3">
      <c r="A6945" s="263"/>
      <c r="B6945" s="261"/>
      <c r="C6945" s="54"/>
      <c r="D6945" s="54"/>
      <c r="E6945" s="65"/>
      <c r="F6945" s="66" t="s">
        <v>416</v>
      </c>
      <c r="G6945" s="66" t="str">
        <f t="shared" si="688"/>
        <v/>
      </c>
      <c r="H6945" s="68"/>
      <c r="I6945" s="30"/>
      <c r="J6945" s="152">
        <v>0</v>
      </c>
      <c r="L6945" s="222"/>
      <c r="M6945" s="66"/>
      <c r="N6945" s="66" t="str">
        <f t="shared" si="689"/>
        <v/>
      </c>
      <c r="O6945" s="68"/>
      <c r="P6945" s="36" t="str">
        <f t="shared" si="690"/>
        <v/>
      </c>
      <c r="Q6945" s="216" t="str">
        <f t="shared" si="691"/>
        <v/>
      </c>
      <c r="R6945" s="216" t="str">
        <f t="shared" si="692"/>
        <v/>
      </c>
      <c r="S6945" s="217" t="str">
        <f t="shared" si="693"/>
        <v/>
      </c>
    </row>
    <row r="6946" spans="1:19" ht="15.75" hidden="1" thickBot="1" x14ac:dyDescent="0.3">
      <c r="A6946" s="256" t="s">
        <v>6271</v>
      </c>
      <c r="B6946" s="259" t="str">
        <f>INDEX(Orçamentária!A:B,MATCH(Composições!A6946,Orçamentária!A:A,0),2)</f>
        <v>Conector em cobre ou bronze 22 mm x 3/4” fêmea</v>
      </c>
      <c r="C6946" s="40"/>
      <c r="D6946" s="25" t="s">
        <v>16</v>
      </c>
      <c r="E6946" s="26"/>
      <c r="F6946" s="41" t="s">
        <v>416</v>
      </c>
      <c r="G6946" s="27" t="str">
        <f t="shared" si="688"/>
        <v/>
      </c>
      <c r="H6946" s="28"/>
      <c r="I6946" s="29"/>
      <c r="J6946" s="152">
        <v>0</v>
      </c>
      <c r="L6946" s="218"/>
      <c r="M6946" s="41"/>
      <c r="N6946" s="27" t="str">
        <f t="shared" si="689"/>
        <v/>
      </c>
      <c r="O6946" s="28"/>
      <c r="P6946" s="36" t="str">
        <f t="shared" si="690"/>
        <v/>
      </c>
      <c r="Q6946" s="216" t="str">
        <f t="shared" si="691"/>
        <v/>
      </c>
      <c r="R6946" s="216" t="str">
        <f t="shared" si="692"/>
        <v/>
      </c>
      <c r="S6946" s="217" t="str">
        <f t="shared" si="693"/>
        <v/>
      </c>
    </row>
    <row r="6947" spans="1:19" ht="15.75" hidden="1" thickBot="1" x14ac:dyDescent="0.3">
      <c r="A6947" s="262"/>
      <c r="B6947" s="260"/>
      <c r="C6947" s="31"/>
      <c r="D6947" s="31"/>
      <c r="E6947" s="32"/>
      <c r="F6947" s="42" t="s">
        <v>416</v>
      </c>
      <c r="G6947" s="30" t="str">
        <f t="shared" si="688"/>
        <v/>
      </c>
      <c r="H6947" s="34"/>
      <c r="I6947" s="30"/>
      <c r="J6947" s="152">
        <v>0</v>
      </c>
      <c r="L6947" s="219"/>
      <c r="M6947" s="42"/>
      <c r="N6947" s="30" t="str">
        <f t="shared" si="689"/>
        <v/>
      </c>
      <c r="O6947" s="34"/>
      <c r="P6947" s="36" t="str">
        <f t="shared" si="690"/>
        <v/>
      </c>
      <c r="Q6947" s="216" t="str">
        <f t="shared" si="691"/>
        <v/>
      </c>
      <c r="R6947" s="216" t="str">
        <f t="shared" si="692"/>
        <v/>
      </c>
      <c r="S6947" s="217" t="str">
        <f t="shared" si="693"/>
        <v/>
      </c>
    </row>
    <row r="6948" spans="1:19" ht="26.25" hidden="1" thickBot="1" x14ac:dyDescent="0.3">
      <c r="A6948" s="262"/>
      <c r="B6948" s="260"/>
      <c r="C6948" s="35" t="s">
        <v>8082</v>
      </c>
      <c r="D6948" s="35" t="s">
        <v>213</v>
      </c>
      <c r="E6948" s="36">
        <v>1</v>
      </c>
      <c r="F6948" s="30">
        <v>18.534500000000001</v>
      </c>
      <c r="G6948" s="30">
        <f t="shared" si="688"/>
        <v>18.534500000000001</v>
      </c>
      <c r="H6948" s="38">
        <f>SUM(G6948:G6948)</f>
        <v>18.534500000000001</v>
      </c>
      <c r="I6948" s="39"/>
      <c r="J6948" s="152">
        <v>0</v>
      </c>
      <c r="L6948" s="215">
        <v>1</v>
      </c>
      <c r="M6948" s="30">
        <v>15.865532000000002</v>
      </c>
      <c r="N6948" s="30">
        <f t="shared" si="689"/>
        <v>15.865532000000002</v>
      </c>
      <c r="O6948" s="38">
        <f>SUM(N6948:N6948)</f>
        <v>15.865532000000002</v>
      </c>
      <c r="P6948" s="36" t="str">
        <f t="shared" si="690"/>
        <v/>
      </c>
      <c r="Q6948" s="216">
        <f t="shared" si="691"/>
        <v>0.14400000000000002</v>
      </c>
      <c r="R6948" s="216">
        <f t="shared" si="692"/>
        <v>0.14400000000000002</v>
      </c>
      <c r="S6948" s="217">
        <f t="shared" si="693"/>
        <v>0.14400000000000002</v>
      </c>
    </row>
    <row r="6949" spans="1:19" ht="15.75" hidden="1" thickBot="1" x14ac:dyDescent="0.3">
      <c r="A6949" s="263"/>
      <c r="B6949" s="261"/>
      <c r="C6949" s="54"/>
      <c r="D6949" s="54"/>
      <c r="E6949" s="65"/>
      <c r="F6949" s="66" t="s">
        <v>416</v>
      </c>
      <c r="G6949" s="66" t="str">
        <f t="shared" si="688"/>
        <v/>
      </c>
      <c r="H6949" s="68"/>
      <c r="I6949" s="30"/>
      <c r="J6949" s="152">
        <v>0</v>
      </c>
      <c r="L6949" s="222"/>
      <c r="M6949" s="66"/>
      <c r="N6949" s="66" t="str">
        <f t="shared" si="689"/>
        <v/>
      </c>
      <c r="O6949" s="68"/>
      <c r="P6949" s="36" t="str">
        <f t="shared" si="690"/>
        <v/>
      </c>
      <c r="Q6949" s="216" t="str">
        <f t="shared" si="691"/>
        <v/>
      </c>
      <c r="R6949" s="216" t="str">
        <f t="shared" si="692"/>
        <v/>
      </c>
      <c r="S6949" s="217" t="str">
        <f t="shared" si="693"/>
        <v/>
      </c>
    </row>
    <row r="6950" spans="1:19" ht="15.75" hidden="1" thickBot="1" x14ac:dyDescent="0.3">
      <c r="A6950" s="256" t="s">
        <v>6277</v>
      </c>
      <c r="B6950" s="259" t="str">
        <f>INDEX(Orçamentária!A:B,MATCH(Composições!A6950,Orçamentária!A:A,0),2)</f>
        <v>Curva Ferro Galvanizado 90° Fêmea 2”</v>
      </c>
      <c r="C6950" s="40"/>
      <c r="D6950" s="25" t="s">
        <v>16</v>
      </c>
      <c r="E6950" s="26"/>
      <c r="F6950" s="41" t="s">
        <v>416</v>
      </c>
      <c r="G6950" s="27" t="str">
        <f t="shared" si="688"/>
        <v/>
      </c>
      <c r="H6950" s="28"/>
      <c r="I6950" s="29"/>
      <c r="J6950" s="152">
        <v>0</v>
      </c>
      <c r="L6950" s="218"/>
      <c r="M6950" s="41"/>
      <c r="N6950" s="27" t="str">
        <f t="shared" si="689"/>
        <v/>
      </c>
      <c r="O6950" s="28"/>
      <c r="P6950" s="36" t="str">
        <f t="shared" si="690"/>
        <v/>
      </c>
      <c r="Q6950" s="216" t="str">
        <f t="shared" si="691"/>
        <v/>
      </c>
      <c r="R6950" s="216" t="str">
        <f t="shared" si="692"/>
        <v/>
      </c>
      <c r="S6950" s="217" t="str">
        <f t="shared" si="693"/>
        <v/>
      </c>
    </row>
    <row r="6951" spans="1:19" ht="15.75" hidden="1" thickBot="1" x14ac:dyDescent="0.3">
      <c r="A6951" s="262"/>
      <c r="B6951" s="260"/>
      <c r="C6951" s="31"/>
      <c r="D6951" s="31"/>
      <c r="E6951" s="32"/>
      <c r="F6951" s="42" t="s">
        <v>416</v>
      </c>
      <c r="G6951" s="30" t="str">
        <f t="shared" si="688"/>
        <v/>
      </c>
      <c r="H6951" s="34"/>
      <c r="I6951" s="30"/>
      <c r="J6951" s="152">
        <v>0</v>
      </c>
      <c r="L6951" s="219"/>
      <c r="M6951" s="42"/>
      <c r="N6951" s="30" t="str">
        <f t="shared" si="689"/>
        <v/>
      </c>
      <c r="O6951" s="34"/>
      <c r="P6951" s="36" t="str">
        <f t="shared" si="690"/>
        <v/>
      </c>
      <c r="Q6951" s="216" t="str">
        <f t="shared" si="691"/>
        <v/>
      </c>
      <c r="R6951" s="216" t="str">
        <f t="shared" si="692"/>
        <v/>
      </c>
      <c r="S6951" s="217" t="str">
        <f t="shared" si="693"/>
        <v/>
      </c>
    </row>
    <row r="6952" spans="1:19" ht="26.25" hidden="1" thickBot="1" x14ac:dyDescent="0.3">
      <c r="A6952" s="262"/>
      <c r="B6952" s="260"/>
      <c r="C6952" s="35" t="s">
        <v>8117</v>
      </c>
      <c r="D6952" s="35" t="s">
        <v>213</v>
      </c>
      <c r="E6952" s="36">
        <v>1</v>
      </c>
      <c r="F6952" s="30">
        <v>131.63200000000001</v>
      </c>
      <c r="G6952" s="30">
        <f t="shared" si="688"/>
        <v>131.63200000000001</v>
      </c>
      <c r="H6952" s="38">
        <f>SUM(G6952:G6952)</f>
        <v>131.63200000000001</v>
      </c>
      <c r="I6952" s="39"/>
      <c r="J6952" s="152">
        <v>0</v>
      </c>
      <c r="L6952" s="215">
        <v>1</v>
      </c>
      <c r="M6952" s="30">
        <v>112.67699200000001</v>
      </c>
      <c r="N6952" s="30">
        <f t="shared" si="689"/>
        <v>112.67699200000001</v>
      </c>
      <c r="O6952" s="38">
        <f>SUM(N6952:N6952)</f>
        <v>112.67699200000001</v>
      </c>
      <c r="P6952" s="36" t="str">
        <f t="shared" si="690"/>
        <v/>
      </c>
      <c r="Q6952" s="216">
        <f t="shared" si="691"/>
        <v>0.14399999999999991</v>
      </c>
      <c r="R6952" s="216">
        <f t="shared" si="692"/>
        <v>0.14399999999999991</v>
      </c>
      <c r="S6952" s="217">
        <f t="shared" si="693"/>
        <v>0.14399999999999991</v>
      </c>
    </row>
    <row r="6953" spans="1:19" ht="15.75" hidden="1" thickBot="1" x14ac:dyDescent="0.3">
      <c r="A6953" s="263"/>
      <c r="B6953" s="261"/>
      <c r="C6953" s="54"/>
      <c r="D6953" s="54"/>
      <c r="E6953" s="65"/>
      <c r="F6953" s="66" t="s">
        <v>416</v>
      </c>
      <c r="G6953" s="66" t="str">
        <f t="shared" si="688"/>
        <v/>
      </c>
      <c r="H6953" s="68"/>
      <c r="I6953" s="30"/>
      <c r="J6953" s="152">
        <v>0</v>
      </c>
      <c r="L6953" s="222"/>
      <c r="M6953" s="66"/>
      <c r="N6953" s="66" t="str">
        <f t="shared" si="689"/>
        <v/>
      </c>
      <c r="O6953" s="68"/>
      <c r="P6953" s="36" t="str">
        <f t="shared" si="690"/>
        <v/>
      </c>
      <c r="Q6953" s="216" t="str">
        <f t="shared" si="691"/>
        <v/>
      </c>
      <c r="R6953" s="216" t="str">
        <f t="shared" si="692"/>
        <v/>
      </c>
      <c r="S6953" s="217" t="str">
        <f t="shared" si="693"/>
        <v/>
      </c>
    </row>
    <row r="6954" spans="1:19" ht="15.75" hidden="1" thickBot="1" x14ac:dyDescent="0.3">
      <c r="A6954" s="256" t="s">
        <v>6279</v>
      </c>
      <c r="B6954" s="259" t="str">
        <f>INDEX(Orçamentária!A:B,MATCH(Composições!A6954,Orçamentária!A:A,0),2)</f>
        <v>Curva 45° Longa PVC esgoto ou águas pluviais predial DN 100 mm</v>
      </c>
      <c r="C6954" s="40"/>
      <c r="D6954" s="25" t="s">
        <v>16</v>
      </c>
      <c r="E6954" s="26"/>
      <c r="F6954" s="41" t="s">
        <v>416</v>
      </c>
      <c r="G6954" s="27" t="str">
        <f t="shared" si="688"/>
        <v/>
      </c>
      <c r="H6954" s="28"/>
      <c r="I6954" s="29"/>
      <c r="J6954" s="152">
        <v>0</v>
      </c>
      <c r="L6954" s="218"/>
      <c r="M6954" s="41"/>
      <c r="N6954" s="27" t="str">
        <f t="shared" si="689"/>
        <v/>
      </c>
      <c r="O6954" s="28"/>
      <c r="P6954" s="36" t="str">
        <f t="shared" si="690"/>
        <v/>
      </c>
      <c r="Q6954" s="216" t="str">
        <f t="shared" si="691"/>
        <v/>
      </c>
      <c r="R6954" s="216" t="str">
        <f t="shared" si="692"/>
        <v/>
      </c>
      <c r="S6954" s="217" t="str">
        <f t="shared" si="693"/>
        <v/>
      </c>
    </row>
    <row r="6955" spans="1:19" ht="15.75" hidden="1" thickBot="1" x14ac:dyDescent="0.3">
      <c r="A6955" s="262"/>
      <c r="B6955" s="260"/>
      <c r="C6955" s="31"/>
      <c r="D6955" s="31"/>
      <c r="E6955" s="32"/>
      <c r="F6955" s="42" t="s">
        <v>416</v>
      </c>
      <c r="G6955" s="30" t="str">
        <f t="shared" si="688"/>
        <v/>
      </c>
      <c r="H6955" s="34"/>
      <c r="I6955" s="30"/>
      <c r="J6955" s="152">
        <v>0</v>
      </c>
      <c r="L6955" s="219"/>
      <c r="M6955" s="42"/>
      <c r="N6955" s="30" t="str">
        <f t="shared" si="689"/>
        <v/>
      </c>
      <c r="O6955" s="34"/>
      <c r="P6955" s="36" t="str">
        <f t="shared" si="690"/>
        <v/>
      </c>
      <c r="Q6955" s="216" t="str">
        <f t="shared" si="691"/>
        <v/>
      </c>
      <c r="R6955" s="216" t="str">
        <f t="shared" si="692"/>
        <v/>
      </c>
      <c r="S6955" s="217" t="str">
        <f t="shared" si="693"/>
        <v/>
      </c>
    </row>
    <row r="6956" spans="1:19" ht="15.75" hidden="1" thickBot="1" x14ac:dyDescent="0.3">
      <c r="A6956" s="262"/>
      <c r="B6956" s="260"/>
      <c r="C6956" s="35" t="s">
        <v>6582</v>
      </c>
      <c r="D6956" s="46" t="s">
        <v>16</v>
      </c>
      <c r="E6956" s="36">
        <v>1</v>
      </c>
      <c r="F6956" s="30">
        <v>0</v>
      </c>
      <c r="G6956" s="30">
        <f t="shared" si="688"/>
        <v>0</v>
      </c>
      <c r="H6956" s="38">
        <f>SUM(G6956:G6956)</f>
        <v>0</v>
      </c>
      <c r="I6956" s="39"/>
      <c r="J6956" s="152">
        <v>0</v>
      </c>
      <c r="L6956" s="215">
        <v>1</v>
      </c>
      <c r="M6956" s="30">
        <v>0</v>
      </c>
      <c r="N6956" s="30">
        <f t="shared" si="689"/>
        <v>0</v>
      </c>
      <c r="O6956" s="38">
        <f>SUM(N6956:N6956)</f>
        <v>0</v>
      </c>
      <c r="P6956" s="36" t="str">
        <f t="shared" si="690"/>
        <v/>
      </c>
      <c r="Q6956" s="216" t="e">
        <f t="shared" si="691"/>
        <v>#DIV/0!</v>
      </c>
      <c r="R6956" s="216" t="e">
        <f t="shared" si="692"/>
        <v>#DIV/0!</v>
      </c>
      <c r="S6956" s="217" t="e">
        <f t="shared" si="693"/>
        <v>#DIV/0!</v>
      </c>
    </row>
    <row r="6957" spans="1:19" ht="15.75" hidden="1" thickBot="1" x14ac:dyDescent="0.3">
      <c r="A6957" s="263"/>
      <c r="B6957" s="261"/>
      <c r="C6957" s="54"/>
      <c r="D6957" s="54"/>
      <c r="E6957" s="65"/>
      <c r="F6957" s="66" t="s">
        <v>416</v>
      </c>
      <c r="G6957" s="66" t="str">
        <f t="shared" si="688"/>
        <v/>
      </c>
      <c r="H6957" s="68"/>
      <c r="I6957" s="30"/>
      <c r="J6957" s="152">
        <v>0</v>
      </c>
      <c r="L6957" s="222"/>
      <c r="M6957" s="66"/>
      <c r="N6957" s="66" t="str">
        <f t="shared" si="689"/>
        <v/>
      </c>
      <c r="O6957" s="68"/>
      <c r="P6957" s="36" t="str">
        <f t="shared" si="690"/>
        <v/>
      </c>
      <c r="Q6957" s="216" t="str">
        <f t="shared" si="691"/>
        <v/>
      </c>
      <c r="R6957" s="216" t="str">
        <f t="shared" si="692"/>
        <v/>
      </c>
      <c r="S6957" s="217" t="str">
        <f t="shared" si="693"/>
        <v/>
      </c>
    </row>
    <row r="6958" spans="1:19" ht="15.75" hidden="1" thickBot="1" x14ac:dyDescent="0.3">
      <c r="A6958" s="256" t="s">
        <v>6281</v>
      </c>
      <c r="B6958" s="259" t="str">
        <f>INDEX(Orçamentária!A:B,MATCH(Composições!A6958,Orçamentária!A:A,0),2)</f>
        <v>Curva 90° de aço-carbono galvanizado 3”</v>
      </c>
      <c r="C6958" s="40"/>
      <c r="D6958" s="25" t="s">
        <v>16</v>
      </c>
      <c r="E6958" s="26"/>
      <c r="F6958" s="41" t="s">
        <v>416</v>
      </c>
      <c r="G6958" s="27" t="str">
        <f t="shared" si="688"/>
        <v/>
      </c>
      <c r="H6958" s="28"/>
      <c r="I6958" s="29"/>
      <c r="J6958" s="152">
        <v>0</v>
      </c>
      <c r="L6958" s="218"/>
      <c r="M6958" s="41"/>
      <c r="N6958" s="27" t="str">
        <f t="shared" si="689"/>
        <v/>
      </c>
      <c r="O6958" s="28"/>
      <c r="P6958" s="36" t="str">
        <f t="shared" si="690"/>
        <v/>
      </c>
      <c r="Q6958" s="216" t="str">
        <f t="shared" si="691"/>
        <v/>
      </c>
      <c r="R6958" s="216" t="str">
        <f t="shared" si="692"/>
        <v/>
      </c>
      <c r="S6958" s="217" t="str">
        <f t="shared" si="693"/>
        <v/>
      </c>
    </row>
    <row r="6959" spans="1:19" ht="15.75" hidden="1" thickBot="1" x14ac:dyDescent="0.3">
      <c r="A6959" s="262"/>
      <c r="B6959" s="260"/>
      <c r="C6959" s="31"/>
      <c r="D6959" s="31"/>
      <c r="E6959" s="32"/>
      <c r="F6959" s="42" t="s">
        <v>416</v>
      </c>
      <c r="G6959" s="30" t="str">
        <f t="shared" si="688"/>
        <v/>
      </c>
      <c r="H6959" s="34"/>
      <c r="I6959" s="30"/>
      <c r="J6959" s="152">
        <v>0</v>
      </c>
      <c r="L6959" s="219"/>
      <c r="M6959" s="42"/>
      <c r="N6959" s="30" t="str">
        <f t="shared" si="689"/>
        <v/>
      </c>
      <c r="O6959" s="34"/>
      <c r="P6959" s="36" t="str">
        <f t="shared" si="690"/>
        <v/>
      </c>
      <c r="Q6959" s="216" t="str">
        <f t="shared" si="691"/>
        <v/>
      </c>
      <c r="R6959" s="216" t="str">
        <f t="shared" si="692"/>
        <v/>
      </c>
      <c r="S6959" s="217" t="str">
        <f t="shared" si="693"/>
        <v/>
      </c>
    </row>
    <row r="6960" spans="1:19" ht="26.25" hidden="1" thickBot="1" x14ac:dyDescent="0.3">
      <c r="A6960" s="262"/>
      <c r="B6960" s="260"/>
      <c r="C6960" s="35" t="s">
        <v>8118</v>
      </c>
      <c r="D6960" s="35" t="s">
        <v>213</v>
      </c>
      <c r="E6960" s="36">
        <v>1</v>
      </c>
      <c r="F6960" s="30">
        <v>308.35099999999994</v>
      </c>
      <c r="G6960" s="30">
        <f t="shared" si="688"/>
        <v>308.35099999999994</v>
      </c>
      <c r="H6960" s="38">
        <f>SUM(G6960:G6960)</f>
        <v>308.35099999999994</v>
      </c>
      <c r="I6960" s="39"/>
      <c r="J6960" s="152">
        <v>0</v>
      </c>
      <c r="L6960" s="215">
        <v>1</v>
      </c>
      <c r="M6960" s="30">
        <v>263.94845599999996</v>
      </c>
      <c r="N6960" s="30">
        <f t="shared" si="689"/>
        <v>263.94845599999996</v>
      </c>
      <c r="O6960" s="38">
        <f>SUM(N6960:N6960)</f>
        <v>263.94845599999996</v>
      </c>
      <c r="P6960" s="36" t="str">
        <f t="shared" si="690"/>
        <v/>
      </c>
      <c r="Q6960" s="216">
        <f t="shared" si="691"/>
        <v>0.14399999999999991</v>
      </c>
      <c r="R6960" s="216">
        <f t="shared" si="692"/>
        <v>0.14399999999999991</v>
      </c>
      <c r="S6960" s="217">
        <f t="shared" si="693"/>
        <v>0.14399999999999991</v>
      </c>
    </row>
    <row r="6961" spans="1:19" ht="15.75" hidden="1" thickBot="1" x14ac:dyDescent="0.3">
      <c r="A6961" s="263"/>
      <c r="B6961" s="261"/>
      <c r="C6961" s="54"/>
      <c r="D6961" s="54"/>
      <c r="E6961" s="65"/>
      <c r="F6961" s="66" t="s">
        <v>416</v>
      </c>
      <c r="G6961" s="66" t="str">
        <f t="shared" si="688"/>
        <v/>
      </c>
      <c r="H6961" s="68"/>
      <c r="I6961" s="30"/>
      <c r="J6961" s="152">
        <v>0</v>
      </c>
      <c r="L6961" s="222"/>
      <c r="M6961" s="66"/>
      <c r="N6961" s="66" t="str">
        <f t="shared" si="689"/>
        <v/>
      </c>
      <c r="O6961" s="68"/>
      <c r="P6961" s="36" t="str">
        <f t="shared" si="690"/>
        <v/>
      </c>
      <c r="Q6961" s="216" t="str">
        <f t="shared" si="691"/>
        <v/>
      </c>
      <c r="R6961" s="216" t="str">
        <f t="shared" si="692"/>
        <v/>
      </c>
      <c r="S6961" s="217" t="str">
        <f t="shared" si="693"/>
        <v/>
      </c>
    </row>
    <row r="6962" spans="1:19" ht="15.75" hidden="1" thickBot="1" x14ac:dyDescent="0.3">
      <c r="A6962" s="256" t="s">
        <v>6283</v>
      </c>
      <c r="B6962" s="259" t="str">
        <f>INDEX(Orçamentária!A:B,MATCH(Composições!A6962,Orçamentária!A:A,0),2)</f>
        <v>Curva 90° PVC esgoto DN 100 mm Série R</v>
      </c>
      <c r="C6962" s="40"/>
      <c r="D6962" s="25" t="s">
        <v>16</v>
      </c>
      <c r="E6962" s="26"/>
      <c r="F6962" s="41" t="s">
        <v>416</v>
      </c>
      <c r="G6962" s="27" t="str">
        <f t="shared" ref="G6962:G7025" si="694">IF(ISNUMBER(F6962),E6962*F6962,"")</f>
        <v/>
      </c>
      <c r="H6962" s="28"/>
      <c r="I6962" s="29"/>
      <c r="J6962" s="152">
        <v>0</v>
      </c>
      <c r="L6962" s="218"/>
      <c r="M6962" s="41"/>
      <c r="N6962" s="27" t="str">
        <f t="shared" ref="N6962:N7025" si="695">IF(ISNUMBER(M6962),L6962*M6962,"")</f>
        <v/>
      </c>
      <c r="O6962" s="28"/>
      <c r="P6962" s="36" t="str">
        <f t="shared" si="690"/>
        <v/>
      </c>
      <c r="Q6962" s="216" t="str">
        <f t="shared" si="691"/>
        <v/>
      </c>
      <c r="R6962" s="216" t="str">
        <f t="shared" si="692"/>
        <v/>
      </c>
      <c r="S6962" s="217" t="str">
        <f t="shared" si="693"/>
        <v/>
      </c>
    </row>
    <row r="6963" spans="1:19" ht="15.75" hidden="1" thickBot="1" x14ac:dyDescent="0.3">
      <c r="A6963" s="262"/>
      <c r="B6963" s="260"/>
      <c r="C6963" s="31"/>
      <c r="D6963" s="31"/>
      <c r="E6963" s="32"/>
      <c r="F6963" s="42" t="s">
        <v>416</v>
      </c>
      <c r="G6963" s="30" t="str">
        <f t="shared" si="694"/>
        <v/>
      </c>
      <c r="H6963" s="34"/>
      <c r="I6963" s="30"/>
      <c r="J6963" s="152">
        <v>0</v>
      </c>
      <c r="L6963" s="219"/>
      <c r="M6963" s="42"/>
      <c r="N6963" s="30" t="str">
        <f t="shared" si="695"/>
        <v/>
      </c>
      <c r="O6963" s="34"/>
      <c r="P6963" s="36" t="str">
        <f t="shared" si="690"/>
        <v/>
      </c>
      <c r="Q6963" s="216" t="str">
        <f t="shared" si="691"/>
        <v/>
      </c>
      <c r="R6963" s="216" t="str">
        <f t="shared" si="692"/>
        <v/>
      </c>
      <c r="S6963" s="217" t="str">
        <f t="shared" si="693"/>
        <v/>
      </c>
    </row>
    <row r="6964" spans="1:19" ht="26.25" hidden="1" thickBot="1" x14ac:dyDescent="0.3">
      <c r="A6964" s="262"/>
      <c r="B6964" s="260"/>
      <c r="C6964" s="35" t="s">
        <v>8109</v>
      </c>
      <c r="D6964" s="35" t="s">
        <v>213</v>
      </c>
      <c r="E6964" s="36">
        <v>1</v>
      </c>
      <c r="F6964" s="30">
        <v>34.855499999999999</v>
      </c>
      <c r="G6964" s="30">
        <f t="shared" si="694"/>
        <v>34.855499999999999</v>
      </c>
      <c r="H6964" s="38">
        <f>SUM(G6964:G6964)</f>
        <v>34.855499999999999</v>
      </c>
      <c r="I6964" s="39"/>
      <c r="J6964" s="152">
        <v>0</v>
      </c>
      <c r="L6964" s="215">
        <v>1</v>
      </c>
      <c r="M6964" s="30">
        <v>29.836307999999999</v>
      </c>
      <c r="N6964" s="30">
        <f t="shared" si="695"/>
        <v>29.836307999999999</v>
      </c>
      <c r="O6964" s="38">
        <f>SUM(N6964:N6964)</f>
        <v>29.836307999999999</v>
      </c>
      <c r="P6964" s="36" t="str">
        <f t="shared" si="690"/>
        <v/>
      </c>
      <c r="Q6964" s="216">
        <f t="shared" si="691"/>
        <v>0.14400000000000002</v>
      </c>
      <c r="R6964" s="216">
        <f t="shared" si="692"/>
        <v>0.14400000000000002</v>
      </c>
      <c r="S6964" s="217">
        <f t="shared" si="693"/>
        <v>0.14400000000000002</v>
      </c>
    </row>
    <row r="6965" spans="1:19" ht="15.75" hidden="1" thickBot="1" x14ac:dyDescent="0.3">
      <c r="A6965" s="263"/>
      <c r="B6965" s="261"/>
      <c r="C6965" s="54"/>
      <c r="D6965" s="54"/>
      <c r="E6965" s="65"/>
      <c r="F6965" s="66" t="s">
        <v>416</v>
      </c>
      <c r="G6965" s="66" t="str">
        <f t="shared" si="694"/>
        <v/>
      </c>
      <c r="H6965" s="68"/>
      <c r="I6965" s="30"/>
      <c r="J6965" s="152">
        <v>0</v>
      </c>
      <c r="L6965" s="222"/>
      <c r="M6965" s="66"/>
      <c r="N6965" s="66" t="str">
        <f t="shared" si="695"/>
        <v/>
      </c>
      <c r="O6965" s="68"/>
      <c r="P6965" s="36" t="str">
        <f t="shared" si="690"/>
        <v/>
      </c>
      <c r="Q6965" s="216" t="str">
        <f t="shared" si="691"/>
        <v/>
      </c>
      <c r="R6965" s="216" t="str">
        <f t="shared" si="692"/>
        <v/>
      </c>
      <c r="S6965" s="217" t="str">
        <f t="shared" si="693"/>
        <v/>
      </c>
    </row>
    <row r="6966" spans="1:19" ht="15.75" hidden="1" thickBot="1" x14ac:dyDescent="0.3">
      <c r="A6966" s="256" t="s">
        <v>6285</v>
      </c>
      <c r="B6966" s="259" t="str">
        <f>INDEX(Orçamentária!A:B,MATCH(Composições!A6966,Orçamentária!A:A,0),2)</f>
        <v>Fita perfurada em aço-carbono - 17 x 0,40 mm - rolo 30 m</v>
      </c>
      <c r="C6966" s="40"/>
      <c r="D6966" s="25" t="s">
        <v>16</v>
      </c>
      <c r="E6966" s="26"/>
      <c r="F6966" s="41" t="s">
        <v>416</v>
      </c>
      <c r="G6966" s="27" t="str">
        <f t="shared" si="694"/>
        <v/>
      </c>
      <c r="H6966" s="28"/>
      <c r="I6966" s="29"/>
      <c r="J6966" s="152">
        <v>0</v>
      </c>
      <c r="L6966" s="218"/>
      <c r="M6966" s="41"/>
      <c r="N6966" s="27" t="str">
        <f t="shared" si="695"/>
        <v/>
      </c>
      <c r="O6966" s="28"/>
      <c r="P6966" s="36" t="str">
        <f t="shared" si="690"/>
        <v/>
      </c>
      <c r="Q6966" s="216" t="str">
        <f t="shared" si="691"/>
        <v/>
      </c>
      <c r="R6966" s="216" t="str">
        <f t="shared" si="692"/>
        <v/>
      </c>
      <c r="S6966" s="217" t="str">
        <f t="shared" si="693"/>
        <v/>
      </c>
    </row>
    <row r="6967" spans="1:19" ht="15.75" hidden="1" thickBot="1" x14ac:dyDescent="0.3">
      <c r="A6967" s="262"/>
      <c r="B6967" s="260"/>
      <c r="C6967" s="31"/>
      <c r="D6967" s="31"/>
      <c r="E6967" s="32"/>
      <c r="F6967" s="42" t="s">
        <v>416</v>
      </c>
      <c r="G6967" s="30" t="str">
        <f t="shared" si="694"/>
        <v/>
      </c>
      <c r="H6967" s="34"/>
      <c r="I6967" s="30"/>
      <c r="J6967" s="152">
        <v>0</v>
      </c>
      <c r="L6967" s="219"/>
      <c r="M6967" s="42"/>
      <c r="N6967" s="30" t="str">
        <f t="shared" si="695"/>
        <v/>
      </c>
      <c r="O6967" s="34"/>
      <c r="P6967" s="36" t="str">
        <f t="shared" si="690"/>
        <v/>
      </c>
      <c r="Q6967" s="216" t="str">
        <f t="shared" si="691"/>
        <v/>
      </c>
      <c r="R6967" s="216" t="str">
        <f t="shared" si="692"/>
        <v/>
      </c>
      <c r="S6967" s="217" t="str">
        <f t="shared" si="693"/>
        <v/>
      </c>
    </row>
    <row r="6968" spans="1:19" ht="26.25" hidden="1" thickBot="1" x14ac:dyDescent="0.3">
      <c r="A6968" s="262"/>
      <c r="B6968" s="260"/>
      <c r="C6968" s="35" t="s">
        <v>8170</v>
      </c>
      <c r="D6968" s="35" t="s">
        <v>213</v>
      </c>
      <c r="E6968" s="36">
        <v>1</v>
      </c>
      <c r="F6968" s="30">
        <v>40.47</v>
      </c>
      <c r="G6968" s="30">
        <f t="shared" si="694"/>
        <v>40.47</v>
      </c>
      <c r="H6968" s="38">
        <f>SUM(G6968:G6968)</f>
        <v>40.47</v>
      </c>
      <c r="I6968" s="39"/>
      <c r="J6968" s="152">
        <v>0</v>
      </c>
      <c r="L6968" s="215">
        <v>1</v>
      </c>
      <c r="M6968" s="30">
        <v>34.642319999999998</v>
      </c>
      <c r="N6968" s="30">
        <f t="shared" si="695"/>
        <v>34.642319999999998</v>
      </c>
      <c r="O6968" s="38">
        <f>SUM(N6968:N6968)</f>
        <v>34.642319999999998</v>
      </c>
      <c r="P6968" s="36" t="str">
        <f t="shared" si="690"/>
        <v/>
      </c>
      <c r="Q6968" s="216">
        <f t="shared" si="691"/>
        <v>0.14400000000000002</v>
      </c>
      <c r="R6968" s="216">
        <f t="shared" si="692"/>
        <v>0.14400000000000002</v>
      </c>
      <c r="S6968" s="217">
        <f t="shared" si="693"/>
        <v>0.14400000000000002</v>
      </c>
    </row>
    <row r="6969" spans="1:19" ht="15.75" hidden="1" thickBot="1" x14ac:dyDescent="0.3">
      <c r="A6969" s="263"/>
      <c r="B6969" s="261"/>
      <c r="C6969" s="54"/>
      <c r="D6969" s="54"/>
      <c r="E6969" s="65"/>
      <c r="F6969" s="66" t="s">
        <v>416</v>
      </c>
      <c r="G6969" s="66" t="str">
        <f t="shared" si="694"/>
        <v/>
      </c>
      <c r="H6969" s="68"/>
      <c r="I6969" s="30"/>
      <c r="J6969" s="152">
        <v>0</v>
      </c>
      <c r="L6969" s="222"/>
      <c r="M6969" s="66"/>
      <c r="N6969" s="66" t="str">
        <f t="shared" si="695"/>
        <v/>
      </c>
      <c r="O6969" s="68"/>
      <c r="P6969" s="36" t="str">
        <f t="shared" si="690"/>
        <v/>
      </c>
      <c r="Q6969" s="216" t="str">
        <f t="shared" si="691"/>
        <v/>
      </c>
      <c r="R6969" s="216" t="str">
        <f t="shared" si="692"/>
        <v/>
      </c>
      <c r="S6969" s="217" t="str">
        <f t="shared" si="693"/>
        <v/>
      </c>
    </row>
    <row r="6970" spans="1:19" ht="15.75" hidden="1" thickBot="1" x14ac:dyDescent="0.3">
      <c r="A6970" s="256" t="s">
        <v>6286</v>
      </c>
      <c r="B6970" s="259" t="str">
        <f>INDEX(Orçamentária!A:B,MATCH(Composições!A6970,Orçamentária!A:A,0),2)</f>
        <v>Flange PVC soldável água fria DN 60 mm</v>
      </c>
      <c r="C6970" s="40"/>
      <c r="D6970" s="25" t="s">
        <v>16</v>
      </c>
      <c r="E6970" s="26"/>
      <c r="F6970" s="41" t="s">
        <v>416</v>
      </c>
      <c r="G6970" s="27" t="str">
        <f t="shared" si="694"/>
        <v/>
      </c>
      <c r="H6970" s="28"/>
      <c r="I6970" s="29"/>
      <c r="J6970" s="152">
        <v>0</v>
      </c>
      <c r="L6970" s="218"/>
      <c r="M6970" s="41"/>
      <c r="N6970" s="27" t="str">
        <f t="shared" si="695"/>
        <v/>
      </c>
      <c r="O6970" s="28"/>
      <c r="P6970" s="36" t="str">
        <f t="shared" si="690"/>
        <v/>
      </c>
      <c r="Q6970" s="216" t="str">
        <f t="shared" si="691"/>
        <v/>
      </c>
      <c r="R6970" s="216" t="str">
        <f t="shared" si="692"/>
        <v/>
      </c>
      <c r="S6970" s="217" t="str">
        <f t="shared" si="693"/>
        <v/>
      </c>
    </row>
    <row r="6971" spans="1:19" ht="15.75" hidden="1" thickBot="1" x14ac:dyDescent="0.3">
      <c r="A6971" s="262"/>
      <c r="B6971" s="260"/>
      <c r="C6971" s="31"/>
      <c r="D6971" s="31"/>
      <c r="E6971" s="32"/>
      <c r="F6971" s="42" t="s">
        <v>416</v>
      </c>
      <c r="G6971" s="30" t="str">
        <f t="shared" si="694"/>
        <v/>
      </c>
      <c r="H6971" s="34"/>
      <c r="I6971" s="30"/>
      <c r="J6971" s="152">
        <v>0</v>
      </c>
      <c r="L6971" s="219"/>
      <c r="M6971" s="42"/>
      <c r="N6971" s="30" t="str">
        <f t="shared" si="695"/>
        <v/>
      </c>
      <c r="O6971" s="34"/>
      <c r="P6971" s="36" t="str">
        <f t="shared" si="690"/>
        <v/>
      </c>
      <c r="Q6971" s="216" t="str">
        <f t="shared" si="691"/>
        <v/>
      </c>
      <c r="R6971" s="216" t="str">
        <f t="shared" si="692"/>
        <v/>
      </c>
      <c r="S6971" s="217" t="str">
        <f t="shared" si="693"/>
        <v/>
      </c>
    </row>
    <row r="6972" spans="1:19" ht="26.25" hidden="1" thickBot="1" x14ac:dyDescent="0.3">
      <c r="A6972" s="262"/>
      <c r="B6972" s="260"/>
      <c r="C6972" s="35" t="s">
        <v>7971</v>
      </c>
      <c r="D6972" s="35" t="s">
        <v>213</v>
      </c>
      <c r="E6972" s="36">
        <v>1</v>
      </c>
      <c r="F6972" s="30">
        <v>45.276999999999994</v>
      </c>
      <c r="G6972" s="30">
        <f t="shared" si="694"/>
        <v>45.276999999999994</v>
      </c>
      <c r="H6972" s="38">
        <f>SUM(G6972:G6972)</f>
        <v>45.276999999999994</v>
      </c>
      <c r="I6972" s="39"/>
      <c r="J6972" s="152">
        <v>0</v>
      </c>
      <c r="L6972" s="215">
        <v>1</v>
      </c>
      <c r="M6972" s="30">
        <v>38.757111999999992</v>
      </c>
      <c r="N6972" s="30">
        <f t="shared" si="695"/>
        <v>38.757111999999992</v>
      </c>
      <c r="O6972" s="38">
        <f>SUM(N6972:N6972)</f>
        <v>38.757111999999992</v>
      </c>
      <c r="P6972" s="36" t="str">
        <f t="shared" si="690"/>
        <v/>
      </c>
      <c r="Q6972" s="216">
        <f t="shared" si="691"/>
        <v>0.14400000000000002</v>
      </c>
      <c r="R6972" s="216">
        <f t="shared" si="692"/>
        <v>0.14400000000000002</v>
      </c>
      <c r="S6972" s="217">
        <f t="shared" si="693"/>
        <v>0.14400000000000002</v>
      </c>
    </row>
    <row r="6973" spans="1:19" ht="15.75" hidden="1" thickBot="1" x14ac:dyDescent="0.3">
      <c r="A6973" s="263"/>
      <c r="B6973" s="261"/>
      <c r="C6973" s="54"/>
      <c r="D6973" s="54"/>
      <c r="E6973" s="65"/>
      <c r="F6973" s="66" t="s">
        <v>416</v>
      </c>
      <c r="G6973" s="66" t="str">
        <f t="shared" si="694"/>
        <v/>
      </c>
      <c r="H6973" s="68"/>
      <c r="I6973" s="30"/>
      <c r="J6973" s="152">
        <v>0</v>
      </c>
      <c r="L6973" s="222"/>
      <c r="M6973" s="66"/>
      <c r="N6973" s="66" t="str">
        <f t="shared" si="695"/>
        <v/>
      </c>
      <c r="O6973" s="68"/>
      <c r="P6973" s="36" t="str">
        <f t="shared" si="690"/>
        <v/>
      </c>
      <c r="Q6973" s="216" t="str">
        <f t="shared" si="691"/>
        <v/>
      </c>
      <c r="R6973" s="216" t="str">
        <f t="shared" si="692"/>
        <v/>
      </c>
      <c r="S6973" s="217" t="str">
        <f t="shared" si="693"/>
        <v/>
      </c>
    </row>
    <row r="6974" spans="1:19" ht="15.75" hidden="1" thickBot="1" x14ac:dyDescent="0.3">
      <c r="A6974" s="256" t="s">
        <v>6287</v>
      </c>
      <c r="B6974" s="259" t="str">
        <f>INDEX(Orçamentária!A:B,MATCH(Composições!A6974,Orçamentária!A:A,0),2)</f>
        <v>Flange PVC soldável água fria DN 25 mm</v>
      </c>
      <c r="C6974" s="40"/>
      <c r="D6974" s="25" t="s">
        <v>16</v>
      </c>
      <c r="E6974" s="26"/>
      <c r="F6974" s="41" t="s">
        <v>416</v>
      </c>
      <c r="G6974" s="27" t="str">
        <f t="shared" si="694"/>
        <v/>
      </c>
      <c r="H6974" s="28"/>
      <c r="I6974" s="29"/>
      <c r="J6974" s="152">
        <v>0</v>
      </c>
      <c r="L6974" s="218"/>
      <c r="M6974" s="41"/>
      <c r="N6974" s="27" t="str">
        <f t="shared" si="695"/>
        <v/>
      </c>
      <c r="O6974" s="28"/>
      <c r="P6974" s="36" t="str">
        <f t="shared" si="690"/>
        <v/>
      </c>
      <c r="Q6974" s="216" t="str">
        <f t="shared" si="691"/>
        <v/>
      </c>
      <c r="R6974" s="216" t="str">
        <f t="shared" si="692"/>
        <v/>
      </c>
      <c r="S6974" s="217" t="str">
        <f t="shared" si="693"/>
        <v/>
      </c>
    </row>
    <row r="6975" spans="1:19" ht="15.75" hidden="1" thickBot="1" x14ac:dyDescent="0.3">
      <c r="A6975" s="262"/>
      <c r="B6975" s="260"/>
      <c r="C6975" s="31"/>
      <c r="D6975" s="31"/>
      <c r="E6975" s="32"/>
      <c r="F6975" s="42" t="s">
        <v>416</v>
      </c>
      <c r="G6975" s="30" t="str">
        <f t="shared" si="694"/>
        <v/>
      </c>
      <c r="H6975" s="34"/>
      <c r="I6975" s="30"/>
      <c r="J6975" s="152">
        <v>0</v>
      </c>
      <c r="L6975" s="219"/>
      <c r="M6975" s="42"/>
      <c r="N6975" s="30" t="str">
        <f t="shared" si="695"/>
        <v/>
      </c>
      <c r="O6975" s="34"/>
      <c r="P6975" s="36" t="str">
        <f t="shared" si="690"/>
        <v/>
      </c>
      <c r="Q6975" s="216" t="str">
        <f t="shared" si="691"/>
        <v/>
      </c>
      <c r="R6975" s="216" t="str">
        <f t="shared" si="692"/>
        <v/>
      </c>
      <c r="S6975" s="217" t="str">
        <f t="shared" si="693"/>
        <v/>
      </c>
    </row>
    <row r="6976" spans="1:19" ht="26.25" hidden="1" thickBot="1" x14ac:dyDescent="0.3">
      <c r="A6976" s="262"/>
      <c r="B6976" s="260"/>
      <c r="C6976" s="35" t="s">
        <v>7967</v>
      </c>
      <c r="D6976" s="35" t="s">
        <v>213</v>
      </c>
      <c r="E6976" s="36">
        <v>1</v>
      </c>
      <c r="F6976" s="30">
        <v>12.169499999999999</v>
      </c>
      <c r="G6976" s="30">
        <f t="shared" si="694"/>
        <v>12.169499999999999</v>
      </c>
      <c r="H6976" s="38">
        <f>SUM(G6976:G6976)</f>
        <v>12.169499999999999</v>
      </c>
      <c r="I6976" s="39"/>
      <c r="J6976" s="152">
        <v>0</v>
      </c>
      <c r="L6976" s="215">
        <v>1</v>
      </c>
      <c r="M6976" s="30">
        <v>10.417092</v>
      </c>
      <c r="N6976" s="30">
        <f t="shared" si="695"/>
        <v>10.417092</v>
      </c>
      <c r="O6976" s="38">
        <f>SUM(N6976:N6976)</f>
        <v>10.417092</v>
      </c>
      <c r="P6976" s="36" t="str">
        <f t="shared" si="690"/>
        <v/>
      </c>
      <c r="Q6976" s="216">
        <f t="shared" si="691"/>
        <v>0.14399999999999991</v>
      </c>
      <c r="R6976" s="216">
        <f t="shared" si="692"/>
        <v>0.14399999999999991</v>
      </c>
      <c r="S6976" s="217">
        <f t="shared" si="693"/>
        <v>0.14399999999999991</v>
      </c>
    </row>
    <row r="6977" spans="1:19" ht="15.75" hidden="1" thickBot="1" x14ac:dyDescent="0.3">
      <c r="A6977" s="263"/>
      <c r="B6977" s="261"/>
      <c r="C6977" s="54"/>
      <c r="D6977" s="54"/>
      <c r="E6977" s="65"/>
      <c r="F6977" s="66" t="s">
        <v>416</v>
      </c>
      <c r="G6977" s="66" t="str">
        <f t="shared" si="694"/>
        <v/>
      </c>
      <c r="H6977" s="68"/>
      <c r="I6977" s="30"/>
      <c r="J6977" s="152">
        <v>0</v>
      </c>
      <c r="L6977" s="222"/>
      <c r="M6977" s="66"/>
      <c r="N6977" s="66" t="str">
        <f t="shared" si="695"/>
        <v/>
      </c>
      <c r="O6977" s="68"/>
      <c r="P6977" s="36" t="str">
        <f t="shared" si="690"/>
        <v/>
      </c>
      <c r="Q6977" s="216" t="str">
        <f t="shared" si="691"/>
        <v/>
      </c>
      <c r="R6977" s="216" t="str">
        <f t="shared" si="692"/>
        <v/>
      </c>
      <c r="S6977" s="217" t="str">
        <f t="shared" si="693"/>
        <v/>
      </c>
    </row>
    <row r="6978" spans="1:19" ht="15.75" hidden="1" thickBot="1" x14ac:dyDescent="0.3">
      <c r="A6978" s="256" t="s">
        <v>6296</v>
      </c>
      <c r="B6978" s="259" t="str">
        <f>INDEX(Orçamentária!A:B,MATCH(Composições!A6978,Orçamentária!A:A,0),2)</f>
        <v>Joelho 45° CPVC 28 mm – Linha Residencial</v>
      </c>
      <c r="C6978" s="40"/>
      <c r="D6978" s="25" t="s">
        <v>16</v>
      </c>
      <c r="E6978" s="26"/>
      <c r="F6978" s="41" t="s">
        <v>416</v>
      </c>
      <c r="G6978" s="27" t="str">
        <f t="shared" si="694"/>
        <v/>
      </c>
      <c r="H6978" s="28"/>
      <c r="I6978" s="29"/>
      <c r="J6978" s="152">
        <v>0</v>
      </c>
      <c r="L6978" s="218"/>
      <c r="M6978" s="41"/>
      <c r="N6978" s="27" t="str">
        <f t="shared" si="695"/>
        <v/>
      </c>
      <c r="O6978" s="28"/>
      <c r="P6978" s="36" t="str">
        <f t="shared" si="690"/>
        <v/>
      </c>
      <c r="Q6978" s="216" t="str">
        <f t="shared" si="691"/>
        <v/>
      </c>
      <c r="R6978" s="216" t="str">
        <f t="shared" si="692"/>
        <v/>
      </c>
      <c r="S6978" s="217" t="str">
        <f t="shared" si="693"/>
        <v/>
      </c>
    </row>
    <row r="6979" spans="1:19" ht="15.75" hidden="1" thickBot="1" x14ac:dyDescent="0.3">
      <c r="A6979" s="262"/>
      <c r="B6979" s="260"/>
      <c r="C6979" s="31"/>
      <c r="D6979" s="31"/>
      <c r="E6979" s="32"/>
      <c r="F6979" s="42" t="s">
        <v>416</v>
      </c>
      <c r="G6979" s="30" t="str">
        <f t="shared" si="694"/>
        <v/>
      </c>
      <c r="H6979" s="34"/>
      <c r="I6979" s="30"/>
      <c r="J6979" s="152">
        <v>0</v>
      </c>
      <c r="L6979" s="219"/>
      <c r="M6979" s="42"/>
      <c r="N6979" s="30" t="str">
        <f t="shared" si="695"/>
        <v/>
      </c>
      <c r="O6979" s="34"/>
      <c r="P6979" s="36" t="str">
        <f t="shared" si="690"/>
        <v/>
      </c>
      <c r="Q6979" s="216" t="str">
        <f t="shared" si="691"/>
        <v/>
      </c>
      <c r="R6979" s="216" t="str">
        <f t="shared" si="692"/>
        <v/>
      </c>
      <c r="S6979" s="217" t="str">
        <f t="shared" si="693"/>
        <v/>
      </c>
    </row>
    <row r="6980" spans="1:19" ht="15.75" hidden="1" thickBot="1" x14ac:dyDescent="0.3">
      <c r="A6980" s="262"/>
      <c r="B6980" s="260"/>
      <c r="C6980" s="35" t="s">
        <v>8180</v>
      </c>
      <c r="D6980" s="35" t="s">
        <v>213</v>
      </c>
      <c r="E6980" s="36">
        <v>1</v>
      </c>
      <c r="F6980" s="30">
        <v>5.89</v>
      </c>
      <c r="G6980" s="30">
        <f t="shared" si="694"/>
        <v>5.89</v>
      </c>
      <c r="H6980" s="38">
        <f>SUM(G6980:G6980)</f>
        <v>5.89</v>
      </c>
      <c r="I6980" s="39"/>
      <c r="J6980" s="152">
        <v>0</v>
      </c>
      <c r="L6980" s="215">
        <v>1</v>
      </c>
      <c r="M6980" s="30">
        <v>5.0418399999999997</v>
      </c>
      <c r="N6980" s="30">
        <f t="shared" si="695"/>
        <v>5.0418399999999997</v>
      </c>
      <c r="O6980" s="38">
        <f>SUM(N6980:N6980)</f>
        <v>5.0418399999999997</v>
      </c>
      <c r="P6980" s="36" t="str">
        <f t="shared" si="690"/>
        <v/>
      </c>
      <c r="Q6980" s="216">
        <f t="shared" si="691"/>
        <v>0.14400000000000002</v>
      </c>
      <c r="R6980" s="216">
        <f t="shared" si="692"/>
        <v>0.14400000000000002</v>
      </c>
      <c r="S6980" s="217">
        <f t="shared" si="693"/>
        <v>0.14400000000000002</v>
      </c>
    </row>
    <row r="6981" spans="1:19" ht="15.75" hidden="1" thickBot="1" x14ac:dyDescent="0.3">
      <c r="A6981" s="263"/>
      <c r="B6981" s="261"/>
      <c r="C6981" s="54"/>
      <c r="D6981" s="54"/>
      <c r="E6981" s="65"/>
      <c r="F6981" s="66" t="s">
        <v>416</v>
      </c>
      <c r="G6981" s="66" t="str">
        <f t="shared" si="694"/>
        <v/>
      </c>
      <c r="H6981" s="68"/>
      <c r="I6981" s="30"/>
      <c r="J6981" s="152">
        <v>0</v>
      </c>
      <c r="L6981" s="222"/>
      <c r="M6981" s="66"/>
      <c r="N6981" s="66" t="str">
        <f t="shared" si="695"/>
        <v/>
      </c>
      <c r="O6981" s="68"/>
      <c r="P6981" s="36" t="str">
        <f t="shared" si="690"/>
        <v/>
      </c>
      <c r="Q6981" s="216" t="str">
        <f t="shared" si="691"/>
        <v/>
      </c>
      <c r="R6981" s="216" t="str">
        <f t="shared" si="692"/>
        <v/>
      </c>
      <c r="S6981" s="217" t="str">
        <f t="shared" si="693"/>
        <v/>
      </c>
    </row>
    <row r="6982" spans="1:19" ht="15.75" hidden="1" thickBot="1" x14ac:dyDescent="0.3">
      <c r="A6982" s="256" t="s">
        <v>6297</v>
      </c>
      <c r="B6982" s="259" t="str">
        <f>INDEX(Orçamentária!A:B,MATCH(Composições!A6982,Orçamentária!A:A,0),2)</f>
        <v>Joelho 45° PVC soldável água fria DN 60 mm</v>
      </c>
      <c r="C6982" s="40"/>
      <c r="D6982" s="25" t="s">
        <v>16</v>
      </c>
      <c r="E6982" s="26"/>
      <c r="F6982" s="41" t="s">
        <v>416</v>
      </c>
      <c r="G6982" s="27" t="str">
        <f t="shared" si="694"/>
        <v/>
      </c>
      <c r="H6982" s="28"/>
      <c r="I6982" s="29"/>
      <c r="J6982" s="152">
        <v>0</v>
      </c>
      <c r="L6982" s="218"/>
      <c r="M6982" s="41"/>
      <c r="N6982" s="27" t="str">
        <f t="shared" si="695"/>
        <v/>
      </c>
      <c r="O6982" s="28"/>
      <c r="P6982" s="36" t="str">
        <f t="shared" si="690"/>
        <v/>
      </c>
      <c r="Q6982" s="216" t="str">
        <f t="shared" si="691"/>
        <v/>
      </c>
      <c r="R6982" s="216" t="str">
        <f t="shared" si="692"/>
        <v/>
      </c>
      <c r="S6982" s="217" t="str">
        <f t="shared" si="693"/>
        <v/>
      </c>
    </row>
    <row r="6983" spans="1:19" ht="15.75" hidden="1" thickBot="1" x14ac:dyDescent="0.3">
      <c r="A6983" s="262"/>
      <c r="B6983" s="260"/>
      <c r="C6983" s="31"/>
      <c r="D6983" s="31"/>
      <c r="E6983" s="32"/>
      <c r="F6983" s="42" t="s">
        <v>416</v>
      </c>
      <c r="G6983" s="30" t="str">
        <f t="shared" si="694"/>
        <v/>
      </c>
      <c r="H6983" s="34"/>
      <c r="I6983" s="30"/>
      <c r="J6983" s="152">
        <v>0</v>
      </c>
      <c r="L6983" s="219"/>
      <c r="M6983" s="42"/>
      <c r="N6983" s="30" t="str">
        <f t="shared" si="695"/>
        <v/>
      </c>
      <c r="O6983" s="34"/>
      <c r="P6983" s="36" t="str">
        <f t="shared" si="690"/>
        <v/>
      </c>
      <c r="Q6983" s="216" t="str">
        <f t="shared" si="691"/>
        <v/>
      </c>
      <c r="R6983" s="216" t="str">
        <f t="shared" si="692"/>
        <v/>
      </c>
      <c r="S6983" s="217" t="str">
        <f t="shared" si="693"/>
        <v/>
      </c>
    </row>
    <row r="6984" spans="1:19" ht="26.25" hidden="1" thickBot="1" x14ac:dyDescent="0.3">
      <c r="A6984" s="262"/>
      <c r="B6984" s="260"/>
      <c r="C6984" s="35" t="s">
        <v>8209</v>
      </c>
      <c r="D6984" s="35" t="s">
        <v>213</v>
      </c>
      <c r="E6984" s="36">
        <v>1</v>
      </c>
      <c r="F6984" s="30">
        <v>26.875499999999999</v>
      </c>
      <c r="G6984" s="30">
        <f t="shared" si="694"/>
        <v>26.875499999999999</v>
      </c>
      <c r="H6984" s="38">
        <f>SUM(G6984:G6984)</f>
        <v>26.875499999999999</v>
      </c>
      <c r="I6984" s="39"/>
      <c r="J6984" s="152">
        <v>0</v>
      </c>
      <c r="L6984" s="215">
        <v>1</v>
      </c>
      <c r="M6984" s="30">
        <v>23.005427999999998</v>
      </c>
      <c r="N6984" s="30">
        <f t="shared" si="695"/>
        <v>23.005427999999998</v>
      </c>
      <c r="O6984" s="38">
        <f>SUM(N6984:N6984)</f>
        <v>23.005427999999998</v>
      </c>
      <c r="P6984" s="36" t="str">
        <f t="shared" ref="P6984:P7047" si="696">IF(ISBLANK(L6984),"",IF($E6984&lt;&gt;L6984,"SIM",""))</f>
        <v/>
      </c>
      <c r="Q6984" s="216">
        <f t="shared" ref="Q6984:Q7047" si="697">IF(M6984="","",1-M6984/$F6984)</f>
        <v>0.14400000000000002</v>
      </c>
      <c r="R6984" s="216">
        <f t="shared" ref="R6984:R7047" si="698">IF(N6984="","",1-N6984/$G6984)</f>
        <v>0.14400000000000002</v>
      </c>
      <c r="S6984" s="217">
        <f t="shared" ref="S6984:S7047" si="699">IF(O6984="","",1-O6984/$H6984)</f>
        <v>0.14400000000000002</v>
      </c>
    </row>
    <row r="6985" spans="1:19" ht="15.75" hidden="1" thickBot="1" x14ac:dyDescent="0.3">
      <c r="A6985" s="263"/>
      <c r="B6985" s="261"/>
      <c r="C6985" s="54"/>
      <c r="D6985" s="54"/>
      <c r="E6985" s="65"/>
      <c r="F6985" s="66" t="s">
        <v>416</v>
      </c>
      <c r="G6985" s="66" t="str">
        <f t="shared" si="694"/>
        <v/>
      </c>
      <c r="H6985" s="68"/>
      <c r="I6985" s="30"/>
      <c r="J6985" s="152">
        <v>0</v>
      </c>
      <c r="L6985" s="222"/>
      <c r="M6985" s="66"/>
      <c r="N6985" s="66" t="str">
        <f t="shared" si="695"/>
        <v/>
      </c>
      <c r="O6985" s="68"/>
      <c r="P6985" s="36" t="str">
        <f t="shared" si="696"/>
        <v/>
      </c>
      <c r="Q6985" s="216" t="str">
        <f t="shared" si="697"/>
        <v/>
      </c>
      <c r="R6985" s="216" t="str">
        <f t="shared" si="698"/>
        <v/>
      </c>
      <c r="S6985" s="217" t="str">
        <f t="shared" si="699"/>
        <v/>
      </c>
    </row>
    <row r="6986" spans="1:19" ht="15.75" hidden="1" thickBot="1" x14ac:dyDescent="0.3">
      <c r="A6986" s="256" t="s">
        <v>6298</v>
      </c>
      <c r="B6986" s="259" t="str">
        <f>INDEX(Orçamentária!A:B,MATCH(Composições!A6986,Orçamentária!A:A,0),2)</f>
        <v>Joelho 45° CPVC 22 mm – Linha Residencial</v>
      </c>
      <c r="C6986" s="40"/>
      <c r="D6986" s="25" t="s">
        <v>16</v>
      </c>
      <c r="E6986" s="26"/>
      <c r="F6986" s="41" t="s">
        <v>416</v>
      </c>
      <c r="G6986" s="27" t="str">
        <f t="shared" si="694"/>
        <v/>
      </c>
      <c r="H6986" s="28"/>
      <c r="I6986" s="29"/>
      <c r="J6986" s="152">
        <v>0</v>
      </c>
      <c r="L6986" s="218"/>
      <c r="M6986" s="41"/>
      <c r="N6986" s="27" t="str">
        <f t="shared" si="695"/>
        <v/>
      </c>
      <c r="O6986" s="28"/>
      <c r="P6986" s="36" t="str">
        <f t="shared" si="696"/>
        <v/>
      </c>
      <c r="Q6986" s="216" t="str">
        <f t="shared" si="697"/>
        <v/>
      </c>
      <c r="R6986" s="216" t="str">
        <f t="shared" si="698"/>
        <v/>
      </c>
      <c r="S6986" s="217" t="str">
        <f t="shared" si="699"/>
        <v/>
      </c>
    </row>
    <row r="6987" spans="1:19" ht="15.75" hidden="1" thickBot="1" x14ac:dyDescent="0.3">
      <c r="A6987" s="262"/>
      <c r="B6987" s="260"/>
      <c r="C6987" s="31"/>
      <c r="D6987" s="31"/>
      <c r="E6987" s="32"/>
      <c r="F6987" s="42" t="s">
        <v>416</v>
      </c>
      <c r="G6987" s="30" t="str">
        <f t="shared" si="694"/>
        <v/>
      </c>
      <c r="H6987" s="34"/>
      <c r="I6987" s="30"/>
      <c r="J6987" s="152">
        <v>0</v>
      </c>
      <c r="L6987" s="219"/>
      <c r="M6987" s="42"/>
      <c r="N6987" s="30" t="str">
        <f t="shared" si="695"/>
        <v/>
      </c>
      <c r="O6987" s="34"/>
      <c r="P6987" s="36" t="str">
        <f t="shared" si="696"/>
        <v/>
      </c>
      <c r="Q6987" s="216" t="str">
        <f t="shared" si="697"/>
        <v/>
      </c>
      <c r="R6987" s="216" t="str">
        <f t="shared" si="698"/>
        <v/>
      </c>
      <c r="S6987" s="217" t="str">
        <f t="shared" si="699"/>
        <v/>
      </c>
    </row>
    <row r="6988" spans="1:19" ht="15.75" hidden="1" thickBot="1" x14ac:dyDescent="0.3">
      <c r="A6988" s="262"/>
      <c r="B6988" s="260"/>
      <c r="C6988" s="35" t="s">
        <v>8179</v>
      </c>
      <c r="D6988" s="35" t="s">
        <v>213</v>
      </c>
      <c r="E6988" s="36">
        <v>1</v>
      </c>
      <c r="F6988" s="30">
        <v>4.085</v>
      </c>
      <c r="G6988" s="30">
        <f t="shared" si="694"/>
        <v>4.085</v>
      </c>
      <c r="H6988" s="38">
        <f>SUM(G6988:G6988)</f>
        <v>4.085</v>
      </c>
      <c r="I6988" s="39"/>
      <c r="J6988" s="152">
        <v>0</v>
      </c>
      <c r="L6988" s="215">
        <v>1</v>
      </c>
      <c r="M6988" s="30">
        <v>3.4967600000000001</v>
      </c>
      <c r="N6988" s="30">
        <f t="shared" si="695"/>
        <v>3.4967600000000001</v>
      </c>
      <c r="O6988" s="38">
        <f>SUM(N6988:N6988)</f>
        <v>3.4967600000000001</v>
      </c>
      <c r="P6988" s="36" t="str">
        <f t="shared" si="696"/>
        <v/>
      </c>
      <c r="Q6988" s="216">
        <f t="shared" si="697"/>
        <v>0.14400000000000002</v>
      </c>
      <c r="R6988" s="216">
        <f t="shared" si="698"/>
        <v>0.14400000000000002</v>
      </c>
      <c r="S6988" s="217">
        <f t="shared" si="699"/>
        <v>0.14400000000000002</v>
      </c>
    </row>
    <row r="6989" spans="1:19" ht="15.75" hidden="1" thickBot="1" x14ac:dyDescent="0.3">
      <c r="A6989" s="263"/>
      <c r="B6989" s="261"/>
      <c r="C6989" s="54"/>
      <c r="D6989" s="54"/>
      <c r="E6989" s="65"/>
      <c r="F6989" s="66" t="s">
        <v>416</v>
      </c>
      <c r="G6989" s="66" t="str">
        <f t="shared" si="694"/>
        <v/>
      </c>
      <c r="H6989" s="68"/>
      <c r="I6989" s="30"/>
      <c r="J6989" s="152">
        <v>0</v>
      </c>
      <c r="L6989" s="222"/>
      <c r="M6989" s="66"/>
      <c r="N6989" s="66" t="str">
        <f t="shared" si="695"/>
        <v/>
      </c>
      <c r="O6989" s="68"/>
      <c r="P6989" s="36" t="str">
        <f t="shared" si="696"/>
        <v/>
      </c>
      <c r="Q6989" s="216" t="str">
        <f t="shared" si="697"/>
        <v/>
      </c>
      <c r="R6989" s="216" t="str">
        <f t="shared" si="698"/>
        <v/>
      </c>
      <c r="S6989" s="217" t="str">
        <f t="shared" si="699"/>
        <v/>
      </c>
    </row>
    <row r="6990" spans="1:19" ht="15.75" hidden="1" thickBot="1" x14ac:dyDescent="0.3">
      <c r="A6990" s="256" t="s">
        <v>6299</v>
      </c>
      <c r="B6990" s="259" t="str">
        <f>INDEX(Orçamentária!A:B,MATCH(Composições!A6990,Orçamentária!A:A,0),2)</f>
        <v>Joelho 45° PVC esgoto ou águas pluviais predial DN 50 mm</v>
      </c>
      <c r="C6990" s="40"/>
      <c r="D6990" s="25" t="s">
        <v>16</v>
      </c>
      <c r="E6990" s="26"/>
      <c r="F6990" s="41" t="s">
        <v>416</v>
      </c>
      <c r="G6990" s="27" t="str">
        <f t="shared" si="694"/>
        <v/>
      </c>
      <c r="H6990" s="28"/>
      <c r="I6990" s="29"/>
      <c r="J6990" s="152">
        <v>0</v>
      </c>
      <c r="L6990" s="218"/>
      <c r="M6990" s="41"/>
      <c r="N6990" s="27" t="str">
        <f t="shared" si="695"/>
        <v/>
      </c>
      <c r="O6990" s="28"/>
      <c r="P6990" s="36" t="str">
        <f t="shared" si="696"/>
        <v/>
      </c>
      <c r="Q6990" s="216" t="str">
        <f t="shared" si="697"/>
        <v/>
      </c>
      <c r="R6990" s="216" t="str">
        <f t="shared" si="698"/>
        <v/>
      </c>
      <c r="S6990" s="217" t="str">
        <f t="shared" si="699"/>
        <v/>
      </c>
    </row>
    <row r="6991" spans="1:19" ht="15.75" hidden="1" thickBot="1" x14ac:dyDescent="0.3">
      <c r="A6991" s="262"/>
      <c r="B6991" s="260"/>
      <c r="C6991" s="31"/>
      <c r="D6991" s="31"/>
      <c r="E6991" s="32"/>
      <c r="F6991" s="42" t="s">
        <v>416</v>
      </c>
      <c r="G6991" s="30" t="str">
        <f t="shared" si="694"/>
        <v/>
      </c>
      <c r="H6991" s="34"/>
      <c r="I6991" s="30"/>
      <c r="J6991" s="152">
        <v>0</v>
      </c>
      <c r="L6991" s="219"/>
      <c r="M6991" s="42"/>
      <c r="N6991" s="30" t="str">
        <f t="shared" si="695"/>
        <v/>
      </c>
      <c r="O6991" s="34"/>
      <c r="P6991" s="36" t="str">
        <f t="shared" si="696"/>
        <v/>
      </c>
      <c r="Q6991" s="216" t="str">
        <f t="shared" si="697"/>
        <v/>
      </c>
      <c r="R6991" s="216" t="str">
        <f t="shared" si="698"/>
        <v/>
      </c>
      <c r="S6991" s="217" t="str">
        <f t="shared" si="699"/>
        <v/>
      </c>
    </row>
    <row r="6992" spans="1:19" ht="26.25" hidden="1" thickBot="1" x14ac:dyDescent="0.3">
      <c r="A6992" s="262"/>
      <c r="B6992" s="260"/>
      <c r="C6992" s="35" t="s">
        <v>8191</v>
      </c>
      <c r="D6992" s="35" t="s">
        <v>213</v>
      </c>
      <c r="E6992" s="36">
        <v>1</v>
      </c>
      <c r="F6992" s="30">
        <v>3.7239999999999998</v>
      </c>
      <c r="G6992" s="30">
        <f t="shared" si="694"/>
        <v>3.7239999999999998</v>
      </c>
      <c r="H6992" s="38">
        <f>SUM(G6992:G6992)</f>
        <v>3.7239999999999998</v>
      </c>
      <c r="I6992" s="39"/>
      <c r="J6992" s="152">
        <v>0</v>
      </c>
      <c r="L6992" s="215">
        <v>1</v>
      </c>
      <c r="M6992" s="30">
        <v>3.1877439999999999</v>
      </c>
      <c r="N6992" s="30">
        <f t="shared" si="695"/>
        <v>3.1877439999999999</v>
      </c>
      <c r="O6992" s="38">
        <f>SUM(N6992:N6992)</f>
        <v>3.1877439999999999</v>
      </c>
      <c r="P6992" s="36" t="str">
        <f t="shared" si="696"/>
        <v/>
      </c>
      <c r="Q6992" s="216">
        <f t="shared" si="697"/>
        <v>0.14400000000000002</v>
      </c>
      <c r="R6992" s="216">
        <f t="shared" si="698"/>
        <v>0.14400000000000002</v>
      </c>
      <c r="S6992" s="217">
        <f t="shared" si="699"/>
        <v>0.14400000000000002</v>
      </c>
    </row>
    <row r="6993" spans="1:19" ht="15.75" hidden="1" thickBot="1" x14ac:dyDescent="0.3">
      <c r="A6993" s="263"/>
      <c r="B6993" s="261"/>
      <c r="C6993" s="54"/>
      <c r="D6993" s="54"/>
      <c r="E6993" s="65"/>
      <c r="F6993" s="66" t="s">
        <v>416</v>
      </c>
      <c r="G6993" s="66" t="str">
        <f t="shared" si="694"/>
        <v/>
      </c>
      <c r="H6993" s="68"/>
      <c r="I6993" s="30"/>
      <c r="J6993" s="152">
        <v>0</v>
      </c>
      <c r="L6993" s="222"/>
      <c r="M6993" s="66"/>
      <c r="N6993" s="66" t="str">
        <f t="shared" si="695"/>
        <v/>
      </c>
      <c r="O6993" s="68"/>
      <c r="P6993" s="36" t="str">
        <f t="shared" si="696"/>
        <v/>
      </c>
      <c r="Q6993" s="216" t="str">
        <f t="shared" si="697"/>
        <v/>
      </c>
      <c r="R6993" s="216" t="str">
        <f t="shared" si="698"/>
        <v/>
      </c>
      <c r="S6993" s="217" t="str">
        <f t="shared" si="699"/>
        <v/>
      </c>
    </row>
    <row r="6994" spans="1:19" ht="15.75" hidden="1" thickBot="1" x14ac:dyDescent="0.3">
      <c r="A6994" s="256" t="s">
        <v>6311</v>
      </c>
      <c r="B6994" s="259" t="str">
        <f>INDEX(Orçamentária!A:B,MATCH(Composições!A6994,Orçamentária!A:A,0),2)</f>
        <v>Joelho 90° CPVC 22 mm – Linha Residencial</v>
      </c>
      <c r="C6994" s="40"/>
      <c r="D6994" s="25" t="s">
        <v>16</v>
      </c>
      <c r="E6994" s="26"/>
      <c r="F6994" s="41" t="s">
        <v>416</v>
      </c>
      <c r="G6994" s="27" t="str">
        <f t="shared" si="694"/>
        <v/>
      </c>
      <c r="H6994" s="28"/>
      <c r="I6994" s="29"/>
      <c r="J6994" s="152">
        <v>0</v>
      </c>
      <c r="L6994" s="218"/>
      <c r="M6994" s="41"/>
      <c r="N6994" s="27" t="str">
        <f t="shared" si="695"/>
        <v/>
      </c>
      <c r="O6994" s="28"/>
      <c r="P6994" s="36" t="str">
        <f t="shared" si="696"/>
        <v/>
      </c>
      <c r="Q6994" s="216" t="str">
        <f t="shared" si="697"/>
        <v/>
      </c>
      <c r="R6994" s="216" t="str">
        <f t="shared" si="698"/>
        <v/>
      </c>
      <c r="S6994" s="217" t="str">
        <f t="shared" si="699"/>
        <v/>
      </c>
    </row>
    <row r="6995" spans="1:19" ht="15.75" hidden="1" thickBot="1" x14ac:dyDescent="0.3">
      <c r="A6995" s="262"/>
      <c r="B6995" s="260"/>
      <c r="C6995" s="31"/>
      <c r="D6995" s="31"/>
      <c r="E6995" s="32"/>
      <c r="F6995" s="42" t="s">
        <v>416</v>
      </c>
      <c r="G6995" s="30" t="str">
        <f t="shared" si="694"/>
        <v/>
      </c>
      <c r="H6995" s="34"/>
      <c r="I6995" s="30"/>
      <c r="J6995" s="152">
        <v>0</v>
      </c>
      <c r="L6995" s="219"/>
      <c r="M6995" s="42"/>
      <c r="N6995" s="30" t="str">
        <f t="shared" si="695"/>
        <v/>
      </c>
      <c r="O6995" s="34"/>
      <c r="P6995" s="36" t="str">
        <f t="shared" si="696"/>
        <v/>
      </c>
      <c r="Q6995" s="216" t="str">
        <f t="shared" si="697"/>
        <v/>
      </c>
      <c r="R6995" s="216" t="str">
        <f t="shared" si="698"/>
        <v/>
      </c>
      <c r="S6995" s="217" t="str">
        <f t="shared" si="699"/>
        <v/>
      </c>
    </row>
    <row r="6996" spans="1:19" ht="15.75" hidden="1" thickBot="1" x14ac:dyDescent="0.3">
      <c r="A6996" s="262"/>
      <c r="B6996" s="260"/>
      <c r="C6996" s="35" t="s">
        <v>8181</v>
      </c>
      <c r="D6996" s="35" t="s">
        <v>213</v>
      </c>
      <c r="E6996" s="36">
        <v>1</v>
      </c>
      <c r="F6996" s="30">
        <v>2.9830000000000001</v>
      </c>
      <c r="G6996" s="30">
        <f t="shared" si="694"/>
        <v>2.9830000000000001</v>
      </c>
      <c r="H6996" s="38">
        <f>SUM(G6996:G6996)</f>
        <v>2.9830000000000001</v>
      </c>
      <c r="I6996" s="39"/>
      <c r="J6996" s="152">
        <v>0</v>
      </c>
      <c r="L6996" s="215">
        <v>1</v>
      </c>
      <c r="M6996" s="30">
        <v>2.5534479999999999</v>
      </c>
      <c r="N6996" s="30">
        <f t="shared" si="695"/>
        <v>2.5534479999999999</v>
      </c>
      <c r="O6996" s="38">
        <f>SUM(N6996:N6996)</f>
        <v>2.5534479999999999</v>
      </c>
      <c r="P6996" s="36" t="str">
        <f t="shared" si="696"/>
        <v/>
      </c>
      <c r="Q6996" s="216">
        <f t="shared" si="697"/>
        <v>0.14400000000000002</v>
      </c>
      <c r="R6996" s="216">
        <f t="shared" si="698"/>
        <v>0.14400000000000002</v>
      </c>
      <c r="S6996" s="217">
        <f t="shared" si="699"/>
        <v>0.14400000000000002</v>
      </c>
    </row>
    <row r="6997" spans="1:19" ht="15.75" hidden="1" thickBot="1" x14ac:dyDescent="0.3">
      <c r="A6997" s="263"/>
      <c r="B6997" s="261"/>
      <c r="C6997" s="54"/>
      <c r="D6997" s="54"/>
      <c r="E6997" s="65"/>
      <c r="F6997" s="66" t="s">
        <v>416</v>
      </c>
      <c r="G6997" s="66" t="str">
        <f t="shared" si="694"/>
        <v/>
      </c>
      <c r="H6997" s="68"/>
      <c r="I6997" s="30"/>
      <c r="J6997" s="152">
        <v>0</v>
      </c>
      <c r="L6997" s="222"/>
      <c r="M6997" s="66"/>
      <c r="N6997" s="66" t="str">
        <f t="shared" si="695"/>
        <v/>
      </c>
      <c r="O6997" s="68"/>
      <c r="P6997" s="36" t="str">
        <f t="shared" si="696"/>
        <v/>
      </c>
      <c r="Q6997" s="216" t="str">
        <f t="shared" si="697"/>
        <v/>
      </c>
      <c r="R6997" s="216" t="str">
        <f t="shared" si="698"/>
        <v/>
      </c>
      <c r="S6997" s="217" t="str">
        <f t="shared" si="699"/>
        <v/>
      </c>
    </row>
    <row r="6998" spans="1:19" ht="15.75" hidden="1" thickBot="1" x14ac:dyDescent="0.3">
      <c r="A6998" s="256" t="s">
        <v>6312</v>
      </c>
      <c r="B6998" s="259" t="str">
        <f>INDEX(Orçamentária!A:B,MATCH(Composições!A6998,Orçamentária!A:A,0),2)</f>
        <v>Joelho 90° CPVC 28 mm – Linha Residencial</v>
      </c>
      <c r="C6998" s="40"/>
      <c r="D6998" s="25" t="s">
        <v>16</v>
      </c>
      <c r="E6998" s="26"/>
      <c r="F6998" s="41" t="s">
        <v>416</v>
      </c>
      <c r="G6998" s="27" t="str">
        <f t="shared" si="694"/>
        <v/>
      </c>
      <c r="H6998" s="28"/>
      <c r="I6998" s="29"/>
      <c r="J6998" s="152">
        <v>0</v>
      </c>
      <c r="L6998" s="218"/>
      <c r="M6998" s="41"/>
      <c r="N6998" s="27" t="str">
        <f t="shared" si="695"/>
        <v/>
      </c>
      <c r="O6998" s="28"/>
      <c r="P6998" s="36" t="str">
        <f t="shared" si="696"/>
        <v/>
      </c>
      <c r="Q6998" s="216" t="str">
        <f t="shared" si="697"/>
        <v/>
      </c>
      <c r="R6998" s="216" t="str">
        <f t="shared" si="698"/>
        <v/>
      </c>
      <c r="S6998" s="217" t="str">
        <f t="shared" si="699"/>
        <v/>
      </c>
    </row>
    <row r="6999" spans="1:19" ht="15.75" hidden="1" thickBot="1" x14ac:dyDescent="0.3">
      <c r="A6999" s="262"/>
      <c r="B6999" s="260"/>
      <c r="C6999" s="31"/>
      <c r="D6999" s="31"/>
      <c r="E6999" s="32"/>
      <c r="F6999" s="42" t="s">
        <v>416</v>
      </c>
      <c r="G6999" s="30" t="str">
        <f t="shared" si="694"/>
        <v/>
      </c>
      <c r="H6999" s="34"/>
      <c r="I6999" s="30"/>
      <c r="J6999" s="152">
        <v>0</v>
      </c>
      <c r="L6999" s="219"/>
      <c r="M6999" s="42"/>
      <c r="N6999" s="30" t="str">
        <f t="shared" si="695"/>
        <v/>
      </c>
      <c r="O6999" s="34"/>
      <c r="P6999" s="36" t="str">
        <f t="shared" si="696"/>
        <v/>
      </c>
      <c r="Q6999" s="216" t="str">
        <f t="shared" si="697"/>
        <v/>
      </c>
      <c r="R6999" s="216" t="str">
        <f t="shared" si="698"/>
        <v/>
      </c>
      <c r="S6999" s="217" t="str">
        <f t="shared" si="699"/>
        <v/>
      </c>
    </row>
    <row r="7000" spans="1:19" ht="15.75" hidden="1" thickBot="1" x14ac:dyDescent="0.3">
      <c r="A7000" s="262"/>
      <c r="B7000" s="260"/>
      <c r="C7000" s="35" t="s">
        <v>8182</v>
      </c>
      <c r="D7000" s="35" t="s">
        <v>213</v>
      </c>
      <c r="E7000" s="36">
        <v>1</v>
      </c>
      <c r="F7000" s="30">
        <v>6.3459999999999992</v>
      </c>
      <c r="G7000" s="30">
        <f t="shared" si="694"/>
        <v>6.3459999999999992</v>
      </c>
      <c r="H7000" s="38">
        <f>SUM(G7000:G7000)</f>
        <v>6.3459999999999992</v>
      </c>
      <c r="I7000" s="39"/>
      <c r="J7000" s="152">
        <v>0</v>
      </c>
      <c r="L7000" s="215">
        <v>1</v>
      </c>
      <c r="M7000" s="30">
        <v>5.4321759999999992</v>
      </c>
      <c r="N7000" s="30">
        <f t="shared" si="695"/>
        <v>5.4321759999999992</v>
      </c>
      <c r="O7000" s="38">
        <f>SUM(N7000:N7000)</f>
        <v>5.4321759999999992</v>
      </c>
      <c r="P7000" s="36" t="str">
        <f t="shared" si="696"/>
        <v/>
      </c>
      <c r="Q7000" s="216">
        <f t="shared" si="697"/>
        <v>0.14400000000000002</v>
      </c>
      <c r="R7000" s="216">
        <f t="shared" si="698"/>
        <v>0.14400000000000002</v>
      </c>
      <c r="S7000" s="217">
        <f t="shared" si="699"/>
        <v>0.14400000000000002</v>
      </c>
    </row>
    <row r="7001" spans="1:19" ht="15.75" hidden="1" thickBot="1" x14ac:dyDescent="0.3">
      <c r="A7001" s="263"/>
      <c r="B7001" s="261"/>
      <c r="C7001" s="54"/>
      <c r="D7001" s="54"/>
      <c r="E7001" s="65"/>
      <c r="F7001" s="66" t="s">
        <v>416</v>
      </c>
      <c r="G7001" s="66" t="str">
        <f t="shared" si="694"/>
        <v/>
      </c>
      <c r="H7001" s="68"/>
      <c r="I7001" s="30"/>
      <c r="J7001" s="152">
        <v>0</v>
      </c>
      <c r="L7001" s="222"/>
      <c r="M7001" s="66"/>
      <c r="N7001" s="66" t="str">
        <f t="shared" si="695"/>
        <v/>
      </c>
      <c r="O7001" s="68"/>
      <c r="P7001" s="36" t="str">
        <f t="shared" si="696"/>
        <v/>
      </c>
      <c r="Q7001" s="216" t="str">
        <f t="shared" si="697"/>
        <v/>
      </c>
      <c r="R7001" s="216" t="str">
        <f t="shared" si="698"/>
        <v/>
      </c>
      <c r="S7001" s="217" t="str">
        <f t="shared" si="699"/>
        <v/>
      </c>
    </row>
    <row r="7002" spans="1:19" ht="15.75" hidden="1" thickBot="1" x14ac:dyDescent="0.3">
      <c r="A7002" s="256" t="s">
        <v>6313</v>
      </c>
      <c r="B7002" s="259" t="str">
        <f>INDEX(Orçamentária!A:B,MATCH(Composições!A7002,Orçamentária!A:A,0),2)</f>
        <v>Joelho 90° PVC soldável água fria DN 60 mm</v>
      </c>
      <c r="C7002" s="40"/>
      <c r="D7002" s="25" t="s">
        <v>16</v>
      </c>
      <c r="E7002" s="26"/>
      <c r="F7002" s="41" t="s">
        <v>416</v>
      </c>
      <c r="G7002" s="27" t="str">
        <f t="shared" si="694"/>
        <v/>
      </c>
      <c r="H7002" s="28"/>
      <c r="I7002" s="29"/>
      <c r="J7002" s="152">
        <v>0</v>
      </c>
      <c r="L7002" s="218"/>
      <c r="M7002" s="41"/>
      <c r="N7002" s="27" t="str">
        <f t="shared" si="695"/>
        <v/>
      </c>
      <c r="O7002" s="28"/>
      <c r="P7002" s="36" t="str">
        <f t="shared" si="696"/>
        <v/>
      </c>
      <c r="Q7002" s="216" t="str">
        <f t="shared" si="697"/>
        <v/>
      </c>
      <c r="R7002" s="216" t="str">
        <f t="shared" si="698"/>
        <v/>
      </c>
      <c r="S7002" s="217" t="str">
        <f t="shared" si="699"/>
        <v/>
      </c>
    </row>
    <row r="7003" spans="1:19" ht="15.75" hidden="1" thickBot="1" x14ac:dyDescent="0.3">
      <c r="A7003" s="262"/>
      <c r="B7003" s="260"/>
      <c r="C7003" s="31"/>
      <c r="D7003" s="31"/>
      <c r="E7003" s="32"/>
      <c r="F7003" s="42" t="s">
        <v>416</v>
      </c>
      <c r="G7003" s="30" t="str">
        <f t="shared" si="694"/>
        <v/>
      </c>
      <c r="H7003" s="34"/>
      <c r="I7003" s="30"/>
      <c r="J7003" s="152">
        <v>0</v>
      </c>
      <c r="L7003" s="219"/>
      <c r="M7003" s="42"/>
      <c r="N7003" s="30" t="str">
        <f t="shared" si="695"/>
        <v/>
      </c>
      <c r="O7003" s="34"/>
      <c r="P7003" s="36" t="str">
        <f t="shared" si="696"/>
        <v/>
      </c>
      <c r="Q7003" s="216" t="str">
        <f t="shared" si="697"/>
        <v/>
      </c>
      <c r="R7003" s="216" t="str">
        <f t="shared" si="698"/>
        <v/>
      </c>
      <c r="S7003" s="217" t="str">
        <f t="shared" si="699"/>
        <v/>
      </c>
    </row>
    <row r="7004" spans="1:19" ht="26.25" hidden="1" thickBot="1" x14ac:dyDescent="0.3">
      <c r="A7004" s="262"/>
      <c r="B7004" s="260"/>
      <c r="C7004" s="35" t="s">
        <v>8203</v>
      </c>
      <c r="D7004" s="35" t="s">
        <v>213</v>
      </c>
      <c r="E7004" s="36">
        <v>1</v>
      </c>
      <c r="F7004" s="30">
        <v>28.604499999999998</v>
      </c>
      <c r="G7004" s="30">
        <f t="shared" si="694"/>
        <v>28.604499999999998</v>
      </c>
      <c r="H7004" s="38">
        <f>SUM(G7004:G7004)</f>
        <v>28.604499999999998</v>
      </c>
      <c r="I7004" s="39"/>
      <c r="J7004" s="152">
        <v>0</v>
      </c>
      <c r="L7004" s="215">
        <v>1</v>
      </c>
      <c r="M7004" s="30">
        <v>24.485451999999999</v>
      </c>
      <c r="N7004" s="30">
        <f t="shared" si="695"/>
        <v>24.485451999999999</v>
      </c>
      <c r="O7004" s="38">
        <f>SUM(N7004:N7004)</f>
        <v>24.485451999999999</v>
      </c>
      <c r="P7004" s="36" t="str">
        <f t="shared" si="696"/>
        <v/>
      </c>
      <c r="Q7004" s="216">
        <f t="shared" si="697"/>
        <v>0.14400000000000002</v>
      </c>
      <c r="R7004" s="216">
        <f t="shared" si="698"/>
        <v>0.14400000000000002</v>
      </c>
      <c r="S7004" s="217">
        <f t="shared" si="699"/>
        <v>0.14400000000000002</v>
      </c>
    </row>
    <row r="7005" spans="1:19" ht="15.75" hidden="1" thickBot="1" x14ac:dyDescent="0.3">
      <c r="A7005" s="263"/>
      <c r="B7005" s="261"/>
      <c r="C7005" s="54"/>
      <c r="D7005" s="54"/>
      <c r="E7005" s="65"/>
      <c r="F7005" s="66" t="s">
        <v>416</v>
      </c>
      <c r="G7005" s="66" t="str">
        <f t="shared" si="694"/>
        <v/>
      </c>
      <c r="H7005" s="68"/>
      <c r="I7005" s="30"/>
      <c r="J7005" s="152">
        <v>0</v>
      </c>
      <c r="L7005" s="222"/>
      <c r="M7005" s="66"/>
      <c r="N7005" s="66" t="str">
        <f t="shared" si="695"/>
        <v/>
      </c>
      <c r="O7005" s="68"/>
      <c r="P7005" s="36" t="str">
        <f t="shared" si="696"/>
        <v/>
      </c>
      <c r="Q7005" s="216" t="str">
        <f t="shared" si="697"/>
        <v/>
      </c>
      <c r="R7005" s="216" t="str">
        <f t="shared" si="698"/>
        <v/>
      </c>
      <c r="S7005" s="217" t="str">
        <f t="shared" si="699"/>
        <v/>
      </c>
    </row>
    <row r="7006" spans="1:19" ht="15.75" hidden="1" thickBot="1" x14ac:dyDescent="0.3">
      <c r="A7006" s="256" t="s">
        <v>6314</v>
      </c>
      <c r="B7006" s="259" t="str">
        <f>INDEX(Orçamentária!A:B,MATCH(Composições!A7006,Orçamentária!A:A,0),2)</f>
        <v>Tê 90° PVC soldável água fria DN 60 mm</v>
      </c>
      <c r="C7006" s="40"/>
      <c r="D7006" s="25" t="s">
        <v>16</v>
      </c>
      <c r="E7006" s="26"/>
      <c r="F7006" s="41" t="s">
        <v>416</v>
      </c>
      <c r="G7006" s="27" t="str">
        <f t="shared" si="694"/>
        <v/>
      </c>
      <c r="H7006" s="28"/>
      <c r="I7006" s="29"/>
      <c r="J7006" s="152">
        <v>0</v>
      </c>
      <c r="L7006" s="218"/>
      <c r="M7006" s="41"/>
      <c r="N7006" s="27" t="str">
        <f t="shared" si="695"/>
        <v/>
      </c>
      <c r="O7006" s="28"/>
      <c r="P7006" s="36" t="str">
        <f t="shared" si="696"/>
        <v/>
      </c>
      <c r="Q7006" s="216" t="str">
        <f t="shared" si="697"/>
        <v/>
      </c>
      <c r="R7006" s="216" t="str">
        <f t="shared" si="698"/>
        <v/>
      </c>
      <c r="S7006" s="217" t="str">
        <f t="shared" si="699"/>
        <v/>
      </c>
    </row>
    <row r="7007" spans="1:19" ht="15.75" hidden="1" thickBot="1" x14ac:dyDescent="0.3">
      <c r="A7007" s="262"/>
      <c r="B7007" s="260"/>
      <c r="C7007" s="31"/>
      <c r="D7007" s="31"/>
      <c r="E7007" s="32"/>
      <c r="F7007" s="42" t="s">
        <v>416</v>
      </c>
      <c r="G7007" s="30" t="str">
        <f t="shared" si="694"/>
        <v/>
      </c>
      <c r="H7007" s="34"/>
      <c r="I7007" s="30"/>
      <c r="J7007" s="152">
        <v>0</v>
      </c>
      <c r="L7007" s="219"/>
      <c r="M7007" s="42"/>
      <c r="N7007" s="30" t="str">
        <f t="shared" si="695"/>
        <v/>
      </c>
      <c r="O7007" s="34"/>
      <c r="P7007" s="36" t="str">
        <f t="shared" si="696"/>
        <v/>
      </c>
      <c r="Q7007" s="216" t="str">
        <f t="shared" si="697"/>
        <v/>
      </c>
      <c r="R7007" s="216" t="str">
        <f t="shared" si="698"/>
        <v/>
      </c>
      <c r="S7007" s="217" t="str">
        <f t="shared" si="699"/>
        <v/>
      </c>
    </row>
    <row r="7008" spans="1:19" ht="26.25" hidden="1" thickBot="1" x14ac:dyDescent="0.3">
      <c r="A7008" s="262"/>
      <c r="B7008" s="260"/>
      <c r="C7008" s="35" t="s">
        <v>8413</v>
      </c>
      <c r="D7008" s="35" t="s">
        <v>213</v>
      </c>
      <c r="E7008" s="36">
        <v>1</v>
      </c>
      <c r="F7008" s="30">
        <v>30.59</v>
      </c>
      <c r="G7008" s="30">
        <f t="shared" si="694"/>
        <v>30.59</v>
      </c>
      <c r="H7008" s="38">
        <f>SUM(G7008:G7008)</f>
        <v>30.59</v>
      </c>
      <c r="I7008" s="39"/>
      <c r="J7008" s="152">
        <v>0</v>
      </c>
      <c r="L7008" s="215">
        <v>1</v>
      </c>
      <c r="M7008" s="30">
        <v>26.185040000000001</v>
      </c>
      <c r="N7008" s="30">
        <f t="shared" si="695"/>
        <v>26.185040000000001</v>
      </c>
      <c r="O7008" s="38">
        <f>SUM(N7008:N7008)</f>
        <v>26.185040000000001</v>
      </c>
      <c r="P7008" s="36" t="str">
        <f t="shared" si="696"/>
        <v/>
      </c>
      <c r="Q7008" s="216">
        <f t="shared" si="697"/>
        <v>0.14400000000000002</v>
      </c>
      <c r="R7008" s="216">
        <f t="shared" si="698"/>
        <v>0.14400000000000002</v>
      </c>
      <c r="S7008" s="217">
        <f t="shared" si="699"/>
        <v>0.14400000000000002</v>
      </c>
    </row>
    <row r="7009" spans="1:19" ht="15.75" hidden="1" thickBot="1" x14ac:dyDescent="0.3">
      <c r="A7009" s="263"/>
      <c r="B7009" s="261"/>
      <c r="C7009" s="54"/>
      <c r="D7009" s="54"/>
      <c r="E7009" s="65"/>
      <c r="F7009" s="66" t="s">
        <v>416</v>
      </c>
      <c r="G7009" s="66" t="str">
        <f t="shared" si="694"/>
        <v/>
      </c>
      <c r="H7009" s="68"/>
      <c r="I7009" s="30"/>
      <c r="J7009" s="152">
        <v>0</v>
      </c>
      <c r="L7009" s="222"/>
      <c r="M7009" s="66"/>
      <c r="N7009" s="66" t="str">
        <f t="shared" si="695"/>
        <v/>
      </c>
      <c r="O7009" s="68"/>
      <c r="P7009" s="36" t="str">
        <f t="shared" si="696"/>
        <v/>
      </c>
      <c r="Q7009" s="216" t="str">
        <f t="shared" si="697"/>
        <v/>
      </c>
      <c r="R7009" s="216" t="str">
        <f t="shared" si="698"/>
        <v/>
      </c>
      <c r="S7009" s="217" t="str">
        <f t="shared" si="699"/>
        <v/>
      </c>
    </row>
    <row r="7010" spans="1:19" ht="15.75" hidden="1" thickBot="1" x14ac:dyDescent="0.3">
      <c r="A7010" s="256" t="s">
        <v>6319</v>
      </c>
      <c r="B7010" s="259" t="str">
        <f>INDEX(Orçamentária!A:B,MATCH(Composições!A7010,Orçamentária!A:A,0),2)</f>
        <v>Tubo PEAD corrugado para drenagem – Diâmetro 110 mm</v>
      </c>
      <c r="C7010" s="40"/>
      <c r="D7010" s="25" t="s">
        <v>69</v>
      </c>
      <c r="E7010" s="26"/>
      <c r="F7010" s="41" t="s">
        <v>416</v>
      </c>
      <c r="G7010" s="27" t="str">
        <f t="shared" si="694"/>
        <v/>
      </c>
      <c r="H7010" s="28"/>
      <c r="I7010" s="29"/>
      <c r="J7010" s="152">
        <v>0</v>
      </c>
      <c r="L7010" s="218"/>
      <c r="M7010" s="41"/>
      <c r="N7010" s="27" t="str">
        <f t="shared" si="695"/>
        <v/>
      </c>
      <c r="O7010" s="28"/>
      <c r="P7010" s="36" t="str">
        <f t="shared" si="696"/>
        <v/>
      </c>
      <c r="Q7010" s="216" t="str">
        <f t="shared" si="697"/>
        <v/>
      </c>
      <c r="R7010" s="216" t="str">
        <f t="shared" si="698"/>
        <v/>
      </c>
      <c r="S7010" s="217" t="str">
        <f t="shared" si="699"/>
        <v/>
      </c>
    </row>
    <row r="7011" spans="1:19" ht="15.75" hidden="1" thickBot="1" x14ac:dyDescent="0.3">
      <c r="A7011" s="262"/>
      <c r="B7011" s="260"/>
      <c r="C7011" s="31"/>
      <c r="D7011" s="31"/>
      <c r="E7011" s="32"/>
      <c r="F7011" s="42" t="s">
        <v>416</v>
      </c>
      <c r="G7011" s="30" t="str">
        <f t="shared" si="694"/>
        <v/>
      </c>
      <c r="H7011" s="34"/>
      <c r="I7011" s="30"/>
      <c r="J7011" s="152">
        <v>0</v>
      </c>
      <c r="L7011" s="219"/>
      <c r="M7011" s="42"/>
      <c r="N7011" s="30" t="str">
        <f t="shared" si="695"/>
        <v/>
      </c>
      <c r="O7011" s="34"/>
      <c r="P7011" s="36" t="str">
        <f t="shared" si="696"/>
        <v/>
      </c>
      <c r="Q7011" s="216" t="str">
        <f t="shared" si="697"/>
        <v/>
      </c>
      <c r="R7011" s="216" t="str">
        <f t="shared" si="698"/>
        <v/>
      </c>
      <c r="S7011" s="217" t="str">
        <f t="shared" si="699"/>
        <v/>
      </c>
    </row>
    <row r="7012" spans="1:19" ht="39" hidden="1" thickBot="1" x14ac:dyDescent="0.3">
      <c r="A7012" s="262"/>
      <c r="B7012" s="260"/>
      <c r="C7012" s="35" t="s">
        <v>962</v>
      </c>
      <c r="D7012" s="35" t="s">
        <v>385</v>
      </c>
      <c r="E7012" s="36">
        <v>1</v>
      </c>
      <c r="F7012" s="30">
        <v>10.754</v>
      </c>
      <c r="G7012" s="30">
        <f t="shared" si="694"/>
        <v>10.754</v>
      </c>
      <c r="H7012" s="38">
        <f>SUM(G7012:G7012)</f>
        <v>10.754</v>
      </c>
      <c r="I7012" s="39"/>
      <c r="J7012" s="152">
        <v>0</v>
      </c>
      <c r="L7012" s="215">
        <v>1</v>
      </c>
      <c r="M7012" s="30">
        <v>9.2054240000000007</v>
      </c>
      <c r="N7012" s="30">
        <f t="shared" si="695"/>
        <v>9.2054240000000007</v>
      </c>
      <c r="O7012" s="38">
        <f>SUM(N7012:N7012)</f>
        <v>9.2054240000000007</v>
      </c>
      <c r="P7012" s="36" t="str">
        <f t="shared" si="696"/>
        <v/>
      </c>
      <c r="Q7012" s="216">
        <f t="shared" si="697"/>
        <v>0.14399999999999991</v>
      </c>
      <c r="R7012" s="216">
        <f t="shared" si="698"/>
        <v>0.14399999999999991</v>
      </c>
      <c r="S7012" s="217">
        <f t="shared" si="699"/>
        <v>0.14399999999999991</v>
      </c>
    </row>
    <row r="7013" spans="1:19" ht="15.75" hidden="1" thickBot="1" x14ac:dyDescent="0.3">
      <c r="A7013" s="263"/>
      <c r="B7013" s="261"/>
      <c r="C7013" s="54"/>
      <c r="D7013" s="54"/>
      <c r="E7013" s="65"/>
      <c r="F7013" s="66" t="s">
        <v>416</v>
      </c>
      <c r="G7013" s="66" t="str">
        <f t="shared" si="694"/>
        <v/>
      </c>
      <c r="H7013" s="68"/>
      <c r="I7013" s="30"/>
      <c r="J7013" s="152">
        <v>0</v>
      </c>
      <c r="L7013" s="222"/>
      <c r="M7013" s="66"/>
      <c r="N7013" s="66" t="str">
        <f t="shared" si="695"/>
        <v/>
      </c>
      <c r="O7013" s="68"/>
      <c r="P7013" s="36" t="str">
        <f t="shared" si="696"/>
        <v/>
      </c>
      <c r="Q7013" s="216" t="str">
        <f t="shared" si="697"/>
        <v/>
      </c>
      <c r="R7013" s="216" t="str">
        <f t="shared" si="698"/>
        <v/>
      </c>
      <c r="S7013" s="217" t="str">
        <f t="shared" si="699"/>
        <v/>
      </c>
    </row>
    <row r="7014" spans="1:19" ht="15.75" hidden="1" thickBot="1" x14ac:dyDescent="0.3">
      <c r="A7014" s="256" t="s">
        <v>6320</v>
      </c>
      <c r="B7014" s="259" t="str">
        <f>INDEX(Orçamentária!A:B,MATCH(Composições!A7014,Orçamentária!A:A,0),2)</f>
        <v>Tubo PVC para Calha 88 mm</v>
      </c>
      <c r="C7014" s="40"/>
      <c r="D7014" s="25" t="s">
        <v>69</v>
      </c>
      <c r="E7014" s="26"/>
      <c r="F7014" s="41" t="s">
        <v>416</v>
      </c>
      <c r="G7014" s="27" t="str">
        <f t="shared" si="694"/>
        <v/>
      </c>
      <c r="H7014" s="28"/>
      <c r="I7014" s="29"/>
      <c r="J7014" s="152">
        <v>0</v>
      </c>
      <c r="L7014" s="218"/>
      <c r="M7014" s="41"/>
      <c r="N7014" s="27" t="str">
        <f t="shared" si="695"/>
        <v/>
      </c>
      <c r="O7014" s="28"/>
      <c r="P7014" s="36" t="str">
        <f t="shared" si="696"/>
        <v/>
      </c>
      <c r="Q7014" s="216" t="str">
        <f t="shared" si="697"/>
        <v/>
      </c>
      <c r="R7014" s="216" t="str">
        <f t="shared" si="698"/>
        <v/>
      </c>
      <c r="S7014" s="217" t="str">
        <f t="shared" si="699"/>
        <v/>
      </c>
    </row>
    <row r="7015" spans="1:19" ht="15.75" hidden="1" thickBot="1" x14ac:dyDescent="0.3">
      <c r="A7015" s="262"/>
      <c r="B7015" s="260"/>
      <c r="C7015" s="31"/>
      <c r="D7015" s="31"/>
      <c r="E7015" s="32"/>
      <c r="F7015" s="42" t="s">
        <v>416</v>
      </c>
      <c r="G7015" s="30" t="str">
        <f t="shared" si="694"/>
        <v/>
      </c>
      <c r="H7015" s="34"/>
      <c r="I7015" s="30"/>
      <c r="J7015" s="152">
        <v>0</v>
      </c>
      <c r="L7015" s="219"/>
      <c r="M7015" s="42"/>
      <c r="N7015" s="30" t="str">
        <f t="shared" si="695"/>
        <v/>
      </c>
      <c r="O7015" s="34"/>
      <c r="P7015" s="36" t="str">
        <f t="shared" si="696"/>
        <v/>
      </c>
      <c r="Q7015" s="216" t="str">
        <f t="shared" si="697"/>
        <v/>
      </c>
      <c r="R7015" s="216" t="str">
        <f t="shared" si="698"/>
        <v/>
      </c>
      <c r="S7015" s="217" t="str">
        <f t="shared" si="699"/>
        <v/>
      </c>
    </row>
    <row r="7016" spans="1:19" ht="26.25" hidden="1" thickBot="1" x14ac:dyDescent="0.3">
      <c r="A7016" s="262"/>
      <c r="B7016" s="260"/>
      <c r="C7016" s="35" t="s">
        <v>8080</v>
      </c>
      <c r="D7016" s="35" t="s">
        <v>385</v>
      </c>
      <c r="E7016" s="36">
        <v>1</v>
      </c>
      <c r="F7016" s="30">
        <v>43.272499999999994</v>
      </c>
      <c r="G7016" s="30">
        <f t="shared" si="694"/>
        <v>43.272499999999994</v>
      </c>
      <c r="H7016" s="38">
        <f>SUM(G7016:G7016)</f>
        <v>43.272499999999994</v>
      </c>
      <c r="I7016" s="39"/>
      <c r="J7016" s="152">
        <v>0</v>
      </c>
      <c r="L7016" s="215">
        <v>1</v>
      </c>
      <c r="M7016" s="30">
        <v>37.041259999999994</v>
      </c>
      <c r="N7016" s="30">
        <f t="shared" si="695"/>
        <v>37.041259999999994</v>
      </c>
      <c r="O7016" s="38">
        <f>SUM(N7016:N7016)</f>
        <v>37.041259999999994</v>
      </c>
      <c r="P7016" s="36" t="str">
        <f t="shared" si="696"/>
        <v/>
      </c>
      <c r="Q7016" s="216">
        <f t="shared" si="697"/>
        <v>0.14400000000000002</v>
      </c>
      <c r="R7016" s="216">
        <f t="shared" si="698"/>
        <v>0.14400000000000002</v>
      </c>
      <c r="S7016" s="217">
        <f t="shared" si="699"/>
        <v>0.14400000000000002</v>
      </c>
    </row>
    <row r="7017" spans="1:19" ht="15.75" hidden="1" thickBot="1" x14ac:dyDescent="0.3">
      <c r="A7017" s="263"/>
      <c r="B7017" s="261"/>
      <c r="C7017" s="54"/>
      <c r="D7017" s="54"/>
      <c r="E7017" s="65"/>
      <c r="F7017" s="66" t="s">
        <v>416</v>
      </c>
      <c r="G7017" s="66" t="str">
        <f t="shared" si="694"/>
        <v/>
      </c>
      <c r="H7017" s="68"/>
      <c r="I7017" s="30"/>
      <c r="J7017" s="152">
        <v>0</v>
      </c>
      <c r="L7017" s="222"/>
      <c r="M7017" s="66"/>
      <c r="N7017" s="66" t="str">
        <f t="shared" si="695"/>
        <v/>
      </c>
      <c r="O7017" s="68"/>
      <c r="P7017" s="36" t="str">
        <f t="shared" si="696"/>
        <v/>
      </c>
      <c r="Q7017" s="216" t="str">
        <f t="shared" si="697"/>
        <v/>
      </c>
      <c r="R7017" s="216" t="str">
        <f t="shared" si="698"/>
        <v/>
      </c>
      <c r="S7017" s="217" t="str">
        <f t="shared" si="699"/>
        <v/>
      </c>
    </row>
    <row r="7018" spans="1:19" ht="15.75" hidden="1" thickBot="1" x14ac:dyDescent="0.3">
      <c r="A7018" s="256" t="s">
        <v>6321</v>
      </c>
      <c r="B7018" s="259" t="str">
        <f>INDEX(Orçamentária!A:B,MATCH(Composições!A7018,Orçamentária!A:A,0),2)</f>
        <v>Luva de Correr PVC esgoto ou águas pluviais predial DN 100 mm</v>
      </c>
      <c r="C7018" s="40"/>
      <c r="D7018" s="25" t="s">
        <v>16</v>
      </c>
      <c r="E7018" s="26"/>
      <c r="F7018" s="41" t="s">
        <v>416</v>
      </c>
      <c r="G7018" s="27" t="str">
        <f t="shared" si="694"/>
        <v/>
      </c>
      <c r="H7018" s="28"/>
      <c r="I7018" s="29"/>
      <c r="J7018" s="152">
        <v>0</v>
      </c>
      <c r="L7018" s="218"/>
      <c r="M7018" s="41"/>
      <c r="N7018" s="27" t="str">
        <f t="shared" si="695"/>
        <v/>
      </c>
      <c r="O7018" s="28"/>
      <c r="P7018" s="36" t="str">
        <f t="shared" si="696"/>
        <v/>
      </c>
      <c r="Q7018" s="216" t="str">
        <f t="shared" si="697"/>
        <v/>
      </c>
      <c r="R7018" s="216" t="str">
        <f t="shared" si="698"/>
        <v/>
      </c>
      <c r="S7018" s="217" t="str">
        <f t="shared" si="699"/>
        <v/>
      </c>
    </row>
    <row r="7019" spans="1:19" ht="15.75" hidden="1" thickBot="1" x14ac:dyDescent="0.3">
      <c r="A7019" s="262"/>
      <c r="B7019" s="260"/>
      <c r="C7019" s="31"/>
      <c r="D7019" s="31"/>
      <c r="E7019" s="32"/>
      <c r="F7019" s="42" t="s">
        <v>416</v>
      </c>
      <c r="G7019" s="30" t="str">
        <f t="shared" si="694"/>
        <v/>
      </c>
      <c r="H7019" s="34"/>
      <c r="I7019" s="30"/>
      <c r="J7019" s="152">
        <v>0</v>
      </c>
      <c r="L7019" s="219"/>
      <c r="M7019" s="42"/>
      <c r="N7019" s="30" t="str">
        <f t="shared" si="695"/>
        <v/>
      </c>
      <c r="O7019" s="34"/>
      <c r="P7019" s="36" t="str">
        <f t="shared" si="696"/>
        <v/>
      </c>
      <c r="Q7019" s="216" t="str">
        <f t="shared" si="697"/>
        <v/>
      </c>
      <c r="R7019" s="216" t="str">
        <f t="shared" si="698"/>
        <v/>
      </c>
      <c r="S7019" s="217" t="str">
        <f t="shared" si="699"/>
        <v/>
      </c>
    </row>
    <row r="7020" spans="1:19" ht="15.75" hidden="1" thickBot="1" x14ac:dyDescent="0.3">
      <c r="A7020" s="262"/>
      <c r="B7020" s="260"/>
      <c r="C7020" s="35" t="s">
        <v>8248</v>
      </c>
      <c r="D7020" s="35" t="s">
        <v>213</v>
      </c>
      <c r="E7020" s="36">
        <v>1</v>
      </c>
      <c r="F7020" s="30">
        <v>24.0825</v>
      </c>
      <c r="G7020" s="30">
        <f t="shared" si="694"/>
        <v>24.0825</v>
      </c>
      <c r="H7020" s="38">
        <f>SUM(G7020:G7020)</f>
        <v>24.0825</v>
      </c>
      <c r="I7020" s="39"/>
      <c r="J7020" s="152">
        <v>0</v>
      </c>
      <c r="L7020" s="215">
        <v>1</v>
      </c>
      <c r="M7020" s="30">
        <v>20.614619999999999</v>
      </c>
      <c r="N7020" s="30">
        <f t="shared" si="695"/>
        <v>20.614619999999999</v>
      </c>
      <c r="O7020" s="38">
        <f>SUM(N7020:N7020)</f>
        <v>20.614619999999999</v>
      </c>
      <c r="P7020" s="36" t="str">
        <f t="shared" si="696"/>
        <v/>
      </c>
      <c r="Q7020" s="216">
        <f t="shared" si="697"/>
        <v>0.14400000000000002</v>
      </c>
      <c r="R7020" s="216">
        <f t="shared" si="698"/>
        <v>0.14400000000000002</v>
      </c>
      <c r="S7020" s="217">
        <f t="shared" si="699"/>
        <v>0.14400000000000002</v>
      </c>
    </row>
    <row r="7021" spans="1:19" ht="15.75" hidden="1" thickBot="1" x14ac:dyDescent="0.3">
      <c r="A7021" s="263"/>
      <c r="B7021" s="261"/>
      <c r="C7021" s="54"/>
      <c r="D7021" s="54"/>
      <c r="E7021" s="65"/>
      <c r="F7021" s="66" t="s">
        <v>416</v>
      </c>
      <c r="G7021" s="66" t="str">
        <f t="shared" si="694"/>
        <v/>
      </c>
      <c r="H7021" s="68"/>
      <c r="I7021" s="30"/>
      <c r="J7021" s="152">
        <v>0</v>
      </c>
      <c r="L7021" s="222"/>
      <c r="M7021" s="66"/>
      <c r="N7021" s="66" t="str">
        <f t="shared" si="695"/>
        <v/>
      </c>
      <c r="O7021" s="68"/>
      <c r="P7021" s="36" t="str">
        <f t="shared" si="696"/>
        <v/>
      </c>
      <c r="Q7021" s="216" t="str">
        <f t="shared" si="697"/>
        <v/>
      </c>
      <c r="R7021" s="216" t="str">
        <f t="shared" si="698"/>
        <v/>
      </c>
      <c r="S7021" s="217" t="str">
        <f t="shared" si="699"/>
        <v/>
      </c>
    </row>
    <row r="7022" spans="1:19" ht="15.75" hidden="1" thickBot="1" x14ac:dyDescent="0.3">
      <c r="A7022" s="256" t="s">
        <v>6323</v>
      </c>
      <c r="B7022" s="259" t="str">
        <f>INDEX(Orçamentária!A:B,MATCH(Composições!A7022,Orçamentária!A:A,0),2)</f>
        <v>Luva de transição CPVC 1/2” x 22 mm  – Linha Residencial</v>
      </c>
      <c r="C7022" s="40"/>
      <c r="D7022" s="25" t="s">
        <v>16</v>
      </c>
      <c r="E7022" s="26"/>
      <c r="F7022" s="41" t="s">
        <v>416</v>
      </c>
      <c r="G7022" s="27" t="str">
        <f t="shared" si="694"/>
        <v/>
      </c>
      <c r="H7022" s="28"/>
      <c r="I7022" s="29"/>
      <c r="J7022" s="152">
        <v>0</v>
      </c>
      <c r="L7022" s="218"/>
      <c r="M7022" s="41"/>
      <c r="N7022" s="27" t="str">
        <f t="shared" si="695"/>
        <v/>
      </c>
      <c r="O7022" s="28"/>
      <c r="P7022" s="36" t="str">
        <f t="shared" si="696"/>
        <v/>
      </c>
      <c r="Q7022" s="216" t="str">
        <f t="shared" si="697"/>
        <v/>
      </c>
      <c r="R7022" s="216" t="str">
        <f t="shared" si="698"/>
        <v/>
      </c>
      <c r="S7022" s="217" t="str">
        <f t="shared" si="699"/>
        <v/>
      </c>
    </row>
    <row r="7023" spans="1:19" ht="15.75" hidden="1" thickBot="1" x14ac:dyDescent="0.3">
      <c r="A7023" s="262"/>
      <c r="B7023" s="260"/>
      <c r="C7023" s="31"/>
      <c r="D7023" s="31"/>
      <c r="E7023" s="32"/>
      <c r="F7023" s="42" t="s">
        <v>416</v>
      </c>
      <c r="G7023" s="30" t="str">
        <f t="shared" si="694"/>
        <v/>
      </c>
      <c r="H7023" s="34"/>
      <c r="I7023" s="30"/>
      <c r="J7023" s="152">
        <v>0</v>
      </c>
      <c r="L7023" s="219"/>
      <c r="M7023" s="42"/>
      <c r="N7023" s="30" t="str">
        <f t="shared" si="695"/>
        <v/>
      </c>
      <c r="O7023" s="34"/>
      <c r="P7023" s="36" t="str">
        <f t="shared" si="696"/>
        <v/>
      </c>
      <c r="Q7023" s="216" t="str">
        <f t="shared" si="697"/>
        <v/>
      </c>
      <c r="R7023" s="216" t="str">
        <f t="shared" si="698"/>
        <v/>
      </c>
      <c r="S7023" s="217" t="str">
        <f t="shared" si="699"/>
        <v/>
      </c>
    </row>
    <row r="7024" spans="1:19" ht="15.75" hidden="1" thickBot="1" x14ac:dyDescent="0.3">
      <c r="A7024" s="262"/>
      <c r="B7024" s="260"/>
      <c r="C7024" s="35" t="s">
        <v>8252</v>
      </c>
      <c r="D7024" s="35" t="s">
        <v>213</v>
      </c>
      <c r="E7024" s="36">
        <v>1</v>
      </c>
      <c r="F7024" s="30">
        <v>7.7424999999999997</v>
      </c>
      <c r="G7024" s="30">
        <f t="shared" si="694"/>
        <v>7.7424999999999997</v>
      </c>
      <c r="H7024" s="38">
        <f>SUM(G7024:G7024)</f>
        <v>7.7424999999999997</v>
      </c>
      <c r="I7024" s="39"/>
      <c r="J7024" s="152">
        <v>0</v>
      </c>
      <c r="L7024" s="215">
        <v>1</v>
      </c>
      <c r="M7024" s="30">
        <v>6.62758</v>
      </c>
      <c r="N7024" s="30">
        <f t="shared" si="695"/>
        <v>6.62758</v>
      </c>
      <c r="O7024" s="38">
        <f>SUM(N7024:N7024)</f>
        <v>6.62758</v>
      </c>
      <c r="P7024" s="36" t="str">
        <f t="shared" si="696"/>
        <v/>
      </c>
      <c r="Q7024" s="216">
        <f t="shared" si="697"/>
        <v>0.14400000000000002</v>
      </c>
      <c r="R7024" s="216">
        <f t="shared" si="698"/>
        <v>0.14400000000000002</v>
      </c>
      <c r="S7024" s="217">
        <f t="shared" si="699"/>
        <v>0.14400000000000002</v>
      </c>
    </row>
    <row r="7025" spans="1:19" ht="15.75" hidden="1" thickBot="1" x14ac:dyDescent="0.3">
      <c r="A7025" s="263"/>
      <c r="B7025" s="261"/>
      <c r="C7025" s="54"/>
      <c r="D7025" s="54"/>
      <c r="E7025" s="65"/>
      <c r="F7025" s="66" t="s">
        <v>416</v>
      </c>
      <c r="G7025" s="66" t="str">
        <f t="shared" si="694"/>
        <v/>
      </c>
      <c r="H7025" s="68"/>
      <c r="I7025" s="30"/>
      <c r="J7025" s="152">
        <v>0</v>
      </c>
      <c r="L7025" s="222"/>
      <c r="M7025" s="66"/>
      <c r="N7025" s="66" t="str">
        <f t="shared" si="695"/>
        <v/>
      </c>
      <c r="O7025" s="68"/>
      <c r="P7025" s="36" t="str">
        <f t="shared" si="696"/>
        <v/>
      </c>
      <c r="Q7025" s="216" t="str">
        <f t="shared" si="697"/>
        <v/>
      </c>
      <c r="R7025" s="216" t="str">
        <f t="shared" si="698"/>
        <v/>
      </c>
      <c r="S7025" s="217" t="str">
        <f t="shared" si="699"/>
        <v/>
      </c>
    </row>
    <row r="7026" spans="1:19" ht="15.75" hidden="1" thickBot="1" x14ac:dyDescent="0.3">
      <c r="A7026" s="256" t="s">
        <v>6325</v>
      </c>
      <c r="B7026" s="259" t="str">
        <f>INDEX(Orçamentária!A:B,MATCH(Composições!A7026,Orçamentária!A:A,0),2)</f>
        <v>Luva em aço-carbono galvanizado 2 1/2” - Água Potável e Combate a Incêndio</v>
      </c>
      <c r="C7026" s="40"/>
      <c r="D7026" s="25" t="s">
        <v>16</v>
      </c>
      <c r="E7026" s="26"/>
      <c r="F7026" s="41" t="s">
        <v>416</v>
      </c>
      <c r="G7026" s="27" t="str">
        <f t="shared" ref="G7026:G7089" si="700">IF(ISNUMBER(F7026),E7026*F7026,"")</f>
        <v/>
      </c>
      <c r="H7026" s="28"/>
      <c r="I7026" s="29"/>
      <c r="J7026" s="152">
        <v>0</v>
      </c>
      <c r="L7026" s="218"/>
      <c r="M7026" s="41"/>
      <c r="N7026" s="27" t="str">
        <f t="shared" ref="N7026:N7089" si="701">IF(ISNUMBER(M7026),L7026*M7026,"")</f>
        <v/>
      </c>
      <c r="O7026" s="28"/>
      <c r="P7026" s="36" t="str">
        <f t="shared" si="696"/>
        <v/>
      </c>
      <c r="Q7026" s="216" t="str">
        <f t="shared" si="697"/>
        <v/>
      </c>
      <c r="R7026" s="216" t="str">
        <f t="shared" si="698"/>
        <v/>
      </c>
      <c r="S7026" s="217" t="str">
        <f t="shared" si="699"/>
        <v/>
      </c>
    </row>
    <row r="7027" spans="1:19" ht="15.75" hidden="1" thickBot="1" x14ac:dyDescent="0.3">
      <c r="A7027" s="262"/>
      <c r="B7027" s="260"/>
      <c r="C7027" s="31"/>
      <c r="D7027" s="31"/>
      <c r="E7027" s="32"/>
      <c r="F7027" s="42" t="s">
        <v>416</v>
      </c>
      <c r="G7027" s="30" t="str">
        <f t="shared" si="700"/>
        <v/>
      </c>
      <c r="H7027" s="34"/>
      <c r="I7027" s="30"/>
      <c r="J7027" s="152">
        <v>0</v>
      </c>
      <c r="L7027" s="219"/>
      <c r="M7027" s="42"/>
      <c r="N7027" s="30" t="str">
        <f t="shared" si="701"/>
        <v/>
      </c>
      <c r="O7027" s="34"/>
      <c r="P7027" s="36" t="str">
        <f t="shared" si="696"/>
        <v/>
      </c>
      <c r="Q7027" s="216" t="str">
        <f t="shared" si="697"/>
        <v/>
      </c>
      <c r="R7027" s="216" t="str">
        <f t="shared" si="698"/>
        <v/>
      </c>
      <c r="S7027" s="217" t="str">
        <f t="shared" si="699"/>
        <v/>
      </c>
    </row>
    <row r="7028" spans="1:19" ht="26.25" hidden="1" thickBot="1" x14ac:dyDescent="0.3">
      <c r="A7028" s="262"/>
      <c r="B7028" s="260"/>
      <c r="C7028" s="35" t="s">
        <v>8266</v>
      </c>
      <c r="D7028" s="35" t="s">
        <v>213</v>
      </c>
      <c r="E7028" s="36">
        <v>1</v>
      </c>
      <c r="F7028" s="30">
        <v>10.620999999999999</v>
      </c>
      <c r="G7028" s="30">
        <f t="shared" si="700"/>
        <v>10.620999999999999</v>
      </c>
      <c r="H7028" s="38">
        <f>SUM(G7028:G7028)</f>
        <v>10.620999999999999</v>
      </c>
      <c r="I7028" s="39"/>
      <c r="J7028" s="152">
        <v>0</v>
      </c>
      <c r="L7028" s="215">
        <v>1</v>
      </c>
      <c r="M7028" s="30">
        <v>9.0915759999999999</v>
      </c>
      <c r="N7028" s="30">
        <f t="shared" si="701"/>
        <v>9.0915759999999999</v>
      </c>
      <c r="O7028" s="38">
        <f>SUM(N7028:N7028)</f>
        <v>9.0915759999999999</v>
      </c>
      <c r="P7028" s="36" t="str">
        <f t="shared" si="696"/>
        <v/>
      </c>
      <c r="Q7028" s="216">
        <f t="shared" si="697"/>
        <v>0.14399999999999991</v>
      </c>
      <c r="R7028" s="216">
        <f t="shared" si="698"/>
        <v>0.14399999999999991</v>
      </c>
      <c r="S7028" s="217">
        <f t="shared" si="699"/>
        <v>0.14399999999999991</v>
      </c>
    </row>
    <row r="7029" spans="1:19" ht="15.75" hidden="1" thickBot="1" x14ac:dyDescent="0.3">
      <c r="A7029" s="263"/>
      <c r="B7029" s="261"/>
      <c r="C7029" s="54"/>
      <c r="D7029" s="54"/>
      <c r="E7029" s="65"/>
      <c r="F7029" s="66" t="s">
        <v>416</v>
      </c>
      <c r="G7029" s="66" t="str">
        <f t="shared" si="700"/>
        <v/>
      </c>
      <c r="H7029" s="68"/>
      <c r="I7029" s="30"/>
      <c r="J7029" s="152">
        <v>0</v>
      </c>
      <c r="L7029" s="222"/>
      <c r="M7029" s="66"/>
      <c r="N7029" s="66" t="str">
        <f t="shared" si="701"/>
        <v/>
      </c>
      <c r="O7029" s="68"/>
      <c r="P7029" s="36" t="str">
        <f t="shared" si="696"/>
        <v/>
      </c>
      <c r="Q7029" s="216" t="str">
        <f t="shared" si="697"/>
        <v/>
      </c>
      <c r="R7029" s="216" t="str">
        <f t="shared" si="698"/>
        <v/>
      </c>
      <c r="S7029" s="217" t="str">
        <f t="shared" si="699"/>
        <v/>
      </c>
    </row>
    <row r="7030" spans="1:19" ht="15.75" hidden="1" thickBot="1" x14ac:dyDescent="0.3">
      <c r="A7030" s="256" t="s">
        <v>6327</v>
      </c>
      <c r="B7030" s="259" t="str">
        <f>INDEX(Orçamentária!A:B,MATCH(Composições!A7030,Orçamentária!A:A,0),2)</f>
        <v>Luva em aço-carbono galvanizado 2” - Água Potável e Combate a Incêndio</v>
      </c>
      <c r="C7030" s="40"/>
      <c r="D7030" s="25" t="s">
        <v>16</v>
      </c>
      <c r="E7030" s="26"/>
      <c r="F7030" s="41" t="s">
        <v>416</v>
      </c>
      <c r="G7030" s="27" t="str">
        <f t="shared" si="700"/>
        <v/>
      </c>
      <c r="H7030" s="28"/>
      <c r="I7030" s="29"/>
      <c r="J7030" s="152">
        <v>0</v>
      </c>
      <c r="L7030" s="218"/>
      <c r="M7030" s="41"/>
      <c r="N7030" s="27" t="str">
        <f t="shared" si="701"/>
        <v/>
      </c>
      <c r="O7030" s="28"/>
      <c r="P7030" s="36" t="str">
        <f t="shared" si="696"/>
        <v/>
      </c>
      <c r="Q7030" s="216" t="str">
        <f t="shared" si="697"/>
        <v/>
      </c>
      <c r="R7030" s="216" t="str">
        <f t="shared" si="698"/>
        <v/>
      </c>
      <c r="S7030" s="217" t="str">
        <f t="shared" si="699"/>
        <v/>
      </c>
    </row>
    <row r="7031" spans="1:19" ht="15.75" hidden="1" thickBot="1" x14ac:dyDescent="0.3">
      <c r="A7031" s="262"/>
      <c r="B7031" s="260"/>
      <c r="C7031" s="31"/>
      <c r="D7031" s="31"/>
      <c r="E7031" s="32"/>
      <c r="F7031" s="42" t="s">
        <v>416</v>
      </c>
      <c r="G7031" s="30" t="str">
        <f t="shared" si="700"/>
        <v/>
      </c>
      <c r="H7031" s="34"/>
      <c r="I7031" s="30"/>
      <c r="J7031" s="152">
        <v>0</v>
      </c>
      <c r="L7031" s="219"/>
      <c r="M7031" s="42"/>
      <c r="N7031" s="30" t="str">
        <f t="shared" si="701"/>
        <v/>
      </c>
      <c r="O7031" s="34"/>
      <c r="P7031" s="36" t="str">
        <f t="shared" si="696"/>
        <v/>
      </c>
      <c r="Q7031" s="216" t="str">
        <f t="shared" si="697"/>
        <v/>
      </c>
      <c r="R7031" s="216" t="str">
        <f t="shared" si="698"/>
        <v/>
      </c>
      <c r="S7031" s="217" t="str">
        <f t="shared" si="699"/>
        <v/>
      </c>
    </row>
    <row r="7032" spans="1:19" ht="26.25" hidden="1" thickBot="1" x14ac:dyDescent="0.3">
      <c r="A7032" s="262"/>
      <c r="B7032" s="260"/>
      <c r="C7032" s="35" t="s">
        <v>8265</v>
      </c>
      <c r="D7032" s="35" t="s">
        <v>213</v>
      </c>
      <c r="E7032" s="36">
        <v>1</v>
      </c>
      <c r="F7032" s="30">
        <v>7.2770000000000001</v>
      </c>
      <c r="G7032" s="30">
        <f t="shared" si="700"/>
        <v>7.2770000000000001</v>
      </c>
      <c r="H7032" s="38">
        <f>SUM(G7032:G7032)</f>
        <v>7.2770000000000001</v>
      </c>
      <c r="I7032" s="39"/>
      <c r="J7032" s="152">
        <v>0</v>
      </c>
      <c r="L7032" s="215">
        <v>1</v>
      </c>
      <c r="M7032" s="30">
        <v>6.2291120000000006</v>
      </c>
      <c r="N7032" s="30">
        <f t="shared" si="701"/>
        <v>6.2291120000000006</v>
      </c>
      <c r="O7032" s="38">
        <f>SUM(N7032:N7032)</f>
        <v>6.2291120000000006</v>
      </c>
      <c r="P7032" s="36" t="str">
        <f t="shared" si="696"/>
        <v/>
      </c>
      <c r="Q7032" s="216">
        <f t="shared" si="697"/>
        <v>0.14399999999999991</v>
      </c>
      <c r="R7032" s="216">
        <f t="shared" si="698"/>
        <v>0.14399999999999991</v>
      </c>
      <c r="S7032" s="217">
        <f t="shared" si="699"/>
        <v>0.14399999999999991</v>
      </c>
    </row>
    <row r="7033" spans="1:19" ht="15.75" hidden="1" thickBot="1" x14ac:dyDescent="0.3">
      <c r="A7033" s="263"/>
      <c r="B7033" s="261"/>
      <c r="C7033" s="54"/>
      <c r="D7033" s="54"/>
      <c r="E7033" s="65"/>
      <c r="F7033" s="66" t="s">
        <v>416</v>
      </c>
      <c r="G7033" s="66" t="str">
        <f t="shared" si="700"/>
        <v/>
      </c>
      <c r="H7033" s="68"/>
      <c r="I7033" s="30"/>
      <c r="J7033" s="152">
        <v>0</v>
      </c>
      <c r="L7033" s="222"/>
      <c r="M7033" s="66"/>
      <c r="N7033" s="66" t="str">
        <f t="shared" si="701"/>
        <v/>
      </c>
      <c r="O7033" s="68"/>
      <c r="P7033" s="36" t="str">
        <f t="shared" si="696"/>
        <v/>
      </c>
      <c r="Q7033" s="216" t="str">
        <f t="shared" si="697"/>
        <v/>
      </c>
      <c r="R7033" s="216" t="str">
        <f t="shared" si="698"/>
        <v/>
      </c>
      <c r="S7033" s="217" t="str">
        <f t="shared" si="699"/>
        <v/>
      </c>
    </row>
    <row r="7034" spans="1:19" ht="15.75" hidden="1" thickBot="1" x14ac:dyDescent="0.3">
      <c r="A7034" s="256" t="s">
        <v>6329</v>
      </c>
      <c r="B7034" s="259" t="str">
        <f>INDEX(Orçamentária!A:B,MATCH(Composições!A7034,Orçamentária!A:A,0),2)</f>
        <v>Luva em aço-carbono galvanizado 3” - Água Potável e Combate a Incêndio</v>
      </c>
      <c r="C7034" s="40"/>
      <c r="D7034" s="25" t="s">
        <v>16</v>
      </c>
      <c r="E7034" s="26"/>
      <c r="F7034" s="41" t="s">
        <v>416</v>
      </c>
      <c r="G7034" s="27" t="str">
        <f t="shared" si="700"/>
        <v/>
      </c>
      <c r="H7034" s="28"/>
      <c r="I7034" s="29"/>
      <c r="J7034" s="152">
        <v>0</v>
      </c>
      <c r="L7034" s="218"/>
      <c r="M7034" s="41"/>
      <c r="N7034" s="27" t="str">
        <f t="shared" si="701"/>
        <v/>
      </c>
      <c r="O7034" s="28"/>
      <c r="P7034" s="36" t="str">
        <f t="shared" si="696"/>
        <v/>
      </c>
      <c r="Q7034" s="216" t="str">
        <f t="shared" si="697"/>
        <v/>
      </c>
      <c r="R7034" s="216" t="str">
        <f t="shared" si="698"/>
        <v/>
      </c>
      <c r="S7034" s="217" t="str">
        <f t="shared" si="699"/>
        <v/>
      </c>
    </row>
    <row r="7035" spans="1:19" ht="15.75" hidden="1" thickBot="1" x14ac:dyDescent="0.3">
      <c r="A7035" s="262"/>
      <c r="B7035" s="260"/>
      <c r="C7035" s="31"/>
      <c r="D7035" s="31"/>
      <c r="E7035" s="32"/>
      <c r="F7035" s="42" t="s">
        <v>416</v>
      </c>
      <c r="G7035" s="30" t="str">
        <f t="shared" si="700"/>
        <v/>
      </c>
      <c r="H7035" s="34"/>
      <c r="I7035" s="30"/>
      <c r="J7035" s="152">
        <v>0</v>
      </c>
      <c r="L7035" s="219"/>
      <c r="M7035" s="42"/>
      <c r="N7035" s="30" t="str">
        <f t="shared" si="701"/>
        <v/>
      </c>
      <c r="O7035" s="34"/>
      <c r="P7035" s="36" t="str">
        <f t="shared" si="696"/>
        <v/>
      </c>
      <c r="Q7035" s="216" t="str">
        <f t="shared" si="697"/>
        <v/>
      </c>
      <c r="R7035" s="216" t="str">
        <f t="shared" si="698"/>
        <v/>
      </c>
      <c r="S7035" s="217" t="str">
        <f t="shared" si="699"/>
        <v/>
      </c>
    </row>
    <row r="7036" spans="1:19" ht="26.25" hidden="1" thickBot="1" x14ac:dyDescent="0.3">
      <c r="A7036" s="262"/>
      <c r="B7036" s="260"/>
      <c r="C7036" s="35" t="s">
        <v>8267</v>
      </c>
      <c r="D7036" s="35" t="s">
        <v>213</v>
      </c>
      <c r="E7036" s="36">
        <v>1</v>
      </c>
      <c r="F7036" s="30">
        <v>16.1785</v>
      </c>
      <c r="G7036" s="30">
        <f t="shared" si="700"/>
        <v>16.1785</v>
      </c>
      <c r="H7036" s="38">
        <f>SUM(G7036:G7036)</f>
        <v>16.1785</v>
      </c>
      <c r="I7036" s="39"/>
      <c r="J7036" s="152">
        <v>0</v>
      </c>
      <c r="L7036" s="215">
        <v>1</v>
      </c>
      <c r="M7036" s="30">
        <v>13.848796</v>
      </c>
      <c r="N7036" s="30">
        <f t="shared" si="701"/>
        <v>13.848796</v>
      </c>
      <c r="O7036" s="38">
        <f>SUM(N7036:N7036)</f>
        <v>13.848796</v>
      </c>
      <c r="P7036" s="36" t="str">
        <f t="shared" si="696"/>
        <v/>
      </c>
      <c r="Q7036" s="216">
        <f t="shared" si="697"/>
        <v>0.14400000000000002</v>
      </c>
      <c r="R7036" s="216">
        <f t="shared" si="698"/>
        <v>0.14400000000000002</v>
      </c>
      <c r="S7036" s="217">
        <f t="shared" si="699"/>
        <v>0.14400000000000002</v>
      </c>
    </row>
    <row r="7037" spans="1:19" ht="15.75" hidden="1" thickBot="1" x14ac:dyDescent="0.3">
      <c r="A7037" s="263"/>
      <c r="B7037" s="261"/>
      <c r="C7037" s="54"/>
      <c r="D7037" s="54"/>
      <c r="E7037" s="65"/>
      <c r="F7037" s="66" t="s">
        <v>416</v>
      </c>
      <c r="G7037" s="66" t="str">
        <f t="shared" si="700"/>
        <v/>
      </c>
      <c r="H7037" s="68"/>
      <c r="I7037" s="30"/>
      <c r="J7037" s="152">
        <v>0</v>
      </c>
      <c r="L7037" s="222"/>
      <c r="M7037" s="66"/>
      <c r="N7037" s="66" t="str">
        <f t="shared" si="701"/>
        <v/>
      </c>
      <c r="O7037" s="68"/>
      <c r="P7037" s="36" t="str">
        <f t="shared" si="696"/>
        <v/>
      </c>
      <c r="Q7037" s="216" t="str">
        <f t="shared" si="697"/>
        <v/>
      </c>
      <c r="R7037" s="216" t="str">
        <f t="shared" si="698"/>
        <v/>
      </c>
      <c r="S7037" s="217" t="str">
        <f t="shared" si="699"/>
        <v/>
      </c>
    </row>
    <row r="7038" spans="1:19" ht="15.75" hidden="1" thickBot="1" x14ac:dyDescent="0.3">
      <c r="A7038" s="256" t="s">
        <v>6331</v>
      </c>
      <c r="B7038" s="259" t="str">
        <f>INDEX(Orçamentária!A:B,MATCH(Composições!A7038,Orçamentária!A:A,0),2)</f>
        <v>Tê 45° (Junção) em aço-carbono galvanizado 2 1/2” – Água Potável e Combate a Incêndio</v>
      </c>
      <c r="C7038" s="40"/>
      <c r="D7038" s="25" t="s">
        <v>16</v>
      </c>
      <c r="E7038" s="26"/>
      <c r="F7038" s="41" t="s">
        <v>416</v>
      </c>
      <c r="G7038" s="27" t="str">
        <f t="shared" si="700"/>
        <v/>
      </c>
      <c r="H7038" s="28"/>
      <c r="I7038" s="29"/>
      <c r="J7038" s="152">
        <v>0</v>
      </c>
      <c r="L7038" s="218"/>
      <c r="M7038" s="41"/>
      <c r="N7038" s="27" t="str">
        <f t="shared" si="701"/>
        <v/>
      </c>
      <c r="O7038" s="28"/>
      <c r="P7038" s="36" t="str">
        <f t="shared" si="696"/>
        <v/>
      </c>
      <c r="Q7038" s="216" t="str">
        <f t="shared" si="697"/>
        <v/>
      </c>
      <c r="R7038" s="216" t="str">
        <f t="shared" si="698"/>
        <v/>
      </c>
      <c r="S7038" s="217" t="str">
        <f t="shared" si="699"/>
        <v/>
      </c>
    </row>
    <row r="7039" spans="1:19" ht="15.75" hidden="1" thickBot="1" x14ac:dyDescent="0.3">
      <c r="A7039" s="262"/>
      <c r="B7039" s="260"/>
      <c r="C7039" s="31"/>
      <c r="D7039" s="31"/>
      <c r="E7039" s="32"/>
      <c r="F7039" s="42" t="s">
        <v>416</v>
      </c>
      <c r="G7039" s="30" t="str">
        <f t="shared" si="700"/>
        <v/>
      </c>
      <c r="H7039" s="34"/>
      <c r="I7039" s="30"/>
      <c r="J7039" s="152">
        <v>0</v>
      </c>
      <c r="L7039" s="219"/>
      <c r="M7039" s="42"/>
      <c r="N7039" s="30" t="str">
        <f t="shared" si="701"/>
        <v/>
      </c>
      <c r="O7039" s="34"/>
      <c r="P7039" s="36" t="str">
        <f t="shared" si="696"/>
        <v/>
      </c>
      <c r="Q7039" s="216" t="str">
        <f t="shared" si="697"/>
        <v/>
      </c>
      <c r="R7039" s="216" t="str">
        <f t="shared" si="698"/>
        <v/>
      </c>
      <c r="S7039" s="217" t="str">
        <f t="shared" si="699"/>
        <v/>
      </c>
    </row>
    <row r="7040" spans="1:19" ht="15.75" hidden="1" thickBot="1" x14ac:dyDescent="0.3">
      <c r="A7040" s="262"/>
      <c r="B7040" s="260"/>
      <c r="C7040" s="35" t="s">
        <v>8417</v>
      </c>
      <c r="D7040" s="35" t="s">
        <v>213</v>
      </c>
      <c r="E7040" s="36">
        <v>1</v>
      </c>
      <c r="F7040" s="30">
        <v>257.04149999999998</v>
      </c>
      <c r="G7040" s="30">
        <f t="shared" si="700"/>
        <v>257.04149999999998</v>
      </c>
      <c r="H7040" s="38">
        <f>SUM(G7040:G7040)</f>
        <v>257.04149999999998</v>
      </c>
      <c r="I7040" s="39"/>
      <c r="J7040" s="152">
        <v>0</v>
      </c>
      <c r="L7040" s="215">
        <v>1</v>
      </c>
      <c r="M7040" s="30">
        <v>220.027524</v>
      </c>
      <c r="N7040" s="30">
        <f t="shared" si="701"/>
        <v>220.027524</v>
      </c>
      <c r="O7040" s="38">
        <f>SUM(N7040:N7040)</f>
        <v>220.027524</v>
      </c>
      <c r="P7040" s="36" t="str">
        <f t="shared" si="696"/>
        <v/>
      </c>
      <c r="Q7040" s="216">
        <f t="shared" si="697"/>
        <v>0.14399999999999991</v>
      </c>
      <c r="R7040" s="216">
        <f t="shared" si="698"/>
        <v>0.14399999999999991</v>
      </c>
      <c r="S7040" s="217">
        <f t="shared" si="699"/>
        <v>0.14399999999999991</v>
      </c>
    </row>
    <row r="7041" spans="1:19" ht="15.75" hidden="1" thickBot="1" x14ac:dyDescent="0.3">
      <c r="A7041" s="263"/>
      <c r="B7041" s="261"/>
      <c r="C7041" s="54"/>
      <c r="D7041" s="54"/>
      <c r="E7041" s="65"/>
      <c r="F7041" s="66" t="s">
        <v>416</v>
      </c>
      <c r="G7041" s="66" t="str">
        <f t="shared" si="700"/>
        <v/>
      </c>
      <c r="H7041" s="68"/>
      <c r="I7041" s="30"/>
      <c r="J7041" s="152">
        <v>0</v>
      </c>
      <c r="L7041" s="222"/>
      <c r="M7041" s="66"/>
      <c r="N7041" s="66" t="str">
        <f t="shared" si="701"/>
        <v/>
      </c>
      <c r="O7041" s="68"/>
      <c r="P7041" s="36" t="str">
        <f t="shared" si="696"/>
        <v/>
      </c>
      <c r="Q7041" s="216" t="str">
        <f t="shared" si="697"/>
        <v/>
      </c>
      <c r="R7041" s="216" t="str">
        <f t="shared" si="698"/>
        <v/>
      </c>
      <c r="S7041" s="217" t="str">
        <f t="shared" si="699"/>
        <v/>
      </c>
    </row>
    <row r="7042" spans="1:19" ht="15.75" hidden="1" thickBot="1" x14ac:dyDescent="0.3">
      <c r="A7042" s="256" t="s">
        <v>6333</v>
      </c>
      <c r="B7042" s="259" t="str">
        <f>INDEX(Orçamentária!A:B,MATCH(Composições!A7042,Orçamentária!A:A,0),2)</f>
        <v>Tê 45° (Junção) em aço-carbono galvanizado 2” – Água Potável e Combate a Incêndio</v>
      </c>
      <c r="C7042" s="40"/>
      <c r="D7042" s="25" t="s">
        <v>16</v>
      </c>
      <c r="E7042" s="26"/>
      <c r="F7042" s="41" t="s">
        <v>416</v>
      </c>
      <c r="G7042" s="27" t="str">
        <f t="shared" si="700"/>
        <v/>
      </c>
      <c r="H7042" s="28"/>
      <c r="I7042" s="29"/>
      <c r="J7042" s="152">
        <v>0</v>
      </c>
      <c r="L7042" s="218"/>
      <c r="M7042" s="41"/>
      <c r="N7042" s="27" t="str">
        <f t="shared" si="701"/>
        <v/>
      </c>
      <c r="O7042" s="28"/>
      <c r="P7042" s="36" t="str">
        <f t="shared" si="696"/>
        <v/>
      </c>
      <c r="Q7042" s="216" t="str">
        <f t="shared" si="697"/>
        <v/>
      </c>
      <c r="R7042" s="216" t="str">
        <f t="shared" si="698"/>
        <v/>
      </c>
      <c r="S7042" s="217" t="str">
        <f t="shared" si="699"/>
        <v/>
      </c>
    </row>
    <row r="7043" spans="1:19" ht="15.75" hidden="1" thickBot="1" x14ac:dyDescent="0.3">
      <c r="A7043" s="262"/>
      <c r="B7043" s="260"/>
      <c r="C7043" s="31"/>
      <c r="D7043" s="31"/>
      <c r="E7043" s="32"/>
      <c r="F7043" s="42" t="s">
        <v>416</v>
      </c>
      <c r="G7043" s="30" t="str">
        <f t="shared" si="700"/>
        <v/>
      </c>
      <c r="H7043" s="34"/>
      <c r="I7043" s="30"/>
      <c r="J7043" s="152">
        <v>0</v>
      </c>
      <c r="L7043" s="219"/>
      <c r="M7043" s="42"/>
      <c r="N7043" s="30" t="str">
        <f t="shared" si="701"/>
        <v/>
      </c>
      <c r="O7043" s="34"/>
      <c r="P7043" s="36" t="str">
        <f t="shared" si="696"/>
        <v/>
      </c>
      <c r="Q7043" s="216" t="str">
        <f t="shared" si="697"/>
        <v/>
      </c>
      <c r="R7043" s="216" t="str">
        <f t="shared" si="698"/>
        <v/>
      </c>
      <c r="S7043" s="217" t="str">
        <f t="shared" si="699"/>
        <v/>
      </c>
    </row>
    <row r="7044" spans="1:19" ht="15.75" hidden="1" thickBot="1" x14ac:dyDescent="0.3">
      <c r="A7044" s="262"/>
      <c r="B7044" s="260"/>
      <c r="C7044" s="35" t="s">
        <v>8418</v>
      </c>
      <c r="D7044" s="35" t="s">
        <v>213</v>
      </c>
      <c r="E7044" s="36">
        <v>1</v>
      </c>
      <c r="F7044" s="30">
        <v>137.96849999999998</v>
      </c>
      <c r="G7044" s="30">
        <f t="shared" si="700"/>
        <v>137.96849999999998</v>
      </c>
      <c r="H7044" s="38">
        <f>SUM(G7044:G7044)</f>
        <v>137.96849999999998</v>
      </c>
      <c r="I7044" s="39"/>
      <c r="J7044" s="152">
        <v>0</v>
      </c>
      <c r="L7044" s="215">
        <v>1</v>
      </c>
      <c r="M7044" s="30">
        <v>118.10103599999998</v>
      </c>
      <c r="N7044" s="30">
        <f t="shared" si="701"/>
        <v>118.10103599999998</v>
      </c>
      <c r="O7044" s="38">
        <f>SUM(N7044:N7044)</f>
        <v>118.10103599999998</v>
      </c>
      <c r="P7044" s="36" t="str">
        <f t="shared" si="696"/>
        <v/>
      </c>
      <c r="Q7044" s="216">
        <f t="shared" si="697"/>
        <v>0.14400000000000002</v>
      </c>
      <c r="R7044" s="216">
        <f t="shared" si="698"/>
        <v>0.14400000000000002</v>
      </c>
      <c r="S7044" s="217">
        <f t="shared" si="699"/>
        <v>0.14400000000000002</v>
      </c>
    </row>
    <row r="7045" spans="1:19" ht="15.75" hidden="1" thickBot="1" x14ac:dyDescent="0.3">
      <c r="A7045" s="263"/>
      <c r="B7045" s="261"/>
      <c r="C7045" s="54"/>
      <c r="D7045" s="54"/>
      <c r="E7045" s="65"/>
      <c r="F7045" s="66" t="s">
        <v>416</v>
      </c>
      <c r="G7045" s="66" t="str">
        <f t="shared" si="700"/>
        <v/>
      </c>
      <c r="H7045" s="68"/>
      <c r="I7045" s="30"/>
      <c r="J7045" s="152">
        <v>0</v>
      </c>
      <c r="L7045" s="222"/>
      <c r="M7045" s="66"/>
      <c r="N7045" s="66" t="str">
        <f t="shared" si="701"/>
        <v/>
      </c>
      <c r="O7045" s="68"/>
      <c r="P7045" s="36" t="str">
        <f t="shared" si="696"/>
        <v/>
      </c>
      <c r="Q7045" s="216" t="str">
        <f t="shared" si="697"/>
        <v/>
      </c>
      <c r="R7045" s="216" t="str">
        <f t="shared" si="698"/>
        <v/>
      </c>
      <c r="S7045" s="217" t="str">
        <f t="shared" si="699"/>
        <v/>
      </c>
    </row>
    <row r="7046" spans="1:19" ht="15.75" hidden="1" thickBot="1" x14ac:dyDescent="0.3">
      <c r="A7046" s="256" t="s">
        <v>6335</v>
      </c>
      <c r="B7046" s="259" t="str">
        <f>INDEX(Orçamentária!A:B,MATCH(Composições!A7046,Orçamentária!A:A,0),2)</f>
        <v>Tê 45° (Junção) em aço-carbono galvanizado 3” – Água Potável e Combate a Incêndio</v>
      </c>
      <c r="C7046" s="40"/>
      <c r="D7046" s="25" t="s">
        <v>16</v>
      </c>
      <c r="E7046" s="26"/>
      <c r="F7046" s="41" t="s">
        <v>416</v>
      </c>
      <c r="G7046" s="27" t="str">
        <f t="shared" si="700"/>
        <v/>
      </c>
      <c r="H7046" s="28"/>
      <c r="I7046" s="29"/>
      <c r="J7046" s="152">
        <v>0</v>
      </c>
      <c r="L7046" s="218"/>
      <c r="M7046" s="41"/>
      <c r="N7046" s="27" t="str">
        <f t="shared" si="701"/>
        <v/>
      </c>
      <c r="O7046" s="28"/>
      <c r="P7046" s="36" t="str">
        <f t="shared" si="696"/>
        <v/>
      </c>
      <c r="Q7046" s="216" t="str">
        <f t="shared" si="697"/>
        <v/>
      </c>
      <c r="R7046" s="216" t="str">
        <f t="shared" si="698"/>
        <v/>
      </c>
      <c r="S7046" s="217" t="str">
        <f t="shared" si="699"/>
        <v/>
      </c>
    </row>
    <row r="7047" spans="1:19" ht="15.75" hidden="1" thickBot="1" x14ac:dyDescent="0.3">
      <c r="A7047" s="262"/>
      <c r="B7047" s="260"/>
      <c r="C7047" s="31"/>
      <c r="D7047" s="31"/>
      <c r="E7047" s="32"/>
      <c r="F7047" s="42" t="s">
        <v>416</v>
      </c>
      <c r="G7047" s="30" t="str">
        <f t="shared" si="700"/>
        <v/>
      </c>
      <c r="H7047" s="34"/>
      <c r="I7047" s="30"/>
      <c r="J7047" s="152">
        <v>0</v>
      </c>
      <c r="L7047" s="219"/>
      <c r="M7047" s="42"/>
      <c r="N7047" s="30" t="str">
        <f t="shared" si="701"/>
        <v/>
      </c>
      <c r="O7047" s="34"/>
      <c r="P7047" s="36" t="str">
        <f t="shared" si="696"/>
        <v/>
      </c>
      <c r="Q7047" s="216" t="str">
        <f t="shared" si="697"/>
        <v/>
      </c>
      <c r="R7047" s="216" t="str">
        <f t="shared" si="698"/>
        <v/>
      </c>
      <c r="S7047" s="217" t="str">
        <f t="shared" si="699"/>
        <v/>
      </c>
    </row>
    <row r="7048" spans="1:19" ht="15.75" hidden="1" thickBot="1" x14ac:dyDescent="0.3">
      <c r="A7048" s="262"/>
      <c r="B7048" s="260"/>
      <c r="C7048" s="35" t="s">
        <v>8419</v>
      </c>
      <c r="D7048" s="35" t="s">
        <v>213</v>
      </c>
      <c r="E7048" s="36">
        <v>1</v>
      </c>
      <c r="F7048" s="30">
        <v>406.30549999999999</v>
      </c>
      <c r="G7048" s="30">
        <f t="shared" si="700"/>
        <v>406.30549999999999</v>
      </c>
      <c r="H7048" s="38">
        <f>SUM(G7048:G7048)</f>
        <v>406.30549999999999</v>
      </c>
      <c r="I7048" s="39"/>
      <c r="J7048" s="152">
        <v>0</v>
      </c>
      <c r="L7048" s="215">
        <v>1</v>
      </c>
      <c r="M7048" s="30">
        <v>347.79750799999999</v>
      </c>
      <c r="N7048" s="30">
        <f t="shared" si="701"/>
        <v>347.79750799999999</v>
      </c>
      <c r="O7048" s="38">
        <f>SUM(N7048:N7048)</f>
        <v>347.79750799999999</v>
      </c>
      <c r="P7048" s="36" t="str">
        <f t="shared" ref="P7048:P7111" si="702">IF(ISBLANK(L7048),"",IF($E7048&lt;&gt;L7048,"SIM",""))</f>
        <v/>
      </c>
      <c r="Q7048" s="216">
        <f t="shared" ref="Q7048:Q7111" si="703">IF(M7048="","",1-M7048/$F7048)</f>
        <v>0.14400000000000002</v>
      </c>
      <c r="R7048" s="216">
        <f t="shared" ref="R7048:R7111" si="704">IF(N7048="","",1-N7048/$G7048)</f>
        <v>0.14400000000000002</v>
      </c>
      <c r="S7048" s="217">
        <f t="shared" ref="S7048:S7111" si="705">IF(O7048="","",1-O7048/$H7048)</f>
        <v>0.14400000000000002</v>
      </c>
    </row>
    <row r="7049" spans="1:19" ht="15.75" hidden="1" thickBot="1" x14ac:dyDescent="0.3">
      <c r="A7049" s="263"/>
      <c r="B7049" s="261"/>
      <c r="C7049" s="54"/>
      <c r="D7049" s="54"/>
      <c r="E7049" s="65"/>
      <c r="F7049" s="66" t="s">
        <v>416</v>
      </c>
      <c r="G7049" s="66" t="str">
        <f t="shared" si="700"/>
        <v/>
      </c>
      <c r="H7049" s="68"/>
      <c r="I7049" s="30"/>
      <c r="J7049" s="152">
        <v>0</v>
      </c>
      <c r="L7049" s="222"/>
      <c r="M7049" s="66"/>
      <c r="N7049" s="66" t="str">
        <f t="shared" si="701"/>
        <v/>
      </c>
      <c r="O7049" s="68"/>
      <c r="P7049" s="36" t="str">
        <f t="shared" si="702"/>
        <v/>
      </c>
      <c r="Q7049" s="216" t="str">
        <f t="shared" si="703"/>
        <v/>
      </c>
      <c r="R7049" s="216" t="str">
        <f t="shared" si="704"/>
        <v/>
      </c>
      <c r="S7049" s="217" t="str">
        <f t="shared" si="705"/>
        <v/>
      </c>
    </row>
    <row r="7050" spans="1:19" ht="15.75" hidden="1" thickBot="1" x14ac:dyDescent="0.3">
      <c r="A7050" s="256" t="s">
        <v>6337</v>
      </c>
      <c r="B7050" s="259" t="str">
        <f>INDEX(Orçamentária!A:B,MATCH(Composições!A7050,Orçamentária!A:A,0),2)</f>
        <v>Tê 45° (Junção) PVC esgoto ou águas pluviais predial DN 75 mm</v>
      </c>
      <c r="C7050" s="40"/>
      <c r="D7050" s="25" t="s">
        <v>16</v>
      </c>
      <c r="E7050" s="26"/>
      <c r="F7050" s="41" t="s">
        <v>416</v>
      </c>
      <c r="G7050" s="27" t="str">
        <f t="shared" si="700"/>
        <v/>
      </c>
      <c r="H7050" s="28"/>
      <c r="I7050" s="29"/>
      <c r="J7050" s="152">
        <v>0</v>
      </c>
      <c r="L7050" s="218"/>
      <c r="M7050" s="41"/>
      <c r="N7050" s="27" t="str">
        <f t="shared" si="701"/>
        <v/>
      </c>
      <c r="O7050" s="28"/>
      <c r="P7050" s="36" t="str">
        <f t="shared" si="702"/>
        <v/>
      </c>
      <c r="Q7050" s="216" t="str">
        <f t="shared" si="703"/>
        <v/>
      </c>
      <c r="R7050" s="216" t="str">
        <f t="shared" si="704"/>
        <v/>
      </c>
      <c r="S7050" s="217" t="str">
        <f t="shared" si="705"/>
        <v/>
      </c>
    </row>
    <row r="7051" spans="1:19" ht="15.75" hidden="1" thickBot="1" x14ac:dyDescent="0.3">
      <c r="A7051" s="262"/>
      <c r="B7051" s="260"/>
      <c r="C7051" s="31"/>
      <c r="D7051" s="31"/>
      <c r="E7051" s="32"/>
      <c r="F7051" s="42" t="s">
        <v>416</v>
      </c>
      <c r="G7051" s="30" t="str">
        <f t="shared" si="700"/>
        <v/>
      </c>
      <c r="H7051" s="34"/>
      <c r="I7051" s="30"/>
      <c r="J7051" s="152">
        <v>0</v>
      </c>
      <c r="L7051" s="219"/>
      <c r="M7051" s="42"/>
      <c r="N7051" s="30" t="str">
        <f t="shared" si="701"/>
        <v/>
      </c>
      <c r="O7051" s="34"/>
      <c r="P7051" s="36" t="str">
        <f t="shared" si="702"/>
        <v/>
      </c>
      <c r="Q7051" s="216" t="str">
        <f t="shared" si="703"/>
        <v/>
      </c>
      <c r="R7051" s="216" t="str">
        <f t="shared" si="704"/>
        <v/>
      </c>
      <c r="S7051" s="217" t="str">
        <f t="shared" si="705"/>
        <v/>
      </c>
    </row>
    <row r="7052" spans="1:19" ht="26.25" hidden="1" thickBot="1" x14ac:dyDescent="0.3">
      <c r="A7052" s="262"/>
      <c r="B7052" s="260"/>
      <c r="C7052" s="35" t="s">
        <v>8215</v>
      </c>
      <c r="D7052" s="35" t="s">
        <v>213</v>
      </c>
      <c r="E7052" s="36">
        <v>1</v>
      </c>
      <c r="F7052" s="30">
        <v>36.308999999999997</v>
      </c>
      <c r="G7052" s="30">
        <f t="shared" si="700"/>
        <v>36.308999999999997</v>
      </c>
      <c r="H7052" s="38">
        <f>SUM(G7052:G7052)</f>
        <v>36.308999999999997</v>
      </c>
      <c r="I7052" s="39"/>
      <c r="J7052" s="152">
        <v>0</v>
      </c>
      <c r="L7052" s="215">
        <v>1</v>
      </c>
      <c r="M7052" s="30">
        <v>31.080503999999998</v>
      </c>
      <c r="N7052" s="30">
        <f t="shared" si="701"/>
        <v>31.080503999999998</v>
      </c>
      <c r="O7052" s="38">
        <f>SUM(N7052:N7052)</f>
        <v>31.080503999999998</v>
      </c>
      <c r="P7052" s="36" t="str">
        <f t="shared" si="702"/>
        <v/>
      </c>
      <c r="Q7052" s="216">
        <f t="shared" si="703"/>
        <v>0.14400000000000002</v>
      </c>
      <c r="R7052" s="216">
        <f t="shared" si="704"/>
        <v>0.14400000000000002</v>
      </c>
      <c r="S7052" s="217">
        <f t="shared" si="705"/>
        <v>0.14400000000000002</v>
      </c>
    </row>
    <row r="7053" spans="1:19" ht="15.75" hidden="1" thickBot="1" x14ac:dyDescent="0.3">
      <c r="A7053" s="263"/>
      <c r="B7053" s="261"/>
      <c r="C7053" s="54"/>
      <c r="D7053" s="54"/>
      <c r="E7053" s="65"/>
      <c r="F7053" s="66" t="s">
        <v>416</v>
      </c>
      <c r="G7053" s="66" t="str">
        <f t="shared" si="700"/>
        <v/>
      </c>
      <c r="H7053" s="68"/>
      <c r="I7053" s="30"/>
      <c r="J7053" s="152">
        <v>0</v>
      </c>
      <c r="L7053" s="222"/>
      <c r="M7053" s="66"/>
      <c r="N7053" s="66" t="str">
        <f t="shared" si="701"/>
        <v/>
      </c>
      <c r="O7053" s="68"/>
      <c r="P7053" s="36" t="str">
        <f t="shared" si="702"/>
        <v/>
      </c>
      <c r="Q7053" s="216" t="str">
        <f t="shared" si="703"/>
        <v/>
      </c>
      <c r="R7053" s="216" t="str">
        <f t="shared" si="704"/>
        <v/>
      </c>
      <c r="S7053" s="217" t="str">
        <f t="shared" si="705"/>
        <v/>
      </c>
    </row>
    <row r="7054" spans="1:19" ht="15.75" hidden="1" thickBot="1" x14ac:dyDescent="0.3">
      <c r="A7054" s="256" t="s">
        <v>6338</v>
      </c>
      <c r="B7054" s="259" t="str">
        <f>INDEX(Orçamentária!A:B,MATCH(Composições!A7054,Orçamentária!A:A,0),2)</f>
        <v>União CPVC 22 mm – Linha Residencial</v>
      </c>
      <c r="C7054" s="40"/>
      <c r="D7054" s="25" t="s">
        <v>16</v>
      </c>
      <c r="E7054" s="26"/>
      <c r="F7054" s="41" t="s">
        <v>416</v>
      </c>
      <c r="G7054" s="27" t="str">
        <f t="shared" si="700"/>
        <v/>
      </c>
      <c r="H7054" s="28"/>
      <c r="I7054" s="29"/>
      <c r="J7054" s="152">
        <v>0</v>
      </c>
      <c r="L7054" s="218"/>
      <c r="M7054" s="41"/>
      <c r="N7054" s="27" t="str">
        <f t="shared" si="701"/>
        <v/>
      </c>
      <c r="O7054" s="28"/>
      <c r="P7054" s="36" t="str">
        <f t="shared" si="702"/>
        <v/>
      </c>
      <c r="Q7054" s="216" t="str">
        <f t="shared" si="703"/>
        <v/>
      </c>
      <c r="R7054" s="216" t="str">
        <f t="shared" si="704"/>
        <v/>
      </c>
      <c r="S7054" s="217" t="str">
        <f t="shared" si="705"/>
        <v/>
      </c>
    </row>
    <row r="7055" spans="1:19" ht="15.75" hidden="1" thickBot="1" x14ac:dyDescent="0.3">
      <c r="A7055" s="262"/>
      <c r="B7055" s="260"/>
      <c r="C7055" s="31"/>
      <c r="D7055" s="31"/>
      <c r="E7055" s="32"/>
      <c r="F7055" s="42" t="s">
        <v>416</v>
      </c>
      <c r="G7055" s="30" t="str">
        <f t="shared" si="700"/>
        <v/>
      </c>
      <c r="H7055" s="34"/>
      <c r="I7055" s="30"/>
      <c r="J7055" s="152">
        <v>0</v>
      </c>
      <c r="L7055" s="219"/>
      <c r="M7055" s="42"/>
      <c r="N7055" s="30" t="str">
        <f t="shared" si="701"/>
        <v/>
      </c>
      <c r="O7055" s="34"/>
      <c r="P7055" s="36" t="str">
        <f t="shared" si="702"/>
        <v/>
      </c>
      <c r="Q7055" s="216" t="str">
        <f t="shared" si="703"/>
        <v/>
      </c>
      <c r="R7055" s="216" t="str">
        <f t="shared" si="704"/>
        <v/>
      </c>
      <c r="S7055" s="217" t="str">
        <f t="shared" si="705"/>
        <v/>
      </c>
    </row>
    <row r="7056" spans="1:19" ht="15.75" hidden="1" thickBot="1" x14ac:dyDescent="0.3">
      <c r="A7056" s="262"/>
      <c r="B7056" s="260"/>
      <c r="C7056" s="35" t="s">
        <v>8488</v>
      </c>
      <c r="D7056" s="35" t="s">
        <v>213</v>
      </c>
      <c r="E7056" s="36">
        <v>1</v>
      </c>
      <c r="F7056" s="30">
        <v>11.266999999999999</v>
      </c>
      <c r="G7056" s="30">
        <f t="shared" si="700"/>
        <v>11.266999999999999</v>
      </c>
      <c r="H7056" s="38">
        <f>SUM(G7056:G7056)</f>
        <v>11.266999999999999</v>
      </c>
      <c r="I7056" s="39"/>
      <c r="J7056" s="152">
        <v>0</v>
      </c>
      <c r="L7056" s="215">
        <v>1</v>
      </c>
      <c r="M7056" s="30">
        <v>9.6445519999999991</v>
      </c>
      <c r="N7056" s="30">
        <f t="shared" si="701"/>
        <v>9.6445519999999991</v>
      </c>
      <c r="O7056" s="38">
        <f>SUM(N7056:N7056)</f>
        <v>9.6445519999999991</v>
      </c>
      <c r="P7056" s="36" t="str">
        <f t="shared" si="702"/>
        <v/>
      </c>
      <c r="Q7056" s="216">
        <f t="shared" si="703"/>
        <v>0.14400000000000002</v>
      </c>
      <c r="R7056" s="216">
        <f t="shared" si="704"/>
        <v>0.14400000000000002</v>
      </c>
      <c r="S7056" s="217">
        <f t="shared" si="705"/>
        <v>0.14400000000000002</v>
      </c>
    </row>
    <row r="7057" spans="1:19" ht="15.75" hidden="1" thickBot="1" x14ac:dyDescent="0.3">
      <c r="A7057" s="263"/>
      <c r="B7057" s="261"/>
      <c r="C7057" s="54"/>
      <c r="D7057" s="54"/>
      <c r="E7057" s="65"/>
      <c r="F7057" s="66" t="s">
        <v>416</v>
      </c>
      <c r="G7057" s="66" t="str">
        <f t="shared" si="700"/>
        <v/>
      </c>
      <c r="H7057" s="68"/>
      <c r="I7057" s="30"/>
      <c r="J7057" s="152">
        <v>0</v>
      </c>
      <c r="L7057" s="222"/>
      <c r="M7057" s="66"/>
      <c r="N7057" s="66" t="str">
        <f t="shared" si="701"/>
        <v/>
      </c>
      <c r="O7057" s="68"/>
      <c r="P7057" s="36" t="str">
        <f t="shared" si="702"/>
        <v/>
      </c>
      <c r="Q7057" s="216" t="str">
        <f t="shared" si="703"/>
        <v/>
      </c>
      <c r="R7057" s="216" t="str">
        <f t="shared" si="704"/>
        <v/>
      </c>
      <c r="S7057" s="217" t="str">
        <f t="shared" si="705"/>
        <v/>
      </c>
    </row>
    <row r="7058" spans="1:19" ht="15.75" hidden="1" thickBot="1" x14ac:dyDescent="0.3">
      <c r="A7058" s="256" t="s">
        <v>6339</v>
      </c>
      <c r="B7058" s="259" t="str">
        <f>INDEX(Orçamentária!A:B,MATCH(Composições!A7058,Orçamentária!A:A,0),2)</f>
        <v>União CPVC 28 mm– Linha Residencial</v>
      </c>
      <c r="C7058" s="40"/>
      <c r="D7058" s="25" t="s">
        <v>16</v>
      </c>
      <c r="E7058" s="26"/>
      <c r="F7058" s="41" t="s">
        <v>416</v>
      </c>
      <c r="G7058" s="27" t="str">
        <f t="shared" si="700"/>
        <v/>
      </c>
      <c r="H7058" s="28"/>
      <c r="I7058" s="29"/>
      <c r="J7058" s="152">
        <v>0</v>
      </c>
      <c r="L7058" s="218"/>
      <c r="M7058" s="41"/>
      <c r="N7058" s="27" t="str">
        <f t="shared" si="701"/>
        <v/>
      </c>
      <c r="O7058" s="28"/>
      <c r="P7058" s="36" t="str">
        <f t="shared" si="702"/>
        <v/>
      </c>
      <c r="Q7058" s="216" t="str">
        <f t="shared" si="703"/>
        <v/>
      </c>
      <c r="R7058" s="216" t="str">
        <f t="shared" si="704"/>
        <v/>
      </c>
      <c r="S7058" s="217" t="str">
        <f t="shared" si="705"/>
        <v/>
      </c>
    </row>
    <row r="7059" spans="1:19" ht="15.75" hidden="1" thickBot="1" x14ac:dyDescent="0.3">
      <c r="A7059" s="262"/>
      <c r="B7059" s="260"/>
      <c r="C7059" s="31"/>
      <c r="D7059" s="31"/>
      <c r="E7059" s="32"/>
      <c r="F7059" s="42" t="s">
        <v>416</v>
      </c>
      <c r="G7059" s="30" t="str">
        <f t="shared" si="700"/>
        <v/>
      </c>
      <c r="H7059" s="34"/>
      <c r="I7059" s="30"/>
      <c r="J7059" s="152">
        <v>0</v>
      </c>
      <c r="L7059" s="219"/>
      <c r="M7059" s="42"/>
      <c r="N7059" s="30" t="str">
        <f t="shared" si="701"/>
        <v/>
      </c>
      <c r="O7059" s="34"/>
      <c r="P7059" s="36" t="str">
        <f t="shared" si="702"/>
        <v/>
      </c>
      <c r="Q7059" s="216" t="str">
        <f t="shared" si="703"/>
        <v/>
      </c>
      <c r="R7059" s="216" t="str">
        <f t="shared" si="704"/>
        <v/>
      </c>
      <c r="S7059" s="217" t="str">
        <f t="shared" si="705"/>
        <v/>
      </c>
    </row>
    <row r="7060" spans="1:19" ht="15.75" hidden="1" thickBot="1" x14ac:dyDescent="0.3">
      <c r="A7060" s="262"/>
      <c r="B7060" s="260"/>
      <c r="C7060" s="35" t="s">
        <v>8489</v>
      </c>
      <c r="D7060" s="35" t="s">
        <v>213</v>
      </c>
      <c r="E7060" s="36">
        <v>1</v>
      </c>
      <c r="F7060" s="30">
        <v>15.000499999999999</v>
      </c>
      <c r="G7060" s="30">
        <f t="shared" si="700"/>
        <v>15.000499999999999</v>
      </c>
      <c r="H7060" s="38">
        <f>SUM(G7060:G7060)</f>
        <v>15.000499999999999</v>
      </c>
      <c r="I7060" s="39"/>
      <c r="J7060" s="152">
        <v>0</v>
      </c>
      <c r="L7060" s="215">
        <v>1</v>
      </c>
      <c r="M7060" s="30">
        <v>12.840427999999999</v>
      </c>
      <c r="N7060" s="30">
        <f t="shared" si="701"/>
        <v>12.840427999999999</v>
      </c>
      <c r="O7060" s="38">
        <f>SUM(N7060:N7060)</f>
        <v>12.840427999999999</v>
      </c>
      <c r="P7060" s="36" t="str">
        <f t="shared" si="702"/>
        <v/>
      </c>
      <c r="Q7060" s="216">
        <f t="shared" si="703"/>
        <v>0.14400000000000002</v>
      </c>
      <c r="R7060" s="216">
        <f t="shared" si="704"/>
        <v>0.14400000000000002</v>
      </c>
      <c r="S7060" s="217">
        <f t="shared" si="705"/>
        <v>0.14400000000000002</v>
      </c>
    </row>
    <row r="7061" spans="1:19" ht="15.75" hidden="1" thickBot="1" x14ac:dyDescent="0.3">
      <c r="A7061" s="263"/>
      <c r="B7061" s="261"/>
      <c r="C7061" s="54"/>
      <c r="D7061" s="54"/>
      <c r="E7061" s="65"/>
      <c r="F7061" s="66" t="s">
        <v>416</v>
      </c>
      <c r="G7061" s="66" t="str">
        <f t="shared" si="700"/>
        <v/>
      </c>
      <c r="H7061" s="68"/>
      <c r="I7061" s="30"/>
      <c r="J7061" s="152">
        <v>0</v>
      </c>
      <c r="L7061" s="222"/>
      <c r="M7061" s="66"/>
      <c r="N7061" s="66" t="str">
        <f t="shared" si="701"/>
        <v/>
      </c>
      <c r="O7061" s="68"/>
      <c r="P7061" s="36" t="str">
        <f t="shared" si="702"/>
        <v/>
      </c>
      <c r="Q7061" s="216" t="str">
        <f t="shared" si="703"/>
        <v/>
      </c>
      <c r="R7061" s="216" t="str">
        <f t="shared" si="704"/>
        <v/>
      </c>
      <c r="S7061" s="217" t="str">
        <f t="shared" si="705"/>
        <v/>
      </c>
    </row>
    <row r="7062" spans="1:19" ht="15.75" hidden="1" thickBot="1" x14ac:dyDescent="0.3">
      <c r="A7062" s="256" t="s">
        <v>6340</v>
      </c>
      <c r="B7062" s="259" t="str">
        <f>INDEX(Orçamentária!A:B,MATCH(Composições!A7062,Orçamentária!A:A,0),2)</f>
        <v>União com assento cônico aço-carbono galvanizado 1 1/2” – Água Potável e Combate a Incêndio</v>
      </c>
      <c r="C7062" s="40"/>
      <c r="D7062" s="25" t="s">
        <v>16</v>
      </c>
      <c r="E7062" s="26"/>
      <c r="F7062" s="41" t="s">
        <v>416</v>
      </c>
      <c r="G7062" s="27" t="str">
        <f t="shared" si="700"/>
        <v/>
      </c>
      <c r="H7062" s="28"/>
      <c r="I7062" s="29"/>
      <c r="J7062" s="152">
        <v>0</v>
      </c>
      <c r="L7062" s="218"/>
      <c r="M7062" s="41"/>
      <c r="N7062" s="27" t="str">
        <f t="shared" si="701"/>
        <v/>
      </c>
      <c r="O7062" s="28"/>
      <c r="P7062" s="36" t="str">
        <f t="shared" si="702"/>
        <v/>
      </c>
      <c r="Q7062" s="216" t="str">
        <f t="shared" si="703"/>
        <v/>
      </c>
      <c r="R7062" s="216" t="str">
        <f t="shared" si="704"/>
        <v/>
      </c>
      <c r="S7062" s="217" t="str">
        <f t="shared" si="705"/>
        <v/>
      </c>
    </row>
    <row r="7063" spans="1:19" ht="15.75" hidden="1" thickBot="1" x14ac:dyDescent="0.3">
      <c r="A7063" s="262"/>
      <c r="B7063" s="260"/>
      <c r="C7063" s="31"/>
      <c r="D7063" s="31"/>
      <c r="E7063" s="32"/>
      <c r="F7063" s="42" t="s">
        <v>416</v>
      </c>
      <c r="G7063" s="30" t="str">
        <f t="shared" si="700"/>
        <v/>
      </c>
      <c r="H7063" s="34"/>
      <c r="I7063" s="30"/>
      <c r="J7063" s="152">
        <v>0</v>
      </c>
      <c r="L7063" s="219"/>
      <c r="M7063" s="42"/>
      <c r="N7063" s="30" t="str">
        <f t="shared" si="701"/>
        <v/>
      </c>
      <c r="O7063" s="34"/>
      <c r="P7063" s="36" t="str">
        <f t="shared" si="702"/>
        <v/>
      </c>
      <c r="Q7063" s="216" t="str">
        <f t="shared" si="703"/>
        <v/>
      </c>
      <c r="R7063" s="216" t="str">
        <f t="shared" si="704"/>
        <v/>
      </c>
      <c r="S7063" s="217" t="str">
        <f t="shared" si="705"/>
        <v/>
      </c>
    </row>
    <row r="7064" spans="1:19" ht="26.25" hidden="1" thickBot="1" x14ac:dyDescent="0.3">
      <c r="A7064" s="262"/>
      <c r="B7064" s="260"/>
      <c r="C7064" s="35" t="s">
        <v>8483</v>
      </c>
      <c r="D7064" s="35" t="s">
        <v>213</v>
      </c>
      <c r="E7064" s="36">
        <v>1</v>
      </c>
      <c r="F7064" s="30">
        <v>68.989000000000004</v>
      </c>
      <c r="G7064" s="30">
        <f t="shared" si="700"/>
        <v>68.989000000000004</v>
      </c>
      <c r="H7064" s="38">
        <f>SUM(G7064:G7064)</f>
        <v>68.989000000000004</v>
      </c>
      <c r="I7064" s="39"/>
      <c r="J7064" s="152">
        <v>0</v>
      </c>
      <c r="L7064" s="215">
        <v>1</v>
      </c>
      <c r="M7064" s="30">
        <v>59.054584000000006</v>
      </c>
      <c r="N7064" s="30">
        <f t="shared" si="701"/>
        <v>59.054584000000006</v>
      </c>
      <c r="O7064" s="38">
        <f>SUM(N7064:N7064)</f>
        <v>59.054584000000006</v>
      </c>
      <c r="P7064" s="36" t="str">
        <f t="shared" si="702"/>
        <v/>
      </c>
      <c r="Q7064" s="216">
        <f t="shared" si="703"/>
        <v>0.14400000000000002</v>
      </c>
      <c r="R7064" s="216">
        <f t="shared" si="704"/>
        <v>0.14400000000000002</v>
      </c>
      <c r="S7064" s="217">
        <f t="shared" si="705"/>
        <v>0.14400000000000002</v>
      </c>
    </row>
    <row r="7065" spans="1:19" ht="15.75" hidden="1" thickBot="1" x14ac:dyDescent="0.3">
      <c r="A7065" s="263"/>
      <c r="B7065" s="261"/>
      <c r="C7065" s="54"/>
      <c r="D7065" s="54"/>
      <c r="E7065" s="65"/>
      <c r="F7065" s="66" t="s">
        <v>416</v>
      </c>
      <c r="G7065" s="66" t="str">
        <f t="shared" si="700"/>
        <v/>
      </c>
      <c r="H7065" s="68"/>
      <c r="I7065" s="30"/>
      <c r="J7065" s="152">
        <v>0</v>
      </c>
      <c r="L7065" s="222"/>
      <c r="M7065" s="66"/>
      <c r="N7065" s="66" t="str">
        <f t="shared" si="701"/>
        <v/>
      </c>
      <c r="O7065" s="68"/>
      <c r="P7065" s="36" t="str">
        <f t="shared" si="702"/>
        <v/>
      </c>
      <c r="Q7065" s="216" t="str">
        <f t="shared" si="703"/>
        <v/>
      </c>
      <c r="R7065" s="216" t="str">
        <f t="shared" si="704"/>
        <v/>
      </c>
      <c r="S7065" s="217" t="str">
        <f t="shared" si="705"/>
        <v/>
      </c>
    </row>
    <row r="7066" spans="1:19" ht="15.75" hidden="1" thickBot="1" x14ac:dyDescent="0.3">
      <c r="A7066" s="256" t="s">
        <v>6342</v>
      </c>
      <c r="B7066" s="259" t="str">
        <f>INDEX(Orçamentária!A:B,MATCH(Composições!A7066,Orçamentária!A:A,0),2)</f>
        <v>União com assento cônico aço-carbono galvanizado 1 1/4” – Água Potável e Combate a Incêndio</v>
      </c>
      <c r="C7066" s="40"/>
      <c r="D7066" s="25" t="s">
        <v>16</v>
      </c>
      <c r="E7066" s="26"/>
      <c r="F7066" s="41" t="s">
        <v>416</v>
      </c>
      <c r="G7066" s="27" t="str">
        <f t="shared" si="700"/>
        <v/>
      </c>
      <c r="H7066" s="28"/>
      <c r="I7066" s="29"/>
      <c r="J7066" s="152">
        <v>0</v>
      </c>
      <c r="L7066" s="218"/>
      <c r="M7066" s="41"/>
      <c r="N7066" s="27" t="str">
        <f t="shared" si="701"/>
        <v/>
      </c>
      <c r="O7066" s="28"/>
      <c r="P7066" s="36" t="str">
        <f t="shared" si="702"/>
        <v/>
      </c>
      <c r="Q7066" s="216" t="str">
        <f t="shared" si="703"/>
        <v/>
      </c>
      <c r="R7066" s="216" t="str">
        <f t="shared" si="704"/>
        <v/>
      </c>
      <c r="S7066" s="217" t="str">
        <f t="shared" si="705"/>
        <v/>
      </c>
    </row>
    <row r="7067" spans="1:19" ht="15.75" hidden="1" thickBot="1" x14ac:dyDescent="0.3">
      <c r="A7067" s="262"/>
      <c r="B7067" s="260"/>
      <c r="C7067" s="31"/>
      <c r="D7067" s="31"/>
      <c r="E7067" s="32"/>
      <c r="F7067" s="42" t="s">
        <v>416</v>
      </c>
      <c r="G7067" s="30" t="str">
        <f t="shared" si="700"/>
        <v/>
      </c>
      <c r="H7067" s="34"/>
      <c r="I7067" s="30"/>
      <c r="J7067" s="152">
        <v>0</v>
      </c>
      <c r="L7067" s="219"/>
      <c r="M7067" s="42"/>
      <c r="N7067" s="30" t="str">
        <f t="shared" si="701"/>
        <v/>
      </c>
      <c r="O7067" s="34"/>
      <c r="P7067" s="36" t="str">
        <f t="shared" si="702"/>
        <v/>
      </c>
      <c r="Q7067" s="216" t="str">
        <f t="shared" si="703"/>
        <v/>
      </c>
      <c r="R7067" s="216" t="str">
        <f t="shared" si="704"/>
        <v/>
      </c>
      <c r="S7067" s="217" t="str">
        <f t="shared" si="705"/>
        <v/>
      </c>
    </row>
    <row r="7068" spans="1:19" ht="26.25" hidden="1" thickBot="1" x14ac:dyDescent="0.3">
      <c r="A7068" s="262"/>
      <c r="B7068" s="260"/>
      <c r="C7068" s="35" t="s">
        <v>8482</v>
      </c>
      <c r="D7068" s="35" t="s">
        <v>213</v>
      </c>
      <c r="E7068" s="36">
        <v>1</v>
      </c>
      <c r="F7068" s="30">
        <v>92.482499999999987</v>
      </c>
      <c r="G7068" s="30">
        <f t="shared" si="700"/>
        <v>92.482499999999987</v>
      </c>
      <c r="H7068" s="38">
        <f>SUM(G7068:G7068)</f>
        <v>92.482499999999987</v>
      </c>
      <c r="I7068" s="39"/>
      <c r="J7068" s="152">
        <v>0</v>
      </c>
      <c r="L7068" s="215">
        <v>1</v>
      </c>
      <c r="M7068" s="30">
        <v>79.165019999999984</v>
      </c>
      <c r="N7068" s="30">
        <f t="shared" si="701"/>
        <v>79.165019999999984</v>
      </c>
      <c r="O7068" s="38">
        <f>SUM(N7068:N7068)</f>
        <v>79.165019999999984</v>
      </c>
      <c r="P7068" s="36" t="str">
        <f t="shared" si="702"/>
        <v/>
      </c>
      <c r="Q7068" s="216">
        <f t="shared" si="703"/>
        <v>0.14400000000000002</v>
      </c>
      <c r="R7068" s="216">
        <f t="shared" si="704"/>
        <v>0.14400000000000002</v>
      </c>
      <c r="S7068" s="217">
        <f t="shared" si="705"/>
        <v>0.14400000000000002</v>
      </c>
    </row>
    <row r="7069" spans="1:19" ht="15.75" hidden="1" thickBot="1" x14ac:dyDescent="0.3">
      <c r="A7069" s="263"/>
      <c r="B7069" s="261"/>
      <c r="C7069" s="54"/>
      <c r="D7069" s="54"/>
      <c r="E7069" s="65"/>
      <c r="F7069" s="66" t="s">
        <v>416</v>
      </c>
      <c r="G7069" s="66" t="str">
        <f t="shared" si="700"/>
        <v/>
      </c>
      <c r="H7069" s="68"/>
      <c r="I7069" s="30"/>
      <c r="J7069" s="152">
        <v>0</v>
      </c>
      <c r="L7069" s="222"/>
      <c r="M7069" s="66"/>
      <c r="N7069" s="66" t="str">
        <f t="shared" si="701"/>
        <v/>
      </c>
      <c r="O7069" s="68"/>
      <c r="P7069" s="36" t="str">
        <f t="shared" si="702"/>
        <v/>
      </c>
      <c r="Q7069" s="216" t="str">
        <f t="shared" si="703"/>
        <v/>
      </c>
      <c r="R7069" s="216" t="str">
        <f t="shared" si="704"/>
        <v/>
      </c>
      <c r="S7069" s="217" t="str">
        <f t="shared" si="705"/>
        <v/>
      </c>
    </row>
    <row r="7070" spans="1:19" ht="15.75" hidden="1" thickBot="1" x14ac:dyDescent="0.3">
      <c r="A7070" s="256" t="s">
        <v>6344</v>
      </c>
      <c r="B7070" s="259" t="str">
        <f>INDEX(Orçamentária!A:B,MATCH(Composições!A7070,Orçamentária!A:A,0),2)</f>
        <v>União com assento cônico aço-carbono galvanizado 2” – Água Potável e Combate a Incêndio</v>
      </c>
      <c r="C7070" s="40"/>
      <c r="D7070" s="25" t="s">
        <v>16</v>
      </c>
      <c r="E7070" s="26"/>
      <c r="F7070" s="41" t="s">
        <v>416</v>
      </c>
      <c r="G7070" s="27" t="str">
        <f t="shared" si="700"/>
        <v/>
      </c>
      <c r="H7070" s="28"/>
      <c r="I7070" s="29"/>
      <c r="J7070" s="152">
        <v>0</v>
      </c>
      <c r="L7070" s="218"/>
      <c r="M7070" s="41"/>
      <c r="N7070" s="27" t="str">
        <f t="shared" si="701"/>
        <v/>
      </c>
      <c r="O7070" s="28"/>
      <c r="P7070" s="36" t="str">
        <f t="shared" si="702"/>
        <v/>
      </c>
      <c r="Q7070" s="216" t="str">
        <f t="shared" si="703"/>
        <v/>
      </c>
      <c r="R7070" s="216" t="str">
        <f t="shared" si="704"/>
        <v/>
      </c>
      <c r="S7070" s="217" t="str">
        <f t="shared" si="705"/>
        <v/>
      </c>
    </row>
    <row r="7071" spans="1:19" ht="15.75" hidden="1" thickBot="1" x14ac:dyDescent="0.3">
      <c r="A7071" s="262"/>
      <c r="B7071" s="260"/>
      <c r="C7071" s="31"/>
      <c r="D7071" s="31"/>
      <c r="E7071" s="32"/>
      <c r="F7071" s="42" t="s">
        <v>416</v>
      </c>
      <c r="G7071" s="30" t="str">
        <f t="shared" si="700"/>
        <v/>
      </c>
      <c r="H7071" s="34"/>
      <c r="I7071" s="30"/>
      <c r="J7071" s="152">
        <v>0</v>
      </c>
      <c r="L7071" s="219"/>
      <c r="M7071" s="42"/>
      <c r="N7071" s="30" t="str">
        <f t="shared" si="701"/>
        <v/>
      </c>
      <c r="O7071" s="34"/>
      <c r="P7071" s="36" t="str">
        <f t="shared" si="702"/>
        <v/>
      </c>
      <c r="Q7071" s="216" t="str">
        <f t="shared" si="703"/>
        <v/>
      </c>
      <c r="R7071" s="216" t="str">
        <f t="shared" si="704"/>
        <v/>
      </c>
      <c r="S7071" s="217" t="str">
        <f t="shared" si="705"/>
        <v/>
      </c>
    </row>
    <row r="7072" spans="1:19" ht="26.25" hidden="1" thickBot="1" x14ac:dyDescent="0.3">
      <c r="A7072" s="262"/>
      <c r="B7072" s="260"/>
      <c r="C7072" s="35" t="s">
        <v>8485</v>
      </c>
      <c r="D7072" s="35" t="s">
        <v>213</v>
      </c>
      <c r="E7072" s="36">
        <v>1</v>
      </c>
      <c r="F7072" s="30">
        <v>101.441</v>
      </c>
      <c r="G7072" s="30">
        <f t="shared" si="700"/>
        <v>101.441</v>
      </c>
      <c r="H7072" s="38">
        <f>SUM(G7072:G7072)</f>
        <v>101.441</v>
      </c>
      <c r="I7072" s="39"/>
      <c r="J7072" s="152">
        <v>0</v>
      </c>
      <c r="L7072" s="215">
        <v>1</v>
      </c>
      <c r="M7072" s="30">
        <v>86.833495999999997</v>
      </c>
      <c r="N7072" s="30">
        <f t="shared" si="701"/>
        <v>86.833495999999997</v>
      </c>
      <c r="O7072" s="38">
        <f>SUM(N7072:N7072)</f>
        <v>86.833495999999997</v>
      </c>
      <c r="P7072" s="36" t="str">
        <f t="shared" si="702"/>
        <v/>
      </c>
      <c r="Q7072" s="216">
        <f t="shared" si="703"/>
        <v>0.14400000000000002</v>
      </c>
      <c r="R7072" s="216">
        <f t="shared" si="704"/>
        <v>0.14400000000000002</v>
      </c>
      <c r="S7072" s="217">
        <f t="shared" si="705"/>
        <v>0.14400000000000002</v>
      </c>
    </row>
    <row r="7073" spans="1:19" ht="15.75" hidden="1" thickBot="1" x14ac:dyDescent="0.3">
      <c r="A7073" s="263"/>
      <c r="B7073" s="261"/>
      <c r="C7073" s="54"/>
      <c r="D7073" s="54"/>
      <c r="E7073" s="65"/>
      <c r="F7073" s="66" t="s">
        <v>416</v>
      </c>
      <c r="G7073" s="66" t="str">
        <f t="shared" si="700"/>
        <v/>
      </c>
      <c r="H7073" s="68"/>
      <c r="I7073" s="30"/>
      <c r="J7073" s="152">
        <v>0</v>
      </c>
      <c r="L7073" s="222"/>
      <c r="M7073" s="66"/>
      <c r="N7073" s="66" t="str">
        <f t="shared" si="701"/>
        <v/>
      </c>
      <c r="O7073" s="68"/>
      <c r="P7073" s="36" t="str">
        <f t="shared" si="702"/>
        <v/>
      </c>
      <c r="Q7073" s="216" t="str">
        <f t="shared" si="703"/>
        <v/>
      </c>
      <c r="R7073" s="216" t="str">
        <f t="shared" si="704"/>
        <v/>
      </c>
      <c r="S7073" s="217" t="str">
        <f t="shared" si="705"/>
        <v/>
      </c>
    </row>
    <row r="7074" spans="1:19" ht="15.75" hidden="1" thickBot="1" x14ac:dyDescent="0.3">
      <c r="A7074" s="256" t="s">
        <v>6346</v>
      </c>
      <c r="B7074" s="259" t="str">
        <f>INDEX(Orçamentária!A:B,MATCH(Composições!A7074,Orçamentária!A:A,0),2)</f>
        <v>União com assento cônico aço-carbono galvanizado 3” – Água Potável e Combate a Incêndio</v>
      </c>
      <c r="C7074" s="40"/>
      <c r="D7074" s="25" t="s">
        <v>16</v>
      </c>
      <c r="E7074" s="26"/>
      <c r="F7074" s="41" t="s">
        <v>416</v>
      </c>
      <c r="G7074" s="27" t="str">
        <f t="shared" si="700"/>
        <v/>
      </c>
      <c r="H7074" s="28"/>
      <c r="I7074" s="29"/>
      <c r="J7074" s="152">
        <v>0</v>
      </c>
      <c r="L7074" s="218"/>
      <c r="M7074" s="41"/>
      <c r="N7074" s="27" t="str">
        <f t="shared" si="701"/>
        <v/>
      </c>
      <c r="O7074" s="28"/>
      <c r="P7074" s="36" t="str">
        <f t="shared" si="702"/>
        <v/>
      </c>
      <c r="Q7074" s="216" t="str">
        <f t="shared" si="703"/>
        <v/>
      </c>
      <c r="R7074" s="216" t="str">
        <f t="shared" si="704"/>
        <v/>
      </c>
      <c r="S7074" s="217" t="str">
        <f t="shared" si="705"/>
        <v/>
      </c>
    </row>
    <row r="7075" spans="1:19" ht="15.75" hidden="1" thickBot="1" x14ac:dyDescent="0.3">
      <c r="A7075" s="262"/>
      <c r="B7075" s="260"/>
      <c r="C7075" s="31"/>
      <c r="D7075" s="31"/>
      <c r="E7075" s="32"/>
      <c r="F7075" s="42" t="s">
        <v>416</v>
      </c>
      <c r="G7075" s="30" t="str">
        <f t="shared" si="700"/>
        <v/>
      </c>
      <c r="H7075" s="34"/>
      <c r="I7075" s="30"/>
      <c r="J7075" s="152">
        <v>0</v>
      </c>
      <c r="L7075" s="219"/>
      <c r="M7075" s="42"/>
      <c r="N7075" s="30" t="str">
        <f t="shared" si="701"/>
        <v/>
      </c>
      <c r="O7075" s="34"/>
      <c r="P7075" s="36" t="str">
        <f t="shared" si="702"/>
        <v/>
      </c>
      <c r="Q7075" s="216" t="str">
        <f t="shared" si="703"/>
        <v/>
      </c>
      <c r="R7075" s="216" t="str">
        <f t="shared" si="704"/>
        <v/>
      </c>
      <c r="S7075" s="217" t="str">
        <f t="shared" si="705"/>
        <v/>
      </c>
    </row>
    <row r="7076" spans="1:19" ht="26.25" hidden="1" thickBot="1" x14ac:dyDescent="0.3">
      <c r="A7076" s="262"/>
      <c r="B7076" s="260"/>
      <c r="C7076" s="35" t="s">
        <v>8486</v>
      </c>
      <c r="D7076" s="35" t="s">
        <v>213</v>
      </c>
      <c r="E7076" s="36">
        <v>1</v>
      </c>
      <c r="F7076" s="30">
        <v>260.01499999999999</v>
      </c>
      <c r="G7076" s="30">
        <f t="shared" si="700"/>
        <v>260.01499999999999</v>
      </c>
      <c r="H7076" s="38">
        <f>SUM(G7076:G7076)</f>
        <v>260.01499999999999</v>
      </c>
      <c r="I7076" s="39"/>
      <c r="J7076" s="152">
        <v>0</v>
      </c>
      <c r="L7076" s="215">
        <v>1</v>
      </c>
      <c r="M7076" s="30">
        <v>222.57283999999999</v>
      </c>
      <c r="N7076" s="30">
        <f t="shared" si="701"/>
        <v>222.57283999999999</v>
      </c>
      <c r="O7076" s="38">
        <f>SUM(N7076:N7076)</f>
        <v>222.57283999999999</v>
      </c>
      <c r="P7076" s="36" t="str">
        <f t="shared" si="702"/>
        <v/>
      </c>
      <c r="Q7076" s="216">
        <f t="shared" si="703"/>
        <v>0.14400000000000002</v>
      </c>
      <c r="R7076" s="216">
        <f t="shared" si="704"/>
        <v>0.14400000000000002</v>
      </c>
      <c r="S7076" s="217">
        <f t="shared" si="705"/>
        <v>0.14400000000000002</v>
      </c>
    </row>
    <row r="7077" spans="1:19" ht="15.75" hidden="1" thickBot="1" x14ac:dyDescent="0.3">
      <c r="A7077" s="263"/>
      <c r="B7077" s="261"/>
      <c r="C7077" s="54"/>
      <c r="D7077" s="54"/>
      <c r="E7077" s="65"/>
      <c r="F7077" s="66" t="s">
        <v>416</v>
      </c>
      <c r="G7077" s="66" t="str">
        <f t="shared" si="700"/>
        <v/>
      </c>
      <c r="H7077" s="68"/>
      <c r="I7077" s="30"/>
      <c r="J7077" s="152">
        <v>0</v>
      </c>
      <c r="L7077" s="222"/>
      <c r="M7077" s="66"/>
      <c r="N7077" s="66" t="str">
        <f t="shared" si="701"/>
        <v/>
      </c>
      <c r="O7077" s="68"/>
      <c r="P7077" s="36" t="str">
        <f t="shared" si="702"/>
        <v/>
      </c>
      <c r="Q7077" s="216" t="str">
        <f t="shared" si="703"/>
        <v/>
      </c>
      <c r="R7077" s="216" t="str">
        <f t="shared" si="704"/>
        <v/>
      </c>
      <c r="S7077" s="217" t="str">
        <f t="shared" si="705"/>
        <v/>
      </c>
    </row>
    <row r="7078" spans="1:19" ht="15.75" hidden="1" thickBot="1" x14ac:dyDescent="0.3">
      <c r="A7078" s="256" t="s">
        <v>6348</v>
      </c>
      <c r="B7078" s="259" t="str">
        <f>INDEX(Orçamentária!A:B,MATCH(Composições!A7078,Orçamentária!A:A,0),2)</f>
        <v>União com assento cônico aço-carbono galvanizado 4” – Água Potável e Combate a Incêndio</v>
      </c>
      <c r="C7078" s="40"/>
      <c r="D7078" s="25" t="s">
        <v>16</v>
      </c>
      <c r="E7078" s="26"/>
      <c r="F7078" s="41" t="s">
        <v>416</v>
      </c>
      <c r="G7078" s="27" t="str">
        <f t="shared" si="700"/>
        <v/>
      </c>
      <c r="H7078" s="28"/>
      <c r="I7078" s="29"/>
      <c r="J7078" s="152">
        <v>0</v>
      </c>
      <c r="L7078" s="218"/>
      <c r="M7078" s="41"/>
      <c r="N7078" s="27" t="str">
        <f t="shared" si="701"/>
        <v/>
      </c>
      <c r="O7078" s="28"/>
      <c r="P7078" s="36" t="str">
        <f t="shared" si="702"/>
        <v/>
      </c>
      <c r="Q7078" s="216" t="str">
        <f t="shared" si="703"/>
        <v/>
      </c>
      <c r="R7078" s="216" t="str">
        <f t="shared" si="704"/>
        <v/>
      </c>
      <c r="S7078" s="217" t="str">
        <f t="shared" si="705"/>
        <v/>
      </c>
    </row>
    <row r="7079" spans="1:19" ht="15.75" hidden="1" thickBot="1" x14ac:dyDescent="0.3">
      <c r="A7079" s="262"/>
      <c r="B7079" s="260"/>
      <c r="C7079" s="31"/>
      <c r="D7079" s="31"/>
      <c r="E7079" s="32"/>
      <c r="F7079" s="42" t="s">
        <v>416</v>
      </c>
      <c r="G7079" s="30" t="str">
        <f t="shared" si="700"/>
        <v/>
      </c>
      <c r="H7079" s="34"/>
      <c r="I7079" s="30"/>
      <c r="J7079" s="152">
        <v>0</v>
      </c>
      <c r="L7079" s="219"/>
      <c r="M7079" s="42"/>
      <c r="N7079" s="30" t="str">
        <f t="shared" si="701"/>
        <v/>
      </c>
      <c r="O7079" s="34"/>
      <c r="P7079" s="36" t="str">
        <f t="shared" si="702"/>
        <v/>
      </c>
      <c r="Q7079" s="216" t="str">
        <f t="shared" si="703"/>
        <v/>
      </c>
      <c r="R7079" s="216" t="str">
        <f t="shared" si="704"/>
        <v/>
      </c>
      <c r="S7079" s="217" t="str">
        <f t="shared" si="705"/>
        <v/>
      </c>
    </row>
    <row r="7080" spans="1:19" ht="26.25" hidden="1" thickBot="1" x14ac:dyDescent="0.3">
      <c r="A7080" s="262"/>
      <c r="B7080" s="260"/>
      <c r="C7080" s="35" t="s">
        <v>8487</v>
      </c>
      <c r="D7080" s="35" t="s">
        <v>213</v>
      </c>
      <c r="E7080" s="36">
        <v>1</v>
      </c>
      <c r="F7080" s="30">
        <v>365.01850000000002</v>
      </c>
      <c r="G7080" s="30">
        <f t="shared" si="700"/>
        <v>365.01850000000002</v>
      </c>
      <c r="H7080" s="38">
        <f>SUM(G7080:G7080)</f>
        <v>365.01850000000002</v>
      </c>
      <c r="I7080" s="39"/>
      <c r="J7080" s="152">
        <v>0</v>
      </c>
      <c r="L7080" s="215">
        <v>1</v>
      </c>
      <c r="M7080" s="30">
        <v>312.45583600000003</v>
      </c>
      <c r="N7080" s="30">
        <f t="shared" si="701"/>
        <v>312.45583600000003</v>
      </c>
      <c r="O7080" s="38">
        <f>SUM(N7080:N7080)</f>
        <v>312.45583600000003</v>
      </c>
      <c r="P7080" s="36" t="str">
        <f t="shared" si="702"/>
        <v/>
      </c>
      <c r="Q7080" s="216">
        <f t="shared" si="703"/>
        <v>0.14399999999999991</v>
      </c>
      <c r="R7080" s="216">
        <f t="shared" si="704"/>
        <v>0.14399999999999991</v>
      </c>
      <c r="S7080" s="217">
        <f t="shared" si="705"/>
        <v>0.14399999999999991</v>
      </c>
    </row>
    <row r="7081" spans="1:19" ht="15.75" hidden="1" thickBot="1" x14ac:dyDescent="0.3">
      <c r="A7081" s="263"/>
      <c r="B7081" s="261"/>
      <c r="C7081" s="54"/>
      <c r="D7081" s="54"/>
      <c r="E7081" s="65"/>
      <c r="F7081" s="66" t="s">
        <v>416</v>
      </c>
      <c r="G7081" s="66" t="str">
        <f t="shared" si="700"/>
        <v/>
      </c>
      <c r="H7081" s="68"/>
      <c r="I7081" s="30"/>
      <c r="J7081" s="152">
        <v>0</v>
      </c>
      <c r="L7081" s="222"/>
      <c r="M7081" s="66"/>
      <c r="N7081" s="66" t="str">
        <f t="shared" si="701"/>
        <v/>
      </c>
      <c r="O7081" s="68"/>
      <c r="P7081" s="36" t="str">
        <f t="shared" si="702"/>
        <v/>
      </c>
      <c r="Q7081" s="216" t="str">
        <f t="shared" si="703"/>
        <v/>
      </c>
      <c r="R7081" s="216" t="str">
        <f t="shared" si="704"/>
        <v/>
      </c>
      <c r="S7081" s="217" t="str">
        <f t="shared" si="705"/>
        <v/>
      </c>
    </row>
    <row r="7082" spans="1:19" ht="15.75" hidden="1" thickBot="1" x14ac:dyDescent="0.3">
      <c r="A7082" s="256" t="s">
        <v>6350</v>
      </c>
      <c r="B7082" s="259" t="str">
        <f>INDEX(Orçamentária!A:B,MATCH(Composições!A7082,Orçamentária!A:A,0),2)</f>
        <v>União com assento cônico aço-carbono galvanizado 1” – Água Potável e Combate a Incêndio</v>
      </c>
      <c r="C7082" s="40"/>
      <c r="D7082" s="25" t="s">
        <v>16</v>
      </c>
      <c r="E7082" s="26"/>
      <c r="F7082" s="41" t="s">
        <v>416</v>
      </c>
      <c r="G7082" s="27" t="str">
        <f t="shared" si="700"/>
        <v/>
      </c>
      <c r="H7082" s="28"/>
      <c r="I7082" s="29"/>
      <c r="J7082" s="152">
        <v>0</v>
      </c>
      <c r="L7082" s="218"/>
      <c r="M7082" s="41"/>
      <c r="N7082" s="27" t="str">
        <f t="shared" si="701"/>
        <v/>
      </c>
      <c r="O7082" s="28"/>
      <c r="P7082" s="36" t="str">
        <f t="shared" si="702"/>
        <v/>
      </c>
      <c r="Q7082" s="216" t="str">
        <f t="shared" si="703"/>
        <v/>
      </c>
      <c r="R7082" s="216" t="str">
        <f t="shared" si="704"/>
        <v/>
      </c>
      <c r="S7082" s="217" t="str">
        <f t="shared" si="705"/>
        <v/>
      </c>
    </row>
    <row r="7083" spans="1:19" ht="15.75" hidden="1" thickBot="1" x14ac:dyDescent="0.3">
      <c r="A7083" s="262"/>
      <c r="B7083" s="260"/>
      <c r="C7083" s="31"/>
      <c r="D7083" s="31"/>
      <c r="E7083" s="32"/>
      <c r="F7083" s="42" t="s">
        <v>416</v>
      </c>
      <c r="G7083" s="30" t="str">
        <f t="shared" si="700"/>
        <v/>
      </c>
      <c r="H7083" s="34"/>
      <c r="I7083" s="30"/>
      <c r="J7083" s="152">
        <v>0</v>
      </c>
      <c r="L7083" s="219"/>
      <c r="M7083" s="42"/>
      <c r="N7083" s="30" t="str">
        <f t="shared" si="701"/>
        <v/>
      </c>
      <c r="O7083" s="34"/>
      <c r="P7083" s="36" t="str">
        <f t="shared" si="702"/>
        <v/>
      </c>
      <c r="Q7083" s="216" t="str">
        <f t="shared" si="703"/>
        <v/>
      </c>
      <c r="R7083" s="216" t="str">
        <f t="shared" si="704"/>
        <v/>
      </c>
      <c r="S7083" s="217" t="str">
        <f t="shared" si="705"/>
        <v/>
      </c>
    </row>
    <row r="7084" spans="1:19" ht="26.25" hidden="1" thickBot="1" x14ac:dyDescent="0.3">
      <c r="A7084" s="262"/>
      <c r="B7084" s="260"/>
      <c r="C7084" s="35" t="s">
        <v>1002</v>
      </c>
      <c r="D7084" s="35" t="s">
        <v>213</v>
      </c>
      <c r="E7084" s="36">
        <v>1</v>
      </c>
      <c r="F7084" s="30">
        <v>33.126499999999993</v>
      </c>
      <c r="G7084" s="30">
        <f t="shared" si="700"/>
        <v>33.126499999999993</v>
      </c>
      <c r="H7084" s="38">
        <f>SUM(G7084:G7084)</f>
        <v>33.126499999999993</v>
      </c>
      <c r="I7084" s="39"/>
      <c r="J7084" s="152">
        <v>0</v>
      </c>
      <c r="L7084" s="215">
        <v>1</v>
      </c>
      <c r="M7084" s="30">
        <v>28.356283999999995</v>
      </c>
      <c r="N7084" s="30">
        <f t="shared" si="701"/>
        <v>28.356283999999995</v>
      </c>
      <c r="O7084" s="38">
        <f>SUM(N7084:N7084)</f>
        <v>28.356283999999995</v>
      </c>
      <c r="P7084" s="36" t="str">
        <f t="shared" si="702"/>
        <v/>
      </c>
      <c r="Q7084" s="216">
        <f t="shared" si="703"/>
        <v>0.14400000000000002</v>
      </c>
      <c r="R7084" s="216">
        <f t="shared" si="704"/>
        <v>0.14400000000000002</v>
      </c>
      <c r="S7084" s="217">
        <f t="shared" si="705"/>
        <v>0.14400000000000002</v>
      </c>
    </row>
    <row r="7085" spans="1:19" ht="15.75" hidden="1" thickBot="1" x14ac:dyDescent="0.3">
      <c r="A7085" s="263"/>
      <c r="B7085" s="261"/>
      <c r="C7085" s="54"/>
      <c r="D7085" s="54"/>
      <c r="E7085" s="65"/>
      <c r="F7085" s="66" t="s">
        <v>416</v>
      </c>
      <c r="G7085" s="66" t="str">
        <f t="shared" si="700"/>
        <v/>
      </c>
      <c r="H7085" s="68"/>
      <c r="I7085" s="30"/>
      <c r="J7085" s="152">
        <v>0</v>
      </c>
      <c r="L7085" s="222"/>
      <c r="M7085" s="66"/>
      <c r="N7085" s="66" t="str">
        <f t="shared" si="701"/>
        <v/>
      </c>
      <c r="O7085" s="68"/>
      <c r="P7085" s="36" t="str">
        <f t="shared" si="702"/>
        <v/>
      </c>
      <c r="Q7085" s="216" t="str">
        <f t="shared" si="703"/>
        <v/>
      </c>
      <c r="R7085" s="216" t="str">
        <f t="shared" si="704"/>
        <v/>
      </c>
      <c r="S7085" s="217" t="str">
        <f t="shared" si="705"/>
        <v/>
      </c>
    </row>
    <row r="7086" spans="1:19" ht="15.75" hidden="1" thickBot="1" x14ac:dyDescent="0.3">
      <c r="A7086" s="256" t="s">
        <v>6352</v>
      </c>
      <c r="B7086" s="259" t="str">
        <f>INDEX(Orçamentária!A:B,MATCH(Composições!A7086,Orçamentária!A:A,0),2)</f>
        <v>União com assento cônico aço-carbono galvanizado 2 1/2” – Água Potável e Combate a Incêndio</v>
      </c>
      <c r="C7086" s="40"/>
      <c r="D7086" s="25" t="s">
        <v>16</v>
      </c>
      <c r="E7086" s="26"/>
      <c r="F7086" s="41" t="s">
        <v>416</v>
      </c>
      <c r="G7086" s="27" t="str">
        <f t="shared" si="700"/>
        <v/>
      </c>
      <c r="H7086" s="28"/>
      <c r="I7086" s="29"/>
      <c r="J7086" s="152">
        <v>0</v>
      </c>
      <c r="L7086" s="218"/>
      <c r="M7086" s="41"/>
      <c r="N7086" s="27" t="str">
        <f t="shared" si="701"/>
        <v/>
      </c>
      <c r="O7086" s="28"/>
      <c r="P7086" s="36" t="str">
        <f t="shared" si="702"/>
        <v/>
      </c>
      <c r="Q7086" s="216" t="str">
        <f t="shared" si="703"/>
        <v/>
      </c>
      <c r="R7086" s="216" t="str">
        <f t="shared" si="704"/>
        <v/>
      </c>
      <c r="S7086" s="217" t="str">
        <f t="shared" si="705"/>
        <v/>
      </c>
    </row>
    <row r="7087" spans="1:19" ht="15.75" hidden="1" thickBot="1" x14ac:dyDescent="0.3">
      <c r="A7087" s="262"/>
      <c r="B7087" s="260"/>
      <c r="C7087" s="31"/>
      <c r="D7087" s="31"/>
      <c r="E7087" s="32"/>
      <c r="F7087" s="42" t="s">
        <v>416</v>
      </c>
      <c r="G7087" s="30" t="str">
        <f t="shared" si="700"/>
        <v/>
      </c>
      <c r="H7087" s="34"/>
      <c r="I7087" s="30"/>
      <c r="J7087" s="152">
        <v>0</v>
      </c>
      <c r="L7087" s="219"/>
      <c r="M7087" s="42"/>
      <c r="N7087" s="30" t="str">
        <f t="shared" si="701"/>
        <v/>
      </c>
      <c r="O7087" s="34"/>
      <c r="P7087" s="36" t="str">
        <f t="shared" si="702"/>
        <v/>
      </c>
      <c r="Q7087" s="216" t="str">
        <f t="shared" si="703"/>
        <v/>
      </c>
      <c r="R7087" s="216" t="str">
        <f t="shared" si="704"/>
        <v/>
      </c>
      <c r="S7087" s="217" t="str">
        <f t="shared" si="705"/>
        <v/>
      </c>
    </row>
    <row r="7088" spans="1:19" ht="26.25" hidden="1" thickBot="1" x14ac:dyDescent="0.3">
      <c r="A7088" s="262"/>
      <c r="B7088" s="260"/>
      <c r="C7088" s="35" t="s">
        <v>8484</v>
      </c>
      <c r="D7088" s="35" t="s">
        <v>213</v>
      </c>
      <c r="E7088" s="36">
        <v>1</v>
      </c>
      <c r="F7088" s="30">
        <v>167.83649999999997</v>
      </c>
      <c r="G7088" s="30">
        <f t="shared" si="700"/>
        <v>167.83649999999997</v>
      </c>
      <c r="H7088" s="38">
        <f>SUM(G7088:G7088)</f>
        <v>167.83649999999997</v>
      </c>
      <c r="I7088" s="39"/>
      <c r="J7088" s="152">
        <v>0</v>
      </c>
      <c r="L7088" s="215">
        <v>1</v>
      </c>
      <c r="M7088" s="30">
        <v>143.66804399999998</v>
      </c>
      <c r="N7088" s="30">
        <f t="shared" si="701"/>
        <v>143.66804399999998</v>
      </c>
      <c r="O7088" s="38">
        <f>SUM(N7088:N7088)</f>
        <v>143.66804399999998</v>
      </c>
      <c r="P7088" s="36" t="str">
        <f t="shared" si="702"/>
        <v/>
      </c>
      <c r="Q7088" s="216">
        <f t="shared" si="703"/>
        <v>0.14400000000000002</v>
      </c>
      <c r="R7088" s="216">
        <f t="shared" si="704"/>
        <v>0.14400000000000002</v>
      </c>
      <c r="S7088" s="217">
        <f t="shared" si="705"/>
        <v>0.14400000000000002</v>
      </c>
    </row>
    <row r="7089" spans="1:19" ht="15.75" hidden="1" thickBot="1" x14ac:dyDescent="0.3">
      <c r="A7089" s="263"/>
      <c r="B7089" s="261"/>
      <c r="C7089" s="54"/>
      <c r="D7089" s="54"/>
      <c r="E7089" s="65"/>
      <c r="F7089" s="66" t="s">
        <v>416</v>
      </c>
      <c r="G7089" s="66" t="str">
        <f t="shared" si="700"/>
        <v/>
      </c>
      <c r="H7089" s="68"/>
      <c r="I7089" s="30"/>
      <c r="J7089" s="152">
        <v>0</v>
      </c>
      <c r="L7089" s="222"/>
      <c r="M7089" s="66"/>
      <c r="N7089" s="66" t="str">
        <f t="shared" si="701"/>
        <v/>
      </c>
      <c r="O7089" s="68"/>
      <c r="P7089" s="36" t="str">
        <f t="shared" si="702"/>
        <v/>
      </c>
      <c r="Q7089" s="216" t="str">
        <f t="shared" si="703"/>
        <v/>
      </c>
      <c r="R7089" s="216" t="str">
        <f t="shared" si="704"/>
        <v/>
      </c>
      <c r="S7089" s="217" t="str">
        <f t="shared" si="705"/>
        <v/>
      </c>
    </row>
    <row r="7090" spans="1:19" ht="15.75" hidden="1" thickBot="1" x14ac:dyDescent="0.3">
      <c r="A7090" s="256" t="s">
        <v>6354</v>
      </c>
      <c r="B7090" s="259" t="str">
        <f>INDEX(Orçamentária!A:B,MATCH(Composições!A7090,Orçamentária!A:A,0),2)</f>
        <v>Tê 90° em aço-carbono galvanizado 1 1/2” – Água Potável e Combate a Incêndio</v>
      </c>
      <c r="C7090" s="40"/>
      <c r="D7090" s="25" t="s">
        <v>16</v>
      </c>
      <c r="E7090" s="26"/>
      <c r="F7090" s="41" t="s">
        <v>416</v>
      </c>
      <c r="G7090" s="27" t="str">
        <f t="shared" ref="G7090:G7153" si="706">IF(ISNUMBER(F7090),E7090*F7090,"")</f>
        <v/>
      </c>
      <c r="H7090" s="28"/>
      <c r="I7090" s="29"/>
      <c r="J7090" s="152">
        <v>0</v>
      </c>
      <c r="L7090" s="218"/>
      <c r="M7090" s="41"/>
      <c r="N7090" s="27" t="str">
        <f t="shared" ref="N7090:N7153" si="707">IF(ISNUMBER(M7090),L7090*M7090,"")</f>
        <v/>
      </c>
      <c r="O7090" s="28"/>
      <c r="P7090" s="36" t="str">
        <f t="shared" si="702"/>
        <v/>
      </c>
      <c r="Q7090" s="216" t="str">
        <f t="shared" si="703"/>
        <v/>
      </c>
      <c r="R7090" s="216" t="str">
        <f t="shared" si="704"/>
        <v/>
      </c>
      <c r="S7090" s="217" t="str">
        <f t="shared" si="705"/>
        <v/>
      </c>
    </row>
    <row r="7091" spans="1:19" ht="15.75" hidden="1" thickBot="1" x14ac:dyDescent="0.3">
      <c r="A7091" s="262"/>
      <c r="B7091" s="260"/>
      <c r="C7091" s="31"/>
      <c r="D7091" s="31"/>
      <c r="E7091" s="32"/>
      <c r="F7091" s="42" t="s">
        <v>416</v>
      </c>
      <c r="G7091" s="30" t="str">
        <f t="shared" si="706"/>
        <v/>
      </c>
      <c r="H7091" s="34"/>
      <c r="I7091" s="30"/>
      <c r="J7091" s="152">
        <v>0</v>
      </c>
      <c r="L7091" s="219"/>
      <c r="M7091" s="42"/>
      <c r="N7091" s="30" t="str">
        <f t="shared" si="707"/>
        <v/>
      </c>
      <c r="O7091" s="34"/>
      <c r="P7091" s="36" t="str">
        <f t="shared" si="702"/>
        <v/>
      </c>
      <c r="Q7091" s="216" t="str">
        <f t="shared" si="703"/>
        <v/>
      </c>
      <c r="R7091" s="216" t="str">
        <f t="shared" si="704"/>
        <v/>
      </c>
      <c r="S7091" s="217" t="str">
        <f t="shared" si="705"/>
        <v/>
      </c>
    </row>
    <row r="7092" spans="1:19" ht="15.75" hidden="1" thickBot="1" x14ac:dyDescent="0.3">
      <c r="A7092" s="262"/>
      <c r="B7092" s="260"/>
      <c r="C7092" s="35" t="s">
        <v>8401</v>
      </c>
      <c r="D7092" s="35" t="s">
        <v>213</v>
      </c>
      <c r="E7092" s="36">
        <v>1</v>
      </c>
      <c r="F7092" s="30">
        <v>41.714499999999994</v>
      </c>
      <c r="G7092" s="30">
        <f t="shared" si="706"/>
        <v>41.714499999999994</v>
      </c>
      <c r="H7092" s="38">
        <f>SUM(G7092:G7092)</f>
        <v>41.714499999999994</v>
      </c>
      <c r="I7092" s="39"/>
      <c r="J7092" s="152">
        <v>0</v>
      </c>
      <c r="L7092" s="215">
        <v>1</v>
      </c>
      <c r="M7092" s="30">
        <v>35.707611999999997</v>
      </c>
      <c r="N7092" s="30">
        <f t="shared" si="707"/>
        <v>35.707611999999997</v>
      </c>
      <c r="O7092" s="38">
        <f>SUM(N7092:N7092)</f>
        <v>35.707611999999997</v>
      </c>
      <c r="P7092" s="36" t="str">
        <f t="shared" si="702"/>
        <v/>
      </c>
      <c r="Q7092" s="216">
        <f t="shared" si="703"/>
        <v>0.14399999999999991</v>
      </c>
      <c r="R7092" s="216">
        <f t="shared" si="704"/>
        <v>0.14399999999999991</v>
      </c>
      <c r="S7092" s="217">
        <f t="shared" si="705"/>
        <v>0.14399999999999991</v>
      </c>
    </row>
    <row r="7093" spans="1:19" ht="15.75" hidden="1" thickBot="1" x14ac:dyDescent="0.3">
      <c r="A7093" s="263"/>
      <c r="B7093" s="261"/>
      <c r="C7093" s="54"/>
      <c r="D7093" s="54"/>
      <c r="E7093" s="65"/>
      <c r="F7093" s="66" t="s">
        <v>416</v>
      </c>
      <c r="G7093" s="66" t="str">
        <f t="shared" si="706"/>
        <v/>
      </c>
      <c r="H7093" s="68"/>
      <c r="I7093" s="30"/>
      <c r="J7093" s="152">
        <v>0</v>
      </c>
      <c r="L7093" s="222"/>
      <c r="M7093" s="66"/>
      <c r="N7093" s="66" t="str">
        <f t="shared" si="707"/>
        <v/>
      </c>
      <c r="O7093" s="68"/>
      <c r="P7093" s="36" t="str">
        <f t="shared" si="702"/>
        <v/>
      </c>
      <c r="Q7093" s="216" t="str">
        <f t="shared" si="703"/>
        <v/>
      </c>
      <c r="R7093" s="216" t="str">
        <f t="shared" si="704"/>
        <v/>
      </c>
      <c r="S7093" s="217" t="str">
        <f t="shared" si="705"/>
        <v/>
      </c>
    </row>
    <row r="7094" spans="1:19" ht="15.75" hidden="1" thickBot="1" x14ac:dyDescent="0.3">
      <c r="A7094" s="256" t="s">
        <v>6356</v>
      </c>
      <c r="B7094" s="259" t="str">
        <f>INDEX(Orçamentária!A:B,MATCH(Composições!A7094,Orçamentária!A:A,0),2)</f>
        <v>Tê 90° em aço-carbono galvanizado 1/2” – Água Potável e Combate a Incêndio</v>
      </c>
      <c r="C7094" s="40"/>
      <c r="D7094" s="25" t="s">
        <v>16</v>
      </c>
      <c r="E7094" s="26"/>
      <c r="F7094" s="41" t="s">
        <v>416</v>
      </c>
      <c r="G7094" s="27" t="str">
        <f t="shared" si="706"/>
        <v/>
      </c>
      <c r="H7094" s="28"/>
      <c r="I7094" s="29"/>
      <c r="J7094" s="152">
        <v>0</v>
      </c>
      <c r="L7094" s="218"/>
      <c r="M7094" s="41"/>
      <c r="N7094" s="27" t="str">
        <f t="shared" si="707"/>
        <v/>
      </c>
      <c r="O7094" s="28"/>
      <c r="P7094" s="36" t="str">
        <f t="shared" si="702"/>
        <v/>
      </c>
      <c r="Q7094" s="216" t="str">
        <f t="shared" si="703"/>
        <v/>
      </c>
      <c r="R7094" s="216" t="str">
        <f t="shared" si="704"/>
        <v/>
      </c>
      <c r="S7094" s="217" t="str">
        <f t="shared" si="705"/>
        <v/>
      </c>
    </row>
    <row r="7095" spans="1:19" ht="15.75" hidden="1" thickBot="1" x14ac:dyDescent="0.3">
      <c r="A7095" s="262"/>
      <c r="B7095" s="260"/>
      <c r="C7095" s="31"/>
      <c r="D7095" s="31"/>
      <c r="E7095" s="32"/>
      <c r="F7095" s="42" t="s">
        <v>416</v>
      </c>
      <c r="G7095" s="30" t="str">
        <f t="shared" si="706"/>
        <v/>
      </c>
      <c r="H7095" s="34"/>
      <c r="I7095" s="30"/>
      <c r="J7095" s="152">
        <v>0</v>
      </c>
      <c r="L7095" s="219"/>
      <c r="M7095" s="42"/>
      <c r="N7095" s="30" t="str">
        <f t="shared" si="707"/>
        <v/>
      </c>
      <c r="O7095" s="34"/>
      <c r="P7095" s="36" t="str">
        <f t="shared" si="702"/>
        <v/>
      </c>
      <c r="Q7095" s="216" t="str">
        <f t="shared" si="703"/>
        <v/>
      </c>
      <c r="R7095" s="216" t="str">
        <f t="shared" si="704"/>
        <v/>
      </c>
      <c r="S7095" s="217" t="str">
        <f t="shared" si="705"/>
        <v/>
      </c>
    </row>
    <row r="7096" spans="1:19" ht="15.75" hidden="1" thickBot="1" x14ac:dyDescent="0.3">
      <c r="A7096" s="262"/>
      <c r="B7096" s="260"/>
      <c r="C7096" s="35" t="s">
        <v>8402</v>
      </c>
      <c r="D7096" s="35" t="s">
        <v>213</v>
      </c>
      <c r="E7096" s="36">
        <v>1</v>
      </c>
      <c r="F7096" s="30">
        <v>9.386000000000001</v>
      </c>
      <c r="G7096" s="30">
        <f t="shared" si="706"/>
        <v>9.386000000000001</v>
      </c>
      <c r="H7096" s="38">
        <f>SUM(G7096:G7096)</f>
        <v>9.386000000000001</v>
      </c>
      <c r="I7096" s="39"/>
      <c r="J7096" s="152">
        <v>0</v>
      </c>
      <c r="L7096" s="215">
        <v>1</v>
      </c>
      <c r="M7096" s="30">
        <v>8.0344160000000002</v>
      </c>
      <c r="N7096" s="30">
        <f t="shared" si="707"/>
        <v>8.0344160000000002</v>
      </c>
      <c r="O7096" s="38">
        <f>SUM(N7096:N7096)</f>
        <v>8.0344160000000002</v>
      </c>
      <c r="P7096" s="36" t="str">
        <f t="shared" si="702"/>
        <v/>
      </c>
      <c r="Q7096" s="216">
        <f t="shared" si="703"/>
        <v>0.14400000000000002</v>
      </c>
      <c r="R7096" s="216">
        <f t="shared" si="704"/>
        <v>0.14400000000000002</v>
      </c>
      <c r="S7096" s="217">
        <f t="shared" si="705"/>
        <v>0.14400000000000002</v>
      </c>
    </row>
    <row r="7097" spans="1:19" ht="15.75" hidden="1" thickBot="1" x14ac:dyDescent="0.3">
      <c r="A7097" s="263"/>
      <c r="B7097" s="261"/>
      <c r="C7097" s="54"/>
      <c r="D7097" s="54"/>
      <c r="E7097" s="65"/>
      <c r="F7097" s="66" t="s">
        <v>416</v>
      </c>
      <c r="G7097" s="66" t="str">
        <f t="shared" si="706"/>
        <v/>
      </c>
      <c r="H7097" s="68"/>
      <c r="I7097" s="30"/>
      <c r="J7097" s="152">
        <v>0</v>
      </c>
      <c r="L7097" s="222"/>
      <c r="M7097" s="66"/>
      <c r="N7097" s="66" t="str">
        <f t="shared" si="707"/>
        <v/>
      </c>
      <c r="O7097" s="68"/>
      <c r="P7097" s="36" t="str">
        <f t="shared" si="702"/>
        <v/>
      </c>
      <c r="Q7097" s="216" t="str">
        <f t="shared" si="703"/>
        <v/>
      </c>
      <c r="R7097" s="216" t="str">
        <f t="shared" si="704"/>
        <v/>
      </c>
      <c r="S7097" s="217" t="str">
        <f t="shared" si="705"/>
        <v/>
      </c>
    </row>
    <row r="7098" spans="1:19" ht="15.75" hidden="1" thickBot="1" x14ac:dyDescent="0.3">
      <c r="A7098" s="256" t="s">
        <v>6358</v>
      </c>
      <c r="B7098" s="259" t="str">
        <f>INDEX(Orçamentária!A:B,MATCH(Composições!A7098,Orçamentária!A:A,0),2)</f>
        <v>Tê 90° em aço-carbono galvanizado 2 1/2” – Água Potável e Combate a Incêndio</v>
      </c>
      <c r="C7098" s="40"/>
      <c r="D7098" s="25" t="s">
        <v>16</v>
      </c>
      <c r="E7098" s="26"/>
      <c r="F7098" s="41" t="s">
        <v>416</v>
      </c>
      <c r="G7098" s="27" t="str">
        <f t="shared" si="706"/>
        <v/>
      </c>
      <c r="H7098" s="28"/>
      <c r="I7098" s="29"/>
      <c r="J7098" s="152">
        <v>0</v>
      </c>
      <c r="L7098" s="218"/>
      <c r="M7098" s="41"/>
      <c r="N7098" s="27" t="str">
        <f t="shared" si="707"/>
        <v/>
      </c>
      <c r="O7098" s="28"/>
      <c r="P7098" s="36" t="str">
        <f t="shared" si="702"/>
        <v/>
      </c>
      <c r="Q7098" s="216" t="str">
        <f t="shared" si="703"/>
        <v/>
      </c>
      <c r="R7098" s="216" t="str">
        <f t="shared" si="704"/>
        <v/>
      </c>
      <c r="S7098" s="217" t="str">
        <f t="shared" si="705"/>
        <v/>
      </c>
    </row>
    <row r="7099" spans="1:19" ht="15.75" hidden="1" thickBot="1" x14ac:dyDescent="0.3">
      <c r="A7099" s="262"/>
      <c r="B7099" s="260"/>
      <c r="C7099" s="31"/>
      <c r="D7099" s="31"/>
      <c r="E7099" s="32"/>
      <c r="F7099" s="42" t="s">
        <v>416</v>
      </c>
      <c r="G7099" s="30" t="str">
        <f t="shared" si="706"/>
        <v/>
      </c>
      <c r="H7099" s="34"/>
      <c r="I7099" s="30"/>
      <c r="J7099" s="152">
        <v>0</v>
      </c>
      <c r="L7099" s="219"/>
      <c r="M7099" s="42"/>
      <c r="N7099" s="30" t="str">
        <f t="shared" si="707"/>
        <v/>
      </c>
      <c r="O7099" s="34"/>
      <c r="P7099" s="36" t="str">
        <f t="shared" si="702"/>
        <v/>
      </c>
      <c r="Q7099" s="216" t="str">
        <f t="shared" si="703"/>
        <v/>
      </c>
      <c r="R7099" s="216" t="str">
        <f t="shared" si="704"/>
        <v/>
      </c>
      <c r="S7099" s="217" t="str">
        <f t="shared" si="705"/>
        <v/>
      </c>
    </row>
    <row r="7100" spans="1:19" ht="15.75" hidden="1" thickBot="1" x14ac:dyDescent="0.3">
      <c r="A7100" s="262"/>
      <c r="B7100" s="260"/>
      <c r="C7100" s="35" t="s">
        <v>8403</v>
      </c>
      <c r="D7100" s="35" t="s">
        <v>213</v>
      </c>
      <c r="E7100" s="36">
        <v>1</v>
      </c>
      <c r="F7100" s="30">
        <v>125.45699999999999</v>
      </c>
      <c r="G7100" s="30">
        <f t="shared" si="706"/>
        <v>125.45699999999999</v>
      </c>
      <c r="H7100" s="38">
        <f>SUM(G7100:G7100)</f>
        <v>125.45699999999999</v>
      </c>
      <c r="I7100" s="39"/>
      <c r="J7100" s="152">
        <v>0</v>
      </c>
      <c r="L7100" s="215">
        <v>1</v>
      </c>
      <c r="M7100" s="30">
        <v>107.39119199999999</v>
      </c>
      <c r="N7100" s="30">
        <f t="shared" si="707"/>
        <v>107.39119199999999</v>
      </c>
      <c r="O7100" s="38">
        <f>SUM(N7100:N7100)</f>
        <v>107.39119199999999</v>
      </c>
      <c r="P7100" s="36" t="str">
        <f t="shared" si="702"/>
        <v/>
      </c>
      <c r="Q7100" s="216">
        <f t="shared" si="703"/>
        <v>0.14400000000000002</v>
      </c>
      <c r="R7100" s="216">
        <f t="shared" si="704"/>
        <v>0.14400000000000002</v>
      </c>
      <c r="S7100" s="217">
        <f t="shared" si="705"/>
        <v>0.14400000000000002</v>
      </c>
    </row>
    <row r="7101" spans="1:19" ht="15.75" hidden="1" thickBot="1" x14ac:dyDescent="0.3">
      <c r="A7101" s="263"/>
      <c r="B7101" s="261"/>
      <c r="C7101" s="54"/>
      <c r="D7101" s="54"/>
      <c r="E7101" s="65"/>
      <c r="F7101" s="66" t="s">
        <v>416</v>
      </c>
      <c r="G7101" s="66" t="str">
        <f t="shared" si="706"/>
        <v/>
      </c>
      <c r="H7101" s="68"/>
      <c r="I7101" s="30"/>
      <c r="J7101" s="152">
        <v>0</v>
      </c>
      <c r="L7101" s="222"/>
      <c r="M7101" s="66"/>
      <c r="N7101" s="66" t="str">
        <f t="shared" si="707"/>
        <v/>
      </c>
      <c r="O7101" s="68"/>
      <c r="P7101" s="36" t="str">
        <f t="shared" si="702"/>
        <v/>
      </c>
      <c r="Q7101" s="216" t="str">
        <f t="shared" si="703"/>
        <v/>
      </c>
      <c r="R7101" s="216" t="str">
        <f t="shared" si="704"/>
        <v/>
      </c>
      <c r="S7101" s="217" t="str">
        <f t="shared" si="705"/>
        <v/>
      </c>
    </row>
    <row r="7102" spans="1:19" ht="15.75" hidden="1" thickBot="1" x14ac:dyDescent="0.3">
      <c r="A7102" s="256" t="s">
        <v>6360</v>
      </c>
      <c r="B7102" s="259" t="str">
        <f>INDEX(Orçamentária!A:B,MATCH(Composições!A7102,Orçamentária!A:A,0),2)</f>
        <v>Tê 90° em aço-carbono galvanizado 2” – Água Potável e Combate a Incêndio</v>
      </c>
      <c r="C7102" s="40"/>
      <c r="D7102" s="25" t="s">
        <v>16</v>
      </c>
      <c r="E7102" s="26"/>
      <c r="F7102" s="41" t="s">
        <v>416</v>
      </c>
      <c r="G7102" s="27" t="str">
        <f t="shared" si="706"/>
        <v/>
      </c>
      <c r="H7102" s="28"/>
      <c r="I7102" s="29"/>
      <c r="J7102" s="152">
        <v>0</v>
      </c>
      <c r="L7102" s="218"/>
      <c r="M7102" s="41"/>
      <c r="N7102" s="27" t="str">
        <f t="shared" si="707"/>
        <v/>
      </c>
      <c r="O7102" s="28"/>
      <c r="P7102" s="36" t="str">
        <f t="shared" si="702"/>
        <v/>
      </c>
      <c r="Q7102" s="216" t="str">
        <f t="shared" si="703"/>
        <v/>
      </c>
      <c r="R7102" s="216" t="str">
        <f t="shared" si="704"/>
        <v/>
      </c>
      <c r="S7102" s="217" t="str">
        <f t="shared" si="705"/>
        <v/>
      </c>
    </row>
    <row r="7103" spans="1:19" ht="15.75" hidden="1" thickBot="1" x14ac:dyDescent="0.3">
      <c r="A7103" s="262"/>
      <c r="B7103" s="260"/>
      <c r="C7103" s="31"/>
      <c r="D7103" s="31"/>
      <c r="E7103" s="32"/>
      <c r="F7103" s="42" t="s">
        <v>416</v>
      </c>
      <c r="G7103" s="30" t="str">
        <f t="shared" si="706"/>
        <v/>
      </c>
      <c r="H7103" s="34"/>
      <c r="I7103" s="30"/>
      <c r="J7103" s="152">
        <v>0</v>
      </c>
      <c r="L7103" s="219"/>
      <c r="M7103" s="42"/>
      <c r="N7103" s="30" t="str">
        <f t="shared" si="707"/>
        <v/>
      </c>
      <c r="O7103" s="34"/>
      <c r="P7103" s="36" t="str">
        <f t="shared" si="702"/>
        <v/>
      </c>
      <c r="Q7103" s="216" t="str">
        <f t="shared" si="703"/>
        <v/>
      </c>
      <c r="R7103" s="216" t="str">
        <f t="shared" si="704"/>
        <v/>
      </c>
      <c r="S7103" s="217" t="str">
        <f t="shared" si="705"/>
        <v/>
      </c>
    </row>
    <row r="7104" spans="1:19" ht="15.75" hidden="1" thickBot="1" x14ac:dyDescent="0.3">
      <c r="A7104" s="262"/>
      <c r="B7104" s="260"/>
      <c r="C7104" s="35" t="s">
        <v>8404</v>
      </c>
      <c r="D7104" s="35" t="s">
        <v>213</v>
      </c>
      <c r="E7104" s="36">
        <v>1</v>
      </c>
      <c r="F7104" s="30">
        <v>66.072499999999991</v>
      </c>
      <c r="G7104" s="30">
        <f t="shared" si="706"/>
        <v>66.072499999999991</v>
      </c>
      <c r="H7104" s="38">
        <f>SUM(G7104:G7104)</f>
        <v>66.072499999999991</v>
      </c>
      <c r="I7104" s="39"/>
      <c r="J7104" s="152">
        <v>0</v>
      </c>
      <c r="L7104" s="215">
        <v>1</v>
      </c>
      <c r="M7104" s="30">
        <v>56.55805999999999</v>
      </c>
      <c r="N7104" s="30">
        <f t="shared" si="707"/>
        <v>56.55805999999999</v>
      </c>
      <c r="O7104" s="38">
        <f>SUM(N7104:N7104)</f>
        <v>56.55805999999999</v>
      </c>
      <c r="P7104" s="36" t="str">
        <f t="shared" si="702"/>
        <v/>
      </c>
      <c r="Q7104" s="216">
        <f t="shared" si="703"/>
        <v>0.14400000000000002</v>
      </c>
      <c r="R7104" s="216">
        <f t="shared" si="704"/>
        <v>0.14400000000000002</v>
      </c>
      <c r="S7104" s="217">
        <f t="shared" si="705"/>
        <v>0.14400000000000002</v>
      </c>
    </row>
    <row r="7105" spans="1:19" ht="15.75" hidden="1" thickBot="1" x14ac:dyDescent="0.3">
      <c r="A7105" s="263"/>
      <c r="B7105" s="261"/>
      <c r="C7105" s="54"/>
      <c r="D7105" s="54"/>
      <c r="E7105" s="65"/>
      <c r="F7105" s="66" t="s">
        <v>416</v>
      </c>
      <c r="G7105" s="66" t="str">
        <f t="shared" si="706"/>
        <v/>
      </c>
      <c r="H7105" s="68"/>
      <c r="I7105" s="30"/>
      <c r="J7105" s="152">
        <v>0</v>
      </c>
      <c r="L7105" s="222"/>
      <c r="M7105" s="66"/>
      <c r="N7105" s="66" t="str">
        <f t="shared" si="707"/>
        <v/>
      </c>
      <c r="O7105" s="68"/>
      <c r="P7105" s="36" t="str">
        <f t="shared" si="702"/>
        <v/>
      </c>
      <c r="Q7105" s="216" t="str">
        <f t="shared" si="703"/>
        <v/>
      </c>
      <c r="R7105" s="216" t="str">
        <f t="shared" si="704"/>
        <v/>
      </c>
      <c r="S7105" s="217" t="str">
        <f t="shared" si="705"/>
        <v/>
      </c>
    </row>
    <row r="7106" spans="1:19" ht="15.75" hidden="1" thickBot="1" x14ac:dyDescent="0.3">
      <c r="A7106" s="256" t="s">
        <v>6362</v>
      </c>
      <c r="B7106" s="259" t="str">
        <f>INDEX(Orçamentária!A:B,MATCH(Composições!A7106,Orçamentária!A:A,0),2)</f>
        <v>Tê de redução em aço-carbono galvanizado 2” x 1 1/2” – Água Potável e Combate a Incêndio</v>
      </c>
      <c r="C7106" s="40"/>
      <c r="D7106" s="25" t="s">
        <v>16</v>
      </c>
      <c r="E7106" s="26"/>
      <c r="F7106" s="41" t="s">
        <v>416</v>
      </c>
      <c r="G7106" s="27" t="str">
        <f t="shared" si="706"/>
        <v/>
      </c>
      <c r="H7106" s="28"/>
      <c r="I7106" s="29"/>
      <c r="J7106" s="152">
        <v>0</v>
      </c>
      <c r="L7106" s="218"/>
      <c r="M7106" s="41"/>
      <c r="N7106" s="27" t="str">
        <f t="shared" si="707"/>
        <v/>
      </c>
      <c r="O7106" s="28"/>
      <c r="P7106" s="36" t="str">
        <f t="shared" si="702"/>
        <v/>
      </c>
      <c r="Q7106" s="216" t="str">
        <f t="shared" si="703"/>
        <v/>
      </c>
      <c r="R7106" s="216" t="str">
        <f t="shared" si="704"/>
        <v/>
      </c>
      <c r="S7106" s="217" t="str">
        <f t="shared" si="705"/>
        <v/>
      </c>
    </row>
    <row r="7107" spans="1:19" ht="15.75" hidden="1" thickBot="1" x14ac:dyDescent="0.3">
      <c r="A7107" s="262"/>
      <c r="B7107" s="260"/>
      <c r="C7107" s="31"/>
      <c r="D7107" s="31"/>
      <c r="E7107" s="32"/>
      <c r="F7107" s="42" t="s">
        <v>416</v>
      </c>
      <c r="G7107" s="30" t="str">
        <f t="shared" si="706"/>
        <v/>
      </c>
      <c r="H7107" s="34"/>
      <c r="I7107" s="30"/>
      <c r="J7107" s="152">
        <v>0</v>
      </c>
      <c r="L7107" s="219"/>
      <c r="M7107" s="42"/>
      <c r="N7107" s="30" t="str">
        <f t="shared" si="707"/>
        <v/>
      </c>
      <c r="O7107" s="34"/>
      <c r="P7107" s="36" t="str">
        <f t="shared" si="702"/>
        <v/>
      </c>
      <c r="Q7107" s="216" t="str">
        <f t="shared" si="703"/>
        <v/>
      </c>
      <c r="R7107" s="216" t="str">
        <f t="shared" si="704"/>
        <v/>
      </c>
      <c r="S7107" s="217" t="str">
        <f t="shared" si="705"/>
        <v/>
      </c>
    </row>
    <row r="7108" spans="1:19" ht="26.25" hidden="1" thickBot="1" x14ac:dyDescent="0.3">
      <c r="A7108" s="262"/>
      <c r="B7108" s="260"/>
      <c r="C7108" s="35" t="s">
        <v>8405</v>
      </c>
      <c r="D7108" s="35" t="s">
        <v>213</v>
      </c>
      <c r="E7108" s="36">
        <v>1</v>
      </c>
      <c r="F7108" s="30">
        <v>73.140499999999989</v>
      </c>
      <c r="G7108" s="30">
        <f t="shared" si="706"/>
        <v>73.140499999999989</v>
      </c>
      <c r="H7108" s="38">
        <f>SUM(G7108:G7108)</f>
        <v>73.140499999999989</v>
      </c>
      <c r="I7108" s="39"/>
      <c r="J7108" s="152">
        <v>0</v>
      </c>
      <c r="L7108" s="215">
        <v>1</v>
      </c>
      <c r="M7108" s="30">
        <v>62.608267999999995</v>
      </c>
      <c r="N7108" s="30">
        <f t="shared" si="707"/>
        <v>62.608267999999995</v>
      </c>
      <c r="O7108" s="38">
        <f>SUM(N7108:N7108)</f>
        <v>62.608267999999995</v>
      </c>
      <c r="P7108" s="36" t="str">
        <f t="shared" si="702"/>
        <v/>
      </c>
      <c r="Q7108" s="216">
        <f t="shared" si="703"/>
        <v>0.14399999999999991</v>
      </c>
      <c r="R7108" s="216">
        <f t="shared" si="704"/>
        <v>0.14399999999999991</v>
      </c>
      <c r="S7108" s="217">
        <f t="shared" si="705"/>
        <v>0.14399999999999991</v>
      </c>
    </row>
    <row r="7109" spans="1:19" ht="15.75" hidden="1" thickBot="1" x14ac:dyDescent="0.3">
      <c r="A7109" s="263"/>
      <c r="B7109" s="261"/>
      <c r="C7109" s="54"/>
      <c r="D7109" s="54"/>
      <c r="E7109" s="65"/>
      <c r="F7109" s="66" t="s">
        <v>416</v>
      </c>
      <c r="G7109" s="66" t="str">
        <f t="shared" si="706"/>
        <v/>
      </c>
      <c r="H7109" s="68"/>
      <c r="I7109" s="30"/>
      <c r="J7109" s="152">
        <v>0</v>
      </c>
      <c r="L7109" s="222"/>
      <c r="M7109" s="66"/>
      <c r="N7109" s="66" t="str">
        <f t="shared" si="707"/>
        <v/>
      </c>
      <c r="O7109" s="68"/>
      <c r="P7109" s="36" t="str">
        <f t="shared" si="702"/>
        <v/>
      </c>
      <c r="Q7109" s="216" t="str">
        <f t="shared" si="703"/>
        <v/>
      </c>
      <c r="R7109" s="216" t="str">
        <f t="shared" si="704"/>
        <v/>
      </c>
      <c r="S7109" s="217" t="str">
        <f t="shared" si="705"/>
        <v/>
      </c>
    </row>
    <row r="7110" spans="1:19" ht="15.75" hidden="1" thickBot="1" x14ac:dyDescent="0.3">
      <c r="A7110" s="256" t="s">
        <v>6363</v>
      </c>
      <c r="B7110" s="259" t="str">
        <f>INDEX(Orçamentária!A:B,MATCH(Composições!A7110,Orçamentária!A:A,0),2)</f>
        <v>Tê 90° CPVC 22 mm – Linha Residencial</v>
      </c>
      <c r="C7110" s="40"/>
      <c r="D7110" s="25" t="s">
        <v>16</v>
      </c>
      <c r="E7110" s="26"/>
      <c r="F7110" s="41" t="s">
        <v>416</v>
      </c>
      <c r="G7110" s="27" t="str">
        <f t="shared" si="706"/>
        <v/>
      </c>
      <c r="H7110" s="28"/>
      <c r="I7110" s="29"/>
      <c r="J7110" s="152">
        <v>0</v>
      </c>
      <c r="L7110" s="218"/>
      <c r="M7110" s="41"/>
      <c r="N7110" s="27" t="str">
        <f t="shared" si="707"/>
        <v/>
      </c>
      <c r="O7110" s="28"/>
      <c r="P7110" s="36" t="str">
        <f t="shared" si="702"/>
        <v/>
      </c>
      <c r="Q7110" s="216" t="str">
        <f t="shared" si="703"/>
        <v/>
      </c>
      <c r="R7110" s="216" t="str">
        <f t="shared" si="704"/>
        <v/>
      </c>
      <c r="S7110" s="217" t="str">
        <f t="shared" si="705"/>
        <v/>
      </c>
    </row>
    <row r="7111" spans="1:19" ht="15.75" hidden="1" thickBot="1" x14ac:dyDescent="0.3">
      <c r="A7111" s="262"/>
      <c r="B7111" s="260"/>
      <c r="C7111" s="31"/>
      <c r="D7111" s="31"/>
      <c r="E7111" s="32"/>
      <c r="F7111" s="42" t="s">
        <v>416</v>
      </c>
      <c r="G7111" s="30" t="str">
        <f t="shared" si="706"/>
        <v/>
      </c>
      <c r="H7111" s="34"/>
      <c r="I7111" s="30"/>
      <c r="J7111" s="152">
        <v>0</v>
      </c>
      <c r="L7111" s="219"/>
      <c r="M7111" s="42"/>
      <c r="N7111" s="30" t="str">
        <f t="shared" si="707"/>
        <v/>
      </c>
      <c r="O7111" s="34"/>
      <c r="P7111" s="36" t="str">
        <f t="shared" si="702"/>
        <v/>
      </c>
      <c r="Q7111" s="216" t="str">
        <f t="shared" si="703"/>
        <v/>
      </c>
      <c r="R7111" s="216" t="str">
        <f t="shared" si="704"/>
        <v/>
      </c>
      <c r="S7111" s="217" t="str">
        <f t="shared" si="705"/>
        <v/>
      </c>
    </row>
    <row r="7112" spans="1:19" ht="26.25" hidden="1" thickBot="1" x14ac:dyDescent="0.3">
      <c r="A7112" s="262"/>
      <c r="B7112" s="260"/>
      <c r="C7112" s="35" t="s">
        <v>8393</v>
      </c>
      <c r="D7112" s="35" t="s">
        <v>213</v>
      </c>
      <c r="E7112" s="36">
        <v>1</v>
      </c>
      <c r="F7112" s="30">
        <v>3.363</v>
      </c>
      <c r="G7112" s="30">
        <f t="shared" si="706"/>
        <v>3.363</v>
      </c>
      <c r="H7112" s="38">
        <f>SUM(G7112:G7112)</f>
        <v>3.363</v>
      </c>
      <c r="I7112" s="39"/>
      <c r="J7112" s="152">
        <v>0</v>
      </c>
      <c r="L7112" s="215">
        <v>1</v>
      </c>
      <c r="M7112" s="30">
        <v>2.8787280000000002</v>
      </c>
      <c r="N7112" s="30">
        <f t="shared" si="707"/>
        <v>2.8787280000000002</v>
      </c>
      <c r="O7112" s="38">
        <f>SUM(N7112:N7112)</f>
        <v>2.8787280000000002</v>
      </c>
      <c r="P7112" s="36" t="str">
        <f t="shared" ref="P7112:P7175" si="708">IF(ISBLANK(L7112),"",IF($E7112&lt;&gt;L7112,"SIM",""))</f>
        <v/>
      </c>
      <c r="Q7112" s="216">
        <f t="shared" ref="Q7112:Q7175" si="709">IF(M7112="","",1-M7112/$F7112)</f>
        <v>0.14399999999999991</v>
      </c>
      <c r="R7112" s="216">
        <f t="shared" ref="R7112:R7175" si="710">IF(N7112="","",1-N7112/$G7112)</f>
        <v>0.14399999999999991</v>
      </c>
      <c r="S7112" s="217">
        <f t="shared" ref="S7112:S7175" si="711">IF(O7112="","",1-O7112/$H7112)</f>
        <v>0.14399999999999991</v>
      </c>
    </row>
    <row r="7113" spans="1:19" ht="15.75" hidden="1" thickBot="1" x14ac:dyDescent="0.3">
      <c r="A7113" s="263"/>
      <c r="B7113" s="261"/>
      <c r="C7113" s="54"/>
      <c r="D7113" s="54"/>
      <c r="E7113" s="65"/>
      <c r="F7113" s="66" t="s">
        <v>416</v>
      </c>
      <c r="G7113" s="66" t="str">
        <f t="shared" si="706"/>
        <v/>
      </c>
      <c r="H7113" s="68"/>
      <c r="I7113" s="30"/>
      <c r="J7113" s="152">
        <v>0</v>
      </c>
      <c r="L7113" s="222"/>
      <c r="M7113" s="66"/>
      <c r="N7113" s="66" t="str">
        <f t="shared" si="707"/>
        <v/>
      </c>
      <c r="O7113" s="68"/>
      <c r="P7113" s="36" t="str">
        <f t="shared" si="708"/>
        <v/>
      </c>
      <c r="Q7113" s="216" t="str">
        <f t="shared" si="709"/>
        <v/>
      </c>
      <c r="R7113" s="216" t="str">
        <f t="shared" si="710"/>
        <v/>
      </c>
      <c r="S7113" s="217" t="str">
        <f t="shared" si="711"/>
        <v/>
      </c>
    </row>
    <row r="7114" spans="1:19" ht="15.75" hidden="1" thickBot="1" x14ac:dyDescent="0.3">
      <c r="A7114" s="256" t="s">
        <v>6364</v>
      </c>
      <c r="B7114" s="259" t="str">
        <f>INDEX(Orçamentária!A:B,MATCH(Composições!A7114,Orçamentária!A:A,0),2)</f>
        <v>Tê 90° CPVC 28 mm – Linha Residencial</v>
      </c>
      <c r="C7114" s="40"/>
      <c r="D7114" s="25" t="s">
        <v>16</v>
      </c>
      <c r="E7114" s="26"/>
      <c r="F7114" s="41" t="s">
        <v>416</v>
      </c>
      <c r="G7114" s="27" t="str">
        <f t="shared" si="706"/>
        <v/>
      </c>
      <c r="H7114" s="28"/>
      <c r="I7114" s="29"/>
      <c r="J7114" s="152">
        <v>0</v>
      </c>
      <c r="L7114" s="218"/>
      <c r="M7114" s="41"/>
      <c r="N7114" s="27" t="str">
        <f t="shared" si="707"/>
        <v/>
      </c>
      <c r="O7114" s="28"/>
      <c r="P7114" s="36" t="str">
        <f t="shared" si="708"/>
        <v/>
      </c>
      <c r="Q7114" s="216" t="str">
        <f t="shared" si="709"/>
        <v/>
      </c>
      <c r="R7114" s="216" t="str">
        <f t="shared" si="710"/>
        <v/>
      </c>
      <c r="S7114" s="217" t="str">
        <f t="shared" si="711"/>
        <v/>
      </c>
    </row>
    <row r="7115" spans="1:19" ht="15.75" hidden="1" thickBot="1" x14ac:dyDescent="0.3">
      <c r="A7115" s="262"/>
      <c r="B7115" s="260"/>
      <c r="C7115" s="31"/>
      <c r="D7115" s="31"/>
      <c r="E7115" s="32"/>
      <c r="F7115" s="42" t="s">
        <v>416</v>
      </c>
      <c r="G7115" s="30" t="str">
        <f t="shared" si="706"/>
        <v/>
      </c>
      <c r="H7115" s="34"/>
      <c r="I7115" s="30"/>
      <c r="J7115" s="152">
        <v>0</v>
      </c>
      <c r="L7115" s="219"/>
      <c r="M7115" s="42"/>
      <c r="N7115" s="30" t="str">
        <f t="shared" si="707"/>
        <v/>
      </c>
      <c r="O7115" s="34"/>
      <c r="P7115" s="36" t="str">
        <f t="shared" si="708"/>
        <v/>
      </c>
      <c r="Q7115" s="216" t="str">
        <f t="shared" si="709"/>
        <v/>
      </c>
      <c r="R7115" s="216" t="str">
        <f t="shared" si="710"/>
        <v/>
      </c>
      <c r="S7115" s="217" t="str">
        <f t="shared" si="711"/>
        <v/>
      </c>
    </row>
    <row r="7116" spans="1:19" ht="26.25" hidden="1" thickBot="1" x14ac:dyDescent="0.3">
      <c r="A7116" s="262"/>
      <c r="B7116" s="260"/>
      <c r="C7116" s="35" t="s">
        <v>8394</v>
      </c>
      <c r="D7116" s="35" t="s">
        <v>213</v>
      </c>
      <c r="E7116" s="36">
        <v>1</v>
      </c>
      <c r="F7116" s="30">
        <v>6.7449999999999992</v>
      </c>
      <c r="G7116" s="30">
        <f t="shared" si="706"/>
        <v>6.7449999999999992</v>
      </c>
      <c r="H7116" s="38">
        <f>SUM(G7116:G7116)</f>
        <v>6.7449999999999992</v>
      </c>
      <c r="I7116" s="39"/>
      <c r="J7116" s="152">
        <v>0</v>
      </c>
      <c r="L7116" s="215">
        <v>1</v>
      </c>
      <c r="M7116" s="30">
        <v>5.7737199999999991</v>
      </c>
      <c r="N7116" s="30">
        <f t="shared" si="707"/>
        <v>5.7737199999999991</v>
      </c>
      <c r="O7116" s="38">
        <f>SUM(N7116:N7116)</f>
        <v>5.7737199999999991</v>
      </c>
      <c r="P7116" s="36" t="str">
        <f t="shared" si="708"/>
        <v/>
      </c>
      <c r="Q7116" s="216">
        <f t="shared" si="709"/>
        <v>0.14400000000000002</v>
      </c>
      <c r="R7116" s="216">
        <f t="shared" si="710"/>
        <v>0.14400000000000002</v>
      </c>
      <c r="S7116" s="217">
        <f t="shared" si="711"/>
        <v>0.14400000000000002</v>
      </c>
    </row>
    <row r="7117" spans="1:19" ht="15.75" hidden="1" thickBot="1" x14ac:dyDescent="0.3">
      <c r="A7117" s="263"/>
      <c r="B7117" s="261"/>
      <c r="C7117" s="54"/>
      <c r="D7117" s="54"/>
      <c r="E7117" s="65"/>
      <c r="F7117" s="66" t="s">
        <v>416</v>
      </c>
      <c r="G7117" s="66" t="str">
        <f t="shared" si="706"/>
        <v/>
      </c>
      <c r="H7117" s="68"/>
      <c r="I7117" s="30"/>
      <c r="J7117" s="152">
        <v>0</v>
      </c>
      <c r="L7117" s="222"/>
      <c r="M7117" s="66"/>
      <c r="N7117" s="66" t="str">
        <f t="shared" si="707"/>
        <v/>
      </c>
      <c r="O7117" s="68"/>
      <c r="P7117" s="36" t="str">
        <f t="shared" si="708"/>
        <v/>
      </c>
      <c r="Q7117" s="216" t="str">
        <f t="shared" si="709"/>
        <v/>
      </c>
      <c r="R7117" s="216" t="str">
        <f t="shared" si="710"/>
        <v/>
      </c>
      <c r="S7117" s="217" t="str">
        <f t="shared" si="711"/>
        <v/>
      </c>
    </row>
    <row r="7118" spans="1:19" ht="15.75" hidden="1" thickBot="1" x14ac:dyDescent="0.3">
      <c r="A7118" s="256" t="s">
        <v>6365</v>
      </c>
      <c r="B7118" s="259" t="str">
        <f>INDEX(Orçamentária!A:B,MATCH(Composições!A7118,Orçamentária!A:A,0),2)</f>
        <v>Luva CPVC 22 mm – Linha Residencial</v>
      </c>
      <c r="C7118" s="40"/>
      <c r="D7118" s="25" t="s">
        <v>16</v>
      </c>
      <c r="E7118" s="26"/>
      <c r="F7118" s="41" t="s">
        <v>416</v>
      </c>
      <c r="G7118" s="27" t="str">
        <f t="shared" si="706"/>
        <v/>
      </c>
      <c r="H7118" s="28"/>
      <c r="I7118" s="29"/>
      <c r="J7118" s="152">
        <v>0</v>
      </c>
      <c r="L7118" s="218"/>
      <c r="M7118" s="41"/>
      <c r="N7118" s="27" t="str">
        <f t="shared" si="707"/>
        <v/>
      </c>
      <c r="O7118" s="28"/>
      <c r="P7118" s="36" t="str">
        <f t="shared" si="708"/>
        <v/>
      </c>
      <c r="Q7118" s="216" t="str">
        <f t="shared" si="709"/>
        <v/>
      </c>
      <c r="R7118" s="216" t="str">
        <f t="shared" si="710"/>
        <v/>
      </c>
      <c r="S7118" s="217" t="str">
        <f t="shared" si="711"/>
        <v/>
      </c>
    </row>
    <row r="7119" spans="1:19" ht="15.75" hidden="1" thickBot="1" x14ac:dyDescent="0.3">
      <c r="A7119" s="262"/>
      <c r="B7119" s="260"/>
      <c r="C7119" s="31"/>
      <c r="D7119" s="31"/>
      <c r="E7119" s="32"/>
      <c r="F7119" s="42" t="s">
        <v>416</v>
      </c>
      <c r="G7119" s="30" t="str">
        <f t="shared" si="706"/>
        <v/>
      </c>
      <c r="H7119" s="34"/>
      <c r="I7119" s="30"/>
      <c r="J7119" s="152">
        <v>0</v>
      </c>
      <c r="L7119" s="219"/>
      <c r="M7119" s="42"/>
      <c r="N7119" s="30" t="str">
        <f t="shared" si="707"/>
        <v/>
      </c>
      <c r="O7119" s="34"/>
      <c r="P7119" s="36" t="str">
        <f t="shared" si="708"/>
        <v/>
      </c>
      <c r="Q7119" s="216" t="str">
        <f t="shared" si="709"/>
        <v/>
      </c>
      <c r="R7119" s="216" t="str">
        <f t="shared" si="710"/>
        <v/>
      </c>
      <c r="S7119" s="217" t="str">
        <f t="shared" si="711"/>
        <v/>
      </c>
    </row>
    <row r="7120" spans="1:19" ht="15.75" hidden="1" thickBot="1" x14ac:dyDescent="0.3">
      <c r="A7120" s="262"/>
      <c r="B7120" s="260"/>
      <c r="C7120" s="35" t="s">
        <v>8232</v>
      </c>
      <c r="D7120" s="35" t="s">
        <v>213</v>
      </c>
      <c r="E7120" s="36">
        <v>1</v>
      </c>
      <c r="F7120" s="30">
        <v>1.653</v>
      </c>
      <c r="G7120" s="30">
        <f t="shared" si="706"/>
        <v>1.653</v>
      </c>
      <c r="H7120" s="38">
        <f>SUM(G7120:G7120)</f>
        <v>1.653</v>
      </c>
      <c r="I7120" s="39"/>
      <c r="J7120" s="152">
        <v>0</v>
      </c>
      <c r="L7120" s="215">
        <v>1</v>
      </c>
      <c r="M7120" s="30">
        <v>1.414968</v>
      </c>
      <c r="N7120" s="30">
        <f t="shared" si="707"/>
        <v>1.414968</v>
      </c>
      <c r="O7120" s="38">
        <f>SUM(N7120:N7120)</f>
        <v>1.414968</v>
      </c>
      <c r="P7120" s="36" t="str">
        <f t="shared" si="708"/>
        <v/>
      </c>
      <c r="Q7120" s="216">
        <f t="shared" si="709"/>
        <v>0.14400000000000002</v>
      </c>
      <c r="R7120" s="216">
        <f t="shared" si="710"/>
        <v>0.14400000000000002</v>
      </c>
      <c r="S7120" s="217">
        <f t="shared" si="711"/>
        <v>0.14400000000000002</v>
      </c>
    </row>
    <row r="7121" spans="1:19" ht="15.75" hidden="1" thickBot="1" x14ac:dyDescent="0.3">
      <c r="A7121" s="263"/>
      <c r="B7121" s="261"/>
      <c r="C7121" s="54"/>
      <c r="D7121" s="54"/>
      <c r="E7121" s="65"/>
      <c r="F7121" s="66" t="s">
        <v>416</v>
      </c>
      <c r="G7121" s="66" t="str">
        <f t="shared" si="706"/>
        <v/>
      </c>
      <c r="H7121" s="68"/>
      <c r="I7121" s="30"/>
      <c r="J7121" s="152">
        <v>0</v>
      </c>
      <c r="L7121" s="222"/>
      <c r="M7121" s="66"/>
      <c r="N7121" s="66" t="str">
        <f t="shared" si="707"/>
        <v/>
      </c>
      <c r="O7121" s="68"/>
      <c r="P7121" s="36" t="str">
        <f t="shared" si="708"/>
        <v/>
      </c>
      <c r="Q7121" s="216" t="str">
        <f t="shared" si="709"/>
        <v/>
      </c>
      <c r="R7121" s="216" t="str">
        <f t="shared" si="710"/>
        <v/>
      </c>
      <c r="S7121" s="217" t="str">
        <f t="shared" si="711"/>
        <v/>
      </c>
    </row>
    <row r="7122" spans="1:19" ht="15.75" hidden="1" thickBot="1" x14ac:dyDescent="0.3">
      <c r="A7122" s="256" t="s">
        <v>6366</v>
      </c>
      <c r="B7122" s="259" t="str">
        <f>INDEX(Orçamentária!A:B,MATCH(Composições!A7122,Orçamentária!A:A,0),2)</f>
        <v>Luva CPVC 28 mm– Linha Residencial</v>
      </c>
      <c r="C7122" s="40"/>
      <c r="D7122" s="25" t="s">
        <v>16</v>
      </c>
      <c r="E7122" s="26"/>
      <c r="F7122" s="41" t="s">
        <v>416</v>
      </c>
      <c r="G7122" s="27" t="str">
        <f t="shared" si="706"/>
        <v/>
      </c>
      <c r="H7122" s="28"/>
      <c r="I7122" s="29"/>
      <c r="J7122" s="152">
        <v>0</v>
      </c>
      <c r="L7122" s="218"/>
      <c r="M7122" s="41"/>
      <c r="N7122" s="27" t="str">
        <f t="shared" si="707"/>
        <v/>
      </c>
      <c r="O7122" s="28"/>
      <c r="P7122" s="36" t="str">
        <f t="shared" si="708"/>
        <v/>
      </c>
      <c r="Q7122" s="216" t="str">
        <f t="shared" si="709"/>
        <v/>
      </c>
      <c r="R7122" s="216" t="str">
        <f t="shared" si="710"/>
        <v/>
      </c>
      <c r="S7122" s="217" t="str">
        <f t="shared" si="711"/>
        <v/>
      </c>
    </row>
    <row r="7123" spans="1:19" ht="15.75" hidden="1" thickBot="1" x14ac:dyDescent="0.3">
      <c r="A7123" s="262"/>
      <c r="B7123" s="260"/>
      <c r="C7123" s="31"/>
      <c r="D7123" s="31"/>
      <c r="E7123" s="32"/>
      <c r="F7123" s="42" t="s">
        <v>416</v>
      </c>
      <c r="G7123" s="30" t="str">
        <f t="shared" si="706"/>
        <v/>
      </c>
      <c r="H7123" s="34"/>
      <c r="I7123" s="30"/>
      <c r="J7123" s="152">
        <v>0</v>
      </c>
      <c r="L7123" s="219"/>
      <c r="M7123" s="42"/>
      <c r="N7123" s="30" t="str">
        <f t="shared" si="707"/>
        <v/>
      </c>
      <c r="O7123" s="34"/>
      <c r="P7123" s="36" t="str">
        <f t="shared" si="708"/>
        <v/>
      </c>
      <c r="Q7123" s="216" t="str">
        <f t="shared" si="709"/>
        <v/>
      </c>
      <c r="R7123" s="216" t="str">
        <f t="shared" si="710"/>
        <v/>
      </c>
      <c r="S7123" s="217" t="str">
        <f t="shared" si="711"/>
        <v/>
      </c>
    </row>
    <row r="7124" spans="1:19" ht="15.75" hidden="1" thickBot="1" x14ac:dyDescent="0.3">
      <c r="A7124" s="262"/>
      <c r="B7124" s="260"/>
      <c r="C7124" s="35" t="s">
        <v>8233</v>
      </c>
      <c r="D7124" s="35" t="s">
        <v>213</v>
      </c>
      <c r="E7124" s="36">
        <v>1</v>
      </c>
      <c r="F7124" s="30">
        <v>3.6859999999999999</v>
      </c>
      <c r="G7124" s="30">
        <f t="shared" si="706"/>
        <v>3.6859999999999999</v>
      </c>
      <c r="H7124" s="38">
        <f>SUM(G7124:G7124)</f>
        <v>3.6859999999999999</v>
      </c>
      <c r="I7124" s="39"/>
      <c r="J7124" s="152">
        <v>0</v>
      </c>
      <c r="L7124" s="215">
        <v>1</v>
      </c>
      <c r="M7124" s="30">
        <v>3.1552160000000002</v>
      </c>
      <c r="N7124" s="30">
        <f t="shared" si="707"/>
        <v>3.1552160000000002</v>
      </c>
      <c r="O7124" s="38">
        <f>SUM(N7124:N7124)</f>
        <v>3.1552160000000002</v>
      </c>
      <c r="P7124" s="36" t="str">
        <f t="shared" si="708"/>
        <v/>
      </c>
      <c r="Q7124" s="216">
        <f t="shared" si="709"/>
        <v>0.14399999999999991</v>
      </c>
      <c r="R7124" s="216">
        <f t="shared" si="710"/>
        <v>0.14399999999999991</v>
      </c>
      <c r="S7124" s="217">
        <f t="shared" si="711"/>
        <v>0.14399999999999991</v>
      </c>
    </row>
    <row r="7125" spans="1:19" ht="15.75" hidden="1" thickBot="1" x14ac:dyDescent="0.3">
      <c r="A7125" s="263"/>
      <c r="B7125" s="261"/>
      <c r="C7125" s="54"/>
      <c r="D7125" s="54"/>
      <c r="E7125" s="65"/>
      <c r="F7125" s="66" t="s">
        <v>416</v>
      </c>
      <c r="G7125" s="66" t="str">
        <f t="shared" si="706"/>
        <v/>
      </c>
      <c r="H7125" s="68"/>
      <c r="I7125" s="30"/>
      <c r="J7125" s="152">
        <v>0</v>
      </c>
      <c r="L7125" s="222"/>
      <c r="M7125" s="66"/>
      <c r="N7125" s="66" t="str">
        <f t="shared" si="707"/>
        <v/>
      </c>
      <c r="O7125" s="68"/>
      <c r="P7125" s="36" t="str">
        <f t="shared" si="708"/>
        <v/>
      </c>
      <c r="Q7125" s="216" t="str">
        <f t="shared" si="709"/>
        <v/>
      </c>
      <c r="R7125" s="216" t="str">
        <f t="shared" si="710"/>
        <v/>
      </c>
      <c r="S7125" s="217" t="str">
        <f t="shared" si="711"/>
        <v/>
      </c>
    </row>
    <row r="7126" spans="1:19" ht="15.75" hidden="1" thickBot="1" x14ac:dyDescent="0.3">
      <c r="A7126" s="256" t="s">
        <v>6367</v>
      </c>
      <c r="B7126" s="259" t="str">
        <f>INDEX(Orçamentária!A:B,MATCH(Composições!A7126,Orçamentária!A:A,0),2)</f>
        <v>Luva PVC roscável para água fria 1 1/2”</v>
      </c>
      <c r="C7126" s="40"/>
      <c r="D7126" s="25" t="s">
        <v>16</v>
      </c>
      <c r="E7126" s="26"/>
      <c r="F7126" s="41" t="s">
        <v>416</v>
      </c>
      <c r="G7126" s="27" t="str">
        <f t="shared" si="706"/>
        <v/>
      </c>
      <c r="H7126" s="28"/>
      <c r="I7126" s="29"/>
      <c r="J7126" s="152">
        <v>0</v>
      </c>
      <c r="L7126" s="218"/>
      <c r="M7126" s="41"/>
      <c r="N7126" s="27" t="str">
        <f t="shared" si="707"/>
        <v/>
      </c>
      <c r="O7126" s="28"/>
      <c r="P7126" s="36" t="str">
        <f t="shared" si="708"/>
        <v/>
      </c>
      <c r="Q7126" s="216" t="str">
        <f t="shared" si="709"/>
        <v/>
      </c>
      <c r="R7126" s="216" t="str">
        <f t="shared" si="710"/>
        <v/>
      </c>
      <c r="S7126" s="217" t="str">
        <f t="shared" si="711"/>
        <v/>
      </c>
    </row>
    <row r="7127" spans="1:19" ht="15.75" hidden="1" thickBot="1" x14ac:dyDescent="0.3">
      <c r="A7127" s="262"/>
      <c r="B7127" s="260"/>
      <c r="C7127" s="31"/>
      <c r="D7127" s="31"/>
      <c r="E7127" s="32"/>
      <c r="F7127" s="42" t="s">
        <v>416</v>
      </c>
      <c r="G7127" s="30" t="str">
        <f t="shared" si="706"/>
        <v/>
      </c>
      <c r="H7127" s="34"/>
      <c r="I7127" s="30"/>
      <c r="J7127" s="152">
        <v>0</v>
      </c>
      <c r="L7127" s="219"/>
      <c r="M7127" s="42"/>
      <c r="N7127" s="30" t="str">
        <f t="shared" si="707"/>
        <v/>
      </c>
      <c r="O7127" s="34"/>
      <c r="P7127" s="36" t="str">
        <f t="shared" si="708"/>
        <v/>
      </c>
      <c r="Q7127" s="216" t="str">
        <f t="shared" si="709"/>
        <v/>
      </c>
      <c r="R7127" s="216" t="str">
        <f t="shared" si="710"/>
        <v/>
      </c>
      <c r="S7127" s="217" t="str">
        <f t="shared" si="711"/>
        <v/>
      </c>
    </row>
    <row r="7128" spans="1:19" ht="15.75" hidden="1" thickBot="1" x14ac:dyDescent="0.3">
      <c r="A7128" s="262"/>
      <c r="B7128" s="260"/>
      <c r="C7128" s="35" t="s">
        <v>8558</v>
      </c>
      <c r="D7128" s="35" t="s">
        <v>213</v>
      </c>
      <c r="E7128" s="36">
        <v>1</v>
      </c>
      <c r="F7128" s="30">
        <v>11.818</v>
      </c>
      <c r="G7128" s="30">
        <f t="shared" si="706"/>
        <v>11.818</v>
      </c>
      <c r="H7128" s="38">
        <f>SUM(G7128:G7128)</f>
        <v>11.818</v>
      </c>
      <c r="I7128" s="39"/>
      <c r="J7128" s="152">
        <v>0</v>
      </c>
      <c r="L7128" s="215">
        <v>1</v>
      </c>
      <c r="M7128" s="30">
        <v>10.116208</v>
      </c>
      <c r="N7128" s="30">
        <f t="shared" si="707"/>
        <v>10.116208</v>
      </c>
      <c r="O7128" s="38">
        <f>SUM(N7128:N7128)</f>
        <v>10.116208</v>
      </c>
      <c r="P7128" s="36" t="str">
        <f t="shared" si="708"/>
        <v/>
      </c>
      <c r="Q7128" s="216">
        <f t="shared" si="709"/>
        <v>0.14399999999999991</v>
      </c>
      <c r="R7128" s="216">
        <f t="shared" si="710"/>
        <v>0.14399999999999991</v>
      </c>
      <c r="S7128" s="217">
        <f t="shared" si="711"/>
        <v>0.14399999999999991</v>
      </c>
    </row>
    <row r="7129" spans="1:19" ht="15.75" hidden="1" thickBot="1" x14ac:dyDescent="0.3">
      <c r="A7129" s="263"/>
      <c r="B7129" s="261"/>
      <c r="C7129" s="54"/>
      <c r="D7129" s="54"/>
      <c r="E7129" s="65"/>
      <c r="F7129" s="66" t="s">
        <v>416</v>
      </c>
      <c r="G7129" s="66" t="str">
        <f t="shared" si="706"/>
        <v/>
      </c>
      <c r="H7129" s="68"/>
      <c r="I7129" s="30"/>
      <c r="J7129" s="152">
        <v>0</v>
      </c>
      <c r="L7129" s="222"/>
      <c r="M7129" s="66"/>
      <c r="N7129" s="66" t="str">
        <f t="shared" si="707"/>
        <v/>
      </c>
      <c r="O7129" s="68"/>
      <c r="P7129" s="36" t="str">
        <f t="shared" si="708"/>
        <v/>
      </c>
      <c r="Q7129" s="216" t="str">
        <f t="shared" si="709"/>
        <v/>
      </c>
      <c r="R7129" s="216" t="str">
        <f t="shared" si="710"/>
        <v/>
      </c>
      <c r="S7129" s="217" t="str">
        <f t="shared" si="711"/>
        <v/>
      </c>
    </row>
    <row r="7130" spans="1:19" ht="15.75" hidden="1" thickBot="1" x14ac:dyDescent="0.3">
      <c r="A7130" s="256" t="s">
        <v>6369</v>
      </c>
      <c r="B7130" s="259" t="str">
        <f>INDEX(Orçamentária!A:B,MATCH(Composições!A7130,Orçamentária!A:A,0),2)</f>
        <v>Luva PVC roscável para água fria 2”</v>
      </c>
      <c r="C7130" s="40"/>
      <c r="D7130" s="25" t="s">
        <v>16</v>
      </c>
      <c r="E7130" s="26"/>
      <c r="F7130" s="41" t="s">
        <v>416</v>
      </c>
      <c r="G7130" s="27" t="str">
        <f t="shared" si="706"/>
        <v/>
      </c>
      <c r="H7130" s="28"/>
      <c r="I7130" s="29"/>
      <c r="J7130" s="152">
        <v>0</v>
      </c>
      <c r="L7130" s="218"/>
      <c r="M7130" s="41"/>
      <c r="N7130" s="27" t="str">
        <f t="shared" si="707"/>
        <v/>
      </c>
      <c r="O7130" s="28"/>
      <c r="P7130" s="36" t="str">
        <f t="shared" si="708"/>
        <v/>
      </c>
      <c r="Q7130" s="216" t="str">
        <f t="shared" si="709"/>
        <v/>
      </c>
      <c r="R7130" s="216" t="str">
        <f t="shared" si="710"/>
        <v/>
      </c>
      <c r="S7130" s="217" t="str">
        <f t="shared" si="711"/>
        <v/>
      </c>
    </row>
    <row r="7131" spans="1:19" ht="15.75" hidden="1" thickBot="1" x14ac:dyDescent="0.3">
      <c r="A7131" s="262"/>
      <c r="B7131" s="260"/>
      <c r="C7131" s="31"/>
      <c r="D7131" s="31"/>
      <c r="E7131" s="32"/>
      <c r="F7131" s="42" t="s">
        <v>416</v>
      </c>
      <c r="G7131" s="30" t="str">
        <f t="shared" si="706"/>
        <v/>
      </c>
      <c r="H7131" s="34"/>
      <c r="I7131" s="30"/>
      <c r="J7131" s="152">
        <v>0</v>
      </c>
      <c r="L7131" s="219"/>
      <c r="M7131" s="42"/>
      <c r="N7131" s="30" t="str">
        <f t="shared" si="707"/>
        <v/>
      </c>
      <c r="O7131" s="34"/>
      <c r="P7131" s="36" t="str">
        <f t="shared" si="708"/>
        <v/>
      </c>
      <c r="Q7131" s="216" t="str">
        <f t="shared" si="709"/>
        <v/>
      </c>
      <c r="R7131" s="216" t="str">
        <f t="shared" si="710"/>
        <v/>
      </c>
      <c r="S7131" s="217" t="str">
        <f t="shared" si="711"/>
        <v/>
      </c>
    </row>
    <row r="7132" spans="1:19" ht="15.75" hidden="1" thickBot="1" x14ac:dyDescent="0.3">
      <c r="A7132" s="262"/>
      <c r="B7132" s="260"/>
      <c r="C7132" s="35" t="s">
        <v>6586</v>
      </c>
      <c r="D7132" s="46" t="s">
        <v>16</v>
      </c>
      <c r="E7132" s="36">
        <v>1</v>
      </c>
      <c r="F7132" s="30">
        <v>0</v>
      </c>
      <c r="G7132" s="30">
        <f t="shared" si="706"/>
        <v>0</v>
      </c>
      <c r="H7132" s="38">
        <f>SUM(G7132:G7132)</f>
        <v>0</v>
      </c>
      <c r="I7132" s="39"/>
      <c r="J7132" s="152">
        <v>0</v>
      </c>
      <c r="L7132" s="215">
        <v>1</v>
      </c>
      <c r="M7132" s="30">
        <v>0</v>
      </c>
      <c r="N7132" s="30">
        <f t="shared" si="707"/>
        <v>0</v>
      </c>
      <c r="O7132" s="38">
        <f>SUM(N7132:N7132)</f>
        <v>0</v>
      </c>
      <c r="P7132" s="36" t="str">
        <f t="shared" si="708"/>
        <v/>
      </c>
      <c r="Q7132" s="216" t="e">
        <f t="shared" si="709"/>
        <v>#DIV/0!</v>
      </c>
      <c r="R7132" s="216" t="e">
        <f t="shared" si="710"/>
        <v>#DIV/0!</v>
      </c>
      <c r="S7132" s="217" t="e">
        <f t="shared" si="711"/>
        <v>#DIV/0!</v>
      </c>
    </row>
    <row r="7133" spans="1:19" ht="15.75" hidden="1" thickBot="1" x14ac:dyDescent="0.3">
      <c r="A7133" s="263"/>
      <c r="B7133" s="261"/>
      <c r="C7133" s="54"/>
      <c r="D7133" s="54"/>
      <c r="E7133" s="65"/>
      <c r="F7133" s="66" t="s">
        <v>416</v>
      </c>
      <c r="G7133" s="66" t="str">
        <f t="shared" si="706"/>
        <v/>
      </c>
      <c r="H7133" s="68"/>
      <c r="I7133" s="30"/>
      <c r="J7133" s="152">
        <v>0</v>
      </c>
      <c r="L7133" s="222"/>
      <c r="M7133" s="66"/>
      <c r="N7133" s="66" t="str">
        <f t="shared" si="707"/>
        <v/>
      </c>
      <c r="O7133" s="68"/>
      <c r="P7133" s="36" t="str">
        <f t="shared" si="708"/>
        <v/>
      </c>
      <c r="Q7133" s="216" t="str">
        <f t="shared" si="709"/>
        <v/>
      </c>
      <c r="R7133" s="216" t="str">
        <f t="shared" si="710"/>
        <v/>
      </c>
      <c r="S7133" s="217" t="str">
        <f t="shared" si="711"/>
        <v/>
      </c>
    </row>
    <row r="7134" spans="1:19" ht="15.75" hidden="1" thickBot="1" x14ac:dyDescent="0.3">
      <c r="A7134" s="256" t="s">
        <v>6371</v>
      </c>
      <c r="B7134" s="259" t="str">
        <f>INDEX(Orçamentária!A:B,MATCH(Composições!A7134,Orçamentária!A:A,0),2)</f>
        <v>Luva de PVC soldável água fria DN 60 mm</v>
      </c>
      <c r="C7134" s="40"/>
      <c r="D7134" s="25" t="s">
        <v>16</v>
      </c>
      <c r="E7134" s="26"/>
      <c r="F7134" s="41" t="s">
        <v>416</v>
      </c>
      <c r="G7134" s="27" t="str">
        <f t="shared" si="706"/>
        <v/>
      </c>
      <c r="H7134" s="28"/>
      <c r="I7134" s="29"/>
      <c r="J7134" s="152">
        <v>0</v>
      </c>
      <c r="L7134" s="218"/>
      <c r="M7134" s="41"/>
      <c r="N7134" s="27" t="str">
        <f t="shared" si="707"/>
        <v/>
      </c>
      <c r="O7134" s="28"/>
      <c r="P7134" s="36" t="str">
        <f t="shared" si="708"/>
        <v/>
      </c>
      <c r="Q7134" s="216" t="str">
        <f t="shared" si="709"/>
        <v/>
      </c>
      <c r="R7134" s="216" t="str">
        <f t="shared" si="710"/>
        <v/>
      </c>
      <c r="S7134" s="217" t="str">
        <f t="shared" si="711"/>
        <v/>
      </c>
    </row>
    <row r="7135" spans="1:19" ht="15.75" hidden="1" thickBot="1" x14ac:dyDescent="0.3">
      <c r="A7135" s="262"/>
      <c r="B7135" s="260"/>
      <c r="C7135" s="31"/>
      <c r="D7135" s="31"/>
      <c r="E7135" s="32"/>
      <c r="F7135" s="42" t="s">
        <v>416</v>
      </c>
      <c r="G7135" s="30" t="str">
        <f t="shared" si="706"/>
        <v/>
      </c>
      <c r="H7135" s="34"/>
      <c r="I7135" s="30"/>
      <c r="J7135" s="152">
        <v>0</v>
      </c>
      <c r="L7135" s="219"/>
      <c r="M7135" s="42"/>
      <c r="N7135" s="30" t="str">
        <f t="shared" si="707"/>
        <v/>
      </c>
      <c r="O7135" s="34"/>
      <c r="P7135" s="36" t="str">
        <f t="shared" si="708"/>
        <v/>
      </c>
      <c r="Q7135" s="216" t="str">
        <f t="shared" si="709"/>
        <v/>
      </c>
      <c r="R7135" s="216" t="str">
        <f t="shared" si="710"/>
        <v/>
      </c>
      <c r="S7135" s="217" t="str">
        <f t="shared" si="711"/>
        <v/>
      </c>
    </row>
    <row r="7136" spans="1:19" ht="15.75" hidden="1" thickBot="1" x14ac:dyDescent="0.3">
      <c r="A7136" s="262"/>
      <c r="B7136" s="260"/>
      <c r="C7136" s="35" t="s">
        <v>8273</v>
      </c>
      <c r="D7136" s="35" t="s">
        <v>213</v>
      </c>
      <c r="E7136" s="36">
        <v>1</v>
      </c>
      <c r="F7136" s="30">
        <v>13.195499999999999</v>
      </c>
      <c r="G7136" s="30">
        <f t="shared" si="706"/>
        <v>13.195499999999999</v>
      </c>
      <c r="H7136" s="38">
        <f>SUM(G7136:G7136)</f>
        <v>13.195499999999999</v>
      </c>
      <c r="I7136" s="39"/>
      <c r="J7136" s="152">
        <v>0</v>
      </c>
      <c r="L7136" s="215">
        <v>1</v>
      </c>
      <c r="M7136" s="30">
        <v>11.295347999999999</v>
      </c>
      <c r="N7136" s="30">
        <f t="shared" si="707"/>
        <v>11.295347999999999</v>
      </c>
      <c r="O7136" s="38">
        <f>SUM(N7136:N7136)</f>
        <v>11.295347999999999</v>
      </c>
      <c r="P7136" s="36" t="str">
        <f t="shared" si="708"/>
        <v/>
      </c>
      <c r="Q7136" s="216">
        <f t="shared" si="709"/>
        <v>0.14400000000000002</v>
      </c>
      <c r="R7136" s="216">
        <f t="shared" si="710"/>
        <v>0.14400000000000002</v>
      </c>
      <c r="S7136" s="217">
        <f t="shared" si="711"/>
        <v>0.14400000000000002</v>
      </c>
    </row>
    <row r="7137" spans="1:19" ht="15.75" hidden="1" thickBot="1" x14ac:dyDescent="0.3">
      <c r="A7137" s="263"/>
      <c r="B7137" s="261"/>
      <c r="C7137" s="54"/>
      <c r="D7137" s="54"/>
      <c r="E7137" s="65"/>
      <c r="F7137" s="66" t="s">
        <v>416</v>
      </c>
      <c r="G7137" s="66" t="str">
        <f t="shared" si="706"/>
        <v/>
      </c>
      <c r="H7137" s="68"/>
      <c r="I7137" s="30"/>
      <c r="J7137" s="152">
        <v>0</v>
      </c>
      <c r="L7137" s="222"/>
      <c r="M7137" s="66"/>
      <c r="N7137" s="66" t="str">
        <f t="shared" si="707"/>
        <v/>
      </c>
      <c r="O7137" s="68"/>
      <c r="P7137" s="36" t="str">
        <f t="shared" si="708"/>
        <v/>
      </c>
      <c r="Q7137" s="216" t="str">
        <f t="shared" si="709"/>
        <v/>
      </c>
      <c r="R7137" s="216" t="str">
        <f t="shared" si="710"/>
        <v/>
      </c>
      <c r="S7137" s="217" t="str">
        <f t="shared" si="711"/>
        <v/>
      </c>
    </row>
    <row r="7138" spans="1:19" ht="15.75" hidden="1" thickBot="1" x14ac:dyDescent="0.3">
      <c r="A7138" s="256" t="s">
        <v>6372</v>
      </c>
      <c r="B7138" s="259" t="str">
        <f>INDEX(Orçamentária!A:B,MATCH(Composições!A7138,Orçamentária!A:A,0),2)</f>
        <v>União PVC soldável 60 mm</v>
      </c>
      <c r="C7138" s="40"/>
      <c r="D7138" s="25" t="s">
        <v>16</v>
      </c>
      <c r="E7138" s="26"/>
      <c r="F7138" s="41" t="s">
        <v>416</v>
      </c>
      <c r="G7138" s="27" t="str">
        <f t="shared" si="706"/>
        <v/>
      </c>
      <c r="H7138" s="28"/>
      <c r="I7138" s="29"/>
      <c r="J7138" s="152">
        <v>0</v>
      </c>
      <c r="L7138" s="218"/>
      <c r="M7138" s="41"/>
      <c r="N7138" s="27" t="str">
        <f t="shared" si="707"/>
        <v/>
      </c>
      <c r="O7138" s="28"/>
      <c r="P7138" s="36" t="str">
        <f t="shared" si="708"/>
        <v/>
      </c>
      <c r="Q7138" s="216" t="str">
        <f t="shared" si="709"/>
        <v/>
      </c>
      <c r="R7138" s="216" t="str">
        <f t="shared" si="710"/>
        <v/>
      </c>
      <c r="S7138" s="217" t="str">
        <f t="shared" si="711"/>
        <v/>
      </c>
    </row>
    <row r="7139" spans="1:19" ht="15.75" hidden="1" thickBot="1" x14ac:dyDescent="0.3">
      <c r="A7139" s="262"/>
      <c r="B7139" s="260"/>
      <c r="C7139" s="31"/>
      <c r="D7139" s="31"/>
      <c r="E7139" s="32"/>
      <c r="F7139" s="42" t="s">
        <v>416</v>
      </c>
      <c r="G7139" s="30" t="str">
        <f t="shared" si="706"/>
        <v/>
      </c>
      <c r="H7139" s="34"/>
      <c r="I7139" s="30"/>
      <c r="J7139" s="152">
        <v>0</v>
      </c>
      <c r="L7139" s="219"/>
      <c r="M7139" s="42"/>
      <c r="N7139" s="30" t="str">
        <f t="shared" si="707"/>
        <v/>
      </c>
      <c r="O7139" s="34"/>
      <c r="P7139" s="36" t="str">
        <f t="shared" si="708"/>
        <v/>
      </c>
      <c r="Q7139" s="216" t="str">
        <f t="shared" si="709"/>
        <v/>
      </c>
      <c r="R7139" s="216" t="str">
        <f t="shared" si="710"/>
        <v/>
      </c>
      <c r="S7139" s="217" t="str">
        <f t="shared" si="711"/>
        <v/>
      </c>
    </row>
    <row r="7140" spans="1:19" ht="15.75" hidden="1" thickBot="1" x14ac:dyDescent="0.3">
      <c r="A7140" s="262"/>
      <c r="B7140" s="260"/>
      <c r="C7140" s="35" t="s">
        <v>8559</v>
      </c>
      <c r="D7140" s="35" t="s">
        <v>213</v>
      </c>
      <c r="E7140" s="36">
        <v>1</v>
      </c>
      <c r="F7140" s="30">
        <v>71.0505</v>
      </c>
      <c r="G7140" s="30">
        <f t="shared" si="706"/>
        <v>71.0505</v>
      </c>
      <c r="H7140" s="38">
        <f>SUM(G7140:G7140)</f>
        <v>71.0505</v>
      </c>
      <c r="I7140" s="39"/>
      <c r="J7140" s="152">
        <v>0</v>
      </c>
      <c r="L7140" s="215">
        <v>1</v>
      </c>
      <c r="M7140" s="30">
        <v>60.819228000000003</v>
      </c>
      <c r="N7140" s="30">
        <f t="shared" si="707"/>
        <v>60.819228000000003</v>
      </c>
      <c r="O7140" s="38">
        <f>SUM(N7140:N7140)</f>
        <v>60.819228000000003</v>
      </c>
      <c r="P7140" s="36" t="str">
        <f t="shared" si="708"/>
        <v/>
      </c>
      <c r="Q7140" s="216">
        <f t="shared" si="709"/>
        <v>0.14399999999999991</v>
      </c>
      <c r="R7140" s="216">
        <f t="shared" si="710"/>
        <v>0.14399999999999991</v>
      </c>
      <c r="S7140" s="217">
        <f t="shared" si="711"/>
        <v>0.14399999999999991</v>
      </c>
    </row>
    <row r="7141" spans="1:19" ht="15.75" hidden="1" thickBot="1" x14ac:dyDescent="0.3">
      <c r="A7141" s="263"/>
      <c r="B7141" s="261"/>
      <c r="C7141" s="54"/>
      <c r="D7141" s="54"/>
      <c r="E7141" s="65"/>
      <c r="F7141" s="66" t="s">
        <v>416</v>
      </c>
      <c r="G7141" s="66" t="str">
        <f t="shared" si="706"/>
        <v/>
      </c>
      <c r="H7141" s="68"/>
      <c r="I7141" s="30"/>
      <c r="J7141" s="152">
        <v>0</v>
      </c>
      <c r="L7141" s="222"/>
      <c r="M7141" s="66"/>
      <c r="N7141" s="66" t="str">
        <f t="shared" si="707"/>
        <v/>
      </c>
      <c r="O7141" s="68"/>
      <c r="P7141" s="36" t="str">
        <f t="shared" si="708"/>
        <v/>
      </c>
      <c r="Q7141" s="216" t="str">
        <f t="shared" si="709"/>
        <v/>
      </c>
      <c r="R7141" s="216" t="str">
        <f t="shared" si="710"/>
        <v/>
      </c>
      <c r="S7141" s="217" t="str">
        <f t="shared" si="711"/>
        <v/>
      </c>
    </row>
    <row r="7142" spans="1:19" ht="15.75" hidden="1" thickBot="1" x14ac:dyDescent="0.3">
      <c r="A7142" s="256" t="s">
        <v>6373</v>
      </c>
      <c r="B7142" s="259" t="str">
        <f>INDEX(Orçamentária!A:B,MATCH(Composições!A7142,Orçamentária!A:A,0),2)</f>
        <v>União PVC soldável 85 mm</v>
      </c>
      <c r="C7142" s="40"/>
      <c r="D7142" s="25" t="s">
        <v>16</v>
      </c>
      <c r="E7142" s="26"/>
      <c r="F7142" s="41" t="s">
        <v>416</v>
      </c>
      <c r="G7142" s="27" t="str">
        <f t="shared" si="706"/>
        <v/>
      </c>
      <c r="H7142" s="28"/>
      <c r="I7142" s="29"/>
      <c r="J7142" s="152">
        <v>0</v>
      </c>
      <c r="L7142" s="218"/>
      <c r="M7142" s="41"/>
      <c r="N7142" s="27" t="str">
        <f t="shared" si="707"/>
        <v/>
      </c>
      <c r="O7142" s="28"/>
      <c r="P7142" s="36" t="str">
        <f t="shared" si="708"/>
        <v/>
      </c>
      <c r="Q7142" s="216" t="str">
        <f t="shared" si="709"/>
        <v/>
      </c>
      <c r="R7142" s="216" t="str">
        <f t="shared" si="710"/>
        <v/>
      </c>
      <c r="S7142" s="217" t="str">
        <f t="shared" si="711"/>
        <v/>
      </c>
    </row>
    <row r="7143" spans="1:19" ht="15.75" hidden="1" thickBot="1" x14ac:dyDescent="0.3">
      <c r="A7143" s="262"/>
      <c r="B7143" s="260"/>
      <c r="C7143" s="31"/>
      <c r="D7143" s="31"/>
      <c r="E7143" s="32"/>
      <c r="F7143" s="42" t="s">
        <v>416</v>
      </c>
      <c r="G7143" s="30" t="str">
        <f t="shared" si="706"/>
        <v/>
      </c>
      <c r="H7143" s="34"/>
      <c r="I7143" s="30"/>
      <c r="J7143" s="152">
        <v>0</v>
      </c>
      <c r="L7143" s="219"/>
      <c r="M7143" s="42"/>
      <c r="N7143" s="30" t="str">
        <f t="shared" si="707"/>
        <v/>
      </c>
      <c r="O7143" s="34"/>
      <c r="P7143" s="36" t="str">
        <f t="shared" si="708"/>
        <v/>
      </c>
      <c r="Q7143" s="216" t="str">
        <f t="shared" si="709"/>
        <v/>
      </c>
      <c r="R7143" s="216" t="str">
        <f t="shared" si="710"/>
        <v/>
      </c>
      <c r="S7143" s="217" t="str">
        <f t="shared" si="711"/>
        <v/>
      </c>
    </row>
    <row r="7144" spans="1:19" ht="15.75" hidden="1" thickBot="1" x14ac:dyDescent="0.3">
      <c r="A7144" s="262"/>
      <c r="B7144" s="260"/>
      <c r="C7144" s="35" t="s">
        <v>8560</v>
      </c>
      <c r="D7144" s="35" t="s">
        <v>213</v>
      </c>
      <c r="E7144" s="36">
        <v>1</v>
      </c>
      <c r="F7144" s="30">
        <v>170.83850000000001</v>
      </c>
      <c r="G7144" s="30">
        <f t="shared" si="706"/>
        <v>170.83850000000001</v>
      </c>
      <c r="H7144" s="38">
        <f>SUM(G7144:G7144)</f>
        <v>170.83850000000001</v>
      </c>
      <c r="I7144" s="39"/>
      <c r="J7144" s="152">
        <v>0</v>
      </c>
      <c r="L7144" s="215">
        <v>1</v>
      </c>
      <c r="M7144" s="30">
        <v>146.23775600000002</v>
      </c>
      <c r="N7144" s="30">
        <f t="shared" si="707"/>
        <v>146.23775600000002</v>
      </c>
      <c r="O7144" s="38">
        <f>SUM(N7144:N7144)</f>
        <v>146.23775600000002</v>
      </c>
      <c r="P7144" s="36" t="str">
        <f t="shared" si="708"/>
        <v/>
      </c>
      <c r="Q7144" s="216">
        <f t="shared" si="709"/>
        <v>0.14399999999999991</v>
      </c>
      <c r="R7144" s="216">
        <f t="shared" si="710"/>
        <v>0.14399999999999991</v>
      </c>
      <c r="S7144" s="217">
        <f t="shared" si="711"/>
        <v>0.14399999999999991</v>
      </c>
    </row>
    <row r="7145" spans="1:19" ht="15.75" hidden="1" thickBot="1" x14ac:dyDescent="0.3">
      <c r="A7145" s="263"/>
      <c r="B7145" s="261"/>
      <c r="C7145" s="54"/>
      <c r="D7145" s="54"/>
      <c r="E7145" s="65"/>
      <c r="F7145" s="66" t="s">
        <v>416</v>
      </c>
      <c r="G7145" s="66" t="str">
        <f t="shared" si="706"/>
        <v/>
      </c>
      <c r="H7145" s="68"/>
      <c r="I7145" s="30"/>
      <c r="J7145" s="152">
        <v>0</v>
      </c>
      <c r="L7145" s="222"/>
      <c r="M7145" s="66"/>
      <c r="N7145" s="66" t="str">
        <f t="shared" si="707"/>
        <v/>
      </c>
      <c r="O7145" s="68"/>
      <c r="P7145" s="36" t="str">
        <f t="shared" si="708"/>
        <v/>
      </c>
      <c r="Q7145" s="216" t="str">
        <f t="shared" si="709"/>
        <v/>
      </c>
      <c r="R7145" s="216" t="str">
        <f t="shared" si="710"/>
        <v/>
      </c>
      <c r="S7145" s="217" t="str">
        <f t="shared" si="711"/>
        <v/>
      </c>
    </row>
    <row r="7146" spans="1:19" ht="15.75" hidden="1" thickBot="1" x14ac:dyDescent="0.3">
      <c r="A7146" s="256" t="s">
        <v>6439</v>
      </c>
      <c r="B7146" s="259" t="str">
        <f>INDEX(Orçamentária!A:B,MATCH(Composições!A7146,Orçamentária!A:A,0),2)</f>
        <v>Supervisor(a) Técnico(a) - Sistema Hidrossanitário</v>
      </c>
      <c r="C7146" s="40"/>
      <c r="D7146" s="25" t="s">
        <v>2177</v>
      </c>
      <c r="E7146" s="26"/>
      <c r="F7146" s="41" t="s">
        <v>416</v>
      </c>
      <c r="G7146" s="27" t="str">
        <f t="shared" si="706"/>
        <v/>
      </c>
      <c r="H7146" s="28"/>
      <c r="I7146" s="29"/>
      <c r="J7146" s="152">
        <v>0</v>
      </c>
      <c r="L7146" s="218"/>
      <c r="M7146" s="41"/>
      <c r="N7146" s="27" t="str">
        <f t="shared" si="707"/>
        <v/>
      </c>
      <c r="O7146" s="28"/>
      <c r="P7146" s="36" t="str">
        <f t="shared" si="708"/>
        <v/>
      </c>
      <c r="Q7146" s="216" t="str">
        <f t="shared" si="709"/>
        <v/>
      </c>
      <c r="R7146" s="216" t="str">
        <f t="shared" si="710"/>
        <v/>
      </c>
      <c r="S7146" s="217" t="str">
        <f t="shared" si="711"/>
        <v/>
      </c>
    </row>
    <row r="7147" spans="1:19" ht="15.75" hidden="1" thickBot="1" x14ac:dyDescent="0.3">
      <c r="A7147" s="262"/>
      <c r="B7147" s="260"/>
      <c r="C7147" s="31"/>
      <c r="D7147" s="31"/>
      <c r="E7147" s="32"/>
      <c r="F7147" s="42" t="s">
        <v>416</v>
      </c>
      <c r="G7147" s="33" t="str">
        <f t="shared" si="706"/>
        <v/>
      </c>
      <c r="H7147" s="34"/>
      <c r="I7147" s="30"/>
      <c r="J7147" s="152">
        <v>0</v>
      </c>
      <c r="L7147" s="219"/>
      <c r="M7147" s="42"/>
      <c r="N7147" s="33" t="str">
        <f t="shared" si="707"/>
        <v/>
      </c>
      <c r="O7147" s="34"/>
      <c r="P7147" s="36" t="str">
        <f t="shared" si="708"/>
        <v/>
      </c>
      <c r="Q7147" s="216" t="str">
        <f t="shared" si="709"/>
        <v/>
      </c>
      <c r="R7147" s="216" t="str">
        <f t="shared" si="710"/>
        <v/>
      </c>
      <c r="S7147" s="217" t="str">
        <f t="shared" si="711"/>
        <v/>
      </c>
    </row>
    <row r="7148" spans="1:19" ht="26.25" hidden="1" thickBot="1" x14ac:dyDescent="0.3">
      <c r="A7148" s="262"/>
      <c r="B7148" s="260"/>
      <c r="C7148" s="35" t="s">
        <v>654</v>
      </c>
      <c r="D7148" s="35" t="s">
        <v>583</v>
      </c>
      <c r="E7148" s="36">
        <f>ROUND(220/(1+110.14%),4)</f>
        <v>104.6921</v>
      </c>
      <c r="F7148" s="30">
        <v>118.2085</v>
      </c>
      <c r="G7148" s="33">
        <f t="shared" si="706"/>
        <v>12375.49610285</v>
      </c>
      <c r="H7148" s="38">
        <f>SUM(G7148:G7148)</f>
        <v>12375.49610285</v>
      </c>
      <c r="I7148" s="39"/>
      <c r="J7148" s="152">
        <v>0</v>
      </c>
      <c r="L7148" s="215">
        <v>104.6921</v>
      </c>
      <c r="M7148" s="30">
        <v>101.186476</v>
      </c>
      <c r="N7148" s="33">
        <f t="shared" si="707"/>
        <v>10593.4246640396</v>
      </c>
      <c r="O7148" s="38">
        <f>SUM(N7148:N7148)</f>
        <v>10593.4246640396</v>
      </c>
      <c r="P7148" s="36" t="str">
        <f t="shared" si="708"/>
        <v/>
      </c>
      <c r="Q7148" s="216">
        <f t="shared" si="709"/>
        <v>0.14400000000000002</v>
      </c>
      <c r="R7148" s="216">
        <f t="shared" si="710"/>
        <v>0.14400000000000002</v>
      </c>
      <c r="S7148" s="217">
        <f t="shared" si="711"/>
        <v>0.14400000000000002</v>
      </c>
    </row>
    <row r="7149" spans="1:19" ht="15.75" hidden="1" thickBot="1" x14ac:dyDescent="0.3">
      <c r="A7149" s="262"/>
      <c r="B7149" s="260"/>
      <c r="C7149" s="35"/>
      <c r="D7149" s="46"/>
      <c r="E7149" s="36"/>
      <c r="F7149" s="30" t="s">
        <v>416</v>
      </c>
      <c r="G7149" s="33" t="str">
        <f t="shared" si="706"/>
        <v/>
      </c>
      <c r="H7149" s="34"/>
      <c r="I7149" s="39"/>
      <c r="J7149" s="152">
        <v>0</v>
      </c>
      <c r="L7149" s="215"/>
      <c r="M7149" s="30"/>
      <c r="N7149" s="33" t="str">
        <f t="shared" si="707"/>
        <v/>
      </c>
      <c r="O7149" s="34"/>
      <c r="P7149" s="36" t="str">
        <f t="shared" si="708"/>
        <v/>
      </c>
      <c r="Q7149" s="216" t="str">
        <f t="shared" si="709"/>
        <v/>
      </c>
      <c r="R7149" s="216" t="str">
        <f t="shared" si="710"/>
        <v/>
      </c>
      <c r="S7149" s="217" t="str">
        <f t="shared" si="711"/>
        <v/>
      </c>
    </row>
    <row r="7150" spans="1:19" ht="26.25" hidden="1" thickBot="1" x14ac:dyDescent="0.3">
      <c r="A7150" s="262"/>
      <c r="B7150" s="260"/>
      <c r="C7150" s="47" t="s">
        <v>655</v>
      </c>
      <c r="D7150" s="46"/>
      <c r="E7150" s="36"/>
      <c r="F7150" s="30" t="s">
        <v>416</v>
      </c>
      <c r="G7150" s="33" t="str">
        <f t="shared" si="706"/>
        <v/>
      </c>
      <c r="H7150" s="34"/>
      <c r="I7150" s="39"/>
      <c r="J7150" s="152">
        <v>0</v>
      </c>
      <c r="L7150" s="215"/>
      <c r="M7150" s="30"/>
      <c r="N7150" s="33" t="str">
        <f t="shared" si="707"/>
        <v/>
      </c>
      <c r="O7150" s="34"/>
      <c r="P7150" s="36" t="str">
        <f t="shared" si="708"/>
        <v/>
      </c>
      <c r="Q7150" s="216" t="str">
        <f t="shared" si="709"/>
        <v/>
      </c>
      <c r="R7150" s="216" t="str">
        <f t="shared" si="710"/>
        <v/>
      </c>
      <c r="S7150" s="217" t="str">
        <f t="shared" si="711"/>
        <v/>
      </c>
    </row>
    <row r="7151" spans="1:19" ht="15.75" hidden="1" thickBot="1" x14ac:dyDescent="0.3">
      <c r="A7151" s="263"/>
      <c r="B7151" s="261"/>
      <c r="C7151" s="35"/>
      <c r="D7151" s="35"/>
      <c r="E7151" s="36"/>
      <c r="F7151" s="30" t="s">
        <v>416</v>
      </c>
      <c r="G7151" s="33" t="str">
        <f t="shared" si="706"/>
        <v/>
      </c>
      <c r="H7151" s="34"/>
      <c r="I7151" s="30"/>
      <c r="J7151" s="152">
        <v>0</v>
      </c>
      <c r="L7151" s="215"/>
      <c r="M7151" s="30"/>
      <c r="N7151" s="33" t="str">
        <f t="shared" si="707"/>
        <v/>
      </c>
      <c r="O7151" s="34"/>
      <c r="P7151" s="36" t="str">
        <f t="shared" si="708"/>
        <v/>
      </c>
      <c r="Q7151" s="216" t="str">
        <f t="shared" si="709"/>
        <v/>
      </c>
      <c r="R7151" s="216" t="str">
        <f t="shared" si="710"/>
        <v/>
      </c>
      <c r="S7151" s="217" t="str">
        <f t="shared" si="711"/>
        <v/>
      </c>
    </row>
    <row r="7152" spans="1:19" ht="15.75" hidden="1" thickBot="1" x14ac:dyDescent="0.3">
      <c r="A7152" s="256" t="s">
        <v>6441</v>
      </c>
      <c r="B7152" s="259" t="str">
        <f>INDEX(Orçamentária!A:B,MATCH(Composições!A7152,Orçamentária!A:A,0),2)</f>
        <v>Supervisor(a) Técnico(a) - Segurança do Trabalho</v>
      </c>
      <c r="C7152" s="40"/>
      <c r="D7152" s="25" t="s">
        <v>2177</v>
      </c>
      <c r="E7152" s="26"/>
      <c r="F7152" s="41" t="s">
        <v>416</v>
      </c>
      <c r="G7152" s="27" t="str">
        <f t="shared" si="706"/>
        <v/>
      </c>
      <c r="H7152" s="28"/>
      <c r="I7152" s="29"/>
      <c r="J7152" s="152">
        <v>0</v>
      </c>
      <c r="L7152" s="218"/>
      <c r="M7152" s="41"/>
      <c r="N7152" s="27" t="str">
        <f t="shared" si="707"/>
        <v/>
      </c>
      <c r="O7152" s="28"/>
      <c r="P7152" s="36" t="str">
        <f t="shared" si="708"/>
        <v/>
      </c>
      <c r="Q7152" s="216" t="str">
        <f t="shared" si="709"/>
        <v/>
      </c>
      <c r="R7152" s="216" t="str">
        <f t="shared" si="710"/>
        <v/>
      </c>
      <c r="S7152" s="217" t="str">
        <f t="shared" si="711"/>
        <v/>
      </c>
    </row>
    <row r="7153" spans="1:19" ht="15.75" hidden="1" thickBot="1" x14ac:dyDescent="0.3">
      <c r="A7153" s="262"/>
      <c r="B7153" s="260"/>
      <c r="C7153" s="31"/>
      <c r="D7153" s="31"/>
      <c r="E7153" s="32"/>
      <c r="F7153" s="42" t="s">
        <v>416</v>
      </c>
      <c r="G7153" s="33" t="str">
        <f t="shared" si="706"/>
        <v/>
      </c>
      <c r="H7153" s="34"/>
      <c r="I7153" s="30"/>
      <c r="J7153" s="152">
        <v>0</v>
      </c>
      <c r="L7153" s="219"/>
      <c r="M7153" s="42"/>
      <c r="N7153" s="33" t="str">
        <f t="shared" si="707"/>
        <v/>
      </c>
      <c r="O7153" s="34"/>
      <c r="P7153" s="36" t="str">
        <f t="shared" si="708"/>
        <v/>
      </c>
      <c r="Q7153" s="216" t="str">
        <f t="shared" si="709"/>
        <v/>
      </c>
      <c r="R7153" s="216" t="str">
        <f t="shared" si="710"/>
        <v/>
      </c>
      <c r="S7153" s="217" t="str">
        <f t="shared" si="711"/>
        <v/>
      </c>
    </row>
    <row r="7154" spans="1:19" ht="26.25" hidden="1" thickBot="1" x14ac:dyDescent="0.3">
      <c r="A7154" s="262"/>
      <c r="B7154" s="260"/>
      <c r="C7154" s="35" t="s">
        <v>654</v>
      </c>
      <c r="D7154" s="35" t="s">
        <v>583</v>
      </c>
      <c r="E7154" s="36">
        <f>ROUND(220/(1+110.14%),4)</f>
        <v>104.6921</v>
      </c>
      <c r="F7154" s="30">
        <v>118.2085</v>
      </c>
      <c r="G7154" s="33">
        <f t="shared" ref="G7154:G7217" si="712">IF(ISNUMBER(F7154),E7154*F7154,"")</f>
        <v>12375.49610285</v>
      </c>
      <c r="H7154" s="38">
        <f>SUM(G7154:G7154)</f>
        <v>12375.49610285</v>
      </c>
      <c r="I7154" s="39"/>
      <c r="J7154" s="152">
        <v>0</v>
      </c>
      <c r="L7154" s="215">
        <v>104.6921</v>
      </c>
      <c r="M7154" s="30">
        <v>101.186476</v>
      </c>
      <c r="N7154" s="33">
        <f t="shared" ref="N7154:N7217" si="713">IF(ISNUMBER(M7154),L7154*M7154,"")</f>
        <v>10593.4246640396</v>
      </c>
      <c r="O7154" s="38">
        <f>SUM(N7154:N7154)</f>
        <v>10593.4246640396</v>
      </c>
      <c r="P7154" s="36" t="str">
        <f t="shared" si="708"/>
        <v/>
      </c>
      <c r="Q7154" s="216">
        <f t="shared" si="709"/>
        <v>0.14400000000000002</v>
      </c>
      <c r="R7154" s="216">
        <f t="shared" si="710"/>
        <v>0.14400000000000002</v>
      </c>
      <c r="S7154" s="217">
        <f t="shared" si="711"/>
        <v>0.14400000000000002</v>
      </c>
    </row>
    <row r="7155" spans="1:19" ht="15.75" hidden="1" thickBot="1" x14ac:dyDescent="0.3">
      <c r="A7155" s="262"/>
      <c r="B7155" s="260"/>
      <c r="C7155" s="35"/>
      <c r="D7155" s="46"/>
      <c r="E7155" s="36"/>
      <c r="F7155" s="30" t="s">
        <v>416</v>
      </c>
      <c r="G7155" s="33" t="str">
        <f t="shared" si="712"/>
        <v/>
      </c>
      <c r="H7155" s="34"/>
      <c r="I7155" s="39"/>
      <c r="J7155" s="152">
        <v>0</v>
      </c>
      <c r="L7155" s="215"/>
      <c r="M7155" s="30"/>
      <c r="N7155" s="33" t="str">
        <f t="shared" si="713"/>
        <v/>
      </c>
      <c r="O7155" s="34"/>
      <c r="P7155" s="36" t="str">
        <f t="shared" si="708"/>
        <v/>
      </c>
      <c r="Q7155" s="216" t="str">
        <f t="shared" si="709"/>
        <v/>
      </c>
      <c r="R7155" s="216" t="str">
        <f t="shared" si="710"/>
        <v/>
      </c>
      <c r="S7155" s="217" t="str">
        <f t="shared" si="711"/>
        <v/>
      </c>
    </row>
    <row r="7156" spans="1:19" ht="26.25" hidden="1" thickBot="1" x14ac:dyDescent="0.3">
      <c r="A7156" s="262"/>
      <c r="B7156" s="260"/>
      <c r="C7156" s="47" t="s">
        <v>655</v>
      </c>
      <c r="D7156" s="46"/>
      <c r="E7156" s="36"/>
      <c r="F7156" s="30" t="s">
        <v>416</v>
      </c>
      <c r="G7156" s="33" t="str">
        <f t="shared" si="712"/>
        <v/>
      </c>
      <c r="H7156" s="34"/>
      <c r="I7156" s="39"/>
      <c r="J7156" s="152">
        <v>0</v>
      </c>
      <c r="L7156" s="215"/>
      <c r="M7156" s="30"/>
      <c r="N7156" s="33" t="str">
        <f t="shared" si="713"/>
        <v/>
      </c>
      <c r="O7156" s="34"/>
      <c r="P7156" s="36" t="str">
        <f t="shared" si="708"/>
        <v/>
      </c>
      <c r="Q7156" s="216" t="str">
        <f t="shared" si="709"/>
        <v/>
      </c>
      <c r="R7156" s="216" t="str">
        <f t="shared" si="710"/>
        <v/>
      </c>
      <c r="S7156" s="217" t="str">
        <f t="shared" si="711"/>
        <v/>
      </c>
    </row>
    <row r="7157" spans="1:19" ht="15.75" hidden="1" thickBot="1" x14ac:dyDescent="0.3">
      <c r="A7157" s="263"/>
      <c r="B7157" s="261"/>
      <c r="C7157" s="35"/>
      <c r="D7157" s="35"/>
      <c r="E7157" s="36"/>
      <c r="F7157" s="30" t="s">
        <v>416</v>
      </c>
      <c r="G7157" s="33" t="str">
        <f t="shared" si="712"/>
        <v/>
      </c>
      <c r="H7157" s="34"/>
      <c r="I7157" s="30"/>
      <c r="J7157" s="152">
        <v>0</v>
      </c>
      <c r="L7157" s="215"/>
      <c r="M7157" s="30"/>
      <c r="N7157" s="33" t="str">
        <f t="shared" si="713"/>
        <v/>
      </c>
      <c r="O7157" s="34"/>
      <c r="P7157" s="36" t="str">
        <f t="shared" si="708"/>
        <v/>
      </c>
      <c r="Q7157" s="216" t="str">
        <f t="shared" si="709"/>
        <v/>
      </c>
      <c r="R7157" s="216" t="str">
        <f t="shared" si="710"/>
        <v/>
      </c>
      <c r="S7157" s="217" t="str">
        <f t="shared" si="711"/>
        <v/>
      </c>
    </row>
    <row r="7158" spans="1:19" ht="15.75" hidden="1" thickBot="1" x14ac:dyDescent="0.3">
      <c r="A7158" s="256" t="s">
        <v>6443</v>
      </c>
      <c r="B7158" s="259" t="str">
        <f>INDEX(Orçamentária!A:B,MATCH(Composições!A7158,Orçamentária!A:A,0),2)</f>
        <v>Encarregado(a) de Manutenção Hidrossanitária</v>
      </c>
      <c r="C7158" s="40"/>
      <c r="D7158" s="25" t="s">
        <v>2177</v>
      </c>
      <c r="E7158" s="26"/>
      <c r="F7158" s="41" t="s">
        <v>416</v>
      </c>
      <c r="G7158" s="27" t="str">
        <f t="shared" si="712"/>
        <v/>
      </c>
      <c r="H7158" s="28"/>
      <c r="I7158" s="29"/>
      <c r="J7158" s="152">
        <v>0</v>
      </c>
      <c r="L7158" s="218"/>
      <c r="M7158" s="41"/>
      <c r="N7158" s="27" t="str">
        <f t="shared" si="713"/>
        <v/>
      </c>
      <c r="O7158" s="28"/>
      <c r="P7158" s="36" t="str">
        <f t="shared" si="708"/>
        <v/>
      </c>
      <c r="Q7158" s="216" t="str">
        <f t="shared" si="709"/>
        <v/>
      </c>
      <c r="R7158" s="216" t="str">
        <f t="shared" si="710"/>
        <v/>
      </c>
      <c r="S7158" s="217" t="str">
        <f t="shared" si="711"/>
        <v/>
      </c>
    </row>
    <row r="7159" spans="1:19" ht="15.75" hidden="1" thickBot="1" x14ac:dyDescent="0.3">
      <c r="A7159" s="262"/>
      <c r="B7159" s="260"/>
      <c r="C7159" s="31"/>
      <c r="D7159" s="31"/>
      <c r="E7159" s="32"/>
      <c r="F7159" s="42" t="s">
        <v>416</v>
      </c>
      <c r="G7159" s="33" t="str">
        <f t="shared" si="712"/>
        <v/>
      </c>
      <c r="H7159" s="34"/>
      <c r="I7159" s="30"/>
      <c r="J7159" s="152">
        <v>0</v>
      </c>
      <c r="L7159" s="219"/>
      <c r="M7159" s="42"/>
      <c r="N7159" s="33" t="str">
        <f t="shared" si="713"/>
        <v/>
      </c>
      <c r="O7159" s="34"/>
      <c r="P7159" s="36" t="str">
        <f t="shared" si="708"/>
        <v/>
      </c>
      <c r="Q7159" s="216" t="str">
        <f t="shared" si="709"/>
        <v/>
      </c>
      <c r="R7159" s="216" t="str">
        <f t="shared" si="710"/>
        <v/>
      </c>
      <c r="S7159" s="217" t="str">
        <f t="shared" si="711"/>
        <v/>
      </c>
    </row>
    <row r="7160" spans="1:19" ht="15.75" hidden="1" thickBot="1" x14ac:dyDescent="0.3">
      <c r="A7160" s="262"/>
      <c r="B7160" s="260"/>
      <c r="C7160" s="35" t="s">
        <v>2913</v>
      </c>
      <c r="D7160" s="35" t="s">
        <v>583</v>
      </c>
      <c r="E7160" s="36">
        <f>ROUND(220/(1+110.14%),4)</f>
        <v>104.6921</v>
      </c>
      <c r="F7160" s="30">
        <v>21.916499999999999</v>
      </c>
      <c r="G7160" s="33">
        <f t="shared" si="712"/>
        <v>2294.4844096499996</v>
      </c>
      <c r="H7160" s="38">
        <f>SUM(G7160:G7160)</f>
        <v>2294.4844096499996</v>
      </c>
      <c r="I7160" s="39"/>
      <c r="J7160" s="152">
        <v>0</v>
      </c>
      <c r="L7160" s="215">
        <v>104.6921</v>
      </c>
      <c r="M7160" s="30">
        <v>18.760524</v>
      </c>
      <c r="N7160" s="33">
        <f t="shared" si="713"/>
        <v>1964.0786546603999</v>
      </c>
      <c r="O7160" s="38">
        <f>SUM(N7160:N7160)</f>
        <v>1964.0786546603999</v>
      </c>
      <c r="P7160" s="36" t="str">
        <f t="shared" si="708"/>
        <v/>
      </c>
      <c r="Q7160" s="216">
        <f t="shared" si="709"/>
        <v>0.14399999999999991</v>
      </c>
      <c r="R7160" s="216">
        <f t="shared" si="710"/>
        <v>0.14399999999999991</v>
      </c>
      <c r="S7160" s="217">
        <f t="shared" si="711"/>
        <v>0.14399999999999991</v>
      </c>
    </row>
    <row r="7161" spans="1:19" ht="15.75" hidden="1" thickBot="1" x14ac:dyDescent="0.3">
      <c r="A7161" s="262"/>
      <c r="B7161" s="260"/>
      <c r="C7161" s="35"/>
      <c r="D7161" s="46"/>
      <c r="E7161" s="36"/>
      <c r="F7161" s="30" t="s">
        <v>416</v>
      </c>
      <c r="G7161" s="33" t="str">
        <f t="shared" si="712"/>
        <v/>
      </c>
      <c r="H7161" s="34"/>
      <c r="I7161" s="39"/>
      <c r="J7161" s="152">
        <v>0</v>
      </c>
      <c r="L7161" s="215"/>
      <c r="M7161" s="30"/>
      <c r="N7161" s="33" t="str">
        <f t="shared" si="713"/>
        <v/>
      </c>
      <c r="O7161" s="34"/>
      <c r="P7161" s="36" t="str">
        <f t="shared" si="708"/>
        <v/>
      </c>
      <c r="Q7161" s="216" t="str">
        <f t="shared" si="709"/>
        <v/>
      </c>
      <c r="R7161" s="216" t="str">
        <f t="shared" si="710"/>
        <v/>
      </c>
      <c r="S7161" s="217" t="str">
        <f t="shared" si="711"/>
        <v/>
      </c>
    </row>
    <row r="7162" spans="1:19" ht="26.25" hidden="1" thickBot="1" x14ac:dyDescent="0.3">
      <c r="A7162" s="262"/>
      <c r="B7162" s="260"/>
      <c r="C7162" s="47" t="s">
        <v>655</v>
      </c>
      <c r="D7162" s="46"/>
      <c r="E7162" s="36"/>
      <c r="F7162" s="30" t="s">
        <v>416</v>
      </c>
      <c r="G7162" s="33" t="str">
        <f t="shared" si="712"/>
        <v/>
      </c>
      <c r="H7162" s="34"/>
      <c r="I7162" s="39"/>
      <c r="J7162" s="152">
        <v>0</v>
      </c>
      <c r="L7162" s="215"/>
      <c r="M7162" s="30"/>
      <c r="N7162" s="33" t="str">
        <f t="shared" si="713"/>
        <v/>
      </c>
      <c r="O7162" s="34"/>
      <c r="P7162" s="36" t="str">
        <f t="shared" si="708"/>
        <v/>
      </c>
      <c r="Q7162" s="216" t="str">
        <f t="shared" si="709"/>
        <v/>
      </c>
      <c r="R7162" s="216" t="str">
        <f t="shared" si="710"/>
        <v/>
      </c>
      <c r="S7162" s="217" t="str">
        <f t="shared" si="711"/>
        <v/>
      </c>
    </row>
    <row r="7163" spans="1:19" ht="15.75" hidden="1" thickBot="1" x14ac:dyDescent="0.3">
      <c r="A7163" s="263"/>
      <c r="B7163" s="261"/>
      <c r="C7163" s="35"/>
      <c r="D7163" s="35"/>
      <c r="E7163" s="36"/>
      <c r="F7163" s="30" t="s">
        <v>416</v>
      </c>
      <c r="G7163" s="33" t="str">
        <f t="shared" si="712"/>
        <v/>
      </c>
      <c r="H7163" s="34"/>
      <c r="I7163" s="30"/>
      <c r="J7163" s="152">
        <v>0</v>
      </c>
      <c r="L7163" s="215"/>
      <c r="M7163" s="30"/>
      <c r="N7163" s="33" t="str">
        <f t="shared" si="713"/>
        <v/>
      </c>
      <c r="O7163" s="34"/>
      <c r="P7163" s="36" t="str">
        <f t="shared" si="708"/>
        <v/>
      </c>
      <c r="Q7163" s="216" t="str">
        <f t="shared" si="709"/>
        <v/>
      </c>
      <c r="R7163" s="216" t="str">
        <f t="shared" si="710"/>
        <v/>
      </c>
      <c r="S7163" s="217" t="str">
        <f t="shared" si="711"/>
        <v/>
      </c>
    </row>
    <row r="7164" spans="1:19" ht="15.75" hidden="1" thickBot="1" x14ac:dyDescent="0.3">
      <c r="A7164" s="256" t="s">
        <v>6445</v>
      </c>
      <c r="B7164" s="259" t="str">
        <f>INDEX(Orçamentária!A:B,MATCH(Composições!A7164,Orçamentária!A:A,0),2)</f>
        <v>Bombeiro(a) Hidráulico(a) Planejador(a) de Manutenção</v>
      </c>
      <c r="C7164" s="40"/>
      <c r="D7164" s="25" t="s">
        <v>2177</v>
      </c>
      <c r="E7164" s="26"/>
      <c r="F7164" s="41" t="s">
        <v>416</v>
      </c>
      <c r="G7164" s="27" t="str">
        <f t="shared" si="712"/>
        <v/>
      </c>
      <c r="H7164" s="28"/>
      <c r="I7164" s="29"/>
      <c r="J7164" s="152">
        <v>0</v>
      </c>
      <c r="L7164" s="218"/>
      <c r="M7164" s="41"/>
      <c r="N7164" s="27" t="str">
        <f t="shared" si="713"/>
        <v/>
      </c>
      <c r="O7164" s="28"/>
      <c r="P7164" s="36" t="str">
        <f t="shared" si="708"/>
        <v/>
      </c>
      <c r="Q7164" s="216" t="str">
        <f t="shared" si="709"/>
        <v/>
      </c>
      <c r="R7164" s="216" t="str">
        <f t="shared" si="710"/>
        <v/>
      </c>
      <c r="S7164" s="217" t="str">
        <f t="shared" si="711"/>
        <v/>
      </c>
    </row>
    <row r="7165" spans="1:19" ht="15.75" hidden="1" thickBot="1" x14ac:dyDescent="0.3">
      <c r="A7165" s="262"/>
      <c r="B7165" s="260"/>
      <c r="C7165" s="31"/>
      <c r="D7165" s="31"/>
      <c r="E7165" s="32"/>
      <c r="F7165" s="42" t="s">
        <v>416</v>
      </c>
      <c r="G7165" s="33" t="str">
        <f t="shared" si="712"/>
        <v/>
      </c>
      <c r="H7165" s="34"/>
      <c r="I7165" s="30"/>
      <c r="J7165" s="152">
        <v>0</v>
      </c>
      <c r="L7165" s="219"/>
      <c r="M7165" s="42"/>
      <c r="N7165" s="33" t="str">
        <f t="shared" si="713"/>
        <v/>
      </c>
      <c r="O7165" s="34"/>
      <c r="P7165" s="36" t="str">
        <f t="shared" si="708"/>
        <v/>
      </c>
      <c r="Q7165" s="216" t="str">
        <f t="shared" si="709"/>
        <v/>
      </c>
      <c r="R7165" s="216" t="str">
        <f t="shared" si="710"/>
        <v/>
      </c>
      <c r="S7165" s="217" t="str">
        <f t="shared" si="711"/>
        <v/>
      </c>
    </row>
    <row r="7166" spans="1:19" ht="26.25" hidden="1" thickBot="1" x14ac:dyDescent="0.3">
      <c r="A7166" s="262"/>
      <c r="B7166" s="260"/>
      <c r="C7166" s="35" t="s">
        <v>825</v>
      </c>
      <c r="D7166" s="35" t="s">
        <v>583</v>
      </c>
      <c r="E7166" s="36">
        <f>ROUND(220/(1+110.14%),4)</f>
        <v>104.6921</v>
      </c>
      <c r="F7166" s="30">
        <v>26.799499999999998</v>
      </c>
      <c r="G7166" s="33">
        <f t="shared" si="712"/>
        <v>2805.6959339499999</v>
      </c>
      <c r="H7166" s="38">
        <f>SUM(G7166:G7166)</f>
        <v>2805.6959339499999</v>
      </c>
      <c r="I7166" s="39"/>
      <c r="J7166" s="152">
        <v>0</v>
      </c>
      <c r="L7166" s="215">
        <v>104.6921</v>
      </c>
      <c r="M7166" s="30">
        <v>22.940372</v>
      </c>
      <c r="N7166" s="33">
        <f t="shared" si="713"/>
        <v>2401.6757194612001</v>
      </c>
      <c r="O7166" s="38">
        <f>SUM(N7166:N7166)</f>
        <v>2401.6757194612001</v>
      </c>
      <c r="P7166" s="36" t="str">
        <f t="shared" si="708"/>
        <v/>
      </c>
      <c r="Q7166" s="216">
        <f t="shared" si="709"/>
        <v>0.14399999999999991</v>
      </c>
      <c r="R7166" s="216">
        <f t="shared" si="710"/>
        <v>0.14399999999999991</v>
      </c>
      <c r="S7166" s="217">
        <f t="shared" si="711"/>
        <v>0.14399999999999991</v>
      </c>
    </row>
    <row r="7167" spans="1:19" ht="15.75" hidden="1" thickBot="1" x14ac:dyDescent="0.3">
      <c r="A7167" s="262"/>
      <c r="B7167" s="260"/>
      <c r="C7167" s="35"/>
      <c r="D7167" s="46"/>
      <c r="E7167" s="36"/>
      <c r="F7167" s="30" t="s">
        <v>416</v>
      </c>
      <c r="G7167" s="33" t="str">
        <f t="shared" si="712"/>
        <v/>
      </c>
      <c r="H7167" s="34"/>
      <c r="I7167" s="39"/>
      <c r="J7167" s="152">
        <v>0</v>
      </c>
      <c r="L7167" s="215"/>
      <c r="M7167" s="30"/>
      <c r="N7167" s="33" t="str">
        <f t="shared" si="713"/>
        <v/>
      </c>
      <c r="O7167" s="34"/>
      <c r="P7167" s="36" t="str">
        <f t="shared" si="708"/>
        <v/>
      </c>
      <c r="Q7167" s="216" t="str">
        <f t="shared" si="709"/>
        <v/>
      </c>
      <c r="R7167" s="216" t="str">
        <f t="shared" si="710"/>
        <v/>
      </c>
      <c r="S7167" s="217" t="str">
        <f t="shared" si="711"/>
        <v/>
      </c>
    </row>
    <row r="7168" spans="1:19" ht="26.25" hidden="1" thickBot="1" x14ac:dyDescent="0.3">
      <c r="A7168" s="262"/>
      <c r="B7168" s="260"/>
      <c r="C7168" s="47" t="s">
        <v>655</v>
      </c>
      <c r="D7168" s="46"/>
      <c r="E7168" s="36"/>
      <c r="F7168" s="30" t="s">
        <v>416</v>
      </c>
      <c r="G7168" s="33" t="str">
        <f t="shared" si="712"/>
        <v/>
      </c>
      <c r="H7168" s="34"/>
      <c r="I7168" s="39"/>
      <c r="J7168" s="152">
        <v>0</v>
      </c>
      <c r="L7168" s="215"/>
      <c r="M7168" s="30"/>
      <c r="N7168" s="33" t="str">
        <f t="shared" si="713"/>
        <v/>
      </c>
      <c r="O7168" s="34"/>
      <c r="P7168" s="36" t="str">
        <f t="shared" si="708"/>
        <v/>
      </c>
      <c r="Q7168" s="216" t="str">
        <f t="shared" si="709"/>
        <v/>
      </c>
      <c r="R7168" s="216" t="str">
        <f t="shared" si="710"/>
        <v/>
      </c>
      <c r="S7168" s="217" t="str">
        <f t="shared" si="711"/>
        <v/>
      </c>
    </row>
    <row r="7169" spans="1:19" ht="15.75" hidden="1" thickBot="1" x14ac:dyDescent="0.3">
      <c r="A7169" s="263"/>
      <c r="B7169" s="261"/>
      <c r="C7169" s="35"/>
      <c r="D7169" s="35"/>
      <c r="E7169" s="36"/>
      <c r="F7169" s="30" t="s">
        <v>416</v>
      </c>
      <c r="G7169" s="33" t="str">
        <f t="shared" si="712"/>
        <v/>
      </c>
      <c r="H7169" s="34"/>
      <c r="I7169" s="30"/>
      <c r="J7169" s="152">
        <v>0</v>
      </c>
      <c r="L7169" s="215"/>
      <c r="M7169" s="30"/>
      <c r="N7169" s="33" t="str">
        <f t="shared" si="713"/>
        <v/>
      </c>
      <c r="O7169" s="34"/>
      <c r="P7169" s="36" t="str">
        <f t="shared" si="708"/>
        <v/>
      </c>
      <c r="Q7169" s="216" t="str">
        <f t="shared" si="709"/>
        <v/>
      </c>
      <c r="R7169" s="216" t="str">
        <f t="shared" si="710"/>
        <v/>
      </c>
      <c r="S7169" s="217" t="str">
        <f t="shared" si="711"/>
        <v/>
      </c>
    </row>
    <row r="7170" spans="1:19" ht="15.75" hidden="1" thickBot="1" x14ac:dyDescent="0.3">
      <c r="A7170" s="256" t="s">
        <v>6447</v>
      </c>
      <c r="B7170" s="259" t="str">
        <f>INDEX(Orçamentária!A:B,MATCH(Composições!A7170,Orçamentária!A:A,0),2)</f>
        <v>Instalador(a) Hidráulico(a)</v>
      </c>
      <c r="C7170" s="40"/>
      <c r="D7170" s="25" t="s">
        <v>2177</v>
      </c>
      <c r="E7170" s="26"/>
      <c r="F7170" s="41" t="s">
        <v>416</v>
      </c>
      <c r="G7170" s="27" t="str">
        <f t="shared" si="712"/>
        <v/>
      </c>
      <c r="H7170" s="28"/>
      <c r="I7170" s="29"/>
      <c r="J7170" s="152">
        <v>0</v>
      </c>
      <c r="L7170" s="218"/>
      <c r="M7170" s="41"/>
      <c r="N7170" s="27" t="str">
        <f t="shared" si="713"/>
        <v/>
      </c>
      <c r="O7170" s="28"/>
      <c r="P7170" s="36" t="str">
        <f t="shared" si="708"/>
        <v/>
      </c>
      <c r="Q7170" s="216" t="str">
        <f t="shared" si="709"/>
        <v/>
      </c>
      <c r="R7170" s="216" t="str">
        <f t="shared" si="710"/>
        <v/>
      </c>
      <c r="S7170" s="217" t="str">
        <f t="shared" si="711"/>
        <v/>
      </c>
    </row>
    <row r="7171" spans="1:19" ht="15.75" hidden="1" thickBot="1" x14ac:dyDescent="0.3">
      <c r="A7171" s="262"/>
      <c r="B7171" s="260"/>
      <c r="C7171" s="31"/>
      <c r="D7171" s="31"/>
      <c r="E7171" s="32"/>
      <c r="F7171" s="42" t="s">
        <v>416</v>
      </c>
      <c r="G7171" s="33" t="str">
        <f t="shared" si="712"/>
        <v/>
      </c>
      <c r="H7171" s="34"/>
      <c r="I7171" s="30"/>
      <c r="J7171" s="152">
        <v>0</v>
      </c>
      <c r="L7171" s="219"/>
      <c r="M7171" s="42"/>
      <c r="N7171" s="33" t="str">
        <f t="shared" si="713"/>
        <v/>
      </c>
      <c r="O7171" s="34"/>
      <c r="P7171" s="36" t="str">
        <f t="shared" si="708"/>
        <v/>
      </c>
      <c r="Q7171" s="216" t="str">
        <f t="shared" si="709"/>
        <v/>
      </c>
      <c r="R7171" s="216" t="str">
        <f t="shared" si="710"/>
        <v/>
      </c>
      <c r="S7171" s="217" t="str">
        <f t="shared" si="711"/>
        <v/>
      </c>
    </row>
    <row r="7172" spans="1:19" ht="15.75" hidden="1" thickBot="1" x14ac:dyDescent="0.3">
      <c r="A7172" s="262"/>
      <c r="B7172" s="260"/>
      <c r="C7172" s="35" t="s">
        <v>8176</v>
      </c>
      <c r="D7172" s="35" t="s">
        <v>583</v>
      </c>
      <c r="E7172" s="36">
        <f>ROUND(220/(1+110.14%),4)</f>
        <v>104.6921</v>
      </c>
      <c r="F7172" s="30">
        <v>12.720499999999999</v>
      </c>
      <c r="G7172" s="33">
        <f t="shared" si="712"/>
        <v>1331.7358580499999</v>
      </c>
      <c r="H7172" s="38">
        <f>SUM(G7172:G7172)</f>
        <v>1331.7358580499999</v>
      </c>
      <c r="I7172" s="39"/>
      <c r="J7172" s="152">
        <v>0</v>
      </c>
      <c r="L7172" s="215">
        <v>104.6921</v>
      </c>
      <c r="M7172" s="30">
        <v>10.888748</v>
      </c>
      <c r="N7172" s="33">
        <f t="shared" si="713"/>
        <v>1139.9658944907999</v>
      </c>
      <c r="O7172" s="38">
        <f>SUM(N7172:N7172)</f>
        <v>1139.9658944907999</v>
      </c>
      <c r="P7172" s="36" t="str">
        <f t="shared" si="708"/>
        <v/>
      </c>
      <c r="Q7172" s="216">
        <f t="shared" si="709"/>
        <v>0.14400000000000002</v>
      </c>
      <c r="R7172" s="216">
        <f t="shared" si="710"/>
        <v>0.14400000000000002</v>
      </c>
      <c r="S7172" s="217">
        <f t="shared" si="711"/>
        <v>0.14400000000000002</v>
      </c>
    </row>
    <row r="7173" spans="1:19" ht="15.75" hidden="1" thickBot="1" x14ac:dyDescent="0.3">
      <c r="A7173" s="262"/>
      <c r="B7173" s="260"/>
      <c r="C7173" s="35"/>
      <c r="D7173" s="46"/>
      <c r="E7173" s="36"/>
      <c r="F7173" s="30" t="s">
        <v>416</v>
      </c>
      <c r="G7173" s="33" t="str">
        <f t="shared" si="712"/>
        <v/>
      </c>
      <c r="H7173" s="34"/>
      <c r="I7173" s="39"/>
      <c r="J7173" s="152">
        <v>0</v>
      </c>
      <c r="L7173" s="215"/>
      <c r="M7173" s="30"/>
      <c r="N7173" s="33" t="str">
        <f t="shared" si="713"/>
        <v/>
      </c>
      <c r="O7173" s="34"/>
      <c r="P7173" s="36" t="str">
        <f t="shared" si="708"/>
        <v/>
      </c>
      <c r="Q7173" s="216" t="str">
        <f t="shared" si="709"/>
        <v/>
      </c>
      <c r="R7173" s="216" t="str">
        <f t="shared" si="710"/>
        <v/>
      </c>
      <c r="S7173" s="217" t="str">
        <f t="shared" si="711"/>
        <v/>
      </c>
    </row>
    <row r="7174" spans="1:19" ht="26.25" hidden="1" thickBot="1" x14ac:dyDescent="0.3">
      <c r="A7174" s="262"/>
      <c r="B7174" s="260"/>
      <c r="C7174" s="47" t="s">
        <v>655</v>
      </c>
      <c r="D7174" s="46"/>
      <c r="E7174" s="36"/>
      <c r="F7174" s="30" t="s">
        <v>416</v>
      </c>
      <c r="G7174" s="33" t="str">
        <f t="shared" si="712"/>
        <v/>
      </c>
      <c r="H7174" s="34"/>
      <c r="I7174" s="39"/>
      <c r="J7174" s="152">
        <v>0</v>
      </c>
      <c r="L7174" s="215"/>
      <c r="M7174" s="30"/>
      <c r="N7174" s="33" t="str">
        <f t="shared" si="713"/>
        <v/>
      </c>
      <c r="O7174" s="34"/>
      <c r="P7174" s="36" t="str">
        <f t="shared" si="708"/>
        <v/>
      </c>
      <c r="Q7174" s="216" t="str">
        <f t="shared" si="709"/>
        <v/>
      </c>
      <c r="R7174" s="216" t="str">
        <f t="shared" si="710"/>
        <v/>
      </c>
      <c r="S7174" s="217" t="str">
        <f t="shared" si="711"/>
        <v/>
      </c>
    </row>
    <row r="7175" spans="1:19" ht="15.75" hidden="1" thickBot="1" x14ac:dyDescent="0.3">
      <c r="A7175" s="263"/>
      <c r="B7175" s="261"/>
      <c r="C7175" s="35"/>
      <c r="D7175" s="35"/>
      <c r="E7175" s="36"/>
      <c r="F7175" s="30" t="s">
        <v>416</v>
      </c>
      <c r="G7175" s="33" t="str">
        <f t="shared" si="712"/>
        <v/>
      </c>
      <c r="H7175" s="34"/>
      <c r="I7175" s="30"/>
      <c r="J7175" s="152">
        <v>0</v>
      </c>
      <c r="L7175" s="215"/>
      <c r="M7175" s="30"/>
      <c r="N7175" s="33" t="str">
        <f t="shared" si="713"/>
        <v/>
      </c>
      <c r="O7175" s="34"/>
      <c r="P7175" s="36" t="str">
        <f t="shared" si="708"/>
        <v/>
      </c>
      <c r="Q7175" s="216" t="str">
        <f t="shared" si="709"/>
        <v/>
      </c>
      <c r="R7175" s="216" t="str">
        <f t="shared" si="710"/>
        <v/>
      </c>
      <c r="S7175" s="217" t="str">
        <f t="shared" si="711"/>
        <v/>
      </c>
    </row>
    <row r="7176" spans="1:19" ht="15.75" hidden="1" thickBot="1" x14ac:dyDescent="0.3">
      <c r="A7176" s="256" t="s">
        <v>6449</v>
      </c>
      <c r="B7176" s="259" t="str">
        <f>INDEX(Orçamentária!A:B,MATCH(Composições!A7176,Orçamentária!A:A,0),2)</f>
        <v>Bombeiro(a) Hidráulico(a) Plantonista (diurno)</v>
      </c>
      <c r="C7176" s="40"/>
      <c r="D7176" s="25" t="s">
        <v>2177</v>
      </c>
      <c r="E7176" s="26"/>
      <c r="F7176" s="41" t="s">
        <v>416</v>
      </c>
      <c r="G7176" s="27" t="str">
        <f t="shared" si="712"/>
        <v/>
      </c>
      <c r="H7176" s="28"/>
      <c r="I7176" s="29"/>
      <c r="J7176" s="152">
        <v>0</v>
      </c>
      <c r="L7176" s="218"/>
      <c r="M7176" s="41"/>
      <c r="N7176" s="27" t="str">
        <f t="shared" si="713"/>
        <v/>
      </c>
      <c r="O7176" s="28"/>
      <c r="P7176" s="36" t="str">
        <f t="shared" ref="P7176:P7239" si="714">IF(ISBLANK(L7176),"",IF($E7176&lt;&gt;L7176,"SIM",""))</f>
        <v/>
      </c>
      <c r="Q7176" s="216" t="str">
        <f t="shared" ref="Q7176:Q7239" si="715">IF(M7176="","",1-M7176/$F7176)</f>
        <v/>
      </c>
      <c r="R7176" s="216" t="str">
        <f t="shared" ref="R7176:R7239" si="716">IF(N7176="","",1-N7176/$G7176)</f>
        <v/>
      </c>
      <c r="S7176" s="217" t="str">
        <f t="shared" ref="S7176:S7239" si="717">IF(O7176="","",1-O7176/$H7176)</f>
        <v/>
      </c>
    </row>
    <row r="7177" spans="1:19" ht="15.75" hidden="1" thickBot="1" x14ac:dyDescent="0.3">
      <c r="A7177" s="262"/>
      <c r="B7177" s="260"/>
      <c r="C7177" s="31"/>
      <c r="D7177" s="31"/>
      <c r="E7177" s="32"/>
      <c r="F7177" s="42" t="s">
        <v>416</v>
      </c>
      <c r="G7177" s="33" t="str">
        <f t="shared" si="712"/>
        <v/>
      </c>
      <c r="H7177" s="34"/>
      <c r="I7177" s="30"/>
      <c r="J7177" s="152">
        <v>0</v>
      </c>
      <c r="L7177" s="219"/>
      <c r="M7177" s="42"/>
      <c r="N7177" s="33" t="str">
        <f t="shared" si="713"/>
        <v/>
      </c>
      <c r="O7177" s="34"/>
      <c r="P7177" s="36" t="str">
        <f t="shared" si="714"/>
        <v/>
      </c>
      <c r="Q7177" s="216" t="str">
        <f t="shared" si="715"/>
        <v/>
      </c>
      <c r="R7177" s="216" t="str">
        <f t="shared" si="716"/>
        <v/>
      </c>
      <c r="S7177" s="217" t="str">
        <f t="shared" si="717"/>
        <v/>
      </c>
    </row>
    <row r="7178" spans="1:19" ht="26.25" hidden="1" thickBot="1" x14ac:dyDescent="0.3">
      <c r="A7178" s="262"/>
      <c r="B7178" s="260"/>
      <c r="C7178" s="35" t="s">
        <v>825</v>
      </c>
      <c r="D7178" s="35" t="s">
        <v>583</v>
      </c>
      <c r="E7178" s="36">
        <f>ROUND(220/(1+110.14%),4)</f>
        <v>104.6921</v>
      </c>
      <c r="F7178" s="30">
        <v>26.799499999999998</v>
      </c>
      <c r="G7178" s="33">
        <f t="shared" si="712"/>
        <v>2805.6959339499999</v>
      </c>
      <c r="H7178" s="38">
        <f>SUM(G7178:G7178)</f>
        <v>2805.6959339499999</v>
      </c>
      <c r="I7178" s="39"/>
      <c r="J7178" s="152">
        <v>0</v>
      </c>
      <c r="L7178" s="215">
        <v>104.6921</v>
      </c>
      <c r="M7178" s="30">
        <v>22.940372</v>
      </c>
      <c r="N7178" s="33">
        <f t="shared" si="713"/>
        <v>2401.6757194612001</v>
      </c>
      <c r="O7178" s="38">
        <f>SUM(N7178:N7178)</f>
        <v>2401.6757194612001</v>
      </c>
      <c r="P7178" s="36" t="str">
        <f t="shared" si="714"/>
        <v/>
      </c>
      <c r="Q7178" s="216">
        <f t="shared" si="715"/>
        <v>0.14399999999999991</v>
      </c>
      <c r="R7178" s="216">
        <f t="shared" si="716"/>
        <v>0.14399999999999991</v>
      </c>
      <c r="S7178" s="217">
        <f t="shared" si="717"/>
        <v>0.14399999999999991</v>
      </c>
    </row>
    <row r="7179" spans="1:19" ht="15.75" hidden="1" thickBot="1" x14ac:dyDescent="0.3">
      <c r="A7179" s="262"/>
      <c r="B7179" s="260"/>
      <c r="C7179" s="31"/>
      <c r="D7179" s="46"/>
      <c r="E7179" s="36"/>
      <c r="F7179" s="30" t="s">
        <v>416</v>
      </c>
      <c r="G7179" s="33" t="str">
        <f t="shared" si="712"/>
        <v/>
      </c>
      <c r="H7179" s="34"/>
      <c r="I7179" s="39"/>
      <c r="J7179" s="152">
        <v>0</v>
      </c>
      <c r="L7179" s="215"/>
      <c r="M7179" s="30"/>
      <c r="N7179" s="33" t="str">
        <f t="shared" si="713"/>
        <v/>
      </c>
      <c r="O7179" s="34"/>
      <c r="P7179" s="36" t="str">
        <f t="shared" si="714"/>
        <v/>
      </c>
      <c r="Q7179" s="216" t="str">
        <f t="shared" si="715"/>
        <v/>
      </c>
      <c r="R7179" s="216" t="str">
        <f t="shared" si="716"/>
        <v/>
      </c>
      <c r="S7179" s="217" t="str">
        <f t="shared" si="717"/>
        <v/>
      </c>
    </row>
    <row r="7180" spans="1:19" ht="26.25" hidden="1" thickBot="1" x14ac:dyDescent="0.3">
      <c r="A7180" s="262"/>
      <c r="B7180" s="260"/>
      <c r="C7180" s="47" t="s">
        <v>655</v>
      </c>
      <c r="D7180" s="46"/>
      <c r="E7180" s="36"/>
      <c r="F7180" s="30" t="s">
        <v>416</v>
      </c>
      <c r="G7180" s="33" t="str">
        <f t="shared" si="712"/>
        <v/>
      </c>
      <c r="H7180" s="34"/>
      <c r="I7180" s="39"/>
      <c r="J7180" s="152">
        <v>0</v>
      </c>
      <c r="L7180" s="215"/>
      <c r="M7180" s="30"/>
      <c r="N7180" s="33" t="str">
        <f t="shared" si="713"/>
        <v/>
      </c>
      <c r="O7180" s="34"/>
      <c r="P7180" s="36" t="str">
        <f t="shared" si="714"/>
        <v/>
      </c>
      <c r="Q7180" s="216" t="str">
        <f t="shared" si="715"/>
        <v/>
      </c>
      <c r="R7180" s="216" t="str">
        <f t="shared" si="716"/>
        <v/>
      </c>
      <c r="S7180" s="217" t="str">
        <f t="shared" si="717"/>
        <v/>
      </c>
    </row>
    <row r="7181" spans="1:19" ht="15.75" hidden="1" thickBot="1" x14ac:dyDescent="0.3">
      <c r="A7181" s="263"/>
      <c r="B7181" s="261"/>
      <c r="C7181" s="54"/>
      <c r="D7181" s="35"/>
      <c r="E7181" s="36"/>
      <c r="F7181" s="30" t="s">
        <v>416</v>
      </c>
      <c r="G7181" s="33" t="str">
        <f t="shared" si="712"/>
        <v/>
      </c>
      <c r="H7181" s="34"/>
      <c r="I7181" s="30"/>
      <c r="J7181" s="152">
        <v>0</v>
      </c>
      <c r="L7181" s="215"/>
      <c r="M7181" s="30"/>
      <c r="N7181" s="33" t="str">
        <f t="shared" si="713"/>
        <v/>
      </c>
      <c r="O7181" s="34"/>
      <c r="P7181" s="36" t="str">
        <f t="shared" si="714"/>
        <v/>
      </c>
      <c r="Q7181" s="216" t="str">
        <f t="shared" si="715"/>
        <v/>
      </c>
      <c r="R7181" s="216" t="str">
        <f t="shared" si="716"/>
        <v/>
      </c>
      <c r="S7181" s="217" t="str">
        <f t="shared" si="717"/>
        <v/>
      </c>
    </row>
    <row r="7182" spans="1:19" ht="15.75" hidden="1" thickBot="1" x14ac:dyDescent="0.3">
      <c r="A7182" s="256" t="s">
        <v>6451</v>
      </c>
      <c r="B7182" s="259" t="str">
        <f>INDEX(Orçamentária!A:B,MATCH(Composições!A7182,Orçamentária!A:A,0),2)</f>
        <v>Bombeiro(a) Hidráulico(a) Plantonista (noturno)</v>
      </c>
      <c r="C7182" s="40"/>
      <c r="D7182" s="25" t="s">
        <v>2177</v>
      </c>
      <c r="E7182" s="26"/>
      <c r="F7182" s="41" t="s">
        <v>416</v>
      </c>
      <c r="G7182" s="27" t="str">
        <f t="shared" si="712"/>
        <v/>
      </c>
      <c r="H7182" s="28"/>
      <c r="I7182" s="29"/>
      <c r="J7182" s="152">
        <v>0</v>
      </c>
      <c r="L7182" s="218"/>
      <c r="M7182" s="41"/>
      <c r="N7182" s="27" t="str">
        <f t="shared" si="713"/>
        <v/>
      </c>
      <c r="O7182" s="28"/>
      <c r="P7182" s="36" t="str">
        <f t="shared" si="714"/>
        <v/>
      </c>
      <c r="Q7182" s="216" t="str">
        <f t="shared" si="715"/>
        <v/>
      </c>
      <c r="R7182" s="216" t="str">
        <f t="shared" si="716"/>
        <v/>
      </c>
      <c r="S7182" s="217" t="str">
        <f t="shared" si="717"/>
        <v/>
      </c>
    </row>
    <row r="7183" spans="1:19" ht="15.75" hidden="1" thickBot="1" x14ac:dyDescent="0.3">
      <c r="A7183" s="262"/>
      <c r="B7183" s="260"/>
      <c r="C7183" s="31"/>
      <c r="D7183" s="31"/>
      <c r="E7183" s="32"/>
      <c r="F7183" s="42" t="s">
        <v>416</v>
      </c>
      <c r="G7183" s="33" t="str">
        <f t="shared" si="712"/>
        <v/>
      </c>
      <c r="H7183" s="34"/>
      <c r="I7183" s="30"/>
      <c r="J7183" s="152">
        <v>0</v>
      </c>
      <c r="L7183" s="219"/>
      <c r="M7183" s="42"/>
      <c r="N7183" s="33" t="str">
        <f t="shared" si="713"/>
        <v/>
      </c>
      <c r="O7183" s="34"/>
      <c r="P7183" s="36" t="str">
        <f t="shared" si="714"/>
        <v/>
      </c>
      <c r="Q7183" s="216" t="str">
        <f t="shared" si="715"/>
        <v/>
      </c>
      <c r="R7183" s="216" t="str">
        <f t="shared" si="716"/>
        <v/>
      </c>
      <c r="S7183" s="217" t="str">
        <f t="shared" si="717"/>
        <v/>
      </c>
    </row>
    <row r="7184" spans="1:19" ht="26.25" hidden="1" thickBot="1" x14ac:dyDescent="0.3">
      <c r="A7184" s="262"/>
      <c r="B7184" s="260"/>
      <c r="C7184" s="35" t="s">
        <v>825</v>
      </c>
      <c r="D7184" s="35" t="s">
        <v>583</v>
      </c>
      <c r="E7184" s="36">
        <f>ROUND(220/(1+110.14%),4)</f>
        <v>104.6921</v>
      </c>
      <c r="F7184" s="30">
        <v>26.799499999999998</v>
      </c>
      <c r="G7184" s="33">
        <f t="shared" si="712"/>
        <v>2805.6959339499999</v>
      </c>
      <c r="H7184" s="38">
        <f>SUM(G7184:G7184)</f>
        <v>2805.6959339499999</v>
      </c>
      <c r="I7184" s="39"/>
      <c r="J7184" s="152">
        <v>0</v>
      </c>
      <c r="L7184" s="215">
        <v>104.6921</v>
      </c>
      <c r="M7184" s="30">
        <v>22.940372</v>
      </c>
      <c r="N7184" s="33">
        <f t="shared" si="713"/>
        <v>2401.6757194612001</v>
      </c>
      <c r="O7184" s="38">
        <f>SUM(N7184:N7184)</f>
        <v>2401.6757194612001</v>
      </c>
      <c r="P7184" s="36" t="str">
        <f t="shared" si="714"/>
        <v/>
      </c>
      <c r="Q7184" s="216">
        <f t="shared" si="715"/>
        <v>0.14399999999999991</v>
      </c>
      <c r="R7184" s="216">
        <f t="shared" si="716"/>
        <v>0.14399999999999991</v>
      </c>
      <c r="S7184" s="217">
        <f t="shared" si="717"/>
        <v>0.14399999999999991</v>
      </c>
    </row>
    <row r="7185" spans="1:19" ht="15.75" hidden="1" thickBot="1" x14ac:dyDescent="0.3">
      <c r="A7185" s="262"/>
      <c r="B7185" s="260"/>
      <c r="C7185" s="31"/>
      <c r="D7185" s="46"/>
      <c r="E7185" s="36"/>
      <c r="F7185" s="30" t="s">
        <v>416</v>
      </c>
      <c r="G7185" s="33" t="str">
        <f t="shared" si="712"/>
        <v/>
      </c>
      <c r="H7185" s="34"/>
      <c r="I7185" s="39"/>
      <c r="J7185" s="152">
        <v>0</v>
      </c>
      <c r="L7185" s="215"/>
      <c r="M7185" s="30"/>
      <c r="N7185" s="33" t="str">
        <f t="shared" si="713"/>
        <v/>
      </c>
      <c r="O7185" s="34"/>
      <c r="P7185" s="36" t="str">
        <f t="shared" si="714"/>
        <v/>
      </c>
      <c r="Q7185" s="216" t="str">
        <f t="shared" si="715"/>
        <v/>
      </c>
      <c r="R7185" s="216" t="str">
        <f t="shared" si="716"/>
        <v/>
      </c>
      <c r="S7185" s="217" t="str">
        <f t="shared" si="717"/>
        <v/>
      </c>
    </row>
    <row r="7186" spans="1:19" ht="26.25" hidden="1" thickBot="1" x14ac:dyDescent="0.3">
      <c r="A7186" s="262"/>
      <c r="B7186" s="260"/>
      <c r="C7186" s="47" t="s">
        <v>655</v>
      </c>
      <c r="D7186" s="46"/>
      <c r="E7186" s="36"/>
      <c r="F7186" s="30" t="s">
        <v>416</v>
      </c>
      <c r="G7186" s="33" t="str">
        <f t="shared" si="712"/>
        <v/>
      </c>
      <c r="H7186" s="34"/>
      <c r="I7186" s="39"/>
      <c r="J7186" s="152">
        <v>0</v>
      </c>
      <c r="L7186" s="215"/>
      <c r="M7186" s="30"/>
      <c r="N7186" s="33" t="str">
        <f t="shared" si="713"/>
        <v/>
      </c>
      <c r="O7186" s="34"/>
      <c r="P7186" s="36" t="str">
        <f t="shared" si="714"/>
        <v/>
      </c>
      <c r="Q7186" s="216" t="str">
        <f t="shared" si="715"/>
        <v/>
      </c>
      <c r="R7186" s="216" t="str">
        <f t="shared" si="716"/>
        <v/>
      </c>
      <c r="S7186" s="217" t="str">
        <f t="shared" si="717"/>
        <v/>
      </c>
    </row>
    <row r="7187" spans="1:19" ht="15.75" hidden="1" thickBot="1" x14ac:dyDescent="0.3">
      <c r="A7187" s="263"/>
      <c r="B7187" s="261"/>
      <c r="C7187" s="54"/>
      <c r="D7187" s="35"/>
      <c r="E7187" s="36"/>
      <c r="F7187" s="30" t="s">
        <v>416</v>
      </c>
      <c r="G7187" s="33" t="str">
        <f t="shared" si="712"/>
        <v/>
      </c>
      <c r="H7187" s="34"/>
      <c r="I7187" s="30"/>
      <c r="J7187" s="152">
        <v>0</v>
      </c>
      <c r="L7187" s="215"/>
      <c r="M7187" s="30"/>
      <c r="N7187" s="33" t="str">
        <f t="shared" si="713"/>
        <v/>
      </c>
      <c r="O7187" s="34"/>
      <c r="P7187" s="36" t="str">
        <f t="shared" si="714"/>
        <v/>
      </c>
      <c r="Q7187" s="216" t="str">
        <f t="shared" si="715"/>
        <v/>
      </c>
      <c r="R7187" s="216" t="str">
        <f t="shared" si="716"/>
        <v/>
      </c>
      <c r="S7187" s="217" t="str">
        <f t="shared" si="717"/>
        <v/>
      </c>
    </row>
    <row r="7188" spans="1:19" ht="15.75" hidden="1" thickBot="1" x14ac:dyDescent="0.3">
      <c r="A7188" s="256" t="s">
        <v>6453</v>
      </c>
      <c r="B7188" s="259" t="str">
        <f>INDEX(Orçamentária!A:B,MATCH(Composições!A7188,Orçamentária!A:A,0),2)</f>
        <v>Ajudante de Manutenção Hidrossanitária</v>
      </c>
      <c r="C7188" s="40"/>
      <c r="D7188" s="25" t="s">
        <v>2177</v>
      </c>
      <c r="E7188" s="26"/>
      <c r="F7188" s="41" t="s">
        <v>416</v>
      </c>
      <c r="G7188" s="27" t="str">
        <f t="shared" si="712"/>
        <v/>
      </c>
      <c r="H7188" s="28"/>
      <c r="I7188" s="29"/>
      <c r="J7188" s="152">
        <v>0</v>
      </c>
      <c r="L7188" s="218"/>
      <c r="M7188" s="41"/>
      <c r="N7188" s="27" t="str">
        <f t="shared" si="713"/>
        <v/>
      </c>
      <c r="O7188" s="28"/>
      <c r="P7188" s="36" t="str">
        <f t="shared" si="714"/>
        <v/>
      </c>
      <c r="Q7188" s="216" t="str">
        <f t="shared" si="715"/>
        <v/>
      </c>
      <c r="R7188" s="216" t="str">
        <f t="shared" si="716"/>
        <v/>
      </c>
      <c r="S7188" s="217" t="str">
        <f t="shared" si="717"/>
        <v/>
      </c>
    </row>
    <row r="7189" spans="1:19" ht="15.75" hidden="1" thickBot="1" x14ac:dyDescent="0.3">
      <c r="A7189" s="262"/>
      <c r="B7189" s="260"/>
      <c r="C7189" s="31"/>
      <c r="D7189" s="31"/>
      <c r="E7189" s="32"/>
      <c r="F7189" s="42" t="s">
        <v>416</v>
      </c>
      <c r="G7189" s="33" t="str">
        <f t="shared" si="712"/>
        <v/>
      </c>
      <c r="H7189" s="34"/>
      <c r="I7189" s="30"/>
      <c r="J7189" s="152">
        <v>0</v>
      </c>
      <c r="L7189" s="219"/>
      <c r="M7189" s="42"/>
      <c r="N7189" s="33" t="str">
        <f t="shared" si="713"/>
        <v/>
      </c>
      <c r="O7189" s="34"/>
      <c r="P7189" s="36" t="str">
        <f t="shared" si="714"/>
        <v/>
      </c>
      <c r="Q7189" s="216" t="str">
        <f t="shared" si="715"/>
        <v/>
      </c>
      <c r="R7189" s="216" t="str">
        <f t="shared" si="716"/>
        <v/>
      </c>
      <c r="S7189" s="217" t="str">
        <f t="shared" si="717"/>
        <v/>
      </c>
    </row>
    <row r="7190" spans="1:19" ht="26.25" hidden="1" thickBot="1" x14ac:dyDescent="0.3">
      <c r="A7190" s="262"/>
      <c r="B7190" s="260"/>
      <c r="C7190" s="35" t="s">
        <v>824</v>
      </c>
      <c r="D7190" s="35" t="s">
        <v>583</v>
      </c>
      <c r="E7190" s="36">
        <f>ROUND(220/(1+110.14%),4)</f>
        <v>104.6921</v>
      </c>
      <c r="F7190" s="30">
        <v>21.166</v>
      </c>
      <c r="G7190" s="33">
        <f t="shared" si="712"/>
        <v>2215.9129886000001</v>
      </c>
      <c r="H7190" s="38">
        <f>SUM(G7190:G7190)</f>
        <v>2215.9129886000001</v>
      </c>
      <c r="I7190" s="39"/>
      <c r="J7190" s="152">
        <v>0</v>
      </c>
      <c r="L7190" s="215">
        <v>104.6921</v>
      </c>
      <c r="M7190" s="30">
        <v>18.118096000000001</v>
      </c>
      <c r="N7190" s="33">
        <f t="shared" si="713"/>
        <v>1896.8215182416</v>
      </c>
      <c r="O7190" s="38">
        <f>SUM(N7190:N7190)</f>
        <v>1896.8215182416</v>
      </c>
      <c r="P7190" s="36" t="str">
        <f t="shared" si="714"/>
        <v/>
      </c>
      <c r="Q7190" s="216">
        <f t="shared" si="715"/>
        <v>0.14399999999999991</v>
      </c>
      <c r="R7190" s="216">
        <f t="shared" si="716"/>
        <v>0.14400000000000002</v>
      </c>
      <c r="S7190" s="217">
        <f t="shared" si="717"/>
        <v>0.14400000000000002</v>
      </c>
    </row>
    <row r="7191" spans="1:19" ht="15.75" hidden="1" thickBot="1" x14ac:dyDescent="0.3">
      <c r="A7191" s="262"/>
      <c r="B7191" s="260"/>
      <c r="C7191" s="31"/>
      <c r="D7191" s="46"/>
      <c r="E7191" s="36"/>
      <c r="F7191" s="30" t="s">
        <v>416</v>
      </c>
      <c r="G7191" s="33" t="str">
        <f t="shared" si="712"/>
        <v/>
      </c>
      <c r="H7191" s="34"/>
      <c r="I7191" s="39"/>
      <c r="J7191" s="152">
        <v>0</v>
      </c>
      <c r="L7191" s="215"/>
      <c r="M7191" s="30"/>
      <c r="N7191" s="33" t="str">
        <f t="shared" si="713"/>
        <v/>
      </c>
      <c r="O7191" s="34"/>
      <c r="P7191" s="36" t="str">
        <f t="shared" si="714"/>
        <v/>
      </c>
      <c r="Q7191" s="216" t="str">
        <f t="shared" si="715"/>
        <v/>
      </c>
      <c r="R7191" s="216" t="str">
        <f t="shared" si="716"/>
        <v/>
      </c>
      <c r="S7191" s="217" t="str">
        <f t="shared" si="717"/>
        <v/>
      </c>
    </row>
    <row r="7192" spans="1:19" ht="26.25" hidden="1" thickBot="1" x14ac:dyDescent="0.3">
      <c r="A7192" s="262"/>
      <c r="B7192" s="260"/>
      <c r="C7192" s="47" t="s">
        <v>655</v>
      </c>
      <c r="D7192" s="46"/>
      <c r="E7192" s="36"/>
      <c r="F7192" s="30" t="s">
        <v>416</v>
      </c>
      <c r="G7192" s="33" t="str">
        <f t="shared" si="712"/>
        <v/>
      </c>
      <c r="H7192" s="34"/>
      <c r="I7192" s="39"/>
      <c r="J7192" s="152">
        <v>0</v>
      </c>
      <c r="L7192" s="215"/>
      <c r="M7192" s="30"/>
      <c r="N7192" s="33" t="str">
        <f t="shared" si="713"/>
        <v/>
      </c>
      <c r="O7192" s="34"/>
      <c r="P7192" s="36" t="str">
        <f t="shared" si="714"/>
        <v/>
      </c>
      <c r="Q7192" s="216" t="str">
        <f t="shared" si="715"/>
        <v/>
      </c>
      <c r="R7192" s="216" t="str">
        <f t="shared" si="716"/>
        <v/>
      </c>
      <c r="S7192" s="217" t="str">
        <f t="shared" si="717"/>
        <v/>
      </c>
    </row>
    <row r="7193" spans="1:19" ht="15.75" hidden="1" thickBot="1" x14ac:dyDescent="0.3">
      <c r="A7193" s="263"/>
      <c r="B7193" s="261"/>
      <c r="C7193" s="54"/>
      <c r="D7193" s="35"/>
      <c r="E7193" s="36"/>
      <c r="F7193" s="30" t="s">
        <v>416</v>
      </c>
      <c r="G7193" s="33" t="str">
        <f t="shared" si="712"/>
        <v/>
      </c>
      <c r="H7193" s="34"/>
      <c r="I7193" s="30"/>
      <c r="J7193" s="152">
        <v>0</v>
      </c>
      <c r="L7193" s="215"/>
      <c r="M7193" s="30"/>
      <c r="N7193" s="33" t="str">
        <f t="shared" si="713"/>
        <v/>
      </c>
      <c r="O7193" s="34"/>
      <c r="P7193" s="36" t="str">
        <f t="shared" si="714"/>
        <v/>
      </c>
      <c r="Q7193" s="216" t="str">
        <f t="shared" si="715"/>
        <v/>
      </c>
      <c r="R7193" s="216" t="str">
        <f t="shared" si="716"/>
        <v/>
      </c>
      <c r="S7193" s="217" t="str">
        <f t="shared" si="717"/>
        <v/>
      </c>
    </row>
    <row r="7194" spans="1:19" ht="15.75" hidden="1" thickBot="1" x14ac:dyDescent="0.3">
      <c r="A7194" s="256" t="s">
        <v>6455</v>
      </c>
      <c r="B7194" s="259" t="str">
        <f>INDEX(Orçamentária!A:B,MATCH(Composições!A7194,Orçamentária!A:A,0),2)</f>
        <v>Ajudante de Bombeiro(a) Hidráulico(a) Plantonista (diurno)</v>
      </c>
      <c r="C7194" s="40"/>
      <c r="D7194" s="25" t="s">
        <v>2177</v>
      </c>
      <c r="E7194" s="26"/>
      <c r="F7194" s="41" t="s">
        <v>416</v>
      </c>
      <c r="G7194" s="27" t="str">
        <f t="shared" si="712"/>
        <v/>
      </c>
      <c r="H7194" s="28"/>
      <c r="I7194" s="29"/>
      <c r="J7194" s="152">
        <v>0</v>
      </c>
      <c r="L7194" s="218"/>
      <c r="M7194" s="41"/>
      <c r="N7194" s="27" t="str">
        <f t="shared" si="713"/>
        <v/>
      </c>
      <c r="O7194" s="28"/>
      <c r="P7194" s="36" t="str">
        <f t="shared" si="714"/>
        <v/>
      </c>
      <c r="Q7194" s="216" t="str">
        <f t="shared" si="715"/>
        <v/>
      </c>
      <c r="R7194" s="216" t="str">
        <f t="shared" si="716"/>
        <v/>
      </c>
      <c r="S7194" s="217" t="str">
        <f t="shared" si="717"/>
        <v/>
      </c>
    </row>
    <row r="7195" spans="1:19" ht="15.75" hidden="1" thickBot="1" x14ac:dyDescent="0.3">
      <c r="A7195" s="262"/>
      <c r="B7195" s="260"/>
      <c r="C7195" s="31"/>
      <c r="D7195" s="31"/>
      <c r="E7195" s="32"/>
      <c r="F7195" s="42" t="s">
        <v>416</v>
      </c>
      <c r="G7195" s="33" t="str">
        <f t="shared" si="712"/>
        <v/>
      </c>
      <c r="H7195" s="34"/>
      <c r="I7195" s="30"/>
      <c r="J7195" s="152">
        <v>0</v>
      </c>
      <c r="L7195" s="219"/>
      <c r="M7195" s="42"/>
      <c r="N7195" s="33" t="str">
        <f t="shared" si="713"/>
        <v/>
      </c>
      <c r="O7195" s="34"/>
      <c r="P7195" s="36" t="str">
        <f t="shared" si="714"/>
        <v/>
      </c>
      <c r="Q7195" s="216" t="str">
        <f t="shared" si="715"/>
        <v/>
      </c>
      <c r="R7195" s="216" t="str">
        <f t="shared" si="716"/>
        <v/>
      </c>
      <c r="S7195" s="217" t="str">
        <f t="shared" si="717"/>
        <v/>
      </c>
    </row>
    <row r="7196" spans="1:19" ht="26.25" hidden="1" thickBot="1" x14ac:dyDescent="0.3">
      <c r="A7196" s="262"/>
      <c r="B7196" s="260"/>
      <c r="C7196" s="35" t="s">
        <v>824</v>
      </c>
      <c r="D7196" s="35" t="s">
        <v>583</v>
      </c>
      <c r="E7196" s="36">
        <f>ROUND(220/(1+110.14%),4)</f>
        <v>104.6921</v>
      </c>
      <c r="F7196" s="30">
        <v>21.166</v>
      </c>
      <c r="G7196" s="33">
        <f t="shared" si="712"/>
        <v>2215.9129886000001</v>
      </c>
      <c r="H7196" s="38">
        <f>SUM(G7196:G7196)</f>
        <v>2215.9129886000001</v>
      </c>
      <c r="I7196" s="39"/>
      <c r="J7196" s="152">
        <v>0</v>
      </c>
      <c r="L7196" s="215">
        <v>104.6921</v>
      </c>
      <c r="M7196" s="30">
        <v>18.118096000000001</v>
      </c>
      <c r="N7196" s="33">
        <f t="shared" si="713"/>
        <v>1896.8215182416</v>
      </c>
      <c r="O7196" s="38">
        <f>SUM(N7196:N7196)</f>
        <v>1896.8215182416</v>
      </c>
      <c r="P7196" s="36" t="str">
        <f t="shared" si="714"/>
        <v/>
      </c>
      <c r="Q7196" s="216">
        <f t="shared" si="715"/>
        <v>0.14399999999999991</v>
      </c>
      <c r="R7196" s="216">
        <f t="shared" si="716"/>
        <v>0.14400000000000002</v>
      </c>
      <c r="S7196" s="217">
        <f t="shared" si="717"/>
        <v>0.14400000000000002</v>
      </c>
    </row>
    <row r="7197" spans="1:19" ht="15.75" hidden="1" thickBot="1" x14ac:dyDescent="0.3">
      <c r="A7197" s="262"/>
      <c r="B7197" s="260"/>
      <c r="C7197" s="31"/>
      <c r="D7197" s="46"/>
      <c r="E7197" s="36"/>
      <c r="F7197" s="30" t="s">
        <v>416</v>
      </c>
      <c r="G7197" s="33" t="str">
        <f t="shared" si="712"/>
        <v/>
      </c>
      <c r="H7197" s="34"/>
      <c r="I7197" s="39"/>
      <c r="J7197" s="152">
        <v>0</v>
      </c>
      <c r="L7197" s="215"/>
      <c r="M7197" s="30"/>
      <c r="N7197" s="33" t="str">
        <f t="shared" si="713"/>
        <v/>
      </c>
      <c r="O7197" s="34"/>
      <c r="P7197" s="36" t="str">
        <f t="shared" si="714"/>
        <v/>
      </c>
      <c r="Q7197" s="216" t="str">
        <f t="shared" si="715"/>
        <v/>
      </c>
      <c r="R7197" s="216" t="str">
        <f t="shared" si="716"/>
        <v/>
      </c>
      <c r="S7197" s="217" t="str">
        <f t="shared" si="717"/>
        <v/>
      </c>
    </row>
    <row r="7198" spans="1:19" ht="26.25" hidden="1" thickBot="1" x14ac:dyDescent="0.3">
      <c r="A7198" s="262"/>
      <c r="B7198" s="260"/>
      <c r="C7198" s="47" t="s">
        <v>655</v>
      </c>
      <c r="D7198" s="46"/>
      <c r="E7198" s="36"/>
      <c r="F7198" s="30" t="s">
        <v>416</v>
      </c>
      <c r="G7198" s="33" t="str">
        <f t="shared" si="712"/>
        <v/>
      </c>
      <c r="H7198" s="34"/>
      <c r="I7198" s="39"/>
      <c r="J7198" s="152">
        <v>0</v>
      </c>
      <c r="L7198" s="215"/>
      <c r="M7198" s="30"/>
      <c r="N7198" s="33" t="str">
        <f t="shared" si="713"/>
        <v/>
      </c>
      <c r="O7198" s="34"/>
      <c r="P7198" s="36" t="str">
        <f t="shared" si="714"/>
        <v/>
      </c>
      <c r="Q7198" s="216" t="str">
        <f t="shared" si="715"/>
        <v/>
      </c>
      <c r="R7198" s="216" t="str">
        <f t="shared" si="716"/>
        <v/>
      </c>
      <c r="S7198" s="217" t="str">
        <f t="shared" si="717"/>
        <v/>
      </c>
    </row>
    <row r="7199" spans="1:19" ht="15.75" hidden="1" thickBot="1" x14ac:dyDescent="0.3">
      <c r="A7199" s="263"/>
      <c r="B7199" s="261"/>
      <c r="C7199" s="54"/>
      <c r="D7199" s="35"/>
      <c r="E7199" s="36"/>
      <c r="F7199" s="30" t="s">
        <v>416</v>
      </c>
      <c r="G7199" s="33" t="str">
        <f t="shared" si="712"/>
        <v/>
      </c>
      <c r="H7199" s="34"/>
      <c r="I7199" s="30"/>
      <c r="J7199" s="152">
        <v>0</v>
      </c>
      <c r="L7199" s="215"/>
      <c r="M7199" s="30"/>
      <c r="N7199" s="33" t="str">
        <f t="shared" si="713"/>
        <v/>
      </c>
      <c r="O7199" s="34"/>
      <c r="P7199" s="36" t="str">
        <f t="shared" si="714"/>
        <v/>
      </c>
      <c r="Q7199" s="216" t="str">
        <f t="shared" si="715"/>
        <v/>
      </c>
      <c r="R7199" s="216" t="str">
        <f t="shared" si="716"/>
        <v/>
      </c>
      <c r="S7199" s="217" t="str">
        <f t="shared" si="717"/>
        <v/>
      </c>
    </row>
    <row r="7200" spans="1:19" ht="15.75" hidden="1" thickBot="1" x14ac:dyDescent="0.3">
      <c r="A7200" s="256" t="s">
        <v>6457</v>
      </c>
      <c r="B7200" s="259" t="str">
        <f>INDEX(Orçamentária!A:B,MATCH(Composições!A7200,Orçamentária!A:A,0),2)</f>
        <v>Ajudante de Bombeiro(a) Hidráulico(a) Plantonista (noturno)</v>
      </c>
      <c r="C7200" s="40"/>
      <c r="D7200" s="25" t="s">
        <v>2177</v>
      </c>
      <c r="E7200" s="26"/>
      <c r="F7200" s="41" t="s">
        <v>416</v>
      </c>
      <c r="G7200" s="27" t="str">
        <f t="shared" si="712"/>
        <v/>
      </c>
      <c r="H7200" s="28"/>
      <c r="I7200" s="29"/>
      <c r="J7200" s="152">
        <v>0</v>
      </c>
      <c r="L7200" s="218"/>
      <c r="M7200" s="41"/>
      <c r="N7200" s="27" t="str">
        <f t="shared" si="713"/>
        <v/>
      </c>
      <c r="O7200" s="28"/>
      <c r="P7200" s="36" t="str">
        <f t="shared" si="714"/>
        <v/>
      </c>
      <c r="Q7200" s="216" t="str">
        <f t="shared" si="715"/>
        <v/>
      </c>
      <c r="R7200" s="216" t="str">
        <f t="shared" si="716"/>
        <v/>
      </c>
      <c r="S7200" s="217" t="str">
        <f t="shared" si="717"/>
        <v/>
      </c>
    </row>
    <row r="7201" spans="1:19" ht="15.75" hidden="1" thickBot="1" x14ac:dyDescent="0.3">
      <c r="A7201" s="262"/>
      <c r="B7201" s="260"/>
      <c r="C7201" s="31"/>
      <c r="D7201" s="31"/>
      <c r="E7201" s="32"/>
      <c r="F7201" s="42" t="s">
        <v>416</v>
      </c>
      <c r="G7201" s="33" t="str">
        <f t="shared" si="712"/>
        <v/>
      </c>
      <c r="H7201" s="34"/>
      <c r="I7201" s="30"/>
      <c r="J7201" s="152">
        <v>0</v>
      </c>
      <c r="L7201" s="219"/>
      <c r="M7201" s="42"/>
      <c r="N7201" s="33" t="str">
        <f t="shared" si="713"/>
        <v/>
      </c>
      <c r="O7201" s="34"/>
      <c r="P7201" s="36" t="str">
        <f t="shared" si="714"/>
        <v/>
      </c>
      <c r="Q7201" s="216" t="str">
        <f t="shared" si="715"/>
        <v/>
      </c>
      <c r="R7201" s="216" t="str">
        <f t="shared" si="716"/>
        <v/>
      </c>
      <c r="S7201" s="217" t="str">
        <f t="shared" si="717"/>
        <v/>
      </c>
    </row>
    <row r="7202" spans="1:19" ht="26.25" hidden="1" thickBot="1" x14ac:dyDescent="0.3">
      <c r="A7202" s="262"/>
      <c r="B7202" s="260"/>
      <c r="C7202" s="35" t="s">
        <v>824</v>
      </c>
      <c r="D7202" s="35" t="s">
        <v>583</v>
      </c>
      <c r="E7202" s="36">
        <f>ROUND(220/(1+110.14%),4)</f>
        <v>104.6921</v>
      </c>
      <c r="F7202" s="30">
        <v>21.166</v>
      </c>
      <c r="G7202" s="33">
        <f t="shared" si="712"/>
        <v>2215.9129886000001</v>
      </c>
      <c r="H7202" s="38">
        <f>SUM(G7202:G7202)</f>
        <v>2215.9129886000001</v>
      </c>
      <c r="I7202" s="39"/>
      <c r="J7202" s="152">
        <v>0</v>
      </c>
      <c r="L7202" s="215">
        <v>104.6921</v>
      </c>
      <c r="M7202" s="30">
        <v>18.118096000000001</v>
      </c>
      <c r="N7202" s="33">
        <f t="shared" si="713"/>
        <v>1896.8215182416</v>
      </c>
      <c r="O7202" s="38">
        <f>SUM(N7202:N7202)</f>
        <v>1896.8215182416</v>
      </c>
      <c r="P7202" s="36" t="str">
        <f t="shared" si="714"/>
        <v/>
      </c>
      <c r="Q7202" s="216">
        <f t="shared" si="715"/>
        <v>0.14399999999999991</v>
      </c>
      <c r="R7202" s="216">
        <f t="shared" si="716"/>
        <v>0.14400000000000002</v>
      </c>
      <c r="S7202" s="217">
        <f t="shared" si="717"/>
        <v>0.14400000000000002</v>
      </c>
    </row>
    <row r="7203" spans="1:19" ht="15.75" hidden="1" thickBot="1" x14ac:dyDescent="0.3">
      <c r="A7203" s="262"/>
      <c r="B7203" s="260"/>
      <c r="C7203" s="31"/>
      <c r="D7203" s="46"/>
      <c r="E7203" s="36"/>
      <c r="F7203" s="30" t="s">
        <v>416</v>
      </c>
      <c r="G7203" s="33" t="str">
        <f t="shared" si="712"/>
        <v/>
      </c>
      <c r="H7203" s="34"/>
      <c r="I7203" s="39"/>
      <c r="J7203" s="152">
        <v>0</v>
      </c>
      <c r="L7203" s="215"/>
      <c r="M7203" s="30"/>
      <c r="N7203" s="33" t="str">
        <f t="shared" si="713"/>
        <v/>
      </c>
      <c r="O7203" s="34"/>
      <c r="P7203" s="36" t="str">
        <f t="shared" si="714"/>
        <v/>
      </c>
      <c r="Q7203" s="216" t="str">
        <f t="shared" si="715"/>
        <v/>
      </c>
      <c r="R7203" s="216" t="str">
        <f t="shared" si="716"/>
        <v/>
      </c>
      <c r="S7203" s="217" t="str">
        <f t="shared" si="717"/>
        <v/>
      </c>
    </row>
    <row r="7204" spans="1:19" ht="26.25" hidden="1" thickBot="1" x14ac:dyDescent="0.3">
      <c r="A7204" s="262"/>
      <c r="B7204" s="260"/>
      <c r="C7204" s="47" t="s">
        <v>655</v>
      </c>
      <c r="D7204" s="46"/>
      <c r="E7204" s="36"/>
      <c r="F7204" s="30" t="s">
        <v>416</v>
      </c>
      <c r="G7204" s="33" t="str">
        <f t="shared" si="712"/>
        <v/>
      </c>
      <c r="H7204" s="34"/>
      <c r="I7204" s="39"/>
      <c r="J7204" s="152">
        <v>0</v>
      </c>
      <c r="L7204" s="215"/>
      <c r="M7204" s="30"/>
      <c r="N7204" s="33" t="str">
        <f t="shared" si="713"/>
        <v/>
      </c>
      <c r="O7204" s="34"/>
      <c r="P7204" s="36" t="str">
        <f t="shared" si="714"/>
        <v/>
      </c>
      <c r="Q7204" s="216" t="str">
        <f t="shared" si="715"/>
        <v/>
      </c>
      <c r="R7204" s="216" t="str">
        <f t="shared" si="716"/>
        <v/>
      </c>
      <c r="S7204" s="217" t="str">
        <f t="shared" si="717"/>
        <v/>
      </c>
    </row>
    <row r="7205" spans="1:19" ht="15.75" hidden="1" thickBot="1" x14ac:dyDescent="0.3">
      <c r="A7205" s="263"/>
      <c r="B7205" s="261"/>
      <c r="C7205" s="54"/>
      <c r="D7205" s="35"/>
      <c r="E7205" s="36"/>
      <c r="F7205" s="30" t="s">
        <v>416</v>
      </c>
      <c r="G7205" s="33" t="str">
        <f t="shared" si="712"/>
        <v/>
      </c>
      <c r="H7205" s="34"/>
      <c r="I7205" s="30"/>
      <c r="J7205" s="152">
        <v>0</v>
      </c>
      <c r="L7205" s="215"/>
      <c r="M7205" s="30"/>
      <c r="N7205" s="33" t="str">
        <f t="shared" si="713"/>
        <v/>
      </c>
      <c r="O7205" s="34"/>
      <c r="P7205" s="36" t="str">
        <f t="shared" si="714"/>
        <v/>
      </c>
      <c r="Q7205" s="216" t="str">
        <f t="shared" si="715"/>
        <v/>
      </c>
      <c r="R7205" s="216" t="str">
        <f t="shared" si="716"/>
        <v/>
      </c>
      <c r="S7205" s="217" t="str">
        <f t="shared" si="717"/>
        <v/>
      </c>
    </row>
    <row r="7206" spans="1:19" ht="15.75" hidden="1" thickBot="1" x14ac:dyDescent="0.3">
      <c r="A7206" s="256" t="s">
        <v>6461</v>
      </c>
      <c r="B7206" s="259" t="str">
        <f>INDEX(Orçamentária!A:B,MATCH(Composições!A7206,Orçamentária!A:A,0),2)</f>
        <v>Mangueira de incêndio tipo 2 - engate 2 1/2” - lance 15 m</v>
      </c>
      <c r="C7206" s="40"/>
      <c r="D7206" s="25" t="s">
        <v>16</v>
      </c>
      <c r="E7206" s="26"/>
      <c r="F7206" s="41" t="s">
        <v>416</v>
      </c>
      <c r="G7206" s="27" t="str">
        <f t="shared" si="712"/>
        <v/>
      </c>
      <c r="H7206" s="28"/>
      <c r="I7206" s="29"/>
      <c r="J7206" s="152">
        <v>0</v>
      </c>
      <c r="L7206" s="218"/>
      <c r="M7206" s="41"/>
      <c r="N7206" s="27" t="str">
        <f t="shared" si="713"/>
        <v/>
      </c>
      <c r="O7206" s="28"/>
      <c r="P7206" s="36" t="str">
        <f t="shared" si="714"/>
        <v/>
      </c>
      <c r="Q7206" s="216" t="str">
        <f t="shared" si="715"/>
        <v/>
      </c>
      <c r="R7206" s="216" t="str">
        <f t="shared" si="716"/>
        <v/>
      </c>
      <c r="S7206" s="217" t="str">
        <f t="shared" si="717"/>
        <v/>
      </c>
    </row>
    <row r="7207" spans="1:19" ht="15.75" hidden="1" thickBot="1" x14ac:dyDescent="0.3">
      <c r="A7207" s="262"/>
      <c r="B7207" s="260"/>
      <c r="C7207" s="31"/>
      <c r="D7207" s="31"/>
      <c r="E7207" s="32"/>
      <c r="F7207" s="42" t="s">
        <v>416</v>
      </c>
      <c r="G7207" s="30" t="str">
        <f t="shared" si="712"/>
        <v/>
      </c>
      <c r="H7207" s="34"/>
      <c r="I7207" s="30"/>
      <c r="J7207" s="152">
        <v>0</v>
      </c>
      <c r="L7207" s="219"/>
      <c r="M7207" s="42"/>
      <c r="N7207" s="30" t="str">
        <f t="shared" si="713"/>
        <v/>
      </c>
      <c r="O7207" s="34"/>
      <c r="P7207" s="36" t="str">
        <f t="shared" si="714"/>
        <v/>
      </c>
      <c r="Q7207" s="216" t="str">
        <f t="shared" si="715"/>
        <v/>
      </c>
      <c r="R7207" s="216" t="str">
        <f t="shared" si="716"/>
        <v/>
      </c>
      <c r="S7207" s="217" t="str">
        <f t="shared" si="717"/>
        <v/>
      </c>
    </row>
    <row r="7208" spans="1:19" ht="39" hidden="1" thickBot="1" x14ac:dyDescent="0.3">
      <c r="A7208" s="262"/>
      <c r="B7208" s="260"/>
      <c r="C7208" s="35" t="s">
        <v>8284</v>
      </c>
      <c r="D7208" s="35" t="s">
        <v>213</v>
      </c>
      <c r="E7208" s="36">
        <v>1</v>
      </c>
      <c r="F7208" s="30">
        <v>584.62049999999999</v>
      </c>
      <c r="G7208" s="30">
        <f t="shared" si="712"/>
        <v>584.62049999999999</v>
      </c>
      <c r="H7208" s="38">
        <f>SUM(G7208:G7208)</f>
        <v>584.62049999999999</v>
      </c>
      <c r="I7208" s="39"/>
      <c r="J7208" s="152">
        <v>0</v>
      </c>
      <c r="L7208" s="215">
        <v>1</v>
      </c>
      <c r="M7208" s="30">
        <v>500.43514800000003</v>
      </c>
      <c r="N7208" s="30">
        <f t="shared" si="713"/>
        <v>500.43514800000003</v>
      </c>
      <c r="O7208" s="38">
        <f>SUM(N7208:N7208)</f>
        <v>500.43514800000003</v>
      </c>
      <c r="P7208" s="36" t="str">
        <f t="shared" si="714"/>
        <v/>
      </c>
      <c r="Q7208" s="216">
        <f t="shared" si="715"/>
        <v>0.14399999999999991</v>
      </c>
      <c r="R7208" s="216">
        <f t="shared" si="716"/>
        <v>0.14399999999999991</v>
      </c>
      <c r="S7208" s="217">
        <f t="shared" si="717"/>
        <v>0.14399999999999991</v>
      </c>
    </row>
    <row r="7209" spans="1:19" ht="15.75" hidden="1" thickBot="1" x14ac:dyDescent="0.3">
      <c r="A7209" s="263"/>
      <c r="B7209" s="261"/>
      <c r="C7209" s="54"/>
      <c r="D7209" s="54"/>
      <c r="E7209" s="65"/>
      <c r="F7209" s="66" t="s">
        <v>416</v>
      </c>
      <c r="G7209" s="66" t="str">
        <f t="shared" si="712"/>
        <v/>
      </c>
      <c r="H7209" s="68"/>
      <c r="I7209" s="30"/>
      <c r="J7209" s="152">
        <v>0</v>
      </c>
      <c r="L7209" s="222"/>
      <c r="M7209" s="66"/>
      <c r="N7209" s="66" t="str">
        <f t="shared" si="713"/>
        <v/>
      </c>
      <c r="O7209" s="68"/>
      <c r="P7209" s="36" t="str">
        <f t="shared" si="714"/>
        <v/>
      </c>
      <c r="Q7209" s="216" t="str">
        <f t="shared" si="715"/>
        <v/>
      </c>
      <c r="R7209" s="216" t="str">
        <f t="shared" si="716"/>
        <v/>
      </c>
      <c r="S7209" s="217" t="str">
        <f t="shared" si="717"/>
        <v/>
      </c>
    </row>
    <row r="7210" spans="1:19" ht="15.75" hidden="1" thickBot="1" x14ac:dyDescent="0.3">
      <c r="A7210" s="256" t="s">
        <v>6462</v>
      </c>
      <c r="B7210" s="259" t="str">
        <f>INDEX(Orçamentária!A:B,MATCH(Composições!A7210,Orçamentária!A:A,0),2)</f>
        <v>Manômetro DN100 (4”) até 150psi - para aferição (NBR 14105-1 classe A1)</v>
      </c>
      <c r="C7210" s="40"/>
      <c r="D7210" s="25" t="s">
        <v>16</v>
      </c>
      <c r="E7210" s="26"/>
      <c r="F7210" s="41" t="s">
        <v>416</v>
      </c>
      <c r="G7210" s="27" t="str">
        <f t="shared" si="712"/>
        <v/>
      </c>
      <c r="H7210" s="28"/>
      <c r="I7210" s="29"/>
      <c r="J7210" s="152">
        <v>0</v>
      </c>
      <c r="L7210" s="218"/>
      <c r="M7210" s="41"/>
      <c r="N7210" s="27" t="str">
        <f t="shared" si="713"/>
        <v/>
      </c>
      <c r="O7210" s="28"/>
      <c r="P7210" s="36" t="str">
        <f t="shared" si="714"/>
        <v/>
      </c>
      <c r="Q7210" s="216" t="str">
        <f t="shared" si="715"/>
        <v/>
      </c>
      <c r="R7210" s="216" t="str">
        <f t="shared" si="716"/>
        <v/>
      </c>
      <c r="S7210" s="217" t="str">
        <f t="shared" si="717"/>
        <v/>
      </c>
    </row>
    <row r="7211" spans="1:19" ht="15.75" hidden="1" thickBot="1" x14ac:dyDescent="0.3">
      <c r="A7211" s="262"/>
      <c r="B7211" s="260"/>
      <c r="C7211" s="31"/>
      <c r="D7211" s="31"/>
      <c r="E7211" s="32"/>
      <c r="F7211" s="42" t="s">
        <v>416</v>
      </c>
      <c r="G7211" s="30" t="str">
        <f t="shared" si="712"/>
        <v/>
      </c>
      <c r="H7211" s="34"/>
      <c r="I7211" s="30"/>
      <c r="J7211" s="152">
        <v>0</v>
      </c>
      <c r="L7211" s="219"/>
      <c r="M7211" s="42"/>
      <c r="N7211" s="30" t="str">
        <f t="shared" si="713"/>
        <v/>
      </c>
      <c r="O7211" s="34"/>
      <c r="P7211" s="36" t="str">
        <f t="shared" si="714"/>
        <v/>
      </c>
      <c r="Q7211" s="216" t="str">
        <f t="shared" si="715"/>
        <v/>
      </c>
      <c r="R7211" s="216" t="str">
        <f t="shared" si="716"/>
        <v/>
      </c>
      <c r="S7211" s="217" t="str">
        <f t="shared" si="717"/>
        <v/>
      </c>
    </row>
    <row r="7212" spans="1:19" ht="26.25" hidden="1" thickBot="1" x14ac:dyDescent="0.3">
      <c r="A7212" s="262"/>
      <c r="B7212" s="260"/>
      <c r="C7212" s="35" t="s">
        <v>8286</v>
      </c>
      <c r="D7212" s="35" t="s">
        <v>213</v>
      </c>
      <c r="E7212" s="36">
        <v>1</v>
      </c>
      <c r="F7212" s="30">
        <v>172.62450000000001</v>
      </c>
      <c r="G7212" s="30">
        <f t="shared" si="712"/>
        <v>172.62450000000001</v>
      </c>
      <c r="H7212" s="38">
        <f>SUM(G7212:G7212)</f>
        <v>172.62450000000001</v>
      </c>
      <c r="I7212" s="39"/>
      <c r="J7212" s="152">
        <v>0</v>
      </c>
      <c r="L7212" s="215">
        <v>1</v>
      </c>
      <c r="M7212" s="30">
        <v>147.766572</v>
      </c>
      <c r="N7212" s="30">
        <f t="shared" si="713"/>
        <v>147.766572</v>
      </c>
      <c r="O7212" s="38">
        <f>SUM(N7212:N7212)</f>
        <v>147.766572</v>
      </c>
      <c r="P7212" s="36" t="str">
        <f t="shared" si="714"/>
        <v/>
      </c>
      <c r="Q7212" s="216">
        <f t="shared" si="715"/>
        <v>0.14400000000000013</v>
      </c>
      <c r="R7212" s="216">
        <f t="shared" si="716"/>
        <v>0.14400000000000013</v>
      </c>
      <c r="S7212" s="217">
        <f t="shared" si="717"/>
        <v>0.14400000000000013</v>
      </c>
    </row>
    <row r="7213" spans="1:19" ht="15.75" hidden="1" thickBot="1" x14ac:dyDescent="0.3">
      <c r="A7213" s="263"/>
      <c r="B7213" s="261"/>
      <c r="C7213" s="54"/>
      <c r="D7213" s="54"/>
      <c r="E7213" s="65"/>
      <c r="F7213" s="66" t="s">
        <v>416</v>
      </c>
      <c r="G7213" s="66" t="str">
        <f t="shared" si="712"/>
        <v/>
      </c>
      <c r="H7213" s="68"/>
      <c r="I7213" s="30"/>
      <c r="J7213" s="152">
        <v>0</v>
      </c>
      <c r="L7213" s="222"/>
      <c r="M7213" s="66"/>
      <c r="N7213" s="66" t="str">
        <f t="shared" si="713"/>
        <v/>
      </c>
      <c r="O7213" s="68"/>
      <c r="P7213" s="36" t="str">
        <f t="shared" si="714"/>
        <v/>
      </c>
      <c r="Q7213" s="216" t="str">
        <f t="shared" si="715"/>
        <v/>
      </c>
      <c r="R7213" s="216" t="str">
        <f t="shared" si="716"/>
        <v/>
      </c>
      <c r="S7213" s="217" t="str">
        <f t="shared" si="717"/>
        <v/>
      </c>
    </row>
    <row r="7214" spans="1:19" ht="15.75" hidden="1" thickBot="1" x14ac:dyDescent="0.3">
      <c r="A7214" s="256" t="s">
        <v>6489</v>
      </c>
      <c r="B7214" s="259" t="str">
        <f>INDEX(Orçamentária!A:B,MATCH(Composições!A7214,Orçamentária!A:A,0),2)</f>
        <v>Bucha de redução em ferro galvanizado 3” x 2 1/2”</v>
      </c>
      <c r="C7214" s="40"/>
      <c r="D7214" s="25" t="s">
        <v>16</v>
      </c>
      <c r="E7214" s="26"/>
      <c r="F7214" s="41" t="s">
        <v>416</v>
      </c>
      <c r="G7214" s="27" t="str">
        <f t="shared" si="712"/>
        <v/>
      </c>
      <c r="H7214" s="28"/>
      <c r="I7214" s="29"/>
      <c r="J7214" s="152">
        <v>0</v>
      </c>
      <c r="L7214" s="218"/>
      <c r="M7214" s="41"/>
      <c r="N7214" s="27" t="str">
        <f t="shared" si="713"/>
        <v/>
      </c>
      <c r="O7214" s="28"/>
      <c r="P7214" s="36" t="str">
        <f t="shared" si="714"/>
        <v/>
      </c>
      <c r="Q7214" s="216" t="str">
        <f t="shared" si="715"/>
        <v/>
      </c>
      <c r="R7214" s="216" t="str">
        <f t="shared" si="716"/>
        <v/>
      </c>
      <c r="S7214" s="217" t="str">
        <f t="shared" si="717"/>
        <v/>
      </c>
    </row>
    <row r="7215" spans="1:19" ht="15.75" hidden="1" thickBot="1" x14ac:dyDescent="0.3">
      <c r="A7215" s="262"/>
      <c r="B7215" s="260"/>
      <c r="C7215" s="31"/>
      <c r="D7215" s="31"/>
      <c r="E7215" s="32"/>
      <c r="F7215" s="42" t="s">
        <v>416</v>
      </c>
      <c r="G7215" s="30" t="str">
        <f t="shared" si="712"/>
        <v/>
      </c>
      <c r="H7215" s="34"/>
      <c r="I7215" s="30"/>
      <c r="J7215" s="152">
        <v>0</v>
      </c>
      <c r="L7215" s="219"/>
      <c r="M7215" s="42"/>
      <c r="N7215" s="30" t="str">
        <f t="shared" si="713"/>
        <v/>
      </c>
      <c r="O7215" s="34"/>
      <c r="P7215" s="36" t="str">
        <f t="shared" si="714"/>
        <v/>
      </c>
      <c r="Q7215" s="216" t="str">
        <f t="shared" si="715"/>
        <v/>
      </c>
      <c r="R7215" s="216" t="str">
        <f t="shared" si="716"/>
        <v/>
      </c>
      <c r="S7215" s="217" t="str">
        <f t="shared" si="717"/>
        <v/>
      </c>
    </row>
    <row r="7216" spans="1:19" ht="26.25" hidden="1" thickBot="1" x14ac:dyDescent="0.3">
      <c r="A7216" s="262"/>
      <c r="B7216" s="260"/>
      <c r="C7216" s="35" t="s">
        <v>8016</v>
      </c>
      <c r="D7216" s="35" t="s">
        <v>213</v>
      </c>
      <c r="E7216" s="36">
        <v>1</v>
      </c>
      <c r="F7216" s="30">
        <v>64.115499999999997</v>
      </c>
      <c r="G7216" s="30">
        <f t="shared" si="712"/>
        <v>64.115499999999997</v>
      </c>
      <c r="H7216" s="38">
        <f>SUM(G7216:G7216)</f>
        <v>64.115499999999997</v>
      </c>
      <c r="I7216" s="39"/>
      <c r="J7216" s="152">
        <v>0</v>
      </c>
      <c r="L7216" s="215">
        <v>1</v>
      </c>
      <c r="M7216" s="30">
        <v>54.882868000000002</v>
      </c>
      <c r="N7216" s="30">
        <f t="shared" si="713"/>
        <v>54.882868000000002</v>
      </c>
      <c r="O7216" s="38">
        <f>SUM(N7216:N7216)</f>
        <v>54.882868000000002</v>
      </c>
      <c r="P7216" s="36" t="str">
        <f t="shared" si="714"/>
        <v/>
      </c>
      <c r="Q7216" s="216">
        <f t="shared" si="715"/>
        <v>0.14399999999999991</v>
      </c>
      <c r="R7216" s="216">
        <f t="shared" si="716"/>
        <v>0.14399999999999991</v>
      </c>
      <c r="S7216" s="217">
        <f t="shared" si="717"/>
        <v>0.14399999999999991</v>
      </c>
    </row>
    <row r="7217" spans="1:19" ht="15.75" hidden="1" thickBot="1" x14ac:dyDescent="0.3">
      <c r="A7217" s="263"/>
      <c r="B7217" s="261"/>
      <c r="C7217" s="54"/>
      <c r="D7217" s="54"/>
      <c r="E7217" s="65"/>
      <c r="F7217" s="66" t="s">
        <v>416</v>
      </c>
      <c r="G7217" s="66" t="str">
        <f t="shared" si="712"/>
        <v/>
      </c>
      <c r="H7217" s="68"/>
      <c r="I7217" s="30"/>
      <c r="J7217" s="152">
        <v>0</v>
      </c>
      <c r="L7217" s="222"/>
      <c r="M7217" s="66"/>
      <c r="N7217" s="66" t="str">
        <f t="shared" si="713"/>
        <v/>
      </c>
      <c r="O7217" s="68"/>
      <c r="P7217" s="36" t="str">
        <f t="shared" si="714"/>
        <v/>
      </c>
      <c r="Q7217" s="216" t="str">
        <f t="shared" si="715"/>
        <v/>
      </c>
      <c r="R7217" s="216" t="str">
        <f t="shared" si="716"/>
        <v/>
      </c>
      <c r="S7217" s="217" t="str">
        <f t="shared" si="717"/>
        <v/>
      </c>
    </row>
    <row r="7218" spans="1:19" ht="15.75" hidden="1" thickBot="1" x14ac:dyDescent="0.3">
      <c r="A7218" s="256" t="s">
        <v>6490</v>
      </c>
      <c r="B7218" s="259" t="str">
        <f>INDEX(Orçamentária!A:B,MATCH(Composições!A7218,Orçamentária!A:A,0),2)</f>
        <v>Tubo de aço-carbono galvanizado 1 1/2” – Água Potável e Combate a Incêndio</v>
      </c>
      <c r="C7218" s="40"/>
      <c r="D7218" s="25" t="s">
        <v>69</v>
      </c>
      <c r="E7218" s="26"/>
      <c r="F7218" s="41" t="s">
        <v>416</v>
      </c>
      <c r="G7218" s="27" t="str">
        <f t="shared" ref="G7218:G7232" si="718">IF(ISNUMBER(F7218),E7218*F7218,"")</f>
        <v/>
      </c>
      <c r="H7218" s="28"/>
      <c r="I7218" s="29"/>
      <c r="J7218" s="152">
        <v>0</v>
      </c>
      <c r="L7218" s="218"/>
      <c r="M7218" s="41"/>
      <c r="N7218" s="27" t="str">
        <f t="shared" ref="N7218:N7232" si="719">IF(ISNUMBER(M7218),L7218*M7218,"")</f>
        <v/>
      </c>
      <c r="O7218" s="28"/>
      <c r="P7218" s="36" t="str">
        <f t="shared" si="714"/>
        <v/>
      </c>
      <c r="Q7218" s="216" t="str">
        <f t="shared" si="715"/>
        <v/>
      </c>
      <c r="R7218" s="216" t="str">
        <f t="shared" si="716"/>
        <v/>
      </c>
      <c r="S7218" s="217" t="str">
        <f t="shared" si="717"/>
        <v/>
      </c>
    </row>
    <row r="7219" spans="1:19" ht="15.75" hidden="1" thickBot="1" x14ac:dyDescent="0.3">
      <c r="A7219" s="262"/>
      <c r="B7219" s="260"/>
      <c r="C7219" s="31"/>
      <c r="D7219" s="31"/>
      <c r="E7219" s="32"/>
      <c r="F7219" s="42" t="s">
        <v>416</v>
      </c>
      <c r="G7219" s="30" t="str">
        <f t="shared" si="718"/>
        <v/>
      </c>
      <c r="H7219" s="34"/>
      <c r="I7219" s="30"/>
      <c r="J7219" s="152">
        <v>0</v>
      </c>
      <c r="L7219" s="219"/>
      <c r="M7219" s="42"/>
      <c r="N7219" s="30" t="str">
        <f t="shared" si="719"/>
        <v/>
      </c>
      <c r="O7219" s="34"/>
      <c r="P7219" s="36" t="str">
        <f t="shared" si="714"/>
        <v/>
      </c>
      <c r="Q7219" s="216" t="str">
        <f t="shared" si="715"/>
        <v/>
      </c>
      <c r="R7219" s="216" t="str">
        <f t="shared" si="716"/>
        <v/>
      </c>
      <c r="S7219" s="217" t="str">
        <f t="shared" si="717"/>
        <v/>
      </c>
    </row>
    <row r="7220" spans="1:19" ht="26.25" hidden="1" thickBot="1" x14ac:dyDescent="0.3">
      <c r="A7220" s="262"/>
      <c r="B7220" s="260"/>
      <c r="C7220" s="35" t="s">
        <v>8561</v>
      </c>
      <c r="D7220" s="35" t="s">
        <v>385</v>
      </c>
      <c r="E7220" s="36">
        <v>1</v>
      </c>
      <c r="F7220" s="30">
        <v>54.786499999999997</v>
      </c>
      <c r="G7220" s="30">
        <f t="shared" si="718"/>
        <v>54.786499999999997</v>
      </c>
      <c r="H7220" s="38">
        <f>SUM(G7220:G7220)</f>
        <v>54.786499999999997</v>
      </c>
      <c r="I7220" s="39"/>
      <c r="J7220" s="152">
        <v>0</v>
      </c>
      <c r="L7220" s="215">
        <v>1</v>
      </c>
      <c r="M7220" s="30">
        <v>46.897244000000001</v>
      </c>
      <c r="N7220" s="30">
        <f t="shared" si="719"/>
        <v>46.897244000000001</v>
      </c>
      <c r="O7220" s="38">
        <f>SUM(N7220:N7220)</f>
        <v>46.897244000000001</v>
      </c>
      <c r="P7220" s="36" t="str">
        <f t="shared" si="714"/>
        <v/>
      </c>
      <c r="Q7220" s="216">
        <f t="shared" si="715"/>
        <v>0.14399999999999991</v>
      </c>
      <c r="R7220" s="216">
        <f t="shared" si="716"/>
        <v>0.14399999999999991</v>
      </c>
      <c r="S7220" s="217">
        <f t="shared" si="717"/>
        <v>0.14399999999999991</v>
      </c>
    </row>
    <row r="7221" spans="1:19" ht="15.75" hidden="1" thickBot="1" x14ac:dyDescent="0.3">
      <c r="A7221" s="263"/>
      <c r="B7221" s="261"/>
      <c r="C7221" s="54"/>
      <c r="D7221" s="54"/>
      <c r="E7221" s="65"/>
      <c r="F7221" s="66" t="s">
        <v>416</v>
      </c>
      <c r="G7221" s="66" t="str">
        <f t="shared" si="718"/>
        <v/>
      </c>
      <c r="H7221" s="68"/>
      <c r="I7221" s="30"/>
      <c r="J7221" s="152">
        <v>0</v>
      </c>
      <c r="L7221" s="222"/>
      <c r="M7221" s="66"/>
      <c r="N7221" s="66" t="str">
        <f t="shared" si="719"/>
        <v/>
      </c>
      <c r="O7221" s="68"/>
      <c r="P7221" s="36" t="str">
        <f t="shared" si="714"/>
        <v/>
      </c>
      <c r="Q7221" s="216" t="str">
        <f t="shared" si="715"/>
        <v/>
      </c>
      <c r="R7221" s="216" t="str">
        <f t="shared" si="716"/>
        <v/>
      </c>
      <c r="S7221" s="217" t="str">
        <f t="shared" si="717"/>
        <v/>
      </c>
    </row>
    <row r="7222" spans="1:19" ht="15.75" thickBot="1" x14ac:dyDescent="0.3">
      <c r="A7222" s="256" t="s">
        <v>6508</v>
      </c>
      <c r="B7222" s="259" t="str">
        <f>INDEX(Orçamentária!A:B,MATCH(Composições!A7222,Orçamentária!A:A,0),2)</f>
        <v>Grelha para retorno quadrada 225 x 225 mm</v>
      </c>
      <c r="C7222" s="40"/>
      <c r="D7222" s="25" t="s">
        <v>16</v>
      </c>
      <c r="E7222" s="26"/>
      <c r="F7222" s="41" t="s">
        <v>416</v>
      </c>
      <c r="G7222" s="27" t="str">
        <f t="shared" si="718"/>
        <v/>
      </c>
      <c r="H7222" s="28"/>
      <c r="I7222" s="29"/>
      <c r="J7222" s="152">
        <v>1</v>
      </c>
      <c r="L7222" s="218"/>
      <c r="M7222" s="41"/>
      <c r="N7222" s="27" t="str">
        <f t="shared" si="719"/>
        <v/>
      </c>
      <c r="O7222" s="28"/>
      <c r="P7222" s="36" t="str">
        <f t="shared" si="714"/>
        <v/>
      </c>
      <c r="Q7222" s="216" t="str">
        <f t="shared" si="715"/>
        <v/>
      </c>
      <c r="R7222" s="216" t="str">
        <f t="shared" si="716"/>
        <v/>
      </c>
      <c r="S7222" s="217" t="str">
        <f t="shared" si="717"/>
        <v/>
      </c>
    </row>
    <row r="7223" spans="1:19" x14ac:dyDescent="0.25">
      <c r="A7223" s="262"/>
      <c r="B7223" s="260"/>
      <c r="C7223" s="31"/>
      <c r="D7223" s="31"/>
      <c r="E7223" s="32"/>
      <c r="F7223" s="42" t="s">
        <v>416</v>
      </c>
      <c r="G7223" s="30" t="str">
        <f t="shared" si="718"/>
        <v/>
      </c>
      <c r="H7223" s="34"/>
      <c r="I7223" s="30"/>
      <c r="J7223" s="152">
        <v>1</v>
      </c>
      <c r="L7223" s="219"/>
      <c r="M7223" s="42"/>
      <c r="N7223" s="30" t="str">
        <f t="shared" si="719"/>
        <v/>
      </c>
      <c r="O7223" s="34"/>
      <c r="P7223" s="36" t="str">
        <f t="shared" si="714"/>
        <v/>
      </c>
      <c r="Q7223" s="216" t="str">
        <f t="shared" si="715"/>
        <v/>
      </c>
      <c r="R7223" s="216" t="str">
        <f t="shared" si="716"/>
        <v/>
      </c>
      <c r="S7223" s="217" t="str">
        <f t="shared" si="717"/>
        <v/>
      </c>
    </row>
    <row r="7224" spans="1:19" ht="25.5" x14ac:dyDescent="0.25">
      <c r="A7224" s="262"/>
      <c r="B7224" s="260"/>
      <c r="C7224" s="35" t="s">
        <v>2901</v>
      </c>
      <c r="D7224" s="35" t="s">
        <v>583</v>
      </c>
      <c r="E7224" s="36">
        <v>3.5</v>
      </c>
      <c r="F7224" s="30">
        <v>23.160999999999998</v>
      </c>
      <c r="G7224" s="33">
        <f t="shared" si="718"/>
        <v>81.063499999999991</v>
      </c>
      <c r="H7224" s="38">
        <f>SUM(G7224:G7226)</f>
        <v>399.52749999999997</v>
      </c>
      <c r="I7224" s="39"/>
      <c r="J7224" s="152">
        <v>1</v>
      </c>
      <c r="L7224" s="215">
        <v>3.5</v>
      </c>
      <c r="M7224" s="30">
        <v>19.825816</v>
      </c>
      <c r="N7224" s="33">
        <f t="shared" si="719"/>
        <v>69.390355999999997</v>
      </c>
      <c r="O7224" s="38">
        <f>SUM(N7224:N7226)</f>
        <v>341.99554000000001</v>
      </c>
      <c r="P7224" s="36" t="str">
        <f t="shared" si="714"/>
        <v/>
      </c>
      <c r="Q7224" s="216">
        <f t="shared" si="715"/>
        <v>0.14399999999999991</v>
      </c>
      <c r="R7224" s="216">
        <f t="shared" si="716"/>
        <v>0.14399999999999991</v>
      </c>
      <c r="S7224" s="217">
        <f t="shared" si="717"/>
        <v>0.14399999999999991</v>
      </c>
    </row>
    <row r="7225" spans="1:19" ht="25.5" x14ac:dyDescent="0.25">
      <c r="A7225" s="262"/>
      <c r="B7225" s="260"/>
      <c r="C7225" s="35" t="s">
        <v>462</v>
      </c>
      <c r="D7225" s="35" t="s">
        <v>583</v>
      </c>
      <c r="E7225" s="36">
        <v>3.5</v>
      </c>
      <c r="F7225" s="30">
        <v>29.183999999999997</v>
      </c>
      <c r="G7225" s="33">
        <f t="shared" si="718"/>
        <v>102.14399999999999</v>
      </c>
      <c r="H7225" s="34"/>
      <c r="I7225" s="30"/>
      <c r="J7225" s="152">
        <v>1</v>
      </c>
      <c r="L7225" s="215">
        <v>3.5</v>
      </c>
      <c r="M7225" s="30">
        <v>24.981503999999997</v>
      </c>
      <c r="N7225" s="33">
        <f t="shared" si="719"/>
        <v>87.435263999999989</v>
      </c>
      <c r="O7225" s="34"/>
      <c r="P7225" s="36" t="str">
        <f t="shared" si="714"/>
        <v/>
      </c>
      <c r="Q7225" s="216">
        <f t="shared" si="715"/>
        <v>0.14400000000000002</v>
      </c>
      <c r="R7225" s="216">
        <f t="shared" si="716"/>
        <v>0.14400000000000002</v>
      </c>
      <c r="S7225" s="217" t="str">
        <f t="shared" si="717"/>
        <v/>
      </c>
    </row>
    <row r="7226" spans="1:19" x14ac:dyDescent="0.25">
      <c r="A7226" s="262"/>
      <c r="B7226" s="260"/>
      <c r="C7226" s="35" t="s">
        <v>6605</v>
      </c>
      <c r="D7226" s="35" t="s">
        <v>107</v>
      </c>
      <c r="E7226" s="36">
        <v>1</v>
      </c>
      <c r="F7226" s="33">
        <v>216.32</v>
      </c>
      <c r="G7226" s="33">
        <f t="shared" si="718"/>
        <v>216.32</v>
      </c>
      <c r="H7226" s="34"/>
      <c r="I7226" s="30"/>
      <c r="J7226" s="152">
        <v>1</v>
      </c>
      <c r="L7226" s="215">
        <v>1</v>
      </c>
      <c r="M7226" s="33">
        <v>185.16991999999999</v>
      </c>
      <c r="N7226" s="33">
        <f t="shared" si="719"/>
        <v>185.16991999999999</v>
      </c>
      <c r="O7226" s="34"/>
      <c r="P7226" s="36" t="str">
        <f t="shared" si="714"/>
        <v/>
      </c>
      <c r="Q7226" s="216">
        <f t="shared" si="715"/>
        <v>0.14400000000000002</v>
      </c>
      <c r="R7226" s="216">
        <f t="shared" si="716"/>
        <v>0.14400000000000002</v>
      </c>
      <c r="S7226" s="217" t="str">
        <f t="shared" si="717"/>
        <v/>
      </c>
    </row>
    <row r="7227" spans="1:19" ht="15.75" thickBot="1" x14ac:dyDescent="0.3">
      <c r="A7227" s="263"/>
      <c r="B7227" s="261"/>
      <c r="C7227" s="35"/>
      <c r="D7227" s="35"/>
      <c r="E7227" s="36"/>
      <c r="F7227" s="30" t="s">
        <v>416</v>
      </c>
      <c r="G7227" s="30" t="str">
        <f t="shared" si="718"/>
        <v/>
      </c>
      <c r="H7227" s="34"/>
      <c r="I7227" s="30"/>
      <c r="J7227" s="152">
        <v>1</v>
      </c>
      <c r="L7227" s="215"/>
      <c r="M7227" s="30"/>
      <c r="N7227" s="30" t="str">
        <f t="shared" si="719"/>
        <v/>
      </c>
      <c r="O7227" s="34"/>
      <c r="P7227" s="36" t="str">
        <f t="shared" si="714"/>
        <v/>
      </c>
      <c r="Q7227" s="216" t="str">
        <f t="shared" si="715"/>
        <v/>
      </c>
      <c r="R7227" s="216" t="str">
        <f t="shared" si="716"/>
        <v/>
      </c>
      <c r="S7227" s="217" t="str">
        <f t="shared" si="717"/>
        <v/>
      </c>
    </row>
    <row r="7228" spans="1:19" ht="15.75" hidden="1" thickBot="1" x14ac:dyDescent="0.3">
      <c r="A7228" s="256" t="s">
        <v>6512</v>
      </c>
      <c r="B7228" s="259" t="str">
        <f>INDEX(Orçamentária!A:B,MATCH(Composições!A7228,Orçamentária!A:A,0),2)</f>
        <v>Instalação de quadros elétricos ou de telecomunicações</v>
      </c>
      <c r="C7228" s="40"/>
      <c r="D7228" s="25" t="s">
        <v>16</v>
      </c>
      <c r="E7228" s="26"/>
      <c r="F7228" s="48" t="s">
        <v>416</v>
      </c>
      <c r="G7228" s="27" t="str">
        <f t="shared" si="718"/>
        <v/>
      </c>
      <c r="H7228" s="28"/>
      <c r="I7228" s="29"/>
      <c r="J7228" s="152">
        <v>0</v>
      </c>
      <c r="L7228" s="218"/>
      <c r="M7228" s="48"/>
      <c r="N7228" s="27" t="str">
        <f t="shared" si="719"/>
        <v/>
      </c>
      <c r="O7228" s="28"/>
      <c r="P7228" s="36" t="str">
        <f t="shared" si="714"/>
        <v/>
      </c>
      <c r="Q7228" s="216" t="str">
        <f t="shared" si="715"/>
        <v/>
      </c>
      <c r="R7228" s="216" t="str">
        <f t="shared" si="716"/>
        <v/>
      </c>
      <c r="S7228" s="217" t="str">
        <f t="shared" si="717"/>
        <v/>
      </c>
    </row>
    <row r="7229" spans="1:19" ht="15.75" hidden="1" thickBot="1" x14ac:dyDescent="0.3">
      <c r="A7229" s="257"/>
      <c r="B7229" s="260"/>
      <c r="C7229" s="31"/>
      <c r="D7229" s="31"/>
      <c r="E7229" s="32"/>
      <c r="F7229" s="53" t="s">
        <v>416</v>
      </c>
      <c r="G7229" s="53" t="str">
        <f t="shared" si="718"/>
        <v/>
      </c>
      <c r="H7229" s="72"/>
      <c r="I7229" s="73"/>
      <c r="J7229" s="152">
        <v>0</v>
      </c>
      <c r="L7229" s="219"/>
      <c r="M7229" s="53"/>
      <c r="N7229" s="53" t="str">
        <f t="shared" si="719"/>
        <v/>
      </c>
      <c r="O7229" s="72"/>
      <c r="P7229" s="36" t="str">
        <f t="shared" si="714"/>
        <v/>
      </c>
      <c r="Q7229" s="216" t="str">
        <f t="shared" si="715"/>
        <v/>
      </c>
      <c r="R7229" s="216" t="str">
        <f t="shared" si="716"/>
        <v/>
      </c>
      <c r="S7229" s="217" t="str">
        <f t="shared" si="717"/>
        <v/>
      </c>
    </row>
    <row r="7230" spans="1:19" ht="39" hidden="1" thickBot="1" x14ac:dyDescent="0.3">
      <c r="A7230" s="257"/>
      <c r="B7230" s="260"/>
      <c r="C7230" s="35" t="s">
        <v>2897</v>
      </c>
      <c r="D7230" s="46" t="s">
        <v>87</v>
      </c>
      <c r="E7230" s="36">
        <v>1.9199999999999998E-2</v>
      </c>
      <c r="F7230" s="30">
        <v>838.58271563799997</v>
      </c>
      <c r="G7230" s="53">
        <f t="shared" si="718"/>
        <v>16.100788140249598</v>
      </c>
      <c r="H7230" s="38">
        <f>SUM(G7230:G7232)</f>
        <v>47.417608440249602</v>
      </c>
      <c r="I7230" s="39"/>
      <c r="J7230" s="152">
        <v>0</v>
      </c>
      <c r="L7230" s="215">
        <v>1.9199999999999998E-2</v>
      </c>
      <c r="M7230" s="30">
        <v>717.82680458612799</v>
      </c>
      <c r="N7230" s="53">
        <f t="shared" si="719"/>
        <v>13.782274648053656</v>
      </c>
      <c r="O7230" s="38">
        <f>SUM(N7230:N7232)</f>
        <v>40.589472824853658</v>
      </c>
      <c r="P7230" s="36" t="str">
        <f t="shared" si="714"/>
        <v/>
      </c>
      <c r="Q7230" s="216">
        <f t="shared" si="715"/>
        <v>0.14400000000000002</v>
      </c>
      <c r="R7230" s="216">
        <f t="shared" si="716"/>
        <v>0.14400000000000002</v>
      </c>
      <c r="S7230" s="217">
        <f t="shared" si="717"/>
        <v>0.14400000000000002</v>
      </c>
    </row>
    <row r="7231" spans="1:19" ht="15.75" hidden="1" thickBot="1" x14ac:dyDescent="0.3">
      <c r="A7231" s="257"/>
      <c r="B7231" s="260"/>
      <c r="C7231" s="35" t="s">
        <v>1017</v>
      </c>
      <c r="D7231" s="35" t="s">
        <v>583</v>
      </c>
      <c r="E7231" s="36">
        <v>0.63370000000000004</v>
      </c>
      <c r="F7231" s="30">
        <v>21.584</v>
      </c>
      <c r="G7231" s="53">
        <f t="shared" si="718"/>
        <v>13.677780800000001</v>
      </c>
      <c r="H7231" s="43"/>
      <c r="I7231" s="39"/>
      <c r="J7231" s="152">
        <v>0</v>
      </c>
      <c r="L7231" s="215">
        <v>0.63370000000000004</v>
      </c>
      <c r="M7231" s="30">
        <v>18.475904</v>
      </c>
      <c r="N7231" s="53">
        <f t="shared" si="719"/>
        <v>11.7081803648</v>
      </c>
      <c r="O7231" s="43"/>
      <c r="P7231" s="36" t="str">
        <f t="shared" si="714"/>
        <v/>
      </c>
      <c r="Q7231" s="216">
        <f t="shared" si="715"/>
        <v>0.14400000000000002</v>
      </c>
      <c r="R7231" s="216">
        <f t="shared" si="716"/>
        <v>0.14400000000000002</v>
      </c>
      <c r="S7231" s="217" t="str">
        <f t="shared" si="717"/>
        <v/>
      </c>
    </row>
    <row r="7232" spans="1:19" ht="15.75" hidden="1" thickBot="1" x14ac:dyDescent="0.3">
      <c r="A7232" s="257"/>
      <c r="B7232" s="260"/>
      <c r="C7232" s="35" t="s">
        <v>1018</v>
      </c>
      <c r="D7232" s="35" t="s">
        <v>583</v>
      </c>
      <c r="E7232" s="36">
        <v>0.63370000000000004</v>
      </c>
      <c r="F7232" s="30">
        <v>27.835000000000001</v>
      </c>
      <c r="G7232" s="53">
        <f t="shared" si="718"/>
        <v>17.639039500000003</v>
      </c>
      <c r="H7232" s="43"/>
      <c r="I7232" s="39"/>
      <c r="J7232" s="152">
        <v>0</v>
      </c>
      <c r="L7232" s="215">
        <v>0.63370000000000004</v>
      </c>
      <c r="M7232" s="30">
        <v>23.82676</v>
      </c>
      <c r="N7232" s="53">
        <f t="shared" si="719"/>
        <v>15.099017812000001</v>
      </c>
      <c r="O7232" s="43"/>
      <c r="P7232" s="36" t="str">
        <f t="shared" si="714"/>
        <v/>
      </c>
      <c r="Q7232" s="216">
        <f t="shared" si="715"/>
        <v>0.14400000000000002</v>
      </c>
      <c r="R7232" s="216">
        <f t="shared" si="716"/>
        <v>0.14400000000000002</v>
      </c>
      <c r="S7232" s="217" t="str">
        <f t="shared" si="717"/>
        <v/>
      </c>
    </row>
    <row r="7233" spans="1:19" ht="15.75" hidden="1" thickBot="1" x14ac:dyDescent="0.3">
      <c r="A7233" s="258"/>
      <c r="B7233" s="261"/>
      <c r="C7233" s="35"/>
      <c r="D7233" s="35"/>
      <c r="E7233" s="36"/>
      <c r="F7233" s="30" t="s">
        <v>416</v>
      </c>
      <c r="G7233" s="53"/>
      <c r="H7233" s="43"/>
      <c r="I7233" s="39"/>
      <c r="J7233" s="152">
        <v>0</v>
      </c>
      <c r="L7233" s="215"/>
      <c r="M7233" s="30"/>
      <c r="N7233" s="53"/>
      <c r="O7233" s="43"/>
      <c r="P7233" s="36" t="str">
        <f t="shared" si="714"/>
        <v/>
      </c>
      <c r="Q7233" s="216" t="str">
        <f t="shared" si="715"/>
        <v/>
      </c>
      <c r="R7233" s="216" t="str">
        <f t="shared" si="716"/>
        <v/>
      </c>
      <c r="S7233" s="217" t="str">
        <f t="shared" si="717"/>
        <v/>
      </c>
    </row>
    <row r="7234" spans="1:19" ht="15.75" hidden="1" thickBot="1" x14ac:dyDescent="0.3">
      <c r="A7234" s="256" t="s">
        <v>6513</v>
      </c>
      <c r="B7234" s="259" t="str">
        <f>INDEX(Orçamentária!A:B,MATCH(Composições!A7234,Orçamentária!A:A,0),2)</f>
        <v>Condulete de alumínio de 3"</v>
      </c>
      <c r="C7234" s="40"/>
      <c r="D7234" s="25" t="s">
        <v>16</v>
      </c>
      <c r="E7234" s="26"/>
      <c r="F7234" s="48" t="s">
        <v>416</v>
      </c>
      <c r="G7234" s="27" t="str">
        <f t="shared" ref="G7234:G7297" si="720">IF(ISNUMBER(F7234),E7234*F7234,"")</f>
        <v/>
      </c>
      <c r="H7234" s="28"/>
      <c r="I7234" s="29"/>
      <c r="J7234" s="152">
        <v>0</v>
      </c>
      <c r="L7234" s="218"/>
      <c r="M7234" s="48"/>
      <c r="N7234" s="27" t="str">
        <f t="shared" ref="N7234:N7297" si="721">IF(ISNUMBER(M7234),L7234*M7234,"")</f>
        <v/>
      </c>
      <c r="O7234" s="28"/>
      <c r="P7234" s="36" t="str">
        <f t="shared" si="714"/>
        <v/>
      </c>
      <c r="Q7234" s="216" t="str">
        <f t="shared" si="715"/>
        <v/>
      </c>
      <c r="R7234" s="216" t="str">
        <f t="shared" si="716"/>
        <v/>
      </c>
      <c r="S7234" s="217" t="str">
        <f t="shared" si="717"/>
        <v/>
      </c>
    </row>
    <row r="7235" spans="1:19" ht="15.75" hidden="1" thickBot="1" x14ac:dyDescent="0.3">
      <c r="A7235" s="257"/>
      <c r="B7235" s="260"/>
      <c r="C7235" s="31"/>
      <c r="D7235" s="31"/>
      <c r="E7235" s="32"/>
      <c r="F7235" s="53" t="s">
        <v>416</v>
      </c>
      <c r="G7235" s="53" t="str">
        <f t="shared" si="720"/>
        <v/>
      </c>
      <c r="H7235" s="72"/>
      <c r="I7235" s="73"/>
      <c r="J7235" s="152">
        <v>0</v>
      </c>
      <c r="L7235" s="219"/>
      <c r="M7235" s="53"/>
      <c r="N7235" s="53" t="str">
        <f t="shared" si="721"/>
        <v/>
      </c>
      <c r="O7235" s="72"/>
      <c r="P7235" s="36" t="str">
        <f t="shared" si="714"/>
        <v/>
      </c>
      <c r="Q7235" s="216" t="str">
        <f t="shared" si="715"/>
        <v/>
      </c>
      <c r="R7235" s="216" t="str">
        <f t="shared" si="716"/>
        <v/>
      </c>
      <c r="S7235" s="217" t="str">
        <f t="shared" si="717"/>
        <v/>
      </c>
    </row>
    <row r="7236" spans="1:19" ht="26.25" hidden="1" thickBot="1" x14ac:dyDescent="0.3">
      <c r="A7236" s="257"/>
      <c r="B7236" s="260"/>
      <c r="C7236" s="35" t="s">
        <v>8075</v>
      </c>
      <c r="D7236" s="35" t="s">
        <v>213</v>
      </c>
      <c r="E7236" s="36">
        <v>1</v>
      </c>
      <c r="F7236" s="30">
        <v>99.189499999999995</v>
      </c>
      <c r="G7236" s="53">
        <f t="shared" si="720"/>
        <v>99.189499999999995</v>
      </c>
      <c r="H7236" s="38">
        <f>SUM(G7236:G7239)</f>
        <v>125.2379699</v>
      </c>
      <c r="I7236" s="39"/>
      <c r="J7236" s="152">
        <v>0</v>
      </c>
      <c r="L7236" s="215">
        <v>1</v>
      </c>
      <c r="M7236" s="30">
        <v>84.906211999999996</v>
      </c>
      <c r="N7236" s="53">
        <f t="shared" si="721"/>
        <v>84.906211999999996</v>
      </c>
      <c r="O7236" s="38">
        <f>SUM(N7236:N7239)</f>
        <v>107.2037022344</v>
      </c>
      <c r="P7236" s="36" t="str">
        <f t="shared" si="714"/>
        <v/>
      </c>
      <c r="Q7236" s="216">
        <f t="shared" si="715"/>
        <v>0.14400000000000002</v>
      </c>
      <c r="R7236" s="216">
        <f t="shared" si="716"/>
        <v>0.14400000000000002</v>
      </c>
      <c r="S7236" s="217">
        <f t="shared" si="717"/>
        <v>0.14400000000000002</v>
      </c>
    </row>
    <row r="7237" spans="1:19" ht="39" hidden="1" thickBot="1" x14ac:dyDescent="0.3">
      <c r="A7237" s="257"/>
      <c r="B7237" s="260"/>
      <c r="C7237" s="35" t="s">
        <v>8010</v>
      </c>
      <c r="D7237" s="35" t="s">
        <v>213</v>
      </c>
      <c r="E7237" s="36">
        <v>2</v>
      </c>
      <c r="F7237" s="33">
        <v>0.3705</v>
      </c>
      <c r="G7237" s="33">
        <f t="shared" si="720"/>
        <v>0.74099999999999999</v>
      </c>
      <c r="H7237" s="34"/>
      <c r="I7237" s="30"/>
      <c r="J7237" s="152">
        <v>0</v>
      </c>
      <c r="L7237" s="215">
        <v>2</v>
      </c>
      <c r="M7237" s="33">
        <v>0.31714799999999999</v>
      </c>
      <c r="N7237" s="33">
        <f t="shared" si="721"/>
        <v>0.63429599999999997</v>
      </c>
      <c r="O7237" s="34"/>
      <c r="P7237" s="36" t="str">
        <f t="shared" si="714"/>
        <v/>
      </c>
      <c r="Q7237" s="216">
        <f t="shared" si="715"/>
        <v>0.14400000000000002</v>
      </c>
      <c r="R7237" s="216">
        <f t="shared" si="716"/>
        <v>0.14400000000000002</v>
      </c>
      <c r="S7237" s="217" t="str">
        <f t="shared" si="717"/>
        <v/>
      </c>
    </row>
    <row r="7238" spans="1:19" ht="15.75" hidden="1" thickBot="1" x14ac:dyDescent="0.3">
      <c r="A7238" s="257"/>
      <c r="B7238" s="260"/>
      <c r="C7238" s="35" t="s">
        <v>1017</v>
      </c>
      <c r="D7238" s="35" t="s">
        <v>583</v>
      </c>
      <c r="E7238" s="36">
        <v>0.5121</v>
      </c>
      <c r="F7238" s="30">
        <v>21.584</v>
      </c>
      <c r="G7238" s="53">
        <f t="shared" si="720"/>
        <v>11.0531664</v>
      </c>
      <c r="H7238" s="43"/>
      <c r="I7238" s="39"/>
      <c r="J7238" s="152">
        <v>0</v>
      </c>
      <c r="L7238" s="215">
        <v>0.5121</v>
      </c>
      <c r="M7238" s="30">
        <v>18.475904</v>
      </c>
      <c r="N7238" s="53">
        <f t="shared" si="721"/>
        <v>9.4615104383999995</v>
      </c>
      <c r="O7238" s="43"/>
      <c r="P7238" s="36" t="str">
        <f t="shared" si="714"/>
        <v/>
      </c>
      <c r="Q7238" s="216">
        <f t="shared" si="715"/>
        <v>0.14400000000000002</v>
      </c>
      <c r="R7238" s="216">
        <f t="shared" si="716"/>
        <v>0.14400000000000002</v>
      </c>
      <c r="S7238" s="217" t="str">
        <f t="shared" si="717"/>
        <v/>
      </c>
    </row>
    <row r="7239" spans="1:19" ht="15.75" hidden="1" thickBot="1" x14ac:dyDescent="0.3">
      <c r="A7239" s="257"/>
      <c r="B7239" s="260"/>
      <c r="C7239" s="35" t="s">
        <v>1018</v>
      </c>
      <c r="D7239" s="35" t="s">
        <v>583</v>
      </c>
      <c r="E7239" s="36">
        <v>0.5121</v>
      </c>
      <c r="F7239" s="30">
        <v>27.835000000000001</v>
      </c>
      <c r="G7239" s="53">
        <f t="shared" si="720"/>
        <v>14.254303500000001</v>
      </c>
      <c r="H7239" s="43"/>
      <c r="I7239" s="39"/>
      <c r="J7239" s="152">
        <v>0</v>
      </c>
      <c r="L7239" s="215">
        <v>0.5121</v>
      </c>
      <c r="M7239" s="30">
        <v>23.82676</v>
      </c>
      <c r="N7239" s="53">
        <f t="shared" si="721"/>
        <v>12.201683795999999</v>
      </c>
      <c r="O7239" s="43"/>
      <c r="P7239" s="36" t="str">
        <f t="shared" si="714"/>
        <v/>
      </c>
      <c r="Q7239" s="216">
        <f t="shared" si="715"/>
        <v>0.14400000000000002</v>
      </c>
      <c r="R7239" s="216">
        <f t="shared" si="716"/>
        <v>0.14400000000000013</v>
      </c>
      <c r="S7239" s="217" t="str">
        <f t="shared" si="717"/>
        <v/>
      </c>
    </row>
    <row r="7240" spans="1:19" ht="15.75" hidden="1" thickBot="1" x14ac:dyDescent="0.3">
      <c r="A7240" s="258"/>
      <c r="B7240" s="261"/>
      <c r="C7240" s="54"/>
      <c r="D7240" s="155"/>
      <c r="E7240" s="65"/>
      <c r="F7240" s="75" t="s">
        <v>416</v>
      </c>
      <c r="G7240" s="75" t="str">
        <f t="shared" si="720"/>
        <v/>
      </c>
      <c r="H7240" s="76"/>
      <c r="I7240" s="73"/>
      <c r="J7240" s="152">
        <v>0</v>
      </c>
      <c r="L7240" s="222"/>
      <c r="M7240" s="75"/>
      <c r="N7240" s="75" t="str">
        <f t="shared" si="721"/>
        <v/>
      </c>
      <c r="O7240" s="76"/>
      <c r="P7240" s="36" t="str">
        <f t="shared" ref="P7240:P7303" si="722">IF(ISBLANK(L7240),"",IF($E7240&lt;&gt;L7240,"SIM",""))</f>
        <v/>
      </c>
      <c r="Q7240" s="216" t="str">
        <f t="shared" ref="Q7240:Q7303" si="723">IF(M7240="","",1-M7240/$F7240)</f>
        <v/>
      </c>
      <c r="R7240" s="216" t="str">
        <f t="shared" ref="R7240:R7303" si="724">IF(N7240="","",1-N7240/$G7240)</f>
        <v/>
      </c>
      <c r="S7240" s="217" t="str">
        <f t="shared" ref="S7240:S7303" si="725">IF(O7240="","",1-O7240/$H7240)</f>
        <v/>
      </c>
    </row>
    <row r="7241" spans="1:19" ht="15.75" hidden="1" thickBot="1" x14ac:dyDescent="0.3">
      <c r="A7241" s="256" t="s">
        <v>6540</v>
      </c>
      <c r="B7241" s="259" t="str">
        <f>INDEX(Orçamentária!A:B,MATCH(Composições!A7241,Orçamentária!A:A,0),2)</f>
        <v>Fluido de arrefecimento diluído para motor MTU 16V4000</v>
      </c>
      <c r="C7241" s="40"/>
      <c r="D7241" s="25" t="s">
        <v>6633</v>
      </c>
      <c r="E7241" s="26"/>
      <c r="F7241" s="41" t="s">
        <v>416</v>
      </c>
      <c r="G7241" s="27" t="str">
        <f t="shared" si="720"/>
        <v/>
      </c>
      <c r="H7241" s="28"/>
      <c r="I7241" s="29"/>
      <c r="J7241" s="152">
        <v>0</v>
      </c>
      <c r="L7241" s="218"/>
      <c r="M7241" s="41"/>
      <c r="N7241" s="27" t="str">
        <f t="shared" si="721"/>
        <v/>
      </c>
      <c r="O7241" s="28"/>
      <c r="P7241" s="36" t="str">
        <f t="shared" si="722"/>
        <v/>
      </c>
      <c r="Q7241" s="216" t="str">
        <f t="shared" si="723"/>
        <v/>
      </c>
      <c r="R7241" s="216" t="str">
        <f t="shared" si="724"/>
        <v/>
      </c>
      <c r="S7241" s="217" t="str">
        <f t="shared" si="725"/>
        <v/>
      </c>
    </row>
    <row r="7242" spans="1:19" ht="15.75" hidden="1" thickBot="1" x14ac:dyDescent="0.3">
      <c r="A7242" s="262"/>
      <c r="B7242" s="260"/>
      <c r="C7242" s="31"/>
      <c r="D7242" s="31"/>
      <c r="E7242" s="32"/>
      <c r="F7242" s="42" t="s">
        <v>416</v>
      </c>
      <c r="G7242" s="30" t="str">
        <f t="shared" si="720"/>
        <v/>
      </c>
      <c r="H7242" s="34"/>
      <c r="I7242" s="30"/>
      <c r="J7242" s="152">
        <v>0</v>
      </c>
      <c r="L7242" s="219"/>
      <c r="M7242" s="42"/>
      <c r="N7242" s="30" t="str">
        <f t="shared" si="721"/>
        <v/>
      </c>
      <c r="O7242" s="34"/>
      <c r="P7242" s="36" t="str">
        <f t="shared" si="722"/>
        <v/>
      </c>
      <c r="Q7242" s="216" t="str">
        <f t="shared" si="723"/>
        <v/>
      </c>
      <c r="R7242" s="216" t="str">
        <f t="shared" si="724"/>
        <v/>
      </c>
      <c r="S7242" s="217" t="str">
        <f t="shared" si="725"/>
        <v/>
      </c>
    </row>
    <row r="7243" spans="1:19" ht="15.75" hidden="1" thickBot="1" x14ac:dyDescent="0.3">
      <c r="A7243" s="262"/>
      <c r="B7243" s="260"/>
      <c r="C7243" s="35" t="s">
        <v>6811</v>
      </c>
      <c r="D7243" s="35" t="s">
        <v>75</v>
      </c>
      <c r="E7243" s="36">
        <v>0.91</v>
      </c>
      <c r="F7243" s="30" t="s">
        <v>416</v>
      </c>
      <c r="G7243" s="30" t="str">
        <f t="shared" si="720"/>
        <v/>
      </c>
      <c r="H7243" s="38">
        <f>SUM(G7243:G7244)</f>
        <v>0</v>
      </c>
      <c r="I7243" s="39"/>
      <c r="J7243" s="152">
        <v>0</v>
      </c>
      <c r="L7243" s="215">
        <v>0.91</v>
      </c>
      <c r="M7243" s="30"/>
      <c r="N7243" s="30" t="str">
        <f t="shared" si="721"/>
        <v/>
      </c>
      <c r="O7243" s="38">
        <f>SUM(N7243:N7244)</f>
        <v>0</v>
      </c>
      <c r="P7243" s="36" t="str">
        <f t="shared" si="722"/>
        <v/>
      </c>
      <c r="Q7243" s="216" t="str">
        <f t="shared" si="723"/>
        <v/>
      </c>
      <c r="R7243" s="216" t="str">
        <f t="shared" si="724"/>
        <v/>
      </c>
      <c r="S7243" s="217" t="e">
        <f t="shared" si="725"/>
        <v>#DIV/0!</v>
      </c>
    </row>
    <row r="7244" spans="1:19" ht="15.75" hidden="1" thickBot="1" x14ac:dyDescent="0.3">
      <c r="A7244" s="262"/>
      <c r="B7244" s="260"/>
      <c r="C7244" s="35" t="s">
        <v>6632</v>
      </c>
      <c r="D7244" s="35" t="s">
        <v>75</v>
      </c>
      <c r="E7244" s="36">
        <v>0.09</v>
      </c>
      <c r="F7244" s="30" t="s">
        <v>416</v>
      </c>
      <c r="G7244" s="30" t="str">
        <f t="shared" si="720"/>
        <v/>
      </c>
      <c r="H7244" s="34"/>
      <c r="I7244" s="39"/>
      <c r="J7244" s="152">
        <v>0</v>
      </c>
      <c r="L7244" s="215">
        <v>0.09</v>
      </c>
      <c r="M7244" s="30"/>
      <c r="N7244" s="30" t="str">
        <f t="shared" si="721"/>
        <v/>
      </c>
      <c r="O7244" s="34"/>
      <c r="P7244" s="36" t="str">
        <f t="shared" si="722"/>
        <v/>
      </c>
      <c r="Q7244" s="216" t="str">
        <f t="shared" si="723"/>
        <v/>
      </c>
      <c r="R7244" s="216" t="str">
        <f t="shared" si="724"/>
        <v/>
      </c>
      <c r="S7244" s="217" t="str">
        <f t="shared" si="725"/>
        <v/>
      </c>
    </row>
    <row r="7245" spans="1:19" ht="15.75" hidden="1" thickBot="1" x14ac:dyDescent="0.3">
      <c r="A7245" s="263"/>
      <c r="B7245" s="261"/>
      <c r="C7245" s="35"/>
      <c r="D7245" s="54"/>
      <c r="E7245" s="65"/>
      <c r="F7245" s="66" t="s">
        <v>416</v>
      </c>
      <c r="G7245" s="66" t="str">
        <f t="shared" si="720"/>
        <v/>
      </c>
      <c r="H7245" s="68"/>
      <c r="I7245" s="30"/>
      <c r="J7245" s="152">
        <v>0</v>
      </c>
      <c r="L7245" s="222"/>
      <c r="M7245" s="66"/>
      <c r="N7245" s="66" t="str">
        <f t="shared" si="721"/>
        <v/>
      </c>
      <c r="O7245" s="68"/>
      <c r="P7245" s="36" t="str">
        <f t="shared" si="722"/>
        <v/>
      </c>
      <c r="Q7245" s="216" t="str">
        <f t="shared" si="723"/>
        <v/>
      </c>
      <c r="R7245" s="216" t="str">
        <f t="shared" si="724"/>
        <v/>
      </c>
      <c r="S7245" s="217" t="str">
        <f t="shared" si="725"/>
        <v/>
      </c>
    </row>
    <row r="7246" spans="1:19" ht="15.75" hidden="1" thickBot="1" x14ac:dyDescent="0.3">
      <c r="A7246" s="256" t="s">
        <v>6548</v>
      </c>
      <c r="B7246" s="259" t="str">
        <f>INDEX(Orçamentária!A:B,MATCH(Composições!A7246,Orçamentária!A:A,0),2)</f>
        <v>Fluido de arrefecimento diluído para motor Cummins NTA 855</v>
      </c>
      <c r="C7246" s="40"/>
      <c r="D7246" s="25" t="s">
        <v>6633</v>
      </c>
      <c r="E7246" s="26"/>
      <c r="F7246" s="41" t="s">
        <v>416</v>
      </c>
      <c r="G7246" s="27" t="str">
        <f t="shared" si="720"/>
        <v/>
      </c>
      <c r="H7246" s="28"/>
      <c r="I7246" s="29"/>
      <c r="J7246" s="152">
        <v>0</v>
      </c>
      <c r="L7246" s="218"/>
      <c r="M7246" s="41"/>
      <c r="N7246" s="27" t="str">
        <f t="shared" si="721"/>
        <v/>
      </c>
      <c r="O7246" s="28"/>
      <c r="P7246" s="36" t="str">
        <f t="shared" si="722"/>
        <v/>
      </c>
      <c r="Q7246" s="216" t="str">
        <f t="shared" si="723"/>
        <v/>
      </c>
      <c r="R7246" s="216" t="str">
        <f t="shared" si="724"/>
        <v/>
      </c>
      <c r="S7246" s="217" t="str">
        <f t="shared" si="725"/>
        <v/>
      </c>
    </row>
    <row r="7247" spans="1:19" ht="15.75" hidden="1" thickBot="1" x14ac:dyDescent="0.3">
      <c r="A7247" s="262"/>
      <c r="B7247" s="260"/>
      <c r="C7247" s="31"/>
      <c r="D7247" s="31"/>
      <c r="E7247" s="32"/>
      <c r="F7247" s="42" t="s">
        <v>416</v>
      </c>
      <c r="G7247" s="30" t="str">
        <f t="shared" si="720"/>
        <v/>
      </c>
      <c r="H7247" s="34"/>
      <c r="I7247" s="30"/>
      <c r="J7247" s="152">
        <v>0</v>
      </c>
      <c r="L7247" s="219"/>
      <c r="M7247" s="42"/>
      <c r="N7247" s="30" t="str">
        <f t="shared" si="721"/>
        <v/>
      </c>
      <c r="O7247" s="34"/>
      <c r="P7247" s="36" t="str">
        <f t="shared" si="722"/>
        <v/>
      </c>
      <c r="Q7247" s="216" t="str">
        <f t="shared" si="723"/>
        <v/>
      </c>
      <c r="R7247" s="216" t="str">
        <f t="shared" si="724"/>
        <v/>
      </c>
      <c r="S7247" s="217" t="str">
        <f t="shared" si="725"/>
        <v/>
      </c>
    </row>
    <row r="7248" spans="1:19" ht="15.75" hidden="1" thickBot="1" x14ac:dyDescent="0.3">
      <c r="A7248" s="262"/>
      <c r="B7248" s="260"/>
      <c r="C7248" s="35" t="s">
        <v>6811</v>
      </c>
      <c r="D7248" s="35" t="s">
        <v>75</v>
      </c>
      <c r="E7248" s="36">
        <v>0.96</v>
      </c>
      <c r="F7248" s="30" t="s">
        <v>416</v>
      </c>
      <c r="G7248" s="30" t="str">
        <f t="shared" si="720"/>
        <v/>
      </c>
      <c r="H7248" s="38">
        <f>SUM(G7248:G7249)</f>
        <v>0</v>
      </c>
      <c r="I7248" s="39"/>
      <c r="J7248" s="152">
        <v>0</v>
      </c>
      <c r="L7248" s="215">
        <v>0.96</v>
      </c>
      <c r="M7248" s="30"/>
      <c r="N7248" s="30" t="str">
        <f t="shared" si="721"/>
        <v/>
      </c>
      <c r="O7248" s="38">
        <f>SUM(N7248:N7249)</f>
        <v>0</v>
      </c>
      <c r="P7248" s="36" t="str">
        <f t="shared" si="722"/>
        <v/>
      </c>
      <c r="Q7248" s="216" t="str">
        <f t="shared" si="723"/>
        <v/>
      </c>
      <c r="R7248" s="216" t="str">
        <f t="shared" si="724"/>
        <v/>
      </c>
      <c r="S7248" s="217" t="e">
        <f t="shared" si="725"/>
        <v>#DIV/0!</v>
      </c>
    </row>
    <row r="7249" spans="1:19" ht="15.75" hidden="1" thickBot="1" x14ac:dyDescent="0.3">
      <c r="A7249" s="262"/>
      <c r="B7249" s="260"/>
      <c r="C7249" s="35" t="s">
        <v>6641</v>
      </c>
      <c r="D7249" s="35" t="s">
        <v>75</v>
      </c>
      <c r="E7249" s="36">
        <v>0.04</v>
      </c>
      <c r="F7249" s="30" t="s">
        <v>416</v>
      </c>
      <c r="G7249" s="30" t="str">
        <f t="shared" si="720"/>
        <v/>
      </c>
      <c r="H7249" s="34"/>
      <c r="I7249" s="39"/>
      <c r="J7249" s="152">
        <v>0</v>
      </c>
      <c r="L7249" s="215">
        <v>0.04</v>
      </c>
      <c r="M7249" s="30"/>
      <c r="N7249" s="30" t="str">
        <f t="shared" si="721"/>
        <v/>
      </c>
      <c r="O7249" s="34"/>
      <c r="P7249" s="36" t="str">
        <f t="shared" si="722"/>
        <v/>
      </c>
      <c r="Q7249" s="216" t="str">
        <f t="shared" si="723"/>
        <v/>
      </c>
      <c r="R7249" s="216" t="str">
        <f t="shared" si="724"/>
        <v/>
      </c>
      <c r="S7249" s="217" t="str">
        <f t="shared" si="725"/>
        <v/>
      </c>
    </row>
    <row r="7250" spans="1:19" ht="15.75" hidden="1" thickBot="1" x14ac:dyDescent="0.3">
      <c r="A7250" s="263"/>
      <c r="B7250" s="261"/>
      <c r="C7250" s="35"/>
      <c r="D7250" s="54"/>
      <c r="E7250" s="65"/>
      <c r="F7250" s="66" t="s">
        <v>416</v>
      </c>
      <c r="G7250" s="66" t="str">
        <f t="shared" si="720"/>
        <v/>
      </c>
      <c r="H7250" s="68"/>
      <c r="I7250" s="30"/>
      <c r="J7250" s="152">
        <v>0</v>
      </c>
      <c r="L7250" s="222"/>
      <c r="M7250" s="66"/>
      <c r="N7250" s="66" t="str">
        <f t="shared" si="721"/>
        <v/>
      </c>
      <c r="O7250" s="68"/>
      <c r="P7250" s="36" t="str">
        <f t="shared" si="722"/>
        <v/>
      </c>
      <c r="Q7250" s="216" t="str">
        <f t="shared" si="723"/>
        <v/>
      </c>
      <c r="R7250" s="216" t="str">
        <f t="shared" si="724"/>
        <v/>
      </c>
      <c r="S7250" s="217" t="str">
        <f t="shared" si="725"/>
        <v/>
      </c>
    </row>
    <row r="7251" spans="1:19" ht="15.75" hidden="1" thickBot="1" x14ac:dyDescent="0.3">
      <c r="A7251" s="256" t="s">
        <v>6561</v>
      </c>
      <c r="B7251" s="259" t="str">
        <f>INDEX(Orçamentária!A:B,MATCH(Composições!A7251,Orçamentária!A:A,0),2)</f>
        <v>Fluido de arrefecimento diluído para motor Mercedes-Benz OM 447 LA</v>
      </c>
      <c r="C7251" s="40"/>
      <c r="D7251" s="25" t="s">
        <v>6633</v>
      </c>
      <c r="E7251" s="26"/>
      <c r="F7251" s="41" t="s">
        <v>416</v>
      </c>
      <c r="G7251" s="27" t="str">
        <f t="shared" si="720"/>
        <v/>
      </c>
      <c r="H7251" s="28"/>
      <c r="I7251" s="29"/>
      <c r="J7251" s="152">
        <v>0</v>
      </c>
      <c r="L7251" s="218"/>
      <c r="M7251" s="41"/>
      <c r="N7251" s="27" t="str">
        <f t="shared" si="721"/>
        <v/>
      </c>
      <c r="O7251" s="28"/>
      <c r="P7251" s="36" t="str">
        <f t="shared" si="722"/>
        <v/>
      </c>
      <c r="Q7251" s="216" t="str">
        <f t="shared" si="723"/>
        <v/>
      </c>
      <c r="R7251" s="216" t="str">
        <f t="shared" si="724"/>
        <v/>
      </c>
      <c r="S7251" s="217" t="str">
        <f t="shared" si="725"/>
        <v/>
      </c>
    </row>
    <row r="7252" spans="1:19" ht="15.75" hidden="1" thickBot="1" x14ac:dyDescent="0.3">
      <c r="A7252" s="262"/>
      <c r="B7252" s="260"/>
      <c r="C7252" s="31"/>
      <c r="D7252" s="31"/>
      <c r="E7252" s="32"/>
      <c r="F7252" s="42" t="s">
        <v>416</v>
      </c>
      <c r="G7252" s="33" t="str">
        <f t="shared" si="720"/>
        <v/>
      </c>
      <c r="H7252" s="34"/>
      <c r="I7252" s="30"/>
      <c r="J7252" s="152">
        <v>0</v>
      </c>
      <c r="L7252" s="219"/>
      <c r="M7252" s="42"/>
      <c r="N7252" s="33" t="str">
        <f t="shared" si="721"/>
        <v/>
      </c>
      <c r="O7252" s="34"/>
      <c r="P7252" s="36" t="str">
        <f t="shared" si="722"/>
        <v/>
      </c>
      <c r="Q7252" s="216" t="str">
        <f t="shared" si="723"/>
        <v/>
      </c>
      <c r="R7252" s="216" t="str">
        <f t="shared" si="724"/>
        <v/>
      </c>
      <c r="S7252" s="217" t="str">
        <f t="shared" si="725"/>
        <v/>
      </c>
    </row>
    <row r="7253" spans="1:19" ht="15.75" hidden="1" thickBot="1" x14ac:dyDescent="0.3">
      <c r="A7253" s="262"/>
      <c r="B7253" s="260"/>
      <c r="C7253" s="35" t="s">
        <v>6811</v>
      </c>
      <c r="D7253" s="35" t="s">
        <v>75</v>
      </c>
      <c r="E7253" s="36">
        <v>0.5</v>
      </c>
      <c r="F7253" s="30" t="s">
        <v>416</v>
      </c>
      <c r="G7253" s="33" t="str">
        <f t="shared" si="720"/>
        <v/>
      </c>
      <c r="H7253" s="38">
        <f>SUM(G7253:G7254)</f>
        <v>0</v>
      </c>
      <c r="I7253" s="39"/>
      <c r="J7253" s="152">
        <v>0</v>
      </c>
      <c r="L7253" s="215">
        <v>0.5</v>
      </c>
      <c r="M7253" s="30"/>
      <c r="N7253" s="33" t="str">
        <f t="shared" si="721"/>
        <v/>
      </c>
      <c r="O7253" s="38">
        <f>SUM(N7253:N7254)</f>
        <v>0</v>
      </c>
      <c r="P7253" s="36" t="str">
        <f t="shared" si="722"/>
        <v/>
      </c>
      <c r="Q7253" s="216" t="str">
        <f t="shared" si="723"/>
        <v/>
      </c>
      <c r="R7253" s="216" t="str">
        <f t="shared" si="724"/>
        <v/>
      </c>
      <c r="S7253" s="217" t="e">
        <f t="shared" si="725"/>
        <v>#DIV/0!</v>
      </c>
    </row>
    <row r="7254" spans="1:19" ht="15.75" hidden="1" thickBot="1" x14ac:dyDescent="0.3">
      <c r="A7254" s="262"/>
      <c r="B7254" s="260"/>
      <c r="C7254" s="35" t="s">
        <v>6654</v>
      </c>
      <c r="D7254" s="35" t="s">
        <v>75</v>
      </c>
      <c r="E7254" s="36">
        <v>0.5</v>
      </c>
      <c r="F7254" s="30" t="s">
        <v>416</v>
      </c>
      <c r="G7254" s="30" t="str">
        <f t="shared" si="720"/>
        <v/>
      </c>
      <c r="H7254" s="34"/>
      <c r="I7254" s="39"/>
      <c r="J7254" s="152">
        <v>0</v>
      </c>
      <c r="L7254" s="215">
        <v>0.5</v>
      </c>
      <c r="M7254" s="30"/>
      <c r="N7254" s="30" t="str">
        <f t="shared" si="721"/>
        <v/>
      </c>
      <c r="O7254" s="34"/>
      <c r="P7254" s="36" t="str">
        <f t="shared" si="722"/>
        <v/>
      </c>
      <c r="Q7254" s="216" t="str">
        <f t="shared" si="723"/>
        <v/>
      </c>
      <c r="R7254" s="216" t="str">
        <f t="shared" si="724"/>
        <v/>
      </c>
      <c r="S7254" s="217" t="str">
        <f t="shared" si="725"/>
        <v/>
      </c>
    </row>
    <row r="7255" spans="1:19" ht="15.75" hidden="1" thickBot="1" x14ac:dyDescent="0.3">
      <c r="A7255" s="263"/>
      <c r="B7255" s="261"/>
      <c r="C7255" s="54"/>
      <c r="D7255" s="35"/>
      <c r="E7255" s="36"/>
      <c r="F7255" s="30" t="s">
        <v>416</v>
      </c>
      <c r="G7255" s="33" t="str">
        <f t="shared" si="720"/>
        <v/>
      </c>
      <c r="H7255" s="34"/>
      <c r="I7255" s="30"/>
      <c r="J7255" s="152">
        <v>0</v>
      </c>
      <c r="L7255" s="215"/>
      <c r="M7255" s="30"/>
      <c r="N7255" s="33" t="str">
        <f t="shared" si="721"/>
        <v/>
      </c>
      <c r="O7255" s="34"/>
      <c r="P7255" s="36" t="str">
        <f t="shared" si="722"/>
        <v/>
      </c>
      <c r="Q7255" s="216" t="str">
        <f t="shared" si="723"/>
        <v/>
      </c>
      <c r="R7255" s="216" t="str">
        <f t="shared" si="724"/>
        <v/>
      </c>
      <c r="S7255" s="217" t="str">
        <f t="shared" si="725"/>
        <v/>
      </c>
    </row>
    <row r="7256" spans="1:19" ht="15.75" hidden="1" thickBot="1" x14ac:dyDescent="0.3">
      <c r="A7256" s="256" t="s">
        <v>6678</v>
      </c>
      <c r="B7256" s="259" t="str">
        <f>INDEX(Orçamentária!A:B,MATCH(Composições!A7256,Orçamentária!A:A,0),2)</f>
        <v>Cotovelo BSP 1 1/2” para filtro de óleo diesel</v>
      </c>
      <c r="C7256" s="40"/>
      <c r="D7256" s="25" t="s">
        <v>16</v>
      </c>
      <c r="E7256" s="26"/>
      <c r="F7256" s="41" t="s">
        <v>416</v>
      </c>
      <c r="G7256" s="27" t="str">
        <f t="shared" si="720"/>
        <v/>
      </c>
      <c r="H7256" s="28"/>
      <c r="I7256" s="29"/>
      <c r="J7256" s="152">
        <v>0</v>
      </c>
      <c r="L7256" s="218"/>
      <c r="M7256" s="41"/>
      <c r="N7256" s="27" t="str">
        <f t="shared" si="721"/>
        <v/>
      </c>
      <c r="O7256" s="28"/>
      <c r="P7256" s="36" t="str">
        <f t="shared" si="722"/>
        <v/>
      </c>
      <c r="Q7256" s="216" t="str">
        <f t="shared" si="723"/>
        <v/>
      </c>
      <c r="R7256" s="216" t="str">
        <f t="shared" si="724"/>
        <v/>
      </c>
      <c r="S7256" s="217" t="str">
        <f t="shared" si="725"/>
        <v/>
      </c>
    </row>
    <row r="7257" spans="1:19" ht="15.75" hidden="1" thickBot="1" x14ac:dyDescent="0.3">
      <c r="A7257" s="262"/>
      <c r="B7257" s="260"/>
      <c r="C7257" s="31"/>
      <c r="D7257" s="31"/>
      <c r="E7257" s="32"/>
      <c r="F7257" s="42" t="s">
        <v>416</v>
      </c>
      <c r="G7257" s="30" t="str">
        <f t="shared" si="720"/>
        <v/>
      </c>
      <c r="H7257" s="34"/>
      <c r="I7257" s="30"/>
      <c r="J7257" s="152">
        <v>0</v>
      </c>
      <c r="L7257" s="219"/>
      <c r="M7257" s="42"/>
      <c r="N7257" s="30" t="str">
        <f t="shared" si="721"/>
        <v/>
      </c>
      <c r="O7257" s="34"/>
      <c r="P7257" s="36" t="str">
        <f t="shared" si="722"/>
        <v/>
      </c>
      <c r="Q7257" s="216" t="str">
        <f t="shared" si="723"/>
        <v/>
      </c>
      <c r="R7257" s="216" t="str">
        <f t="shared" si="724"/>
        <v/>
      </c>
      <c r="S7257" s="217" t="str">
        <f t="shared" si="725"/>
        <v/>
      </c>
    </row>
    <row r="7258" spans="1:19" ht="26.25" hidden="1" thickBot="1" x14ac:dyDescent="0.3">
      <c r="A7258" s="262"/>
      <c r="B7258" s="260"/>
      <c r="C7258" s="35" t="s">
        <v>8101</v>
      </c>
      <c r="D7258" s="35" t="s">
        <v>213</v>
      </c>
      <c r="E7258" s="36">
        <v>1</v>
      </c>
      <c r="F7258" s="30">
        <v>40.403500000000001</v>
      </c>
      <c r="G7258" s="30">
        <f t="shared" si="720"/>
        <v>40.403500000000001</v>
      </c>
      <c r="H7258" s="38">
        <f>SUM(G7258:G7258)</f>
        <v>40.403500000000001</v>
      </c>
      <c r="I7258" s="39"/>
      <c r="J7258" s="152">
        <v>0</v>
      </c>
      <c r="L7258" s="215">
        <v>1</v>
      </c>
      <c r="M7258" s="30">
        <v>34.585396000000003</v>
      </c>
      <c r="N7258" s="30">
        <f t="shared" si="721"/>
        <v>34.585396000000003</v>
      </c>
      <c r="O7258" s="38">
        <f>SUM(N7258:N7258)</f>
        <v>34.585396000000003</v>
      </c>
      <c r="P7258" s="36" t="str">
        <f t="shared" si="722"/>
        <v/>
      </c>
      <c r="Q7258" s="216">
        <f t="shared" si="723"/>
        <v>0.14399999999999991</v>
      </c>
      <c r="R7258" s="216">
        <f t="shared" si="724"/>
        <v>0.14399999999999991</v>
      </c>
      <c r="S7258" s="217">
        <f t="shared" si="725"/>
        <v>0.14399999999999991</v>
      </c>
    </row>
    <row r="7259" spans="1:19" ht="15.75" hidden="1" thickBot="1" x14ac:dyDescent="0.3">
      <c r="A7259" s="263"/>
      <c r="B7259" s="261"/>
      <c r="C7259" s="54"/>
      <c r="D7259" s="54"/>
      <c r="E7259" s="65"/>
      <c r="F7259" s="66" t="s">
        <v>416</v>
      </c>
      <c r="G7259" s="66" t="str">
        <f t="shared" si="720"/>
        <v/>
      </c>
      <c r="H7259" s="68"/>
      <c r="I7259" s="30"/>
      <c r="J7259" s="152">
        <v>0</v>
      </c>
      <c r="L7259" s="222"/>
      <c r="M7259" s="66"/>
      <c r="N7259" s="66" t="str">
        <f t="shared" si="721"/>
        <v/>
      </c>
      <c r="O7259" s="68"/>
      <c r="P7259" s="36" t="str">
        <f t="shared" si="722"/>
        <v/>
      </c>
      <c r="Q7259" s="216" t="str">
        <f t="shared" si="723"/>
        <v/>
      </c>
      <c r="R7259" s="216" t="str">
        <f t="shared" si="724"/>
        <v/>
      </c>
      <c r="S7259" s="217" t="str">
        <f t="shared" si="725"/>
        <v/>
      </c>
    </row>
    <row r="7260" spans="1:19" ht="15.75" hidden="1" thickBot="1" x14ac:dyDescent="0.3">
      <c r="A7260" s="256" t="s">
        <v>6684</v>
      </c>
      <c r="B7260" s="259" t="str">
        <f>INDEX(Orçamentária!A:B,MATCH(Composições!A7260,Orçamentária!A:A,0),2)</f>
        <v>União BSP 1 1/2” para filtro de óleo diesel</v>
      </c>
      <c r="C7260" s="40"/>
      <c r="D7260" s="25" t="s">
        <v>16</v>
      </c>
      <c r="E7260" s="26"/>
      <c r="F7260" s="41" t="s">
        <v>416</v>
      </c>
      <c r="G7260" s="27" t="str">
        <f t="shared" si="720"/>
        <v/>
      </c>
      <c r="H7260" s="28"/>
      <c r="I7260" s="29"/>
      <c r="J7260" s="152">
        <v>0</v>
      </c>
      <c r="L7260" s="218"/>
      <c r="M7260" s="41"/>
      <c r="N7260" s="27" t="str">
        <f t="shared" si="721"/>
        <v/>
      </c>
      <c r="O7260" s="28"/>
      <c r="P7260" s="36" t="str">
        <f t="shared" si="722"/>
        <v/>
      </c>
      <c r="Q7260" s="216" t="str">
        <f t="shared" si="723"/>
        <v/>
      </c>
      <c r="R7260" s="216" t="str">
        <f t="shared" si="724"/>
        <v/>
      </c>
      <c r="S7260" s="217" t="str">
        <f t="shared" si="725"/>
        <v/>
      </c>
    </row>
    <row r="7261" spans="1:19" ht="15.75" hidden="1" thickBot="1" x14ac:dyDescent="0.3">
      <c r="A7261" s="262"/>
      <c r="B7261" s="260"/>
      <c r="C7261" s="31"/>
      <c r="D7261" s="31"/>
      <c r="E7261" s="32"/>
      <c r="F7261" s="42" t="s">
        <v>416</v>
      </c>
      <c r="G7261" s="30" t="str">
        <f t="shared" si="720"/>
        <v/>
      </c>
      <c r="H7261" s="34"/>
      <c r="I7261" s="30"/>
      <c r="J7261" s="152">
        <v>0</v>
      </c>
      <c r="L7261" s="219"/>
      <c r="M7261" s="42"/>
      <c r="N7261" s="30" t="str">
        <f t="shared" si="721"/>
        <v/>
      </c>
      <c r="O7261" s="34"/>
      <c r="P7261" s="36" t="str">
        <f t="shared" si="722"/>
        <v/>
      </c>
      <c r="Q7261" s="216" t="str">
        <f t="shared" si="723"/>
        <v/>
      </c>
      <c r="R7261" s="216" t="str">
        <f t="shared" si="724"/>
        <v/>
      </c>
      <c r="S7261" s="217" t="str">
        <f t="shared" si="725"/>
        <v/>
      </c>
    </row>
    <row r="7262" spans="1:19" ht="26.25" hidden="1" thickBot="1" x14ac:dyDescent="0.3">
      <c r="A7262" s="262"/>
      <c r="B7262" s="260"/>
      <c r="C7262" s="35" t="s">
        <v>8483</v>
      </c>
      <c r="D7262" s="35" t="s">
        <v>213</v>
      </c>
      <c r="E7262" s="36">
        <v>1</v>
      </c>
      <c r="F7262" s="30">
        <v>68.989000000000004</v>
      </c>
      <c r="G7262" s="30">
        <f t="shared" si="720"/>
        <v>68.989000000000004</v>
      </c>
      <c r="H7262" s="38">
        <f>SUM(G7262:G7262)</f>
        <v>68.989000000000004</v>
      </c>
      <c r="I7262" s="39"/>
      <c r="J7262" s="152">
        <v>0</v>
      </c>
      <c r="L7262" s="215">
        <v>1</v>
      </c>
      <c r="M7262" s="30">
        <v>59.054584000000006</v>
      </c>
      <c r="N7262" s="30">
        <f t="shared" si="721"/>
        <v>59.054584000000006</v>
      </c>
      <c r="O7262" s="38">
        <f>SUM(N7262:N7262)</f>
        <v>59.054584000000006</v>
      </c>
      <c r="P7262" s="36" t="str">
        <f t="shared" si="722"/>
        <v/>
      </c>
      <c r="Q7262" s="216">
        <f t="shared" si="723"/>
        <v>0.14400000000000002</v>
      </c>
      <c r="R7262" s="216">
        <f t="shared" si="724"/>
        <v>0.14400000000000002</v>
      </c>
      <c r="S7262" s="217">
        <f t="shared" si="725"/>
        <v>0.14400000000000002</v>
      </c>
    </row>
    <row r="7263" spans="1:19" ht="15.75" hidden="1" thickBot="1" x14ac:dyDescent="0.3">
      <c r="A7263" s="263"/>
      <c r="B7263" s="261"/>
      <c r="C7263" s="54"/>
      <c r="D7263" s="54"/>
      <c r="E7263" s="65"/>
      <c r="F7263" s="66" t="s">
        <v>416</v>
      </c>
      <c r="G7263" s="66" t="str">
        <f t="shared" si="720"/>
        <v/>
      </c>
      <c r="H7263" s="68"/>
      <c r="I7263" s="30"/>
      <c r="J7263" s="152">
        <v>0</v>
      </c>
      <c r="L7263" s="222"/>
      <c r="M7263" s="66"/>
      <c r="N7263" s="66" t="str">
        <f t="shared" si="721"/>
        <v/>
      </c>
      <c r="O7263" s="68"/>
      <c r="P7263" s="36" t="str">
        <f t="shared" si="722"/>
        <v/>
      </c>
      <c r="Q7263" s="216" t="str">
        <f t="shared" si="723"/>
        <v/>
      </c>
      <c r="R7263" s="216" t="str">
        <f t="shared" si="724"/>
        <v/>
      </c>
      <c r="S7263" s="217" t="str">
        <f t="shared" si="725"/>
        <v/>
      </c>
    </row>
    <row r="7264" spans="1:19" ht="15.75" hidden="1" thickBot="1" x14ac:dyDescent="0.3">
      <c r="A7264" s="256" t="s">
        <v>6686</v>
      </c>
      <c r="B7264" s="259" t="str">
        <f>INDEX(Orçamentária!A:B,MATCH(Composições!A7264,Orçamentária!A:A,0),2)</f>
        <v>Tubo de aço-carbono 1 1/2” - Filtro de óleo diesel</v>
      </c>
      <c r="C7264" s="40"/>
      <c r="D7264" s="25" t="s">
        <v>69</v>
      </c>
      <c r="E7264" s="26"/>
      <c r="F7264" s="41" t="s">
        <v>416</v>
      </c>
      <c r="G7264" s="27" t="str">
        <f t="shared" si="720"/>
        <v/>
      </c>
      <c r="H7264" s="28"/>
      <c r="I7264" s="29"/>
      <c r="J7264" s="152">
        <v>0</v>
      </c>
      <c r="L7264" s="218"/>
      <c r="M7264" s="41"/>
      <c r="N7264" s="27" t="str">
        <f t="shared" si="721"/>
        <v/>
      </c>
      <c r="O7264" s="28"/>
      <c r="P7264" s="36" t="str">
        <f t="shared" si="722"/>
        <v/>
      </c>
      <c r="Q7264" s="216" t="str">
        <f t="shared" si="723"/>
        <v/>
      </c>
      <c r="R7264" s="216" t="str">
        <f t="shared" si="724"/>
        <v/>
      </c>
      <c r="S7264" s="217" t="str">
        <f t="shared" si="725"/>
        <v/>
      </c>
    </row>
    <row r="7265" spans="1:19" ht="15.75" hidden="1" thickBot="1" x14ac:dyDescent="0.3">
      <c r="A7265" s="262"/>
      <c r="B7265" s="260"/>
      <c r="C7265" s="31"/>
      <c r="D7265" s="31"/>
      <c r="E7265" s="32"/>
      <c r="F7265" s="42" t="s">
        <v>416</v>
      </c>
      <c r="G7265" s="33" t="str">
        <f t="shared" si="720"/>
        <v/>
      </c>
      <c r="H7265" s="34"/>
      <c r="I7265" s="30"/>
      <c r="J7265" s="152">
        <v>0</v>
      </c>
      <c r="L7265" s="219"/>
      <c r="M7265" s="42"/>
      <c r="N7265" s="33" t="str">
        <f t="shared" si="721"/>
        <v/>
      </c>
      <c r="O7265" s="34"/>
      <c r="P7265" s="36" t="str">
        <f t="shared" si="722"/>
        <v/>
      </c>
      <c r="Q7265" s="216" t="str">
        <f t="shared" si="723"/>
        <v/>
      </c>
      <c r="R7265" s="216" t="str">
        <f t="shared" si="724"/>
        <v/>
      </c>
      <c r="S7265" s="217" t="str">
        <f t="shared" si="725"/>
        <v/>
      </c>
    </row>
    <row r="7266" spans="1:19" ht="26.25" hidden="1" thickBot="1" x14ac:dyDescent="0.3">
      <c r="A7266" s="262"/>
      <c r="B7266" s="260"/>
      <c r="C7266" s="35" t="s">
        <v>8561</v>
      </c>
      <c r="D7266" s="35" t="s">
        <v>385</v>
      </c>
      <c r="E7266" s="36">
        <v>1</v>
      </c>
      <c r="F7266" s="30">
        <v>54.786499999999997</v>
      </c>
      <c r="G7266" s="33">
        <f t="shared" si="720"/>
        <v>54.786499999999997</v>
      </c>
      <c r="H7266" s="38">
        <f>SUM(G7266:G7266)</f>
        <v>54.786499999999997</v>
      </c>
      <c r="I7266" s="39"/>
      <c r="J7266" s="152">
        <v>0</v>
      </c>
      <c r="L7266" s="215">
        <v>1</v>
      </c>
      <c r="M7266" s="30">
        <v>46.897244000000001</v>
      </c>
      <c r="N7266" s="33">
        <f t="shared" si="721"/>
        <v>46.897244000000001</v>
      </c>
      <c r="O7266" s="38">
        <f>SUM(N7266:N7266)</f>
        <v>46.897244000000001</v>
      </c>
      <c r="P7266" s="36" t="str">
        <f t="shared" si="722"/>
        <v/>
      </c>
      <c r="Q7266" s="216">
        <f t="shared" si="723"/>
        <v>0.14399999999999991</v>
      </c>
      <c r="R7266" s="216">
        <f t="shared" si="724"/>
        <v>0.14399999999999991</v>
      </c>
      <c r="S7266" s="217">
        <f t="shared" si="725"/>
        <v>0.14399999999999991</v>
      </c>
    </row>
    <row r="7267" spans="1:19" ht="15.75" hidden="1" thickBot="1" x14ac:dyDescent="0.3">
      <c r="A7267" s="263"/>
      <c r="B7267" s="261"/>
      <c r="C7267" s="54"/>
      <c r="D7267" s="35"/>
      <c r="E7267" s="36"/>
      <c r="F7267" s="30" t="s">
        <v>416</v>
      </c>
      <c r="G7267" s="33" t="str">
        <f t="shared" si="720"/>
        <v/>
      </c>
      <c r="H7267" s="34"/>
      <c r="I7267" s="30"/>
      <c r="J7267" s="152">
        <v>0</v>
      </c>
      <c r="L7267" s="215"/>
      <c r="M7267" s="30"/>
      <c r="N7267" s="33" t="str">
        <f t="shared" si="721"/>
        <v/>
      </c>
      <c r="O7267" s="34"/>
      <c r="P7267" s="36" t="str">
        <f t="shared" si="722"/>
        <v/>
      </c>
      <c r="Q7267" s="216" t="str">
        <f t="shared" si="723"/>
        <v/>
      </c>
      <c r="R7267" s="216" t="str">
        <f t="shared" si="724"/>
        <v/>
      </c>
      <c r="S7267" s="217" t="str">
        <f t="shared" si="725"/>
        <v/>
      </c>
    </row>
    <row r="7268" spans="1:19" ht="15.75" hidden="1" thickBot="1" x14ac:dyDescent="0.3">
      <c r="A7268" s="256" t="s">
        <v>6698</v>
      </c>
      <c r="B7268" s="259" t="str">
        <f>INDEX(Orçamentária!A:B,MATCH(Composições!A7268,Orçamentária!A:A,0),2)</f>
        <v>Bloco vazado de concreto simples com 02 furos (19x19x39 - Classe A)</v>
      </c>
      <c r="C7268" s="40"/>
      <c r="D7268" s="25" t="s">
        <v>16</v>
      </c>
      <c r="E7268" s="26"/>
      <c r="F7268" s="41" t="s">
        <v>416</v>
      </c>
      <c r="G7268" s="27" t="str">
        <f t="shared" si="720"/>
        <v/>
      </c>
      <c r="H7268" s="28"/>
      <c r="I7268" s="29"/>
      <c r="J7268" s="152">
        <v>0</v>
      </c>
      <c r="L7268" s="218"/>
      <c r="M7268" s="41"/>
      <c r="N7268" s="27" t="str">
        <f t="shared" si="721"/>
        <v/>
      </c>
      <c r="O7268" s="28"/>
      <c r="P7268" s="36" t="str">
        <f t="shared" si="722"/>
        <v/>
      </c>
      <c r="Q7268" s="216" t="str">
        <f t="shared" si="723"/>
        <v/>
      </c>
      <c r="R7268" s="216" t="str">
        <f t="shared" si="724"/>
        <v/>
      </c>
      <c r="S7268" s="217" t="str">
        <f t="shared" si="725"/>
        <v/>
      </c>
    </row>
    <row r="7269" spans="1:19" ht="15.75" hidden="1" thickBot="1" x14ac:dyDescent="0.3">
      <c r="A7269" s="262"/>
      <c r="B7269" s="260"/>
      <c r="C7269" s="31"/>
      <c r="D7269" s="31"/>
      <c r="E7269" s="32"/>
      <c r="F7269" s="42" t="s">
        <v>416</v>
      </c>
      <c r="G7269" s="30" t="str">
        <f t="shared" si="720"/>
        <v/>
      </c>
      <c r="H7269" s="34"/>
      <c r="I7269" s="30"/>
      <c r="J7269" s="152">
        <v>0</v>
      </c>
      <c r="L7269" s="219"/>
      <c r="M7269" s="42"/>
      <c r="N7269" s="30" t="str">
        <f t="shared" si="721"/>
        <v/>
      </c>
      <c r="O7269" s="34"/>
      <c r="P7269" s="36" t="str">
        <f t="shared" si="722"/>
        <v/>
      </c>
      <c r="Q7269" s="216" t="str">
        <f t="shared" si="723"/>
        <v/>
      </c>
      <c r="R7269" s="216" t="str">
        <f t="shared" si="724"/>
        <v/>
      </c>
      <c r="S7269" s="217" t="str">
        <f t="shared" si="725"/>
        <v/>
      </c>
    </row>
    <row r="7270" spans="1:19" ht="26.25" hidden="1" thickBot="1" x14ac:dyDescent="0.3">
      <c r="A7270" s="262"/>
      <c r="B7270" s="260"/>
      <c r="C7270" s="35" t="s">
        <v>8004</v>
      </c>
      <c r="D7270" s="35" t="s">
        <v>213</v>
      </c>
      <c r="E7270" s="36">
        <v>1</v>
      </c>
      <c r="F7270" s="30">
        <v>5.8425000000000002</v>
      </c>
      <c r="G7270" s="30">
        <f t="shared" si="720"/>
        <v>5.8425000000000002</v>
      </c>
      <c r="H7270" s="38">
        <f>SUM(G7270:G7270)</f>
        <v>5.8425000000000002</v>
      </c>
      <c r="I7270" s="39"/>
      <c r="J7270" s="152">
        <v>0</v>
      </c>
      <c r="L7270" s="215">
        <v>1</v>
      </c>
      <c r="M7270" s="30">
        <v>5.0011800000000006</v>
      </c>
      <c r="N7270" s="30">
        <f t="shared" si="721"/>
        <v>5.0011800000000006</v>
      </c>
      <c r="O7270" s="38">
        <f>SUM(N7270:N7270)</f>
        <v>5.0011800000000006</v>
      </c>
      <c r="P7270" s="36" t="str">
        <f t="shared" si="722"/>
        <v/>
      </c>
      <c r="Q7270" s="216">
        <f t="shared" si="723"/>
        <v>0.14399999999999991</v>
      </c>
      <c r="R7270" s="216">
        <f t="shared" si="724"/>
        <v>0.14399999999999991</v>
      </c>
      <c r="S7270" s="217">
        <f t="shared" si="725"/>
        <v>0.14399999999999991</v>
      </c>
    </row>
    <row r="7271" spans="1:19" ht="15.75" hidden="1" thickBot="1" x14ac:dyDescent="0.3">
      <c r="A7271" s="263"/>
      <c r="B7271" s="261"/>
      <c r="C7271" s="54"/>
      <c r="D7271" s="54"/>
      <c r="E7271" s="65"/>
      <c r="F7271" s="66" t="s">
        <v>416</v>
      </c>
      <c r="G7271" s="66" t="str">
        <f t="shared" si="720"/>
        <v/>
      </c>
      <c r="H7271" s="68"/>
      <c r="I7271" s="30"/>
      <c r="J7271" s="152">
        <v>0</v>
      </c>
      <c r="L7271" s="222"/>
      <c r="M7271" s="66"/>
      <c r="N7271" s="66" t="str">
        <f t="shared" si="721"/>
        <v/>
      </c>
      <c r="O7271" s="68"/>
      <c r="P7271" s="36" t="str">
        <f t="shared" si="722"/>
        <v/>
      </c>
      <c r="Q7271" s="216" t="str">
        <f t="shared" si="723"/>
        <v/>
      </c>
      <c r="R7271" s="216" t="str">
        <f t="shared" si="724"/>
        <v/>
      </c>
      <c r="S7271" s="217" t="str">
        <f t="shared" si="725"/>
        <v/>
      </c>
    </row>
    <row r="7272" spans="1:19" ht="15.75" hidden="1" thickBot="1" x14ac:dyDescent="0.3">
      <c r="A7272" s="256" t="s">
        <v>6700</v>
      </c>
      <c r="B7272" s="259" t="str">
        <f>INDEX(Orçamentária!A:B,MATCH(Composições!A7272,Orçamentária!A:A,0),2)</f>
        <v>Bloco vazado de concreto simples tipo canaleta (19x19x39 - Classe A)</v>
      </c>
      <c r="C7272" s="40"/>
      <c r="D7272" s="25" t="s">
        <v>16</v>
      </c>
      <c r="E7272" s="26"/>
      <c r="F7272" s="41" t="s">
        <v>416</v>
      </c>
      <c r="G7272" s="27" t="str">
        <f t="shared" si="720"/>
        <v/>
      </c>
      <c r="H7272" s="28"/>
      <c r="I7272" s="29"/>
      <c r="J7272" s="152">
        <v>0</v>
      </c>
      <c r="L7272" s="218"/>
      <c r="M7272" s="41"/>
      <c r="N7272" s="27" t="str">
        <f t="shared" si="721"/>
        <v/>
      </c>
      <c r="O7272" s="28"/>
      <c r="P7272" s="36" t="str">
        <f t="shared" si="722"/>
        <v/>
      </c>
      <c r="Q7272" s="216" t="str">
        <f t="shared" si="723"/>
        <v/>
      </c>
      <c r="R7272" s="216" t="str">
        <f t="shared" si="724"/>
        <v/>
      </c>
      <c r="S7272" s="217" t="str">
        <f t="shared" si="725"/>
        <v/>
      </c>
    </row>
    <row r="7273" spans="1:19" ht="15.75" hidden="1" thickBot="1" x14ac:dyDescent="0.3">
      <c r="A7273" s="262"/>
      <c r="B7273" s="260"/>
      <c r="C7273" s="31"/>
      <c r="D7273" s="31"/>
      <c r="E7273" s="32"/>
      <c r="F7273" s="42" t="s">
        <v>416</v>
      </c>
      <c r="G7273" s="30" t="str">
        <f t="shared" si="720"/>
        <v/>
      </c>
      <c r="H7273" s="34"/>
      <c r="I7273" s="30"/>
      <c r="J7273" s="152">
        <v>0</v>
      </c>
      <c r="L7273" s="219"/>
      <c r="M7273" s="42"/>
      <c r="N7273" s="30" t="str">
        <f t="shared" si="721"/>
        <v/>
      </c>
      <c r="O7273" s="34"/>
      <c r="P7273" s="36" t="str">
        <f t="shared" si="722"/>
        <v/>
      </c>
      <c r="Q7273" s="216" t="str">
        <f t="shared" si="723"/>
        <v/>
      </c>
      <c r="R7273" s="216" t="str">
        <f t="shared" si="724"/>
        <v/>
      </c>
      <c r="S7273" s="217" t="str">
        <f t="shared" si="725"/>
        <v/>
      </c>
    </row>
    <row r="7274" spans="1:19" ht="15.75" hidden="1" thickBot="1" x14ac:dyDescent="0.3">
      <c r="A7274" s="262"/>
      <c r="B7274" s="260"/>
      <c r="C7274" s="35" t="s">
        <v>6718</v>
      </c>
      <c r="D7274" s="35" t="s">
        <v>16</v>
      </c>
      <c r="E7274" s="36">
        <v>1</v>
      </c>
      <c r="F7274" s="30">
        <v>0</v>
      </c>
      <c r="G7274" s="30">
        <f t="shared" si="720"/>
        <v>0</v>
      </c>
      <c r="H7274" s="38">
        <f>SUM(G7274:G7274)</f>
        <v>0</v>
      </c>
      <c r="I7274" s="39"/>
      <c r="J7274" s="152">
        <v>0</v>
      </c>
      <c r="L7274" s="215">
        <v>1</v>
      </c>
      <c r="M7274" s="30">
        <v>0</v>
      </c>
      <c r="N7274" s="30">
        <f t="shared" si="721"/>
        <v>0</v>
      </c>
      <c r="O7274" s="38">
        <f>SUM(N7274:N7274)</f>
        <v>0</v>
      </c>
      <c r="P7274" s="36" t="str">
        <f t="shared" si="722"/>
        <v/>
      </c>
      <c r="Q7274" s="216" t="e">
        <f t="shared" si="723"/>
        <v>#DIV/0!</v>
      </c>
      <c r="R7274" s="216" t="e">
        <f t="shared" si="724"/>
        <v>#DIV/0!</v>
      </c>
      <c r="S7274" s="217" t="e">
        <f t="shared" si="725"/>
        <v>#DIV/0!</v>
      </c>
    </row>
    <row r="7275" spans="1:19" ht="15.75" hidden="1" thickBot="1" x14ac:dyDescent="0.3">
      <c r="A7275" s="263"/>
      <c r="B7275" s="261"/>
      <c r="C7275" s="54"/>
      <c r="D7275" s="54"/>
      <c r="E7275" s="65"/>
      <c r="F7275" s="66" t="s">
        <v>416</v>
      </c>
      <c r="G7275" s="66" t="str">
        <f t="shared" si="720"/>
        <v/>
      </c>
      <c r="H7275" s="68"/>
      <c r="I7275" s="30"/>
      <c r="J7275" s="152">
        <v>0</v>
      </c>
      <c r="L7275" s="222"/>
      <c r="M7275" s="66"/>
      <c r="N7275" s="66" t="str">
        <f t="shared" si="721"/>
        <v/>
      </c>
      <c r="O7275" s="68"/>
      <c r="P7275" s="36" t="str">
        <f t="shared" si="722"/>
        <v/>
      </c>
      <c r="Q7275" s="216" t="str">
        <f t="shared" si="723"/>
        <v/>
      </c>
      <c r="R7275" s="216" t="str">
        <f t="shared" si="724"/>
        <v/>
      </c>
      <c r="S7275" s="217" t="str">
        <f t="shared" si="725"/>
        <v/>
      </c>
    </row>
    <row r="7276" spans="1:19" ht="15.75" hidden="1" thickBot="1" x14ac:dyDescent="0.3">
      <c r="A7276" s="256" t="s">
        <v>6704</v>
      </c>
      <c r="B7276" s="259" t="str">
        <f>INDEX(Orçamentária!A:B,MATCH(Composições!A7276,Orçamentária!A:A,0),2)</f>
        <v>Bloco vazado de concreto simples tipo compensador A (19x19x9 - Classe C)</v>
      </c>
      <c r="C7276" s="40"/>
      <c r="D7276" s="25" t="s">
        <v>16</v>
      </c>
      <c r="E7276" s="26"/>
      <c r="F7276" s="41" t="s">
        <v>416</v>
      </c>
      <c r="G7276" s="27" t="str">
        <f t="shared" si="720"/>
        <v/>
      </c>
      <c r="H7276" s="28"/>
      <c r="I7276" s="29"/>
      <c r="J7276" s="152">
        <v>0</v>
      </c>
      <c r="L7276" s="218"/>
      <c r="M7276" s="41"/>
      <c r="N7276" s="27" t="str">
        <f t="shared" si="721"/>
        <v/>
      </c>
      <c r="O7276" s="28"/>
      <c r="P7276" s="36" t="str">
        <f t="shared" si="722"/>
        <v/>
      </c>
      <c r="Q7276" s="216" t="str">
        <f t="shared" si="723"/>
        <v/>
      </c>
      <c r="R7276" s="216" t="str">
        <f t="shared" si="724"/>
        <v/>
      </c>
      <c r="S7276" s="217" t="str">
        <f t="shared" si="725"/>
        <v/>
      </c>
    </row>
    <row r="7277" spans="1:19" ht="15.75" hidden="1" thickBot="1" x14ac:dyDescent="0.3">
      <c r="A7277" s="262"/>
      <c r="B7277" s="260"/>
      <c r="C7277" s="31"/>
      <c r="D7277" s="31"/>
      <c r="E7277" s="32"/>
      <c r="F7277" s="42" t="s">
        <v>416</v>
      </c>
      <c r="G7277" s="33" t="str">
        <f t="shared" si="720"/>
        <v/>
      </c>
      <c r="H7277" s="34"/>
      <c r="I7277" s="30"/>
      <c r="J7277" s="152">
        <v>0</v>
      </c>
      <c r="L7277" s="219"/>
      <c r="M7277" s="42"/>
      <c r="N7277" s="33" t="str">
        <f t="shared" si="721"/>
        <v/>
      </c>
      <c r="O7277" s="34"/>
      <c r="P7277" s="36" t="str">
        <f t="shared" si="722"/>
        <v/>
      </c>
      <c r="Q7277" s="216" t="str">
        <f t="shared" si="723"/>
        <v/>
      </c>
      <c r="R7277" s="216" t="str">
        <f t="shared" si="724"/>
        <v/>
      </c>
      <c r="S7277" s="217" t="str">
        <f t="shared" si="725"/>
        <v/>
      </c>
    </row>
    <row r="7278" spans="1:19" ht="26.25" hidden="1" thickBot="1" x14ac:dyDescent="0.3">
      <c r="A7278" s="262"/>
      <c r="B7278" s="260"/>
      <c r="C7278" s="35" t="s">
        <v>8294</v>
      </c>
      <c r="D7278" s="35" t="s">
        <v>213</v>
      </c>
      <c r="E7278" s="36">
        <v>1</v>
      </c>
      <c r="F7278" s="30">
        <v>1.7669999999999999</v>
      </c>
      <c r="G7278" s="33">
        <f t="shared" si="720"/>
        <v>1.7669999999999999</v>
      </c>
      <c r="H7278" s="38">
        <f>SUM(G7278:G7278)</f>
        <v>1.7669999999999999</v>
      </c>
      <c r="I7278" s="39"/>
      <c r="J7278" s="152">
        <v>0</v>
      </c>
      <c r="L7278" s="215">
        <v>1</v>
      </c>
      <c r="M7278" s="30">
        <v>1.5125519999999999</v>
      </c>
      <c r="N7278" s="33">
        <f t="shared" si="721"/>
        <v>1.5125519999999999</v>
      </c>
      <c r="O7278" s="38">
        <f>SUM(N7278:N7278)</f>
        <v>1.5125519999999999</v>
      </c>
      <c r="P7278" s="36" t="str">
        <f t="shared" si="722"/>
        <v/>
      </c>
      <c r="Q7278" s="216">
        <f t="shared" si="723"/>
        <v>0.14400000000000002</v>
      </c>
      <c r="R7278" s="216">
        <f t="shared" si="724"/>
        <v>0.14400000000000002</v>
      </c>
      <c r="S7278" s="217">
        <f t="shared" si="725"/>
        <v>0.14400000000000002</v>
      </c>
    </row>
    <row r="7279" spans="1:19" ht="15.75" hidden="1" thickBot="1" x14ac:dyDescent="0.3">
      <c r="A7279" s="263"/>
      <c r="B7279" s="261"/>
      <c r="C7279" s="35"/>
      <c r="D7279" s="35"/>
      <c r="E7279" s="36"/>
      <c r="F7279" s="30" t="s">
        <v>416</v>
      </c>
      <c r="G7279" s="33" t="str">
        <f t="shared" si="720"/>
        <v/>
      </c>
      <c r="H7279" s="34"/>
      <c r="I7279" s="30"/>
      <c r="J7279" s="152">
        <v>0</v>
      </c>
      <c r="L7279" s="215"/>
      <c r="M7279" s="30"/>
      <c r="N7279" s="33" t="str">
        <f t="shared" si="721"/>
        <v/>
      </c>
      <c r="O7279" s="34"/>
      <c r="P7279" s="36" t="str">
        <f t="shared" si="722"/>
        <v/>
      </c>
      <c r="Q7279" s="216" t="str">
        <f t="shared" si="723"/>
        <v/>
      </c>
      <c r="R7279" s="216" t="str">
        <f t="shared" si="724"/>
        <v/>
      </c>
      <c r="S7279" s="217" t="str">
        <f t="shared" si="725"/>
        <v/>
      </c>
    </row>
    <row r="7280" spans="1:19" ht="15.75" hidden="1" thickBot="1" x14ac:dyDescent="0.3">
      <c r="A7280" s="256" t="s">
        <v>6708</v>
      </c>
      <c r="B7280" s="259" t="str">
        <f>INDEX(Orçamentária!A:B,MATCH(Composições!A7280,Orçamentária!A:A,0),2)</f>
        <v>Graute industrializado, 50 MPa ≤ fck ≤ 60 Mpa</v>
      </c>
      <c r="C7280" s="40"/>
      <c r="D7280" s="25" t="s">
        <v>6716</v>
      </c>
      <c r="E7280" s="26"/>
      <c r="F7280" s="41" t="s">
        <v>416</v>
      </c>
      <c r="G7280" s="27" t="str">
        <f t="shared" si="720"/>
        <v/>
      </c>
      <c r="H7280" s="28"/>
      <c r="I7280" s="29"/>
      <c r="J7280" s="152">
        <v>0</v>
      </c>
      <c r="L7280" s="218"/>
      <c r="M7280" s="41"/>
      <c r="N7280" s="27" t="str">
        <f t="shared" si="721"/>
        <v/>
      </c>
      <c r="O7280" s="28"/>
      <c r="P7280" s="36" t="str">
        <f t="shared" si="722"/>
        <v/>
      </c>
      <c r="Q7280" s="216" t="str">
        <f t="shared" si="723"/>
        <v/>
      </c>
      <c r="R7280" s="216" t="str">
        <f t="shared" si="724"/>
        <v/>
      </c>
      <c r="S7280" s="217" t="str">
        <f t="shared" si="725"/>
        <v/>
      </c>
    </row>
    <row r="7281" spans="1:19" ht="15.75" hidden="1" thickBot="1" x14ac:dyDescent="0.3">
      <c r="A7281" s="262"/>
      <c r="B7281" s="260"/>
      <c r="C7281" s="31"/>
      <c r="D7281" s="31"/>
      <c r="E7281" s="32"/>
      <c r="F7281" s="42" t="s">
        <v>416</v>
      </c>
      <c r="G7281" s="33" t="str">
        <f t="shared" si="720"/>
        <v/>
      </c>
      <c r="H7281" s="34"/>
      <c r="I7281" s="30"/>
      <c r="J7281" s="152">
        <v>0</v>
      </c>
      <c r="L7281" s="219"/>
      <c r="M7281" s="42"/>
      <c r="N7281" s="33" t="str">
        <f t="shared" si="721"/>
        <v/>
      </c>
      <c r="O7281" s="34"/>
      <c r="P7281" s="36" t="str">
        <f t="shared" si="722"/>
        <v/>
      </c>
      <c r="Q7281" s="216" t="str">
        <f t="shared" si="723"/>
        <v/>
      </c>
      <c r="R7281" s="216" t="str">
        <f t="shared" si="724"/>
        <v/>
      </c>
      <c r="S7281" s="217" t="str">
        <f t="shared" si="725"/>
        <v/>
      </c>
    </row>
    <row r="7282" spans="1:19" ht="15.75" hidden="1" thickBot="1" x14ac:dyDescent="0.3">
      <c r="A7282" s="262"/>
      <c r="B7282" s="260"/>
      <c r="C7282" s="35" t="s">
        <v>806</v>
      </c>
      <c r="D7282" s="35" t="s">
        <v>773</v>
      </c>
      <c r="E7282" s="36">
        <v>25</v>
      </c>
      <c r="F7282" s="30">
        <v>1.9379999999999999</v>
      </c>
      <c r="G7282" s="33">
        <f t="shared" si="720"/>
        <v>48.449999999999996</v>
      </c>
      <c r="H7282" s="38">
        <f>SUM(G7282:G7282)</f>
        <v>48.449999999999996</v>
      </c>
      <c r="I7282" s="39"/>
      <c r="J7282" s="152">
        <v>0</v>
      </c>
      <c r="L7282" s="215">
        <v>25</v>
      </c>
      <c r="M7282" s="30">
        <v>1.658928</v>
      </c>
      <c r="N7282" s="33">
        <f t="shared" si="721"/>
        <v>41.473199999999999</v>
      </c>
      <c r="O7282" s="38">
        <f>SUM(N7282:N7282)</f>
        <v>41.473199999999999</v>
      </c>
      <c r="P7282" s="36" t="str">
        <f t="shared" si="722"/>
        <v/>
      </c>
      <c r="Q7282" s="216">
        <f t="shared" si="723"/>
        <v>0.14400000000000002</v>
      </c>
      <c r="R7282" s="216">
        <f t="shared" si="724"/>
        <v>0.14399999999999991</v>
      </c>
      <c r="S7282" s="217">
        <f t="shared" si="725"/>
        <v>0.14399999999999991</v>
      </c>
    </row>
    <row r="7283" spans="1:19" ht="15.75" hidden="1" thickBot="1" x14ac:dyDescent="0.3">
      <c r="A7283" s="263"/>
      <c r="B7283" s="261"/>
      <c r="C7283" s="35"/>
      <c r="D7283" s="35"/>
      <c r="E7283" s="36"/>
      <c r="F7283" s="30" t="s">
        <v>416</v>
      </c>
      <c r="G7283" s="33" t="str">
        <f t="shared" si="720"/>
        <v/>
      </c>
      <c r="H7283" s="34"/>
      <c r="I7283" s="30"/>
      <c r="J7283" s="152">
        <v>0</v>
      </c>
      <c r="L7283" s="215"/>
      <c r="M7283" s="30"/>
      <c r="N7283" s="33" t="str">
        <f t="shared" si="721"/>
        <v/>
      </c>
      <c r="O7283" s="34"/>
      <c r="P7283" s="36" t="str">
        <f t="shared" si="722"/>
        <v/>
      </c>
      <c r="Q7283" s="216" t="str">
        <f t="shared" si="723"/>
        <v/>
      </c>
      <c r="R7283" s="216" t="str">
        <f t="shared" si="724"/>
        <v/>
      </c>
      <c r="S7283" s="217" t="str">
        <f t="shared" si="725"/>
        <v/>
      </c>
    </row>
    <row r="7284" spans="1:19" ht="15.75" hidden="1" thickBot="1" x14ac:dyDescent="0.3">
      <c r="A7284" s="256" t="s">
        <v>6710</v>
      </c>
      <c r="B7284" s="259" t="str">
        <f>INDEX(Orçamentária!A:B,MATCH(Composições!A7284,Orçamentária!A:A,0),2)</f>
        <v>Tela metálica para reboco</v>
      </c>
      <c r="C7284" s="40"/>
      <c r="D7284" s="25" t="s">
        <v>70</v>
      </c>
      <c r="E7284" s="26"/>
      <c r="F7284" s="41" t="s">
        <v>416</v>
      </c>
      <c r="G7284" s="27" t="str">
        <f t="shared" si="720"/>
        <v/>
      </c>
      <c r="H7284" s="28"/>
      <c r="I7284" s="29"/>
      <c r="J7284" s="152">
        <v>0</v>
      </c>
      <c r="L7284" s="218"/>
      <c r="M7284" s="41"/>
      <c r="N7284" s="27" t="str">
        <f t="shared" si="721"/>
        <v/>
      </c>
      <c r="O7284" s="28"/>
      <c r="P7284" s="36" t="str">
        <f t="shared" si="722"/>
        <v/>
      </c>
      <c r="Q7284" s="216" t="str">
        <f t="shared" si="723"/>
        <v/>
      </c>
      <c r="R7284" s="216" t="str">
        <f t="shared" si="724"/>
        <v/>
      </c>
      <c r="S7284" s="217" t="str">
        <f t="shared" si="725"/>
        <v/>
      </c>
    </row>
    <row r="7285" spans="1:19" ht="15.75" hidden="1" thickBot="1" x14ac:dyDescent="0.3">
      <c r="A7285" s="262"/>
      <c r="B7285" s="260"/>
      <c r="C7285" s="31"/>
      <c r="D7285" s="31"/>
      <c r="E7285" s="32"/>
      <c r="F7285" s="42" t="s">
        <v>416</v>
      </c>
      <c r="G7285" s="33" t="str">
        <f t="shared" si="720"/>
        <v/>
      </c>
      <c r="H7285" s="34"/>
      <c r="I7285" s="30"/>
      <c r="J7285" s="152">
        <v>0</v>
      </c>
      <c r="L7285" s="219"/>
      <c r="M7285" s="42"/>
      <c r="N7285" s="33" t="str">
        <f t="shared" si="721"/>
        <v/>
      </c>
      <c r="O7285" s="34"/>
      <c r="P7285" s="36" t="str">
        <f t="shared" si="722"/>
        <v/>
      </c>
      <c r="Q7285" s="216" t="str">
        <f t="shared" si="723"/>
        <v/>
      </c>
      <c r="R7285" s="216" t="str">
        <f t="shared" si="724"/>
        <v/>
      </c>
      <c r="S7285" s="217" t="str">
        <f t="shared" si="725"/>
        <v/>
      </c>
    </row>
    <row r="7286" spans="1:19" ht="26.25" hidden="1" thickBot="1" x14ac:dyDescent="0.3">
      <c r="A7286" s="262"/>
      <c r="B7286" s="260"/>
      <c r="C7286" s="35" t="s">
        <v>8424</v>
      </c>
      <c r="D7286" s="35" t="s">
        <v>861</v>
      </c>
      <c r="E7286" s="36">
        <v>1</v>
      </c>
      <c r="F7286" s="30">
        <v>17.546499999999998</v>
      </c>
      <c r="G7286" s="33">
        <f t="shared" si="720"/>
        <v>17.546499999999998</v>
      </c>
      <c r="H7286" s="38">
        <f>SUM(G7286:G7286)</f>
        <v>17.546499999999998</v>
      </c>
      <c r="I7286" s="39"/>
      <c r="J7286" s="152">
        <v>0</v>
      </c>
      <c r="L7286" s="215">
        <v>1</v>
      </c>
      <c r="M7286" s="30">
        <v>15.019803999999999</v>
      </c>
      <c r="N7286" s="33">
        <f t="shared" si="721"/>
        <v>15.019803999999999</v>
      </c>
      <c r="O7286" s="38">
        <f>SUM(N7286:N7286)</f>
        <v>15.019803999999999</v>
      </c>
      <c r="P7286" s="36" t="str">
        <f t="shared" si="722"/>
        <v/>
      </c>
      <c r="Q7286" s="216">
        <f t="shared" si="723"/>
        <v>0.14400000000000002</v>
      </c>
      <c r="R7286" s="216">
        <f t="shared" si="724"/>
        <v>0.14400000000000002</v>
      </c>
      <c r="S7286" s="217">
        <f t="shared" si="725"/>
        <v>0.14400000000000002</v>
      </c>
    </row>
    <row r="7287" spans="1:19" ht="15.75" hidden="1" thickBot="1" x14ac:dyDescent="0.3">
      <c r="A7287" s="263"/>
      <c r="B7287" s="261"/>
      <c r="C7287" s="35"/>
      <c r="D7287" s="35"/>
      <c r="E7287" s="36"/>
      <c r="F7287" s="30" t="s">
        <v>416</v>
      </c>
      <c r="G7287" s="33" t="str">
        <f t="shared" si="720"/>
        <v/>
      </c>
      <c r="H7287" s="34"/>
      <c r="I7287" s="30"/>
      <c r="J7287" s="152">
        <v>0</v>
      </c>
      <c r="L7287" s="215"/>
      <c r="M7287" s="30"/>
      <c r="N7287" s="33" t="str">
        <f t="shared" si="721"/>
        <v/>
      </c>
      <c r="O7287" s="34"/>
      <c r="P7287" s="36" t="str">
        <f t="shared" si="722"/>
        <v/>
      </c>
      <c r="Q7287" s="216" t="str">
        <f t="shared" si="723"/>
        <v/>
      </c>
      <c r="R7287" s="216" t="str">
        <f t="shared" si="724"/>
        <v/>
      </c>
      <c r="S7287" s="217" t="str">
        <f t="shared" si="725"/>
        <v/>
      </c>
    </row>
    <row r="7288" spans="1:19" ht="15.75" hidden="1" thickBot="1" x14ac:dyDescent="0.3">
      <c r="A7288" s="256" t="s">
        <v>6712</v>
      </c>
      <c r="B7288" s="259" t="str">
        <f>INDEX(Orçamentária!A:B,MATCH(Composições!A7288,Orçamentária!A:A,0),2)</f>
        <v>Vergalhão Ca-60 Diâmetro 4,2 mm</v>
      </c>
      <c r="C7288" s="40"/>
      <c r="D7288" s="25" t="s">
        <v>69</v>
      </c>
      <c r="E7288" s="26"/>
      <c r="F7288" s="41" t="s">
        <v>416</v>
      </c>
      <c r="G7288" s="27" t="str">
        <f t="shared" si="720"/>
        <v/>
      </c>
      <c r="H7288" s="28"/>
      <c r="I7288" s="29"/>
      <c r="J7288" s="152">
        <v>0</v>
      </c>
      <c r="L7288" s="218"/>
      <c r="M7288" s="41"/>
      <c r="N7288" s="27" t="str">
        <f t="shared" si="721"/>
        <v/>
      </c>
      <c r="O7288" s="28"/>
      <c r="P7288" s="36" t="str">
        <f t="shared" si="722"/>
        <v/>
      </c>
      <c r="Q7288" s="216" t="str">
        <f t="shared" si="723"/>
        <v/>
      </c>
      <c r="R7288" s="216" t="str">
        <f t="shared" si="724"/>
        <v/>
      </c>
      <c r="S7288" s="217" t="str">
        <f t="shared" si="725"/>
        <v/>
      </c>
    </row>
    <row r="7289" spans="1:19" ht="15.75" hidden="1" thickBot="1" x14ac:dyDescent="0.3">
      <c r="A7289" s="262"/>
      <c r="B7289" s="260"/>
      <c r="C7289" s="31"/>
      <c r="D7289" s="31"/>
      <c r="E7289" s="32"/>
      <c r="F7289" s="42" t="s">
        <v>416</v>
      </c>
      <c r="G7289" s="33" t="str">
        <f t="shared" si="720"/>
        <v/>
      </c>
      <c r="H7289" s="34"/>
      <c r="I7289" s="30"/>
      <c r="J7289" s="152">
        <v>0</v>
      </c>
      <c r="L7289" s="219"/>
      <c r="M7289" s="42"/>
      <c r="N7289" s="33" t="str">
        <f t="shared" si="721"/>
        <v/>
      </c>
      <c r="O7289" s="34"/>
      <c r="P7289" s="36" t="str">
        <f t="shared" si="722"/>
        <v/>
      </c>
      <c r="Q7289" s="216" t="str">
        <f t="shared" si="723"/>
        <v/>
      </c>
      <c r="R7289" s="216" t="str">
        <f t="shared" si="724"/>
        <v/>
      </c>
      <c r="S7289" s="217" t="str">
        <f t="shared" si="725"/>
        <v/>
      </c>
    </row>
    <row r="7290" spans="1:19" ht="15.75" hidden="1" thickBot="1" x14ac:dyDescent="0.3">
      <c r="A7290" s="262"/>
      <c r="B7290" s="260"/>
      <c r="C7290" s="35" t="s">
        <v>1277</v>
      </c>
      <c r="D7290" s="35" t="s">
        <v>773</v>
      </c>
      <c r="E7290" s="36">
        <v>0.109</v>
      </c>
      <c r="F7290" s="30">
        <v>8.9205000000000005</v>
      </c>
      <c r="G7290" s="33">
        <f t="shared" si="720"/>
        <v>0.9723345000000001</v>
      </c>
      <c r="H7290" s="38">
        <f>SUM(G7290:G7290)</f>
        <v>0.9723345000000001</v>
      </c>
      <c r="I7290" s="39"/>
      <c r="J7290" s="152">
        <v>0</v>
      </c>
      <c r="L7290" s="215">
        <v>0.109</v>
      </c>
      <c r="M7290" s="30">
        <v>7.6359480000000008</v>
      </c>
      <c r="N7290" s="33">
        <f t="shared" si="721"/>
        <v>0.83231833200000005</v>
      </c>
      <c r="O7290" s="38">
        <f>SUM(N7290:N7290)</f>
        <v>0.83231833200000005</v>
      </c>
      <c r="P7290" s="36" t="str">
        <f t="shared" si="722"/>
        <v/>
      </c>
      <c r="Q7290" s="216">
        <f t="shared" si="723"/>
        <v>0.14399999999999991</v>
      </c>
      <c r="R7290" s="216">
        <f t="shared" si="724"/>
        <v>0.14400000000000002</v>
      </c>
      <c r="S7290" s="217">
        <f t="shared" si="725"/>
        <v>0.14400000000000002</v>
      </c>
    </row>
    <row r="7291" spans="1:19" ht="15.75" hidden="1" thickBot="1" x14ac:dyDescent="0.3">
      <c r="A7291" s="263"/>
      <c r="B7291" s="261"/>
      <c r="C7291" s="35"/>
      <c r="D7291" s="35"/>
      <c r="E7291" s="36"/>
      <c r="F7291" s="30" t="s">
        <v>416</v>
      </c>
      <c r="G7291" s="33" t="str">
        <f t="shared" si="720"/>
        <v/>
      </c>
      <c r="H7291" s="34"/>
      <c r="I7291" s="30"/>
      <c r="J7291" s="152">
        <v>0</v>
      </c>
      <c r="L7291" s="215"/>
      <c r="M7291" s="30"/>
      <c r="N7291" s="33" t="str">
        <f t="shared" si="721"/>
        <v/>
      </c>
      <c r="O7291" s="34"/>
      <c r="P7291" s="36" t="str">
        <f t="shared" si="722"/>
        <v/>
      </c>
      <c r="Q7291" s="216" t="str">
        <f t="shared" si="723"/>
        <v/>
      </c>
      <c r="R7291" s="216" t="str">
        <f t="shared" si="724"/>
        <v/>
      </c>
      <c r="S7291" s="217" t="str">
        <f t="shared" si="725"/>
        <v/>
      </c>
    </row>
    <row r="7292" spans="1:19" ht="15.75" hidden="1" thickBot="1" x14ac:dyDescent="0.3">
      <c r="A7292" s="256" t="s">
        <v>6714</v>
      </c>
      <c r="B7292" s="259" t="str">
        <f>INDEX(Orçamentária!A:B,MATCH(Composições!A7292,Orçamentária!A:A,0),2)</f>
        <v>Vermiculita Expandida</v>
      </c>
      <c r="C7292" s="40"/>
      <c r="D7292" s="25" t="s">
        <v>6717</v>
      </c>
      <c r="E7292" s="26"/>
      <c r="F7292" s="41" t="s">
        <v>416</v>
      </c>
      <c r="G7292" s="27" t="str">
        <f t="shared" si="720"/>
        <v/>
      </c>
      <c r="H7292" s="28"/>
      <c r="I7292" s="29"/>
      <c r="J7292" s="152">
        <v>0</v>
      </c>
      <c r="L7292" s="218"/>
      <c r="M7292" s="41"/>
      <c r="N7292" s="27" t="str">
        <f t="shared" si="721"/>
        <v/>
      </c>
      <c r="O7292" s="28"/>
      <c r="P7292" s="36" t="str">
        <f t="shared" si="722"/>
        <v/>
      </c>
      <c r="Q7292" s="216" t="str">
        <f t="shared" si="723"/>
        <v/>
      </c>
      <c r="R7292" s="216" t="str">
        <f t="shared" si="724"/>
        <v/>
      </c>
      <c r="S7292" s="217" t="str">
        <f t="shared" si="725"/>
        <v/>
      </c>
    </row>
    <row r="7293" spans="1:19" ht="15.75" hidden="1" thickBot="1" x14ac:dyDescent="0.3">
      <c r="A7293" s="262"/>
      <c r="B7293" s="260"/>
      <c r="C7293" s="31"/>
      <c r="D7293" s="31"/>
      <c r="E7293" s="32"/>
      <c r="F7293" s="42" t="s">
        <v>416</v>
      </c>
      <c r="G7293" s="33" t="str">
        <f t="shared" si="720"/>
        <v/>
      </c>
      <c r="H7293" s="34"/>
      <c r="I7293" s="30"/>
      <c r="J7293" s="152">
        <v>0</v>
      </c>
      <c r="L7293" s="219"/>
      <c r="M7293" s="42"/>
      <c r="N7293" s="33" t="str">
        <f t="shared" si="721"/>
        <v/>
      </c>
      <c r="O7293" s="34"/>
      <c r="P7293" s="36" t="str">
        <f t="shared" si="722"/>
        <v/>
      </c>
      <c r="Q7293" s="216" t="str">
        <f t="shared" si="723"/>
        <v/>
      </c>
      <c r="R7293" s="216" t="str">
        <f t="shared" si="724"/>
        <v/>
      </c>
      <c r="S7293" s="217" t="str">
        <f t="shared" si="725"/>
        <v/>
      </c>
    </row>
    <row r="7294" spans="1:19" ht="15.75" hidden="1" thickBot="1" x14ac:dyDescent="0.3">
      <c r="A7294" s="262"/>
      <c r="B7294" s="260"/>
      <c r="C7294" s="35" t="s">
        <v>6719</v>
      </c>
      <c r="D7294" s="35" t="s">
        <v>80</v>
      </c>
      <c r="E7294" s="36">
        <v>0.1</v>
      </c>
      <c r="F7294" s="30">
        <v>0</v>
      </c>
      <c r="G7294" s="33">
        <f t="shared" si="720"/>
        <v>0</v>
      </c>
      <c r="H7294" s="38">
        <f>SUM(G7294:G7294)</f>
        <v>0</v>
      </c>
      <c r="I7294" s="39"/>
      <c r="J7294" s="152">
        <v>0</v>
      </c>
      <c r="L7294" s="215">
        <v>0.1</v>
      </c>
      <c r="M7294" s="30">
        <v>0</v>
      </c>
      <c r="N7294" s="33">
        <f t="shared" si="721"/>
        <v>0</v>
      </c>
      <c r="O7294" s="38">
        <f>SUM(N7294:N7294)</f>
        <v>0</v>
      </c>
      <c r="P7294" s="36" t="str">
        <f t="shared" si="722"/>
        <v/>
      </c>
      <c r="Q7294" s="216" t="e">
        <f t="shared" si="723"/>
        <v>#DIV/0!</v>
      </c>
      <c r="R7294" s="216" t="e">
        <f t="shared" si="724"/>
        <v>#DIV/0!</v>
      </c>
      <c r="S7294" s="217" t="e">
        <f t="shared" si="725"/>
        <v>#DIV/0!</v>
      </c>
    </row>
    <row r="7295" spans="1:19" ht="15.75" hidden="1" thickBot="1" x14ac:dyDescent="0.3">
      <c r="A7295" s="263"/>
      <c r="B7295" s="261"/>
      <c r="C7295" s="54"/>
      <c r="D7295" s="54"/>
      <c r="E7295" s="65"/>
      <c r="F7295" s="66" t="s">
        <v>416</v>
      </c>
      <c r="G7295" s="67" t="str">
        <f t="shared" si="720"/>
        <v/>
      </c>
      <c r="H7295" s="68"/>
      <c r="I7295" s="30"/>
      <c r="J7295" s="152">
        <v>0</v>
      </c>
      <c r="L7295" s="222"/>
      <c r="M7295" s="66"/>
      <c r="N7295" s="67" t="str">
        <f t="shared" si="721"/>
        <v/>
      </c>
      <c r="O7295" s="68"/>
      <c r="P7295" s="36" t="str">
        <f t="shared" si="722"/>
        <v/>
      </c>
      <c r="Q7295" s="216" t="str">
        <f t="shared" si="723"/>
        <v/>
      </c>
      <c r="R7295" s="216" t="str">
        <f t="shared" si="724"/>
        <v/>
      </c>
      <c r="S7295" s="217" t="str">
        <f t="shared" si="725"/>
        <v/>
      </c>
    </row>
    <row r="7296" spans="1:19" ht="15.75" hidden="1" thickBot="1" x14ac:dyDescent="0.3">
      <c r="A7296" s="256" t="s">
        <v>6723</v>
      </c>
      <c r="B7296" s="259" t="str">
        <f>INDEX(Orçamentária!A:B,MATCH(Composições!A7296,Orçamentária!A:A,0),2)</f>
        <v>Conector Macho 26 mm  x 3/4” para tubo PEX para gás - GLP</v>
      </c>
      <c r="C7296" s="40"/>
      <c r="D7296" s="25" t="s">
        <v>16</v>
      </c>
      <c r="E7296" s="26"/>
      <c r="F7296" s="41" t="s">
        <v>416</v>
      </c>
      <c r="G7296" s="27" t="str">
        <f t="shared" si="720"/>
        <v/>
      </c>
      <c r="H7296" s="28"/>
      <c r="I7296" s="29"/>
      <c r="J7296" s="152">
        <v>0</v>
      </c>
      <c r="L7296" s="218"/>
      <c r="M7296" s="41"/>
      <c r="N7296" s="27" t="str">
        <f t="shared" si="721"/>
        <v/>
      </c>
      <c r="O7296" s="28"/>
      <c r="P7296" s="36" t="str">
        <f t="shared" si="722"/>
        <v/>
      </c>
      <c r="Q7296" s="216" t="str">
        <f t="shared" si="723"/>
        <v/>
      </c>
      <c r="R7296" s="216" t="str">
        <f t="shared" si="724"/>
        <v/>
      </c>
      <c r="S7296" s="217" t="str">
        <f t="shared" si="725"/>
        <v/>
      </c>
    </row>
    <row r="7297" spans="1:19" ht="15.75" hidden="1" thickBot="1" x14ac:dyDescent="0.3">
      <c r="A7297" s="262"/>
      <c r="B7297" s="260"/>
      <c r="C7297" s="31"/>
      <c r="D7297" s="31"/>
      <c r="E7297" s="32"/>
      <c r="F7297" s="42" t="s">
        <v>416</v>
      </c>
      <c r="G7297" s="33" t="str">
        <f t="shared" si="720"/>
        <v/>
      </c>
      <c r="H7297" s="34"/>
      <c r="I7297" s="30"/>
      <c r="J7297" s="152">
        <v>0</v>
      </c>
      <c r="L7297" s="219"/>
      <c r="M7297" s="42"/>
      <c r="N7297" s="33" t="str">
        <f t="shared" si="721"/>
        <v/>
      </c>
      <c r="O7297" s="34"/>
      <c r="P7297" s="36" t="str">
        <f t="shared" si="722"/>
        <v/>
      </c>
      <c r="Q7297" s="216" t="str">
        <f t="shared" si="723"/>
        <v/>
      </c>
      <c r="R7297" s="216" t="str">
        <f t="shared" si="724"/>
        <v/>
      </c>
      <c r="S7297" s="217" t="str">
        <f t="shared" si="725"/>
        <v/>
      </c>
    </row>
    <row r="7298" spans="1:19" ht="15.75" hidden="1" thickBot="1" x14ac:dyDescent="0.3">
      <c r="A7298" s="262"/>
      <c r="B7298" s="260"/>
      <c r="C7298" s="35" t="s">
        <v>6804</v>
      </c>
      <c r="D7298" s="35" t="s">
        <v>16</v>
      </c>
      <c r="E7298" s="36">
        <v>1</v>
      </c>
      <c r="F7298" s="30">
        <v>0</v>
      </c>
      <c r="G7298" s="33">
        <f t="shared" ref="G7298:G7361" si="726">IF(ISNUMBER(F7298),E7298*F7298,"")</f>
        <v>0</v>
      </c>
      <c r="H7298" s="38">
        <f>SUM(G7298:G7298)</f>
        <v>0</v>
      </c>
      <c r="I7298" s="39"/>
      <c r="J7298" s="152">
        <v>0</v>
      </c>
      <c r="L7298" s="215">
        <v>1</v>
      </c>
      <c r="M7298" s="30">
        <v>0</v>
      </c>
      <c r="N7298" s="33">
        <f t="shared" ref="N7298:N7361" si="727">IF(ISNUMBER(M7298),L7298*M7298,"")</f>
        <v>0</v>
      </c>
      <c r="O7298" s="38">
        <f>SUM(N7298:N7298)</f>
        <v>0</v>
      </c>
      <c r="P7298" s="36" t="str">
        <f t="shared" si="722"/>
        <v/>
      </c>
      <c r="Q7298" s="216" t="e">
        <f t="shared" si="723"/>
        <v>#DIV/0!</v>
      </c>
      <c r="R7298" s="216" t="e">
        <f t="shared" si="724"/>
        <v>#DIV/0!</v>
      </c>
      <c r="S7298" s="217" t="e">
        <f t="shared" si="725"/>
        <v>#DIV/0!</v>
      </c>
    </row>
    <row r="7299" spans="1:19" ht="15.75" hidden="1" thickBot="1" x14ac:dyDescent="0.3">
      <c r="A7299" s="263"/>
      <c r="B7299" s="261"/>
      <c r="C7299" s="54"/>
      <c r="D7299" s="54"/>
      <c r="E7299" s="65"/>
      <c r="F7299" s="66" t="s">
        <v>416</v>
      </c>
      <c r="G7299" s="67" t="str">
        <f t="shared" si="726"/>
        <v/>
      </c>
      <c r="H7299" s="68"/>
      <c r="I7299" s="30"/>
      <c r="J7299" s="152">
        <v>0</v>
      </c>
      <c r="L7299" s="222"/>
      <c r="M7299" s="66"/>
      <c r="N7299" s="67" t="str">
        <f t="shared" si="727"/>
        <v/>
      </c>
      <c r="O7299" s="68"/>
      <c r="P7299" s="36" t="str">
        <f t="shared" si="722"/>
        <v/>
      </c>
      <c r="Q7299" s="216" t="str">
        <f t="shared" si="723"/>
        <v/>
      </c>
      <c r="R7299" s="216" t="str">
        <f t="shared" si="724"/>
        <v/>
      </c>
      <c r="S7299" s="217" t="str">
        <f t="shared" si="725"/>
        <v/>
      </c>
    </row>
    <row r="7300" spans="1:19" ht="15.75" hidden="1" thickBot="1" x14ac:dyDescent="0.3">
      <c r="A7300" s="256" t="s">
        <v>6727</v>
      </c>
      <c r="B7300" s="259" t="str">
        <f>INDEX(Orçamentária!A:B,MATCH(Composições!A7300,Orçamentária!A:A,0),2)</f>
        <v>Redução 26 mm x 20mm para tubo PEX para gás – GLP</v>
      </c>
      <c r="C7300" s="40"/>
      <c r="D7300" s="25" t="s">
        <v>16</v>
      </c>
      <c r="E7300" s="26"/>
      <c r="F7300" s="41" t="s">
        <v>416</v>
      </c>
      <c r="G7300" s="27" t="str">
        <f t="shared" si="726"/>
        <v/>
      </c>
      <c r="H7300" s="28"/>
      <c r="I7300" s="29"/>
      <c r="J7300" s="152">
        <v>0</v>
      </c>
      <c r="L7300" s="218"/>
      <c r="M7300" s="41"/>
      <c r="N7300" s="27" t="str">
        <f t="shared" si="727"/>
        <v/>
      </c>
      <c r="O7300" s="28"/>
      <c r="P7300" s="36" t="str">
        <f t="shared" si="722"/>
        <v/>
      </c>
      <c r="Q7300" s="216" t="str">
        <f t="shared" si="723"/>
        <v/>
      </c>
      <c r="R7300" s="216" t="str">
        <f t="shared" si="724"/>
        <v/>
      </c>
      <c r="S7300" s="217" t="str">
        <f t="shared" si="725"/>
        <v/>
      </c>
    </row>
    <row r="7301" spans="1:19" ht="15.75" hidden="1" thickBot="1" x14ac:dyDescent="0.3">
      <c r="A7301" s="262"/>
      <c r="B7301" s="260"/>
      <c r="C7301" s="31"/>
      <c r="D7301" s="31"/>
      <c r="E7301" s="32"/>
      <c r="F7301" s="42" t="s">
        <v>416</v>
      </c>
      <c r="G7301" s="33" t="str">
        <f t="shared" si="726"/>
        <v/>
      </c>
      <c r="H7301" s="34"/>
      <c r="I7301" s="30"/>
      <c r="J7301" s="152">
        <v>0</v>
      </c>
      <c r="L7301" s="219"/>
      <c r="M7301" s="42"/>
      <c r="N7301" s="33" t="str">
        <f t="shared" si="727"/>
        <v/>
      </c>
      <c r="O7301" s="34"/>
      <c r="P7301" s="36" t="str">
        <f t="shared" si="722"/>
        <v/>
      </c>
      <c r="Q7301" s="216" t="str">
        <f t="shared" si="723"/>
        <v/>
      </c>
      <c r="R7301" s="216" t="str">
        <f t="shared" si="724"/>
        <v/>
      </c>
      <c r="S7301" s="217" t="str">
        <f t="shared" si="725"/>
        <v/>
      </c>
    </row>
    <row r="7302" spans="1:19" ht="15.75" hidden="1" thickBot="1" x14ac:dyDescent="0.3">
      <c r="A7302" s="262"/>
      <c r="B7302" s="260"/>
      <c r="C7302" s="35" t="s">
        <v>6805</v>
      </c>
      <c r="D7302" s="35" t="s">
        <v>16</v>
      </c>
      <c r="E7302" s="36">
        <v>1</v>
      </c>
      <c r="F7302" s="30">
        <v>0</v>
      </c>
      <c r="G7302" s="33">
        <f t="shared" si="726"/>
        <v>0</v>
      </c>
      <c r="H7302" s="38">
        <f>SUM(G7302:G7302)</f>
        <v>0</v>
      </c>
      <c r="I7302" s="39"/>
      <c r="J7302" s="152">
        <v>0</v>
      </c>
      <c r="L7302" s="215">
        <v>1</v>
      </c>
      <c r="M7302" s="30">
        <v>0</v>
      </c>
      <c r="N7302" s="33">
        <f t="shared" si="727"/>
        <v>0</v>
      </c>
      <c r="O7302" s="38">
        <f>SUM(N7302:N7302)</f>
        <v>0</v>
      </c>
      <c r="P7302" s="36" t="str">
        <f t="shared" si="722"/>
        <v/>
      </c>
      <c r="Q7302" s="216" t="e">
        <f t="shared" si="723"/>
        <v>#DIV/0!</v>
      </c>
      <c r="R7302" s="216" t="e">
        <f t="shared" si="724"/>
        <v>#DIV/0!</v>
      </c>
      <c r="S7302" s="217" t="e">
        <f t="shared" si="725"/>
        <v>#DIV/0!</v>
      </c>
    </row>
    <row r="7303" spans="1:19" ht="15.75" hidden="1" thickBot="1" x14ac:dyDescent="0.3">
      <c r="A7303" s="263"/>
      <c r="B7303" s="261"/>
      <c r="C7303" s="54"/>
      <c r="D7303" s="54"/>
      <c r="E7303" s="65"/>
      <c r="F7303" s="66" t="s">
        <v>416</v>
      </c>
      <c r="G7303" s="67" t="str">
        <f t="shared" si="726"/>
        <v/>
      </c>
      <c r="H7303" s="68"/>
      <c r="I7303" s="30"/>
      <c r="J7303" s="152">
        <v>0</v>
      </c>
      <c r="L7303" s="222"/>
      <c r="M7303" s="66"/>
      <c r="N7303" s="67" t="str">
        <f t="shared" si="727"/>
        <v/>
      </c>
      <c r="O7303" s="68"/>
      <c r="P7303" s="36" t="str">
        <f t="shared" si="722"/>
        <v/>
      </c>
      <c r="Q7303" s="216" t="str">
        <f t="shared" si="723"/>
        <v/>
      </c>
      <c r="R7303" s="216" t="str">
        <f t="shared" si="724"/>
        <v/>
      </c>
      <c r="S7303" s="217" t="str">
        <f t="shared" si="725"/>
        <v/>
      </c>
    </row>
    <row r="7304" spans="1:19" ht="15.75" hidden="1" thickBot="1" x14ac:dyDescent="0.3">
      <c r="A7304" s="256" t="s">
        <v>6728</v>
      </c>
      <c r="B7304" s="259" t="str">
        <f>INDEX(Orçamentária!A:B,MATCH(Composições!A7304,Orçamentária!A:A,0),2)</f>
        <v>Tê Fêmea 26 mm x 3/4” para tubo PEX para gás - GLP</v>
      </c>
      <c r="C7304" s="40"/>
      <c r="D7304" s="25" t="s">
        <v>16</v>
      </c>
      <c r="E7304" s="26"/>
      <c r="F7304" s="41" t="s">
        <v>416</v>
      </c>
      <c r="G7304" s="27" t="str">
        <f t="shared" si="726"/>
        <v/>
      </c>
      <c r="H7304" s="28"/>
      <c r="I7304" s="29"/>
      <c r="J7304" s="152">
        <v>0</v>
      </c>
      <c r="L7304" s="218"/>
      <c r="M7304" s="41"/>
      <c r="N7304" s="27" t="str">
        <f t="shared" si="727"/>
        <v/>
      </c>
      <c r="O7304" s="28"/>
      <c r="P7304" s="36" t="str">
        <f t="shared" ref="P7304:P7367" si="728">IF(ISBLANK(L7304),"",IF($E7304&lt;&gt;L7304,"SIM",""))</f>
        <v/>
      </c>
      <c r="Q7304" s="216" t="str">
        <f t="shared" ref="Q7304:Q7367" si="729">IF(M7304="","",1-M7304/$F7304)</f>
        <v/>
      </c>
      <c r="R7304" s="216" t="str">
        <f t="shared" ref="R7304:R7367" si="730">IF(N7304="","",1-N7304/$G7304)</f>
        <v/>
      </c>
      <c r="S7304" s="217" t="str">
        <f t="shared" ref="S7304:S7367" si="731">IF(O7304="","",1-O7304/$H7304)</f>
        <v/>
      </c>
    </row>
    <row r="7305" spans="1:19" ht="15.75" hidden="1" thickBot="1" x14ac:dyDescent="0.3">
      <c r="A7305" s="262"/>
      <c r="B7305" s="260"/>
      <c r="C7305" s="31"/>
      <c r="D7305" s="31"/>
      <c r="E7305" s="32"/>
      <c r="F7305" s="42" t="s">
        <v>416</v>
      </c>
      <c r="G7305" s="33" t="str">
        <f t="shared" si="726"/>
        <v/>
      </c>
      <c r="H7305" s="34"/>
      <c r="I7305" s="30"/>
      <c r="J7305" s="152">
        <v>0</v>
      </c>
      <c r="L7305" s="219"/>
      <c r="M7305" s="42"/>
      <c r="N7305" s="33" t="str">
        <f t="shared" si="727"/>
        <v/>
      </c>
      <c r="O7305" s="34"/>
      <c r="P7305" s="36" t="str">
        <f t="shared" si="728"/>
        <v/>
      </c>
      <c r="Q7305" s="216" t="str">
        <f t="shared" si="729"/>
        <v/>
      </c>
      <c r="R7305" s="216" t="str">
        <f t="shared" si="730"/>
        <v/>
      </c>
      <c r="S7305" s="217" t="str">
        <f t="shared" si="731"/>
        <v/>
      </c>
    </row>
    <row r="7306" spans="1:19" ht="15.75" hidden="1" thickBot="1" x14ac:dyDescent="0.3">
      <c r="A7306" s="262"/>
      <c r="B7306" s="260"/>
      <c r="C7306" s="35" t="s">
        <v>6806</v>
      </c>
      <c r="D7306" s="35" t="s">
        <v>16</v>
      </c>
      <c r="E7306" s="36">
        <v>1</v>
      </c>
      <c r="F7306" s="30">
        <v>0</v>
      </c>
      <c r="G7306" s="33">
        <f t="shared" si="726"/>
        <v>0</v>
      </c>
      <c r="H7306" s="38">
        <f>SUM(G7306:G7306)</f>
        <v>0</v>
      </c>
      <c r="I7306" s="39"/>
      <c r="J7306" s="152">
        <v>0</v>
      </c>
      <c r="L7306" s="215">
        <v>1</v>
      </c>
      <c r="M7306" s="30">
        <v>0</v>
      </c>
      <c r="N7306" s="33">
        <f t="shared" si="727"/>
        <v>0</v>
      </c>
      <c r="O7306" s="38">
        <f>SUM(N7306:N7306)</f>
        <v>0</v>
      </c>
      <c r="P7306" s="36" t="str">
        <f t="shared" si="728"/>
        <v/>
      </c>
      <c r="Q7306" s="216" t="e">
        <f t="shared" si="729"/>
        <v>#DIV/0!</v>
      </c>
      <c r="R7306" s="216" t="e">
        <f t="shared" si="730"/>
        <v>#DIV/0!</v>
      </c>
      <c r="S7306" s="217" t="e">
        <f t="shared" si="731"/>
        <v>#DIV/0!</v>
      </c>
    </row>
    <row r="7307" spans="1:19" ht="15.75" hidden="1" thickBot="1" x14ac:dyDescent="0.3">
      <c r="A7307" s="263"/>
      <c r="B7307" s="261"/>
      <c r="C7307" s="54"/>
      <c r="D7307" s="54"/>
      <c r="E7307" s="65"/>
      <c r="F7307" s="66" t="s">
        <v>416</v>
      </c>
      <c r="G7307" s="67" t="str">
        <f t="shared" si="726"/>
        <v/>
      </c>
      <c r="H7307" s="68"/>
      <c r="I7307" s="30"/>
      <c r="J7307" s="152">
        <v>0</v>
      </c>
      <c r="L7307" s="222"/>
      <c r="M7307" s="66"/>
      <c r="N7307" s="67" t="str">
        <f t="shared" si="727"/>
        <v/>
      </c>
      <c r="O7307" s="68"/>
      <c r="P7307" s="36" t="str">
        <f t="shared" si="728"/>
        <v/>
      </c>
      <c r="Q7307" s="216" t="str">
        <f t="shared" si="729"/>
        <v/>
      </c>
      <c r="R7307" s="216" t="str">
        <f t="shared" si="730"/>
        <v/>
      </c>
      <c r="S7307" s="217" t="str">
        <f t="shared" si="731"/>
        <v/>
      </c>
    </row>
    <row r="7308" spans="1:19" ht="15.75" hidden="1" thickBot="1" x14ac:dyDescent="0.3">
      <c r="A7308" s="256" t="s">
        <v>6729</v>
      </c>
      <c r="B7308" s="259" t="str">
        <f>INDEX(Orçamentária!A:B,MATCH(Composições!A7308,Orçamentária!A:A,0),2)</f>
        <v>Tubo de sistema PEX multicamada flexível 20 mm para gás</v>
      </c>
      <c r="C7308" s="40"/>
      <c r="D7308" s="25" t="s">
        <v>69</v>
      </c>
      <c r="E7308" s="26"/>
      <c r="F7308" s="41" t="s">
        <v>416</v>
      </c>
      <c r="G7308" s="27" t="str">
        <f t="shared" si="726"/>
        <v/>
      </c>
      <c r="H7308" s="28"/>
      <c r="I7308" s="29"/>
      <c r="J7308" s="152">
        <v>0</v>
      </c>
      <c r="L7308" s="218"/>
      <c r="M7308" s="41"/>
      <c r="N7308" s="27" t="str">
        <f t="shared" si="727"/>
        <v/>
      </c>
      <c r="O7308" s="28"/>
      <c r="P7308" s="36" t="str">
        <f t="shared" si="728"/>
        <v/>
      </c>
      <c r="Q7308" s="216" t="str">
        <f t="shared" si="729"/>
        <v/>
      </c>
      <c r="R7308" s="216" t="str">
        <f t="shared" si="730"/>
        <v/>
      </c>
      <c r="S7308" s="217" t="str">
        <f t="shared" si="731"/>
        <v/>
      </c>
    </row>
    <row r="7309" spans="1:19" ht="15.75" hidden="1" thickBot="1" x14ac:dyDescent="0.3">
      <c r="A7309" s="262"/>
      <c r="B7309" s="260"/>
      <c r="C7309" s="31"/>
      <c r="D7309" s="31"/>
      <c r="E7309" s="32"/>
      <c r="F7309" s="42" t="s">
        <v>416</v>
      </c>
      <c r="G7309" s="33" t="str">
        <f t="shared" si="726"/>
        <v/>
      </c>
      <c r="H7309" s="34"/>
      <c r="I7309" s="30"/>
      <c r="J7309" s="152">
        <v>0</v>
      </c>
      <c r="L7309" s="219"/>
      <c r="M7309" s="42"/>
      <c r="N7309" s="33" t="str">
        <f t="shared" si="727"/>
        <v/>
      </c>
      <c r="O7309" s="34"/>
      <c r="P7309" s="36" t="str">
        <f t="shared" si="728"/>
        <v/>
      </c>
      <c r="Q7309" s="216" t="str">
        <f t="shared" si="729"/>
        <v/>
      </c>
      <c r="R7309" s="216" t="str">
        <f t="shared" si="730"/>
        <v/>
      </c>
      <c r="S7309" s="217" t="str">
        <f t="shared" si="731"/>
        <v/>
      </c>
    </row>
    <row r="7310" spans="1:19" ht="26.25" hidden="1" thickBot="1" x14ac:dyDescent="0.3">
      <c r="A7310" s="262"/>
      <c r="B7310" s="260"/>
      <c r="C7310" s="35" t="s">
        <v>2951</v>
      </c>
      <c r="D7310" s="35" t="s">
        <v>385</v>
      </c>
      <c r="E7310" s="36">
        <v>1</v>
      </c>
      <c r="F7310" s="30">
        <v>17.166499999999999</v>
      </c>
      <c r="G7310" s="33">
        <f t="shared" si="726"/>
        <v>17.166499999999999</v>
      </c>
      <c r="H7310" s="38">
        <f>SUM(G7310:G7310)</f>
        <v>17.166499999999999</v>
      </c>
      <c r="I7310" s="39"/>
      <c r="J7310" s="152">
        <v>0</v>
      </c>
      <c r="L7310" s="215">
        <v>1</v>
      </c>
      <c r="M7310" s="30">
        <v>14.694523999999999</v>
      </c>
      <c r="N7310" s="33">
        <f t="shared" si="727"/>
        <v>14.694523999999999</v>
      </c>
      <c r="O7310" s="38">
        <f>SUM(N7310:N7310)</f>
        <v>14.694523999999999</v>
      </c>
      <c r="P7310" s="36" t="str">
        <f t="shared" si="728"/>
        <v/>
      </c>
      <c r="Q7310" s="216">
        <f t="shared" si="729"/>
        <v>0.14400000000000002</v>
      </c>
      <c r="R7310" s="216">
        <f t="shared" si="730"/>
        <v>0.14400000000000002</v>
      </c>
      <c r="S7310" s="217">
        <f t="shared" si="731"/>
        <v>0.14400000000000002</v>
      </c>
    </row>
    <row r="7311" spans="1:19" ht="15.75" hidden="1" thickBot="1" x14ac:dyDescent="0.3">
      <c r="A7311" s="263"/>
      <c r="B7311" s="261"/>
      <c r="C7311" s="54"/>
      <c r="D7311" s="54"/>
      <c r="E7311" s="65"/>
      <c r="F7311" s="66" t="s">
        <v>416</v>
      </c>
      <c r="G7311" s="67" t="str">
        <f t="shared" si="726"/>
        <v/>
      </c>
      <c r="H7311" s="68"/>
      <c r="I7311" s="30"/>
      <c r="J7311" s="152">
        <v>0</v>
      </c>
      <c r="L7311" s="222"/>
      <c r="M7311" s="66"/>
      <c r="N7311" s="67" t="str">
        <f t="shared" si="727"/>
        <v/>
      </c>
      <c r="O7311" s="68"/>
      <c r="P7311" s="36" t="str">
        <f t="shared" si="728"/>
        <v/>
      </c>
      <c r="Q7311" s="216" t="str">
        <f t="shared" si="729"/>
        <v/>
      </c>
      <c r="R7311" s="216" t="str">
        <f t="shared" si="730"/>
        <v/>
      </c>
      <c r="S7311" s="217" t="str">
        <f t="shared" si="731"/>
        <v/>
      </c>
    </row>
    <row r="7312" spans="1:19" ht="15.75" hidden="1" thickBot="1" x14ac:dyDescent="0.3">
      <c r="A7312" s="256" t="s">
        <v>6734</v>
      </c>
      <c r="B7312" s="259" t="str">
        <f>INDEX(Orçamentária!A:B,MATCH(Composições!A7312,Orçamentária!A:A,0),2)</f>
        <v>Tubo de sistema PEX multicamada flexível 26 mm para gás</v>
      </c>
      <c r="C7312" s="40"/>
      <c r="D7312" s="25" t="s">
        <v>69</v>
      </c>
      <c r="E7312" s="26"/>
      <c r="F7312" s="41" t="s">
        <v>416</v>
      </c>
      <c r="G7312" s="27" t="str">
        <f t="shared" si="726"/>
        <v/>
      </c>
      <c r="H7312" s="28"/>
      <c r="I7312" s="29"/>
      <c r="J7312" s="152">
        <v>0</v>
      </c>
      <c r="L7312" s="218"/>
      <c r="M7312" s="41"/>
      <c r="N7312" s="27" t="str">
        <f t="shared" si="727"/>
        <v/>
      </c>
      <c r="O7312" s="28"/>
      <c r="P7312" s="36" t="str">
        <f t="shared" si="728"/>
        <v/>
      </c>
      <c r="Q7312" s="216" t="str">
        <f t="shared" si="729"/>
        <v/>
      </c>
      <c r="R7312" s="216" t="str">
        <f t="shared" si="730"/>
        <v/>
      </c>
      <c r="S7312" s="217" t="str">
        <f t="shared" si="731"/>
        <v/>
      </c>
    </row>
    <row r="7313" spans="1:19" ht="15.75" hidden="1" thickBot="1" x14ac:dyDescent="0.3">
      <c r="A7313" s="262"/>
      <c r="B7313" s="260"/>
      <c r="C7313" s="31"/>
      <c r="D7313" s="31"/>
      <c r="E7313" s="32"/>
      <c r="F7313" s="42" t="s">
        <v>416</v>
      </c>
      <c r="G7313" s="33" t="str">
        <f t="shared" si="726"/>
        <v/>
      </c>
      <c r="H7313" s="34"/>
      <c r="I7313" s="30"/>
      <c r="J7313" s="152">
        <v>0</v>
      </c>
      <c r="L7313" s="219"/>
      <c r="M7313" s="42"/>
      <c r="N7313" s="33" t="str">
        <f t="shared" si="727"/>
        <v/>
      </c>
      <c r="O7313" s="34"/>
      <c r="P7313" s="36" t="str">
        <f t="shared" si="728"/>
        <v/>
      </c>
      <c r="Q7313" s="216" t="str">
        <f t="shared" si="729"/>
        <v/>
      </c>
      <c r="R7313" s="216" t="str">
        <f t="shared" si="730"/>
        <v/>
      </c>
      <c r="S7313" s="217" t="str">
        <f t="shared" si="731"/>
        <v/>
      </c>
    </row>
    <row r="7314" spans="1:19" ht="26.25" hidden="1" thickBot="1" x14ac:dyDescent="0.3">
      <c r="A7314" s="262"/>
      <c r="B7314" s="260"/>
      <c r="C7314" s="35" t="s">
        <v>2950</v>
      </c>
      <c r="D7314" s="35" t="s">
        <v>385</v>
      </c>
      <c r="E7314" s="36">
        <v>1</v>
      </c>
      <c r="F7314" s="30">
        <v>23.778500000000001</v>
      </c>
      <c r="G7314" s="33">
        <f t="shared" si="726"/>
        <v>23.778500000000001</v>
      </c>
      <c r="H7314" s="38">
        <f>SUM(G7314:G7314)</f>
        <v>23.778500000000001</v>
      </c>
      <c r="I7314" s="39"/>
      <c r="J7314" s="152">
        <v>0</v>
      </c>
      <c r="L7314" s="215">
        <v>1</v>
      </c>
      <c r="M7314" s="30">
        <v>20.354396000000001</v>
      </c>
      <c r="N7314" s="33">
        <f t="shared" si="727"/>
        <v>20.354396000000001</v>
      </c>
      <c r="O7314" s="38">
        <f>SUM(N7314:N7314)</f>
        <v>20.354396000000001</v>
      </c>
      <c r="P7314" s="36" t="str">
        <f t="shared" si="728"/>
        <v/>
      </c>
      <c r="Q7314" s="216">
        <f t="shared" si="729"/>
        <v>0.14400000000000002</v>
      </c>
      <c r="R7314" s="216">
        <f t="shared" si="730"/>
        <v>0.14400000000000002</v>
      </c>
      <c r="S7314" s="217">
        <f t="shared" si="731"/>
        <v>0.14400000000000002</v>
      </c>
    </row>
    <row r="7315" spans="1:19" ht="15.75" hidden="1" thickBot="1" x14ac:dyDescent="0.3">
      <c r="A7315" s="263"/>
      <c r="B7315" s="261"/>
      <c r="C7315" s="54"/>
      <c r="D7315" s="54"/>
      <c r="E7315" s="65"/>
      <c r="F7315" s="66" t="s">
        <v>416</v>
      </c>
      <c r="G7315" s="67" t="str">
        <f t="shared" si="726"/>
        <v/>
      </c>
      <c r="H7315" s="68"/>
      <c r="I7315" s="30"/>
      <c r="J7315" s="152">
        <v>0</v>
      </c>
      <c r="L7315" s="222"/>
      <c r="M7315" s="66"/>
      <c r="N7315" s="67" t="str">
        <f t="shared" si="727"/>
        <v/>
      </c>
      <c r="O7315" s="68"/>
      <c r="P7315" s="36" t="str">
        <f t="shared" si="728"/>
        <v/>
      </c>
      <c r="Q7315" s="216" t="str">
        <f t="shared" si="729"/>
        <v/>
      </c>
      <c r="R7315" s="216" t="str">
        <f t="shared" si="730"/>
        <v/>
      </c>
      <c r="S7315" s="217" t="str">
        <f t="shared" si="731"/>
        <v/>
      </c>
    </row>
    <row r="7316" spans="1:19" ht="15.75" hidden="1" thickBot="1" x14ac:dyDescent="0.3">
      <c r="A7316" s="256" t="s">
        <v>6737</v>
      </c>
      <c r="B7316" s="259" t="str">
        <f>INDEX(Orçamentária!A:B,MATCH(Composições!A7316,Orçamentária!A:A,0),2)</f>
        <v>Pastilha de porcelana (2 x 2 cm) – Fornecimento e instalação</v>
      </c>
      <c r="C7316" s="40"/>
      <c r="D7316" s="25" t="s">
        <v>70</v>
      </c>
      <c r="E7316" s="26"/>
      <c r="F7316" s="48" t="s">
        <v>416</v>
      </c>
      <c r="G7316" s="27" t="str">
        <f t="shared" si="726"/>
        <v/>
      </c>
      <c r="H7316" s="28"/>
      <c r="I7316" s="29"/>
      <c r="J7316" s="152">
        <v>0</v>
      </c>
      <c r="L7316" s="218"/>
      <c r="M7316" s="48"/>
      <c r="N7316" s="27" t="str">
        <f t="shared" si="727"/>
        <v/>
      </c>
      <c r="O7316" s="28"/>
      <c r="P7316" s="36" t="str">
        <f t="shared" si="728"/>
        <v/>
      </c>
      <c r="Q7316" s="216" t="str">
        <f t="shared" si="729"/>
        <v/>
      </c>
      <c r="R7316" s="216" t="str">
        <f t="shared" si="730"/>
        <v/>
      </c>
      <c r="S7316" s="217" t="str">
        <f t="shared" si="731"/>
        <v/>
      </c>
    </row>
    <row r="7317" spans="1:19" ht="15.75" hidden="1" thickBot="1" x14ac:dyDescent="0.3">
      <c r="A7317" s="257"/>
      <c r="B7317" s="260"/>
      <c r="C7317" s="31"/>
      <c r="D7317" s="31"/>
      <c r="E7317" s="32"/>
      <c r="F7317" s="53" t="s">
        <v>416</v>
      </c>
      <c r="G7317" s="53" t="str">
        <f t="shared" si="726"/>
        <v/>
      </c>
      <c r="H7317" s="72"/>
      <c r="I7317" s="73"/>
      <c r="J7317" s="152">
        <v>0</v>
      </c>
      <c r="L7317" s="219"/>
      <c r="M7317" s="53"/>
      <c r="N7317" s="53" t="str">
        <f t="shared" si="727"/>
        <v/>
      </c>
      <c r="O7317" s="72"/>
      <c r="P7317" s="36" t="str">
        <f t="shared" si="728"/>
        <v/>
      </c>
      <c r="Q7317" s="216" t="str">
        <f t="shared" si="729"/>
        <v/>
      </c>
      <c r="R7317" s="216" t="str">
        <f t="shared" si="730"/>
        <v/>
      </c>
      <c r="S7317" s="217" t="str">
        <f t="shared" si="731"/>
        <v/>
      </c>
    </row>
    <row r="7318" spans="1:19" ht="39" hidden="1" thickBot="1" x14ac:dyDescent="0.3">
      <c r="A7318" s="257"/>
      <c r="B7318" s="260"/>
      <c r="C7318" s="35" t="s">
        <v>8562</v>
      </c>
      <c r="D7318" s="35" t="s">
        <v>861</v>
      </c>
      <c r="E7318" s="36">
        <v>1.1599999999999999</v>
      </c>
      <c r="F7318" s="30">
        <v>188.0145</v>
      </c>
      <c r="G7318" s="53">
        <f t="shared" si="726"/>
        <v>218.09681999999998</v>
      </c>
      <c r="H7318" s="38">
        <f>SUM(G7318:G7321)</f>
        <v>286.49976499999997</v>
      </c>
      <c r="I7318" s="39"/>
      <c r="J7318" s="152">
        <v>0</v>
      </c>
      <c r="L7318" s="215">
        <v>1.1599999999999999</v>
      </c>
      <c r="M7318" s="30">
        <v>160.94041200000001</v>
      </c>
      <c r="N7318" s="53">
        <f t="shared" si="727"/>
        <v>186.69087791999999</v>
      </c>
      <c r="O7318" s="38">
        <f>SUM(N7318:N7321)</f>
        <v>245.24379883999998</v>
      </c>
      <c r="P7318" s="36" t="str">
        <f t="shared" si="728"/>
        <v/>
      </c>
      <c r="Q7318" s="216">
        <f t="shared" si="729"/>
        <v>0.14399999999999991</v>
      </c>
      <c r="R7318" s="216">
        <f t="shared" si="730"/>
        <v>0.14399999999999991</v>
      </c>
      <c r="S7318" s="217">
        <f t="shared" si="731"/>
        <v>0.14400000000000002</v>
      </c>
    </row>
    <row r="7319" spans="1:19" ht="15.75" hidden="1" thickBot="1" x14ac:dyDescent="0.3">
      <c r="A7319" s="257"/>
      <c r="B7319" s="260"/>
      <c r="C7319" s="35" t="s">
        <v>7988</v>
      </c>
      <c r="D7319" s="35" t="s">
        <v>773</v>
      </c>
      <c r="E7319" s="36">
        <v>9.84</v>
      </c>
      <c r="F7319" s="33">
        <v>2.0710000000000002</v>
      </c>
      <c r="G7319" s="33">
        <f t="shared" si="726"/>
        <v>20.378640000000001</v>
      </c>
      <c r="H7319" s="34"/>
      <c r="I7319" s="30"/>
      <c r="J7319" s="152">
        <v>0</v>
      </c>
      <c r="L7319" s="215">
        <v>9.84</v>
      </c>
      <c r="M7319" s="33">
        <v>1.7727760000000001</v>
      </c>
      <c r="N7319" s="33">
        <f t="shared" si="727"/>
        <v>17.444115840000002</v>
      </c>
      <c r="O7319" s="34"/>
      <c r="P7319" s="36" t="str">
        <f t="shared" si="728"/>
        <v/>
      </c>
      <c r="Q7319" s="216">
        <f t="shared" si="729"/>
        <v>0.14400000000000002</v>
      </c>
      <c r="R7319" s="216">
        <f t="shared" si="730"/>
        <v>0.14399999999999991</v>
      </c>
      <c r="S7319" s="217" t="str">
        <f t="shared" si="731"/>
        <v/>
      </c>
    </row>
    <row r="7320" spans="1:19" ht="15.75" hidden="1" thickBot="1" x14ac:dyDescent="0.3">
      <c r="A7320" s="257"/>
      <c r="B7320" s="260"/>
      <c r="C7320" s="35" t="s">
        <v>1079</v>
      </c>
      <c r="D7320" s="35" t="s">
        <v>583</v>
      </c>
      <c r="E7320" s="36">
        <v>1.29</v>
      </c>
      <c r="F7320" s="30">
        <v>27.036999999999999</v>
      </c>
      <c r="G7320" s="53">
        <f t="shared" si="726"/>
        <v>34.87773</v>
      </c>
      <c r="H7320" s="43"/>
      <c r="I7320" s="39"/>
      <c r="J7320" s="152">
        <v>0</v>
      </c>
      <c r="L7320" s="215">
        <v>1.29</v>
      </c>
      <c r="M7320" s="30">
        <v>23.143671999999999</v>
      </c>
      <c r="N7320" s="53">
        <f t="shared" si="727"/>
        <v>29.855336879999999</v>
      </c>
      <c r="O7320" s="43"/>
      <c r="P7320" s="36" t="str">
        <f t="shared" si="728"/>
        <v/>
      </c>
      <c r="Q7320" s="216">
        <f t="shared" si="729"/>
        <v>0.14400000000000002</v>
      </c>
      <c r="R7320" s="216">
        <f t="shared" si="730"/>
        <v>0.14400000000000002</v>
      </c>
      <c r="S7320" s="217" t="str">
        <f t="shared" si="731"/>
        <v/>
      </c>
    </row>
    <row r="7321" spans="1:19" ht="15.75" hidden="1" thickBot="1" x14ac:dyDescent="0.3">
      <c r="A7321" s="257"/>
      <c r="B7321" s="260"/>
      <c r="C7321" s="35" t="s">
        <v>584</v>
      </c>
      <c r="D7321" s="35" t="s">
        <v>583</v>
      </c>
      <c r="E7321" s="36">
        <v>0.65</v>
      </c>
      <c r="F7321" s="30">
        <v>20.225499999999997</v>
      </c>
      <c r="G7321" s="53">
        <f t="shared" si="726"/>
        <v>13.146574999999999</v>
      </c>
      <c r="H7321" s="43"/>
      <c r="I7321" s="39"/>
      <c r="J7321" s="152">
        <v>0</v>
      </c>
      <c r="L7321" s="215">
        <v>0.65</v>
      </c>
      <c r="M7321" s="30">
        <v>17.313027999999996</v>
      </c>
      <c r="N7321" s="53">
        <f t="shared" si="727"/>
        <v>11.253468199999997</v>
      </c>
      <c r="O7321" s="43"/>
      <c r="P7321" s="36" t="str">
        <f t="shared" si="728"/>
        <v/>
      </c>
      <c r="Q7321" s="216">
        <f t="shared" si="729"/>
        <v>0.14400000000000013</v>
      </c>
      <c r="R7321" s="216">
        <f t="shared" si="730"/>
        <v>0.14400000000000013</v>
      </c>
      <c r="S7321" s="217" t="str">
        <f t="shared" si="731"/>
        <v/>
      </c>
    </row>
    <row r="7322" spans="1:19" ht="15.75" hidden="1" thickBot="1" x14ac:dyDescent="0.3">
      <c r="A7322" s="258"/>
      <c r="B7322" s="261"/>
      <c r="C7322" s="54"/>
      <c r="D7322" s="155"/>
      <c r="E7322" s="65"/>
      <c r="F7322" s="75" t="s">
        <v>416</v>
      </c>
      <c r="G7322" s="75" t="str">
        <f t="shared" si="726"/>
        <v/>
      </c>
      <c r="H7322" s="76"/>
      <c r="I7322" s="73"/>
      <c r="J7322" s="152">
        <v>0</v>
      </c>
      <c r="L7322" s="222"/>
      <c r="M7322" s="75"/>
      <c r="N7322" s="75" t="str">
        <f t="shared" si="727"/>
        <v/>
      </c>
      <c r="O7322" s="76"/>
      <c r="P7322" s="36" t="str">
        <f t="shared" si="728"/>
        <v/>
      </c>
      <c r="Q7322" s="216" t="str">
        <f t="shared" si="729"/>
        <v/>
      </c>
      <c r="R7322" s="216" t="str">
        <f t="shared" si="730"/>
        <v/>
      </c>
      <c r="S7322" s="217" t="str">
        <f t="shared" si="731"/>
        <v/>
      </c>
    </row>
    <row r="7323" spans="1:19" ht="15.75" thickBot="1" x14ac:dyDescent="0.3">
      <c r="A7323" s="256" t="s">
        <v>6740</v>
      </c>
      <c r="B7323" s="259" t="str">
        <f>INDEX(Orçamentária!A:B,MATCH(Composições!A7323,Orçamentária!A:A,0),2)</f>
        <v>Eletroduto de PEAD de 4"</v>
      </c>
      <c r="C7323" s="40"/>
      <c r="D7323" s="25" t="s">
        <v>69</v>
      </c>
      <c r="E7323" s="26"/>
      <c r="F7323" s="48" t="s">
        <v>416</v>
      </c>
      <c r="G7323" s="27" t="str">
        <f t="shared" si="726"/>
        <v/>
      </c>
      <c r="H7323" s="28"/>
      <c r="I7323" s="29"/>
      <c r="J7323" s="152">
        <v>110</v>
      </c>
      <c r="L7323" s="218"/>
      <c r="M7323" s="48"/>
      <c r="N7323" s="27" t="str">
        <f t="shared" si="727"/>
        <v/>
      </c>
      <c r="O7323" s="28"/>
      <c r="P7323" s="36" t="str">
        <f t="shared" si="728"/>
        <v/>
      </c>
      <c r="Q7323" s="216" t="str">
        <f t="shared" si="729"/>
        <v/>
      </c>
      <c r="R7323" s="216" t="str">
        <f t="shared" si="730"/>
        <v/>
      </c>
      <c r="S7323" s="217" t="str">
        <f t="shared" si="731"/>
        <v/>
      </c>
    </row>
    <row r="7324" spans="1:19" x14ac:dyDescent="0.25">
      <c r="A7324" s="257"/>
      <c r="B7324" s="260"/>
      <c r="C7324" s="31"/>
      <c r="D7324" s="31"/>
      <c r="E7324" s="32"/>
      <c r="F7324" s="53" t="s">
        <v>416</v>
      </c>
      <c r="G7324" s="53" t="str">
        <f t="shared" si="726"/>
        <v/>
      </c>
      <c r="H7324" s="72"/>
      <c r="I7324" s="73"/>
      <c r="J7324" s="152">
        <v>110</v>
      </c>
      <c r="L7324" s="219"/>
      <c r="M7324" s="53"/>
      <c r="N7324" s="53" t="str">
        <f t="shared" si="727"/>
        <v/>
      </c>
      <c r="O7324" s="72"/>
      <c r="P7324" s="36" t="str">
        <f t="shared" si="728"/>
        <v/>
      </c>
      <c r="Q7324" s="216" t="str">
        <f t="shared" si="729"/>
        <v/>
      </c>
      <c r="R7324" s="216" t="str">
        <f t="shared" si="730"/>
        <v/>
      </c>
      <c r="S7324" s="217" t="str">
        <f t="shared" si="731"/>
        <v/>
      </c>
    </row>
    <row r="7325" spans="1:19" ht="38.25" x14ac:dyDescent="0.25">
      <c r="A7325" s="257"/>
      <c r="B7325" s="260"/>
      <c r="C7325" s="35" t="s">
        <v>8153</v>
      </c>
      <c r="D7325" s="35" t="s">
        <v>385</v>
      </c>
      <c r="E7325" s="36">
        <v>1.1000000000000001</v>
      </c>
      <c r="F7325" s="30">
        <v>10.715999999999999</v>
      </c>
      <c r="G7325" s="53">
        <f t="shared" si="726"/>
        <v>11.787599999999999</v>
      </c>
      <c r="H7325" s="38">
        <f>SUM(G7325:G7327)</f>
        <v>20.292609899999999</v>
      </c>
      <c r="I7325" s="39"/>
      <c r="J7325" s="152">
        <v>110</v>
      </c>
      <c r="L7325" s="215">
        <v>1.1000000000000001</v>
      </c>
      <c r="M7325" s="30">
        <v>9.1728959999999997</v>
      </c>
      <c r="N7325" s="53">
        <f t="shared" si="727"/>
        <v>10.0901856</v>
      </c>
      <c r="O7325" s="38">
        <f>SUM(N7325:N7327)</f>
        <v>17.370474074400001</v>
      </c>
      <c r="P7325" s="36" t="str">
        <f t="shared" si="728"/>
        <v/>
      </c>
      <c r="Q7325" s="216">
        <f t="shared" si="729"/>
        <v>0.14400000000000002</v>
      </c>
      <c r="R7325" s="216">
        <f t="shared" si="730"/>
        <v>0.14400000000000002</v>
      </c>
      <c r="S7325" s="217">
        <f t="shared" si="731"/>
        <v>0.14399999999999991</v>
      </c>
    </row>
    <row r="7326" spans="1:19" x14ac:dyDescent="0.25">
      <c r="A7326" s="257"/>
      <c r="B7326" s="260"/>
      <c r="C7326" s="35" t="s">
        <v>1017</v>
      </c>
      <c r="D7326" s="35" t="s">
        <v>583</v>
      </c>
      <c r="E7326" s="36">
        <v>0.1721</v>
      </c>
      <c r="F7326" s="33">
        <v>21.584</v>
      </c>
      <c r="G7326" s="33">
        <f t="shared" si="726"/>
        <v>3.7146064000000001</v>
      </c>
      <c r="H7326" s="34"/>
      <c r="I7326" s="30"/>
      <c r="J7326" s="152">
        <v>110</v>
      </c>
      <c r="L7326" s="215">
        <v>0.1721</v>
      </c>
      <c r="M7326" s="33">
        <v>18.475904</v>
      </c>
      <c r="N7326" s="33">
        <f t="shared" si="727"/>
        <v>3.1797030784000002</v>
      </c>
      <c r="O7326" s="34"/>
      <c r="P7326" s="36" t="str">
        <f t="shared" si="728"/>
        <v/>
      </c>
      <c r="Q7326" s="216">
        <f t="shared" si="729"/>
        <v>0.14400000000000002</v>
      </c>
      <c r="R7326" s="216">
        <f t="shared" si="730"/>
        <v>0.14400000000000002</v>
      </c>
      <c r="S7326" s="217" t="str">
        <f t="shared" si="731"/>
        <v/>
      </c>
    </row>
    <row r="7327" spans="1:19" x14ac:dyDescent="0.25">
      <c r="A7327" s="257"/>
      <c r="B7327" s="260"/>
      <c r="C7327" s="35" t="s">
        <v>1018</v>
      </c>
      <c r="D7327" s="35" t="s">
        <v>583</v>
      </c>
      <c r="E7327" s="36">
        <v>0.1721</v>
      </c>
      <c r="F7327" s="30">
        <v>27.835000000000001</v>
      </c>
      <c r="G7327" s="53">
        <f t="shared" si="726"/>
        <v>4.7904035</v>
      </c>
      <c r="H7327" s="43"/>
      <c r="I7327" s="39"/>
      <c r="J7327" s="152">
        <v>110</v>
      </c>
      <c r="L7327" s="215">
        <v>0.1721</v>
      </c>
      <c r="M7327" s="30">
        <v>23.82676</v>
      </c>
      <c r="N7327" s="53">
        <f t="shared" si="727"/>
        <v>4.1005853960000005</v>
      </c>
      <c r="O7327" s="43"/>
      <c r="P7327" s="36" t="str">
        <f t="shared" si="728"/>
        <v/>
      </c>
      <c r="Q7327" s="216">
        <f t="shared" si="729"/>
        <v>0.14400000000000002</v>
      </c>
      <c r="R7327" s="216">
        <f t="shared" si="730"/>
        <v>0.14399999999999991</v>
      </c>
      <c r="S7327" s="217" t="str">
        <f t="shared" si="731"/>
        <v/>
      </c>
    </row>
    <row r="7328" spans="1:19" ht="15.75" thickBot="1" x14ac:dyDescent="0.3">
      <c r="A7328" s="258"/>
      <c r="B7328" s="261"/>
      <c r="C7328" s="54"/>
      <c r="D7328" s="155"/>
      <c r="E7328" s="65"/>
      <c r="F7328" s="75" t="s">
        <v>416</v>
      </c>
      <c r="G7328" s="75" t="str">
        <f t="shared" si="726"/>
        <v/>
      </c>
      <c r="H7328" s="76"/>
      <c r="I7328" s="73"/>
      <c r="J7328" s="152">
        <v>110</v>
      </c>
      <c r="L7328" s="222"/>
      <c r="M7328" s="75"/>
      <c r="N7328" s="75" t="str">
        <f t="shared" si="727"/>
        <v/>
      </c>
      <c r="O7328" s="76"/>
      <c r="P7328" s="36" t="str">
        <f t="shared" si="728"/>
        <v/>
      </c>
      <c r="Q7328" s="216" t="str">
        <f t="shared" si="729"/>
        <v/>
      </c>
      <c r="R7328" s="216" t="str">
        <f t="shared" si="730"/>
        <v/>
      </c>
      <c r="S7328" s="217" t="str">
        <f t="shared" si="731"/>
        <v/>
      </c>
    </row>
    <row r="7329" spans="1:19" ht="15.75" hidden="1" thickBot="1" x14ac:dyDescent="0.3">
      <c r="A7329" s="256" t="s">
        <v>6744</v>
      </c>
      <c r="B7329" s="259" t="str">
        <f>INDEX(Orçamentária!A:B,MATCH(Composições!A7329,Orçamentária!A:A,0),2)</f>
        <v>Poste de Concreto Circular L = 12 m</v>
      </c>
      <c r="C7329" s="40"/>
      <c r="D7329" s="25" t="s">
        <v>16</v>
      </c>
      <c r="E7329" s="26"/>
      <c r="F7329" s="48" t="s">
        <v>416</v>
      </c>
      <c r="G7329" s="27" t="str">
        <f t="shared" si="726"/>
        <v/>
      </c>
      <c r="H7329" s="28"/>
      <c r="I7329" s="29"/>
      <c r="J7329" s="152">
        <v>0</v>
      </c>
      <c r="L7329" s="218"/>
      <c r="M7329" s="48"/>
      <c r="N7329" s="27" t="str">
        <f t="shared" si="727"/>
        <v/>
      </c>
      <c r="O7329" s="28"/>
      <c r="P7329" s="36" t="str">
        <f t="shared" si="728"/>
        <v/>
      </c>
      <c r="Q7329" s="216" t="str">
        <f t="shared" si="729"/>
        <v/>
      </c>
      <c r="R7329" s="216" t="str">
        <f t="shared" si="730"/>
        <v/>
      </c>
      <c r="S7329" s="217" t="str">
        <f t="shared" si="731"/>
        <v/>
      </c>
    </row>
    <row r="7330" spans="1:19" ht="15.75" hidden="1" thickBot="1" x14ac:dyDescent="0.3">
      <c r="A7330" s="257"/>
      <c r="B7330" s="260"/>
      <c r="C7330" s="31"/>
      <c r="D7330" s="31"/>
      <c r="E7330" s="32"/>
      <c r="F7330" s="53" t="s">
        <v>416</v>
      </c>
      <c r="G7330" s="53" t="str">
        <f t="shared" si="726"/>
        <v/>
      </c>
      <c r="H7330" s="72"/>
      <c r="I7330" s="73"/>
      <c r="J7330" s="152">
        <v>0</v>
      </c>
      <c r="L7330" s="219"/>
      <c r="M7330" s="53"/>
      <c r="N7330" s="53" t="str">
        <f t="shared" si="727"/>
        <v/>
      </c>
      <c r="O7330" s="72"/>
      <c r="P7330" s="36" t="str">
        <f t="shared" si="728"/>
        <v/>
      </c>
      <c r="Q7330" s="216" t="str">
        <f t="shared" si="729"/>
        <v/>
      </c>
      <c r="R7330" s="216" t="str">
        <f t="shared" si="730"/>
        <v/>
      </c>
      <c r="S7330" s="217" t="str">
        <f t="shared" si="731"/>
        <v/>
      </c>
    </row>
    <row r="7331" spans="1:19" ht="15.75" hidden="1" thickBot="1" x14ac:dyDescent="0.3">
      <c r="A7331" s="257"/>
      <c r="B7331" s="260"/>
      <c r="C7331" s="35" t="s">
        <v>8027</v>
      </c>
      <c r="D7331" s="35" t="s">
        <v>385</v>
      </c>
      <c r="E7331" s="36">
        <v>9</v>
      </c>
      <c r="F7331" s="30">
        <v>37.809999999999995</v>
      </c>
      <c r="G7331" s="53">
        <f t="shared" si="726"/>
        <v>340.28999999999996</v>
      </c>
      <c r="H7331" s="38">
        <f>SUM(G7331:G7335)</f>
        <v>1844.5500674999998</v>
      </c>
      <c r="I7331" s="39"/>
      <c r="J7331" s="152">
        <v>0</v>
      </c>
      <c r="L7331" s="215">
        <v>9</v>
      </c>
      <c r="M7331" s="30">
        <v>32.365359999999995</v>
      </c>
      <c r="N7331" s="53">
        <f t="shared" si="727"/>
        <v>291.28823999999997</v>
      </c>
      <c r="O7331" s="38">
        <f>SUM(N7331:N7335)</f>
        <v>1578.9348577799999</v>
      </c>
      <c r="P7331" s="36" t="str">
        <f t="shared" si="728"/>
        <v/>
      </c>
      <c r="Q7331" s="216">
        <f t="shared" si="729"/>
        <v>0.14400000000000002</v>
      </c>
      <c r="R7331" s="216">
        <f t="shared" si="730"/>
        <v>0.14400000000000002</v>
      </c>
      <c r="S7331" s="217">
        <f t="shared" si="731"/>
        <v>0.14400000000000002</v>
      </c>
    </row>
    <row r="7332" spans="1:19" ht="51.75" hidden="1" thickBot="1" x14ac:dyDescent="0.3">
      <c r="A7332" s="257"/>
      <c r="B7332" s="260"/>
      <c r="C7332" s="35" t="s">
        <v>2864</v>
      </c>
      <c r="D7332" s="35" t="s">
        <v>813</v>
      </c>
      <c r="E7332" s="36">
        <v>7.6999999999999999E-2</v>
      </c>
      <c r="F7332" s="33">
        <v>252.10149999999999</v>
      </c>
      <c r="G7332" s="33">
        <f t="shared" si="726"/>
        <v>19.411815499999999</v>
      </c>
      <c r="H7332" s="34"/>
      <c r="I7332" s="30"/>
      <c r="J7332" s="152">
        <v>0</v>
      </c>
      <c r="L7332" s="215">
        <v>7.6999999999999999E-2</v>
      </c>
      <c r="M7332" s="33">
        <v>215.79888399999999</v>
      </c>
      <c r="N7332" s="33">
        <f t="shared" si="727"/>
        <v>16.616514067999997</v>
      </c>
      <c r="O7332" s="34"/>
      <c r="P7332" s="36" t="str">
        <f t="shared" si="728"/>
        <v/>
      </c>
      <c r="Q7332" s="216">
        <f t="shared" si="729"/>
        <v>0.14400000000000002</v>
      </c>
      <c r="R7332" s="216">
        <f t="shared" si="730"/>
        <v>0.14400000000000013</v>
      </c>
      <c r="S7332" s="217" t="str">
        <f t="shared" si="731"/>
        <v/>
      </c>
    </row>
    <row r="7333" spans="1:19" ht="15.75" hidden="1" thickBot="1" x14ac:dyDescent="0.3">
      <c r="A7333" s="257"/>
      <c r="B7333" s="260"/>
      <c r="C7333" s="35" t="s">
        <v>1017</v>
      </c>
      <c r="D7333" s="35" t="s">
        <v>583</v>
      </c>
      <c r="E7333" s="36">
        <v>1.2330000000000001</v>
      </c>
      <c r="F7333" s="30">
        <v>21.584</v>
      </c>
      <c r="G7333" s="53">
        <f t="shared" si="726"/>
        <v>26.613072000000003</v>
      </c>
      <c r="H7333" s="43"/>
      <c r="I7333" s="39"/>
      <c r="J7333" s="152">
        <v>0</v>
      </c>
      <c r="L7333" s="215">
        <v>1.2330000000000001</v>
      </c>
      <c r="M7333" s="30">
        <v>18.475904</v>
      </c>
      <c r="N7333" s="53">
        <f t="shared" si="727"/>
        <v>22.780789632000001</v>
      </c>
      <c r="O7333" s="43"/>
      <c r="P7333" s="36" t="str">
        <f t="shared" si="728"/>
        <v/>
      </c>
      <c r="Q7333" s="216">
        <f t="shared" si="729"/>
        <v>0.14400000000000002</v>
      </c>
      <c r="R7333" s="216">
        <f t="shared" si="730"/>
        <v>0.14400000000000002</v>
      </c>
      <c r="S7333" s="217" t="str">
        <f t="shared" si="731"/>
        <v/>
      </c>
    </row>
    <row r="7334" spans="1:19" ht="15.75" hidden="1" thickBot="1" x14ac:dyDescent="0.3">
      <c r="A7334" s="257"/>
      <c r="B7334" s="260"/>
      <c r="C7334" s="35" t="s">
        <v>1018</v>
      </c>
      <c r="D7334" s="35" t="s">
        <v>583</v>
      </c>
      <c r="E7334" s="36">
        <v>4.008</v>
      </c>
      <c r="F7334" s="30">
        <v>27.835000000000001</v>
      </c>
      <c r="G7334" s="53">
        <f t="shared" si="726"/>
        <v>111.56268</v>
      </c>
      <c r="H7334" s="43"/>
      <c r="I7334" s="39"/>
      <c r="J7334" s="152">
        <v>0</v>
      </c>
      <c r="L7334" s="215">
        <v>4.008</v>
      </c>
      <c r="M7334" s="30">
        <v>23.82676</v>
      </c>
      <c r="N7334" s="53">
        <f t="shared" si="727"/>
        <v>95.497654080000004</v>
      </c>
      <c r="O7334" s="43"/>
      <c r="P7334" s="36" t="str">
        <f t="shared" si="728"/>
        <v/>
      </c>
      <c r="Q7334" s="216">
        <f t="shared" si="729"/>
        <v>0.14400000000000002</v>
      </c>
      <c r="R7334" s="216">
        <f t="shared" si="730"/>
        <v>0.14400000000000002</v>
      </c>
      <c r="S7334" s="217" t="str">
        <f t="shared" si="731"/>
        <v/>
      </c>
    </row>
    <row r="7335" spans="1:19" ht="26.25" hidden="1" thickBot="1" x14ac:dyDescent="0.3">
      <c r="A7335" s="257"/>
      <c r="B7335" s="260"/>
      <c r="C7335" s="35" t="s">
        <v>8336</v>
      </c>
      <c r="D7335" s="35" t="s">
        <v>213</v>
      </c>
      <c r="E7335" s="36">
        <v>1</v>
      </c>
      <c r="F7335" s="30">
        <v>1346.6724999999999</v>
      </c>
      <c r="G7335" s="53">
        <f t="shared" si="726"/>
        <v>1346.6724999999999</v>
      </c>
      <c r="H7335" s="43"/>
      <c r="I7335" s="39"/>
      <c r="J7335" s="152">
        <v>0</v>
      </c>
      <c r="L7335" s="215">
        <v>1</v>
      </c>
      <c r="M7335" s="30">
        <v>1152.7516599999999</v>
      </c>
      <c r="N7335" s="53">
        <f t="shared" si="727"/>
        <v>1152.7516599999999</v>
      </c>
      <c r="O7335" s="43"/>
      <c r="P7335" s="36" t="str">
        <f t="shared" si="728"/>
        <v/>
      </c>
      <c r="Q7335" s="216">
        <f t="shared" si="729"/>
        <v>0.14400000000000002</v>
      </c>
      <c r="R7335" s="216">
        <f t="shared" si="730"/>
        <v>0.14400000000000002</v>
      </c>
      <c r="S7335" s="217" t="str">
        <f t="shared" si="731"/>
        <v/>
      </c>
    </row>
    <row r="7336" spans="1:19" ht="15.75" hidden="1" thickBot="1" x14ac:dyDescent="0.3">
      <c r="A7336" s="258"/>
      <c r="B7336" s="261"/>
      <c r="C7336" s="54"/>
      <c r="D7336" s="155"/>
      <c r="E7336" s="65"/>
      <c r="F7336" s="75" t="s">
        <v>416</v>
      </c>
      <c r="G7336" s="75" t="str">
        <f t="shared" si="726"/>
        <v/>
      </c>
      <c r="H7336" s="76"/>
      <c r="I7336" s="73"/>
      <c r="J7336" s="152">
        <v>0</v>
      </c>
      <c r="L7336" s="222"/>
      <c r="M7336" s="75"/>
      <c r="N7336" s="75" t="str">
        <f t="shared" si="727"/>
        <v/>
      </c>
      <c r="O7336" s="76"/>
      <c r="P7336" s="36" t="str">
        <f t="shared" si="728"/>
        <v/>
      </c>
      <c r="Q7336" s="216" t="str">
        <f t="shared" si="729"/>
        <v/>
      </c>
      <c r="R7336" s="216" t="str">
        <f t="shared" si="730"/>
        <v/>
      </c>
      <c r="S7336" s="217" t="str">
        <f t="shared" si="731"/>
        <v/>
      </c>
    </row>
    <row r="7337" spans="1:19" ht="15.75" hidden="1" thickBot="1" x14ac:dyDescent="0.3">
      <c r="A7337" s="256" t="s">
        <v>6745</v>
      </c>
      <c r="B7337" s="259" t="str">
        <f>INDEX(Orçamentária!A:B,MATCH(Composições!A7337,Orçamentária!A:A,0),2)</f>
        <v>Poste de Concreto Circular L = 9 m</v>
      </c>
      <c r="C7337" s="40"/>
      <c r="D7337" s="25" t="s">
        <v>16</v>
      </c>
      <c r="E7337" s="26"/>
      <c r="F7337" s="48" t="s">
        <v>416</v>
      </c>
      <c r="G7337" s="27" t="str">
        <f t="shared" si="726"/>
        <v/>
      </c>
      <c r="H7337" s="28"/>
      <c r="I7337" s="29"/>
      <c r="J7337" s="152">
        <v>0</v>
      </c>
      <c r="L7337" s="218"/>
      <c r="M7337" s="48"/>
      <c r="N7337" s="27" t="str">
        <f t="shared" si="727"/>
        <v/>
      </c>
      <c r="O7337" s="28"/>
      <c r="P7337" s="36" t="str">
        <f t="shared" si="728"/>
        <v/>
      </c>
      <c r="Q7337" s="216" t="str">
        <f t="shared" si="729"/>
        <v/>
      </c>
      <c r="R7337" s="216" t="str">
        <f t="shared" si="730"/>
        <v/>
      </c>
      <c r="S7337" s="217" t="str">
        <f t="shared" si="731"/>
        <v/>
      </c>
    </row>
    <row r="7338" spans="1:19" ht="15.75" hidden="1" thickBot="1" x14ac:dyDescent="0.3">
      <c r="A7338" s="257"/>
      <c r="B7338" s="260"/>
      <c r="C7338" s="31"/>
      <c r="D7338" s="31"/>
      <c r="E7338" s="32"/>
      <c r="F7338" s="53" t="s">
        <v>416</v>
      </c>
      <c r="G7338" s="53" t="str">
        <f t="shared" si="726"/>
        <v/>
      </c>
      <c r="H7338" s="72"/>
      <c r="I7338" s="73"/>
      <c r="J7338" s="152">
        <v>0</v>
      </c>
      <c r="L7338" s="219"/>
      <c r="M7338" s="53"/>
      <c r="N7338" s="53" t="str">
        <f t="shared" si="727"/>
        <v/>
      </c>
      <c r="O7338" s="72"/>
      <c r="P7338" s="36" t="str">
        <f t="shared" si="728"/>
        <v/>
      </c>
      <c r="Q7338" s="216" t="str">
        <f t="shared" si="729"/>
        <v/>
      </c>
      <c r="R7338" s="216" t="str">
        <f t="shared" si="730"/>
        <v/>
      </c>
      <c r="S7338" s="217" t="str">
        <f t="shared" si="731"/>
        <v/>
      </c>
    </row>
    <row r="7339" spans="1:19" ht="15.75" hidden="1" thickBot="1" x14ac:dyDescent="0.3">
      <c r="A7339" s="257"/>
      <c r="B7339" s="260"/>
      <c r="C7339" s="35" t="s">
        <v>8027</v>
      </c>
      <c r="D7339" s="35" t="s">
        <v>385</v>
      </c>
      <c r="E7339" s="36">
        <v>12</v>
      </c>
      <c r="F7339" s="30">
        <v>37.809999999999995</v>
      </c>
      <c r="G7339" s="53">
        <f t="shared" si="726"/>
        <v>453.71999999999991</v>
      </c>
      <c r="H7339" s="38">
        <f>SUM(G7339:G7343)</f>
        <v>1568.8636394999999</v>
      </c>
      <c r="I7339" s="39"/>
      <c r="J7339" s="152">
        <v>0</v>
      </c>
      <c r="L7339" s="215">
        <v>12</v>
      </c>
      <c r="M7339" s="30">
        <v>32.365359999999995</v>
      </c>
      <c r="N7339" s="53">
        <f t="shared" si="727"/>
        <v>388.38431999999995</v>
      </c>
      <c r="O7339" s="38">
        <f>SUM(N7339:N7343)</f>
        <v>1342.9472754119997</v>
      </c>
      <c r="P7339" s="36" t="str">
        <f t="shared" si="728"/>
        <v/>
      </c>
      <c r="Q7339" s="216">
        <f t="shared" si="729"/>
        <v>0.14400000000000002</v>
      </c>
      <c r="R7339" s="216">
        <f t="shared" si="730"/>
        <v>0.14399999999999991</v>
      </c>
      <c r="S7339" s="217">
        <f t="shared" si="731"/>
        <v>0.14400000000000013</v>
      </c>
    </row>
    <row r="7340" spans="1:19" ht="51.75" hidden="1" thickBot="1" x14ac:dyDescent="0.3">
      <c r="A7340" s="257"/>
      <c r="B7340" s="260"/>
      <c r="C7340" s="35" t="s">
        <v>2864</v>
      </c>
      <c r="D7340" s="35" t="s">
        <v>813</v>
      </c>
      <c r="E7340" s="36">
        <v>9.9000000000000005E-2</v>
      </c>
      <c r="F7340" s="33">
        <v>252.10149999999999</v>
      </c>
      <c r="G7340" s="33">
        <f t="shared" si="726"/>
        <v>24.9580485</v>
      </c>
      <c r="H7340" s="34"/>
      <c r="I7340" s="30"/>
      <c r="J7340" s="152">
        <v>0</v>
      </c>
      <c r="L7340" s="215">
        <v>9.9000000000000005E-2</v>
      </c>
      <c r="M7340" s="33">
        <v>215.79888399999999</v>
      </c>
      <c r="N7340" s="33">
        <f t="shared" si="727"/>
        <v>21.364089516</v>
      </c>
      <c r="O7340" s="34"/>
      <c r="P7340" s="36" t="str">
        <f t="shared" si="728"/>
        <v/>
      </c>
      <c r="Q7340" s="216">
        <f t="shared" si="729"/>
        <v>0.14400000000000002</v>
      </c>
      <c r="R7340" s="216">
        <f t="shared" si="730"/>
        <v>0.14400000000000002</v>
      </c>
      <c r="S7340" s="217" t="str">
        <f t="shared" si="731"/>
        <v/>
      </c>
    </row>
    <row r="7341" spans="1:19" ht="15.75" hidden="1" thickBot="1" x14ac:dyDescent="0.3">
      <c r="A7341" s="257"/>
      <c r="B7341" s="260"/>
      <c r="C7341" s="35" t="s">
        <v>1017</v>
      </c>
      <c r="D7341" s="35" t="s">
        <v>583</v>
      </c>
      <c r="E7341" s="36">
        <v>2.234</v>
      </c>
      <c r="F7341" s="30">
        <v>21.584</v>
      </c>
      <c r="G7341" s="53">
        <f t="shared" si="726"/>
        <v>48.218655999999996</v>
      </c>
      <c r="H7341" s="43"/>
      <c r="I7341" s="39"/>
      <c r="J7341" s="152">
        <v>0</v>
      </c>
      <c r="L7341" s="215">
        <v>2.234</v>
      </c>
      <c r="M7341" s="30">
        <v>18.475904</v>
      </c>
      <c r="N7341" s="53">
        <f t="shared" si="727"/>
        <v>41.275169536</v>
      </c>
      <c r="O7341" s="43"/>
      <c r="P7341" s="36" t="str">
        <f t="shared" si="728"/>
        <v/>
      </c>
      <c r="Q7341" s="216">
        <f t="shared" si="729"/>
        <v>0.14400000000000002</v>
      </c>
      <c r="R7341" s="216">
        <f t="shared" si="730"/>
        <v>0.14399999999999991</v>
      </c>
      <c r="S7341" s="217" t="str">
        <f t="shared" si="731"/>
        <v/>
      </c>
    </row>
    <row r="7342" spans="1:19" ht="15.75" hidden="1" thickBot="1" x14ac:dyDescent="0.3">
      <c r="A7342" s="257"/>
      <c r="B7342" s="260"/>
      <c r="C7342" s="35" t="s">
        <v>1018</v>
      </c>
      <c r="D7342" s="35" t="s">
        <v>583</v>
      </c>
      <c r="E7342" s="36">
        <v>7.2610000000000001</v>
      </c>
      <c r="F7342" s="30">
        <v>27.835000000000001</v>
      </c>
      <c r="G7342" s="53">
        <f t="shared" si="726"/>
        <v>202.10993500000001</v>
      </c>
      <c r="H7342" s="43"/>
      <c r="I7342" s="39"/>
      <c r="J7342" s="152">
        <v>0</v>
      </c>
      <c r="L7342" s="215">
        <v>7.2610000000000001</v>
      </c>
      <c r="M7342" s="30">
        <v>23.82676</v>
      </c>
      <c r="N7342" s="53">
        <f t="shared" si="727"/>
        <v>173.00610435999999</v>
      </c>
      <c r="O7342" s="43"/>
      <c r="P7342" s="36" t="str">
        <f t="shared" si="728"/>
        <v/>
      </c>
      <c r="Q7342" s="216">
        <f t="shared" si="729"/>
        <v>0.14400000000000002</v>
      </c>
      <c r="R7342" s="216">
        <f t="shared" si="730"/>
        <v>0.14400000000000002</v>
      </c>
      <c r="S7342" s="217" t="str">
        <f t="shared" si="731"/>
        <v/>
      </c>
    </row>
    <row r="7343" spans="1:19" ht="26.25" hidden="1" thickBot="1" x14ac:dyDescent="0.3">
      <c r="A7343" s="257"/>
      <c r="B7343" s="260"/>
      <c r="C7343" s="35" t="s">
        <v>8337</v>
      </c>
      <c r="D7343" s="35" t="s">
        <v>213</v>
      </c>
      <c r="E7343" s="36">
        <v>1</v>
      </c>
      <c r="F7343" s="30">
        <v>839.85699999999986</v>
      </c>
      <c r="G7343" s="53">
        <f t="shared" si="726"/>
        <v>839.85699999999986</v>
      </c>
      <c r="H7343" s="43"/>
      <c r="I7343" s="39"/>
      <c r="J7343" s="152">
        <v>0</v>
      </c>
      <c r="L7343" s="215">
        <v>1</v>
      </c>
      <c r="M7343" s="30">
        <v>718.9175919999999</v>
      </c>
      <c r="N7343" s="53">
        <f t="shared" si="727"/>
        <v>718.9175919999999</v>
      </c>
      <c r="O7343" s="43"/>
      <c r="P7343" s="36" t="str">
        <f t="shared" si="728"/>
        <v/>
      </c>
      <c r="Q7343" s="216">
        <f t="shared" si="729"/>
        <v>0.14400000000000002</v>
      </c>
      <c r="R7343" s="216">
        <f t="shared" si="730"/>
        <v>0.14400000000000002</v>
      </c>
      <c r="S7343" s="217" t="str">
        <f t="shared" si="731"/>
        <v/>
      </c>
    </row>
    <row r="7344" spans="1:19" ht="15.75" hidden="1" thickBot="1" x14ac:dyDescent="0.3">
      <c r="A7344" s="258"/>
      <c r="B7344" s="261"/>
      <c r="C7344" s="54"/>
      <c r="D7344" s="155"/>
      <c r="E7344" s="65"/>
      <c r="F7344" s="75" t="s">
        <v>416</v>
      </c>
      <c r="G7344" s="75" t="str">
        <f t="shared" si="726"/>
        <v/>
      </c>
      <c r="H7344" s="76"/>
      <c r="I7344" s="73"/>
      <c r="J7344" s="152">
        <v>0</v>
      </c>
      <c r="L7344" s="222"/>
      <c r="M7344" s="75"/>
      <c r="N7344" s="75" t="str">
        <f t="shared" si="727"/>
        <v/>
      </c>
      <c r="O7344" s="76"/>
      <c r="P7344" s="36" t="str">
        <f t="shared" si="728"/>
        <v/>
      </c>
      <c r="Q7344" s="216" t="str">
        <f t="shared" si="729"/>
        <v/>
      </c>
      <c r="R7344" s="216" t="str">
        <f t="shared" si="730"/>
        <v/>
      </c>
      <c r="S7344" s="217" t="str">
        <f t="shared" si="731"/>
        <v/>
      </c>
    </row>
    <row r="7345" spans="1:19" ht="15.75" hidden="1" thickBot="1" x14ac:dyDescent="0.3">
      <c r="A7345" s="256" t="s">
        <v>6746</v>
      </c>
      <c r="B7345" s="259" t="str">
        <f>INDEX(Orçamentária!A:B,MATCH(Composições!A7345,Orçamentária!A:A,0),2)</f>
        <v>Suporte para luminária de poste triplo</v>
      </c>
      <c r="C7345" s="40"/>
      <c r="D7345" s="25" t="s">
        <v>16</v>
      </c>
      <c r="E7345" s="26"/>
      <c r="F7345" s="48" t="s">
        <v>416</v>
      </c>
      <c r="G7345" s="27" t="str">
        <f t="shared" si="726"/>
        <v/>
      </c>
      <c r="H7345" s="28"/>
      <c r="I7345" s="29"/>
      <c r="J7345" s="152">
        <v>0</v>
      </c>
      <c r="L7345" s="218"/>
      <c r="M7345" s="48"/>
      <c r="N7345" s="27" t="str">
        <f t="shared" si="727"/>
        <v/>
      </c>
      <c r="O7345" s="28"/>
      <c r="P7345" s="36" t="str">
        <f t="shared" si="728"/>
        <v/>
      </c>
      <c r="Q7345" s="216" t="str">
        <f t="shared" si="729"/>
        <v/>
      </c>
      <c r="R7345" s="216" t="str">
        <f t="shared" si="730"/>
        <v/>
      </c>
      <c r="S7345" s="217" t="str">
        <f t="shared" si="731"/>
        <v/>
      </c>
    </row>
    <row r="7346" spans="1:19" ht="15.75" hidden="1" thickBot="1" x14ac:dyDescent="0.3">
      <c r="A7346" s="257"/>
      <c r="B7346" s="260"/>
      <c r="C7346" s="31"/>
      <c r="D7346" s="31"/>
      <c r="E7346" s="32"/>
      <c r="F7346" s="53" t="s">
        <v>416</v>
      </c>
      <c r="G7346" s="53" t="str">
        <f t="shared" si="726"/>
        <v/>
      </c>
      <c r="H7346" s="72"/>
      <c r="I7346" s="73"/>
      <c r="J7346" s="152">
        <v>0</v>
      </c>
      <c r="L7346" s="219"/>
      <c r="M7346" s="53"/>
      <c r="N7346" s="53" t="str">
        <f t="shared" si="727"/>
        <v/>
      </c>
      <c r="O7346" s="72"/>
      <c r="P7346" s="36" t="str">
        <f t="shared" si="728"/>
        <v/>
      </c>
      <c r="Q7346" s="216" t="str">
        <f t="shared" si="729"/>
        <v/>
      </c>
      <c r="R7346" s="216" t="str">
        <f t="shared" si="730"/>
        <v/>
      </c>
      <c r="S7346" s="217" t="str">
        <f t="shared" si="731"/>
        <v/>
      </c>
    </row>
    <row r="7347" spans="1:19" ht="26.25" hidden="1" thickBot="1" x14ac:dyDescent="0.3">
      <c r="A7347" s="257"/>
      <c r="B7347" s="260"/>
      <c r="C7347" s="35" t="s">
        <v>6934</v>
      </c>
      <c r="D7347" s="35" t="s">
        <v>16</v>
      </c>
      <c r="E7347" s="36">
        <v>1</v>
      </c>
      <c r="F7347" s="30">
        <v>0</v>
      </c>
      <c r="G7347" s="53">
        <f t="shared" si="726"/>
        <v>0</v>
      </c>
      <c r="H7347" s="38">
        <f>SUM(G7347:G7349)</f>
        <v>12.354749999999999</v>
      </c>
      <c r="I7347" s="39"/>
      <c r="J7347" s="152">
        <v>0</v>
      </c>
      <c r="L7347" s="215">
        <v>1</v>
      </c>
      <c r="M7347" s="30">
        <v>0</v>
      </c>
      <c r="N7347" s="53">
        <f t="shared" si="727"/>
        <v>0</v>
      </c>
      <c r="O7347" s="38">
        <f>SUM(N7347:N7349)</f>
        <v>10.575666</v>
      </c>
      <c r="P7347" s="36" t="str">
        <f t="shared" si="728"/>
        <v/>
      </c>
      <c r="Q7347" s="216" t="e">
        <f t="shared" si="729"/>
        <v>#DIV/0!</v>
      </c>
      <c r="R7347" s="216" t="e">
        <f t="shared" si="730"/>
        <v>#DIV/0!</v>
      </c>
      <c r="S7347" s="217">
        <f t="shared" si="731"/>
        <v>0.14399999999999991</v>
      </c>
    </row>
    <row r="7348" spans="1:19" ht="15.75" hidden="1" thickBot="1" x14ac:dyDescent="0.3">
      <c r="A7348" s="257"/>
      <c r="B7348" s="260"/>
      <c r="C7348" s="35" t="s">
        <v>1017</v>
      </c>
      <c r="D7348" s="35" t="s">
        <v>583</v>
      </c>
      <c r="E7348" s="36">
        <v>0.25</v>
      </c>
      <c r="F7348" s="33">
        <v>21.584</v>
      </c>
      <c r="G7348" s="33">
        <f t="shared" si="726"/>
        <v>5.3959999999999999</v>
      </c>
      <c r="H7348" s="34"/>
      <c r="I7348" s="30"/>
      <c r="J7348" s="152">
        <v>0</v>
      </c>
      <c r="L7348" s="215">
        <v>0.25</v>
      </c>
      <c r="M7348" s="33">
        <v>18.475904</v>
      </c>
      <c r="N7348" s="33">
        <f t="shared" si="727"/>
        <v>4.618976</v>
      </c>
      <c r="O7348" s="34"/>
      <c r="P7348" s="36" t="str">
        <f t="shared" si="728"/>
        <v/>
      </c>
      <c r="Q7348" s="216">
        <f t="shared" si="729"/>
        <v>0.14400000000000002</v>
      </c>
      <c r="R7348" s="216">
        <f t="shared" si="730"/>
        <v>0.14400000000000002</v>
      </c>
      <c r="S7348" s="217" t="str">
        <f t="shared" si="731"/>
        <v/>
      </c>
    </row>
    <row r="7349" spans="1:19" ht="15.75" hidden="1" thickBot="1" x14ac:dyDescent="0.3">
      <c r="A7349" s="257"/>
      <c r="B7349" s="260"/>
      <c r="C7349" s="35" t="s">
        <v>1018</v>
      </c>
      <c r="D7349" s="35" t="s">
        <v>583</v>
      </c>
      <c r="E7349" s="36">
        <v>0.25</v>
      </c>
      <c r="F7349" s="30">
        <v>27.835000000000001</v>
      </c>
      <c r="G7349" s="53">
        <f t="shared" si="726"/>
        <v>6.9587500000000002</v>
      </c>
      <c r="H7349" s="43"/>
      <c r="I7349" s="39"/>
      <c r="J7349" s="152">
        <v>0</v>
      </c>
      <c r="L7349" s="215">
        <v>0.25</v>
      </c>
      <c r="M7349" s="30">
        <v>23.82676</v>
      </c>
      <c r="N7349" s="53">
        <f t="shared" si="727"/>
        <v>5.95669</v>
      </c>
      <c r="O7349" s="43"/>
      <c r="P7349" s="36" t="str">
        <f t="shared" si="728"/>
        <v/>
      </c>
      <c r="Q7349" s="216">
        <f t="shared" si="729"/>
        <v>0.14400000000000002</v>
      </c>
      <c r="R7349" s="216">
        <f t="shared" si="730"/>
        <v>0.14400000000000002</v>
      </c>
      <c r="S7349" s="217" t="str">
        <f t="shared" si="731"/>
        <v/>
      </c>
    </row>
    <row r="7350" spans="1:19" ht="15.75" hidden="1" thickBot="1" x14ac:dyDescent="0.3">
      <c r="A7350" s="258"/>
      <c r="B7350" s="261"/>
      <c r="C7350" s="54"/>
      <c r="D7350" s="155"/>
      <c r="E7350" s="65"/>
      <c r="F7350" s="75" t="s">
        <v>416</v>
      </c>
      <c r="G7350" s="75" t="str">
        <f t="shared" si="726"/>
        <v/>
      </c>
      <c r="H7350" s="76"/>
      <c r="I7350" s="73"/>
      <c r="J7350" s="152">
        <v>0</v>
      </c>
      <c r="L7350" s="222"/>
      <c r="M7350" s="75"/>
      <c r="N7350" s="75" t="str">
        <f t="shared" si="727"/>
        <v/>
      </c>
      <c r="O7350" s="76"/>
      <c r="P7350" s="36" t="str">
        <f t="shared" si="728"/>
        <v/>
      </c>
      <c r="Q7350" s="216" t="str">
        <f t="shared" si="729"/>
        <v/>
      </c>
      <c r="R7350" s="216" t="str">
        <f t="shared" si="730"/>
        <v/>
      </c>
      <c r="S7350" s="217" t="str">
        <f t="shared" si="731"/>
        <v/>
      </c>
    </row>
    <row r="7351" spans="1:19" ht="15.75" hidden="1" thickBot="1" x14ac:dyDescent="0.3">
      <c r="A7351" s="256" t="s">
        <v>6747</v>
      </c>
      <c r="B7351" s="259" t="str">
        <f>INDEX(Orçamentária!A:B,MATCH(Composições!A7351,Orçamentária!A:A,0),2)</f>
        <v>Remoção de poste de iluminação</v>
      </c>
      <c r="C7351" s="40"/>
      <c r="D7351" s="25" t="s">
        <v>16</v>
      </c>
      <c r="E7351" s="26"/>
      <c r="F7351" s="48" t="s">
        <v>416</v>
      </c>
      <c r="G7351" s="27" t="str">
        <f t="shared" si="726"/>
        <v/>
      </c>
      <c r="H7351" s="28"/>
      <c r="I7351" s="29"/>
      <c r="J7351" s="152">
        <v>0</v>
      </c>
      <c r="L7351" s="218"/>
      <c r="M7351" s="48"/>
      <c r="N7351" s="27" t="str">
        <f t="shared" si="727"/>
        <v/>
      </c>
      <c r="O7351" s="28"/>
      <c r="P7351" s="36" t="str">
        <f t="shared" si="728"/>
        <v/>
      </c>
      <c r="Q7351" s="216" t="str">
        <f t="shared" si="729"/>
        <v/>
      </c>
      <c r="R7351" s="216" t="str">
        <f t="shared" si="730"/>
        <v/>
      </c>
      <c r="S7351" s="217" t="str">
        <f t="shared" si="731"/>
        <v/>
      </c>
    </row>
    <row r="7352" spans="1:19" ht="15.75" hidden="1" thickBot="1" x14ac:dyDescent="0.3">
      <c r="A7352" s="257"/>
      <c r="B7352" s="260"/>
      <c r="C7352" s="31"/>
      <c r="D7352" s="31"/>
      <c r="E7352" s="32"/>
      <c r="F7352" s="53" t="s">
        <v>416</v>
      </c>
      <c r="G7352" s="53" t="str">
        <f t="shared" si="726"/>
        <v/>
      </c>
      <c r="H7352" s="72"/>
      <c r="I7352" s="73"/>
      <c r="J7352" s="152">
        <v>0</v>
      </c>
      <c r="L7352" s="219"/>
      <c r="M7352" s="53"/>
      <c r="N7352" s="53" t="str">
        <f t="shared" si="727"/>
        <v/>
      </c>
      <c r="O7352" s="72"/>
      <c r="P7352" s="36" t="str">
        <f t="shared" si="728"/>
        <v/>
      </c>
      <c r="Q7352" s="216" t="str">
        <f t="shared" si="729"/>
        <v/>
      </c>
      <c r="R7352" s="216" t="str">
        <f t="shared" si="730"/>
        <v/>
      </c>
      <c r="S7352" s="217" t="str">
        <f t="shared" si="731"/>
        <v/>
      </c>
    </row>
    <row r="7353" spans="1:19" ht="15.75" hidden="1" thickBot="1" x14ac:dyDescent="0.3">
      <c r="A7353" s="257"/>
      <c r="B7353" s="260"/>
      <c r="C7353" s="35" t="s">
        <v>1017</v>
      </c>
      <c r="D7353" s="35" t="s">
        <v>583</v>
      </c>
      <c r="E7353" s="36">
        <v>5</v>
      </c>
      <c r="F7353" s="33">
        <v>21.584</v>
      </c>
      <c r="G7353" s="53">
        <f t="shared" si="726"/>
        <v>107.92</v>
      </c>
      <c r="H7353" s="38">
        <f>SUM(G7353:G7354)</f>
        <v>247.09500000000003</v>
      </c>
      <c r="I7353" s="39"/>
      <c r="J7353" s="152">
        <v>0</v>
      </c>
      <c r="L7353" s="215">
        <v>5</v>
      </c>
      <c r="M7353" s="33">
        <v>18.475904</v>
      </c>
      <c r="N7353" s="53">
        <f t="shared" si="727"/>
        <v>92.379519999999999</v>
      </c>
      <c r="O7353" s="38">
        <f>SUM(N7353:N7354)</f>
        <v>211.51332000000002</v>
      </c>
      <c r="P7353" s="36" t="str">
        <f t="shared" si="728"/>
        <v/>
      </c>
      <c r="Q7353" s="216">
        <f t="shared" si="729"/>
        <v>0.14400000000000002</v>
      </c>
      <c r="R7353" s="216">
        <f t="shared" si="730"/>
        <v>0.14400000000000002</v>
      </c>
      <c r="S7353" s="217">
        <f t="shared" si="731"/>
        <v>0.14400000000000002</v>
      </c>
    </row>
    <row r="7354" spans="1:19" ht="15.75" hidden="1" thickBot="1" x14ac:dyDescent="0.3">
      <c r="A7354" s="257"/>
      <c r="B7354" s="260"/>
      <c r="C7354" s="35" t="s">
        <v>1018</v>
      </c>
      <c r="D7354" s="35" t="s">
        <v>583</v>
      </c>
      <c r="E7354" s="36">
        <v>5</v>
      </c>
      <c r="F7354" s="30">
        <v>27.835000000000001</v>
      </c>
      <c r="G7354" s="33">
        <f t="shared" si="726"/>
        <v>139.17500000000001</v>
      </c>
      <c r="H7354" s="34"/>
      <c r="I7354" s="30"/>
      <c r="J7354" s="152">
        <v>0</v>
      </c>
      <c r="L7354" s="215">
        <v>5</v>
      </c>
      <c r="M7354" s="30">
        <v>23.82676</v>
      </c>
      <c r="N7354" s="33">
        <f t="shared" si="727"/>
        <v>119.13380000000001</v>
      </c>
      <c r="O7354" s="34"/>
      <c r="P7354" s="36" t="str">
        <f t="shared" si="728"/>
        <v/>
      </c>
      <c r="Q7354" s="216">
        <f t="shared" si="729"/>
        <v>0.14400000000000002</v>
      </c>
      <c r="R7354" s="216">
        <f t="shared" si="730"/>
        <v>0.14400000000000002</v>
      </c>
      <c r="S7354" s="217" t="str">
        <f t="shared" si="731"/>
        <v/>
      </c>
    </row>
    <row r="7355" spans="1:19" ht="15.75" hidden="1" thickBot="1" x14ac:dyDescent="0.3">
      <c r="A7355" s="258"/>
      <c r="B7355" s="261"/>
      <c r="C7355" s="54"/>
      <c r="D7355" s="155"/>
      <c r="E7355" s="65"/>
      <c r="F7355" s="75" t="s">
        <v>416</v>
      </c>
      <c r="G7355" s="75" t="str">
        <f t="shared" si="726"/>
        <v/>
      </c>
      <c r="H7355" s="76"/>
      <c r="I7355" s="73"/>
      <c r="J7355" s="152">
        <v>0</v>
      </c>
      <c r="L7355" s="222"/>
      <c r="M7355" s="75"/>
      <c r="N7355" s="75" t="str">
        <f t="shared" si="727"/>
        <v/>
      </c>
      <c r="O7355" s="76"/>
      <c r="P7355" s="36" t="str">
        <f t="shared" si="728"/>
        <v/>
      </c>
      <c r="Q7355" s="216" t="str">
        <f t="shared" si="729"/>
        <v/>
      </c>
      <c r="R7355" s="216" t="str">
        <f t="shared" si="730"/>
        <v/>
      </c>
      <c r="S7355" s="217" t="str">
        <f t="shared" si="731"/>
        <v/>
      </c>
    </row>
    <row r="7356" spans="1:19" ht="15.75" hidden="1" thickBot="1" x14ac:dyDescent="0.3">
      <c r="A7356" s="256" t="s">
        <v>6748</v>
      </c>
      <c r="B7356" s="259" t="str">
        <f>INDEX(Orçamentária!A:B,MATCH(Composições!A7356,Orçamentária!A:A,0),2)</f>
        <v>Remoção de braço de iluminação</v>
      </c>
      <c r="C7356" s="40"/>
      <c r="D7356" s="25" t="s">
        <v>16</v>
      </c>
      <c r="E7356" s="26"/>
      <c r="F7356" s="48" t="s">
        <v>416</v>
      </c>
      <c r="G7356" s="27" t="str">
        <f t="shared" si="726"/>
        <v/>
      </c>
      <c r="H7356" s="28"/>
      <c r="I7356" s="29"/>
      <c r="J7356" s="152">
        <v>0</v>
      </c>
      <c r="L7356" s="218"/>
      <c r="M7356" s="48"/>
      <c r="N7356" s="27" t="str">
        <f t="shared" si="727"/>
        <v/>
      </c>
      <c r="O7356" s="28"/>
      <c r="P7356" s="36" t="str">
        <f t="shared" si="728"/>
        <v/>
      </c>
      <c r="Q7356" s="216" t="str">
        <f t="shared" si="729"/>
        <v/>
      </c>
      <c r="R7356" s="216" t="str">
        <f t="shared" si="730"/>
        <v/>
      </c>
      <c r="S7356" s="217" t="str">
        <f t="shared" si="731"/>
        <v/>
      </c>
    </row>
    <row r="7357" spans="1:19" ht="15.75" hidden="1" thickBot="1" x14ac:dyDescent="0.3">
      <c r="A7357" s="257"/>
      <c r="B7357" s="260"/>
      <c r="C7357" s="31"/>
      <c r="D7357" s="31"/>
      <c r="E7357" s="32"/>
      <c r="F7357" s="53" t="s">
        <v>416</v>
      </c>
      <c r="G7357" s="53" t="str">
        <f t="shared" si="726"/>
        <v/>
      </c>
      <c r="H7357" s="72"/>
      <c r="I7357" s="73"/>
      <c r="J7357" s="152">
        <v>0</v>
      </c>
      <c r="L7357" s="219"/>
      <c r="M7357" s="53"/>
      <c r="N7357" s="53" t="str">
        <f t="shared" si="727"/>
        <v/>
      </c>
      <c r="O7357" s="72"/>
      <c r="P7357" s="36" t="str">
        <f t="shared" si="728"/>
        <v/>
      </c>
      <c r="Q7357" s="216" t="str">
        <f t="shared" si="729"/>
        <v/>
      </c>
      <c r="R7357" s="216" t="str">
        <f t="shared" si="730"/>
        <v/>
      </c>
      <c r="S7357" s="217" t="str">
        <f t="shared" si="731"/>
        <v/>
      </c>
    </row>
    <row r="7358" spans="1:19" ht="15.75" hidden="1" thickBot="1" x14ac:dyDescent="0.3">
      <c r="A7358" s="257"/>
      <c r="B7358" s="260"/>
      <c r="C7358" s="35" t="s">
        <v>1017</v>
      </c>
      <c r="D7358" s="35" t="s">
        <v>583</v>
      </c>
      <c r="E7358" s="36">
        <v>0.8</v>
      </c>
      <c r="F7358" s="33">
        <v>21.584</v>
      </c>
      <c r="G7358" s="53">
        <f t="shared" si="726"/>
        <v>17.267199999999999</v>
      </c>
      <c r="H7358" s="38">
        <f>SUM(G7358:G7359)</f>
        <v>39.535200000000003</v>
      </c>
      <c r="I7358" s="39"/>
      <c r="J7358" s="152">
        <v>0</v>
      </c>
      <c r="L7358" s="215">
        <v>0.8</v>
      </c>
      <c r="M7358" s="33">
        <v>18.475904</v>
      </c>
      <c r="N7358" s="53">
        <f t="shared" si="727"/>
        <v>14.780723200000001</v>
      </c>
      <c r="O7358" s="38">
        <f>SUM(N7358:N7359)</f>
        <v>33.842131199999997</v>
      </c>
      <c r="P7358" s="36" t="str">
        <f t="shared" si="728"/>
        <v/>
      </c>
      <c r="Q7358" s="216">
        <f t="shared" si="729"/>
        <v>0.14400000000000002</v>
      </c>
      <c r="R7358" s="216">
        <f t="shared" si="730"/>
        <v>0.14399999999999991</v>
      </c>
      <c r="S7358" s="217">
        <f t="shared" si="731"/>
        <v>0.14400000000000013</v>
      </c>
    </row>
    <row r="7359" spans="1:19" ht="15.75" hidden="1" thickBot="1" x14ac:dyDescent="0.3">
      <c r="A7359" s="257"/>
      <c r="B7359" s="260"/>
      <c r="C7359" s="35" t="s">
        <v>1018</v>
      </c>
      <c r="D7359" s="35" t="s">
        <v>583</v>
      </c>
      <c r="E7359" s="36">
        <v>0.8</v>
      </c>
      <c r="F7359" s="30">
        <v>27.835000000000001</v>
      </c>
      <c r="G7359" s="33">
        <f t="shared" si="726"/>
        <v>22.268000000000001</v>
      </c>
      <c r="H7359" s="34"/>
      <c r="I7359" s="30"/>
      <c r="J7359" s="152">
        <v>0</v>
      </c>
      <c r="L7359" s="215">
        <v>0.8</v>
      </c>
      <c r="M7359" s="30">
        <v>23.82676</v>
      </c>
      <c r="N7359" s="33">
        <f t="shared" si="727"/>
        <v>19.061408</v>
      </c>
      <c r="O7359" s="34"/>
      <c r="P7359" s="36" t="str">
        <f t="shared" si="728"/>
        <v/>
      </c>
      <c r="Q7359" s="216">
        <f t="shared" si="729"/>
        <v>0.14400000000000002</v>
      </c>
      <c r="R7359" s="216">
        <f t="shared" si="730"/>
        <v>0.14400000000000002</v>
      </c>
      <c r="S7359" s="217" t="str">
        <f t="shared" si="731"/>
        <v/>
      </c>
    </row>
    <row r="7360" spans="1:19" ht="15.75" hidden="1" thickBot="1" x14ac:dyDescent="0.3">
      <c r="A7360" s="258"/>
      <c r="B7360" s="261"/>
      <c r="C7360" s="54"/>
      <c r="D7360" s="155"/>
      <c r="E7360" s="65"/>
      <c r="F7360" s="75" t="s">
        <v>416</v>
      </c>
      <c r="G7360" s="75" t="str">
        <f t="shared" si="726"/>
        <v/>
      </c>
      <c r="H7360" s="76"/>
      <c r="I7360" s="73"/>
      <c r="J7360" s="152">
        <v>0</v>
      </c>
      <c r="L7360" s="222"/>
      <c r="M7360" s="75"/>
      <c r="N7360" s="75" t="str">
        <f t="shared" si="727"/>
        <v/>
      </c>
      <c r="O7360" s="76"/>
      <c r="P7360" s="36" t="str">
        <f t="shared" si="728"/>
        <v/>
      </c>
      <c r="Q7360" s="216" t="str">
        <f t="shared" si="729"/>
        <v/>
      </c>
      <c r="R7360" s="216" t="str">
        <f t="shared" si="730"/>
        <v/>
      </c>
      <c r="S7360" s="217" t="str">
        <f t="shared" si="731"/>
        <v/>
      </c>
    </row>
    <row r="7361" spans="1:19" ht="15.75" hidden="1" thickBot="1" x14ac:dyDescent="0.3">
      <c r="A7361" s="256" t="s">
        <v>6749</v>
      </c>
      <c r="B7361" s="259" t="str">
        <f>INDEX(Orçamentária!A:B,MATCH(Composições!A7361,Orçamentária!A:A,0),2)</f>
        <v>Cabo 3x10 mm²</v>
      </c>
      <c r="C7361" s="40"/>
      <c r="D7361" s="25" t="s">
        <v>69</v>
      </c>
      <c r="E7361" s="26"/>
      <c r="F7361" s="41" t="s">
        <v>416</v>
      </c>
      <c r="G7361" s="27" t="str">
        <f t="shared" si="726"/>
        <v/>
      </c>
      <c r="H7361" s="28"/>
      <c r="I7361" s="29"/>
      <c r="J7361" s="152">
        <v>0</v>
      </c>
      <c r="L7361" s="218"/>
      <c r="M7361" s="41"/>
      <c r="N7361" s="27" t="str">
        <f t="shared" si="727"/>
        <v/>
      </c>
      <c r="O7361" s="28"/>
      <c r="P7361" s="36" t="str">
        <f t="shared" si="728"/>
        <v/>
      </c>
      <c r="Q7361" s="216" t="str">
        <f t="shared" si="729"/>
        <v/>
      </c>
      <c r="R7361" s="216" t="str">
        <f t="shared" si="730"/>
        <v/>
      </c>
      <c r="S7361" s="217" t="str">
        <f t="shared" si="731"/>
        <v/>
      </c>
    </row>
    <row r="7362" spans="1:19" ht="15.75" hidden="1" thickBot="1" x14ac:dyDescent="0.3">
      <c r="A7362" s="262"/>
      <c r="B7362" s="260"/>
      <c r="C7362" s="31"/>
      <c r="D7362" s="31"/>
      <c r="E7362" s="32"/>
      <c r="F7362" s="42" t="s">
        <v>416</v>
      </c>
      <c r="G7362" s="30" t="str">
        <f t="shared" ref="G7362:G7425" si="732">IF(ISNUMBER(F7362),E7362*F7362,"")</f>
        <v/>
      </c>
      <c r="H7362" s="34"/>
      <c r="I7362" s="30"/>
      <c r="J7362" s="152">
        <v>0</v>
      </c>
      <c r="L7362" s="219"/>
      <c r="M7362" s="42"/>
      <c r="N7362" s="30" t="str">
        <f t="shared" ref="N7362:N7425" si="733">IF(ISNUMBER(M7362),L7362*M7362,"")</f>
        <v/>
      </c>
      <c r="O7362" s="34"/>
      <c r="P7362" s="36" t="str">
        <f t="shared" si="728"/>
        <v/>
      </c>
      <c r="Q7362" s="216" t="str">
        <f t="shared" si="729"/>
        <v/>
      </c>
      <c r="R7362" s="216" t="str">
        <f t="shared" si="730"/>
        <v/>
      </c>
      <c r="S7362" s="217" t="str">
        <f t="shared" si="731"/>
        <v/>
      </c>
    </row>
    <row r="7363" spans="1:19" ht="15.75" hidden="1" thickBot="1" x14ac:dyDescent="0.3">
      <c r="A7363" s="262"/>
      <c r="B7363" s="260"/>
      <c r="C7363" s="35" t="s">
        <v>1017</v>
      </c>
      <c r="D7363" s="35" t="s">
        <v>583</v>
      </c>
      <c r="E7363" s="36">
        <v>6.08E-2</v>
      </c>
      <c r="F7363" s="30">
        <v>21.584</v>
      </c>
      <c r="G7363" s="33">
        <f t="shared" si="732"/>
        <v>1.3123072</v>
      </c>
      <c r="H7363" s="38">
        <f>SUM(G7363:G7366)</f>
        <v>3.0399012000000005</v>
      </c>
      <c r="I7363" s="39"/>
      <c r="J7363" s="152">
        <v>0</v>
      </c>
      <c r="L7363" s="215">
        <v>6.08E-2</v>
      </c>
      <c r="M7363" s="30">
        <v>18.475904</v>
      </c>
      <c r="N7363" s="33">
        <f t="shared" si="733"/>
        <v>1.1233349632</v>
      </c>
      <c r="O7363" s="38">
        <f>SUM(N7363:N7366)</f>
        <v>2.6021554271999996</v>
      </c>
      <c r="P7363" s="36" t="str">
        <f t="shared" si="728"/>
        <v/>
      </c>
      <c r="Q7363" s="216">
        <f t="shared" si="729"/>
        <v>0.14400000000000002</v>
      </c>
      <c r="R7363" s="216">
        <f t="shared" si="730"/>
        <v>0.14400000000000002</v>
      </c>
      <c r="S7363" s="217">
        <f t="shared" si="731"/>
        <v>0.14400000000000024</v>
      </c>
    </row>
    <row r="7364" spans="1:19" ht="15.75" hidden="1" thickBot="1" x14ac:dyDescent="0.3">
      <c r="A7364" s="262"/>
      <c r="B7364" s="260"/>
      <c r="C7364" s="35" t="s">
        <v>1018</v>
      </c>
      <c r="D7364" s="35" t="s">
        <v>583</v>
      </c>
      <c r="E7364" s="36">
        <v>6.08E-2</v>
      </c>
      <c r="F7364" s="30">
        <v>27.835000000000001</v>
      </c>
      <c r="G7364" s="33">
        <f t="shared" si="732"/>
        <v>1.6923680000000001</v>
      </c>
      <c r="H7364" s="34"/>
      <c r="I7364" s="30"/>
      <c r="J7364" s="152">
        <v>0</v>
      </c>
      <c r="L7364" s="215">
        <v>6.08E-2</v>
      </c>
      <c r="M7364" s="30">
        <v>23.82676</v>
      </c>
      <c r="N7364" s="33">
        <f t="shared" si="733"/>
        <v>1.4486670079999999</v>
      </c>
      <c r="O7364" s="34"/>
      <c r="P7364" s="36" t="str">
        <f t="shared" si="728"/>
        <v/>
      </c>
      <c r="Q7364" s="216">
        <f t="shared" si="729"/>
        <v>0.14400000000000002</v>
      </c>
      <c r="R7364" s="216">
        <f t="shared" si="730"/>
        <v>0.14400000000000013</v>
      </c>
      <c r="S7364" s="217" t="str">
        <f t="shared" si="731"/>
        <v/>
      </c>
    </row>
    <row r="7365" spans="1:19" ht="26.25" hidden="1" thickBot="1" x14ac:dyDescent="0.3">
      <c r="A7365" s="262"/>
      <c r="B7365" s="260"/>
      <c r="C7365" s="35" t="s">
        <v>6935</v>
      </c>
      <c r="D7365" s="35" t="s">
        <v>69</v>
      </c>
      <c r="E7365" s="36">
        <v>1.0149999999999999</v>
      </c>
      <c r="F7365" s="33" t="s">
        <v>416</v>
      </c>
      <c r="G7365" s="33" t="str">
        <f t="shared" si="732"/>
        <v/>
      </c>
      <c r="H7365" s="34"/>
      <c r="I7365" s="30"/>
      <c r="J7365" s="152">
        <v>0</v>
      </c>
      <c r="L7365" s="215">
        <v>1.0149999999999999</v>
      </c>
      <c r="M7365" s="33"/>
      <c r="N7365" s="33" t="str">
        <f t="shared" si="733"/>
        <v/>
      </c>
      <c r="O7365" s="34"/>
      <c r="P7365" s="36" t="str">
        <f t="shared" si="728"/>
        <v/>
      </c>
      <c r="Q7365" s="216" t="str">
        <f t="shared" si="729"/>
        <v/>
      </c>
      <c r="R7365" s="216" t="str">
        <f t="shared" si="730"/>
        <v/>
      </c>
      <c r="S7365" s="217" t="str">
        <f t="shared" si="731"/>
        <v/>
      </c>
    </row>
    <row r="7366" spans="1:19" ht="26.25" hidden="1" thickBot="1" x14ac:dyDescent="0.3">
      <c r="A7366" s="262"/>
      <c r="B7366" s="260"/>
      <c r="C7366" s="35" t="s">
        <v>8169</v>
      </c>
      <c r="D7366" s="35" t="s">
        <v>213</v>
      </c>
      <c r="E7366" s="36">
        <v>8.9999999999999993E-3</v>
      </c>
      <c r="F7366" s="33">
        <v>3.9139999999999997</v>
      </c>
      <c r="G7366" s="33">
        <f t="shared" si="732"/>
        <v>3.5225999999999993E-2</v>
      </c>
      <c r="H7366" s="34"/>
      <c r="I7366" s="30"/>
      <c r="J7366" s="152">
        <v>0</v>
      </c>
      <c r="L7366" s="215">
        <v>8.9999999999999993E-3</v>
      </c>
      <c r="M7366" s="33">
        <v>3.350384</v>
      </c>
      <c r="N7366" s="33">
        <f t="shared" si="733"/>
        <v>3.0153455999999999E-2</v>
      </c>
      <c r="O7366" s="34"/>
      <c r="P7366" s="36" t="str">
        <f t="shared" si="728"/>
        <v/>
      </c>
      <c r="Q7366" s="216">
        <f t="shared" si="729"/>
        <v>0.14399999999999991</v>
      </c>
      <c r="R7366" s="216">
        <f t="shared" si="730"/>
        <v>0.14399999999999991</v>
      </c>
      <c r="S7366" s="217" t="str">
        <f t="shared" si="731"/>
        <v/>
      </c>
    </row>
    <row r="7367" spans="1:19" ht="15.75" hidden="1" thickBot="1" x14ac:dyDescent="0.3">
      <c r="A7367" s="263"/>
      <c r="B7367" s="261"/>
      <c r="C7367" s="35"/>
      <c r="D7367" s="35"/>
      <c r="E7367" s="36"/>
      <c r="F7367" s="30" t="s">
        <v>416</v>
      </c>
      <c r="G7367" s="30" t="str">
        <f t="shared" si="732"/>
        <v/>
      </c>
      <c r="H7367" s="34"/>
      <c r="I7367" s="30"/>
      <c r="J7367" s="152">
        <v>0</v>
      </c>
      <c r="L7367" s="215"/>
      <c r="M7367" s="30"/>
      <c r="N7367" s="30" t="str">
        <f t="shared" si="733"/>
        <v/>
      </c>
      <c r="O7367" s="34"/>
      <c r="P7367" s="36" t="str">
        <f t="shared" si="728"/>
        <v/>
      </c>
      <c r="Q7367" s="216" t="str">
        <f t="shared" si="729"/>
        <v/>
      </c>
      <c r="R7367" s="216" t="str">
        <f t="shared" si="730"/>
        <v/>
      </c>
      <c r="S7367" s="217" t="str">
        <f t="shared" si="731"/>
        <v/>
      </c>
    </row>
    <row r="7368" spans="1:19" ht="15.75" hidden="1" thickBot="1" x14ac:dyDescent="0.3">
      <c r="A7368" s="256" t="s">
        <v>6750</v>
      </c>
      <c r="B7368" s="259" t="str">
        <f>INDEX(Orçamentária!A:B,MATCH(Composições!A7368,Orçamentária!A:A,0),2)</f>
        <v>Quadro elétrico tipo PTTA/TTA para uso ao tempo</v>
      </c>
      <c r="C7368" s="40"/>
      <c r="D7368" s="25" t="s">
        <v>16</v>
      </c>
      <c r="E7368" s="26"/>
      <c r="F7368" s="41" t="s">
        <v>416</v>
      </c>
      <c r="G7368" s="27" t="str">
        <f t="shared" si="732"/>
        <v/>
      </c>
      <c r="H7368" s="28"/>
      <c r="I7368" s="29"/>
      <c r="J7368" s="152">
        <v>0</v>
      </c>
      <c r="L7368" s="218"/>
      <c r="M7368" s="41"/>
      <c r="N7368" s="27" t="str">
        <f t="shared" si="733"/>
        <v/>
      </c>
      <c r="O7368" s="28"/>
      <c r="P7368" s="36" t="str">
        <f t="shared" ref="P7368:P7431" si="734">IF(ISBLANK(L7368),"",IF($E7368&lt;&gt;L7368,"SIM",""))</f>
        <v/>
      </c>
      <c r="Q7368" s="216" t="str">
        <f t="shared" ref="Q7368:Q7431" si="735">IF(M7368="","",1-M7368/$F7368)</f>
        <v/>
      </c>
      <c r="R7368" s="216" t="str">
        <f t="shared" ref="R7368:R7431" si="736">IF(N7368="","",1-N7368/$G7368)</f>
        <v/>
      </c>
      <c r="S7368" s="217" t="str">
        <f t="shared" ref="S7368:S7431" si="737">IF(O7368="","",1-O7368/$H7368)</f>
        <v/>
      </c>
    </row>
    <row r="7369" spans="1:19" ht="15.75" hidden="1" thickBot="1" x14ac:dyDescent="0.3">
      <c r="A7369" s="262"/>
      <c r="B7369" s="260"/>
      <c r="C7369" s="31"/>
      <c r="D7369" s="31"/>
      <c r="E7369" s="32"/>
      <c r="F7369" s="42" t="s">
        <v>416</v>
      </c>
      <c r="G7369" s="30" t="str">
        <f t="shared" si="732"/>
        <v/>
      </c>
      <c r="H7369" s="34"/>
      <c r="I7369" s="30"/>
      <c r="J7369" s="152">
        <v>0</v>
      </c>
      <c r="L7369" s="219"/>
      <c r="M7369" s="42"/>
      <c r="N7369" s="30" t="str">
        <f t="shared" si="733"/>
        <v/>
      </c>
      <c r="O7369" s="34"/>
      <c r="P7369" s="36" t="str">
        <f t="shared" si="734"/>
        <v/>
      </c>
      <c r="Q7369" s="216" t="str">
        <f t="shared" si="735"/>
        <v/>
      </c>
      <c r="R7369" s="216" t="str">
        <f t="shared" si="736"/>
        <v/>
      </c>
      <c r="S7369" s="217" t="str">
        <f t="shared" si="737"/>
        <v/>
      </c>
    </row>
    <row r="7370" spans="1:19" ht="39" hidden="1" thickBot="1" x14ac:dyDescent="0.3">
      <c r="A7370" s="262"/>
      <c r="B7370" s="260"/>
      <c r="C7370" s="35" t="s">
        <v>6938</v>
      </c>
      <c r="D7370" s="46" t="s">
        <v>16</v>
      </c>
      <c r="E7370" s="36">
        <v>1</v>
      </c>
      <c r="F7370" s="33" t="s">
        <v>416</v>
      </c>
      <c r="G7370" s="30" t="str">
        <f t="shared" si="732"/>
        <v/>
      </c>
      <c r="H7370" s="38">
        <f>SUM(G7370:G7373)</f>
        <v>47.417608440249602</v>
      </c>
      <c r="I7370" s="39"/>
      <c r="J7370" s="152">
        <v>0</v>
      </c>
      <c r="L7370" s="215">
        <v>1</v>
      </c>
      <c r="M7370" s="33"/>
      <c r="N7370" s="30" t="str">
        <f t="shared" si="733"/>
        <v/>
      </c>
      <c r="O7370" s="38">
        <f>SUM(N7370:N7373)</f>
        <v>40.589472824853658</v>
      </c>
      <c r="P7370" s="36" t="str">
        <f t="shared" si="734"/>
        <v/>
      </c>
      <c r="Q7370" s="216" t="str">
        <f t="shared" si="735"/>
        <v/>
      </c>
      <c r="R7370" s="216" t="str">
        <f t="shared" si="736"/>
        <v/>
      </c>
      <c r="S7370" s="217">
        <f t="shared" si="737"/>
        <v>0.14400000000000002</v>
      </c>
    </row>
    <row r="7371" spans="1:19" ht="39" hidden="1" thickBot="1" x14ac:dyDescent="0.3">
      <c r="A7371" s="262"/>
      <c r="B7371" s="260"/>
      <c r="C7371" s="35" t="s">
        <v>2897</v>
      </c>
      <c r="D7371" s="46" t="s">
        <v>87</v>
      </c>
      <c r="E7371" s="36">
        <v>1.9199999999999998E-2</v>
      </c>
      <c r="F7371" s="30">
        <v>838.58271563799997</v>
      </c>
      <c r="G7371" s="30">
        <f t="shared" si="732"/>
        <v>16.100788140249598</v>
      </c>
      <c r="H7371" s="34"/>
      <c r="I7371" s="30"/>
      <c r="J7371" s="152">
        <v>0</v>
      </c>
      <c r="L7371" s="215">
        <v>1.9199999999999998E-2</v>
      </c>
      <c r="M7371" s="30">
        <v>717.82680458612799</v>
      </c>
      <c r="N7371" s="30">
        <f t="shared" si="733"/>
        <v>13.782274648053656</v>
      </c>
      <c r="O7371" s="34"/>
      <c r="P7371" s="36" t="str">
        <f t="shared" si="734"/>
        <v/>
      </c>
      <c r="Q7371" s="216">
        <f t="shared" si="735"/>
        <v>0.14400000000000002</v>
      </c>
      <c r="R7371" s="216">
        <f t="shared" si="736"/>
        <v>0.14400000000000002</v>
      </c>
      <c r="S7371" s="217" t="str">
        <f t="shared" si="737"/>
        <v/>
      </c>
    </row>
    <row r="7372" spans="1:19" ht="15.75" hidden="1" thickBot="1" x14ac:dyDescent="0.3">
      <c r="A7372" s="262"/>
      <c r="B7372" s="260"/>
      <c r="C7372" s="35" t="s">
        <v>1017</v>
      </c>
      <c r="D7372" s="35" t="s">
        <v>583</v>
      </c>
      <c r="E7372" s="36">
        <v>0.63370000000000004</v>
      </c>
      <c r="F7372" s="30">
        <v>21.584</v>
      </c>
      <c r="G7372" s="30">
        <f t="shared" si="732"/>
        <v>13.677780800000001</v>
      </c>
      <c r="H7372" s="34"/>
      <c r="I7372" s="30"/>
      <c r="J7372" s="152">
        <v>0</v>
      </c>
      <c r="L7372" s="215">
        <v>0.63370000000000004</v>
      </c>
      <c r="M7372" s="30">
        <v>18.475904</v>
      </c>
      <c r="N7372" s="30">
        <f t="shared" si="733"/>
        <v>11.7081803648</v>
      </c>
      <c r="O7372" s="34"/>
      <c r="P7372" s="36" t="str">
        <f t="shared" si="734"/>
        <v/>
      </c>
      <c r="Q7372" s="216">
        <f t="shared" si="735"/>
        <v>0.14400000000000002</v>
      </c>
      <c r="R7372" s="216">
        <f t="shared" si="736"/>
        <v>0.14400000000000002</v>
      </c>
      <c r="S7372" s="217" t="str">
        <f t="shared" si="737"/>
        <v/>
      </c>
    </row>
    <row r="7373" spans="1:19" ht="15.75" hidden="1" thickBot="1" x14ac:dyDescent="0.3">
      <c r="A7373" s="262"/>
      <c r="B7373" s="260"/>
      <c r="C7373" s="35" t="s">
        <v>1018</v>
      </c>
      <c r="D7373" s="35" t="s">
        <v>583</v>
      </c>
      <c r="E7373" s="36">
        <v>0.63370000000000004</v>
      </c>
      <c r="F7373" s="30">
        <v>27.835000000000001</v>
      </c>
      <c r="G7373" s="33">
        <f t="shared" si="732"/>
        <v>17.639039500000003</v>
      </c>
      <c r="H7373" s="34"/>
      <c r="I7373" s="30"/>
      <c r="J7373" s="152">
        <v>0</v>
      </c>
      <c r="L7373" s="215">
        <v>0.63370000000000004</v>
      </c>
      <c r="M7373" s="30">
        <v>23.82676</v>
      </c>
      <c r="N7373" s="33">
        <f t="shared" si="733"/>
        <v>15.099017812000001</v>
      </c>
      <c r="O7373" s="34"/>
      <c r="P7373" s="36" t="str">
        <f t="shared" si="734"/>
        <v/>
      </c>
      <c r="Q7373" s="216">
        <f t="shared" si="735"/>
        <v>0.14400000000000002</v>
      </c>
      <c r="R7373" s="216">
        <f t="shared" si="736"/>
        <v>0.14400000000000002</v>
      </c>
      <c r="S7373" s="217" t="str">
        <f t="shared" si="737"/>
        <v/>
      </c>
    </row>
    <row r="7374" spans="1:19" ht="15.75" hidden="1" thickBot="1" x14ac:dyDescent="0.3">
      <c r="A7374" s="262"/>
      <c r="B7374" s="261"/>
      <c r="C7374" s="35"/>
      <c r="D7374" s="35"/>
      <c r="E7374" s="36"/>
      <c r="F7374" s="30" t="s">
        <v>416</v>
      </c>
      <c r="G7374" s="30" t="str">
        <f t="shared" si="732"/>
        <v/>
      </c>
      <c r="H7374" s="34"/>
      <c r="I7374" s="30"/>
      <c r="J7374" s="152">
        <v>0</v>
      </c>
      <c r="L7374" s="215"/>
      <c r="M7374" s="30"/>
      <c r="N7374" s="30" t="str">
        <f t="shared" si="733"/>
        <v/>
      </c>
      <c r="O7374" s="34"/>
      <c r="P7374" s="36" t="str">
        <f t="shared" si="734"/>
        <v/>
      </c>
      <c r="Q7374" s="216" t="str">
        <f t="shared" si="735"/>
        <v/>
      </c>
      <c r="R7374" s="216" t="str">
        <f t="shared" si="736"/>
        <v/>
      </c>
      <c r="S7374" s="217" t="str">
        <f t="shared" si="737"/>
        <v/>
      </c>
    </row>
    <row r="7375" spans="1:19" ht="15.75" hidden="1" thickBot="1" x14ac:dyDescent="0.3">
      <c r="A7375" s="256" t="s">
        <v>6751</v>
      </c>
      <c r="B7375" s="259" t="str">
        <f>INDEX(Orçamentária!A:B,MATCH(Composições!A7375,Orçamentária!A:A,0),2)</f>
        <v>Luminária LED para poste 230 W</v>
      </c>
      <c r="C7375" s="40"/>
      <c r="D7375" s="25" t="s">
        <v>16</v>
      </c>
      <c r="E7375" s="26"/>
      <c r="F7375" s="41" t="s">
        <v>416</v>
      </c>
      <c r="G7375" s="27" t="str">
        <f t="shared" si="732"/>
        <v/>
      </c>
      <c r="H7375" s="28"/>
      <c r="I7375" s="29"/>
      <c r="J7375" s="152">
        <v>0</v>
      </c>
      <c r="L7375" s="218"/>
      <c r="M7375" s="41"/>
      <c r="N7375" s="27" t="str">
        <f t="shared" si="733"/>
        <v/>
      </c>
      <c r="O7375" s="28"/>
      <c r="P7375" s="36" t="str">
        <f t="shared" si="734"/>
        <v/>
      </c>
      <c r="Q7375" s="216" t="str">
        <f t="shared" si="735"/>
        <v/>
      </c>
      <c r="R7375" s="216" t="str">
        <f t="shared" si="736"/>
        <v/>
      </c>
      <c r="S7375" s="217" t="str">
        <f t="shared" si="737"/>
        <v/>
      </c>
    </row>
    <row r="7376" spans="1:19" ht="15.75" hidden="1" thickBot="1" x14ac:dyDescent="0.3">
      <c r="A7376" s="262"/>
      <c r="B7376" s="260"/>
      <c r="C7376" s="31"/>
      <c r="D7376" s="31"/>
      <c r="E7376" s="32"/>
      <c r="F7376" s="42" t="s">
        <v>416</v>
      </c>
      <c r="G7376" s="30" t="str">
        <f t="shared" si="732"/>
        <v/>
      </c>
      <c r="H7376" s="34"/>
      <c r="I7376" s="30"/>
      <c r="J7376" s="152">
        <v>0</v>
      </c>
      <c r="L7376" s="219"/>
      <c r="M7376" s="42"/>
      <c r="N7376" s="30" t="str">
        <f t="shared" si="733"/>
        <v/>
      </c>
      <c r="O7376" s="34"/>
      <c r="P7376" s="36" t="str">
        <f t="shared" si="734"/>
        <v/>
      </c>
      <c r="Q7376" s="216" t="str">
        <f t="shared" si="735"/>
        <v/>
      </c>
      <c r="R7376" s="216" t="str">
        <f t="shared" si="736"/>
        <v/>
      </c>
      <c r="S7376" s="217" t="str">
        <f t="shared" si="737"/>
        <v/>
      </c>
    </row>
    <row r="7377" spans="1:19" ht="51.75" hidden="1" thickBot="1" x14ac:dyDescent="0.3">
      <c r="A7377" s="262"/>
      <c r="B7377" s="260"/>
      <c r="C7377" s="35" t="s">
        <v>2864</v>
      </c>
      <c r="D7377" s="35" t="s">
        <v>813</v>
      </c>
      <c r="E7377" s="36">
        <v>0.23880000000000001</v>
      </c>
      <c r="F7377" s="33">
        <v>252.10149999999999</v>
      </c>
      <c r="G7377" s="30">
        <f t="shared" si="732"/>
        <v>60.201838199999997</v>
      </c>
      <c r="H7377" s="38">
        <f>SUM(G7377:G7381)</f>
        <v>852.66679809999994</v>
      </c>
      <c r="I7377" s="39"/>
      <c r="J7377" s="152">
        <v>0</v>
      </c>
      <c r="L7377" s="215">
        <v>0.23880000000000001</v>
      </c>
      <c r="M7377" s="33">
        <v>215.79888399999999</v>
      </c>
      <c r="N7377" s="30">
        <f t="shared" si="733"/>
        <v>51.532773499199998</v>
      </c>
      <c r="O7377" s="38">
        <f>SUM(N7377:N7381)</f>
        <v>729.88277917360006</v>
      </c>
      <c r="P7377" s="36" t="str">
        <f t="shared" si="734"/>
        <v/>
      </c>
      <c r="Q7377" s="216">
        <f t="shared" si="735"/>
        <v>0.14400000000000002</v>
      </c>
      <c r="R7377" s="216">
        <f t="shared" si="736"/>
        <v>0.14400000000000002</v>
      </c>
      <c r="S7377" s="217">
        <f t="shared" si="737"/>
        <v>0.14399999999999991</v>
      </c>
    </row>
    <row r="7378" spans="1:19" ht="26.25" hidden="1" thickBot="1" x14ac:dyDescent="0.3">
      <c r="A7378" s="262"/>
      <c r="B7378" s="260"/>
      <c r="C7378" s="35" t="s">
        <v>8169</v>
      </c>
      <c r="D7378" s="35" t="s">
        <v>213</v>
      </c>
      <c r="E7378" s="36">
        <v>1.4E-2</v>
      </c>
      <c r="F7378" s="30">
        <v>3.9139999999999997</v>
      </c>
      <c r="G7378" s="30">
        <f t="shared" si="732"/>
        <v>5.4795999999999997E-2</v>
      </c>
      <c r="H7378" s="34"/>
      <c r="I7378" s="30"/>
      <c r="J7378" s="152">
        <v>0</v>
      </c>
      <c r="L7378" s="215">
        <v>1.4E-2</v>
      </c>
      <c r="M7378" s="30">
        <v>3.350384</v>
      </c>
      <c r="N7378" s="30">
        <f t="shared" si="733"/>
        <v>4.6905375999999999E-2</v>
      </c>
      <c r="O7378" s="34"/>
      <c r="P7378" s="36" t="str">
        <f t="shared" si="734"/>
        <v/>
      </c>
      <c r="Q7378" s="216">
        <f t="shared" si="735"/>
        <v>0.14399999999999991</v>
      </c>
      <c r="R7378" s="216">
        <f t="shared" si="736"/>
        <v>0.14400000000000002</v>
      </c>
      <c r="S7378" s="217" t="str">
        <f t="shared" si="737"/>
        <v/>
      </c>
    </row>
    <row r="7379" spans="1:19" ht="26.25" hidden="1" thickBot="1" x14ac:dyDescent="0.3">
      <c r="A7379" s="262"/>
      <c r="B7379" s="260"/>
      <c r="C7379" s="35" t="s">
        <v>8229</v>
      </c>
      <c r="D7379" s="35" t="s">
        <v>213</v>
      </c>
      <c r="E7379" s="36">
        <v>1</v>
      </c>
      <c r="F7379" s="30">
        <v>780.64350000000002</v>
      </c>
      <c r="G7379" s="30">
        <f t="shared" si="732"/>
        <v>780.64350000000002</v>
      </c>
      <c r="H7379" s="34"/>
      <c r="I7379" s="30"/>
      <c r="J7379" s="152">
        <v>0</v>
      </c>
      <c r="L7379" s="215">
        <v>1</v>
      </c>
      <c r="M7379" s="30">
        <v>668.23083600000007</v>
      </c>
      <c r="N7379" s="30">
        <f t="shared" si="733"/>
        <v>668.23083600000007</v>
      </c>
      <c r="O7379" s="34"/>
      <c r="P7379" s="36" t="str">
        <f t="shared" si="734"/>
        <v/>
      </c>
      <c r="Q7379" s="216">
        <f t="shared" si="735"/>
        <v>0.14399999999999991</v>
      </c>
      <c r="R7379" s="216">
        <f t="shared" si="736"/>
        <v>0.14399999999999991</v>
      </c>
      <c r="S7379" s="217" t="str">
        <f t="shared" si="737"/>
        <v/>
      </c>
    </row>
    <row r="7380" spans="1:19" ht="15.75" hidden="1" thickBot="1" x14ac:dyDescent="0.3">
      <c r="A7380" s="262"/>
      <c r="B7380" s="260"/>
      <c r="C7380" s="35" t="s">
        <v>1017</v>
      </c>
      <c r="D7380" s="35" t="s">
        <v>583</v>
      </c>
      <c r="E7380" s="36">
        <v>0.23810000000000001</v>
      </c>
      <c r="F7380" s="30">
        <v>21.584</v>
      </c>
      <c r="G7380" s="30">
        <f t="shared" si="732"/>
        <v>5.1391504000000001</v>
      </c>
      <c r="H7380" s="34"/>
      <c r="I7380" s="30"/>
      <c r="J7380" s="152">
        <v>0</v>
      </c>
      <c r="L7380" s="215">
        <v>0.23810000000000001</v>
      </c>
      <c r="M7380" s="30">
        <v>18.475904</v>
      </c>
      <c r="N7380" s="30">
        <f t="shared" si="733"/>
        <v>4.3991127423999998</v>
      </c>
      <c r="O7380" s="34"/>
      <c r="P7380" s="36" t="str">
        <f t="shared" si="734"/>
        <v/>
      </c>
      <c r="Q7380" s="216">
        <f t="shared" si="735"/>
        <v>0.14400000000000002</v>
      </c>
      <c r="R7380" s="216">
        <f t="shared" si="736"/>
        <v>0.14400000000000002</v>
      </c>
      <c r="S7380" s="217" t="str">
        <f t="shared" si="737"/>
        <v/>
      </c>
    </row>
    <row r="7381" spans="1:19" ht="15.75" hidden="1" thickBot="1" x14ac:dyDescent="0.3">
      <c r="A7381" s="262"/>
      <c r="B7381" s="260"/>
      <c r="C7381" s="35" t="s">
        <v>1018</v>
      </c>
      <c r="D7381" s="35" t="s">
        <v>583</v>
      </c>
      <c r="E7381" s="36">
        <v>0.23810000000000001</v>
      </c>
      <c r="F7381" s="30">
        <v>27.835000000000001</v>
      </c>
      <c r="G7381" s="33">
        <f t="shared" si="732"/>
        <v>6.6275135000000001</v>
      </c>
      <c r="H7381" s="34"/>
      <c r="I7381" s="30"/>
      <c r="J7381" s="152">
        <v>0</v>
      </c>
      <c r="L7381" s="215">
        <v>0.23810000000000001</v>
      </c>
      <c r="M7381" s="30">
        <v>23.82676</v>
      </c>
      <c r="N7381" s="33">
        <f t="shared" si="733"/>
        <v>5.6731515560000005</v>
      </c>
      <c r="O7381" s="34"/>
      <c r="P7381" s="36" t="str">
        <f t="shared" si="734"/>
        <v/>
      </c>
      <c r="Q7381" s="216">
        <f t="shared" si="735"/>
        <v>0.14400000000000002</v>
      </c>
      <c r="R7381" s="216">
        <f t="shared" si="736"/>
        <v>0.14399999999999991</v>
      </c>
      <c r="S7381" s="217" t="str">
        <f t="shared" si="737"/>
        <v/>
      </c>
    </row>
    <row r="7382" spans="1:19" ht="15.75" hidden="1" thickBot="1" x14ac:dyDescent="0.3">
      <c r="A7382" s="262"/>
      <c r="B7382" s="261"/>
      <c r="C7382" s="35"/>
      <c r="D7382" s="35"/>
      <c r="E7382" s="36"/>
      <c r="F7382" s="30" t="s">
        <v>416</v>
      </c>
      <c r="G7382" s="30" t="str">
        <f t="shared" si="732"/>
        <v/>
      </c>
      <c r="H7382" s="34"/>
      <c r="I7382" s="30"/>
      <c r="J7382" s="152">
        <v>0</v>
      </c>
      <c r="L7382" s="215"/>
      <c r="M7382" s="30"/>
      <c r="N7382" s="30" t="str">
        <f t="shared" si="733"/>
        <v/>
      </c>
      <c r="O7382" s="34"/>
      <c r="P7382" s="36" t="str">
        <f t="shared" si="734"/>
        <v/>
      </c>
      <c r="Q7382" s="216" t="str">
        <f t="shared" si="735"/>
        <v/>
      </c>
      <c r="R7382" s="216" t="str">
        <f t="shared" si="736"/>
        <v/>
      </c>
      <c r="S7382" s="217" t="str">
        <f t="shared" si="737"/>
        <v/>
      </c>
    </row>
    <row r="7383" spans="1:19" ht="15.75" hidden="1" thickBot="1" x14ac:dyDescent="0.3">
      <c r="A7383" s="256" t="s">
        <v>6752</v>
      </c>
      <c r="B7383" s="259" t="str">
        <f>INDEX(Orçamentária!A:B,MATCH(Composições!A7383,Orçamentária!A:A,0),2)</f>
        <v>Eletroduto PEAD 1 1/2”(40mm)</v>
      </c>
      <c r="C7383" s="40"/>
      <c r="D7383" s="25" t="s">
        <v>69</v>
      </c>
      <c r="E7383" s="26"/>
      <c r="F7383" s="48" t="s">
        <v>416</v>
      </c>
      <c r="G7383" s="27" t="str">
        <f t="shared" si="732"/>
        <v/>
      </c>
      <c r="H7383" s="28"/>
      <c r="I7383" s="29"/>
      <c r="J7383" s="152">
        <v>0</v>
      </c>
      <c r="L7383" s="218"/>
      <c r="M7383" s="48"/>
      <c r="N7383" s="27" t="str">
        <f t="shared" si="733"/>
        <v/>
      </c>
      <c r="O7383" s="28"/>
      <c r="P7383" s="36" t="str">
        <f t="shared" si="734"/>
        <v/>
      </c>
      <c r="Q7383" s="216" t="str">
        <f t="shared" si="735"/>
        <v/>
      </c>
      <c r="R7383" s="216" t="str">
        <f t="shared" si="736"/>
        <v/>
      </c>
      <c r="S7383" s="217" t="str">
        <f t="shared" si="737"/>
        <v/>
      </c>
    </row>
    <row r="7384" spans="1:19" ht="15.75" hidden="1" thickBot="1" x14ac:dyDescent="0.3">
      <c r="A7384" s="257"/>
      <c r="B7384" s="260"/>
      <c r="C7384" s="31"/>
      <c r="D7384" s="31"/>
      <c r="E7384" s="32"/>
      <c r="F7384" s="53" t="s">
        <v>416</v>
      </c>
      <c r="G7384" s="53" t="str">
        <f t="shared" si="732"/>
        <v/>
      </c>
      <c r="H7384" s="72"/>
      <c r="I7384" s="73"/>
      <c r="J7384" s="152">
        <v>0</v>
      </c>
      <c r="L7384" s="219"/>
      <c r="M7384" s="53"/>
      <c r="N7384" s="53" t="str">
        <f t="shared" si="733"/>
        <v/>
      </c>
      <c r="O7384" s="72"/>
      <c r="P7384" s="36" t="str">
        <f t="shared" si="734"/>
        <v/>
      </c>
      <c r="Q7384" s="216" t="str">
        <f t="shared" si="735"/>
        <v/>
      </c>
      <c r="R7384" s="216" t="str">
        <f t="shared" si="736"/>
        <v/>
      </c>
      <c r="S7384" s="217" t="str">
        <f t="shared" si="737"/>
        <v/>
      </c>
    </row>
    <row r="7385" spans="1:19" ht="39" hidden="1" thickBot="1" x14ac:dyDescent="0.3">
      <c r="A7385" s="257"/>
      <c r="B7385" s="260"/>
      <c r="C7385" s="35" t="s">
        <v>8151</v>
      </c>
      <c r="D7385" s="35" t="s">
        <v>385</v>
      </c>
      <c r="E7385" s="36">
        <v>1.1000000000000001</v>
      </c>
      <c r="F7385" s="30">
        <v>3.8189999999999995</v>
      </c>
      <c r="G7385" s="53">
        <f t="shared" si="732"/>
        <v>4.2008999999999999</v>
      </c>
      <c r="H7385" s="38">
        <f>SUM(G7385:G7387)</f>
        <v>7.5218567999999992</v>
      </c>
      <c r="I7385" s="39"/>
      <c r="J7385" s="152">
        <v>0</v>
      </c>
      <c r="L7385" s="215">
        <v>1.1000000000000001</v>
      </c>
      <c r="M7385" s="30">
        <v>3.2690639999999997</v>
      </c>
      <c r="N7385" s="53">
        <f t="shared" si="733"/>
        <v>3.5959704000000001</v>
      </c>
      <c r="O7385" s="38">
        <f>SUM(N7385:N7387)</f>
        <v>6.4387094208000004</v>
      </c>
      <c r="P7385" s="36" t="str">
        <f t="shared" si="734"/>
        <v/>
      </c>
      <c r="Q7385" s="216">
        <f t="shared" si="735"/>
        <v>0.14399999999999991</v>
      </c>
      <c r="R7385" s="216">
        <f t="shared" si="736"/>
        <v>0.14399999999999991</v>
      </c>
      <c r="S7385" s="217">
        <f t="shared" si="737"/>
        <v>0.14399999999999991</v>
      </c>
    </row>
    <row r="7386" spans="1:19" ht="15.75" hidden="1" thickBot="1" x14ac:dyDescent="0.3">
      <c r="A7386" s="257"/>
      <c r="B7386" s="260"/>
      <c r="C7386" s="35" t="s">
        <v>1017</v>
      </c>
      <c r="D7386" s="35" t="s">
        <v>583</v>
      </c>
      <c r="E7386" s="36">
        <v>6.7199999999999996E-2</v>
      </c>
      <c r="F7386" s="33">
        <v>21.584</v>
      </c>
      <c r="G7386" s="33">
        <f t="shared" si="732"/>
        <v>1.4504447999999999</v>
      </c>
      <c r="H7386" s="34"/>
      <c r="I7386" s="30"/>
      <c r="J7386" s="152">
        <v>0</v>
      </c>
      <c r="L7386" s="215">
        <v>6.7199999999999996E-2</v>
      </c>
      <c r="M7386" s="33">
        <v>18.475904</v>
      </c>
      <c r="N7386" s="33">
        <f t="shared" si="733"/>
        <v>1.2415807487999999</v>
      </c>
      <c r="O7386" s="34"/>
      <c r="P7386" s="36" t="str">
        <f t="shared" si="734"/>
        <v/>
      </c>
      <c r="Q7386" s="216">
        <f t="shared" si="735"/>
        <v>0.14400000000000002</v>
      </c>
      <c r="R7386" s="216">
        <f t="shared" si="736"/>
        <v>0.14400000000000002</v>
      </c>
      <c r="S7386" s="217" t="str">
        <f t="shared" si="737"/>
        <v/>
      </c>
    </row>
    <row r="7387" spans="1:19" ht="15.75" hidden="1" thickBot="1" x14ac:dyDescent="0.3">
      <c r="A7387" s="257"/>
      <c r="B7387" s="260"/>
      <c r="C7387" s="35" t="s">
        <v>1018</v>
      </c>
      <c r="D7387" s="35" t="s">
        <v>583</v>
      </c>
      <c r="E7387" s="36">
        <v>6.7199999999999996E-2</v>
      </c>
      <c r="F7387" s="30">
        <v>27.835000000000001</v>
      </c>
      <c r="G7387" s="53">
        <f t="shared" si="732"/>
        <v>1.870512</v>
      </c>
      <c r="H7387" s="43"/>
      <c r="I7387" s="39"/>
      <c r="J7387" s="152">
        <v>0</v>
      </c>
      <c r="L7387" s="215">
        <v>6.7199999999999996E-2</v>
      </c>
      <c r="M7387" s="30">
        <v>23.82676</v>
      </c>
      <c r="N7387" s="53">
        <f t="shared" si="733"/>
        <v>1.6011582719999999</v>
      </c>
      <c r="O7387" s="43"/>
      <c r="P7387" s="36" t="str">
        <f t="shared" si="734"/>
        <v/>
      </c>
      <c r="Q7387" s="216">
        <f t="shared" si="735"/>
        <v>0.14400000000000002</v>
      </c>
      <c r="R7387" s="216">
        <f t="shared" si="736"/>
        <v>0.14400000000000002</v>
      </c>
      <c r="S7387" s="217" t="str">
        <f t="shared" si="737"/>
        <v/>
      </c>
    </row>
    <row r="7388" spans="1:19" ht="15.75" hidden="1" thickBot="1" x14ac:dyDescent="0.3">
      <c r="A7388" s="258"/>
      <c r="B7388" s="261"/>
      <c r="C7388" s="54"/>
      <c r="D7388" s="155"/>
      <c r="E7388" s="65"/>
      <c r="F7388" s="75" t="s">
        <v>416</v>
      </c>
      <c r="G7388" s="75" t="str">
        <f t="shared" si="732"/>
        <v/>
      </c>
      <c r="H7388" s="76"/>
      <c r="I7388" s="73"/>
      <c r="J7388" s="152">
        <v>0</v>
      </c>
      <c r="L7388" s="222"/>
      <c r="M7388" s="75"/>
      <c r="N7388" s="75" t="str">
        <f t="shared" si="733"/>
        <v/>
      </c>
      <c r="O7388" s="76"/>
      <c r="P7388" s="36" t="str">
        <f t="shared" si="734"/>
        <v/>
      </c>
      <c r="Q7388" s="216" t="str">
        <f t="shared" si="735"/>
        <v/>
      </c>
      <c r="R7388" s="216" t="str">
        <f t="shared" si="736"/>
        <v/>
      </c>
      <c r="S7388" s="217" t="str">
        <f t="shared" si="737"/>
        <v/>
      </c>
    </row>
    <row r="7389" spans="1:19" ht="15.75" thickBot="1" x14ac:dyDescent="0.3">
      <c r="A7389" s="256" t="s">
        <v>6753</v>
      </c>
      <c r="B7389" s="259" t="str">
        <f>INDEX(Orçamentária!A:B,MATCH(Composições!A7389,Orçamentária!A:A,0),2)</f>
        <v>Cabo 3x6 mm²</v>
      </c>
      <c r="C7389" s="40"/>
      <c r="D7389" s="25" t="s">
        <v>69</v>
      </c>
      <c r="E7389" s="26"/>
      <c r="F7389" s="41" t="s">
        <v>416</v>
      </c>
      <c r="G7389" s="27" t="str">
        <f t="shared" si="732"/>
        <v/>
      </c>
      <c r="H7389" s="28"/>
      <c r="I7389" s="29"/>
      <c r="J7389" s="152">
        <v>40</v>
      </c>
      <c r="L7389" s="218"/>
      <c r="M7389" s="41"/>
      <c r="N7389" s="27" t="str">
        <f t="shared" si="733"/>
        <v/>
      </c>
      <c r="O7389" s="28"/>
      <c r="P7389" s="36" t="str">
        <f t="shared" si="734"/>
        <v/>
      </c>
      <c r="Q7389" s="216" t="str">
        <f t="shared" si="735"/>
        <v/>
      </c>
      <c r="R7389" s="216" t="str">
        <f t="shared" si="736"/>
        <v/>
      </c>
      <c r="S7389" s="217" t="str">
        <f t="shared" si="737"/>
        <v/>
      </c>
    </row>
    <row r="7390" spans="1:19" x14ac:dyDescent="0.25">
      <c r="A7390" s="262"/>
      <c r="B7390" s="260"/>
      <c r="C7390" s="31"/>
      <c r="D7390" s="31"/>
      <c r="E7390" s="32"/>
      <c r="F7390" s="42" t="s">
        <v>416</v>
      </c>
      <c r="G7390" s="30" t="str">
        <f t="shared" si="732"/>
        <v/>
      </c>
      <c r="H7390" s="34"/>
      <c r="I7390" s="30"/>
      <c r="J7390" s="152">
        <v>40</v>
      </c>
      <c r="L7390" s="219"/>
      <c r="M7390" s="42"/>
      <c r="N7390" s="30" t="str">
        <f t="shared" si="733"/>
        <v/>
      </c>
      <c r="O7390" s="34"/>
      <c r="P7390" s="36" t="str">
        <f t="shared" si="734"/>
        <v/>
      </c>
      <c r="Q7390" s="216" t="str">
        <f t="shared" si="735"/>
        <v/>
      </c>
      <c r="R7390" s="216" t="str">
        <f t="shared" si="736"/>
        <v/>
      </c>
      <c r="S7390" s="217" t="str">
        <f t="shared" si="737"/>
        <v/>
      </c>
    </row>
    <row r="7391" spans="1:19" x14ac:dyDescent="0.25">
      <c r="A7391" s="262"/>
      <c r="B7391" s="260"/>
      <c r="C7391" s="35" t="s">
        <v>1017</v>
      </c>
      <c r="D7391" s="35" t="s">
        <v>583</v>
      </c>
      <c r="E7391" s="36">
        <v>1.2999999999999999E-2</v>
      </c>
      <c r="F7391" s="30">
        <v>21.584</v>
      </c>
      <c r="G7391" s="33">
        <f t="shared" si="732"/>
        <v>0.28059200000000001</v>
      </c>
      <c r="H7391" s="38">
        <f>SUM(G7391:G7394)</f>
        <v>19.557846999999999</v>
      </c>
      <c r="I7391" s="39"/>
      <c r="J7391" s="152">
        <v>40</v>
      </c>
      <c r="L7391" s="215">
        <v>1.2999999999999999E-2</v>
      </c>
      <c r="M7391" s="30">
        <v>18.475904</v>
      </c>
      <c r="N7391" s="33">
        <f t="shared" si="733"/>
        <v>0.24018675199999998</v>
      </c>
      <c r="O7391" s="38">
        <f>SUM(N7391:N7394)</f>
        <v>16.741517031999997</v>
      </c>
      <c r="P7391" s="36" t="str">
        <f t="shared" si="734"/>
        <v/>
      </c>
      <c r="Q7391" s="216">
        <f t="shared" si="735"/>
        <v>0.14400000000000002</v>
      </c>
      <c r="R7391" s="216">
        <f t="shared" si="736"/>
        <v>0.14400000000000013</v>
      </c>
      <c r="S7391" s="217">
        <f t="shared" si="737"/>
        <v>0.14400000000000013</v>
      </c>
    </row>
    <row r="7392" spans="1:19" x14ac:dyDescent="0.25">
      <c r="A7392" s="262"/>
      <c r="B7392" s="260"/>
      <c r="C7392" s="35" t="s">
        <v>1018</v>
      </c>
      <c r="D7392" s="35" t="s">
        <v>583</v>
      </c>
      <c r="E7392" s="36">
        <v>1.2999999999999999E-2</v>
      </c>
      <c r="F7392" s="30">
        <v>27.835000000000001</v>
      </c>
      <c r="G7392" s="33">
        <f t="shared" si="732"/>
        <v>0.36185499999999998</v>
      </c>
      <c r="H7392" s="34"/>
      <c r="I7392" s="30"/>
      <c r="J7392" s="152">
        <v>40</v>
      </c>
      <c r="L7392" s="215">
        <v>1.2999999999999999E-2</v>
      </c>
      <c r="M7392" s="30">
        <v>23.82676</v>
      </c>
      <c r="N7392" s="33">
        <f t="shared" si="733"/>
        <v>0.30974787999999998</v>
      </c>
      <c r="O7392" s="34"/>
      <c r="P7392" s="36" t="str">
        <f t="shared" si="734"/>
        <v/>
      </c>
      <c r="Q7392" s="216">
        <f t="shared" si="735"/>
        <v>0.14400000000000002</v>
      </c>
      <c r="R7392" s="216">
        <f t="shared" si="736"/>
        <v>0.14400000000000002</v>
      </c>
      <c r="S7392" s="217" t="str">
        <f t="shared" si="737"/>
        <v/>
      </c>
    </row>
    <row r="7393" spans="1:19" ht="25.5" x14ac:dyDescent="0.25">
      <c r="A7393" s="262"/>
      <c r="B7393" s="260"/>
      <c r="C7393" s="35" t="s">
        <v>6944</v>
      </c>
      <c r="D7393" s="35" t="s">
        <v>69</v>
      </c>
      <c r="E7393" s="36">
        <v>1.0269999999999999</v>
      </c>
      <c r="F7393" s="33">
        <v>18.38</v>
      </c>
      <c r="G7393" s="33">
        <f t="shared" si="732"/>
        <v>18.876259999999998</v>
      </c>
      <c r="H7393" s="34"/>
      <c r="I7393" s="30"/>
      <c r="J7393" s="152">
        <v>40</v>
      </c>
      <c r="L7393" s="215">
        <v>1.0269999999999999</v>
      </c>
      <c r="M7393" s="33">
        <v>15.733279999999999</v>
      </c>
      <c r="N7393" s="33">
        <f t="shared" si="733"/>
        <v>16.158078559999996</v>
      </c>
      <c r="O7393" s="34"/>
      <c r="P7393" s="36" t="str">
        <f t="shared" si="734"/>
        <v/>
      </c>
      <c r="Q7393" s="216">
        <f t="shared" si="735"/>
        <v>0.14400000000000002</v>
      </c>
      <c r="R7393" s="216">
        <f t="shared" si="736"/>
        <v>0.14400000000000013</v>
      </c>
      <c r="S7393" s="217" t="str">
        <f t="shared" si="737"/>
        <v/>
      </c>
    </row>
    <row r="7394" spans="1:19" ht="25.5" x14ac:dyDescent="0.25">
      <c r="A7394" s="262"/>
      <c r="B7394" s="260"/>
      <c r="C7394" s="35" t="s">
        <v>8169</v>
      </c>
      <c r="D7394" s="35" t="s">
        <v>213</v>
      </c>
      <c r="E7394" s="36">
        <v>0.01</v>
      </c>
      <c r="F7394" s="33">
        <v>3.9139999999999997</v>
      </c>
      <c r="G7394" s="33">
        <f t="shared" si="732"/>
        <v>3.9140000000000001E-2</v>
      </c>
      <c r="H7394" s="34"/>
      <c r="I7394" s="30"/>
      <c r="J7394" s="152">
        <v>40</v>
      </c>
      <c r="L7394" s="215">
        <v>0.01</v>
      </c>
      <c r="M7394" s="33">
        <v>3.350384</v>
      </c>
      <c r="N7394" s="33">
        <f t="shared" si="733"/>
        <v>3.350384E-2</v>
      </c>
      <c r="O7394" s="34"/>
      <c r="P7394" s="36" t="str">
        <f t="shared" si="734"/>
        <v/>
      </c>
      <c r="Q7394" s="216">
        <f t="shared" si="735"/>
        <v>0.14399999999999991</v>
      </c>
      <c r="R7394" s="216">
        <f t="shared" si="736"/>
        <v>0.14400000000000002</v>
      </c>
      <c r="S7394" s="217" t="str">
        <f t="shared" si="737"/>
        <v/>
      </c>
    </row>
    <row r="7395" spans="1:19" ht="15.75" thickBot="1" x14ac:dyDescent="0.3">
      <c r="A7395" s="263"/>
      <c r="B7395" s="261"/>
      <c r="C7395" s="35"/>
      <c r="D7395" s="35"/>
      <c r="E7395" s="36"/>
      <c r="F7395" s="30" t="s">
        <v>416</v>
      </c>
      <c r="G7395" s="30" t="str">
        <f t="shared" si="732"/>
        <v/>
      </c>
      <c r="H7395" s="34"/>
      <c r="I7395" s="30"/>
      <c r="J7395" s="152">
        <v>40</v>
      </c>
      <c r="L7395" s="215"/>
      <c r="M7395" s="30"/>
      <c r="N7395" s="30" t="str">
        <f t="shared" si="733"/>
        <v/>
      </c>
      <c r="O7395" s="34"/>
      <c r="P7395" s="36" t="str">
        <f t="shared" si="734"/>
        <v/>
      </c>
      <c r="Q7395" s="216" t="str">
        <f t="shared" si="735"/>
        <v/>
      </c>
      <c r="R7395" s="216" t="str">
        <f t="shared" si="736"/>
        <v/>
      </c>
      <c r="S7395" s="217" t="str">
        <f t="shared" si="737"/>
        <v/>
      </c>
    </row>
    <row r="7396" spans="1:19" ht="15.75" hidden="1" thickBot="1" x14ac:dyDescent="0.3">
      <c r="A7396" s="256" t="s">
        <v>6754</v>
      </c>
      <c r="B7396" s="259" t="str">
        <f>INDEX(Orçamentária!A:B,MATCH(Composições!A7396,Orçamentária!A:A,0),2)</f>
        <v>Eletroduto de aço galvanizado a fogo de 1”</v>
      </c>
      <c r="C7396" s="40"/>
      <c r="D7396" s="25" t="s">
        <v>69</v>
      </c>
      <c r="E7396" s="26"/>
      <c r="F7396" s="41" t="s">
        <v>416</v>
      </c>
      <c r="G7396" s="27" t="str">
        <f t="shared" si="732"/>
        <v/>
      </c>
      <c r="H7396" s="28"/>
      <c r="I7396" s="29"/>
      <c r="J7396" s="152">
        <v>0</v>
      </c>
      <c r="L7396" s="218"/>
      <c r="M7396" s="41"/>
      <c r="N7396" s="27" t="str">
        <f t="shared" si="733"/>
        <v/>
      </c>
      <c r="O7396" s="28"/>
      <c r="P7396" s="36" t="str">
        <f t="shared" si="734"/>
        <v/>
      </c>
      <c r="Q7396" s="216" t="str">
        <f t="shared" si="735"/>
        <v/>
      </c>
      <c r="R7396" s="216" t="str">
        <f t="shared" si="736"/>
        <v/>
      </c>
      <c r="S7396" s="217" t="str">
        <f t="shared" si="737"/>
        <v/>
      </c>
    </row>
    <row r="7397" spans="1:19" ht="15.75" hidden="1" thickBot="1" x14ac:dyDescent="0.3">
      <c r="A7397" s="262"/>
      <c r="B7397" s="260"/>
      <c r="C7397" s="31"/>
      <c r="D7397" s="31"/>
      <c r="E7397" s="32"/>
      <c r="F7397" s="42" t="s">
        <v>416</v>
      </c>
      <c r="G7397" s="30" t="str">
        <f t="shared" si="732"/>
        <v/>
      </c>
      <c r="H7397" s="34"/>
      <c r="I7397" s="30"/>
      <c r="J7397" s="152">
        <v>0</v>
      </c>
      <c r="L7397" s="219"/>
      <c r="M7397" s="42"/>
      <c r="N7397" s="30" t="str">
        <f t="shared" si="733"/>
        <v/>
      </c>
      <c r="O7397" s="34"/>
      <c r="P7397" s="36" t="str">
        <f t="shared" si="734"/>
        <v/>
      </c>
      <c r="Q7397" s="216" t="str">
        <f t="shared" si="735"/>
        <v/>
      </c>
      <c r="R7397" s="216" t="str">
        <f t="shared" si="736"/>
        <v/>
      </c>
      <c r="S7397" s="217" t="str">
        <f t="shared" si="737"/>
        <v/>
      </c>
    </row>
    <row r="7398" spans="1:19" ht="15.75" hidden="1" thickBot="1" x14ac:dyDescent="0.3">
      <c r="A7398" s="262"/>
      <c r="B7398" s="260"/>
      <c r="C7398" s="35" t="s">
        <v>6936</v>
      </c>
      <c r="D7398" s="35" t="s">
        <v>69</v>
      </c>
      <c r="E7398" s="36">
        <v>1.05</v>
      </c>
      <c r="F7398" s="30">
        <v>0</v>
      </c>
      <c r="G7398" s="33">
        <f t="shared" si="732"/>
        <v>0</v>
      </c>
      <c r="H7398" s="38">
        <f>SUM(G7398:G7400)</f>
        <v>24.709499999999998</v>
      </c>
      <c r="I7398" s="39"/>
      <c r="J7398" s="152">
        <v>0</v>
      </c>
      <c r="L7398" s="215">
        <v>1.05</v>
      </c>
      <c r="M7398" s="30">
        <v>0</v>
      </c>
      <c r="N7398" s="33">
        <f t="shared" si="733"/>
        <v>0</v>
      </c>
      <c r="O7398" s="38">
        <f>SUM(N7398:N7400)</f>
        <v>21.151332</v>
      </c>
      <c r="P7398" s="36" t="str">
        <f t="shared" si="734"/>
        <v/>
      </c>
      <c r="Q7398" s="216" t="e">
        <f t="shared" si="735"/>
        <v>#DIV/0!</v>
      </c>
      <c r="R7398" s="216" t="e">
        <f t="shared" si="736"/>
        <v>#DIV/0!</v>
      </c>
      <c r="S7398" s="217">
        <f t="shared" si="737"/>
        <v>0.14399999999999991</v>
      </c>
    </row>
    <row r="7399" spans="1:19" ht="15.75" hidden="1" thickBot="1" x14ac:dyDescent="0.3">
      <c r="A7399" s="262"/>
      <c r="B7399" s="260"/>
      <c r="C7399" s="35" t="s">
        <v>1017</v>
      </c>
      <c r="D7399" s="35" t="s">
        <v>583</v>
      </c>
      <c r="E7399" s="36">
        <v>0.5</v>
      </c>
      <c r="F7399" s="30">
        <v>21.584</v>
      </c>
      <c r="G7399" s="33">
        <f t="shared" si="732"/>
        <v>10.792</v>
      </c>
      <c r="H7399" s="34"/>
      <c r="I7399" s="30"/>
      <c r="J7399" s="152">
        <v>0</v>
      </c>
      <c r="L7399" s="215">
        <v>0.5</v>
      </c>
      <c r="M7399" s="30">
        <v>18.475904</v>
      </c>
      <c r="N7399" s="33">
        <f t="shared" si="733"/>
        <v>9.2379519999999999</v>
      </c>
      <c r="O7399" s="34"/>
      <c r="P7399" s="36" t="str">
        <f t="shared" si="734"/>
        <v/>
      </c>
      <c r="Q7399" s="216">
        <f t="shared" si="735"/>
        <v>0.14400000000000002</v>
      </c>
      <c r="R7399" s="216">
        <f t="shared" si="736"/>
        <v>0.14400000000000002</v>
      </c>
      <c r="S7399" s="217" t="str">
        <f t="shared" si="737"/>
        <v/>
      </c>
    </row>
    <row r="7400" spans="1:19" ht="15.75" hidden="1" thickBot="1" x14ac:dyDescent="0.3">
      <c r="A7400" s="262"/>
      <c r="B7400" s="260"/>
      <c r="C7400" s="35" t="s">
        <v>1018</v>
      </c>
      <c r="D7400" s="35" t="s">
        <v>583</v>
      </c>
      <c r="E7400" s="36">
        <v>0.5</v>
      </c>
      <c r="F7400" s="30">
        <v>27.835000000000001</v>
      </c>
      <c r="G7400" s="33">
        <f t="shared" si="732"/>
        <v>13.9175</v>
      </c>
      <c r="H7400" s="34"/>
      <c r="I7400" s="30"/>
      <c r="J7400" s="152">
        <v>0</v>
      </c>
      <c r="L7400" s="215">
        <v>0.5</v>
      </c>
      <c r="M7400" s="30">
        <v>23.82676</v>
      </c>
      <c r="N7400" s="33">
        <f t="shared" si="733"/>
        <v>11.91338</v>
      </c>
      <c r="O7400" s="34"/>
      <c r="P7400" s="36" t="str">
        <f t="shared" si="734"/>
        <v/>
      </c>
      <c r="Q7400" s="216">
        <f t="shared" si="735"/>
        <v>0.14400000000000002</v>
      </c>
      <c r="R7400" s="216">
        <f t="shared" si="736"/>
        <v>0.14400000000000002</v>
      </c>
      <c r="S7400" s="217" t="str">
        <f t="shared" si="737"/>
        <v/>
      </c>
    </row>
    <row r="7401" spans="1:19" ht="15.75" hidden="1" thickBot="1" x14ac:dyDescent="0.3">
      <c r="A7401" s="263"/>
      <c r="B7401" s="261"/>
      <c r="C7401" s="35"/>
      <c r="D7401" s="35"/>
      <c r="E7401" s="36"/>
      <c r="F7401" s="30" t="s">
        <v>416</v>
      </c>
      <c r="G7401" s="30" t="str">
        <f t="shared" si="732"/>
        <v/>
      </c>
      <c r="H7401" s="34"/>
      <c r="I7401" s="30"/>
      <c r="J7401" s="152">
        <v>0</v>
      </c>
      <c r="L7401" s="215"/>
      <c r="M7401" s="30"/>
      <c r="N7401" s="30" t="str">
        <f t="shared" si="733"/>
        <v/>
      </c>
      <c r="O7401" s="34"/>
      <c r="P7401" s="36" t="str">
        <f t="shared" si="734"/>
        <v/>
      </c>
      <c r="Q7401" s="216" t="str">
        <f t="shared" si="735"/>
        <v/>
      </c>
      <c r="R7401" s="216" t="str">
        <f t="shared" si="736"/>
        <v/>
      </c>
      <c r="S7401" s="217" t="str">
        <f t="shared" si="737"/>
        <v/>
      </c>
    </row>
    <row r="7402" spans="1:19" ht="15.75" hidden="1" thickBot="1" x14ac:dyDescent="0.3">
      <c r="A7402" s="256" t="s">
        <v>6755</v>
      </c>
      <c r="B7402" s="259" t="str">
        <f>INDEX(Orçamentária!A:B,MATCH(Composições!A7402,Orçamentária!A:A,0),2)</f>
        <v>Eletroduto de aço galvanizado a fogo de 1 1/2”</v>
      </c>
      <c r="C7402" s="40"/>
      <c r="D7402" s="25" t="s">
        <v>69</v>
      </c>
      <c r="E7402" s="26"/>
      <c r="F7402" s="41" t="s">
        <v>416</v>
      </c>
      <c r="G7402" s="27" t="str">
        <f t="shared" si="732"/>
        <v/>
      </c>
      <c r="H7402" s="28"/>
      <c r="I7402" s="29"/>
      <c r="J7402" s="152">
        <v>0</v>
      </c>
      <c r="L7402" s="218"/>
      <c r="M7402" s="41"/>
      <c r="N7402" s="27" t="str">
        <f t="shared" si="733"/>
        <v/>
      </c>
      <c r="O7402" s="28"/>
      <c r="P7402" s="36" t="str">
        <f t="shared" si="734"/>
        <v/>
      </c>
      <c r="Q7402" s="216" t="str">
        <f t="shared" si="735"/>
        <v/>
      </c>
      <c r="R7402" s="216" t="str">
        <f t="shared" si="736"/>
        <v/>
      </c>
      <c r="S7402" s="217" t="str">
        <f t="shared" si="737"/>
        <v/>
      </c>
    </row>
    <row r="7403" spans="1:19" ht="15.75" hidden="1" thickBot="1" x14ac:dyDescent="0.3">
      <c r="A7403" s="262"/>
      <c r="B7403" s="260"/>
      <c r="C7403" s="31"/>
      <c r="D7403" s="31"/>
      <c r="E7403" s="32"/>
      <c r="F7403" s="42" t="s">
        <v>416</v>
      </c>
      <c r="G7403" s="30" t="str">
        <f t="shared" si="732"/>
        <v/>
      </c>
      <c r="H7403" s="34"/>
      <c r="I7403" s="30"/>
      <c r="J7403" s="152">
        <v>0</v>
      </c>
      <c r="L7403" s="219"/>
      <c r="M7403" s="42"/>
      <c r="N7403" s="30" t="str">
        <f t="shared" si="733"/>
        <v/>
      </c>
      <c r="O7403" s="34"/>
      <c r="P7403" s="36" t="str">
        <f t="shared" si="734"/>
        <v/>
      </c>
      <c r="Q7403" s="216" t="str">
        <f t="shared" si="735"/>
        <v/>
      </c>
      <c r="R7403" s="216" t="str">
        <f t="shared" si="736"/>
        <v/>
      </c>
      <c r="S7403" s="217" t="str">
        <f t="shared" si="737"/>
        <v/>
      </c>
    </row>
    <row r="7404" spans="1:19" ht="15.75" hidden="1" thickBot="1" x14ac:dyDescent="0.3">
      <c r="A7404" s="262"/>
      <c r="B7404" s="260"/>
      <c r="C7404" s="35" t="s">
        <v>6937</v>
      </c>
      <c r="D7404" s="35" t="s">
        <v>69</v>
      </c>
      <c r="E7404" s="36">
        <v>1.05</v>
      </c>
      <c r="F7404" s="30">
        <v>0</v>
      </c>
      <c r="G7404" s="33">
        <f t="shared" si="732"/>
        <v>0</v>
      </c>
      <c r="H7404" s="38">
        <f>SUM(G7404:G7406)</f>
        <v>37.064250000000001</v>
      </c>
      <c r="I7404" s="39"/>
      <c r="J7404" s="152">
        <v>0</v>
      </c>
      <c r="L7404" s="215">
        <v>1.05</v>
      </c>
      <c r="M7404" s="30">
        <v>0</v>
      </c>
      <c r="N7404" s="33">
        <f t="shared" si="733"/>
        <v>0</v>
      </c>
      <c r="O7404" s="38">
        <f>SUM(N7404:N7406)</f>
        <v>31.726997999999998</v>
      </c>
      <c r="P7404" s="36" t="str">
        <f t="shared" si="734"/>
        <v/>
      </c>
      <c r="Q7404" s="216" t="e">
        <f t="shared" si="735"/>
        <v>#DIV/0!</v>
      </c>
      <c r="R7404" s="216" t="e">
        <f t="shared" si="736"/>
        <v>#DIV/0!</v>
      </c>
      <c r="S7404" s="217">
        <f t="shared" si="737"/>
        <v>0.14400000000000013</v>
      </c>
    </row>
    <row r="7405" spans="1:19" ht="15.75" hidden="1" thickBot="1" x14ac:dyDescent="0.3">
      <c r="A7405" s="262"/>
      <c r="B7405" s="260"/>
      <c r="C7405" s="35" t="s">
        <v>1018</v>
      </c>
      <c r="D7405" s="35" t="s">
        <v>583</v>
      </c>
      <c r="E7405" s="36">
        <v>0.75</v>
      </c>
      <c r="F7405" s="30">
        <v>27.835000000000001</v>
      </c>
      <c r="G7405" s="33">
        <f t="shared" si="732"/>
        <v>20.876249999999999</v>
      </c>
      <c r="H7405" s="34"/>
      <c r="I7405" s="30"/>
      <c r="J7405" s="152">
        <v>0</v>
      </c>
      <c r="L7405" s="215">
        <v>0.75</v>
      </c>
      <c r="M7405" s="30">
        <v>23.82676</v>
      </c>
      <c r="N7405" s="33">
        <f t="shared" si="733"/>
        <v>17.870069999999998</v>
      </c>
      <c r="O7405" s="34"/>
      <c r="P7405" s="36" t="str">
        <f t="shared" si="734"/>
        <v/>
      </c>
      <c r="Q7405" s="216">
        <f t="shared" si="735"/>
        <v>0.14400000000000002</v>
      </c>
      <c r="R7405" s="216">
        <f t="shared" si="736"/>
        <v>0.14400000000000002</v>
      </c>
      <c r="S7405" s="217" t="str">
        <f t="shared" si="737"/>
        <v/>
      </c>
    </row>
    <row r="7406" spans="1:19" ht="15.75" hidden="1" thickBot="1" x14ac:dyDescent="0.3">
      <c r="A7406" s="262"/>
      <c r="B7406" s="260"/>
      <c r="C7406" s="35" t="s">
        <v>1017</v>
      </c>
      <c r="D7406" s="35" t="s">
        <v>583</v>
      </c>
      <c r="E7406" s="36">
        <v>0.75</v>
      </c>
      <c r="F7406" s="30">
        <v>21.584</v>
      </c>
      <c r="G7406" s="33">
        <f t="shared" si="732"/>
        <v>16.187999999999999</v>
      </c>
      <c r="H7406" s="34"/>
      <c r="I7406" s="30"/>
      <c r="J7406" s="152">
        <v>0</v>
      </c>
      <c r="L7406" s="215">
        <v>0.75</v>
      </c>
      <c r="M7406" s="30">
        <v>18.475904</v>
      </c>
      <c r="N7406" s="33">
        <f t="shared" si="733"/>
        <v>13.856928</v>
      </c>
      <c r="O7406" s="34"/>
      <c r="P7406" s="36" t="str">
        <f t="shared" si="734"/>
        <v/>
      </c>
      <c r="Q7406" s="216">
        <f t="shared" si="735"/>
        <v>0.14400000000000002</v>
      </c>
      <c r="R7406" s="216">
        <f t="shared" si="736"/>
        <v>0.14399999999999991</v>
      </c>
      <c r="S7406" s="217" t="str">
        <f t="shared" si="737"/>
        <v/>
      </c>
    </row>
    <row r="7407" spans="1:19" ht="15.75" hidden="1" thickBot="1" x14ac:dyDescent="0.3">
      <c r="A7407" s="263"/>
      <c r="B7407" s="261"/>
      <c r="C7407" s="35"/>
      <c r="D7407" s="35"/>
      <c r="E7407" s="36"/>
      <c r="F7407" s="30" t="s">
        <v>416</v>
      </c>
      <c r="G7407" s="30" t="str">
        <f t="shared" si="732"/>
        <v/>
      </c>
      <c r="H7407" s="34"/>
      <c r="I7407" s="30"/>
      <c r="J7407" s="152">
        <v>0</v>
      </c>
      <c r="L7407" s="215"/>
      <c r="M7407" s="30"/>
      <c r="N7407" s="30" t="str">
        <f t="shared" si="733"/>
        <v/>
      </c>
      <c r="O7407" s="34"/>
      <c r="P7407" s="36" t="str">
        <f t="shared" si="734"/>
        <v/>
      </c>
      <c r="Q7407" s="216" t="str">
        <f t="shared" si="735"/>
        <v/>
      </c>
      <c r="R7407" s="216" t="str">
        <f t="shared" si="736"/>
        <v/>
      </c>
      <c r="S7407" s="217" t="str">
        <f t="shared" si="737"/>
        <v/>
      </c>
    </row>
    <row r="7408" spans="1:19" ht="15.75" hidden="1" thickBot="1" x14ac:dyDescent="0.3">
      <c r="A7408" s="256" t="s">
        <v>6756</v>
      </c>
      <c r="B7408" s="259" t="str">
        <f>INDEX(Orçamentária!A:B,MATCH(Composições!A7408,Orçamentária!A:A,0),2)</f>
        <v>Eletroduto de aço galvanizado a fogo de 2”</v>
      </c>
      <c r="C7408" s="40"/>
      <c r="D7408" s="25" t="s">
        <v>69</v>
      </c>
      <c r="E7408" s="26"/>
      <c r="F7408" s="41" t="s">
        <v>416</v>
      </c>
      <c r="G7408" s="27" t="str">
        <f t="shared" si="732"/>
        <v/>
      </c>
      <c r="H7408" s="28"/>
      <c r="I7408" s="29"/>
      <c r="J7408" s="152">
        <v>0</v>
      </c>
      <c r="L7408" s="218"/>
      <c r="M7408" s="41"/>
      <c r="N7408" s="27" t="str">
        <f t="shared" si="733"/>
        <v/>
      </c>
      <c r="O7408" s="28"/>
      <c r="P7408" s="36" t="str">
        <f t="shared" si="734"/>
        <v/>
      </c>
      <c r="Q7408" s="216" t="str">
        <f t="shared" si="735"/>
        <v/>
      </c>
      <c r="R7408" s="216" t="str">
        <f t="shared" si="736"/>
        <v/>
      </c>
      <c r="S7408" s="217" t="str">
        <f t="shared" si="737"/>
        <v/>
      </c>
    </row>
    <row r="7409" spans="1:19" ht="15.75" hidden="1" thickBot="1" x14ac:dyDescent="0.3">
      <c r="A7409" s="262"/>
      <c r="B7409" s="260"/>
      <c r="C7409" s="31"/>
      <c r="D7409" s="31"/>
      <c r="E7409" s="32"/>
      <c r="F7409" s="42" t="s">
        <v>416</v>
      </c>
      <c r="G7409" s="30" t="str">
        <f t="shared" si="732"/>
        <v/>
      </c>
      <c r="H7409" s="34"/>
      <c r="I7409" s="30"/>
      <c r="J7409" s="152">
        <v>0</v>
      </c>
      <c r="L7409" s="219"/>
      <c r="M7409" s="42"/>
      <c r="N7409" s="30" t="str">
        <f t="shared" si="733"/>
        <v/>
      </c>
      <c r="O7409" s="34"/>
      <c r="P7409" s="36" t="str">
        <f t="shared" si="734"/>
        <v/>
      </c>
      <c r="Q7409" s="216" t="str">
        <f t="shared" si="735"/>
        <v/>
      </c>
      <c r="R7409" s="216" t="str">
        <f t="shared" si="736"/>
        <v/>
      </c>
      <c r="S7409" s="217" t="str">
        <f t="shared" si="737"/>
        <v/>
      </c>
    </row>
    <row r="7410" spans="1:19" ht="15.75" hidden="1" thickBot="1" x14ac:dyDescent="0.3">
      <c r="A7410" s="262"/>
      <c r="B7410" s="260"/>
      <c r="C7410" s="35" t="s">
        <v>6943</v>
      </c>
      <c r="D7410" s="35" t="s">
        <v>69</v>
      </c>
      <c r="E7410" s="36">
        <v>1.05</v>
      </c>
      <c r="F7410" s="30">
        <v>0</v>
      </c>
      <c r="G7410" s="33">
        <f t="shared" si="732"/>
        <v>0</v>
      </c>
      <c r="H7410" s="38">
        <f>SUM(G7410:G7412)</f>
        <v>37.064250000000001</v>
      </c>
      <c r="I7410" s="39"/>
      <c r="J7410" s="152">
        <v>0</v>
      </c>
      <c r="L7410" s="215">
        <v>1.05</v>
      </c>
      <c r="M7410" s="30">
        <v>0</v>
      </c>
      <c r="N7410" s="33">
        <f t="shared" si="733"/>
        <v>0</v>
      </c>
      <c r="O7410" s="38">
        <f>SUM(N7410:N7412)</f>
        <v>31.726997999999998</v>
      </c>
      <c r="P7410" s="36" t="str">
        <f t="shared" si="734"/>
        <v/>
      </c>
      <c r="Q7410" s="216" t="e">
        <f t="shared" si="735"/>
        <v>#DIV/0!</v>
      </c>
      <c r="R7410" s="216" t="e">
        <f t="shared" si="736"/>
        <v>#DIV/0!</v>
      </c>
      <c r="S7410" s="217">
        <f t="shared" si="737"/>
        <v>0.14400000000000013</v>
      </c>
    </row>
    <row r="7411" spans="1:19" ht="15.75" hidden="1" thickBot="1" x14ac:dyDescent="0.3">
      <c r="A7411" s="262"/>
      <c r="B7411" s="260"/>
      <c r="C7411" s="35" t="s">
        <v>1018</v>
      </c>
      <c r="D7411" s="35" t="s">
        <v>583</v>
      </c>
      <c r="E7411" s="36">
        <v>0.75</v>
      </c>
      <c r="F7411" s="30">
        <v>27.835000000000001</v>
      </c>
      <c r="G7411" s="33">
        <f t="shared" si="732"/>
        <v>20.876249999999999</v>
      </c>
      <c r="H7411" s="34"/>
      <c r="I7411" s="30"/>
      <c r="J7411" s="152">
        <v>0</v>
      </c>
      <c r="L7411" s="215">
        <v>0.75</v>
      </c>
      <c r="M7411" s="30">
        <v>23.82676</v>
      </c>
      <c r="N7411" s="33">
        <f t="shared" si="733"/>
        <v>17.870069999999998</v>
      </c>
      <c r="O7411" s="34"/>
      <c r="P7411" s="36" t="str">
        <f t="shared" si="734"/>
        <v/>
      </c>
      <c r="Q7411" s="216">
        <f t="shared" si="735"/>
        <v>0.14400000000000002</v>
      </c>
      <c r="R7411" s="216">
        <f t="shared" si="736"/>
        <v>0.14400000000000002</v>
      </c>
      <c r="S7411" s="217" t="str">
        <f t="shared" si="737"/>
        <v/>
      </c>
    </row>
    <row r="7412" spans="1:19" ht="15.75" hidden="1" thickBot="1" x14ac:dyDescent="0.3">
      <c r="A7412" s="262"/>
      <c r="B7412" s="260"/>
      <c r="C7412" s="35" t="s">
        <v>1017</v>
      </c>
      <c r="D7412" s="35" t="s">
        <v>583</v>
      </c>
      <c r="E7412" s="36">
        <v>0.75</v>
      </c>
      <c r="F7412" s="30">
        <v>21.584</v>
      </c>
      <c r="G7412" s="33">
        <f t="shared" si="732"/>
        <v>16.187999999999999</v>
      </c>
      <c r="H7412" s="34"/>
      <c r="I7412" s="30"/>
      <c r="J7412" s="152">
        <v>0</v>
      </c>
      <c r="L7412" s="215">
        <v>0.75</v>
      </c>
      <c r="M7412" s="30">
        <v>18.475904</v>
      </c>
      <c r="N7412" s="33">
        <f t="shared" si="733"/>
        <v>13.856928</v>
      </c>
      <c r="O7412" s="34"/>
      <c r="P7412" s="36" t="str">
        <f t="shared" si="734"/>
        <v/>
      </c>
      <c r="Q7412" s="216">
        <f t="shared" si="735"/>
        <v>0.14400000000000002</v>
      </c>
      <c r="R7412" s="216">
        <f t="shared" si="736"/>
        <v>0.14399999999999991</v>
      </c>
      <c r="S7412" s="217" t="str">
        <f t="shared" si="737"/>
        <v/>
      </c>
    </row>
    <row r="7413" spans="1:19" ht="15.75" hidden="1" thickBot="1" x14ac:dyDescent="0.3">
      <c r="A7413" s="263"/>
      <c r="B7413" s="261"/>
      <c r="C7413" s="35"/>
      <c r="D7413" s="35"/>
      <c r="E7413" s="36"/>
      <c r="F7413" s="30" t="s">
        <v>416</v>
      </c>
      <c r="G7413" s="30" t="str">
        <f t="shared" si="732"/>
        <v/>
      </c>
      <c r="H7413" s="34"/>
      <c r="I7413" s="30"/>
      <c r="J7413" s="152">
        <v>0</v>
      </c>
      <c r="L7413" s="215"/>
      <c r="M7413" s="30"/>
      <c r="N7413" s="30" t="str">
        <f t="shared" si="733"/>
        <v/>
      </c>
      <c r="O7413" s="34"/>
      <c r="P7413" s="36" t="str">
        <f t="shared" si="734"/>
        <v/>
      </c>
      <c r="Q7413" s="216" t="str">
        <f t="shared" si="735"/>
        <v/>
      </c>
      <c r="R7413" s="216" t="str">
        <f t="shared" si="736"/>
        <v/>
      </c>
      <c r="S7413" s="217" t="str">
        <f t="shared" si="737"/>
        <v/>
      </c>
    </row>
    <row r="7414" spans="1:19" ht="15.75" hidden="1" thickBot="1" x14ac:dyDescent="0.3">
      <c r="A7414" s="256" t="s">
        <v>6757</v>
      </c>
      <c r="B7414" s="259" t="str">
        <f>INDEX(Orçamentária!A:B,MATCH(Composições!A7414,Orçamentária!A:A,0),2)</f>
        <v>Eletroduto de aço galvanizado a fogo de 3”</v>
      </c>
      <c r="C7414" s="40"/>
      <c r="D7414" s="25" t="s">
        <v>69</v>
      </c>
      <c r="E7414" s="26"/>
      <c r="F7414" s="41" t="s">
        <v>416</v>
      </c>
      <c r="G7414" s="27" t="str">
        <f t="shared" si="732"/>
        <v/>
      </c>
      <c r="H7414" s="28"/>
      <c r="I7414" s="29"/>
      <c r="J7414" s="152">
        <v>0</v>
      </c>
      <c r="L7414" s="218"/>
      <c r="M7414" s="41"/>
      <c r="N7414" s="27" t="str">
        <f t="shared" si="733"/>
        <v/>
      </c>
      <c r="O7414" s="28"/>
      <c r="P7414" s="36" t="str">
        <f t="shared" si="734"/>
        <v/>
      </c>
      <c r="Q7414" s="216" t="str">
        <f t="shared" si="735"/>
        <v/>
      </c>
      <c r="R7414" s="216" t="str">
        <f t="shared" si="736"/>
        <v/>
      </c>
      <c r="S7414" s="217" t="str">
        <f t="shared" si="737"/>
        <v/>
      </c>
    </row>
    <row r="7415" spans="1:19" ht="15.75" hidden="1" thickBot="1" x14ac:dyDescent="0.3">
      <c r="A7415" s="262"/>
      <c r="B7415" s="260"/>
      <c r="C7415" s="31"/>
      <c r="D7415" s="31"/>
      <c r="E7415" s="32"/>
      <c r="F7415" s="42" t="s">
        <v>416</v>
      </c>
      <c r="G7415" s="30" t="str">
        <f t="shared" si="732"/>
        <v/>
      </c>
      <c r="H7415" s="34"/>
      <c r="I7415" s="30"/>
      <c r="J7415" s="152">
        <v>0</v>
      </c>
      <c r="L7415" s="219"/>
      <c r="M7415" s="42"/>
      <c r="N7415" s="30" t="str">
        <f t="shared" si="733"/>
        <v/>
      </c>
      <c r="O7415" s="34"/>
      <c r="P7415" s="36" t="str">
        <f t="shared" si="734"/>
        <v/>
      </c>
      <c r="Q7415" s="216" t="str">
        <f t="shared" si="735"/>
        <v/>
      </c>
      <c r="R7415" s="216" t="str">
        <f t="shared" si="736"/>
        <v/>
      </c>
      <c r="S7415" s="217" t="str">
        <f t="shared" si="737"/>
        <v/>
      </c>
    </row>
    <row r="7416" spans="1:19" ht="15.75" hidden="1" thickBot="1" x14ac:dyDescent="0.3">
      <c r="A7416" s="262"/>
      <c r="B7416" s="260"/>
      <c r="C7416" s="35" t="s">
        <v>6942</v>
      </c>
      <c r="D7416" s="35" t="s">
        <v>69</v>
      </c>
      <c r="E7416" s="36">
        <v>1.05</v>
      </c>
      <c r="F7416" s="30">
        <v>0</v>
      </c>
      <c r="G7416" s="33">
        <f t="shared" si="732"/>
        <v>0</v>
      </c>
      <c r="H7416" s="38">
        <f>SUM(G7416:G7418)</f>
        <v>49.418999999999997</v>
      </c>
      <c r="I7416" s="39"/>
      <c r="J7416" s="152">
        <v>0</v>
      </c>
      <c r="L7416" s="215">
        <v>1.05</v>
      </c>
      <c r="M7416" s="30">
        <v>0</v>
      </c>
      <c r="N7416" s="33">
        <f t="shared" si="733"/>
        <v>0</v>
      </c>
      <c r="O7416" s="38">
        <f>SUM(N7416:N7418)</f>
        <v>42.302664</v>
      </c>
      <c r="P7416" s="36" t="str">
        <f t="shared" si="734"/>
        <v/>
      </c>
      <c r="Q7416" s="216" t="e">
        <f t="shared" si="735"/>
        <v>#DIV/0!</v>
      </c>
      <c r="R7416" s="216" t="e">
        <f t="shared" si="736"/>
        <v>#DIV/0!</v>
      </c>
      <c r="S7416" s="217">
        <f t="shared" si="737"/>
        <v>0.14399999999999991</v>
      </c>
    </row>
    <row r="7417" spans="1:19" ht="15.75" hidden="1" thickBot="1" x14ac:dyDescent="0.3">
      <c r="A7417" s="262"/>
      <c r="B7417" s="260"/>
      <c r="C7417" s="35" t="s">
        <v>1018</v>
      </c>
      <c r="D7417" s="35" t="s">
        <v>583</v>
      </c>
      <c r="E7417" s="36">
        <v>1</v>
      </c>
      <c r="F7417" s="30">
        <v>27.835000000000001</v>
      </c>
      <c r="G7417" s="33">
        <f t="shared" si="732"/>
        <v>27.835000000000001</v>
      </c>
      <c r="H7417" s="34"/>
      <c r="I7417" s="30"/>
      <c r="J7417" s="152">
        <v>0</v>
      </c>
      <c r="L7417" s="215">
        <v>1</v>
      </c>
      <c r="M7417" s="30">
        <v>23.82676</v>
      </c>
      <c r="N7417" s="33">
        <f t="shared" si="733"/>
        <v>23.82676</v>
      </c>
      <c r="O7417" s="34"/>
      <c r="P7417" s="36" t="str">
        <f t="shared" si="734"/>
        <v/>
      </c>
      <c r="Q7417" s="216">
        <f t="shared" si="735"/>
        <v>0.14400000000000002</v>
      </c>
      <c r="R7417" s="216">
        <f t="shared" si="736"/>
        <v>0.14400000000000002</v>
      </c>
      <c r="S7417" s="217" t="str">
        <f t="shared" si="737"/>
        <v/>
      </c>
    </row>
    <row r="7418" spans="1:19" ht="15.75" hidden="1" thickBot="1" x14ac:dyDescent="0.3">
      <c r="A7418" s="262"/>
      <c r="B7418" s="260"/>
      <c r="C7418" s="35" t="s">
        <v>1017</v>
      </c>
      <c r="D7418" s="35" t="s">
        <v>583</v>
      </c>
      <c r="E7418" s="36">
        <v>1</v>
      </c>
      <c r="F7418" s="30">
        <v>21.584</v>
      </c>
      <c r="G7418" s="33">
        <f t="shared" si="732"/>
        <v>21.584</v>
      </c>
      <c r="H7418" s="34"/>
      <c r="I7418" s="30"/>
      <c r="J7418" s="152">
        <v>0</v>
      </c>
      <c r="L7418" s="215">
        <v>1</v>
      </c>
      <c r="M7418" s="30">
        <v>18.475904</v>
      </c>
      <c r="N7418" s="33">
        <f t="shared" si="733"/>
        <v>18.475904</v>
      </c>
      <c r="O7418" s="34"/>
      <c r="P7418" s="36" t="str">
        <f t="shared" si="734"/>
        <v/>
      </c>
      <c r="Q7418" s="216">
        <f t="shared" si="735"/>
        <v>0.14400000000000002</v>
      </c>
      <c r="R7418" s="216">
        <f t="shared" si="736"/>
        <v>0.14400000000000002</v>
      </c>
      <c r="S7418" s="217" t="str">
        <f t="shared" si="737"/>
        <v/>
      </c>
    </row>
    <row r="7419" spans="1:19" ht="15.75" hidden="1" thickBot="1" x14ac:dyDescent="0.3">
      <c r="A7419" s="263"/>
      <c r="B7419" s="261"/>
      <c r="C7419" s="35"/>
      <c r="D7419" s="35"/>
      <c r="E7419" s="36"/>
      <c r="F7419" s="30" t="s">
        <v>416</v>
      </c>
      <c r="G7419" s="30" t="str">
        <f t="shared" si="732"/>
        <v/>
      </c>
      <c r="H7419" s="34"/>
      <c r="I7419" s="30"/>
      <c r="J7419" s="152">
        <v>0</v>
      </c>
      <c r="L7419" s="215"/>
      <c r="M7419" s="30"/>
      <c r="N7419" s="30" t="str">
        <f t="shared" si="733"/>
        <v/>
      </c>
      <c r="O7419" s="34"/>
      <c r="P7419" s="36" t="str">
        <f t="shared" si="734"/>
        <v/>
      </c>
      <c r="Q7419" s="216" t="str">
        <f t="shared" si="735"/>
        <v/>
      </c>
      <c r="R7419" s="216" t="str">
        <f t="shared" si="736"/>
        <v/>
      </c>
      <c r="S7419" s="217" t="str">
        <f t="shared" si="737"/>
        <v/>
      </c>
    </row>
    <row r="7420" spans="1:19" ht="15.75" hidden="1" thickBot="1" x14ac:dyDescent="0.3">
      <c r="A7420" s="256" t="s">
        <v>6758</v>
      </c>
      <c r="B7420" s="259" t="str">
        <f>INDEX(Orçamentária!A:B,MATCH(Composições!A7420,Orçamentária!A:A,0),2)</f>
        <v>Projeto Executivo de Iluminação Viária</v>
      </c>
      <c r="C7420" s="40"/>
      <c r="D7420" s="25" t="s">
        <v>16</v>
      </c>
      <c r="E7420" s="26"/>
      <c r="F7420" s="41" t="s">
        <v>416</v>
      </c>
      <c r="G7420" s="27" t="str">
        <f t="shared" si="732"/>
        <v/>
      </c>
      <c r="H7420" s="28"/>
      <c r="I7420" s="29"/>
      <c r="J7420" s="152">
        <v>0</v>
      </c>
      <c r="L7420" s="218"/>
      <c r="M7420" s="41"/>
      <c r="N7420" s="27" t="str">
        <f t="shared" si="733"/>
        <v/>
      </c>
      <c r="O7420" s="28"/>
      <c r="P7420" s="36" t="str">
        <f t="shared" si="734"/>
        <v/>
      </c>
      <c r="Q7420" s="216" t="str">
        <f t="shared" si="735"/>
        <v/>
      </c>
      <c r="R7420" s="216" t="str">
        <f t="shared" si="736"/>
        <v/>
      </c>
      <c r="S7420" s="217" t="str">
        <f t="shared" si="737"/>
        <v/>
      </c>
    </row>
    <row r="7421" spans="1:19" ht="15.75" hidden="1" thickBot="1" x14ac:dyDescent="0.3">
      <c r="A7421" s="262"/>
      <c r="B7421" s="260"/>
      <c r="C7421" s="31"/>
      <c r="D7421" s="31"/>
      <c r="E7421" s="32"/>
      <c r="F7421" s="42" t="s">
        <v>416</v>
      </c>
      <c r="G7421" s="30" t="str">
        <f t="shared" si="732"/>
        <v/>
      </c>
      <c r="H7421" s="34"/>
      <c r="I7421" s="30"/>
      <c r="J7421" s="152">
        <v>0</v>
      </c>
      <c r="L7421" s="219"/>
      <c r="M7421" s="42"/>
      <c r="N7421" s="30" t="str">
        <f t="shared" si="733"/>
        <v/>
      </c>
      <c r="O7421" s="34"/>
      <c r="P7421" s="36" t="str">
        <f t="shared" si="734"/>
        <v/>
      </c>
      <c r="Q7421" s="216" t="str">
        <f t="shared" si="735"/>
        <v/>
      </c>
      <c r="R7421" s="216" t="str">
        <f t="shared" si="736"/>
        <v/>
      </c>
      <c r="S7421" s="217" t="str">
        <f t="shared" si="737"/>
        <v/>
      </c>
    </row>
    <row r="7422" spans="1:19" ht="15.75" hidden="1" thickBot="1" x14ac:dyDescent="0.3">
      <c r="A7422" s="262"/>
      <c r="B7422" s="260"/>
      <c r="C7422" s="35" t="s">
        <v>2917</v>
      </c>
      <c r="D7422" s="35" t="s">
        <v>583</v>
      </c>
      <c r="E7422" s="36">
        <v>40</v>
      </c>
      <c r="F7422" s="33">
        <v>124.203</v>
      </c>
      <c r="G7422" s="30">
        <f t="shared" si="732"/>
        <v>4968.12</v>
      </c>
      <c r="H7422" s="38">
        <f>SUM(G7422:G7423)</f>
        <v>5604.62</v>
      </c>
      <c r="I7422" s="39"/>
      <c r="J7422" s="152">
        <v>0</v>
      </c>
      <c r="L7422" s="215">
        <v>40</v>
      </c>
      <c r="M7422" s="33">
        <v>106.317768</v>
      </c>
      <c r="N7422" s="30">
        <f t="shared" si="733"/>
        <v>4252.71072</v>
      </c>
      <c r="O7422" s="38">
        <f>SUM(N7422:N7423)</f>
        <v>4797.5547200000001</v>
      </c>
      <c r="P7422" s="36" t="str">
        <f t="shared" si="734"/>
        <v/>
      </c>
      <c r="Q7422" s="216">
        <f t="shared" si="735"/>
        <v>0.14400000000000002</v>
      </c>
      <c r="R7422" s="216">
        <f t="shared" si="736"/>
        <v>0.14400000000000002</v>
      </c>
      <c r="S7422" s="217">
        <f t="shared" si="737"/>
        <v>0.14400000000000002</v>
      </c>
    </row>
    <row r="7423" spans="1:19" ht="15.75" hidden="1" thickBot="1" x14ac:dyDescent="0.3">
      <c r="A7423" s="262"/>
      <c r="B7423" s="260"/>
      <c r="C7423" s="35" t="s">
        <v>2912</v>
      </c>
      <c r="D7423" s="35" t="s">
        <v>583</v>
      </c>
      <c r="E7423" s="36">
        <v>40</v>
      </c>
      <c r="F7423" s="30">
        <v>15.9125</v>
      </c>
      <c r="G7423" s="33">
        <f t="shared" si="732"/>
        <v>636.5</v>
      </c>
      <c r="H7423" s="34"/>
      <c r="I7423" s="30"/>
      <c r="J7423" s="152">
        <v>0</v>
      </c>
      <c r="L7423" s="215">
        <v>40</v>
      </c>
      <c r="M7423" s="30">
        <v>13.6211</v>
      </c>
      <c r="N7423" s="33">
        <f t="shared" si="733"/>
        <v>544.84400000000005</v>
      </c>
      <c r="O7423" s="34"/>
      <c r="P7423" s="36" t="str">
        <f t="shared" si="734"/>
        <v/>
      </c>
      <c r="Q7423" s="216">
        <f t="shared" si="735"/>
        <v>0.14400000000000002</v>
      </c>
      <c r="R7423" s="216">
        <f t="shared" si="736"/>
        <v>0.14399999999999991</v>
      </c>
      <c r="S7423" s="217" t="str">
        <f t="shared" si="737"/>
        <v/>
      </c>
    </row>
    <row r="7424" spans="1:19" ht="15.75" hidden="1" thickBot="1" x14ac:dyDescent="0.3">
      <c r="A7424" s="262"/>
      <c r="B7424" s="261"/>
      <c r="C7424" s="35"/>
      <c r="D7424" s="35"/>
      <c r="E7424" s="36"/>
      <c r="F7424" s="30" t="s">
        <v>416</v>
      </c>
      <c r="G7424" s="30" t="str">
        <f t="shared" si="732"/>
        <v/>
      </c>
      <c r="H7424" s="34"/>
      <c r="I7424" s="30"/>
      <c r="J7424" s="152">
        <v>0</v>
      </c>
      <c r="L7424" s="215"/>
      <c r="M7424" s="30"/>
      <c r="N7424" s="30" t="str">
        <f t="shared" si="733"/>
        <v/>
      </c>
      <c r="O7424" s="34"/>
      <c r="P7424" s="36" t="str">
        <f t="shared" si="734"/>
        <v/>
      </c>
      <c r="Q7424" s="216" t="str">
        <f t="shared" si="735"/>
        <v/>
      </c>
      <c r="R7424" s="216" t="str">
        <f t="shared" si="736"/>
        <v/>
      </c>
      <c r="S7424" s="217" t="str">
        <f t="shared" si="737"/>
        <v/>
      </c>
    </row>
    <row r="7425" spans="1:19" ht="15.75" hidden="1" thickBot="1" x14ac:dyDescent="0.3">
      <c r="A7425" s="256" t="s">
        <v>6759</v>
      </c>
      <c r="B7425" s="259" t="str">
        <f>INDEX(Orçamentária!A:B,MATCH(Composições!A7425,Orçamentária!A:A,0),2)</f>
        <v>Luminária LED para poste 150 W</v>
      </c>
      <c r="C7425" s="40"/>
      <c r="D7425" s="25" t="s">
        <v>16</v>
      </c>
      <c r="E7425" s="26"/>
      <c r="F7425" s="41" t="s">
        <v>416</v>
      </c>
      <c r="G7425" s="27" t="str">
        <f t="shared" si="732"/>
        <v/>
      </c>
      <c r="H7425" s="28"/>
      <c r="I7425" s="29"/>
      <c r="J7425" s="152">
        <v>0</v>
      </c>
      <c r="L7425" s="218"/>
      <c r="M7425" s="41"/>
      <c r="N7425" s="27" t="str">
        <f t="shared" si="733"/>
        <v/>
      </c>
      <c r="O7425" s="28"/>
      <c r="P7425" s="36" t="str">
        <f t="shared" si="734"/>
        <v/>
      </c>
      <c r="Q7425" s="216" t="str">
        <f t="shared" si="735"/>
        <v/>
      </c>
      <c r="R7425" s="216" t="str">
        <f t="shared" si="736"/>
        <v/>
      </c>
      <c r="S7425" s="217" t="str">
        <f t="shared" si="737"/>
        <v/>
      </c>
    </row>
    <row r="7426" spans="1:19" ht="15.75" hidden="1" thickBot="1" x14ac:dyDescent="0.3">
      <c r="A7426" s="262"/>
      <c r="B7426" s="260"/>
      <c r="C7426" s="31"/>
      <c r="D7426" s="31"/>
      <c r="E7426" s="32"/>
      <c r="F7426" s="42" t="s">
        <v>416</v>
      </c>
      <c r="G7426" s="30" t="str">
        <f t="shared" ref="G7426:G7489" si="738">IF(ISNUMBER(F7426),E7426*F7426,"")</f>
        <v/>
      </c>
      <c r="H7426" s="34"/>
      <c r="I7426" s="30"/>
      <c r="J7426" s="152">
        <v>0</v>
      </c>
      <c r="L7426" s="219"/>
      <c r="M7426" s="42"/>
      <c r="N7426" s="30" t="str">
        <f t="shared" ref="N7426:N7489" si="739">IF(ISNUMBER(M7426),L7426*M7426,"")</f>
        <v/>
      </c>
      <c r="O7426" s="34"/>
      <c r="P7426" s="36" t="str">
        <f t="shared" si="734"/>
        <v/>
      </c>
      <c r="Q7426" s="216" t="str">
        <f t="shared" si="735"/>
        <v/>
      </c>
      <c r="R7426" s="216" t="str">
        <f t="shared" si="736"/>
        <v/>
      </c>
      <c r="S7426" s="217" t="str">
        <f t="shared" si="737"/>
        <v/>
      </c>
    </row>
    <row r="7427" spans="1:19" ht="51.75" hidden="1" thickBot="1" x14ac:dyDescent="0.3">
      <c r="A7427" s="262"/>
      <c r="B7427" s="260"/>
      <c r="C7427" s="35" t="s">
        <v>2864</v>
      </c>
      <c r="D7427" s="35" t="s">
        <v>813</v>
      </c>
      <c r="E7427" s="36">
        <v>0.23880000000000001</v>
      </c>
      <c r="F7427" s="33">
        <v>252.10149999999999</v>
      </c>
      <c r="G7427" s="30">
        <f t="shared" si="738"/>
        <v>60.201838199999997</v>
      </c>
      <c r="H7427" s="38">
        <f>SUM(G7427:G7431)</f>
        <v>744.08179809999979</v>
      </c>
      <c r="I7427" s="39"/>
      <c r="J7427" s="152">
        <v>0</v>
      </c>
      <c r="L7427" s="215">
        <v>0.23880000000000001</v>
      </c>
      <c r="M7427" s="33">
        <v>215.79888399999999</v>
      </c>
      <c r="N7427" s="30">
        <f t="shared" si="739"/>
        <v>51.532773499199998</v>
      </c>
      <c r="O7427" s="38">
        <f>SUM(N7427:N7431)</f>
        <v>636.93401917359984</v>
      </c>
      <c r="P7427" s="36" t="str">
        <f t="shared" si="734"/>
        <v/>
      </c>
      <c r="Q7427" s="216">
        <f t="shared" si="735"/>
        <v>0.14400000000000002</v>
      </c>
      <c r="R7427" s="216">
        <f t="shared" si="736"/>
        <v>0.14400000000000002</v>
      </c>
      <c r="S7427" s="217">
        <f t="shared" si="737"/>
        <v>0.14400000000000002</v>
      </c>
    </row>
    <row r="7428" spans="1:19" ht="26.25" hidden="1" thickBot="1" x14ac:dyDescent="0.3">
      <c r="A7428" s="262"/>
      <c r="B7428" s="260"/>
      <c r="C7428" s="35" t="s">
        <v>8169</v>
      </c>
      <c r="D7428" s="35" t="s">
        <v>213</v>
      </c>
      <c r="E7428" s="36">
        <v>1.4E-2</v>
      </c>
      <c r="F7428" s="30">
        <v>3.9139999999999997</v>
      </c>
      <c r="G7428" s="30">
        <f t="shared" si="738"/>
        <v>5.4795999999999997E-2</v>
      </c>
      <c r="H7428" s="34"/>
      <c r="I7428" s="30"/>
      <c r="J7428" s="152">
        <v>0</v>
      </c>
      <c r="L7428" s="215">
        <v>1.4E-2</v>
      </c>
      <c r="M7428" s="30">
        <v>3.350384</v>
      </c>
      <c r="N7428" s="30">
        <f t="shared" si="739"/>
        <v>4.6905375999999999E-2</v>
      </c>
      <c r="O7428" s="34"/>
      <c r="P7428" s="36" t="str">
        <f t="shared" si="734"/>
        <v/>
      </c>
      <c r="Q7428" s="216">
        <f t="shared" si="735"/>
        <v>0.14399999999999991</v>
      </c>
      <c r="R7428" s="216">
        <f t="shared" si="736"/>
        <v>0.14400000000000002</v>
      </c>
      <c r="S7428" s="217" t="str">
        <f t="shared" si="737"/>
        <v/>
      </c>
    </row>
    <row r="7429" spans="1:19" ht="26.25" hidden="1" thickBot="1" x14ac:dyDescent="0.3">
      <c r="A7429" s="262"/>
      <c r="B7429" s="260"/>
      <c r="C7429" s="35" t="s">
        <v>8228</v>
      </c>
      <c r="D7429" s="35" t="s">
        <v>213</v>
      </c>
      <c r="E7429" s="36">
        <v>1</v>
      </c>
      <c r="F7429" s="30">
        <v>672.05849999999987</v>
      </c>
      <c r="G7429" s="30">
        <f t="shared" si="738"/>
        <v>672.05849999999987</v>
      </c>
      <c r="H7429" s="34"/>
      <c r="I7429" s="30"/>
      <c r="J7429" s="152">
        <v>0</v>
      </c>
      <c r="L7429" s="215">
        <v>1</v>
      </c>
      <c r="M7429" s="30">
        <v>575.28207599999985</v>
      </c>
      <c r="N7429" s="30">
        <f t="shared" si="739"/>
        <v>575.28207599999985</v>
      </c>
      <c r="O7429" s="34"/>
      <c r="P7429" s="36" t="str">
        <f t="shared" si="734"/>
        <v/>
      </c>
      <c r="Q7429" s="216">
        <f t="shared" si="735"/>
        <v>0.14400000000000002</v>
      </c>
      <c r="R7429" s="216">
        <f t="shared" si="736"/>
        <v>0.14400000000000002</v>
      </c>
      <c r="S7429" s="217" t="str">
        <f t="shared" si="737"/>
        <v/>
      </c>
    </row>
    <row r="7430" spans="1:19" ht="15.75" hidden="1" thickBot="1" x14ac:dyDescent="0.3">
      <c r="A7430" s="262"/>
      <c r="B7430" s="260"/>
      <c r="C7430" s="35" t="s">
        <v>1017</v>
      </c>
      <c r="D7430" s="35" t="s">
        <v>583</v>
      </c>
      <c r="E7430" s="36">
        <v>0.23810000000000001</v>
      </c>
      <c r="F7430" s="30">
        <v>21.584</v>
      </c>
      <c r="G7430" s="30">
        <f t="shared" si="738"/>
        <v>5.1391504000000001</v>
      </c>
      <c r="H7430" s="34"/>
      <c r="I7430" s="30"/>
      <c r="J7430" s="152">
        <v>0</v>
      </c>
      <c r="L7430" s="215">
        <v>0.23810000000000001</v>
      </c>
      <c r="M7430" s="30">
        <v>18.475904</v>
      </c>
      <c r="N7430" s="30">
        <f t="shared" si="739"/>
        <v>4.3991127423999998</v>
      </c>
      <c r="O7430" s="34"/>
      <c r="P7430" s="36" t="str">
        <f t="shared" si="734"/>
        <v/>
      </c>
      <c r="Q7430" s="216">
        <f t="shared" si="735"/>
        <v>0.14400000000000002</v>
      </c>
      <c r="R7430" s="216">
        <f t="shared" si="736"/>
        <v>0.14400000000000002</v>
      </c>
      <c r="S7430" s="217" t="str">
        <f t="shared" si="737"/>
        <v/>
      </c>
    </row>
    <row r="7431" spans="1:19" ht="15.75" hidden="1" thickBot="1" x14ac:dyDescent="0.3">
      <c r="A7431" s="262"/>
      <c r="B7431" s="260"/>
      <c r="C7431" s="35" t="s">
        <v>1018</v>
      </c>
      <c r="D7431" s="35" t="s">
        <v>583</v>
      </c>
      <c r="E7431" s="36">
        <v>0.23810000000000001</v>
      </c>
      <c r="F7431" s="30">
        <v>27.835000000000001</v>
      </c>
      <c r="G7431" s="33">
        <f t="shared" si="738"/>
        <v>6.6275135000000001</v>
      </c>
      <c r="H7431" s="34"/>
      <c r="I7431" s="30"/>
      <c r="J7431" s="152">
        <v>0</v>
      </c>
      <c r="L7431" s="215">
        <v>0.23810000000000001</v>
      </c>
      <c r="M7431" s="30">
        <v>23.82676</v>
      </c>
      <c r="N7431" s="33">
        <f t="shared" si="739"/>
        <v>5.6731515560000005</v>
      </c>
      <c r="O7431" s="34"/>
      <c r="P7431" s="36" t="str">
        <f t="shared" si="734"/>
        <v/>
      </c>
      <c r="Q7431" s="216">
        <f t="shared" si="735"/>
        <v>0.14400000000000002</v>
      </c>
      <c r="R7431" s="216">
        <f t="shared" si="736"/>
        <v>0.14399999999999991</v>
      </c>
      <c r="S7431" s="217" t="str">
        <f t="shared" si="737"/>
        <v/>
      </c>
    </row>
    <row r="7432" spans="1:19" ht="15.75" hidden="1" thickBot="1" x14ac:dyDescent="0.3">
      <c r="A7432" s="262"/>
      <c r="B7432" s="261"/>
      <c r="C7432" s="35"/>
      <c r="D7432" s="35"/>
      <c r="E7432" s="36"/>
      <c r="F7432" s="30" t="s">
        <v>416</v>
      </c>
      <c r="G7432" s="30" t="str">
        <f t="shared" si="738"/>
        <v/>
      </c>
      <c r="H7432" s="34"/>
      <c r="I7432" s="30"/>
      <c r="J7432" s="152">
        <v>0</v>
      </c>
      <c r="L7432" s="215"/>
      <c r="M7432" s="30"/>
      <c r="N7432" s="30" t="str">
        <f t="shared" si="739"/>
        <v/>
      </c>
      <c r="O7432" s="34"/>
      <c r="P7432" s="36" t="str">
        <f t="shared" ref="P7432:P7495" si="740">IF(ISBLANK(L7432),"",IF($E7432&lt;&gt;L7432,"SIM",""))</f>
        <v/>
      </c>
      <c r="Q7432" s="216" t="str">
        <f t="shared" ref="Q7432:Q7495" si="741">IF(M7432="","",1-M7432/$F7432)</f>
        <v/>
      </c>
      <c r="R7432" s="216" t="str">
        <f t="shared" ref="R7432:R7495" si="742">IF(N7432="","",1-N7432/$G7432)</f>
        <v/>
      </c>
      <c r="S7432" s="217" t="str">
        <f t="shared" ref="S7432:S7495" si="743">IF(O7432="","",1-O7432/$H7432)</f>
        <v/>
      </c>
    </row>
    <row r="7433" spans="1:19" ht="15.75" hidden="1" thickBot="1" x14ac:dyDescent="0.3">
      <c r="A7433" s="256" t="s">
        <v>6760</v>
      </c>
      <c r="B7433" s="259" t="str">
        <f>INDEX(Orçamentária!A:B,MATCH(Composições!A7433,Orçamentária!A:A,0),2)</f>
        <v>Suporte para luminária de poste quádruplo</v>
      </c>
      <c r="C7433" s="40"/>
      <c r="D7433" s="25" t="s">
        <v>16</v>
      </c>
      <c r="E7433" s="26"/>
      <c r="F7433" s="48" t="s">
        <v>416</v>
      </c>
      <c r="G7433" s="27" t="str">
        <f t="shared" si="738"/>
        <v/>
      </c>
      <c r="H7433" s="28"/>
      <c r="I7433" s="29"/>
      <c r="J7433" s="152">
        <v>0</v>
      </c>
      <c r="L7433" s="218"/>
      <c r="M7433" s="48"/>
      <c r="N7433" s="27" t="str">
        <f t="shared" si="739"/>
        <v/>
      </c>
      <c r="O7433" s="28"/>
      <c r="P7433" s="36" t="str">
        <f t="shared" si="740"/>
        <v/>
      </c>
      <c r="Q7433" s="216" t="str">
        <f t="shared" si="741"/>
        <v/>
      </c>
      <c r="R7433" s="216" t="str">
        <f t="shared" si="742"/>
        <v/>
      </c>
      <c r="S7433" s="217" t="str">
        <f t="shared" si="743"/>
        <v/>
      </c>
    </row>
    <row r="7434" spans="1:19" ht="15.75" hidden="1" thickBot="1" x14ac:dyDescent="0.3">
      <c r="A7434" s="262"/>
      <c r="B7434" s="260"/>
      <c r="C7434" s="31"/>
      <c r="D7434" s="31"/>
      <c r="E7434" s="32"/>
      <c r="F7434" s="53" t="s">
        <v>416</v>
      </c>
      <c r="G7434" s="53" t="str">
        <f t="shared" si="738"/>
        <v/>
      </c>
      <c r="H7434" s="72"/>
      <c r="I7434" s="30"/>
      <c r="J7434" s="152">
        <v>0</v>
      </c>
      <c r="L7434" s="219"/>
      <c r="M7434" s="53"/>
      <c r="N7434" s="53" t="str">
        <f t="shared" si="739"/>
        <v/>
      </c>
      <c r="O7434" s="72"/>
      <c r="P7434" s="36" t="str">
        <f t="shared" si="740"/>
        <v/>
      </c>
      <c r="Q7434" s="216" t="str">
        <f t="shared" si="741"/>
        <v/>
      </c>
      <c r="R7434" s="216" t="str">
        <f t="shared" si="742"/>
        <v/>
      </c>
      <c r="S7434" s="217" t="str">
        <f t="shared" si="743"/>
        <v/>
      </c>
    </row>
    <row r="7435" spans="1:19" ht="26.25" hidden="1" thickBot="1" x14ac:dyDescent="0.3">
      <c r="A7435" s="262"/>
      <c r="B7435" s="260"/>
      <c r="C7435" s="35" t="s">
        <v>6946</v>
      </c>
      <c r="D7435" s="35" t="s">
        <v>16</v>
      </c>
      <c r="E7435" s="36">
        <v>1</v>
      </c>
      <c r="F7435" s="30">
        <v>0</v>
      </c>
      <c r="G7435" s="53">
        <f t="shared" si="738"/>
        <v>0</v>
      </c>
      <c r="H7435" s="38">
        <f>SUM(G7435:G7437)</f>
        <v>12.354749999999999</v>
      </c>
      <c r="I7435" s="39"/>
      <c r="J7435" s="152">
        <v>0</v>
      </c>
      <c r="L7435" s="215">
        <v>1</v>
      </c>
      <c r="M7435" s="30">
        <v>0</v>
      </c>
      <c r="N7435" s="53">
        <f t="shared" si="739"/>
        <v>0</v>
      </c>
      <c r="O7435" s="38">
        <f>SUM(N7435:N7437)</f>
        <v>10.575666</v>
      </c>
      <c r="P7435" s="36" t="str">
        <f t="shared" si="740"/>
        <v/>
      </c>
      <c r="Q7435" s="216" t="e">
        <f t="shared" si="741"/>
        <v>#DIV/0!</v>
      </c>
      <c r="R7435" s="216" t="e">
        <f t="shared" si="742"/>
        <v>#DIV/0!</v>
      </c>
      <c r="S7435" s="217">
        <f t="shared" si="743"/>
        <v>0.14399999999999991</v>
      </c>
    </row>
    <row r="7436" spans="1:19" ht="15.75" hidden="1" thickBot="1" x14ac:dyDescent="0.3">
      <c r="A7436" s="262"/>
      <c r="B7436" s="260"/>
      <c r="C7436" s="35" t="s">
        <v>1017</v>
      </c>
      <c r="D7436" s="35" t="s">
        <v>583</v>
      </c>
      <c r="E7436" s="36">
        <v>0.25</v>
      </c>
      <c r="F7436" s="33">
        <v>21.584</v>
      </c>
      <c r="G7436" s="33">
        <f t="shared" si="738"/>
        <v>5.3959999999999999</v>
      </c>
      <c r="H7436" s="34"/>
      <c r="I7436" s="30"/>
      <c r="J7436" s="152">
        <v>0</v>
      </c>
      <c r="L7436" s="215">
        <v>0.25</v>
      </c>
      <c r="M7436" s="33">
        <v>18.475904</v>
      </c>
      <c r="N7436" s="33">
        <f t="shared" si="739"/>
        <v>4.618976</v>
      </c>
      <c r="O7436" s="34"/>
      <c r="P7436" s="36" t="str">
        <f t="shared" si="740"/>
        <v/>
      </c>
      <c r="Q7436" s="216">
        <f t="shared" si="741"/>
        <v>0.14400000000000002</v>
      </c>
      <c r="R7436" s="216">
        <f t="shared" si="742"/>
        <v>0.14400000000000002</v>
      </c>
      <c r="S7436" s="217" t="str">
        <f t="shared" si="743"/>
        <v/>
      </c>
    </row>
    <row r="7437" spans="1:19" ht="15.75" hidden="1" thickBot="1" x14ac:dyDescent="0.3">
      <c r="A7437" s="262"/>
      <c r="B7437" s="260"/>
      <c r="C7437" s="35" t="s">
        <v>1018</v>
      </c>
      <c r="D7437" s="35" t="s">
        <v>583</v>
      </c>
      <c r="E7437" s="36">
        <v>0.25</v>
      </c>
      <c r="F7437" s="30">
        <v>27.835000000000001</v>
      </c>
      <c r="G7437" s="53">
        <f t="shared" si="738"/>
        <v>6.9587500000000002</v>
      </c>
      <c r="H7437" s="43"/>
      <c r="I7437" s="30"/>
      <c r="J7437" s="152">
        <v>0</v>
      </c>
      <c r="L7437" s="215">
        <v>0.25</v>
      </c>
      <c r="M7437" s="30">
        <v>23.82676</v>
      </c>
      <c r="N7437" s="53">
        <f t="shared" si="739"/>
        <v>5.95669</v>
      </c>
      <c r="O7437" s="43"/>
      <c r="P7437" s="36" t="str">
        <f t="shared" si="740"/>
        <v/>
      </c>
      <c r="Q7437" s="216">
        <f t="shared" si="741"/>
        <v>0.14400000000000002</v>
      </c>
      <c r="R7437" s="216">
        <f t="shared" si="742"/>
        <v>0.14400000000000002</v>
      </c>
      <c r="S7437" s="217" t="str">
        <f t="shared" si="743"/>
        <v/>
      </c>
    </row>
    <row r="7438" spans="1:19" ht="15.75" hidden="1" thickBot="1" x14ac:dyDescent="0.3">
      <c r="A7438" s="262"/>
      <c r="B7438" s="261"/>
      <c r="C7438" s="35"/>
      <c r="D7438" s="35"/>
      <c r="E7438" s="36"/>
      <c r="F7438" s="30" t="s">
        <v>416</v>
      </c>
      <c r="G7438" s="30" t="str">
        <f t="shared" si="738"/>
        <v/>
      </c>
      <c r="H7438" s="34"/>
      <c r="I7438" s="30"/>
      <c r="J7438" s="152">
        <v>0</v>
      </c>
      <c r="L7438" s="215"/>
      <c r="M7438" s="30"/>
      <c r="N7438" s="30" t="str">
        <f t="shared" si="739"/>
        <v/>
      </c>
      <c r="O7438" s="34"/>
      <c r="P7438" s="36" t="str">
        <f t="shared" si="740"/>
        <v/>
      </c>
      <c r="Q7438" s="216" t="str">
        <f t="shared" si="741"/>
        <v/>
      </c>
      <c r="R7438" s="216" t="str">
        <f t="shared" si="742"/>
        <v/>
      </c>
      <c r="S7438" s="217" t="str">
        <f t="shared" si="743"/>
        <v/>
      </c>
    </row>
    <row r="7439" spans="1:19" ht="15.75" hidden="1" thickBot="1" x14ac:dyDescent="0.3">
      <c r="A7439" s="256" t="s">
        <v>6761</v>
      </c>
      <c r="B7439" s="259" t="str">
        <f>INDEX(Orçamentária!A:B,MATCH(Composições!A7439,Orçamentária!A:A,0),2)</f>
        <v>Braço para iluminação</v>
      </c>
      <c r="C7439" s="40"/>
      <c r="D7439" s="25" t="s">
        <v>16</v>
      </c>
      <c r="E7439" s="26"/>
      <c r="F7439" s="41" t="s">
        <v>416</v>
      </c>
      <c r="G7439" s="27" t="str">
        <f t="shared" si="738"/>
        <v/>
      </c>
      <c r="H7439" s="28"/>
      <c r="I7439" s="29"/>
      <c r="J7439" s="152">
        <v>0</v>
      </c>
      <c r="L7439" s="218"/>
      <c r="M7439" s="41"/>
      <c r="N7439" s="27" t="str">
        <f t="shared" si="739"/>
        <v/>
      </c>
      <c r="O7439" s="28"/>
      <c r="P7439" s="36" t="str">
        <f t="shared" si="740"/>
        <v/>
      </c>
      <c r="Q7439" s="216" t="str">
        <f t="shared" si="741"/>
        <v/>
      </c>
      <c r="R7439" s="216" t="str">
        <f t="shared" si="742"/>
        <v/>
      </c>
      <c r="S7439" s="217" t="str">
        <f t="shared" si="743"/>
        <v/>
      </c>
    </row>
    <row r="7440" spans="1:19" ht="15.75" hidden="1" thickBot="1" x14ac:dyDescent="0.3">
      <c r="A7440" s="262"/>
      <c r="B7440" s="260"/>
      <c r="C7440" s="31"/>
      <c r="D7440" s="31"/>
      <c r="E7440" s="32"/>
      <c r="F7440" s="42" t="s">
        <v>416</v>
      </c>
      <c r="G7440" s="30" t="str">
        <f t="shared" si="738"/>
        <v/>
      </c>
      <c r="H7440" s="34"/>
      <c r="I7440" s="30"/>
      <c r="J7440" s="152">
        <v>0</v>
      </c>
      <c r="L7440" s="219"/>
      <c r="M7440" s="42"/>
      <c r="N7440" s="30" t="str">
        <f t="shared" si="739"/>
        <v/>
      </c>
      <c r="O7440" s="34"/>
      <c r="P7440" s="36" t="str">
        <f t="shared" si="740"/>
        <v/>
      </c>
      <c r="Q7440" s="216" t="str">
        <f t="shared" si="741"/>
        <v/>
      </c>
      <c r="R7440" s="216" t="str">
        <f t="shared" si="742"/>
        <v/>
      </c>
      <c r="S7440" s="217" t="str">
        <f t="shared" si="743"/>
        <v/>
      </c>
    </row>
    <row r="7441" spans="1:19" ht="15.75" hidden="1" thickBot="1" x14ac:dyDescent="0.3">
      <c r="A7441" s="262"/>
      <c r="B7441" s="260"/>
      <c r="C7441" s="35" t="s">
        <v>8009</v>
      </c>
      <c r="D7441" s="35" t="s">
        <v>213</v>
      </c>
      <c r="E7441" s="36">
        <v>1</v>
      </c>
      <c r="F7441" s="33">
        <v>38.475000000000001</v>
      </c>
      <c r="G7441" s="30">
        <f t="shared" si="738"/>
        <v>38.475000000000001</v>
      </c>
      <c r="H7441" s="38">
        <f>SUM(G7441:G7444)</f>
        <v>131.93582519999998</v>
      </c>
      <c r="I7441" s="39"/>
      <c r="J7441" s="152">
        <v>0</v>
      </c>
      <c r="L7441" s="215">
        <v>1</v>
      </c>
      <c r="M7441" s="33">
        <v>32.934600000000003</v>
      </c>
      <c r="N7441" s="30">
        <f t="shared" si="739"/>
        <v>32.934600000000003</v>
      </c>
      <c r="O7441" s="38">
        <f>SUM(N7441:N7444)</f>
        <v>112.93706637119999</v>
      </c>
      <c r="P7441" s="36" t="str">
        <f t="shared" si="740"/>
        <v/>
      </c>
      <c r="Q7441" s="216">
        <f t="shared" si="741"/>
        <v>0.14399999999999991</v>
      </c>
      <c r="R7441" s="216">
        <f t="shared" si="742"/>
        <v>0.14399999999999991</v>
      </c>
      <c r="S7441" s="217">
        <f t="shared" si="743"/>
        <v>0.14400000000000002</v>
      </c>
    </row>
    <row r="7442" spans="1:19" ht="51.75" hidden="1" thickBot="1" x14ac:dyDescent="0.3">
      <c r="A7442" s="262"/>
      <c r="B7442" s="260"/>
      <c r="C7442" s="35" t="s">
        <v>2864</v>
      </c>
      <c r="D7442" s="35" t="s">
        <v>813</v>
      </c>
      <c r="E7442" s="36">
        <v>0.23880000000000001</v>
      </c>
      <c r="F7442" s="30">
        <v>252.10149999999999</v>
      </c>
      <c r="G7442" s="30">
        <f t="shared" si="738"/>
        <v>60.201838199999997</v>
      </c>
      <c r="H7442" s="34"/>
      <c r="I7442" s="30"/>
      <c r="J7442" s="152">
        <v>0</v>
      </c>
      <c r="L7442" s="215">
        <v>0.23880000000000001</v>
      </c>
      <c r="M7442" s="30">
        <v>215.79888399999999</v>
      </c>
      <c r="N7442" s="30">
        <f t="shared" si="739"/>
        <v>51.532773499199998</v>
      </c>
      <c r="O7442" s="34"/>
      <c r="P7442" s="36" t="str">
        <f t="shared" si="740"/>
        <v/>
      </c>
      <c r="Q7442" s="216">
        <f t="shared" si="741"/>
        <v>0.14400000000000002</v>
      </c>
      <c r="R7442" s="216">
        <f t="shared" si="742"/>
        <v>0.14400000000000002</v>
      </c>
      <c r="S7442" s="217" t="str">
        <f t="shared" si="743"/>
        <v/>
      </c>
    </row>
    <row r="7443" spans="1:19" ht="15.75" hidden="1" thickBot="1" x14ac:dyDescent="0.3">
      <c r="A7443" s="262"/>
      <c r="B7443" s="260"/>
      <c r="C7443" s="35" t="s">
        <v>1017</v>
      </c>
      <c r="D7443" s="35" t="s">
        <v>583</v>
      </c>
      <c r="E7443" s="36">
        <v>0.67300000000000004</v>
      </c>
      <c r="F7443" s="30">
        <v>21.584</v>
      </c>
      <c r="G7443" s="30">
        <f t="shared" si="738"/>
        <v>14.526032000000001</v>
      </c>
      <c r="H7443" s="34"/>
      <c r="I7443" s="30"/>
      <c r="J7443" s="152">
        <v>0</v>
      </c>
      <c r="L7443" s="215">
        <v>0.67300000000000004</v>
      </c>
      <c r="M7443" s="30">
        <v>18.475904</v>
      </c>
      <c r="N7443" s="30">
        <f t="shared" si="739"/>
        <v>12.434283392000001</v>
      </c>
      <c r="O7443" s="34"/>
      <c r="P7443" s="36" t="str">
        <f t="shared" si="740"/>
        <v/>
      </c>
      <c r="Q7443" s="216">
        <f t="shared" si="741"/>
        <v>0.14400000000000002</v>
      </c>
      <c r="R7443" s="216">
        <f t="shared" si="742"/>
        <v>0.14400000000000002</v>
      </c>
      <c r="S7443" s="217" t="str">
        <f t="shared" si="743"/>
        <v/>
      </c>
    </row>
    <row r="7444" spans="1:19" ht="15.75" hidden="1" thickBot="1" x14ac:dyDescent="0.3">
      <c r="A7444" s="262"/>
      <c r="B7444" s="260"/>
      <c r="C7444" s="35" t="s">
        <v>1018</v>
      </c>
      <c r="D7444" s="35" t="s">
        <v>583</v>
      </c>
      <c r="E7444" s="36">
        <v>0.67300000000000004</v>
      </c>
      <c r="F7444" s="30">
        <v>27.835000000000001</v>
      </c>
      <c r="G7444" s="30">
        <f t="shared" si="738"/>
        <v>18.732955</v>
      </c>
      <c r="H7444" s="34"/>
      <c r="I7444" s="30"/>
      <c r="J7444" s="152">
        <v>0</v>
      </c>
      <c r="L7444" s="215">
        <v>0.67300000000000004</v>
      </c>
      <c r="M7444" s="30">
        <v>23.82676</v>
      </c>
      <c r="N7444" s="30">
        <f t="shared" si="739"/>
        <v>16.035409480000002</v>
      </c>
      <c r="O7444" s="34"/>
      <c r="P7444" s="36" t="str">
        <f t="shared" si="740"/>
        <v/>
      </c>
      <c r="Q7444" s="216">
        <f t="shared" si="741"/>
        <v>0.14400000000000002</v>
      </c>
      <c r="R7444" s="216">
        <f t="shared" si="742"/>
        <v>0.14399999999999991</v>
      </c>
      <c r="S7444" s="217" t="str">
        <f t="shared" si="743"/>
        <v/>
      </c>
    </row>
    <row r="7445" spans="1:19" ht="15.75" hidden="1" thickBot="1" x14ac:dyDescent="0.3">
      <c r="A7445" s="263"/>
      <c r="B7445" s="261"/>
      <c r="C7445" s="54"/>
      <c r="D7445" s="54"/>
      <c r="E7445" s="65"/>
      <c r="F7445" s="66" t="s">
        <v>416</v>
      </c>
      <c r="G7445" s="66" t="str">
        <f t="shared" si="738"/>
        <v/>
      </c>
      <c r="H7445" s="68"/>
      <c r="I7445" s="30"/>
      <c r="J7445" s="152">
        <v>0</v>
      </c>
      <c r="L7445" s="222"/>
      <c r="M7445" s="66"/>
      <c r="N7445" s="66" t="str">
        <f t="shared" si="739"/>
        <v/>
      </c>
      <c r="O7445" s="68"/>
      <c r="P7445" s="36" t="str">
        <f t="shared" si="740"/>
        <v/>
      </c>
      <c r="Q7445" s="216" t="str">
        <f t="shared" si="741"/>
        <v/>
      </c>
      <c r="R7445" s="216" t="str">
        <f t="shared" si="742"/>
        <v/>
      </c>
      <c r="S7445" s="217" t="str">
        <f t="shared" si="743"/>
        <v/>
      </c>
    </row>
    <row r="7446" spans="1:19" ht="15.75" hidden="1" thickBot="1" x14ac:dyDescent="0.3">
      <c r="A7446" s="256" t="s">
        <v>6762</v>
      </c>
      <c r="B7446" s="259" t="str">
        <f>INDEX(Orçamentária!A:B,MATCH(Composições!A7446,Orçamentária!A:A,0),2)</f>
        <v>Quadro elétrico TTA (18 disjuntores terminais)</v>
      </c>
      <c r="C7446" s="40"/>
      <c r="D7446" s="25" t="s">
        <v>16</v>
      </c>
      <c r="E7446" s="26"/>
      <c r="F7446" s="41" t="s">
        <v>416</v>
      </c>
      <c r="G7446" s="27" t="str">
        <f t="shared" si="738"/>
        <v/>
      </c>
      <c r="H7446" s="28"/>
      <c r="I7446" s="29"/>
      <c r="J7446" s="152">
        <v>0</v>
      </c>
      <c r="L7446" s="218"/>
      <c r="M7446" s="41"/>
      <c r="N7446" s="27" t="str">
        <f t="shared" si="739"/>
        <v/>
      </c>
      <c r="O7446" s="28"/>
      <c r="P7446" s="36" t="str">
        <f t="shared" si="740"/>
        <v/>
      </c>
      <c r="Q7446" s="216" t="str">
        <f t="shared" si="741"/>
        <v/>
      </c>
      <c r="R7446" s="216" t="str">
        <f t="shared" si="742"/>
        <v/>
      </c>
      <c r="S7446" s="217" t="str">
        <f t="shared" si="743"/>
        <v/>
      </c>
    </row>
    <row r="7447" spans="1:19" ht="15.75" hidden="1" thickBot="1" x14ac:dyDescent="0.3">
      <c r="A7447" s="262"/>
      <c r="B7447" s="260"/>
      <c r="C7447" s="31"/>
      <c r="D7447" s="31"/>
      <c r="E7447" s="32"/>
      <c r="F7447" s="42" t="s">
        <v>416</v>
      </c>
      <c r="G7447" s="30" t="str">
        <f t="shared" si="738"/>
        <v/>
      </c>
      <c r="H7447" s="34"/>
      <c r="I7447" s="30"/>
      <c r="J7447" s="152">
        <v>0</v>
      </c>
      <c r="L7447" s="219"/>
      <c r="M7447" s="42"/>
      <c r="N7447" s="30" t="str">
        <f t="shared" si="739"/>
        <v/>
      </c>
      <c r="O7447" s="34"/>
      <c r="P7447" s="36" t="str">
        <f t="shared" si="740"/>
        <v/>
      </c>
      <c r="Q7447" s="216" t="str">
        <f t="shared" si="741"/>
        <v/>
      </c>
      <c r="R7447" s="216" t="str">
        <f t="shared" si="742"/>
        <v/>
      </c>
      <c r="S7447" s="217" t="str">
        <f t="shared" si="743"/>
        <v/>
      </c>
    </row>
    <row r="7448" spans="1:19" ht="39" hidden="1" thickBot="1" x14ac:dyDescent="0.3">
      <c r="A7448" s="262"/>
      <c r="B7448" s="260"/>
      <c r="C7448" s="35" t="s">
        <v>6952</v>
      </c>
      <c r="D7448" s="46" t="s">
        <v>16</v>
      </c>
      <c r="E7448" s="36">
        <v>1</v>
      </c>
      <c r="F7448" s="33" t="s">
        <v>416</v>
      </c>
      <c r="G7448" s="30" t="str">
        <f t="shared" si="738"/>
        <v/>
      </c>
      <c r="H7448" s="38">
        <f>SUM(G7448:G7451)</f>
        <v>47.417608440249602</v>
      </c>
      <c r="I7448" s="39"/>
      <c r="J7448" s="152">
        <v>0</v>
      </c>
      <c r="L7448" s="215">
        <v>1</v>
      </c>
      <c r="M7448" s="33"/>
      <c r="N7448" s="30" t="str">
        <f t="shared" si="739"/>
        <v/>
      </c>
      <c r="O7448" s="38">
        <f>SUM(N7448:N7451)</f>
        <v>40.589472824853658</v>
      </c>
      <c r="P7448" s="36" t="str">
        <f t="shared" si="740"/>
        <v/>
      </c>
      <c r="Q7448" s="216" t="str">
        <f t="shared" si="741"/>
        <v/>
      </c>
      <c r="R7448" s="216" t="str">
        <f t="shared" si="742"/>
        <v/>
      </c>
      <c r="S7448" s="217">
        <f t="shared" si="743"/>
        <v>0.14400000000000002</v>
      </c>
    </row>
    <row r="7449" spans="1:19" ht="39" hidden="1" thickBot="1" x14ac:dyDescent="0.3">
      <c r="A7449" s="262"/>
      <c r="B7449" s="260"/>
      <c r="C7449" s="35" t="s">
        <v>2897</v>
      </c>
      <c r="D7449" s="46" t="s">
        <v>87</v>
      </c>
      <c r="E7449" s="36">
        <v>1.9199999999999998E-2</v>
      </c>
      <c r="F7449" s="30">
        <v>838.58271563799997</v>
      </c>
      <c r="G7449" s="30">
        <f t="shared" si="738"/>
        <v>16.100788140249598</v>
      </c>
      <c r="H7449" s="34"/>
      <c r="I7449" s="30"/>
      <c r="J7449" s="152">
        <v>0</v>
      </c>
      <c r="L7449" s="215">
        <v>1.9199999999999998E-2</v>
      </c>
      <c r="M7449" s="30">
        <v>717.82680458612799</v>
      </c>
      <c r="N7449" s="30">
        <f t="shared" si="739"/>
        <v>13.782274648053656</v>
      </c>
      <c r="O7449" s="34"/>
      <c r="P7449" s="36" t="str">
        <f t="shared" si="740"/>
        <v/>
      </c>
      <c r="Q7449" s="216">
        <f t="shared" si="741"/>
        <v>0.14400000000000002</v>
      </c>
      <c r="R7449" s="216">
        <f t="shared" si="742"/>
        <v>0.14400000000000002</v>
      </c>
      <c r="S7449" s="217" t="str">
        <f t="shared" si="743"/>
        <v/>
      </c>
    </row>
    <row r="7450" spans="1:19" ht="15.75" hidden="1" thickBot="1" x14ac:dyDescent="0.3">
      <c r="A7450" s="262"/>
      <c r="B7450" s="260"/>
      <c r="C7450" s="35" t="s">
        <v>1017</v>
      </c>
      <c r="D7450" s="35" t="s">
        <v>583</v>
      </c>
      <c r="E7450" s="36">
        <v>0.63370000000000004</v>
      </c>
      <c r="F7450" s="30">
        <v>21.584</v>
      </c>
      <c r="G7450" s="30">
        <f t="shared" si="738"/>
        <v>13.677780800000001</v>
      </c>
      <c r="H7450" s="34"/>
      <c r="I7450" s="30"/>
      <c r="J7450" s="152">
        <v>0</v>
      </c>
      <c r="L7450" s="215">
        <v>0.63370000000000004</v>
      </c>
      <c r="M7450" s="30">
        <v>18.475904</v>
      </c>
      <c r="N7450" s="30">
        <f t="shared" si="739"/>
        <v>11.7081803648</v>
      </c>
      <c r="O7450" s="34"/>
      <c r="P7450" s="36" t="str">
        <f t="shared" si="740"/>
        <v/>
      </c>
      <c r="Q7450" s="216">
        <f t="shared" si="741"/>
        <v>0.14400000000000002</v>
      </c>
      <c r="R7450" s="216">
        <f t="shared" si="742"/>
        <v>0.14400000000000002</v>
      </c>
      <c r="S7450" s="217" t="str">
        <f t="shared" si="743"/>
        <v/>
      </c>
    </row>
    <row r="7451" spans="1:19" ht="15.75" hidden="1" thickBot="1" x14ac:dyDescent="0.3">
      <c r="A7451" s="262"/>
      <c r="B7451" s="260"/>
      <c r="C7451" s="35" t="s">
        <v>1018</v>
      </c>
      <c r="D7451" s="35" t="s">
        <v>583</v>
      </c>
      <c r="E7451" s="36">
        <v>0.63370000000000004</v>
      </c>
      <c r="F7451" s="30">
        <v>27.835000000000001</v>
      </c>
      <c r="G7451" s="33">
        <f t="shared" si="738"/>
        <v>17.639039500000003</v>
      </c>
      <c r="H7451" s="34"/>
      <c r="I7451" s="30"/>
      <c r="J7451" s="152">
        <v>0</v>
      </c>
      <c r="L7451" s="215">
        <v>0.63370000000000004</v>
      </c>
      <c r="M7451" s="30">
        <v>23.82676</v>
      </c>
      <c r="N7451" s="33">
        <f t="shared" si="739"/>
        <v>15.099017812000001</v>
      </c>
      <c r="O7451" s="34"/>
      <c r="P7451" s="36" t="str">
        <f t="shared" si="740"/>
        <v/>
      </c>
      <c r="Q7451" s="216">
        <f t="shared" si="741"/>
        <v>0.14400000000000002</v>
      </c>
      <c r="R7451" s="216">
        <f t="shared" si="742"/>
        <v>0.14400000000000002</v>
      </c>
      <c r="S7451" s="217" t="str">
        <f t="shared" si="743"/>
        <v/>
      </c>
    </row>
    <row r="7452" spans="1:19" ht="15.75" hidden="1" thickBot="1" x14ac:dyDescent="0.3">
      <c r="A7452" s="262"/>
      <c r="B7452" s="261"/>
      <c r="C7452" s="35"/>
      <c r="D7452" s="35"/>
      <c r="E7452" s="36"/>
      <c r="F7452" s="30" t="s">
        <v>416</v>
      </c>
      <c r="G7452" s="30" t="str">
        <f t="shared" si="738"/>
        <v/>
      </c>
      <c r="H7452" s="34"/>
      <c r="I7452" s="30"/>
      <c r="J7452" s="152">
        <v>0</v>
      </c>
      <c r="L7452" s="215"/>
      <c r="M7452" s="30"/>
      <c r="N7452" s="30" t="str">
        <f t="shared" si="739"/>
        <v/>
      </c>
      <c r="O7452" s="34"/>
      <c r="P7452" s="36" t="str">
        <f t="shared" si="740"/>
        <v/>
      </c>
      <c r="Q7452" s="216" t="str">
        <f t="shared" si="741"/>
        <v/>
      </c>
      <c r="R7452" s="216" t="str">
        <f t="shared" si="742"/>
        <v/>
      </c>
      <c r="S7452" s="217" t="str">
        <f t="shared" si="743"/>
        <v/>
      </c>
    </row>
    <row r="7453" spans="1:19" ht="15.75" hidden="1" thickBot="1" x14ac:dyDescent="0.3">
      <c r="A7453" s="256" t="s">
        <v>6763</v>
      </c>
      <c r="B7453" s="259" t="str">
        <f>INDEX(Orçamentária!A:B,MATCH(Composições!A7453,Orçamentária!A:A,0),2)</f>
        <v>Condulete de alumínio de 3/4’’</v>
      </c>
      <c r="C7453" s="40"/>
      <c r="D7453" s="25" t="s">
        <v>16</v>
      </c>
      <c r="E7453" s="26"/>
      <c r="F7453" s="48" t="s">
        <v>416</v>
      </c>
      <c r="G7453" s="27" t="str">
        <f t="shared" si="738"/>
        <v/>
      </c>
      <c r="H7453" s="28"/>
      <c r="I7453" s="29"/>
      <c r="J7453" s="152">
        <v>0</v>
      </c>
      <c r="L7453" s="218"/>
      <c r="M7453" s="48"/>
      <c r="N7453" s="27" t="str">
        <f t="shared" si="739"/>
        <v/>
      </c>
      <c r="O7453" s="28"/>
      <c r="P7453" s="36" t="str">
        <f t="shared" si="740"/>
        <v/>
      </c>
      <c r="Q7453" s="216" t="str">
        <f t="shared" si="741"/>
        <v/>
      </c>
      <c r="R7453" s="216" t="str">
        <f t="shared" si="742"/>
        <v/>
      </c>
      <c r="S7453" s="217" t="str">
        <f t="shared" si="743"/>
        <v/>
      </c>
    </row>
    <row r="7454" spans="1:19" ht="15.75" hidden="1" thickBot="1" x14ac:dyDescent="0.3">
      <c r="A7454" s="257"/>
      <c r="B7454" s="260"/>
      <c r="C7454" s="31"/>
      <c r="D7454" s="31"/>
      <c r="E7454" s="32"/>
      <c r="F7454" s="53" t="s">
        <v>416</v>
      </c>
      <c r="G7454" s="53" t="str">
        <f t="shared" si="738"/>
        <v/>
      </c>
      <c r="H7454" s="72"/>
      <c r="I7454" s="73"/>
      <c r="J7454" s="152">
        <v>0</v>
      </c>
      <c r="L7454" s="219"/>
      <c r="M7454" s="53"/>
      <c r="N7454" s="53" t="str">
        <f t="shared" si="739"/>
        <v/>
      </c>
      <c r="O7454" s="72"/>
      <c r="P7454" s="36" t="str">
        <f t="shared" si="740"/>
        <v/>
      </c>
      <c r="Q7454" s="216" t="str">
        <f t="shared" si="741"/>
        <v/>
      </c>
      <c r="R7454" s="216" t="str">
        <f t="shared" si="742"/>
        <v/>
      </c>
      <c r="S7454" s="217" t="str">
        <f t="shared" si="743"/>
        <v/>
      </c>
    </row>
    <row r="7455" spans="1:19" ht="26.25" hidden="1" thickBot="1" x14ac:dyDescent="0.3">
      <c r="A7455" s="257"/>
      <c r="B7455" s="260"/>
      <c r="C7455" s="35" t="s">
        <v>8079</v>
      </c>
      <c r="D7455" s="35" t="s">
        <v>213</v>
      </c>
      <c r="E7455" s="36">
        <v>1</v>
      </c>
      <c r="F7455" s="30">
        <v>13.993499999999999</v>
      </c>
      <c r="G7455" s="53">
        <f t="shared" si="738"/>
        <v>13.993499999999999</v>
      </c>
      <c r="H7455" s="38">
        <f>SUM(G7455:G7458)</f>
        <v>40.041969899999998</v>
      </c>
      <c r="I7455" s="39"/>
      <c r="J7455" s="152">
        <v>0</v>
      </c>
      <c r="L7455" s="215">
        <v>1</v>
      </c>
      <c r="M7455" s="30">
        <v>11.978435999999999</v>
      </c>
      <c r="N7455" s="53">
        <f t="shared" si="739"/>
        <v>11.978435999999999</v>
      </c>
      <c r="O7455" s="38">
        <f>SUM(N7455:N7458)</f>
        <v>34.275926234399996</v>
      </c>
      <c r="P7455" s="36" t="str">
        <f t="shared" si="740"/>
        <v/>
      </c>
      <c r="Q7455" s="216">
        <f t="shared" si="741"/>
        <v>0.14400000000000002</v>
      </c>
      <c r="R7455" s="216">
        <f t="shared" si="742"/>
        <v>0.14400000000000002</v>
      </c>
      <c r="S7455" s="217">
        <f t="shared" si="743"/>
        <v>0.14400000000000002</v>
      </c>
    </row>
    <row r="7456" spans="1:19" ht="39" hidden="1" thickBot="1" x14ac:dyDescent="0.3">
      <c r="A7456" s="257"/>
      <c r="B7456" s="260"/>
      <c r="C7456" s="35" t="s">
        <v>8010</v>
      </c>
      <c r="D7456" s="35" t="s">
        <v>213</v>
      </c>
      <c r="E7456" s="36">
        <v>2</v>
      </c>
      <c r="F7456" s="33">
        <v>0.3705</v>
      </c>
      <c r="G7456" s="33">
        <f t="shared" si="738"/>
        <v>0.74099999999999999</v>
      </c>
      <c r="H7456" s="34"/>
      <c r="I7456" s="30"/>
      <c r="J7456" s="152">
        <v>0</v>
      </c>
      <c r="L7456" s="215">
        <v>2</v>
      </c>
      <c r="M7456" s="33">
        <v>0.31714799999999999</v>
      </c>
      <c r="N7456" s="33">
        <f t="shared" si="739"/>
        <v>0.63429599999999997</v>
      </c>
      <c r="O7456" s="34"/>
      <c r="P7456" s="36" t="str">
        <f t="shared" si="740"/>
        <v/>
      </c>
      <c r="Q7456" s="216">
        <f t="shared" si="741"/>
        <v>0.14400000000000002</v>
      </c>
      <c r="R7456" s="216">
        <f t="shared" si="742"/>
        <v>0.14400000000000002</v>
      </c>
      <c r="S7456" s="217" t="str">
        <f t="shared" si="743"/>
        <v/>
      </c>
    </row>
    <row r="7457" spans="1:19" ht="15.75" hidden="1" thickBot="1" x14ac:dyDescent="0.3">
      <c r="A7457" s="257"/>
      <c r="B7457" s="260"/>
      <c r="C7457" s="35" t="s">
        <v>1017</v>
      </c>
      <c r="D7457" s="35" t="s">
        <v>583</v>
      </c>
      <c r="E7457" s="36">
        <v>0.5121</v>
      </c>
      <c r="F7457" s="30">
        <v>21.584</v>
      </c>
      <c r="G7457" s="53">
        <f t="shared" si="738"/>
        <v>11.0531664</v>
      </c>
      <c r="H7457" s="43"/>
      <c r="I7457" s="39"/>
      <c r="J7457" s="152">
        <v>0</v>
      </c>
      <c r="L7457" s="215">
        <v>0.5121</v>
      </c>
      <c r="M7457" s="30">
        <v>18.475904</v>
      </c>
      <c r="N7457" s="53">
        <f t="shared" si="739"/>
        <v>9.4615104383999995</v>
      </c>
      <c r="O7457" s="43"/>
      <c r="P7457" s="36" t="str">
        <f t="shared" si="740"/>
        <v/>
      </c>
      <c r="Q7457" s="216">
        <f t="shared" si="741"/>
        <v>0.14400000000000002</v>
      </c>
      <c r="R7457" s="216">
        <f t="shared" si="742"/>
        <v>0.14400000000000002</v>
      </c>
      <c r="S7457" s="217" t="str">
        <f t="shared" si="743"/>
        <v/>
      </c>
    </row>
    <row r="7458" spans="1:19" ht="15.75" hidden="1" thickBot="1" x14ac:dyDescent="0.3">
      <c r="A7458" s="257"/>
      <c r="B7458" s="260"/>
      <c r="C7458" s="35" t="s">
        <v>1018</v>
      </c>
      <c r="D7458" s="35" t="s">
        <v>583</v>
      </c>
      <c r="E7458" s="36">
        <v>0.5121</v>
      </c>
      <c r="F7458" s="30">
        <v>27.835000000000001</v>
      </c>
      <c r="G7458" s="53">
        <f t="shared" si="738"/>
        <v>14.254303500000001</v>
      </c>
      <c r="H7458" s="43"/>
      <c r="I7458" s="39"/>
      <c r="J7458" s="152">
        <v>0</v>
      </c>
      <c r="L7458" s="215">
        <v>0.5121</v>
      </c>
      <c r="M7458" s="30">
        <v>23.82676</v>
      </c>
      <c r="N7458" s="53">
        <f t="shared" si="739"/>
        <v>12.201683795999999</v>
      </c>
      <c r="O7458" s="43"/>
      <c r="P7458" s="36" t="str">
        <f t="shared" si="740"/>
        <v/>
      </c>
      <c r="Q7458" s="216">
        <f t="shared" si="741"/>
        <v>0.14400000000000002</v>
      </c>
      <c r="R7458" s="216">
        <f t="shared" si="742"/>
        <v>0.14400000000000013</v>
      </c>
      <c r="S7458" s="217" t="str">
        <f t="shared" si="743"/>
        <v/>
      </c>
    </row>
    <row r="7459" spans="1:19" ht="15.75" hidden="1" thickBot="1" x14ac:dyDescent="0.3">
      <c r="A7459" s="258"/>
      <c r="B7459" s="261"/>
      <c r="C7459" s="54"/>
      <c r="D7459" s="155"/>
      <c r="E7459" s="65"/>
      <c r="F7459" s="75" t="s">
        <v>416</v>
      </c>
      <c r="G7459" s="75" t="str">
        <f t="shared" si="738"/>
        <v/>
      </c>
      <c r="H7459" s="76"/>
      <c r="I7459" s="73"/>
      <c r="J7459" s="152">
        <v>0</v>
      </c>
      <c r="L7459" s="222"/>
      <c r="M7459" s="75"/>
      <c r="N7459" s="75" t="str">
        <f t="shared" si="739"/>
        <v/>
      </c>
      <c r="O7459" s="76"/>
      <c r="P7459" s="36" t="str">
        <f t="shared" si="740"/>
        <v/>
      </c>
      <c r="Q7459" s="216" t="str">
        <f t="shared" si="741"/>
        <v/>
      </c>
      <c r="R7459" s="216" t="str">
        <f t="shared" si="742"/>
        <v/>
      </c>
      <c r="S7459" s="217" t="str">
        <f t="shared" si="743"/>
        <v/>
      </c>
    </row>
    <row r="7460" spans="1:19" ht="15.75" hidden="1" thickBot="1" x14ac:dyDescent="0.3">
      <c r="A7460" s="256" t="s">
        <v>6764</v>
      </c>
      <c r="B7460" s="259" t="str">
        <f>INDEX(Orçamentária!A:B,MATCH(Composições!A7460,Orçamentária!A:A,0),2)</f>
        <v>Condulete de alumínio de 2’’</v>
      </c>
      <c r="C7460" s="40"/>
      <c r="D7460" s="25" t="s">
        <v>16</v>
      </c>
      <c r="E7460" s="26"/>
      <c r="F7460" s="48" t="s">
        <v>416</v>
      </c>
      <c r="G7460" s="27" t="str">
        <f t="shared" si="738"/>
        <v/>
      </c>
      <c r="H7460" s="28"/>
      <c r="I7460" s="29"/>
      <c r="J7460" s="152">
        <v>0</v>
      </c>
      <c r="L7460" s="218"/>
      <c r="M7460" s="48"/>
      <c r="N7460" s="27" t="str">
        <f t="shared" si="739"/>
        <v/>
      </c>
      <c r="O7460" s="28"/>
      <c r="P7460" s="36" t="str">
        <f t="shared" si="740"/>
        <v/>
      </c>
      <c r="Q7460" s="216" t="str">
        <f t="shared" si="741"/>
        <v/>
      </c>
      <c r="R7460" s="216" t="str">
        <f t="shared" si="742"/>
        <v/>
      </c>
      <c r="S7460" s="217" t="str">
        <f t="shared" si="743"/>
        <v/>
      </c>
    </row>
    <row r="7461" spans="1:19" ht="15.75" hidden="1" thickBot="1" x14ac:dyDescent="0.3">
      <c r="A7461" s="257"/>
      <c r="B7461" s="260"/>
      <c r="C7461" s="31"/>
      <c r="D7461" s="31"/>
      <c r="E7461" s="32"/>
      <c r="F7461" s="53" t="s">
        <v>416</v>
      </c>
      <c r="G7461" s="53" t="str">
        <f t="shared" si="738"/>
        <v/>
      </c>
      <c r="H7461" s="72"/>
      <c r="I7461" s="73"/>
      <c r="J7461" s="152">
        <v>0</v>
      </c>
      <c r="L7461" s="219"/>
      <c r="M7461" s="53"/>
      <c r="N7461" s="53" t="str">
        <f t="shared" si="739"/>
        <v/>
      </c>
      <c r="O7461" s="72"/>
      <c r="P7461" s="36" t="str">
        <f t="shared" si="740"/>
        <v/>
      </c>
      <c r="Q7461" s="216" t="str">
        <f t="shared" si="741"/>
        <v/>
      </c>
      <c r="R7461" s="216" t="str">
        <f t="shared" si="742"/>
        <v/>
      </c>
      <c r="S7461" s="217" t="str">
        <f t="shared" si="743"/>
        <v/>
      </c>
    </row>
    <row r="7462" spans="1:19" ht="26.25" hidden="1" thickBot="1" x14ac:dyDescent="0.3">
      <c r="A7462" s="257"/>
      <c r="B7462" s="260"/>
      <c r="C7462" s="35" t="s">
        <v>8077</v>
      </c>
      <c r="D7462" s="35" t="s">
        <v>213</v>
      </c>
      <c r="E7462" s="36">
        <v>1</v>
      </c>
      <c r="F7462" s="30">
        <v>45.713999999999999</v>
      </c>
      <c r="G7462" s="53">
        <f t="shared" si="738"/>
        <v>45.713999999999999</v>
      </c>
      <c r="H7462" s="38">
        <f>SUM(G7462:G7465)</f>
        <v>71.762469899999999</v>
      </c>
      <c r="I7462" s="39"/>
      <c r="J7462" s="152">
        <v>0</v>
      </c>
      <c r="L7462" s="215">
        <v>1</v>
      </c>
      <c r="M7462" s="30">
        <v>39.131183999999998</v>
      </c>
      <c r="N7462" s="53">
        <f t="shared" si="739"/>
        <v>39.131183999999998</v>
      </c>
      <c r="O7462" s="38">
        <f>SUM(N7462:N7465)</f>
        <v>61.428674234399992</v>
      </c>
      <c r="P7462" s="36" t="str">
        <f t="shared" si="740"/>
        <v/>
      </c>
      <c r="Q7462" s="216">
        <f t="shared" si="741"/>
        <v>0.14400000000000002</v>
      </c>
      <c r="R7462" s="216">
        <f t="shared" si="742"/>
        <v>0.14400000000000002</v>
      </c>
      <c r="S7462" s="217">
        <f t="shared" si="743"/>
        <v>0.14400000000000013</v>
      </c>
    </row>
    <row r="7463" spans="1:19" ht="39" hidden="1" thickBot="1" x14ac:dyDescent="0.3">
      <c r="A7463" s="257"/>
      <c r="B7463" s="260"/>
      <c r="C7463" s="35" t="s">
        <v>8010</v>
      </c>
      <c r="D7463" s="35" t="s">
        <v>213</v>
      </c>
      <c r="E7463" s="36">
        <v>2</v>
      </c>
      <c r="F7463" s="33">
        <v>0.3705</v>
      </c>
      <c r="G7463" s="33">
        <f t="shared" si="738"/>
        <v>0.74099999999999999</v>
      </c>
      <c r="H7463" s="34"/>
      <c r="I7463" s="30"/>
      <c r="J7463" s="152">
        <v>0</v>
      </c>
      <c r="L7463" s="215">
        <v>2</v>
      </c>
      <c r="M7463" s="33">
        <v>0.31714799999999999</v>
      </c>
      <c r="N7463" s="33">
        <f t="shared" si="739"/>
        <v>0.63429599999999997</v>
      </c>
      <c r="O7463" s="34"/>
      <c r="P7463" s="36" t="str">
        <f t="shared" si="740"/>
        <v/>
      </c>
      <c r="Q7463" s="216">
        <f t="shared" si="741"/>
        <v>0.14400000000000002</v>
      </c>
      <c r="R7463" s="216">
        <f t="shared" si="742"/>
        <v>0.14400000000000002</v>
      </c>
      <c r="S7463" s="217" t="str">
        <f t="shared" si="743"/>
        <v/>
      </c>
    </row>
    <row r="7464" spans="1:19" ht="15.75" hidden="1" thickBot="1" x14ac:dyDescent="0.3">
      <c r="A7464" s="257"/>
      <c r="B7464" s="260"/>
      <c r="C7464" s="35" t="s">
        <v>1017</v>
      </c>
      <c r="D7464" s="35" t="s">
        <v>583</v>
      </c>
      <c r="E7464" s="36">
        <v>0.5121</v>
      </c>
      <c r="F7464" s="30">
        <v>21.584</v>
      </c>
      <c r="G7464" s="53">
        <f t="shared" si="738"/>
        <v>11.0531664</v>
      </c>
      <c r="H7464" s="43"/>
      <c r="I7464" s="39"/>
      <c r="J7464" s="152">
        <v>0</v>
      </c>
      <c r="L7464" s="215">
        <v>0.5121</v>
      </c>
      <c r="M7464" s="30">
        <v>18.475904</v>
      </c>
      <c r="N7464" s="53">
        <f t="shared" si="739"/>
        <v>9.4615104383999995</v>
      </c>
      <c r="O7464" s="43"/>
      <c r="P7464" s="36" t="str">
        <f t="shared" si="740"/>
        <v/>
      </c>
      <c r="Q7464" s="216">
        <f t="shared" si="741"/>
        <v>0.14400000000000002</v>
      </c>
      <c r="R7464" s="216">
        <f t="shared" si="742"/>
        <v>0.14400000000000002</v>
      </c>
      <c r="S7464" s="217" t="str">
        <f t="shared" si="743"/>
        <v/>
      </c>
    </row>
    <row r="7465" spans="1:19" ht="15.75" hidden="1" thickBot="1" x14ac:dyDescent="0.3">
      <c r="A7465" s="257"/>
      <c r="B7465" s="260"/>
      <c r="C7465" s="35" t="s">
        <v>1018</v>
      </c>
      <c r="D7465" s="35" t="s">
        <v>583</v>
      </c>
      <c r="E7465" s="36">
        <v>0.5121</v>
      </c>
      <c r="F7465" s="30">
        <v>27.835000000000001</v>
      </c>
      <c r="G7465" s="53">
        <f t="shared" si="738"/>
        <v>14.254303500000001</v>
      </c>
      <c r="H7465" s="43"/>
      <c r="I7465" s="39"/>
      <c r="J7465" s="152">
        <v>0</v>
      </c>
      <c r="L7465" s="215">
        <v>0.5121</v>
      </c>
      <c r="M7465" s="30">
        <v>23.82676</v>
      </c>
      <c r="N7465" s="53">
        <f t="shared" si="739"/>
        <v>12.201683795999999</v>
      </c>
      <c r="O7465" s="43"/>
      <c r="P7465" s="36" t="str">
        <f t="shared" si="740"/>
        <v/>
      </c>
      <c r="Q7465" s="216">
        <f t="shared" si="741"/>
        <v>0.14400000000000002</v>
      </c>
      <c r="R7465" s="216">
        <f t="shared" si="742"/>
        <v>0.14400000000000013</v>
      </c>
      <c r="S7465" s="217" t="str">
        <f t="shared" si="743"/>
        <v/>
      </c>
    </row>
    <row r="7466" spans="1:19" ht="15.75" hidden="1" thickBot="1" x14ac:dyDescent="0.3">
      <c r="A7466" s="258"/>
      <c r="B7466" s="261"/>
      <c r="C7466" s="54"/>
      <c r="D7466" s="155"/>
      <c r="E7466" s="65"/>
      <c r="F7466" s="75" t="s">
        <v>416</v>
      </c>
      <c r="G7466" s="75" t="str">
        <f t="shared" si="738"/>
        <v/>
      </c>
      <c r="H7466" s="76"/>
      <c r="I7466" s="73"/>
      <c r="J7466" s="152">
        <v>0</v>
      </c>
      <c r="L7466" s="222"/>
      <c r="M7466" s="75"/>
      <c r="N7466" s="75" t="str">
        <f t="shared" si="739"/>
        <v/>
      </c>
      <c r="O7466" s="76"/>
      <c r="P7466" s="36" t="str">
        <f t="shared" si="740"/>
        <v/>
      </c>
      <c r="Q7466" s="216" t="str">
        <f t="shared" si="741"/>
        <v/>
      </c>
      <c r="R7466" s="216" t="str">
        <f t="shared" si="742"/>
        <v/>
      </c>
      <c r="S7466" s="217" t="str">
        <f t="shared" si="743"/>
        <v/>
      </c>
    </row>
    <row r="7467" spans="1:19" ht="15.75" hidden="1" thickBot="1" x14ac:dyDescent="0.3">
      <c r="A7467" s="256" t="s">
        <v>6766</v>
      </c>
      <c r="B7467" s="259" t="str">
        <f>INDEX(Orçamentária!A:B,MATCH(Composições!A7467,Orçamentária!A:A,0),2)</f>
        <v>Cerâmica para revestimento de PAREDES de superfícies internas</v>
      </c>
      <c r="C7467" s="40"/>
      <c r="D7467" s="25" t="s">
        <v>70</v>
      </c>
      <c r="E7467" s="26"/>
      <c r="F7467" s="48" t="s">
        <v>416</v>
      </c>
      <c r="G7467" s="27" t="str">
        <f t="shared" si="738"/>
        <v/>
      </c>
      <c r="H7467" s="28"/>
      <c r="I7467" s="29"/>
      <c r="J7467" s="152">
        <v>0</v>
      </c>
      <c r="L7467" s="218"/>
      <c r="M7467" s="48"/>
      <c r="N7467" s="27" t="str">
        <f t="shared" si="739"/>
        <v/>
      </c>
      <c r="O7467" s="28"/>
      <c r="P7467" s="36" t="str">
        <f t="shared" si="740"/>
        <v/>
      </c>
      <c r="Q7467" s="216" t="str">
        <f t="shared" si="741"/>
        <v/>
      </c>
      <c r="R7467" s="216" t="str">
        <f t="shared" si="742"/>
        <v/>
      </c>
      <c r="S7467" s="217" t="str">
        <f t="shared" si="743"/>
        <v/>
      </c>
    </row>
    <row r="7468" spans="1:19" ht="15.75" hidden="1" thickBot="1" x14ac:dyDescent="0.3">
      <c r="A7468" s="257"/>
      <c r="B7468" s="260"/>
      <c r="C7468" s="31"/>
      <c r="D7468" s="31"/>
      <c r="E7468" s="32"/>
      <c r="F7468" s="53" t="s">
        <v>416</v>
      </c>
      <c r="G7468" s="53" t="str">
        <f t="shared" si="738"/>
        <v/>
      </c>
      <c r="H7468" s="72"/>
      <c r="I7468" s="73"/>
      <c r="J7468" s="152">
        <v>0</v>
      </c>
      <c r="L7468" s="219"/>
      <c r="M7468" s="53"/>
      <c r="N7468" s="53" t="str">
        <f t="shared" si="739"/>
        <v/>
      </c>
      <c r="O7468" s="72"/>
      <c r="P7468" s="36" t="str">
        <f t="shared" si="740"/>
        <v/>
      </c>
      <c r="Q7468" s="216" t="str">
        <f t="shared" si="741"/>
        <v/>
      </c>
      <c r="R7468" s="216" t="str">
        <f t="shared" si="742"/>
        <v/>
      </c>
      <c r="S7468" s="217" t="str">
        <f t="shared" si="743"/>
        <v/>
      </c>
    </row>
    <row r="7469" spans="1:19" ht="51.75" hidden="1" thickBot="1" x14ac:dyDescent="0.3">
      <c r="A7469" s="257"/>
      <c r="B7469" s="260"/>
      <c r="C7469" s="35" t="s">
        <v>6953</v>
      </c>
      <c r="D7469" s="35" t="s">
        <v>70</v>
      </c>
      <c r="E7469" s="36">
        <v>1.08</v>
      </c>
      <c r="F7469" s="53" t="s">
        <v>416</v>
      </c>
      <c r="G7469" s="53" t="str">
        <f t="shared" si="738"/>
        <v/>
      </c>
      <c r="H7469" s="38">
        <f>SUM(G7469:G7473)</f>
        <v>32.594309999999993</v>
      </c>
      <c r="I7469" s="39"/>
      <c r="J7469" s="152">
        <v>0</v>
      </c>
      <c r="L7469" s="215">
        <v>1.08</v>
      </c>
      <c r="M7469" s="53"/>
      <c r="N7469" s="53" t="str">
        <f t="shared" si="739"/>
        <v/>
      </c>
      <c r="O7469" s="38">
        <f>SUM(N7469:N7473)</f>
        <v>27.900729359999996</v>
      </c>
      <c r="P7469" s="36" t="str">
        <f t="shared" si="740"/>
        <v/>
      </c>
      <c r="Q7469" s="216" t="str">
        <f t="shared" si="741"/>
        <v/>
      </c>
      <c r="R7469" s="216" t="str">
        <f t="shared" si="742"/>
        <v/>
      </c>
      <c r="S7469" s="217">
        <f t="shared" si="743"/>
        <v>0.14399999999999991</v>
      </c>
    </row>
    <row r="7470" spans="1:19" ht="15.75" hidden="1" thickBot="1" x14ac:dyDescent="0.3">
      <c r="A7470" s="257"/>
      <c r="B7470" s="260"/>
      <c r="C7470" s="35" t="s">
        <v>7986</v>
      </c>
      <c r="D7470" s="35" t="s">
        <v>773</v>
      </c>
      <c r="E7470" s="36">
        <v>6.14</v>
      </c>
      <c r="F7470" s="53">
        <v>1.0924999999999998</v>
      </c>
      <c r="G7470" s="53">
        <f t="shared" si="738"/>
        <v>6.7079499999999985</v>
      </c>
      <c r="H7470" s="72"/>
      <c r="I7470" s="73"/>
      <c r="J7470" s="152">
        <v>0</v>
      </c>
      <c r="L7470" s="215">
        <v>6.14</v>
      </c>
      <c r="M7470" s="53">
        <v>0.9351799999999999</v>
      </c>
      <c r="N7470" s="53">
        <f t="shared" si="739"/>
        <v>5.7420051999999995</v>
      </c>
      <c r="O7470" s="72"/>
      <c r="P7470" s="36" t="str">
        <f t="shared" si="740"/>
        <v/>
      </c>
      <c r="Q7470" s="216">
        <f t="shared" si="741"/>
        <v>0.14399999999999991</v>
      </c>
      <c r="R7470" s="216">
        <f t="shared" si="742"/>
        <v>0.14399999999999991</v>
      </c>
      <c r="S7470" s="217" t="str">
        <f t="shared" si="743"/>
        <v/>
      </c>
    </row>
    <row r="7471" spans="1:19" ht="15.75" hidden="1" thickBot="1" x14ac:dyDescent="0.3">
      <c r="A7471" s="257"/>
      <c r="B7471" s="260"/>
      <c r="C7471" s="35" t="s">
        <v>8367</v>
      </c>
      <c r="D7471" s="35" t="s">
        <v>773</v>
      </c>
      <c r="E7471" s="36">
        <v>0.22</v>
      </c>
      <c r="F7471" s="53">
        <v>3.4579999999999997</v>
      </c>
      <c r="G7471" s="53">
        <f t="shared" si="738"/>
        <v>0.76075999999999999</v>
      </c>
      <c r="H7471" s="72"/>
      <c r="I7471" s="73"/>
      <c r="J7471" s="152">
        <v>0</v>
      </c>
      <c r="L7471" s="215">
        <v>0.22</v>
      </c>
      <c r="M7471" s="53">
        <v>2.9600479999999996</v>
      </c>
      <c r="N7471" s="53">
        <f t="shared" si="739"/>
        <v>0.65121055999999988</v>
      </c>
      <c r="O7471" s="72"/>
      <c r="P7471" s="36" t="str">
        <f t="shared" si="740"/>
        <v/>
      </c>
      <c r="Q7471" s="216">
        <f t="shared" si="741"/>
        <v>0.14400000000000002</v>
      </c>
      <c r="R7471" s="216">
        <f t="shared" si="742"/>
        <v>0.14400000000000013</v>
      </c>
      <c r="S7471" s="217" t="str">
        <f t="shared" si="743"/>
        <v/>
      </c>
    </row>
    <row r="7472" spans="1:19" ht="15.75" hidden="1" thickBot="1" x14ac:dyDescent="0.3">
      <c r="A7472" s="257"/>
      <c r="B7472" s="260"/>
      <c r="C7472" s="35" t="s">
        <v>1079</v>
      </c>
      <c r="D7472" s="35" t="s">
        <v>583</v>
      </c>
      <c r="E7472" s="36">
        <v>0.66</v>
      </c>
      <c r="F7472" s="53">
        <v>27.036999999999999</v>
      </c>
      <c r="G7472" s="53">
        <f t="shared" si="738"/>
        <v>17.84442</v>
      </c>
      <c r="H7472" s="72"/>
      <c r="I7472" s="73"/>
      <c r="J7472" s="152">
        <v>0</v>
      </c>
      <c r="L7472" s="215">
        <v>0.66</v>
      </c>
      <c r="M7472" s="53">
        <v>23.143671999999999</v>
      </c>
      <c r="N7472" s="53">
        <f t="shared" si="739"/>
        <v>15.27482352</v>
      </c>
      <c r="O7472" s="72"/>
      <c r="P7472" s="36" t="str">
        <f t="shared" si="740"/>
        <v/>
      </c>
      <c r="Q7472" s="216">
        <f t="shared" si="741"/>
        <v>0.14400000000000002</v>
      </c>
      <c r="R7472" s="216">
        <f t="shared" si="742"/>
        <v>0.14400000000000002</v>
      </c>
      <c r="S7472" s="217" t="str">
        <f t="shared" si="743"/>
        <v/>
      </c>
    </row>
    <row r="7473" spans="1:19" ht="15.75" hidden="1" thickBot="1" x14ac:dyDescent="0.3">
      <c r="A7473" s="257"/>
      <c r="B7473" s="260"/>
      <c r="C7473" s="35" t="s">
        <v>584</v>
      </c>
      <c r="D7473" s="35" t="s">
        <v>583</v>
      </c>
      <c r="E7473" s="36">
        <v>0.36</v>
      </c>
      <c r="F7473" s="53">
        <v>20.225499999999997</v>
      </c>
      <c r="G7473" s="53">
        <f t="shared" si="738"/>
        <v>7.2811799999999982</v>
      </c>
      <c r="H7473" s="72"/>
      <c r="I7473" s="73"/>
      <c r="J7473" s="152">
        <v>0</v>
      </c>
      <c r="L7473" s="215">
        <v>0.36</v>
      </c>
      <c r="M7473" s="53">
        <v>17.313027999999996</v>
      </c>
      <c r="N7473" s="53">
        <f t="shared" si="739"/>
        <v>6.2326900799999985</v>
      </c>
      <c r="O7473" s="72"/>
      <c r="P7473" s="36" t="str">
        <f t="shared" si="740"/>
        <v/>
      </c>
      <c r="Q7473" s="216">
        <f t="shared" si="741"/>
        <v>0.14400000000000013</v>
      </c>
      <c r="R7473" s="216">
        <f t="shared" si="742"/>
        <v>0.14400000000000002</v>
      </c>
      <c r="S7473" s="217" t="str">
        <f t="shared" si="743"/>
        <v/>
      </c>
    </row>
    <row r="7474" spans="1:19" ht="15.75" hidden="1" thickBot="1" x14ac:dyDescent="0.3">
      <c r="A7474" s="258"/>
      <c r="B7474" s="261"/>
      <c r="C7474" s="54"/>
      <c r="D7474" s="155"/>
      <c r="E7474" s="65"/>
      <c r="F7474" s="75" t="s">
        <v>416</v>
      </c>
      <c r="G7474" s="75" t="str">
        <f t="shared" si="738"/>
        <v/>
      </c>
      <c r="H7474" s="76"/>
      <c r="I7474" s="73"/>
      <c r="J7474" s="152">
        <v>0</v>
      </c>
      <c r="L7474" s="222"/>
      <c r="M7474" s="75"/>
      <c r="N7474" s="75" t="str">
        <f t="shared" si="739"/>
        <v/>
      </c>
      <c r="O7474" s="76"/>
      <c r="P7474" s="36" t="str">
        <f t="shared" si="740"/>
        <v/>
      </c>
      <c r="Q7474" s="216" t="str">
        <f t="shared" si="741"/>
        <v/>
      </c>
      <c r="R7474" s="216" t="str">
        <f t="shared" si="742"/>
        <v/>
      </c>
      <c r="S7474" s="217" t="str">
        <f t="shared" si="743"/>
        <v/>
      </c>
    </row>
    <row r="7475" spans="1:19" ht="15.75" hidden="1" thickBot="1" x14ac:dyDescent="0.3">
      <c r="A7475" s="256" t="s">
        <v>6767</v>
      </c>
      <c r="B7475" s="259" t="str">
        <f>INDEX(Orçamentária!A:B,MATCH(Composições!A7475,Orçamentária!A:A,0),2)</f>
        <v>Cerâmica para revestimento de pisos de superfícies internas</v>
      </c>
      <c r="C7475" s="40"/>
      <c r="D7475" s="25" t="s">
        <v>70</v>
      </c>
      <c r="E7475" s="26"/>
      <c r="F7475" s="48" t="s">
        <v>416</v>
      </c>
      <c r="G7475" s="27" t="str">
        <f t="shared" si="738"/>
        <v/>
      </c>
      <c r="H7475" s="28"/>
      <c r="I7475" s="29"/>
      <c r="J7475" s="152">
        <v>0</v>
      </c>
      <c r="L7475" s="218"/>
      <c r="M7475" s="48"/>
      <c r="N7475" s="27" t="str">
        <f t="shared" si="739"/>
        <v/>
      </c>
      <c r="O7475" s="28"/>
      <c r="P7475" s="36" t="str">
        <f t="shared" si="740"/>
        <v/>
      </c>
      <c r="Q7475" s="216" t="str">
        <f t="shared" si="741"/>
        <v/>
      </c>
      <c r="R7475" s="216" t="str">
        <f t="shared" si="742"/>
        <v/>
      </c>
      <c r="S7475" s="217" t="str">
        <f t="shared" si="743"/>
        <v/>
      </c>
    </row>
    <row r="7476" spans="1:19" ht="15.75" hidden="1" thickBot="1" x14ac:dyDescent="0.3">
      <c r="A7476" s="257"/>
      <c r="B7476" s="260"/>
      <c r="C7476" s="31"/>
      <c r="D7476" s="31"/>
      <c r="E7476" s="32"/>
      <c r="F7476" s="53" t="s">
        <v>416</v>
      </c>
      <c r="G7476" s="53" t="str">
        <f t="shared" si="738"/>
        <v/>
      </c>
      <c r="H7476" s="72"/>
      <c r="I7476" s="73"/>
      <c r="J7476" s="152">
        <v>0</v>
      </c>
      <c r="L7476" s="219"/>
      <c r="M7476" s="53"/>
      <c r="N7476" s="53" t="str">
        <f t="shared" si="739"/>
        <v/>
      </c>
      <c r="O7476" s="72"/>
      <c r="P7476" s="36" t="str">
        <f t="shared" si="740"/>
        <v/>
      </c>
      <c r="Q7476" s="216" t="str">
        <f t="shared" si="741"/>
        <v/>
      </c>
      <c r="R7476" s="216" t="str">
        <f t="shared" si="742"/>
        <v/>
      </c>
      <c r="S7476" s="217" t="str">
        <f t="shared" si="743"/>
        <v/>
      </c>
    </row>
    <row r="7477" spans="1:19" ht="26.25" hidden="1" thickBot="1" x14ac:dyDescent="0.3">
      <c r="A7477" s="257"/>
      <c r="B7477" s="260"/>
      <c r="C7477" s="35" t="s">
        <v>6954</v>
      </c>
      <c r="D7477" s="35" t="s">
        <v>70</v>
      </c>
      <c r="E7477" s="36">
        <v>1.08</v>
      </c>
      <c r="F7477" s="53" t="s">
        <v>416</v>
      </c>
      <c r="G7477" s="53" t="str">
        <f t="shared" si="738"/>
        <v/>
      </c>
      <c r="H7477" s="38">
        <f>SUM(G7477:G7481)</f>
        <v>32.594309999999993</v>
      </c>
      <c r="I7477" s="39"/>
      <c r="J7477" s="152">
        <v>0</v>
      </c>
      <c r="L7477" s="215">
        <v>1.08</v>
      </c>
      <c r="M7477" s="53"/>
      <c r="N7477" s="53" t="str">
        <f t="shared" si="739"/>
        <v/>
      </c>
      <c r="O7477" s="38">
        <f>SUM(N7477:N7481)</f>
        <v>27.900729359999996</v>
      </c>
      <c r="P7477" s="36" t="str">
        <f t="shared" si="740"/>
        <v/>
      </c>
      <c r="Q7477" s="216" t="str">
        <f t="shared" si="741"/>
        <v/>
      </c>
      <c r="R7477" s="216" t="str">
        <f t="shared" si="742"/>
        <v/>
      </c>
      <c r="S7477" s="217">
        <f t="shared" si="743"/>
        <v>0.14399999999999991</v>
      </c>
    </row>
    <row r="7478" spans="1:19" ht="15.75" hidden="1" thickBot="1" x14ac:dyDescent="0.3">
      <c r="A7478" s="257"/>
      <c r="B7478" s="260"/>
      <c r="C7478" s="35" t="s">
        <v>7986</v>
      </c>
      <c r="D7478" s="35" t="s">
        <v>773</v>
      </c>
      <c r="E7478" s="36">
        <v>6.14</v>
      </c>
      <c r="F7478" s="53">
        <v>1.0924999999999998</v>
      </c>
      <c r="G7478" s="53">
        <f t="shared" si="738"/>
        <v>6.7079499999999985</v>
      </c>
      <c r="H7478" s="72"/>
      <c r="I7478" s="73"/>
      <c r="J7478" s="152">
        <v>0</v>
      </c>
      <c r="L7478" s="215">
        <v>6.14</v>
      </c>
      <c r="M7478" s="53">
        <v>0.9351799999999999</v>
      </c>
      <c r="N7478" s="53">
        <f t="shared" si="739"/>
        <v>5.7420051999999995</v>
      </c>
      <c r="O7478" s="72"/>
      <c r="P7478" s="36" t="str">
        <f t="shared" si="740"/>
        <v/>
      </c>
      <c r="Q7478" s="216">
        <f t="shared" si="741"/>
        <v>0.14399999999999991</v>
      </c>
      <c r="R7478" s="216">
        <f t="shared" si="742"/>
        <v>0.14399999999999991</v>
      </c>
      <c r="S7478" s="217" t="str">
        <f t="shared" si="743"/>
        <v/>
      </c>
    </row>
    <row r="7479" spans="1:19" ht="15.75" hidden="1" thickBot="1" x14ac:dyDescent="0.3">
      <c r="A7479" s="257"/>
      <c r="B7479" s="260"/>
      <c r="C7479" s="35" t="s">
        <v>8367</v>
      </c>
      <c r="D7479" s="35" t="s">
        <v>773</v>
      </c>
      <c r="E7479" s="36">
        <v>0.22</v>
      </c>
      <c r="F7479" s="53">
        <v>3.4579999999999997</v>
      </c>
      <c r="G7479" s="53">
        <f t="shared" si="738"/>
        <v>0.76075999999999999</v>
      </c>
      <c r="H7479" s="72"/>
      <c r="I7479" s="73"/>
      <c r="J7479" s="152">
        <v>0</v>
      </c>
      <c r="L7479" s="215">
        <v>0.22</v>
      </c>
      <c r="M7479" s="53">
        <v>2.9600479999999996</v>
      </c>
      <c r="N7479" s="53">
        <f t="shared" si="739"/>
        <v>0.65121055999999988</v>
      </c>
      <c r="O7479" s="72"/>
      <c r="P7479" s="36" t="str">
        <f t="shared" si="740"/>
        <v/>
      </c>
      <c r="Q7479" s="216">
        <f t="shared" si="741"/>
        <v>0.14400000000000002</v>
      </c>
      <c r="R7479" s="216">
        <f t="shared" si="742"/>
        <v>0.14400000000000013</v>
      </c>
      <c r="S7479" s="217" t="str">
        <f t="shared" si="743"/>
        <v/>
      </c>
    </row>
    <row r="7480" spans="1:19" ht="15.75" hidden="1" thickBot="1" x14ac:dyDescent="0.3">
      <c r="A7480" s="257"/>
      <c r="B7480" s="260"/>
      <c r="C7480" s="35" t="s">
        <v>1079</v>
      </c>
      <c r="D7480" s="35" t="s">
        <v>583</v>
      </c>
      <c r="E7480" s="36">
        <v>0.66</v>
      </c>
      <c r="F7480" s="53">
        <v>27.036999999999999</v>
      </c>
      <c r="G7480" s="53">
        <f t="shared" si="738"/>
        <v>17.84442</v>
      </c>
      <c r="H7480" s="72"/>
      <c r="I7480" s="73"/>
      <c r="J7480" s="152">
        <v>0</v>
      </c>
      <c r="L7480" s="215">
        <v>0.66</v>
      </c>
      <c r="M7480" s="53">
        <v>23.143671999999999</v>
      </c>
      <c r="N7480" s="53">
        <f t="shared" si="739"/>
        <v>15.27482352</v>
      </c>
      <c r="O7480" s="72"/>
      <c r="P7480" s="36" t="str">
        <f t="shared" si="740"/>
        <v/>
      </c>
      <c r="Q7480" s="216">
        <f t="shared" si="741"/>
        <v>0.14400000000000002</v>
      </c>
      <c r="R7480" s="216">
        <f t="shared" si="742"/>
        <v>0.14400000000000002</v>
      </c>
      <c r="S7480" s="217" t="str">
        <f t="shared" si="743"/>
        <v/>
      </c>
    </row>
    <row r="7481" spans="1:19" ht="15.75" hidden="1" thickBot="1" x14ac:dyDescent="0.3">
      <c r="A7481" s="257"/>
      <c r="B7481" s="260"/>
      <c r="C7481" s="35" t="s">
        <v>584</v>
      </c>
      <c r="D7481" s="35" t="s">
        <v>583</v>
      </c>
      <c r="E7481" s="36">
        <v>0.36</v>
      </c>
      <c r="F7481" s="53">
        <v>20.225499999999997</v>
      </c>
      <c r="G7481" s="53">
        <f t="shared" si="738"/>
        <v>7.2811799999999982</v>
      </c>
      <c r="H7481" s="72"/>
      <c r="I7481" s="73"/>
      <c r="J7481" s="152">
        <v>0</v>
      </c>
      <c r="L7481" s="215">
        <v>0.36</v>
      </c>
      <c r="M7481" s="53">
        <v>17.313027999999996</v>
      </c>
      <c r="N7481" s="53">
        <f t="shared" si="739"/>
        <v>6.2326900799999985</v>
      </c>
      <c r="O7481" s="72"/>
      <c r="P7481" s="36" t="str">
        <f t="shared" si="740"/>
        <v/>
      </c>
      <c r="Q7481" s="216">
        <f t="shared" si="741"/>
        <v>0.14400000000000013</v>
      </c>
      <c r="R7481" s="216">
        <f t="shared" si="742"/>
        <v>0.14400000000000002</v>
      </c>
      <c r="S7481" s="217" t="str">
        <f t="shared" si="743"/>
        <v/>
      </c>
    </row>
    <row r="7482" spans="1:19" ht="15.75" hidden="1" thickBot="1" x14ac:dyDescent="0.3">
      <c r="A7482" s="258"/>
      <c r="B7482" s="261"/>
      <c r="C7482" s="54"/>
      <c r="D7482" s="155"/>
      <c r="E7482" s="65"/>
      <c r="F7482" s="75" t="s">
        <v>416</v>
      </c>
      <c r="G7482" s="75" t="str">
        <f t="shared" si="738"/>
        <v/>
      </c>
      <c r="H7482" s="76"/>
      <c r="I7482" s="73"/>
      <c r="J7482" s="152">
        <v>0</v>
      </c>
      <c r="L7482" s="222"/>
      <c r="M7482" s="75"/>
      <c r="N7482" s="75" t="str">
        <f t="shared" si="739"/>
        <v/>
      </c>
      <c r="O7482" s="76"/>
      <c r="P7482" s="36" t="str">
        <f t="shared" si="740"/>
        <v/>
      </c>
      <c r="Q7482" s="216" t="str">
        <f t="shared" si="741"/>
        <v/>
      </c>
      <c r="R7482" s="216" t="str">
        <f t="shared" si="742"/>
        <v/>
      </c>
      <c r="S7482" s="217" t="str">
        <f t="shared" si="743"/>
        <v/>
      </c>
    </row>
    <row r="7483" spans="1:19" ht="15.75" hidden="1" thickBot="1" x14ac:dyDescent="0.3">
      <c r="A7483" s="256" t="s">
        <v>6768</v>
      </c>
      <c r="B7483" s="259" t="str">
        <f>INDEX(Orçamentária!A:B,MATCH(Composições!A7483,Orçamentária!A:A,0),2)</f>
        <v>Cerâmica de linha industrial para revestimento de PISOS E PAREDES de superfícies internas e externas</v>
      </c>
      <c r="C7483" s="40"/>
      <c r="D7483" s="25" t="s">
        <v>70</v>
      </c>
      <c r="E7483" s="26"/>
      <c r="F7483" s="48" t="s">
        <v>416</v>
      </c>
      <c r="G7483" s="27" t="str">
        <f t="shared" si="738"/>
        <v/>
      </c>
      <c r="H7483" s="28"/>
      <c r="I7483" s="29"/>
      <c r="J7483" s="152">
        <v>0</v>
      </c>
      <c r="L7483" s="218"/>
      <c r="M7483" s="48"/>
      <c r="N7483" s="27" t="str">
        <f t="shared" si="739"/>
        <v/>
      </c>
      <c r="O7483" s="28"/>
      <c r="P7483" s="36" t="str">
        <f t="shared" si="740"/>
        <v/>
      </c>
      <c r="Q7483" s="216" t="str">
        <f t="shared" si="741"/>
        <v/>
      </c>
      <c r="R7483" s="216" t="str">
        <f t="shared" si="742"/>
        <v/>
      </c>
      <c r="S7483" s="217" t="str">
        <f t="shared" si="743"/>
        <v/>
      </c>
    </row>
    <row r="7484" spans="1:19" ht="15.75" hidden="1" thickBot="1" x14ac:dyDescent="0.3">
      <c r="A7484" s="257"/>
      <c r="B7484" s="260"/>
      <c r="C7484" s="31"/>
      <c r="D7484" s="31"/>
      <c r="E7484" s="32"/>
      <c r="F7484" s="53" t="s">
        <v>416</v>
      </c>
      <c r="G7484" s="53" t="str">
        <f t="shared" si="738"/>
        <v/>
      </c>
      <c r="H7484" s="72"/>
      <c r="I7484" s="73"/>
      <c r="J7484" s="152">
        <v>0</v>
      </c>
      <c r="L7484" s="219"/>
      <c r="M7484" s="53"/>
      <c r="N7484" s="53" t="str">
        <f t="shared" si="739"/>
        <v/>
      </c>
      <c r="O7484" s="72"/>
      <c r="P7484" s="36" t="str">
        <f t="shared" si="740"/>
        <v/>
      </c>
      <c r="Q7484" s="216" t="str">
        <f t="shared" si="741"/>
        <v/>
      </c>
      <c r="R7484" s="216" t="str">
        <f t="shared" si="742"/>
        <v/>
      </c>
      <c r="S7484" s="217" t="str">
        <f t="shared" si="743"/>
        <v/>
      </c>
    </row>
    <row r="7485" spans="1:19" ht="26.25" hidden="1" thickBot="1" x14ac:dyDescent="0.3">
      <c r="A7485" s="257"/>
      <c r="B7485" s="260"/>
      <c r="C7485" s="35" t="s">
        <v>6955</v>
      </c>
      <c r="D7485" s="35" t="s">
        <v>70</v>
      </c>
      <c r="E7485" s="36">
        <v>1.08</v>
      </c>
      <c r="F7485" s="53" t="s">
        <v>416</v>
      </c>
      <c r="G7485" s="53" t="str">
        <f t="shared" si="738"/>
        <v/>
      </c>
      <c r="H7485" s="38">
        <f>SUM(G7485:G7489)</f>
        <v>32.594309999999993</v>
      </c>
      <c r="I7485" s="39"/>
      <c r="J7485" s="152">
        <v>0</v>
      </c>
      <c r="L7485" s="215">
        <v>1.08</v>
      </c>
      <c r="M7485" s="53"/>
      <c r="N7485" s="53" t="str">
        <f t="shared" si="739"/>
        <v/>
      </c>
      <c r="O7485" s="38">
        <f>SUM(N7485:N7489)</f>
        <v>27.900729359999996</v>
      </c>
      <c r="P7485" s="36" t="str">
        <f t="shared" si="740"/>
        <v/>
      </c>
      <c r="Q7485" s="216" t="str">
        <f t="shared" si="741"/>
        <v/>
      </c>
      <c r="R7485" s="216" t="str">
        <f t="shared" si="742"/>
        <v/>
      </c>
      <c r="S7485" s="217">
        <f t="shared" si="743"/>
        <v>0.14399999999999991</v>
      </c>
    </row>
    <row r="7486" spans="1:19" ht="15.75" hidden="1" thickBot="1" x14ac:dyDescent="0.3">
      <c r="A7486" s="257"/>
      <c r="B7486" s="260"/>
      <c r="C7486" s="35" t="s">
        <v>7986</v>
      </c>
      <c r="D7486" s="35" t="s">
        <v>773</v>
      </c>
      <c r="E7486" s="36">
        <v>6.14</v>
      </c>
      <c r="F7486" s="53">
        <v>1.0924999999999998</v>
      </c>
      <c r="G7486" s="53">
        <f t="shared" si="738"/>
        <v>6.7079499999999985</v>
      </c>
      <c r="H7486" s="72"/>
      <c r="I7486" s="73"/>
      <c r="J7486" s="152">
        <v>0</v>
      </c>
      <c r="L7486" s="215">
        <v>6.14</v>
      </c>
      <c r="M7486" s="53">
        <v>0.9351799999999999</v>
      </c>
      <c r="N7486" s="53">
        <f t="shared" si="739"/>
        <v>5.7420051999999995</v>
      </c>
      <c r="O7486" s="72"/>
      <c r="P7486" s="36" t="str">
        <f t="shared" si="740"/>
        <v/>
      </c>
      <c r="Q7486" s="216">
        <f t="shared" si="741"/>
        <v>0.14399999999999991</v>
      </c>
      <c r="R7486" s="216">
        <f t="shared" si="742"/>
        <v>0.14399999999999991</v>
      </c>
      <c r="S7486" s="217" t="str">
        <f t="shared" si="743"/>
        <v/>
      </c>
    </row>
    <row r="7487" spans="1:19" ht="15.75" hidden="1" thickBot="1" x14ac:dyDescent="0.3">
      <c r="A7487" s="257"/>
      <c r="B7487" s="260"/>
      <c r="C7487" s="35" t="s">
        <v>8367</v>
      </c>
      <c r="D7487" s="35" t="s">
        <v>773</v>
      </c>
      <c r="E7487" s="36">
        <v>0.22</v>
      </c>
      <c r="F7487" s="53">
        <v>3.4579999999999997</v>
      </c>
      <c r="G7487" s="53">
        <f t="shared" si="738"/>
        <v>0.76075999999999999</v>
      </c>
      <c r="H7487" s="72"/>
      <c r="I7487" s="73"/>
      <c r="J7487" s="152">
        <v>0</v>
      </c>
      <c r="L7487" s="215">
        <v>0.22</v>
      </c>
      <c r="M7487" s="53">
        <v>2.9600479999999996</v>
      </c>
      <c r="N7487" s="53">
        <f t="shared" si="739"/>
        <v>0.65121055999999988</v>
      </c>
      <c r="O7487" s="72"/>
      <c r="P7487" s="36" t="str">
        <f t="shared" si="740"/>
        <v/>
      </c>
      <c r="Q7487" s="216">
        <f t="shared" si="741"/>
        <v>0.14400000000000002</v>
      </c>
      <c r="R7487" s="216">
        <f t="shared" si="742"/>
        <v>0.14400000000000013</v>
      </c>
      <c r="S7487" s="217" t="str">
        <f t="shared" si="743"/>
        <v/>
      </c>
    </row>
    <row r="7488" spans="1:19" ht="15.75" hidden="1" thickBot="1" x14ac:dyDescent="0.3">
      <c r="A7488" s="257"/>
      <c r="B7488" s="260"/>
      <c r="C7488" s="35" t="s">
        <v>1079</v>
      </c>
      <c r="D7488" s="35" t="s">
        <v>583</v>
      </c>
      <c r="E7488" s="36">
        <v>0.66</v>
      </c>
      <c r="F7488" s="53">
        <v>27.036999999999999</v>
      </c>
      <c r="G7488" s="53">
        <f t="shared" si="738"/>
        <v>17.84442</v>
      </c>
      <c r="H7488" s="72"/>
      <c r="I7488" s="73"/>
      <c r="J7488" s="152">
        <v>0</v>
      </c>
      <c r="L7488" s="215">
        <v>0.66</v>
      </c>
      <c r="M7488" s="53">
        <v>23.143671999999999</v>
      </c>
      <c r="N7488" s="53">
        <f t="shared" si="739"/>
        <v>15.27482352</v>
      </c>
      <c r="O7488" s="72"/>
      <c r="P7488" s="36" t="str">
        <f t="shared" si="740"/>
        <v/>
      </c>
      <c r="Q7488" s="216">
        <f t="shared" si="741"/>
        <v>0.14400000000000002</v>
      </c>
      <c r="R7488" s="216">
        <f t="shared" si="742"/>
        <v>0.14400000000000002</v>
      </c>
      <c r="S7488" s="217" t="str">
        <f t="shared" si="743"/>
        <v/>
      </c>
    </row>
    <row r="7489" spans="1:19" ht="15.75" hidden="1" thickBot="1" x14ac:dyDescent="0.3">
      <c r="A7489" s="257"/>
      <c r="B7489" s="260"/>
      <c r="C7489" s="35" t="s">
        <v>584</v>
      </c>
      <c r="D7489" s="35" t="s">
        <v>583</v>
      </c>
      <c r="E7489" s="36">
        <v>0.36</v>
      </c>
      <c r="F7489" s="53">
        <v>20.225499999999997</v>
      </c>
      <c r="G7489" s="53">
        <f t="shared" si="738"/>
        <v>7.2811799999999982</v>
      </c>
      <c r="H7489" s="72"/>
      <c r="I7489" s="73"/>
      <c r="J7489" s="152">
        <v>0</v>
      </c>
      <c r="L7489" s="215">
        <v>0.36</v>
      </c>
      <c r="M7489" s="53">
        <v>17.313027999999996</v>
      </c>
      <c r="N7489" s="53">
        <f t="shared" si="739"/>
        <v>6.2326900799999985</v>
      </c>
      <c r="O7489" s="72"/>
      <c r="P7489" s="36" t="str">
        <f t="shared" si="740"/>
        <v/>
      </c>
      <c r="Q7489" s="216">
        <f t="shared" si="741"/>
        <v>0.14400000000000013</v>
      </c>
      <c r="R7489" s="216">
        <f t="shared" si="742"/>
        <v>0.14400000000000002</v>
      </c>
      <c r="S7489" s="217" t="str">
        <f t="shared" si="743"/>
        <v/>
      </c>
    </row>
    <row r="7490" spans="1:19" ht="15.75" hidden="1" thickBot="1" x14ac:dyDescent="0.3">
      <c r="A7490" s="258"/>
      <c r="B7490" s="261"/>
      <c r="C7490" s="54"/>
      <c r="D7490" s="155"/>
      <c r="E7490" s="65"/>
      <c r="F7490" s="75" t="s">
        <v>416</v>
      </c>
      <c r="G7490" s="75" t="str">
        <f t="shared" ref="G7490:G7553" si="744">IF(ISNUMBER(F7490),E7490*F7490,"")</f>
        <v/>
      </c>
      <c r="H7490" s="76"/>
      <c r="I7490" s="73"/>
      <c r="J7490" s="152">
        <v>0</v>
      </c>
      <c r="L7490" s="222"/>
      <c r="M7490" s="75"/>
      <c r="N7490" s="75" t="str">
        <f t="shared" ref="N7490:N7553" si="745">IF(ISNUMBER(M7490),L7490*M7490,"")</f>
        <v/>
      </c>
      <c r="O7490" s="76"/>
      <c r="P7490" s="36" t="str">
        <f t="shared" si="740"/>
        <v/>
      </c>
      <c r="Q7490" s="216" t="str">
        <f t="shared" si="741"/>
        <v/>
      </c>
      <c r="R7490" s="216" t="str">
        <f t="shared" si="742"/>
        <v/>
      </c>
      <c r="S7490" s="217" t="str">
        <f t="shared" si="743"/>
        <v/>
      </c>
    </row>
    <row r="7491" spans="1:19" ht="15.75" hidden="1" thickBot="1" x14ac:dyDescent="0.3">
      <c r="A7491" s="256" t="s">
        <v>6778</v>
      </c>
      <c r="B7491" s="259" t="str">
        <f>INDEX(Orçamentária!A:B,MATCH(Composições!A7491,Orçamentária!A:A,0),2)</f>
        <v>Grelha de Captação de Ar Externo com Damper e Filtro</v>
      </c>
      <c r="C7491" s="40"/>
      <c r="D7491" s="25" t="s">
        <v>16</v>
      </c>
      <c r="E7491" s="26"/>
      <c r="F7491" s="167" t="s">
        <v>416</v>
      </c>
      <c r="G7491" s="27" t="str">
        <f t="shared" si="744"/>
        <v/>
      </c>
      <c r="H7491" s="28"/>
      <c r="I7491" s="29"/>
      <c r="J7491" s="152">
        <v>0</v>
      </c>
      <c r="L7491" s="218"/>
      <c r="M7491" s="167"/>
      <c r="N7491" s="27" t="str">
        <f t="shared" si="745"/>
        <v/>
      </c>
      <c r="O7491" s="28"/>
      <c r="P7491" s="36" t="str">
        <f t="shared" si="740"/>
        <v/>
      </c>
      <c r="Q7491" s="216" t="str">
        <f t="shared" si="741"/>
        <v/>
      </c>
      <c r="R7491" s="216" t="str">
        <f t="shared" si="742"/>
        <v/>
      </c>
      <c r="S7491" s="217" t="str">
        <f t="shared" si="743"/>
        <v/>
      </c>
    </row>
    <row r="7492" spans="1:19" ht="15.75" hidden="1" thickBot="1" x14ac:dyDescent="0.3">
      <c r="A7492" s="262"/>
      <c r="B7492" s="260"/>
      <c r="C7492" s="31"/>
      <c r="D7492" s="31"/>
      <c r="E7492" s="32"/>
      <c r="F7492" s="168" t="s">
        <v>416</v>
      </c>
      <c r="G7492" s="162" t="str">
        <f t="shared" si="744"/>
        <v/>
      </c>
      <c r="H7492" s="164"/>
      <c r="I7492" s="162"/>
      <c r="J7492" s="152">
        <v>0</v>
      </c>
      <c r="L7492" s="219"/>
      <c r="M7492" s="168"/>
      <c r="N7492" s="162" t="str">
        <f t="shared" si="745"/>
        <v/>
      </c>
      <c r="O7492" s="164"/>
      <c r="P7492" s="36" t="str">
        <f t="shared" si="740"/>
        <v/>
      </c>
      <c r="Q7492" s="216" t="str">
        <f t="shared" si="741"/>
        <v/>
      </c>
      <c r="R7492" s="216" t="str">
        <f t="shared" si="742"/>
        <v/>
      </c>
      <c r="S7492" s="217" t="str">
        <f t="shared" si="743"/>
        <v/>
      </c>
    </row>
    <row r="7493" spans="1:19" ht="26.25" hidden="1" thickBot="1" x14ac:dyDescent="0.3">
      <c r="A7493" s="262"/>
      <c r="B7493" s="260"/>
      <c r="C7493" s="35" t="s">
        <v>2901</v>
      </c>
      <c r="D7493" s="35" t="s">
        <v>583</v>
      </c>
      <c r="E7493" s="36">
        <v>3.5</v>
      </c>
      <c r="F7493" s="162">
        <v>23.160999999999998</v>
      </c>
      <c r="G7493" s="163">
        <f t="shared" si="744"/>
        <v>81.063499999999991</v>
      </c>
      <c r="H7493" s="38">
        <f>SUM(G7493:G7498)</f>
        <v>183.20749999999998</v>
      </c>
      <c r="I7493" s="166"/>
      <c r="J7493" s="152">
        <v>0</v>
      </c>
      <c r="L7493" s="215">
        <v>3.5</v>
      </c>
      <c r="M7493" s="162">
        <v>19.825816</v>
      </c>
      <c r="N7493" s="163">
        <f t="shared" si="745"/>
        <v>69.390355999999997</v>
      </c>
      <c r="O7493" s="38">
        <f>SUM(N7493:N7498)</f>
        <v>156.82561999999999</v>
      </c>
      <c r="P7493" s="36" t="str">
        <f t="shared" si="740"/>
        <v/>
      </c>
      <c r="Q7493" s="216">
        <f t="shared" si="741"/>
        <v>0.14399999999999991</v>
      </c>
      <c r="R7493" s="216">
        <f t="shared" si="742"/>
        <v>0.14399999999999991</v>
      </c>
      <c r="S7493" s="217">
        <f t="shared" si="743"/>
        <v>0.14400000000000002</v>
      </c>
    </row>
    <row r="7494" spans="1:19" ht="26.25" hidden="1" thickBot="1" x14ac:dyDescent="0.3">
      <c r="A7494" s="262"/>
      <c r="B7494" s="260"/>
      <c r="C7494" s="35" t="s">
        <v>462</v>
      </c>
      <c r="D7494" s="35" t="s">
        <v>583</v>
      </c>
      <c r="E7494" s="36">
        <v>3.5</v>
      </c>
      <c r="F7494" s="162">
        <v>29.183999999999997</v>
      </c>
      <c r="G7494" s="163">
        <f t="shared" si="744"/>
        <v>102.14399999999999</v>
      </c>
      <c r="H7494" s="164"/>
      <c r="I7494" s="162"/>
      <c r="J7494" s="152">
        <v>0</v>
      </c>
      <c r="L7494" s="215">
        <v>3.5</v>
      </c>
      <c r="M7494" s="162">
        <v>24.981503999999997</v>
      </c>
      <c r="N7494" s="163">
        <f t="shared" si="745"/>
        <v>87.435263999999989</v>
      </c>
      <c r="O7494" s="164"/>
      <c r="P7494" s="36" t="str">
        <f t="shared" si="740"/>
        <v/>
      </c>
      <c r="Q7494" s="216">
        <f t="shared" si="741"/>
        <v>0.14400000000000002</v>
      </c>
      <c r="R7494" s="216">
        <f t="shared" si="742"/>
        <v>0.14400000000000002</v>
      </c>
      <c r="S7494" s="217" t="str">
        <f t="shared" si="743"/>
        <v/>
      </c>
    </row>
    <row r="7495" spans="1:19" ht="15.75" hidden="1" thickBot="1" x14ac:dyDescent="0.3">
      <c r="A7495" s="262"/>
      <c r="B7495" s="260"/>
      <c r="C7495" s="35" t="s">
        <v>7083</v>
      </c>
      <c r="D7495" s="35" t="s">
        <v>107</v>
      </c>
      <c r="E7495" s="36">
        <v>1</v>
      </c>
      <c r="F7495" s="163" t="s">
        <v>416</v>
      </c>
      <c r="G7495" s="163" t="str">
        <f t="shared" si="744"/>
        <v/>
      </c>
      <c r="H7495" s="164"/>
      <c r="I7495" s="162"/>
      <c r="J7495" s="152">
        <v>0</v>
      </c>
      <c r="L7495" s="215">
        <v>1</v>
      </c>
      <c r="M7495" s="163"/>
      <c r="N7495" s="163" t="str">
        <f t="shared" si="745"/>
        <v/>
      </c>
      <c r="O7495" s="164"/>
      <c r="P7495" s="36" t="str">
        <f t="shared" si="740"/>
        <v/>
      </c>
      <c r="Q7495" s="216" t="str">
        <f t="shared" si="741"/>
        <v/>
      </c>
      <c r="R7495" s="216" t="str">
        <f t="shared" si="742"/>
        <v/>
      </c>
      <c r="S7495" s="217" t="str">
        <f t="shared" si="743"/>
        <v/>
      </c>
    </row>
    <row r="7496" spans="1:19" ht="15.75" hidden="1" thickBot="1" x14ac:dyDescent="0.3">
      <c r="A7496" s="262"/>
      <c r="B7496" s="260"/>
      <c r="C7496" s="35" t="s">
        <v>7084</v>
      </c>
      <c r="D7496" s="35" t="s">
        <v>107</v>
      </c>
      <c r="E7496" s="36">
        <v>1</v>
      </c>
      <c r="F7496" s="163" t="s">
        <v>416</v>
      </c>
      <c r="G7496" s="163" t="str">
        <f t="shared" si="744"/>
        <v/>
      </c>
      <c r="H7496" s="164"/>
      <c r="I7496" s="162"/>
      <c r="J7496" s="152">
        <v>0</v>
      </c>
      <c r="L7496" s="215">
        <v>1</v>
      </c>
      <c r="M7496" s="163"/>
      <c r="N7496" s="163" t="str">
        <f t="shared" si="745"/>
        <v/>
      </c>
      <c r="O7496" s="164"/>
      <c r="P7496" s="36" t="str">
        <f t="shared" ref="P7496:P7559" si="746">IF(ISBLANK(L7496),"",IF($E7496&lt;&gt;L7496,"SIM",""))</f>
        <v/>
      </c>
      <c r="Q7496" s="216" t="str">
        <f t="shared" ref="Q7496:Q7559" si="747">IF(M7496="","",1-M7496/$F7496)</f>
        <v/>
      </c>
      <c r="R7496" s="216" t="str">
        <f t="shared" ref="R7496:R7559" si="748">IF(N7496="","",1-N7496/$G7496)</f>
        <v/>
      </c>
      <c r="S7496" s="217" t="str">
        <f t="shared" ref="S7496:S7559" si="749">IF(O7496="","",1-O7496/$H7496)</f>
        <v/>
      </c>
    </row>
    <row r="7497" spans="1:19" ht="15.75" hidden="1" thickBot="1" x14ac:dyDescent="0.3">
      <c r="A7497" s="262"/>
      <c r="B7497" s="260"/>
      <c r="C7497" s="35" t="s">
        <v>7085</v>
      </c>
      <c r="D7497" s="35" t="s">
        <v>107</v>
      </c>
      <c r="E7497" s="36">
        <v>1</v>
      </c>
      <c r="F7497" s="163" t="s">
        <v>416</v>
      </c>
      <c r="G7497" s="163" t="str">
        <f t="shared" si="744"/>
        <v/>
      </c>
      <c r="H7497" s="164"/>
      <c r="I7497" s="162"/>
      <c r="J7497" s="152">
        <v>0</v>
      </c>
      <c r="L7497" s="215">
        <v>1</v>
      </c>
      <c r="M7497" s="163"/>
      <c r="N7497" s="163" t="str">
        <f t="shared" si="745"/>
        <v/>
      </c>
      <c r="O7497" s="164"/>
      <c r="P7497" s="36" t="str">
        <f t="shared" si="746"/>
        <v/>
      </c>
      <c r="Q7497" s="216" t="str">
        <f t="shared" si="747"/>
        <v/>
      </c>
      <c r="R7497" s="216" t="str">
        <f t="shared" si="748"/>
        <v/>
      </c>
      <c r="S7497" s="217" t="str">
        <f t="shared" si="749"/>
        <v/>
      </c>
    </row>
    <row r="7498" spans="1:19" ht="15.75" hidden="1" thickBot="1" x14ac:dyDescent="0.3">
      <c r="A7498" s="262"/>
      <c r="B7498" s="260"/>
      <c r="C7498" s="35" t="s">
        <v>7086</v>
      </c>
      <c r="D7498" s="35" t="s">
        <v>107</v>
      </c>
      <c r="E7498" s="36">
        <v>1</v>
      </c>
      <c r="F7498" s="163" t="s">
        <v>416</v>
      </c>
      <c r="G7498" s="163" t="str">
        <f t="shared" si="744"/>
        <v/>
      </c>
      <c r="H7498" s="164"/>
      <c r="I7498" s="162"/>
      <c r="J7498" s="152">
        <v>0</v>
      </c>
      <c r="L7498" s="215">
        <v>1</v>
      </c>
      <c r="M7498" s="163"/>
      <c r="N7498" s="163" t="str">
        <f t="shared" si="745"/>
        <v/>
      </c>
      <c r="O7498" s="164"/>
      <c r="P7498" s="36" t="str">
        <f t="shared" si="746"/>
        <v/>
      </c>
      <c r="Q7498" s="216" t="str">
        <f t="shared" si="747"/>
        <v/>
      </c>
      <c r="R7498" s="216" t="str">
        <f t="shared" si="748"/>
        <v/>
      </c>
      <c r="S7498" s="217" t="str">
        <f t="shared" si="749"/>
        <v/>
      </c>
    </row>
    <row r="7499" spans="1:19" ht="15.75" hidden="1" thickBot="1" x14ac:dyDescent="0.3">
      <c r="A7499" s="263"/>
      <c r="B7499" s="261"/>
      <c r="C7499" s="35"/>
      <c r="D7499" s="35"/>
      <c r="E7499" s="36"/>
      <c r="F7499" s="162" t="s">
        <v>416</v>
      </c>
      <c r="G7499" s="162" t="str">
        <f t="shared" si="744"/>
        <v/>
      </c>
      <c r="H7499" s="164"/>
      <c r="I7499" s="162"/>
      <c r="J7499" s="152">
        <v>0</v>
      </c>
      <c r="L7499" s="215"/>
      <c r="M7499" s="162"/>
      <c r="N7499" s="162" t="str">
        <f t="shared" si="745"/>
        <v/>
      </c>
      <c r="O7499" s="164"/>
      <c r="P7499" s="36" t="str">
        <f t="shared" si="746"/>
        <v/>
      </c>
      <c r="Q7499" s="216" t="str">
        <f t="shared" si="747"/>
        <v/>
      </c>
      <c r="R7499" s="216" t="str">
        <f t="shared" si="748"/>
        <v/>
      </c>
      <c r="S7499" s="217" t="str">
        <f t="shared" si="749"/>
        <v/>
      </c>
    </row>
    <row r="7500" spans="1:19" ht="15.75" hidden="1" thickBot="1" x14ac:dyDescent="0.3">
      <c r="A7500" s="256" t="s">
        <v>6779</v>
      </c>
      <c r="B7500" s="259" t="str">
        <f>INDEX(Orçamentária!A:B,MATCH(Composições!A7500,Orçamentária!A:A,0),2)</f>
        <v>Grelha de retorno com aletas horizontais 1225 x 525 mm</v>
      </c>
      <c r="C7500" s="40"/>
      <c r="D7500" s="25" t="s">
        <v>16</v>
      </c>
      <c r="E7500" s="26"/>
      <c r="F7500" s="167" t="s">
        <v>416</v>
      </c>
      <c r="G7500" s="27" t="str">
        <f t="shared" si="744"/>
        <v/>
      </c>
      <c r="H7500" s="28"/>
      <c r="I7500" s="29"/>
      <c r="J7500" s="152">
        <v>0</v>
      </c>
      <c r="L7500" s="218"/>
      <c r="M7500" s="167"/>
      <c r="N7500" s="27" t="str">
        <f t="shared" si="745"/>
        <v/>
      </c>
      <c r="O7500" s="28"/>
      <c r="P7500" s="36" t="str">
        <f t="shared" si="746"/>
        <v/>
      </c>
      <c r="Q7500" s="216" t="str">
        <f t="shared" si="747"/>
        <v/>
      </c>
      <c r="R7500" s="216" t="str">
        <f t="shared" si="748"/>
        <v/>
      </c>
      <c r="S7500" s="217" t="str">
        <f t="shared" si="749"/>
        <v/>
      </c>
    </row>
    <row r="7501" spans="1:19" ht="15.75" hidden="1" thickBot="1" x14ac:dyDescent="0.3">
      <c r="A7501" s="262"/>
      <c r="B7501" s="260"/>
      <c r="C7501" s="31"/>
      <c r="D7501" s="31"/>
      <c r="E7501" s="32"/>
      <c r="F7501" s="168" t="s">
        <v>416</v>
      </c>
      <c r="G7501" s="162" t="str">
        <f t="shared" si="744"/>
        <v/>
      </c>
      <c r="H7501" s="164"/>
      <c r="I7501" s="162"/>
      <c r="J7501" s="152">
        <v>0</v>
      </c>
      <c r="L7501" s="219"/>
      <c r="M7501" s="168"/>
      <c r="N7501" s="162" t="str">
        <f t="shared" si="745"/>
        <v/>
      </c>
      <c r="O7501" s="164"/>
      <c r="P7501" s="36" t="str">
        <f t="shared" si="746"/>
        <v/>
      </c>
      <c r="Q7501" s="216" t="str">
        <f t="shared" si="747"/>
        <v/>
      </c>
      <c r="R7501" s="216" t="str">
        <f t="shared" si="748"/>
        <v/>
      </c>
      <c r="S7501" s="217" t="str">
        <f t="shared" si="749"/>
        <v/>
      </c>
    </row>
    <row r="7502" spans="1:19" ht="26.25" hidden="1" thickBot="1" x14ac:dyDescent="0.3">
      <c r="A7502" s="262"/>
      <c r="B7502" s="260"/>
      <c r="C7502" s="35" t="s">
        <v>2901</v>
      </c>
      <c r="D7502" s="35" t="s">
        <v>583</v>
      </c>
      <c r="E7502" s="36">
        <v>3.5</v>
      </c>
      <c r="F7502" s="162">
        <v>23.160999999999998</v>
      </c>
      <c r="G7502" s="163">
        <f t="shared" si="744"/>
        <v>81.063499999999991</v>
      </c>
      <c r="H7502" s="165">
        <f>SUM(G7502:G7504)</f>
        <v>183.20749999999998</v>
      </c>
      <c r="I7502" s="166"/>
      <c r="J7502" s="152">
        <v>0</v>
      </c>
      <c r="L7502" s="215">
        <v>3.5</v>
      </c>
      <c r="M7502" s="162">
        <v>19.825816</v>
      </c>
      <c r="N7502" s="163">
        <f t="shared" si="745"/>
        <v>69.390355999999997</v>
      </c>
      <c r="O7502" s="165">
        <f>SUM(N7502:N7504)</f>
        <v>156.82561999999999</v>
      </c>
      <c r="P7502" s="36" t="str">
        <f t="shared" si="746"/>
        <v/>
      </c>
      <c r="Q7502" s="216">
        <f t="shared" si="747"/>
        <v>0.14399999999999991</v>
      </c>
      <c r="R7502" s="216">
        <f t="shared" si="748"/>
        <v>0.14399999999999991</v>
      </c>
      <c r="S7502" s="217">
        <f t="shared" si="749"/>
        <v>0.14400000000000002</v>
      </c>
    </row>
    <row r="7503" spans="1:19" ht="26.25" hidden="1" thickBot="1" x14ac:dyDescent="0.3">
      <c r="A7503" s="262"/>
      <c r="B7503" s="260"/>
      <c r="C7503" s="35" t="s">
        <v>462</v>
      </c>
      <c r="D7503" s="35" t="s">
        <v>583</v>
      </c>
      <c r="E7503" s="36">
        <v>3.5</v>
      </c>
      <c r="F7503" s="162">
        <v>29.183999999999997</v>
      </c>
      <c r="G7503" s="163">
        <f t="shared" si="744"/>
        <v>102.14399999999999</v>
      </c>
      <c r="H7503" s="164"/>
      <c r="I7503" s="162"/>
      <c r="J7503" s="152">
        <v>0</v>
      </c>
      <c r="L7503" s="215">
        <v>3.5</v>
      </c>
      <c r="M7503" s="162">
        <v>24.981503999999997</v>
      </c>
      <c r="N7503" s="163">
        <f t="shared" si="745"/>
        <v>87.435263999999989</v>
      </c>
      <c r="O7503" s="164"/>
      <c r="P7503" s="36" t="str">
        <f t="shared" si="746"/>
        <v/>
      </c>
      <c r="Q7503" s="216">
        <f t="shared" si="747"/>
        <v>0.14400000000000002</v>
      </c>
      <c r="R7503" s="216">
        <f t="shared" si="748"/>
        <v>0.14400000000000002</v>
      </c>
      <c r="S7503" s="217" t="str">
        <f t="shared" si="749"/>
        <v/>
      </c>
    </row>
    <row r="7504" spans="1:19" ht="15.75" hidden="1" thickBot="1" x14ac:dyDescent="0.3">
      <c r="A7504" s="262"/>
      <c r="B7504" s="260"/>
      <c r="C7504" s="35" t="s">
        <v>7087</v>
      </c>
      <c r="D7504" s="35" t="s">
        <v>107</v>
      </c>
      <c r="E7504" s="36">
        <v>1</v>
      </c>
      <c r="F7504" s="163" t="s">
        <v>416</v>
      </c>
      <c r="G7504" s="163" t="str">
        <f t="shared" si="744"/>
        <v/>
      </c>
      <c r="H7504" s="164"/>
      <c r="I7504" s="162"/>
      <c r="J7504" s="152">
        <v>0</v>
      </c>
      <c r="L7504" s="215">
        <v>1</v>
      </c>
      <c r="M7504" s="163"/>
      <c r="N7504" s="163" t="str">
        <f t="shared" si="745"/>
        <v/>
      </c>
      <c r="O7504" s="164"/>
      <c r="P7504" s="36" t="str">
        <f t="shared" si="746"/>
        <v/>
      </c>
      <c r="Q7504" s="216" t="str">
        <f t="shared" si="747"/>
        <v/>
      </c>
      <c r="R7504" s="216" t="str">
        <f t="shared" si="748"/>
        <v/>
      </c>
      <c r="S7504" s="217" t="str">
        <f t="shared" si="749"/>
        <v/>
      </c>
    </row>
    <row r="7505" spans="1:19" ht="15.75" hidden="1" thickBot="1" x14ac:dyDescent="0.3">
      <c r="A7505" s="263"/>
      <c r="B7505" s="261"/>
      <c r="C7505" s="35"/>
      <c r="D7505" s="35"/>
      <c r="E7505" s="36"/>
      <c r="F7505" s="162" t="s">
        <v>416</v>
      </c>
      <c r="G7505" s="162" t="str">
        <f t="shared" si="744"/>
        <v/>
      </c>
      <c r="H7505" s="164"/>
      <c r="I7505" s="162"/>
      <c r="J7505" s="152">
        <v>0</v>
      </c>
      <c r="L7505" s="215"/>
      <c r="M7505" s="162"/>
      <c r="N7505" s="162" t="str">
        <f t="shared" si="745"/>
        <v/>
      </c>
      <c r="O7505" s="164"/>
      <c r="P7505" s="36" t="str">
        <f t="shared" si="746"/>
        <v/>
      </c>
      <c r="Q7505" s="216" t="str">
        <f t="shared" si="747"/>
        <v/>
      </c>
      <c r="R7505" s="216" t="str">
        <f t="shared" si="748"/>
        <v/>
      </c>
      <c r="S7505" s="217" t="str">
        <f t="shared" si="749"/>
        <v/>
      </c>
    </row>
    <row r="7506" spans="1:19" ht="15.75" hidden="1" thickBot="1" x14ac:dyDescent="0.3">
      <c r="A7506" s="256" t="s">
        <v>6780</v>
      </c>
      <c r="B7506" s="259" t="str">
        <f>INDEX(Orçamentária!A:B,MATCH(Composições!A7506,Orçamentária!A:A,0),2)</f>
        <v>Grelha retangular 325 x 125 mm</v>
      </c>
      <c r="C7506" s="40"/>
      <c r="D7506" s="25" t="s">
        <v>16</v>
      </c>
      <c r="E7506" s="26"/>
      <c r="F7506" s="167" t="s">
        <v>416</v>
      </c>
      <c r="G7506" s="27" t="str">
        <f t="shared" si="744"/>
        <v/>
      </c>
      <c r="H7506" s="28"/>
      <c r="I7506" s="29"/>
      <c r="J7506" s="152">
        <v>0</v>
      </c>
      <c r="L7506" s="218"/>
      <c r="M7506" s="167"/>
      <c r="N7506" s="27" t="str">
        <f t="shared" si="745"/>
        <v/>
      </c>
      <c r="O7506" s="28"/>
      <c r="P7506" s="36" t="str">
        <f t="shared" si="746"/>
        <v/>
      </c>
      <c r="Q7506" s="216" t="str">
        <f t="shared" si="747"/>
        <v/>
      </c>
      <c r="R7506" s="216" t="str">
        <f t="shared" si="748"/>
        <v/>
      </c>
      <c r="S7506" s="217" t="str">
        <f t="shared" si="749"/>
        <v/>
      </c>
    </row>
    <row r="7507" spans="1:19" ht="15.75" hidden="1" thickBot="1" x14ac:dyDescent="0.3">
      <c r="A7507" s="262"/>
      <c r="B7507" s="260"/>
      <c r="C7507" s="31"/>
      <c r="D7507" s="31"/>
      <c r="E7507" s="32"/>
      <c r="F7507" s="168" t="s">
        <v>416</v>
      </c>
      <c r="G7507" s="162" t="str">
        <f t="shared" si="744"/>
        <v/>
      </c>
      <c r="H7507" s="164"/>
      <c r="I7507" s="162"/>
      <c r="J7507" s="152">
        <v>0</v>
      </c>
      <c r="L7507" s="219"/>
      <c r="M7507" s="168"/>
      <c r="N7507" s="162" t="str">
        <f t="shared" si="745"/>
        <v/>
      </c>
      <c r="O7507" s="164"/>
      <c r="P7507" s="36" t="str">
        <f t="shared" si="746"/>
        <v/>
      </c>
      <c r="Q7507" s="216" t="str">
        <f t="shared" si="747"/>
        <v/>
      </c>
      <c r="R7507" s="216" t="str">
        <f t="shared" si="748"/>
        <v/>
      </c>
      <c r="S7507" s="217" t="str">
        <f t="shared" si="749"/>
        <v/>
      </c>
    </row>
    <row r="7508" spans="1:19" ht="26.25" hidden="1" thickBot="1" x14ac:dyDescent="0.3">
      <c r="A7508" s="262"/>
      <c r="B7508" s="260"/>
      <c r="C7508" s="35" t="s">
        <v>2901</v>
      </c>
      <c r="D7508" s="35" t="s">
        <v>583</v>
      </c>
      <c r="E7508" s="36">
        <v>3.5</v>
      </c>
      <c r="F7508" s="162">
        <v>23.160999999999998</v>
      </c>
      <c r="G7508" s="163">
        <f t="shared" si="744"/>
        <v>81.063499999999991</v>
      </c>
      <c r="H7508" s="165">
        <f>SUM(G7508:G7510)</f>
        <v>183.20749999999998</v>
      </c>
      <c r="I7508" s="166"/>
      <c r="J7508" s="152">
        <v>0</v>
      </c>
      <c r="L7508" s="215">
        <v>3.5</v>
      </c>
      <c r="M7508" s="162">
        <v>19.825816</v>
      </c>
      <c r="N7508" s="163">
        <f t="shared" si="745"/>
        <v>69.390355999999997</v>
      </c>
      <c r="O7508" s="165">
        <f>SUM(N7508:N7510)</f>
        <v>156.82561999999999</v>
      </c>
      <c r="P7508" s="36" t="str">
        <f t="shared" si="746"/>
        <v/>
      </c>
      <c r="Q7508" s="216">
        <f t="shared" si="747"/>
        <v>0.14399999999999991</v>
      </c>
      <c r="R7508" s="216">
        <f t="shared" si="748"/>
        <v>0.14399999999999991</v>
      </c>
      <c r="S7508" s="217">
        <f t="shared" si="749"/>
        <v>0.14400000000000002</v>
      </c>
    </row>
    <row r="7509" spans="1:19" ht="26.25" hidden="1" thickBot="1" x14ac:dyDescent="0.3">
      <c r="A7509" s="262"/>
      <c r="B7509" s="260"/>
      <c r="C7509" s="35" t="s">
        <v>462</v>
      </c>
      <c r="D7509" s="35" t="s">
        <v>583</v>
      </c>
      <c r="E7509" s="36">
        <v>3.5</v>
      </c>
      <c r="F7509" s="162">
        <v>29.183999999999997</v>
      </c>
      <c r="G7509" s="163">
        <f t="shared" si="744"/>
        <v>102.14399999999999</v>
      </c>
      <c r="H7509" s="164"/>
      <c r="I7509" s="162"/>
      <c r="J7509" s="152">
        <v>0</v>
      </c>
      <c r="L7509" s="215">
        <v>3.5</v>
      </c>
      <c r="M7509" s="162">
        <v>24.981503999999997</v>
      </c>
      <c r="N7509" s="163">
        <f t="shared" si="745"/>
        <v>87.435263999999989</v>
      </c>
      <c r="O7509" s="164"/>
      <c r="P7509" s="36" t="str">
        <f t="shared" si="746"/>
        <v/>
      </c>
      <c r="Q7509" s="216">
        <f t="shared" si="747"/>
        <v>0.14400000000000002</v>
      </c>
      <c r="R7509" s="216">
        <f t="shared" si="748"/>
        <v>0.14400000000000002</v>
      </c>
      <c r="S7509" s="217" t="str">
        <f t="shared" si="749"/>
        <v/>
      </c>
    </row>
    <row r="7510" spans="1:19" ht="15.75" hidden="1" thickBot="1" x14ac:dyDescent="0.3">
      <c r="A7510" s="262"/>
      <c r="B7510" s="260"/>
      <c r="C7510" s="35" t="s">
        <v>7088</v>
      </c>
      <c r="D7510" s="35" t="s">
        <v>107</v>
      </c>
      <c r="E7510" s="36">
        <v>1</v>
      </c>
      <c r="F7510" s="163">
        <v>0</v>
      </c>
      <c r="G7510" s="163">
        <f t="shared" si="744"/>
        <v>0</v>
      </c>
      <c r="H7510" s="164"/>
      <c r="I7510" s="162"/>
      <c r="J7510" s="152">
        <v>0</v>
      </c>
      <c r="L7510" s="215">
        <v>1</v>
      </c>
      <c r="M7510" s="163">
        <v>0</v>
      </c>
      <c r="N7510" s="163">
        <f t="shared" si="745"/>
        <v>0</v>
      </c>
      <c r="O7510" s="164"/>
      <c r="P7510" s="36" t="str">
        <f t="shared" si="746"/>
        <v/>
      </c>
      <c r="Q7510" s="216" t="e">
        <f t="shared" si="747"/>
        <v>#DIV/0!</v>
      </c>
      <c r="R7510" s="216" t="e">
        <f t="shared" si="748"/>
        <v>#DIV/0!</v>
      </c>
      <c r="S7510" s="217" t="str">
        <f t="shared" si="749"/>
        <v/>
      </c>
    </row>
    <row r="7511" spans="1:19" ht="15.75" hidden="1" thickBot="1" x14ac:dyDescent="0.3">
      <c r="A7511" s="263"/>
      <c r="B7511" s="261"/>
      <c r="C7511" s="35"/>
      <c r="D7511" s="35"/>
      <c r="E7511" s="36"/>
      <c r="F7511" s="162" t="s">
        <v>416</v>
      </c>
      <c r="G7511" s="162" t="str">
        <f t="shared" si="744"/>
        <v/>
      </c>
      <c r="H7511" s="164"/>
      <c r="I7511" s="162"/>
      <c r="J7511" s="152">
        <v>0</v>
      </c>
      <c r="L7511" s="215"/>
      <c r="M7511" s="162"/>
      <c r="N7511" s="162" t="str">
        <f t="shared" si="745"/>
        <v/>
      </c>
      <c r="O7511" s="164"/>
      <c r="P7511" s="36" t="str">
        <f t="shared" si="746"/>
        <v/>
      </c>
      <c r="Q7511" s="216" t="str">
        <f t="shared" si="747"/>
        <v/>
      </c>
      <c r="R7511" s="216" t="str">
        <f t="shared" si="748"/>
        <v/>
      </c>
      <c r="S7511" s="217" t="str">
        <f t="shared" si="749"/>
        <v/>
      </c>
    </row>
    <row r="7512" spans="1:19" ht="15.75" hidden="1" thickBot="1" x14ac:dyDescent="0.3">
      <c r="A7512" s="256" t="s">
        <v>6781</v>
      </c>
      <c r="B7512" s="259" t="str">
        <f>INDEX(Orçamentária!A:B,MATCH(Composições!A7512,Orçamentária!A:A,0),2)</f>
        <v>Ar-condicionado Fan-Coil 5,0 TR com Acessórios</v>
      </c>
      <c r="C7512" s="40"/>
      <c r="D7512" s="25" t="s">
        <v>16</v>
      </c>
      <c r="E7512" s="26"/>
      <c r="F7512" s="167" t="s">
        <v>416</v>
      </c>
      <c r="G7512" s="27" t="str">
        <f t="shared" si="744"/>
        <v/>
      </c>
      <c r="H7512" s="28"/>
      <c r="I7512" s="29"/>
      <c r="J7512" s="152">
        <v>0</v>
      </c>
      <c r="L7512" s="218"/>
      <c r="M7512" s="167"/>
      <c r="N7512" s="27" t="str">
        <f t="shared" si="745"/>
        <v/>
      </c>
      <c r="O7512" s="28"/>
      <c r="P7512" s="36" t="str">
        <f t="shared" si="746"/>
        <v/>
      </c>
      <c r="Q7512" s="216" t="str">
        <f t="shared" si="747"/>
        <v/>
      </c>
      <c r="R7512" s="216" t="str">
        <f t="shared" si="748"/>
        <v/>
      </c>
      <c r="S7512" s="217" t="str">
        <f t="shared" si="749"/>
        <v/>
      </c>
    </row>
    <row r="7513" spans="1:19" ht="15.75" hidden="1" thickBot="1" x14ac:dyDescent="0.3">
      <c r="A7513" s="262"/>
      <c r="B7513" s="260"/>
      <c r="C7513" s="31"/>
      <c r="D7513" s="31"/>
      <c r="E7513" s="32"/>
      <c r="F7513" s="168" t="s">
        <v>416</v>
      </c>
      <c r="G7513" s="162" t="str">
        <f t="shared" si="744"/>
        <v/>
      </c>
      <c r="H7513" s="164"/>
      <c r="I7513" s="162"/>
      <c r="J7513" s="152">
        <v>0</v>
      </c>
      <c r="L7513" s="219"/>
      <c r="M7513" s="168"/>
      <c r="N7513" s="162" t="str">
        <f t="shared" si="745"/>
        <v/>
      </c>
      <c r="O7513" s="164"/>
      <c r="P7513" s="36" t="str">
        <f t="shared" si="746"/>
        <v/>
      </c>
      <c r="Q7513" s="216" t="str">
        <f t="shared" si="747"/>
        <v/>
      </c>
      <c r="R7513" s="216" t="str">
        <f t="shared" si="748"/>
        <v/>
      </c>
      <c r="S7513" s="217" t="str">
        <f t="shared" si="749"/>
        <v/>
      </c>
    </row>
    <row r="7514" spans="1:19" ht="39" hidden="1" thickBot="1" x14ac:dyDescent="0.3">
      <c r="A7514" s="262"/>
      <c r="B7514" s="260"/>
      <c r="C7514" s="35" t="s">
        <v>8427</v>
      </c>
      <c r="D7514" s="35" t="s">
        <v>213</v>
      </c>
      <c r="E7514" s="36">
        <v>10</v>
      </c>
      <c r="F7514" s="163">
        <v>1.0545</v>
      </c>
      <c r="G7514" s="162">
        <f t="shared" si="744"/>
        <v>10.545</v>
      </c>
      <c r="H7514" s="165">
        <f>SUM(G7514:G7524)</f>
        <v>836.63503509999987</v>
      </c>
      <c r="I7514" s="166"/>
      <c r="J7514" s="152">
        <v>0</v>
      </c>
      <c r="L7514" s="215">
        <v>10</v>
      </c>
      <c r="M7514" s="163">
        <v>0.90265200000000001</v>
      </c>
      <c r="N7514" s="162">
        <f t="shared" si="745"/>
        <v>9.0265199999999997</v>
      </c>
      <c r="O7514" s="165">
        <f>SUM(N7514:N7524)</f>
        <v>716.1595900456</v>
      </c>
      <c r="P7514" s="36" t="str">
        <f t="shared" si="746"/>
        <v/>
      </c>
      <c r="Q7514" s="216">
        <f t="shared" si="747"/>
        <v>0.14400000000000002</v>
      </c>
      <c r="R7514" s="216">
        <f t="shared" si="748"/>
        <v>0.14400000000000002</v>
      </c>
      <c r="S7514" s="217">
        <f t="shared" si="749"/>
        <v>0.14399999999999991</v>
      </c>
    </row>
    <row r="7515" spans="1:19" ht="15.75" hidden="1" thickBot="1" x14ac:dyDescent="0.3">
      <c r="A7515" s="262"/>
      <c r="B7515" s="260"/>
      <c r="C7515" s="35" t="s">
        <v>1233</v>
      </c>
      <c r="D7515" s="35" t="s">
        <v>583</v>
      </c>
      <c r="E7515" s="36">
        <v>5.3597999999999999</v>
      </c>
      <c r="F7515" s="162">
        <v>21.318000000000001</v>
      </c>
      <c r="G7515" s="162">
        <f t="shared" si="744"/>
        <v>114.2602164</v>
      </c>
      <c r="H7515" s="164"/>
      <c r="I7515" s="162"/>
      <c r="J7515" s="152">
        <v>0</v>
      </c>
      <c r="L7515" s="215">
        <v>5.3597999999999999</v>
      </c>
      <c r="M7515" s="162">
        <v>18.248208000000002</v>
      </c>
      <c r="N7515" s="162">
        <f t="shared" si="745"/>
        <v>97.806745238400012</v>
      </c>
      <c r="O7515" s="164"/>
      <c r="P7515" s="36" t="str">
        <f t="shared" si="746"/>
        <v/>
      </c>
      <c r="Q7515" s="216">
        <f t="shared" si="747"/>
        <v>0.14400000000000002</v>
      </c>
      <c r="R7515" s="216">
        <f t="shared" si="748"/>
        <v>0.14399999999999991</v>
      </c>
      <c r="S7515" s="217" t="str">
        <f t="shared" si="749"/>
        <v/>
      </c>
    </row>
    <row r="7516" spans="1:19" ht="39" hidden="1" thickBot="1" x14ac:dyDescent="0.3">
      <c r="A7516" s="262"/>
      <c r="B7516" s="260"/>
      <c r="C7516" s="35" t="s">
        <v>2868</v>
      </c>
      <c r="D7516" s="35" t="s">
        <v>813</v>
      </c>
      <c r="E7516" s="36">
        <v>0.4118</v>
      </c>
      <c r="F7516" s="162">
        <v>298.89849999999996</v>
      </c>
      <c r="G7516" s="162">
        <f t="shared" si="744"/>
        <v>123.08640229999997</v>
      </c>
      <c r="H7516" s="164"/>
      <c r="I7516" s="162"/>
      <c r="J7516" s="152">
        <v>0</v>
      </c>
      <c r="L7516" s="215">
        <v>0.4118</v>
      </c>
      <c r="M7516" s="162">
        <v>255.85711599999996</v>
      </c>
      <c r="N7516" s="162">
        <f t="shared" si="745"/>
        <v>105.36196036879998</v>
      </c>
      <c r="O7516" s="164"/>
      <c r="P7516" s="36" t="str">
        <f t="shared" si="746"/>
        <v/>
      </c>
      <c r="Q7516" s="216">
        <f t="shared" si="747"/>
        <v>0.14400000000000002</v>
      </c>
      <c r="R7516" s="216">
        <f t="shared" si="748"/>
        <v>0.14399999999999991</v>
      </c>
      <c r="S7516" s="217" t="str">
        <f t="shared" si="749"/>
        <v/>
      </c>
    </row>
    <row r="7517" spans="1:19" ht="39" hidden="1" thickBot="1" x14ac:dyDescent="0.3">
      <c r="A7517" s="262"/>
      <c r="B7517" s="260"/>
      <c r="C7517" s="35" t="s">
        <v>2875</v>
      </c>
      <c r="D7517" s="35" t="s">
        <v>815</v>
      </c>
      <c r="E7517" s="36">
        <v>3.0331999999999999</v>
      </c>
      <c r="F7517" s="162">
        <v>142.83249999999998</v>
      </c>
      <c r="G7517" s="162">
        <f t="shared" si="744"/>
        <v>433.23953899999992</v>
      </c>
      <c r="H7517" s="164"/>
      <c r="I7517" s="162"/>
      <c r="J7517" s="152">
        <v>0</v>
      </c>
      <c r="L7517" s="215">
        <v>3.0331999999999999</v>
      </c>
      <c r="M7517" s="162">
        <v>122.26461999999998</v>
      </c>
      <c r="N7517" s="162">
        <f t="shared" si="745"/>
        <v>370.85304538399993</v>
      </c>
      <c r="O7517" s="164"/>
      <c r="P7517" s="36" t="str">
        <f t="shared" si="746"/>
        <v/>
      </c>
      <c r="Q7517" s="216">
        <f t="shared" si="747"/>
        <v>0.14400000000000002</v>
      </c>
      <c r="R7517" s="216">
        <f t="shared" si="748"/>
        <v>0.14400000000000002</v>
      </c>
      <c r="S7517" s="217" t="str">
        <f t="shared" si="749"/>
        <v/>
      </c>
    </row>
    <row r="7518" spans="1:19" ht="26.25" hidden="1" thickBot="1" x14ac:dyDescent="0.3">
      <c r="A7518" s="262"/>
      <c r="B7518" s="260"/>
      <c r="C7518" s="35" t="s">
        <v>2920</v>
      </c>
      <c r="D7518" s="35" t="s">
        <v>583</v>
      </c>
      <c r="E7518" s="36">
        <v>5.3597999999999999</v>
      </c>
      <c r="F7518" s="162">
        <v>29.012999999999998</v>
      </c>
      <c r="G7518" s="162">
        <f t="shared" si="744"/>
        <v>155.50387739999999</v>
      </c>
      <c r="H7518" s="164"/>
      <c r="I7518" s="162"/>
      <c r="J7518" s="152">
        <v>0</v>
      </c>
      <c r="L7518" s="215">
        <v>5.3597999999999999</v>
      </c>
      <c r="M7518" s="162">
        <v>24.835127999999997</v>
      </c>
      <c r="N7518" s="162">
        <f t="shared" si="745"/>
        <v>133.11131905439998</v>
      </c>
      <c r="O7518" s="164"/>
      <c r="P7518" s="36" t="str">
        <f t="shared" si="746"/>
        <v/>
      </c>
      <c r="Q7518" s="216">
        <f t="shared" si="747"/>
        <v>0.14400000000000002</v>
      </c>
      <c r="R7518" s="216">
        <f t="shared" si="748"/>
        <v>0.14400000000000002</v>
      </c>
      <c r="S7518" s="217" t="str">
        <f t="shared" si="749"/>
        <v/>
      </c>
    </row>
    <row r="7519" spans="1:19" ht="15.75" hidden="1" thickBot="1" x14ac:dyDescent="0.3">
      <c r="A7519" s="262"/>
      <c r="B7519" s="260"/>
      <c r="C7519" s="35" t="s">
        <v>7089</v>
      </c>
      <c r="D7519" s="169" t="s">
        <v>16</v>
      </c>
      <c r="E7519" s="36">
        <v>1</v>
      </c>
      <c r="F7519" s="162" t="s">
        <v>416</v>
      </c>
      <c r="G7519" s="162" t="str">
        <f t="shared" si="744"/>
        <v/>
      </c>
      <c r="H7519" s="164"/>
      <c r="I7519" s="162"/>
      <c r="J7519" s="152">
        <v>0</v>
      </c>
      <c r="L7519" s="215">
        <v>1</v>
      </c>
      <c r="M7519" s="162"/>
      <c r="N7519" s="162" t="str">
        <f t="shared" si="745"/>
        <v/>
      </c>
      <c r="O7519" s="164"/>
      <c r="P7519" s="36" t="str">
        <f t="shared" si="746"/>
        <v/>
      </c>
      <c r="Q7519" s="216" t="str">
        <f t="shared" si="747"/>
        <v/>
      </c>
      <c r="R7519" s="216" t="str">
        <f t="shared" si="748"/>
        <v/>
      </c>
      <c r="S7519" s="217" t="str">
        <f t="shared" si="749"/>
        <v/>
      </c>
    </row>
    <row r="7520" spans="1:19" ht="39" hidden="1" thickBot="1" x14ac:dyDescent="0.3">
      <c r="A7520" s="262"/>
      <c r="B7520" s="260"/>
      <c r="C7520" s="35" t="s">
        <v>7090</v>
      </c>
      <c r="D7520" s="169" t="s">
        <v>16</v>
      </c>
      <c r="E7520" s="36">
        <v>1</v>
      </c>
      <c r="F7520" s="162" t="s">
        <v>416</v>
      </c>
      <c r="G7520" s="162" t="str">
        <f t="shared" si="744"/>
        <v/>
      </c>
      <c r="H7520" s="164"/>
      <c r="I7520" s="162"/>
      <c r="J7520" s="152">
        <v>0</v>
      </c>
      <c r="L7520" s="215">
        <v>1</v>
      </c>
      <c r="M7520" s="162"/>
      <c r="N7520" s="162" t="str">
        <f t="shared" si="745"/>
        <v/>
      </c>
      <c r="O7520" s="164"/>
      <c r="P7520" s="36" t="str">
        <f t="shared" si="746"/>
        <v/>
      </c>
      <c r="Q7520" s="216" t="str">
        <f t="shared" si="747"/>
        <v/>
      </c>
      <c r="R7520" s="216" t="str">
        <f t="shared" si="748"/>
        <v/>
      </c>
      <c r="S7520" s="217" t="str">
        <f t="shared" si="749"/>
        <v/>
      </c>
    </row>
    <row r="7521" spans="1:19" ht="26.25" hidden="1" thickBot="1" x14ac:dyDescent="0.3">
      <c r="A7521" s="262"/>
      <c r="B7521" s="260"/>
      <c r="C7521" s="35" t="s">
        <v>7091</v>
      </c>
      <c r="D7521" s="169" t="s">
        <v>16</v>
      </c>
      <c r="E7521" s="36">
        <v>1</v>
      </c>
      <c r="F7521" s="162" t="s">
        <v>416</v>
      </c>
      <c r="G7521" s="162" t="str">
        <f t="shared" si="744"/>
        <v/>
      </c>
      <c r="H7521" s="164"/>
      <c r="I7521" s="162"/>
      <c r="J7521" s="152">
        <v>0</v>
      </c>
      <c r="L7521" s="215">
        <v>1</v>
      </c>
      <c r="M7521" s="162"/>
      <c r="N7521" s="162" t="str">
        <f t="shared" si="745"/>
        <v/>
      </c>
      <c r="O7521" s="164"/>
      <c r="P7521" s="36" t="str">
        <f t="shared" si="746"/>
        <v/>
      </c>
      <c r="Q7521" s="216" t="str">
        <f t="shared" si="747"/>
        <v/>
      </c>
      <c r="R7521" s="216" t="str">
        <f t="shared" si="748"/>
        <v/>
      </c>
      <c r="S7521" s="217" t="str">
        <f t="shared" si="749"/>
        <v/>
      </c>
    </row>
    <row r="7522" spans="1:19" ht="39" hidden="1" thickBot="1" x14ac:dyDescent="0.3">
      <c r="A7522" s="262"/>
      <c r="B7522" s="260"/>
      <c r="C7522" s="35" t="s">
        <v>7092</v>
      </c>
      <c r="D7522" s="169" t="s">
        <v>16</v>
      </c>
      <c r="E7522" s="36">
        <v>2</v>
      </c>
      <c r="F7522" s="162" t="s">
        <v>416</v>
      </c>
      <c r="G7522" s="162" t="str">
        <f t="shared" si="744"/>
        <v/>
      </c>
      <c r="H7522" s="164"/>
      <c r="I7522" s="162"/>
      <c r="J7522" s="152">
        <v>0</v>
      </c>
      <c r="L7522" s="215">
        <v>2</v>
      </c>
      <c r="M7522" s="162"/>
      <c r="N7522" s="162" t="str">
        <f t="shared" si="745"/>
        <v/>
      </c>
      <c r="O7522" s="164"/>
      <c r="P7522" s="36" t="str">
        <f t="shared" si="746"/>
        <v/>
      </c>
      <c r="Q7522" s="216" t="str">
        <f t="shared" si="747"/>
        <v/>
      </c>
      <c r="R7522" s="216" t="str">
        <f t="shared" si="748"/>
        <v/>
      </c>
      <c r="S7522" s="217" t="str">
        <f t="shared" si="749"/>
        <v/>
      </c>
    </row>
    <row r="7523" spans="1:19" ht="26.25" hidden="1" thickBot="1" x14ac:dyDescent="0.3">
      <c r="A7523" s="262"/>
      <c r="B7523" s="260"/>
      <c r="C7523" s="35" t="s">
        <v>7093</v>
      </c>
      <c r="D7523" s="169" t="s">
        <v>16</v>
      </c>
      <c r="E7523" s="36">
        <v>1</v>
      </c>
      <c r="F7523" s="162" t="s">
        <v>416</v>
      </c>
      <c r="G7523" s="162" t="str">
        <f t="shared" si="744"/>
        <v/>
      </c>
      <c r="H7523" s="164"/>
      <c r="I7523" s="162"/>
      <c r="J7523" s="152">
        <v>0</v>
      </c>
      <c r="L7523" s="215">
        <v>1</v>
      </c>
      <c r="M7523" s="162"/>
      <c r="N7523" s="162" t="str">
        <f t="shared" si="745"/>
        <v/>
      </c>
      <c r="O7523" s="164"/>
      <c r="P7523" s="36" t="str">
        <f t="shared" si="746"/>
        <v/>
      </c>
      <c r="Q7523" s="216" t="str">
        <f t="shared" si="747"/>
        <v/>
      </c>
      <c r="R7523" s="216" t="str">
        <f t="shared" si="748"/>
        <v/>
      </c>
      <c r="S7523" s="217" t="str">
        <f t="shared" si="749"/>
        <v/>
      </c>
    </row>
    <row r="7524" spans="1:19" ht="39" hidden="1" thickBot="1" x14ac:dyDescent="0.3">
      <c r="A7524" s="262"/>
      <c r="B7524" s="260"/>
      <c r="C7524" s="35" t="s">
        <v>7094</v>
      </c>
      <c r="D7524" s="169" t="s">
        <v>16</v>
      </c>
      <c r="E7524" s="36">
        <v>1</v>
      </c>
      <c r="F7524" s="162" t="s">
        <v>416</v>
      </c>
      <c r="G7524" s="162" t="str">
        <f t="shared" si="744"/>
        <v/>
      </c>
      <c r="H7524" s="164"/>
      <c r="I7524" s="162"/>
      <c r="J7524" s="152">
        <v>0</v>
      </c>
      <c r="L7524" s="215">
        <v>1</v>
      </c>
      <c r="M7524" s="162"/>
      <c r="N7524" s="162" t="str">
        <f t="shared" si="745"/>
        <v/>
      </c>
      <c r="O7524" s="164"/>
      <c r="P7524" s="36" t="str">
        <f t="shared" si="746"/>
        <v/>
      </c>
      <c r="Q7524" s="216" t="str">
        <f t="shared" si="747"/>
        <v/>
      </c>
      <c r="R7524" s="216" t="str">
        <f t="shared" si="748"/>
        <v/>
      </c>
      <c r="S7524" s="217" t="str">
        <f t="shared" si="749"/>
        <v/>
      </c>
    </row>
    <row r="7525" spans="1:19" ht="15.75" hidden="1" thickBot="1" x14ac:dyDescent="0.3">
      <c r="A7525" s="262"/>
      <c r="B7525" s="261"/>
      <c r="C7525" s="35"/>
      <c r="D7525" s="35"/>
      <c r="E7525" s="36"/>
      <c r="F7525" s="162" t="s">
        <v>416</v>
      </c>
      <c r="G7525" s="162" t="str">
        <f t="shared" si="744"/>
        <v/>
      </c>
      <c r="H7525" s="164"/>
      <c r="I7525" s="162"/>
      <c r="J7525" s="152">
        <v>0</v>
      </c>
      <c r="L7525" s="215"/>
      <c r="M7525" s="162"/>
      <c r="N7525" s="162" t="str">
        <f t="shared" si="745"/>
        <v/>
      </c>
      <c r="O7525" s="164"/>
      <c r="P7525" s="36" t="str">
        <f t="shared" si="746"/>
        <v/>
      </c>
      <c r="Q7525" s="216" t="str">
        <f t="shared" si="747"/>
        <v/>
      </c>
      <c r="R7525" s="216" t="str">
        <f t="shared" si="748"/>
        <v/>
      </c>
      <c r="S7525" s="217" t="str">
        <f t="shared" si="749"/>
        <v/>
      </c>
    </row>
    <row r="7526" spans="1:19" ht="15.75" hidden="1" thickBot="1" x14ac:dyDescent="0.3">
      <c r="A7526" s="256" t="s">
        <v>6782</v>
      </c>
      <c r="B7526" s="259" t="str">
        <f>INDEX(Orçamentária!A:B,MATCH(Composições!A7526,Orçamentária!A:A,0),2)</f>
        <v>Ar-condicionado Fan-Coil 3,5 TR com Acessórios</v>
      </c>
      <c r="C7526" s="40"/>
      <c r="D7526" s="25" t="s">
        <v>16</v>
      </c>
      <c r="E7526" s="26"/>
      <c r="F7526" s="167" t="s">
        <v>416</v>
      </c>
      <c r="G7526" s="27" t="str">
        <f t="shared" si="744"/>
        <v/>
      </c>
      <c r="H7526" s="28"/>
      <c r="I7526" s="29"/>
      <c r="J7526" s="152">
        <v>0</v>
      </c>
      <c r="L7526" s="218"/>
      <c r="M7526" s="167"/>
      <c r="N7526" s="27" t="str">
        <f t="shared" si="745"/>
        <v/>
      </c>
      <c r="O7526" s="28"/>
      <c r="P7526" s="36" t="str">
        <f t="shared" si="746"/>
        <v/>
      </c>
      <c r="Q7526" s="216" t="str">
        <f t="shared" si="747"/>
        <v/>
      </c>
      <c r="R7526" s="216" t="str">
        <f t="shared" si="748"/>
        <v/>
      </c>
      <c r="S7526" s="217" t="str">
        <f t="shared" si="749"/>
        <v/>
      </c>
    </row>
    <row r="7527" spans="1:19" ht="15.75" hidden="1" thickBot="1" x14ac:dyDescent="0.3">
      <c r="A7527" s="262"/>
      <c r="B7527" s="260"/>
      <c r="C7527" s="31"/>
      <c r="D7527" s="31"/>
      <c r="E7527" s="32"/>
      <c r="F7527" s="168" t="s">
        <v>416</v>
      </c>
      <c r="G7527" s="162" t="str">
        <f t="shared" si="744"/>
        <v/>
      </c>
      <c r="H7527" s="164"/>
      <c r="I7527" s="162"/>
      <c r="J7527" s="152">
        <v>0</v>
      </c>
      <c r="L7527" s="219"/>
      <c r="M7527" s="168"/>
      <c r="N7527" s="162" t="str">
        <f t="shared" si="745"/>
        <v/>
      </c>
      <c r="O7527" s="164"/>
      <c r="P7527" s="36" t="str">
        <f t="shared" si="746"/>
        <v/>
      </c>
      <c r="Q7527" s="216" t="str">
        <f t="shared" si="747"/>
        <v/>
      </c>
      <c r="R7527" s="216" t="str">
        <f t="shared" si="748"/>
        <v/>
      </c>
      <c r="S7527" s="217" t="str">
        <f t="shared" si="749"/>
        <v/>
      </c>
    </row>
    <row r="7528" spans="1:19" ht="39" hidden="1" thickBot="1" x14ac:dyDescent="0.3">
      <c r="A7528" s="262"/>
      <c r="B7528" s="260"/>
      <c r="C7528" s="35" t="s">
        <v>8427</v>
      </c>
      <c r="D7528" s="35" t="s">
        <v>213</v>
      </c>
      <c r="E7528" s="36">
        <v>10</v>
      </c>
      <c r="F7528" s="163">
        <v>1.0545</v>
      </c>
      <c r="G7528" s="162">
        <f t="shared" si="744"/>
        <v>10.545</v>
      </c>
      <c r="H7528" s="165">
        <f>SUM(G7528:G7538)</f>
        <v>836.63503509999987</v>
      </c>
      <c r="I7528" s="166"/>
      <c r="J7528" s="152">
        <v>0</v>
      </c>
      <c r="L7528" s="215">
        <v>10</v>
      </c>
      <c r="M7528" s="163">
        <v>0.90265200000000001</v>
      </c>
      <c r="N7528" s="162">
        <f t="shared" si="745"/>
        <v>9.0265199999999997</v>
      </c>
      <c r="O7528" s="165">
        <f>SUM(N7528:N7538)</f>
        <v>716.1595900456</v>
      </c>
      <c r="P7528" s="36" t="str">
        <f t="shared" si="746"/>
        <v/>
      </c>
      <c r="Q7528" s="216">
        <f t="shared" si="747"/>
        <v>0.14400000000000002</v>
      </c>
      <c r="R7528" s="216">
        <f t="shared" si="748"/>
        <v>0.14400000000000002</v>
      </c>
      <c r="S7528" s="217">
        <f t="shared" si="749"/>
        <v>0.14399999999999991</v>
      </c>
    </row>
    <row r="7529" spans="1:19" ht="15.75" hidden="1" thickBot="1" x14ac:dyDescent="0.3">
      <c r="A7529" s="262"/>
      <c r="B7529" s="260"/>
      <c r="C7529" s="35" t="s">
        <v>1233</v>
      </c>
      <c r="D7529" s="35" t="s">
        <v>583</v>
      </c>
      <c r="E7529" s="36">
        <v>5.3597999999999999</v>
      </c>
      <c r="F7529" s="162">
        <v>21.318000000000001</v>
      </c>
      <c r="G7529" s="162">
        <f t="shared" si="744"/>
        <v>114.2602164</v>
      </c>
      <c r="H7529" s="164"/>
      <c r="I7529" s="162"/>
      <c r="J7529" s="152">
        <v>0</v>
      </c>
      <c r="L7529" s="215">
        <v>5.3597999999999999</v>
      </c>
      <c r="M7529" s="162">
        <v>18.248208000000002</v>
      </c>
      <c r="N7529" s="162">
        <f t="shared" si="745"/>
        <v>97.806745238400012</v>
      </c>
      <c r="O7529" s="164"/>
      <c r="P7529" s="36" t="str">
        <f t="shared" si="746"/>
        <v/>
      </c>
      <c r="Q7529" s="216">
        <f t="shared" si="747"/>
        <v>0.14400000000000002</v>
      </c>
      <c r="R7529" s="216">
        <f t="shared" si="748"/>
        <v>0.14399999999999991</v>
      </c>
      <c r="S7529" s="217" t="str">
        <f t="shared" si="749"/>
        <v/>
      </c>
    </row>
    <row r="7530" spans="1:19" ht="39" hidden="1" thickBot="1" x14ac:dyDescent="0.3">
      <c r="A7530" s="262"/>
      <c r="B7530" s="260"/>
      <c r="C7530" s="35" t="s">
        <v>2868</v>
      </c>
      <c r="D7530" s="35" t="s">
        <v>813</v>
      </c>
      <c r="E7530" s="36">
        <v>0.4118</v>
      </c>
      <c r="F7530" s="162">
        <v>298.89849999999996</v>
      </c>
      <c r="G7530" s="162">
        <f t="shared" si="744"/>
        <v>123.08640229999997</v>
      </c>
      <c r="H7530" s="164"/>
      <c r="I7530" s="162"/>
      <c r="J7530" s="152">
        <v>0</v>
      </c>
      <c r="L7530" s="215">
        <v>0.4118</v>
      </c>
      <c r="M7530" s="162">
        <v>255.85711599999996</v>
      </c>
      <c r="N7530" s="162">
        <f t="shared" si="745"/>
        <v>105.36196036879998</v>
      </c>
      <c r="O7530" s="164"/>
      <c r="P7530" s="36" t="str">
        <f t="shared" si="746"/>
        <v/>
      </c>
      <c r="Q7530" s="216">
        <f t="shared" si="747"/>
        <v>0.14400000000000002</v>
      </c>
      <c r="R7530" s="216">
        <f t="shared" si="748"/>
        <v>0.14399999999999991</v>
      </c>
      <c r="S7530" s="217" t="str">
        <f t="shared" si="749"/>
        <v/>
      </c>
    </row>
    <row r="7531" spans="1:19" ht="39" hidden="1" thickBot="1" x14ac:dyDescent="0.3">
      <c r="A7531" s="262"/>
      <c r="B7531" s="260"/>
      <c r="C7531" s="35" t="s">
        <v>2875</v>
      </c>
      <c r="D7531" s="35" t="s">
        <v>815</v>
      </c>
      <c r="E7531" s="36">
        <v>3.0331999999999999</v>
      </c>
      <c r="F7531" s="162">
        <v>142.83249999999998</v>
      </c>
      <c r="G7531" s="162">
        <f t="shared" si="744"/>
        <v>433.23953899999992</v>
      </c>
      <c r="H7531" s="164"/>
      <c r="I7531" s="162"/>
      <c r="J7531" s="152">
        <v>0</v>
      </c>
      <c r="L7531" s="215">
        <v>3.0331999999999999</v>
      </c>
      <c r="M7531" s="162">
        <v>122.26461999999998</v>
      </c>
      <c r="N7531" s="162">
        <f t="shared" si="745"/>
        <v>370.85304538399993</v>
      </c>
      <c r="O7531" s="164"/>
      <c r="P7531" s="36" t="str">
        <f t="shared" si="746"/>
        <v/>
      </c>
      <c r="Q7531" s="216">
        <f t="shared" si="747"/>
        <v>0.14400000000000002</v>
      </c>
      <c r="R7531" s="216">
        <f t="shared" si="748"/>
        <v>0.14400000000000002</v>
      </c>
      <c r="S7531" s="217" t="str">
        <f t="shared" si="749"/>
        <v/>
      </c>
    </row>
    <row r="7532" spans="1:19" ht="26.25" hidden="1" thickBot="1" x14ac:dyDescent="0.3">
      <c r="A7532" s="262"/>
      <c r="B7532" s="260"/>
      <c r="C7532" s="35" t="s">
        <v>2920</v>
      </c>
      <c r="D7532" s="35" t="s">
        <v>583</v>
      </c>
      <c r="E7532" s="36">
        <v>5.3597999999999999</v>
      </c>
      <c r="F7532" s="162">
        <v>29.012999999999998</v>
      </c>
      <c r="G7532" s="162">
        <f t="shared" si="744"/>
        <v>155.50387739999999</v>
      </c>
      <c r="H7532" s="164"/>
      <c r="I7532" s="162"/>
      <c r="J7532" s="152">
        <v>0</v>
      </c>
      <c r="L7532" s="215">
        <v>5.3597999999999999</v>
      </c>
      <c r="M7532" s="162">
        <v>24.835127999999997</v>
      </c>
      <c r="N7532" s="162">
        <f t="shared" si="745"/>
        <v>133.11131905439998</v>
      </c>
      <c r="O7532" s="164"/>
      <c r="P7532" s="36" t="str">
        <f t="shared" si="746"/>
        <v/>
      </c>
      <c r="Q7532" s="216">
        <f t="shared" si="747"/>
        <v>0.14400000000000002</v>
      </c>
      <c r="R7532" s="216">
        <f t="shared" si="748"/>
        <v>0.14400000000000002</v>
      </c>
      <c r="S7532" s="217" t="str">
        <f t="shared" si="749"/>
        <v/>
      </c>
    </row>
    <row r="7533" spans="1:19" ht="15.75" hidden="1" thickBot="1" x14ac:dyDescent="0.3">
      <c r="A7533" s="262"/>
      <c r="B7533" s="260"/>
      <c r="C7533" s="35" t="s">
        <v>7095</v>
      </c>
      <c r="D7533" s="169" t="s">
        <v>16</v>
      </c>
      <c r="E7533" s="36">
        <v>1</v>
      </c>
      <c r="F7533" s="162" t="s">
        <v>416</v>
      </c>
      <c r="G7533" s="162" t="str">
        <f t="shared" si="744"/>
        <v/>
      </c>
      <c r="H7533" s="164"/>
      <c r="I7533" s="162"/>
      <c r="J7533" s="152">
        <v>0</v>
      </c>
      <c r="L7533" s="215">
        <v>1</v>
      </c>
      <c r="M7533" s="162"/>
      <c r="N7533" s="162" t="str">
        <f t="shared" si="745"/>
        <v/>
      </c>
      <c r="O7533" s="164"/>
      <c r="P7533" s="36" t="str">
        <f t="shared" si="746"/>
        <v/>
      </c>
      <c r="Q7533" s="216" t="str">
        <f t="shared" si="747"/>
        <v/>
      </c>
      <c r="R7533" s="216" t="str">
        <f t="shared" si="748"/>
        <v/>
      </c>
      <c r="S7533" s="217" t="str">
        <f t="shared" si="749"/>
        <v/>
      </c>
    </row>
    <row r="7534" spans="1:19" ht="39" hidden="1" thickBot="1" x14ac:dyDescent="0.3">
      <c r="A7534" s="262"/>
      <c r="B7534" s="260"/>
      <c r="C7534" s="35" t="s">
        <v>7090</v>
      </c>
      <c r="D7534" s="169" t="s">
        <v>16</v>
      </c>
      <c r="E7534" s="36">
        <v>1</v>
      </c>
      <c r="F7534" s="162" t="s">
        <v>416</v>
      </c>
      <c r="G7534" s="162" t="str">
        <f t="shared" si="744"/>
        <v/>
      </c>
      <c r="H7534" s="164"/>
      <c r="I7534" s="162"/>
      <c r="J7534" s="152">
        <v>0</v>
      </c>
      <c r="L7534" s="215">
        <v>1</v>
      </c>
      <c r="M7534" s="162"/>
      <c r="N7534" s="162" t="str">
        <f t="shared" si="745"/>
        <v/>
      </c>
      <c r="O7534" s="164"/>
      <c r="P7534" s="36" t="str">
        <f t="shared" si="746"/>
        <v/>
      </c>
      <c r="Q7534" s="216" t="str">
        <f t="shared" si="747"/>
        <v/>
      </c>
      <c r="R7534" s="216" t="str">
        <f t="shared" si="748"/>
        <v/>
      </c>
      <c r="S7534" s="217" t="str">
        <f t="shared" si="749"/>
        <v/>
      </c>
    </row>
    <row r="7535" spans="1:19" ht="26.25" hidden="1" thickBot="1" x14ac:dyDescent="0.3">
      <c r="A7535" s="262"/>
      <c r="B7535" s="260"/>
      <c r="C7535" s="35" t="s">
        <v>7091</v>
      </c>
      <c r="D7535" s="169" t="s">
        <v>16</v>
      </c>
      <c r="E7535" s="36">
        <v>1</v>
      </c>
      <c r="F7535" s="162" t="s">
        <v>416</v>
      </c>
      <c r="G7535" s="162" t="str">
        <f t="shared" si="744"/>
        <v/>
      </c>
      <c r="H7535" s="164"/>
      <c r="I7535" s="162"/>
      <c r="J7535" s="152">
        <v>0</v>
      </c>
      <c r="L7535" s="215">
        <v>1</v>
      </c>
      <c r="M7535" s="162"/>
      <c r="N7535" s="162" t="str">
        <f t="shared" si="745"/>
        <v/>
      </c>
      <c r="O7535" s="164"/>
      <c r="P7535" s="36" t="str">
        <f t="shared" si="746"/>
        <v/>
      </c>
      <c r="Q7535" s="216" t="str">
        <f t="shared" si="747"/>
        <v/>
      </c>
      <c r="R7535" s="216" t="str">
        <f t="shared" si="748"/>
        <v/>
      </c>
      <c r="S7535" s="217" t="str">
        <f t="shared" si="749"/>
        <v/>
      </c>
    </row>
    <row r="7536" spans="1:19" ht="39" hidden="1" thickBot="1" x14ac:dyDescent="0.3">
      <c r="A7536" s="262"/>
      <c r="B7536" s="260"/>
      <c r="C7536" s="35" t="s">
        <v>7092</v>
      </c>
      <c r="D7536" s="169" t="s">
        <v>16</v>
      </c>
      <c r="E7536" s="36">
        <v>2</v>
      </c>
      <c r="F7536" s="162" t="s">
        <v>416</v>
      </c>
      <c r="G7536" s="162" t="str">
        <f t="shared" si="744"/>
        <v/>
      </c>
      <c r="H7536" s="164"/>
      <c r="I7536" s="162"/>
      <c r="J7536" s="152">
        <v>0</v>
      </c>
      <c r="L7536" s="215">
        <v>2</v>
      </c>
      <c r="M7536" s="162"/>
      <c r="N7536" s="162" t="str">
        <f t="shared" si="745"/>
        <v/>
      </c>
      <c r="O7536" s="164"/>
      <c r="P7536" s="36" t="str">
        <f t="shared" si="746"/>
        <v/>
      </c>
      <c r="Q7536" s="216" t="str">
        <f t="shared" si="747"/>
        <v/>
      </c>
      <c r="R7536" s="216" t="str">
        <f t="shared" si="748"/>
        <v/>
      </c>
      <c r="S7536" s="217" t="str">
        <f t="shared" si="749"/>
        <v/>
      </c>
    </row>
    <row r="7537" spans="1:19" ht="26.25" hidden="1" thickBot="1" x14ac:dyDescent="0.3">
      <c r="A7537" s="262"/>
      <c r="B7537" s="260"/>
      <c r="C7537" s="35" t="s">
        <v>7093</v>
      </c>
      <c r="D7537" s="169" t="s">
        <v>16</v>
      </c>
      <c r="E7537" s="36">
        <v>1</v>
      </c>
      <c r="F7537" s="162" t="s">
        <v>416</v>
      </c>
      <c r="G7537" s="162" t="str">
        <f t="shared" si="744"/>
        <v/>
      </c>
      <c r="H7537" s="164"/>
      <c r="I7537" s="162"/>
      <c r="J7537" s="152">
        <v>0</v>
      </c>
      <c r="L7537" s="215">
        <v>1</v>
      </c>
      <c r="M7537" s="162"/>
      <c r="N7537" s="162" t="str">
        <f t="shared" si="745"/>
        <v/>
      </c>
      <c r="O7537" s="164"/>
      <c r="P7537" s="36" t="str">
        <f t="shared" si="746"/>
        <v/>
      </c>
      <c r="Q7537" s="216" t="str">
        <f t="shared" si="747"/>
        <v/>
      </c>
      <c r="R7537" s="216" t="str">
        <f t="shared" si="748"/>
        <v/>
      </c>
      <c r="S7537" s="217" t="str">
        <f t="shared" si="749"/>
        <v/>
      </c>
    </row>
    <row r="7538" spans="1:19" ht="39" hidden="1" thickBot="1" x14ac:dyDescent="0.3">
      <c r="A7538" s="262"/>
      <c r="B7538" s="260"/>
      <c r="C7538" s="35" t="s">
        <v>7094</v>
      </c>
      <c r="D7538" s="169" t="s">
        <v>16</v>
      </c>
      <c r="E7538" s="36">
        <v>1</v>
      </c>
      <c r="F7538" s="162" t="s">
        <v>416</v>
      </c>
      <c r="G7538" s="162" t="str">
        <f t="shared" si="744"/>
        <v/>
      </c>
      <c r="H7538" s="164"/>
      <c r="I7538" s="162"/>
      <c r="J7538" s="152">
        <v>0</v>
      </c>
      <c r="L7538" s="215">
        <v>1</v>
      </c>
      <c r="M7538" s="162"/>
      <c r="N7538" s="162" t="str">
        <f t="shared" si="745"/>
        <v/>
      </c>
      <c r="O7538" s="164"/>
      <c r="P7538" s="36" t="str">
        <f t="shared" si="746"/>
        <v/>
      </c>
      <c r="Q7538" s="216" t="str">
        <f t="shared" si="747"/>
        <v/>
      </c>
      <c r="R7538" s="216" t="str">
        <f t="shared" si="748"/>
        <v/>
      </c>
      <c r="S7538" s="217" t="str">
        <f t="shared" si="749"/>
        <v/>
      </c>
    </row>
    <row r="7539" spans="1:19" ht="15.75" hidden="1" thickBot="1" x14ac:dyDescent="0.3">
      <c r="A7539" s="262"/>
      <c r="B7539" s="261"/>
      <c r="C7539" s="35"/>
      <c r="D7539" s="35"/>
      <c r="E7539" s="36"/>
      <c r="F7539" s="162" t="s">
        <v>416</v>
      </c>
      <c r="G7539" s="162" t="str">
        <f t="shared" si="744"/>
        <v/>
      </c>
      <c r="H7539" s="164"/>
      <c r="I7539" s="162"/>
      <c r="J7539" s="152">
        <v>0</v>
      </c>
      <c r="L7539" s="215"/>
      <c r="M7539" s="162"/>
      <c r="N7539" s="162" t="str">
        <f t="shared" si="745"/>
        <v/>
      </c>
      <c r="O7539" s="164"/>
      <c r="P7539" s="36" t="str">
        <f t="shared" si="746"/>
        <v/>
      </c>
      <c r="Q7539" s="216" t="str">
        <f t="shared" si="747"/>
        <v/>
      </c>
      <c r="R7539" s="216" t="str">
        <f t="shared" si="748"/>
        <v/>
      </c>
      <c r="S7539" s="217" t="str">
        <f t="shared" si="749"/>
        <v/>
      </c>
    </row>
    <row r="7540" spans="1:19" ht="15.75" hidden="1" thickBot="1" x14ac:dyDescent="0.3">
      <c r="A7540" s="256" t="s">
        <v>6783</v>
      </c>
      <c r="B7540" s="259" t="str">
        <f>INDEX(Orçamentária!A:B,MATCH(Composições!A7540,Orçamentária!A:A,0),2)</f>
        <v>Quadro para acionamento, proteção e controle de sistema de climatização por fan coil – capacidade até 5 TR</v>
      </c>
      <c r="C7540" s="40"/>
      <c r="D7540" s="25" t="s">
        <v>16</v>
      </c>
      <c r="E7540" s="26"/>
      <c r="F7540" s="167" t="s">
        <v>416</v>
      </c>
      <c r="G7540" s="27" t="str">
        <f t="shared" si="744"/>
        <v/>
      </c>
      <c r="H7540" s="28"/>
      <c r="I7540" s="29"/>
      <c r="J7540" s="152">
        <v>0</v>
      </c>
      <c r="L7540" s="218"/>
      <c r="M7540" s="167"/>
      <c r="N7540" s="27" t="str">
        <f t="shared" si="745"/>
        <v/>
      </c>
      <c r="O7540" s="28"/>
      <c r="P7540" s="36" t="str">
        <f t="shared" si="746"/>
        <v/>
      </c>
      <c r="Q7540" s="216" t="str">
        <f t="shared" si="747"/>
        <v/>
      </c>
      <c r="R7540" s="216" t="str">
        <f t="shared" si="748"/>
        <v/>
      </c>
      <c r="S7540" s="217" t="str">
        <f t="shared" si="749"/>
        <v/>
      </c>
    </row>
    <row r="7541" spans="1:19" ht="15.75" hidden="1" thickBot="1" x14ac:dyDescent="0.3">
      <c r="A7541" s="262"/>
      <c r="B7541" s="260"/>
      <c r="C7541" s="31"/>
      <c r="D7541" s="31"/>
      <c r="E7541" s="32"/>
      <c r="F7541" s="168" t="s">
        <v>416</v>
      </c>
      <c r="G7541" s="162" t="str">
        <f t="shared" si="744"/>
        <v/>
      </c>
      <c r="H7541" s="164"/>
      <c r="I7541" s="162"/>
      <c r="J7541" s="152">
        <v>0</v>
      </c>
      <c r="L7541" s="219"/>
      <c r="M7541" s="168"/>
      <c r="N7541" s="162" t="str">
        <f t="shared" si="745"/>
        <v/>
      </c>
      <c r="O7541" s="164"/>
      <c r="P7541" s="36" t="str">
        <f t="shared" si="746"/>
        <v/>
      </c>
      <c r="Q7541" s="216" t="str">
        <f t="shared" si="747"/>
        <v/>
      </c>
      <c r="R7541" s="216" t="str">
        <f t="shared" si="748"/>
        <v/>
      </c>
      <c r="S7541" s="217" t="str">
        <f t="shared" si="749"/>
        <v/>
      </c>
    </row>
    <row r="7542" spans="1:19" ht="26.25" hidden="1" thickBot="1" x14ac:dyDescent="0.3">
      <c r="A7542" s="262"/>
      <c r="B7542" s="260"/>
      <c r="C7542" s="35" t="s">
        <v>6979</v>
      </c>
      <c r="D7542" s="169" t="s">
        <v>16</v>
      </c>
      <c r="E7542" s="36">
        <v>1</v>
      </c>
      <c r="F7542" s="163" t="s">
        <v>416</v>
      </c>
      <c r="G7542" s="162" t="str">
        <f t="shared" si="744"/>
        <v/>
      </c>
      <c r="H7542" s="165">
        <f>SUM(G7542:G7545)</f>
        <v>47.417608440249602</v>
      </c>
      <c r="I7542" s="166"/>
      <c r="J7542" s="152">
        <v>0</v>
      </c>
      <c r="L7542" s="215">
        <v>1</v>
      </c>
      <c r="M7542" s="163"/>
      <c r="N7542" s="162" t="str">
        <f t="shared" si="745"/>
        <v/>
      </c>
      <c r="O7542" s="165">
        <f>SUM(N7542:N7545)</f>
        <v>40.589472824853658</v>
      </c>
      <c r="P7542" s="36" t="str">
        <f t="shared" si="746"/>
        <v/>
      </c>
      <c r="Q7542" s="216" t="str">
        <f t="shared" si="747"/>
        <v/>
      </c>
      <c r="R7542" s="216" t="str">
        <f t="shared" si="748"/>
        <v/>
      </c>
      <c r="S7542" s="217">
        <f t="shared" si="749"/>
        <v>0.14400000000000002</v>
      </c>
    </row>
    <row r="7543" spans="1:19" ht="39" hidden="1" thickBot="1" x14ac:dyDescent="0.3">
      <c r="A7543" s="262"/>
      <c r="B7543" s="260"/>
      <c r="C7543" s="35" t="s">
        <v>2897</v>
      </c>
      <c r="D7543" s="169" t="s">
        <v>87</v>
      </c>
      <c r="E7543" s="36">
        <v>1.9199999999999998E-2</v>
      </c>
      <c r="F7543" s="162">
        <v>838.58271563799997</v>
      </c>
      <c r="G7543" s="162">
        <f t="shared" si="744"/>
        <v>16.100788140249598</v>
      </c>
      <c r="H7543" s="164"/>
      <c r="I7543" s="162"/>
      <c r="J7543" s="152">
        <v>0</v>
      </c>
      <c r="L7543" s="215">
        <v>1.9199999999999998E-2</v>
      </c>
      <c r="M7543" s="162">
        <v>717.82680458612799</v>
      </c>
      <c r="N7543" s="162">
        <f t="shared" si="745"/>
        <v>13.782274648053656</v>
      </c>
      <c r="O7543" s="164"/>
      <c r="P7543" s="36" t="str">
        <f t="shared" si="746"/>
        <v/>
      </c>
      <c r="Q7543" s="216">
        <f t="shared" si="747"/>
        <v>0.14400000000000002</v>
      </c>
      <c r="R7543" s="216">
        <f t="shared" si="748"/>
        <v>0.14400000000000002</v>
      </c>
      <c r="S7543" s="217" t="str">
        <f t="shared" si="749"/>
        <v/>
      </c>
    </row>
    <row r="7544" spans="1:19" ht="15.75" hidden="1" thickBot="1" x14ac:dyDescent="0.3">
      <c r="A7544" s="262"/>
      <c r="B7544" s="260"/>
      <c r="C7544" s="35" t="s">
        <v>1017</v>
      </c>
      <c r="D7544" s="35" t="s">
        <v>583</v>
      </c>
      <c r="E7544" s="36">
        <v>0.63370000000000004</v>
      </c>
      <c r="F7544" s="162">
        <v>21.584</v>
      </c>
      <c r="G7544" s="162">
        <f t="shared" si="744"/>
        <v>13.677780800000001</v>
      </c>
      <c r="H7544" s="164"/>
      <c r="I7544" s="162"/>
      <c r="J7544" s="152">
        <v>0</v>
      </c>
      <c r="L7544" s="215">
        <v>0.63370000000000004</v>
      </c>
      <c r="M7544" s="162">
        <v>18.475904</v>
      </c>
      <c r="N7544" s="162">
        <f t="shared" si="745"/>
        <v>11.7081803648</v>
      </c>
      <c r="O7544" s="164"/>
      <c r="P7544" s="36" t="str">
        <f t="shared" si="746"/>
        <v/>
      </c>
      <c r="Q7544" s="216">
        <f t="shared" si="747"/>
        <v>0.14400000000000002</v>
      </c>
      <c r="R7544" s="216">
        <f t="shared" si="748"/>
        <v>0.14400000000000002</v>
      </c>
      <c r="S7544" s="217" t="str">
        <f t="shared" si="749"/>
        <v/>
      </c>
    </row>
    <row r="7545" spans="1:19" ht="15.75" hidden="1" thickBot="1" x14ac:dyDescent="0.3">
      <c r="A7545" s="262"/>
      <c r="B7545" s="260"/>
      <c r="C7545" s="35" t="s">
        <v>1018</v>
      </c>
      <c r="D7545" s="35" t="s">
        <v>583</v>
      </c>
      <c r="E7545" s="36">
        <v>0.63370000000000004</v>
      </c>
      <c r="F7545" s="162">
        <v>27.835000000000001</v>
      </c>
      <c r="G7545" s="163">
        <f t="shared" si="744"/>
        <v>17.639039500000003</v>
      </c>
      <c r="H7545" s="164"/>
      <c r="I7545" s="162"/>
      <c r="J7545" s="152">
        <v>0</v>
      </c>
      <c r="L7545" s="215">
        <v>0.63370000000000004</v>
      </c>
      <c r="M7545" s="162">
        <v>23.82676</v>
      </c>
      <c r="N7545" s="163">
        <f t="shared" si="745"/>
        <v>15.099017812000001</v>
      </c>
      <c r="O7545" s="164"/>
      <c r="P7545" s="36" t="str">
        <f t="shared" si="746"/>
        <v/>
      </c>
      <c r="Q7545" s="216">
        <f t="shared" si="747"/>
        <v>0.14400000000000002</v>
      </c>
      <c r="R7545" s="216">
        <f t="shared" si="748"/>
        <v>0.14400000000000002</v>
      </c>
      <c r="S7545" s="217" t="str">
        <f t="shared" si="749"/>
        <v/>
      </c>
    </row>
    <row r="7546" spans="1:19" ht="15.75" hidden="1" thickBot="1" x14ac:dyDescent="0.3">
      <c r="A7546" s="262"/>
      <c r="B7546" s="261"/>
      <c r="C7546" s="35"/>
      <c r="D7546" s="35"/>
      <c r="E7546" s="36"/>
      <c r="F7546" s="162" t="s">
        <v>416</v>
      </c>
      <c r="G7546" s="162" t="str">
        <f t="shared" si="744"/>
        <v/>
      </c>
      <c r="H7546" s="164"/>
      <c r="I7546" s="162"/>
      <c r="J7546" s="152">
        <v>0</v>
      </c>
      <c r="L7546" s="215"/>
      <c r="M7546" s="162"/>
      <c r="N7546" s="162" t="str">
        <f t="shared" si="745"/>
        <v/>
      </c>
      <c r="O7546" s="164"/>
      <c r="P7546" s="36" t="str">
        <f t="shared" si="746"/>
        <v/>
      </c>
      <c r="Q7546" s="216" t="str">
        <f t="shared" si="747"/>
        <v/>
      </c>
      <c r="R7546" s="216" t="str">
        <f t="shared" si="748"/>
        <v/>
      </c>
      <c r="S7546" s="217" t="str">
        <f t="shared" si="749"/>
        <v/>
      </c>
    </row>
    <row r="7547" spans="1:19" ht="15.75" hidden="1" thickBot="1" x14ac:dyDescent="0.3">
      <c r="A7547" s="256" t="s">
        <v>6791</v>
      </c>
      <c r="B7547" s="259" t="str">
        <f>INDEX(Orçamentária!A:B,MATCH(Composições!A7547,Orçamentária!A:A,0),2)</f>
        <v>Curva de transposição PVC soldável 25 mm</v>
      </c>
      <c r="C7547" s="40"/>
      <c r="D7547" s="25" t="s">
        <v>16</v>
      </c>
      <c r="E7547" s="26"/>
      <c r="F7547" s="41" t="s">
        <v>416</v>
      </c>
      <c r="G7547" s="27" t="str">
        <f t="shared" si="744"/>
        <v/>
      </c>
      <c r="H7547" s="28"/>
      <c r="I7547" s="29"/>
      <c r="J7547" s="152">
        <v>0</v>
      </c>
      <c r="L7547" s="218"/>
      <c r="M7547" s="41"/>
      <c r="N7547" s="27" t="str">
        <f t="shared" si="745"/>
        <v/>
      </c>
      <c r="O7547" s="28"/>
      <c r="P7547" s="36" t="str">
        <f t="shared" si="746"/>
        <v/>
      </c>
      <c r="Q7547" s="216" t="str">
        <f t="shared" si="747"/>
        <v/>
      </c>
      <c r="R7547" s="216" t="str">
        <f t="shared" si="748"/>
        <v/>
      </c>
      <c r="S7547" s="217" t="str">
        <f t="shared" si="749"/>
        <v/>
      </c>
    </row>
    <row r="7548" spans="1:19" ht="15.75" hidden="1" thickBot="1" x14ac:dyDescent="0.3">
      <c r="A7548" s="262"/>
      <c r="B7548" s="260"/>
      <c r="C7548" s="31"/>
      <c r="D7548" s="31"/>
      <c r="E7548" s="32"/>
      <c r="F7548" s="42" t="s">
        <v>416</v>
      </c>
      <c r="G7548" s="33" t="str">
        <f t="shared" si="744"/>
        <v/>
      </c>
      <c r="H7548" s="34"/>
      <c r="I7548" s="30"/>
      <c r="J7548" s="152">
        <v>0</v>
      </c>
      <c r="L7548" s="219"/>
      <c r="M7548" s="42"/>
      <c r="N7548" s="33" t="str">
        <f t="shared" si="745"/>
        <v/>
      </c>
      <c r="O7548" s="34"/>
      <c r="P7548" s="36" t="str">
        <f t="shared" si="746"/>
        <v/>
      </c>
      <c r="Q7548" s="216" t="str">
        <f t="shared" si="747"/>
        <v/>
      </c>
      <c r="R7548" s="216" t="str">
        <f t="shared" si="748"/>
        <v/>
      </c>
      <c r="S7548" s="217" t="str">
        <f t="shared" si="749"/>
        <v/>
      </c>
    </row>
    <row r="7549" spans="1:19" ht="26.25" hidden="1" thickBot="1" x14ac:dyDescent="0.3">
      <c r="A7549" s="262"/>
      <c r="B7549" s="260"/>
      <c r="C7549" s="35" t="s">
        <v>8110</v>
      </c>
      <c r="D7549" s="35" t="s">
        <v>213</v>
      </c>
      <c r="E7549" s="36">
        <v>1</v>
      </c>
      <c r="F7549" s="30">
        <v>6.6025</v>
      </c>
      <c r="G7549" s="33">
        <f t="shared" si="744"/>
        <v>6.6025</v>
      </c>
      <c r="H7549" s="38">
        <f>SUM(G7549:G7549)</f>
        <v>6.6025</v>
      </c>
      <c r="I7549" s="39"/>
      <c r="J7549" s="152">
        <v>0</v>
      </c>
      <c r="L7549" s="215">
        <v>1</v>
      </c>
      <c r="M7549" s="30">
        <v>5.6517400000000002</v>
      </c>
      <c r="N7549" s="33">
        <f t="shared" si="745"/>
        <v>5.6517400000000002</v>
      </c>
      <c r="O7549" s="38">
        <f>SUM(N7549:N7549)</f>
        <v>5.6517400000000002</v>
      </c>
      <c r="P7549" s="36" t="str">
        <f t="shared" si="746"/>
        <v/>
      </c>
      <c r="Q7549" s="216">
        <f t="shared" si="747"/>
        <v>0.14400000000000002</v>
      </c>
      <c r="R7549" s="216">
        <f t="shared" si="748"/>
        <v>0.14400000000000002</v>
      </c>
      <c r="S7549" s="217">
        <f t="shared" si="749"/>
        <v>0.14400000000000002</v>
      </c>
    </row>
    <row r="7550" spans="1:19" ht="15.75" hidden="1" thickBot="1" x14ac:dyDescent="0.3">
      <c r="A7550" s="263"/>
      <c r="B7550" s="261"/>
      <c r="C7550" s="54"/>
      <c r="D7550" s="54"/>
      <c r="E7550" s="65"/>
      <c r="F7550" s="66" t="s">
        <v>416</v>
      </c>
      <c r="G7550" s="67" t="str">
        <f t="shared" si="744"/>
        <v/>
      </c>
      <c r="H7550" s="68"/>
      <c r="I7550" s="30"/>
      <c r="J7550" s="152">
        <v>0</v>
      </c>
      <c r="L7550" s="222"/>
      <c r="M7550" s="66"/>
      <c r="N7550" s="67" t="str">
        <f t="shared" si="745"/>
        <v/>
      </c>
      <c r="O7550" s="68"/>
      <c r="P7550" s="36" t="str">
        <f t="shared" si="746"/>
        <v/>
      </c>
      <c r="Q7550" s="216" t="str">
        <f t="shared" si="747"/>
        <v/>
      </c>
      <c r="R7550" s="216" t="str">
        <f t="shared" si="748"/>
        <v/>
      </c>
      <c r="S7550" s="217" t="str">
        <f t="shared" si="749"/>
        <v/>
      </c>
    </row>
    <row r="7551" spans="1:19" ht="15.75" hidden="1" thickBot="1" x14ac:dyDescent="0.3">
      <c r="A7551" s="256" t="s">
        <v>6792</v>
      </c>
      <c r="B7551" s="259" t="str">
        <f>INDEX(Orçamentária!A:B,MATCH(Composições!A7551,Orçamentária!A:A,0),2)</f>
        <v>Joelho 90° PVC soldável 25 mm</v>
      </c>
      <c r="C7551" s="40"/>
      <c r="D7551" s="25" t="s">
        <v>16</v>
      </c>
      <c r="E7551" s="26"/>
      <c r="F7551" s="41" t="s">
        <v>416</v>
      </c>
      <c r="G7551" s="27" t="str">
        <f t="shared" si="744"/>
        <v/>
      </c>
      <c r="H7551" s="28"/>
      <c r="I7551" s="29"/>
      <c r="J7551" s="152">
        <v>0</v>
      </c>
      <c r="L7551" s="218"/>
      <c r="M7551" s="41"/>
      <c r="N7551" s="27" t="str">
        <f t="shared" si="745"/>
        <v/>
      </c>
      <c r="O7551" s="28"/>
      <c r="P7551" s="36" t="str">
        <f t="shared" si="746"/>
        <v/>
      </c>
      <c r="Q7551" s="216" t="str">
        <f t="shared" si="747"/>
        <v/>
      </c>
      <c r="R7551" s="216" t="str">
        <f t="shared" si="748"/>
        <v/>
      </c>
      <c r="S7551" s="217" t="str">
        <f t="shared" si="749"/>
        <v/>
      </c>
    </row>
    <row r="7552" spans="1:19" ht="15.75" hidden="1" thickBot="1" x14ac:dyDescent="0.3">
      <c r="A7552" s="262"/>
      <c r="B7552" s="260"/>
      <c r="C7552" s="31"/>
      <c r="D7552" s="31"/>
      <c r="E7552" s="32"/>
      <c r="F7552" s="42" t="s">
        <v>416</v>
      </c>
      <c r="G7552" s="33" t="str">
        <f t="shared" si="744"/>
        <v/>
      </c>
      <c r="H7552" s="34"/>
      <c r="I7552" s="30"/>
      <c r="J7552" s="152">
        <v>0</v>
      </c>
      <c r="L7552" s="219"/>
      <c r="M7552" s="42"/>
      <c r="N7552" s="33" t="str">
        <f t="shared" si="745"/>
        <v/>
      </c>
      <c r="O7552" s="34"/>
      <c r="P7552" s="36" t="str">
        <f t="shared" si="746"/>
        <v/>
      </c>
      <c r="Q7552" s="216" t="str">
        <f t="shared" si="747"/>
        <v/>
      </c>
      <c r="R7552" s="216" t="str">
        <f t="shared" si="748"/>
        <v/>
      </c>
      <c r="S7552" s="217" t="str">
        <f t="shared" si="749"/>
        <v/>
      </c>
    </row>
    <row r="7553" spans="1:19" ht="26.25" hidden="1" thickBot="1" x14ac:dyDescent="0.3">
      <c r="A7553" s="262"/>
      <c r="B7553" s="260"/>
      <c r="C7553" s="35" t="s">
        <v>8199</v>
      </c>
      <c r="D7553" s="35" t="s">
        <v>213</v>
      </c>
      <c r="E7553" s="36">
        <v>1</v>
      </c>
      <c r="F7553" s="30">
        <v>0.72199999999999998</v>
      </c>
      <c r="G7553" s="33">
        <f t="shared" si="744"/>
        <v>0.72199999999999998</v>
      </c>
      <c r="H7553" s="38">
        <f>SUM(G7553:G7553)</f>
        <v>0.72199999999999998</v>
      </c>
      <c r="I7553" s="39"/>
      <c r="J7553" s="152">
        <v>0</v>
      </c>
      <c r="L7553" s="215">
        <v>1</v>
      </c>
      <c r="M7553" s="30">
        <v>0.61803200000000003</v>
      </c>
      <c r="N7553" s="33">
        <f t="shared" si="745"/>
        <v>0.61803200000000003</v>
      </c>
      <c r="O7553" s="38">
        <f>SUM(N7553:N7553)</f>
        <v>0.61803200000000003</v>
      </c>
      <c r="P7553" s="36" t="str">
        <f t="shared" si="746"/>
        <v/>
      </c>
      <c r="Q7553" s="216">
        <f t="shared" si="747"/>
        <v>0.14399999999999991</v>
      </c>
      <c r="R7553" s="216">
        <f t="shared" si="748"/>
        <v>0.14399999999999991</v>
      </c>
      <c r="S7553" s="217">
        <f t="shared" si="749"/>
        <v>0.14399999999999991</v>
      </c>
    </row>
    <row r="7554" spans="1:19" ht="15.75" hidden="1" thickBot="1" x14ac:dyDescent="0.3">
      <c r="A7554" s="263"/>
      <c r="B7554" s="261"/>
      <c r="C7554" s="54"/>
      <c r="D7554" s="54"/>
      <c r="E7554" s="65"/>
      <c r="F7554" s="66" t="s">
        <v>416</v>
      </c>
      <c r="G7554" s="67" t="str">
        <f t="shared" ref="G7554:G7617" si="750">IF(ISNUMBER(F7554),E7554*F7554,"")</f>
        <v/>
      </c>
      <c r="H7554" s="68"/>
      <c r="I7554" s="30"/>
      <c r="J7554" s="152">
        <v>0</v>
      </c>
      <c r="L7554" s="222"/>
      <c r="M7554" s="66"/>
      <c r="N7554" s="67" t="str">
        <f t="shared" ref="N7554:N7617" si="751">IF(ISNUMBER(M7554),L7554*M7554,"")</f>
        <v/>
      </c>
      <c r="O7554" s="68"/>
      <c r="P7554" s="36" t="str">
        <f t="shared" si="746"/>
        <v/>
      </c>
      <c r="Q7554" s="216" t="str">
        <f t="shared" si="747"/>
        <v/>
      </c>
      <c r="R7554" s="216" t="str">
        <f t="shared" si="748"/>
        <v/>
      </c>
      <c r="S7554" s="217" t="str">
        <f t="shared" si="749"/>
        <v/>
      </c>
    </row>
    <row r="7555" spans="1:19" ht="15.75" hidden="1" thickBot="1" x14ac:dyDescent="0.3">
      <c r="A7555" s="256" t="s">
        <v>6793</v>
      </c>
      <c r="B7555" s="259" t="str">
        <f>INDEX(Orçamentária!A:B,MATCH(Composições!A7555,Orçamentária!A:A,0),2)</f>
        <v>Joelho 45° PVC soldável 25 mm</v>
      </c>
      <c r="C7555" s="40"/>
      <c r="D7555" s="25" t="s">
        <v>16</v>
      </c>
      <c r="E7555" s="26"/>
      <c r="F7555" s="41" t="s">
        <v>416</v>
      </c>
      <c r="G7555" s="27" t="str">
        <f t="shared" si="750"/>
        <v/>
      </c>
      <c r="H7555" s="28"/>
      <c r="I7555" s="29"/>
      <c r="J7555" s="152">
        <v>0</v>
      </c>
      <c r="L7555" s="218"/>
      <c r="M7555" s="41"/>
      <c r="N7555" s="27" t="str">
        <f t="shared" si="751"/>
        <v/>
      </c>
      <c r="O7555" s="28"/>
      <c r="P7555" s="36" t="str">
        <f t="shared" si="746"/>
        <v/>
      </c>
      <c r="Q7555" s="216" t="str">
        <f t="shared" si="747"/>
        <v/>
      </c>
      <c r="R7555" s="216" t="str">
        <f t="shared" si="748"/>
        <v/>
      </c>
      <c r="S7555" s="217" t="str">
        <f t="shared" si="749"/>
        <v/>
      </c>
    </row>
    <row r="7556" spans="1:19" ht="15.75" hidden="1" thickBot="1" x14ac:dyDescent="0.3">
      <c r="A7556" s="262"/>
      <c r="B7556" s="260"/>
      <c r="C7556" s="31"/>
      <c r="D7556" s="31"/>
      <c r="E7556" s="32"/>
      <c r="F7556" s="42" t="s">
        <v>416</v>
      </c>
      <c r="G7556" s="33" t="str">
        <f t="shared" si="750"/>
        <v/>
      </c>
      <c r="H7556" s="34"/>
      <c r="I7556" s="30"/>
      <c r="J7556" s="152">
        <v>0</v>
      </c>
      <c r="L7556" s="219"/>
      <c r="M7556" s="42"/>
      <c r="N7556" s="33" t="str">
        <f t="shared" si="751"/>
        <v/>
      </c>
      <c r="O7556" s="34"/>
      <c r="P7556" s="36" t="str">
        <f t="shared" si="746"/>
        <v/>
      </c>
      <c r="Q7556" s="216" t="str">
        <f t="shared" si="747"/>
        <v/>
      </c>
      <c r="R7556" s="216" t="str">
        <f t="shared" si="748"/>
        <v/>
      </c>
      <c r="S7556" s="217" t="str">
        <f t="shared" si="749"/>
        <v/>
      </c>
    </row>
    <row r="7557" spans="1:19" ht="26.25" hidden="1" thickBot="1" x14ac:dyDescent="0.3">
      <c r="A7557" s="262"/>
      <c r="B7557" s="260"/>
      <c r="C7557" s="35" t="s">
        <v>8205</v>
      </c>
      <c r="D7557" s="35" t="s">
        <v>213</v>
      </c>
      <c r="E7557" s="36">
        <v>1</v>
      </c>
      <c r="F7557" s="30">
        <v>1.482</v>
      </c>
      <c r="G7557" s="33">
        <f t="shared" si="750"/>
        <v>1.482</v>
      </c>
      <c r="H7557" s="38">
        <f>SUM(G7557:G7557)</f>
        <v>1.482</v>
      </c>
      <c r="I7557" s="39"/>
      <c r="J7557" s="152">
        <v>0</v>
      </c>
      <c r="L7557" s="215">
        <v>1</v>
      </c>
      <c r="M7557" s="30">
        <v>1.2685919999999999</v>
      </c>
      <c r="N7557" s="33">
        <f t="shared" si="751"/>
        <v>1.2685919999999999</v>
      </c>
      <c r="O7557" s="38">
        <f>SUM(N7557:N7557)</f>
        <v>1.2685919999999999</v>
      </c>
      <c r="P7557" s="36" t="str">
        <f t="shared" si="746"/>
        <v/>
      </c>
      <c r="Q7557" s="216">
        <f t="shared" si="747"/>
        <v>0.14400000000000002</v>
      </c>
      <c r="R7557" s="216">
        <f t="shared" si="748"/>
        <v>0.14400000000000002</v>
      </c>
      <c r="S7557" s="217">
        <f t="shared" si="749"/>
        <v>0.14400000000000002</v>
      </c>
    </row>
    <row r="7558" spans="1:19" ht="15.75" hidden="1" thickBot="1" x14ac:dyDescent="0.3">
      <c r="A7558" s="263"/>
      <c r="B7558" s="261"/>
      <c r="C7558" s="54"/>
      <c r="D7558" s="54"/>
      <c r="E7558" s="65"/>
      <c r="F7558" s="66" t="s">
        <v>416</v>
      </c>
      <c r="G7558" s="67" t="str">
        <f t="shared" si="750"/>
        <v/>
      </c>
      <c r="H7558" s="68"/>
      <c r="I7558" s="30"/>
      <c r="J7558" s="152">
        <v>0</v>
      </c>
      <c r="L7558" s="222"/>
      <c r="M7558" s="66"/>
      <c r="N7558" s="67" t="str">
        <f t="shared" si="751"/>
        <v/>
      </c>
      <c r="O7558" s="68"/>
      <c r="P7558" s="36" t="str">
        <f t="shared" si="746"/>
        <v/>
      </c>
      <c r="Q7558" s="216" t="str">
        <f t="shared" si="747"/>
        <v/>
      </c>
      <c r="R7558" s="216" t="str">
        <f t="shared" si="748"/>
        <v/>
      </c>
      <c r="S7558" s="217" t="str">
        <f t="shared" si="749"/>
        <v/>
      </c>
    </row>
    <row r="7559" spans="1:19" ht="15.75" hidden="1" thickBot="1" x14ac:dyDescent="0.3">
      <c r="A7559" s="256" t="s">
        <v>6794</v>
      </c>
      <c r="B7559" s="259" t="str">
        <f>INDEX(Orçamentária!A:B,MATCH(Composições!A7559,Orçamentária!A:A,0),2)</f>
        <v>Joelho 90° PVC soldável com rosca 25 mm x 1/2” ou 3/4”</v>
      </c>
      <c r="C7559" s="40"/>
      <c r="D7559" s="25" t="s">
        <v>16</v>
      </c>
      <c r="E7559" s="26"/>
      <c r="F7559" s="41" t="s">
        <v>416</v>
      </c>
      <c r="G7559" s="27" t="str">
        <f t="shared" si="750"/>
        <v/>
      </c>
      <c r="H7559" s="28"/>
      <c r="I7559" s="29"/>
      <c r="J7559" s="152">
        <v>0</v>
      </c>
      <c r="L7559" s="218"/>
      <c r="M7559" s="41"/>
      <c r="N7559" s="27" t="str">
        <f t="shared" si="751"/>
        <v/>
      </c>
      <c r="O7559" s="28"/>
      <c r="P7559" s="36" t="str">
        <f t="shared" si="746"/>
        <v/>
      </c>
      <c r="Q7559" s="216" t="str">
        <f t="shared" si="747"/>
        <v/>
      </c>
      <c r="R7559" s="216" t="str">
        <f t="shared" si="748"/>
        <v/>
      </c>
      <c r="S7559" s="217" t="str">
        <f t="shared" si="749"/>
        <v/>
      </c>
    </row>
    <row r="7560" spans="1:19" ht="15.75" hidden="1" thickBot="1" x14ac:dyDescent="0.3">
      <c r="A7560" s="262"/>
      <c r="B7560" s="260"/>
      <c r="C7560" s="31"/>
      <c r="D7560" s="31"/>
      <c r="E7560" s="32"/>
      <c r="F7560" s="42" t="s">
        <v>416</v>
      </c>
      <c r="G7560" s="33" t="str">
        <f t="shared" si="750"/>
        <v/>
      </c>
      <c r="H7560" s="34"/>
      <c r="I7560" s="30"/>
      <c r="J7560" s="152">
        <v>0</v>
      </c>
      <c r="L7560" s="219"/>
      <c r="M7560" s="42"/>
      <c r="N7560" s="33" t="str">
        <f t="shared" si="751"/>
        <v/>
      </c>
      <c r="O7560" s="34"/>
      <c r="P7560" s="36" t="str">
        <f t="shared" ref="P7560:P7623" si="752">IF(ISBLANK(L7560),"",IF($E7560&lt;&gt;L7560,"SIM",""))</f>
        <v/>
      </c>
      <c r="Q7560" s="216" t="str">
        <f t="shared" ref="Q7560:Q7623" si="753">IF(M7560="","",1-M7560/$F7560)</f>
        <v/>
      </c>
      <c r="R7560" s="216" t="str">
        <f t="shared" ref="R7560:R7623" si="754">IF(N7560="","",1-N7560/$G7560)</f>
        <v/>
      </c>
      <c r="S7560" s="217" t="str">
        <f t="shared" ref="S7560:S7623" si="755">IF(O7560="","",1-O7560/$H7560)</f>
        <v/>
      </c>
    </row>
    <row r="7561" spans="1:19" ht="26.25" hidden="1" thickBot="1" x14ac:dyDescent="0.3">
      <c r="A7561" s="262"/>
      <c r="B7561" s="260"/>
      <c r="C7561" s="35" t="s">
        <v>8185</v>
      </c>
      <c r="D7561" s="35" t="s">
        <v>213</v>
      </c>
      <c r="E7561" s="36">
        <v>1</v>
      </c>
      <c r="F7561" s="30">
        <v>2.3939999999999997</v>
      </c>
      <c r="G7561" s="33">
        <f t="shared" si="750"/>
        <v>2.3939999999999997</v>
      </c>
      <c r="H7561" s="38">
        <f>SUM(G7561:G7561)</f>
        <v>2.3939999999999997</v>
      </c>
      <c r="I7561" s="39"/>
      <c r="J7561" s="152">
        <v>0</v>
      </c>
      <c r="L7561" s="215">
        <v>1</v>
      </c>
      <c r="M7561" s="30">
        <v>2.049264</v>
      </c>
      <c r="N7561" s="33">
        <f t="shared" si="751"/>
        <v>2.049264</v>
      </c>
      <c r="O7561" s="38">
        <f>SUM(N7561:N7561)</f>
        <v>2.049264</v>
      </c>
      <c r="P7561" s="36" t="str">
        <f t="shared" si="752"/>
        <v/>
      </c>
      <c r="Q7561" s="216">
        <f t="shared" si="753"/>
        <v>0.14399999999999991</v>
      </c>
      <c r="R7561" s="216">
        <f t="shared" si="754"/>
        <v>0.14399999999999991</v>
      </c>
      <c r="S7561" s="217">
        <f t="shared" si="755"/>
        <v>0.14399999999999991</v>
      </c>
    </row>
    <row r="7562" spans="1:19" ht="15.75" hidden="1" thickBot="1" x14ac:dyDescent="0.3">
      <c r="A7562" s="263"/>
      <c r="B7562" s="261"/>
      <c r="C7562" s="54"/>
      <c r="D7562" s="54"/>
      <c r="E7562" s="65"/>
      <c r="F7562" s="66" t="s">
        <v>416</v>
      </c>
      <c r="G7562" s="67" t="str">
        <f t="shared" si="750"/>
        <v/>
      </c>
      <c r="H7562" s="68"/>
      <c r="I7562" s="30"/>
      <c r="J7562" s="152">
        <v>0</v>
      </c>
      <c r="L7562" s="222"/>
      <c r="M7562" s="66"/>
      <c r="N7562" s="67" t="str">
        <f t="shared" si="751"/>
        <v/>
      </c>
      <c r="O7562" s="68"/>
      <c r="P7562" s="36" t="str">
        <f t="shared" si="752"/>
        <v/>
      </c>
      <c r="Q7562" s="216" t="str">
        <f t="shared" si="753"/>
        <v/>
      </c>
      <c r="R7562" s="216" t="str">
        <f t="shared" si="754"/>
        <v/>
      </c>
      <c r="S7562" s="217" t="str">
        <f t="shared" si="755"/>
        <v/>
      </c>
    </row>
    <row r="7563" spans="1:19" ht="15.75" hidden="1" thickBot="1" x14ac:dyDescent="0.3">
      <c r="A7563" s="256" t="s">
        <v>6795</v>
      </c>
      <c r="B7563" s="259" t="str">
        <f>INDEX(Orçamentária!A:B,MATCH(Composições!A7563,Orçamentária!A:A,0),2)</f>
        <v>Joelho 90° PVC soldável com bucha de latão 25 mm x 1/2”</v>
      </c>
      <c r="C7563" s="40"/>
      <c r="D7563" s="25" t="s">
        <v>16</v>
      </c>
      <c r="E7563" s="26"/>
      <c r="F7563" s="41" t="s">
        <v>416</v>
      </c>
      <c r="G7563" s="27" t="str">
        <f t="shared" si="750"/>
        <v/>
      </c>
      <c r="H7563" s="28"/>
      <c r="I7563" s="29"/>
      <c r="J7563" s="152">
        <v>0</v>
      </c>
      <c r="L7563" s="218"/>
      <c r="M7563" s="41"/>
      <c r="N7563" s="27" t="str">
        <f t="shared" si="751"/>
        <v/>
      </c>
      <c r="O7563" s="28"/>
      <c r="P7563" s="36" t="str">
        <f t="shared" si="752"/>
        <v/>
      </c>
      <c r="Q7563" s="216" t="str">
        <f t="shared" si="753"/>
        <v/>
      </c>
      <c r="R7563" s="216" t="str">
        <f t="shared" si="754"/>
        <v/>
      </c>
      <c r="S7563" s="217" t="str">
        <f t="shared" si="755"/>
        <v/>
      </c>
    </row>
    <row r="7564" spans="1:19" ht="15.75" hidden="1" thickBot="1" x14ac:dyDescent="0.3">
      <c r="A7564" s="262"/>
      <c r="B7564" s="260"/>
      <c r="C7564" s="31"/>
      <c r="D7564" s="31"/>
      <c r="E7564" s="32"/>
      <c r="F7564" s="42" t="s">
        <v>416</v>
      </c>
      <c r="G7564" s="33" t="str">
        <f t="shared" si="750"/>
        <v/>
      </c>
      <c r="H7564" s="34"/>
      <c r="I7564" s="30"/>
      <c r="J7564" s="152">
        <v>0</v>
      </c>
      <c r="L7564" s="219"/>
      <c r="M7564" s="42"/>
      <c r="N7564" s="33" t="str">
        <f t="shared" si="751"/>
        <v/>
      </c>
      <c r="O7564" s="34"/>
      <c r="P7564" s="36" t="str">
        <f t="shared" si="752"/>
        <v/>
      </c>
      <c r="Q7564" s="216" t="str">
        <f t="shared" si="753"/>
        <v/>
      </c>
      <c r="R7564" s="216" t="str">
        <f t="shared" si="754"/>
        <v/>
      </c>
      <c r="S7564" s="217" t="str">
        <f t="shared" si="755"/>
        <v/>
      </c>
    </row>
    <row r="7565" spans="1:19" ht="26.25" hidden="1" thickBot="1" x14ac:dyDescent="0.3">
      <c r="A7565" s="262"/>
      <c r="B7565" s="260"/>
      <c r="C7565" s="35" t="s">
        <v>8186</v>
      </c>
      <c r="D7565" s="35" t="s">
        <v>213</v>
      </c>
      <c r="E7565" s="36">
        <v>1</v>
      </c>
      <c r="F7565" s="30">
        <v>5.2915000000000001</v>
      </c>
      <c r="G7565" s="33">
        <f t="shared" si="750"/>
        <v>5.2915000000000001</v>
      </c>
      <c r="H7565" s="38">
        <f>SUM(G7565:G7565)</f>
        <v>5.2915000000000001</v>
      </c>
      <c r="I7565" s="39"/>
      <c r="J7565" s="152">
        <v>0</v>
      </c>
      <c r="L7565" s="215">
        <v>1</v>
      </c>
      <c r="M7565" s="30">
        <v>4.5295240000000003</v>
      </c>
      <c r="N7565" s="33">
        <f t="shared" si="751"/>
        <v>4.5295240000000003</v>
      </c>
      <c r="O7565" s="38">
        <f>SUM(N7565:N7565)</f>
        <v>4.5295240000000003</v>
      </c>
      <c r="P7565" s="36" t="str">
        <f t="shared" si="752"/>
        <v/>
      </c>
      <c r="Q7565" s="216">
        <f t="shared" si="753"/>
        <v>0.14399999999999991</v>
      </c>
      <c r="R7565" s="216">
        <f t="shared" si="754"/>
        <v>0.14399999999999991</v>
      </c>
      <c r="S7565" s="217">
        <f t="shared" si="755"/>
        <v>0.14399999999999991</v>
      </c>
    </row>
    <row r="7566" spans="1:19" ht="15.75" hidden="1" thickBot="1" x14ac:dyDescent="0.3">
      <c r="A7566" s="263"/>
      <c r="B7566" s="261"/>
      <c r="C7566" s="54"/>
      <c r="D7566" s="54"/>
      <c r="E7566" s="65"/>
      <c r="F7566" s="66" t="s">
        <v>416</v>
      </c>
      <c r="G7566" s="67" t="str">
        <f t="shared" si="750"/>
        <v/>
      </c>
      <c r="H7566" s="68"/>
      <c r="I7566" s="30"/>
      <c r="J7566" s="152">
        <v>0</v>
      </c>
      <c r="L7566" s="222"/>
      <c r="M7566" s="66"/>
      <c r="N7566" s="67" t="str">
        <f t="shared" si="751"/>
        <v/>
      </c>
      <c r="O7566" s="68"/>
      <c r="P7566" s="36" t="str">
        <f t="shared" si="752"/>
        <v/>
      </c>
      <c r="Q7566" s="216" t="str">
        <f t="shared" si="753"/>
        <v/>
      </c>
      <c r="R7566" s="216" t="str">
        <f t="shared" si="754"/>
        <v/>
      </c>
      <c r="S7566" s="217" t="str">
        <f t="shared" si="755"/>
        <v/>
      </c>
    </row>
    <row r="7567" spans="1:19" ht="15.75" hidden="1" thickBot="1" x14ac:dyDescent="0.3">
      <c r="A7567" s="256" t="s">
        <v>6796</v>
      </c>
      <c r="B7567" s="259" t="str">
        <f>INDEX(Orçamentária!A:B,MATCH(Composições!A7567,Orçamentária!A:A,0),2)</f>
        <v>Joelho 90° PVC soldável com bucha de latão 25 mm x 3/4”</v>
      </c>
      <c r="C7567" s="40"/>
      <c r="D7567" s="25" t="s">
        <v>16</v>
      </c>
      <c r="E7567" s="26"/>
      <c r="F7567" s="41" t="s">
        <v>416</v>
      </c>
      <c r="G7567" s="27" t="str">
        <f t="shared" si="750"/>
        <v/>
      </c>
      <c r="H7567" s="28"/>
      <c r="I7567" s="29"/>
      <c r="J7567" s="152">
        <v>0</v>
      </c>
      <c r="L7567" s="218"/>
      <c r="M7567" s="41"/>
      <c r="N7567" s="27" t="str">
        <f t="shared" si="751"/>
        <v/>
      </c>
      <c r="O7567" s="28"/>
      <c r="P7567" s="36" t="str">
        <f t="shared" si="752"/>
        <v/>
      </c>
      <c r="Q7567" s="216" t="str">
        <f t="shared" si="753"/>
        <v/>
      </c>
      <c r="R7567" s="216" t="str">
        <f t="shared" si="754"/>
        <v/>
      </c>
      <c r="S7567" s="217" t="str">
        <f t="shared" si="755"/>
        <v/>
      </c>
    </row>
    <row r="7568" spans="1:19" ht="15.75" hidden="1" thickBot="1" x14ac:dyDescent="0.3">
      <c r="A7568" s="262"/>
      <c r="B7568" s="260"/>
      <c r="C7568" s="31"/>
      <c r="D7568" s="31"/>
      <c r="E7568" s="32"/>
      <c r="F7568" s="42" t="s">
        <v>416</v>
      </c>
      <c r="G7568" s="33" t="str">
        <f t="shared" si="750"/>
        <v/>
      </c>
      <c r="H7568" s="34"/>
      <c r="I7568" s="30"/>
      <c r="J7568" s="152">
        <v>0</v>
      </c>
      <c r="L7568" s="219"/>
      <c r="M7568" s="42"/>
      <c r="N7568" s="33" t="str">
        <f t="shared" si="751"/>
        <v/>
      </c>
      <c r="O7568" s="34"/>
      <c r="P7568" s="36" t="str">
        <f t="shared" si="752"/>
        <v/>
      </c>
      <c r="Q7568" s="216" t="str">
        <f t="shared" si="753"/>
        <v/>
      </c>
      <c r="R7568" s="216" t="str">
        <f t="shared" si="754"/>
        <v/>
      </c>
      <c r="S7568" s="217" t="str">
        <f t="shared" si="755"/>
        <v/>
      </c>
    </row>
    <row r="7569" spans="1:19" ht="26.25" hidden="1" thickBot="1" x14ac:dyDescent="0.3">
      <c r="A7569" s="262"/>
      <c r="B7569" s="260"/>
      <c r="C7569" s="35" t="s">
        <v>8187</v>
      </c>
      <c r="D7569" s="35" t="s">
        <v>213</v>
      </c>
      <c r="E7569" s="36">
        <v>1</v>
      </c>
      <c r="F7569" s="30">
        <v>7.9610000000000003</v>
      </c>
      <c r="G7569" s="33">
        <f t="shared" si="750"/>
        <v>7.9610000000000003</v>
      </c>
      <c r="H7569" s="38">
        <f>SUM(G7569:G7569)</f>
        <v>7.9610000000000003</v>
      </c>
      <c r="I7569" s="39"/>
      <c r="J7569" s="152">
        <v>0</v>
      </c>
      <c r="L7569" s="215">
        <v>1</v>
      </c>
      <c r="M7569" s="30">
        <v>6.8146160000000009</v>
      </c>
      <c r="N7569" s="33">
        <f t="shared" si="751"/>
        <v>6.8146160000000009</v>
      </c>
      <c r="O7569" s="38">
        <f>SUM(N7569:N7569)</f>
        <v>6.8146160000000009</v>
      </c>
      <c r="P7569" s="36" t="str">
        <f t="shared" si="752"/>
        <v/>
      </c>
      <c r="Q7569" s="216">
        <f t="shared" si="753"/>
        <v>0.14399999999999991</v>
      </c>
      <c r="R7569" s="216">
        <f t="shared" si="754"/>
        <v>0.14399999999999991</v>
      </c>
      <c r="S7569" s="217">
        <f t="shared" si="755"/>
        <v>0.14399999999999991</v>
      </c>
    </row>
    <row r="7570" spans="1:19" ht="15.75" hidden="1" thickBot="1" x14ac:dyDescent="0.3">
      <c r="A7570" s="263"/>
      <c r="B7570" s="261"/>
      <c r="C7570" s="54"/>
      <c r="D7570" s="54"/>
      <c r="E7570" s="65"/>
      <c r="F7570" s="66" t="s">
        <v>416</v>
      </c>
      <c r="G7570" s="67" t="str">
        <f t="shared" si="750"/>
        <v/>
      </c>
      <c r="H7570" s="68"/>
      <c r="I7570" s="30"/>
      <c r="J7570" s="152">
        <v>0</v>
      </c>
      <c r="L7570" s="222"/>
      <c r="M7570" s="66"/>
      <c r="N7570" s="67" t="str">
        <f t="shared" si="751"/>
        <v/>
      </c>
      <c r="O7570" s="68"/>
      <c r="P7570" s="36" t="str">
        <f t="shared" si="752"/>
        <v/>
      </c>
      <c r="Q7570" s="216" t="str">
        <f t="shared" si="753"/>
        <v/>
      </c>
      <c r="R7570" s="216" t="str">
        <f t="shared" si="754"/>
        <v/>
      </c>
      <c r="S7570" s="217" t="str">
        <f t="shared" si="755"/>
        <v/>
      </c>
    </row>
    <row r="7571" spans="1:19" ht="15.75" hidden="1" thickBot="1" x14ac:dyDescent="0.3">
      <c r="A7571" s="256" t="s">
        <v>6797</v>
      </c>
      <c r="B7571" s="259" t="str">
        <f>INDEX(Orçamentária!A:B,MATCH(Composições!A7571,Orçamentária!A:A,0),2)</f>
        <v>Tê PVC soldável 25 mm</v>
      </c>
      <c r="C7571" s="40"/>
      <c r="D7571" s="25" t="s">
        <v>16</v>
      </c>
      <c r="E7571" s="26"/>
      <c r="F7571" s="41" t="s">
        <v>416</v>
      </c>
      <c r="G7571" s="27" t="str">
        <f t="shared" si="750"/>
        <v/>
      </c>
      <c r="H7571" s="28"/>
      <c r="I7571" s="29"/>
      <c r="J7571" s="152">
        <v>0</v>
      </c>
      <c r="L7571" s="218"/>
      <c r="M7571" s="41"/>
      <c r="N7571" s="27" t="str">
        <f t="shared" si="751"/>
        <v/>
      </c>
      <c r="O7571" s="28"/>
      <c r="P7571" s="36" t="str">
        <f t="shared" si="752"/>
        <v/>
      </c>
      <c r="Q7571" s="216" t="str">
        <f t="shared" si="753"/>
        <v/>
      </c>
      <c r="R7571" s="216" t="str">
        <f t="shared" si="754"/>
        <v/>
      </c>
      <c r="S7571" s="217" t="str">
        <f t="shared" si="755"/>
        <v/>
      </c>
    </row>
    <row r="7572" spans="1:19" ht="15.75" hidden="1" thickBot="1" x14ac:dyDescent="0.3">
      <c r="A7572" s="262"/>
      <c r="B7572" s="260"/>
      <c r="C7572" s="31"/>
      <c r="D7572" s="31"/>
      <c r="E7572" s="32"/>
      <c r="F7572" s="42" t="s">
        <v>416</v>
      </c>
      <c r="G7572" s="33" t="str">
        <f t="shared" si="750"/>
        <v/>
      </c>
      <c r="H7572" s="34"/>
      <c r="I7572" s="30"/>
      <c r="J7572" s="152">
        <v>0</v>
      </c>
      <c r="L7572" s="219"/>
      <c r="M7572" s="42"/>
      <c r="N7572" s="33" t="str">
        <f t="shared" si="751"/>
        <v/>
      </c>
      <c r="O7572" s="34"/>
      <c r="P7572" s="36" t="str">
        <f t="shared" si="752"/>
        <v/>
      </c>
      <c r="Q7572" s="216" t="str">
        <f t="shared" si="753"/>
        <v/>
      </c>
      <c r="R7572" s="216" t="str">
        <f t="shared" si="754"/>
        <v/>
      </c>
      <c r="S7572" s="217" t="str">
        <f t="shared" si="755"/>
        <v/>
      </c>
    </row>
    <row r="7573" spans="1:19" ht="26.25" hidden="1" thickBot="1" x14ac:dyDescent="0.3">
      <c r="A7573" s="262"/>
      <c r="B7573" s="260"/>
      <c r="C7573" s="35" t="s">
        <v>8410</v>
      </c>
      <c r="D7573" s="35" t="s">
        <v>213</v>
      </c>
      <c r="E7573" s="36">
        <v>1</v>
      </c>
      <c r="F7573" s="30">
        <v>1.1875</v>
      </c>
      <c r="G7573" s="33">
        <f t="shared" si="750"/>
        <v>1.1875</v>
      </c>
      <c r="H7573" s="38">
        <f>SUM(G7573:G7573)</f>
        <v>1.1875</v>
      </c>
      <c r="I7573" s="39"/>
      <c r="J7573" s="152">
        <v>0</v>
      </c>
      <c r="L7573" s="215">
        <v>1</v>
      </c>
      <c r="M7573" s="30">
        <v>1.0165</v>
      </c>
      <c r="N7573" s="33">
        <f t="shared" si="751"/>
        <v>1.0165</v>
      </c>
      <c r="O7573" s="38">
        <f>SUM(N7573:N7573)</f>
        <v>1.0165</v>
      </c>
      <c r="P7573" s="36" t="str">
        <f t="shared" si="752"/>
        <v/>
      </c>
      <c r="Q7573" s="216">
        <f t="shared" si="753"/>
        <v>0.14400000000000002</v>
      </c>
      <c r="R7573" s="216">
        <f t="shared" si="754"/>
        <v>0.14400000000000002</v>
      </c>
      <c r="S7573" s="217">
        <f t="shared" si="755"/>
        <v>0.14400000000000002</v>
      </c>
    </row>
    <row r="7574" spans="1:19" ht="15.75" hidden="1" thickBot="1" x14ac:dyDescent="0.3">
      <c r="A7574" s="263"/>
      <c r="B7574" s="261"/>
      <c r="C7574" s="54"/>
      <c r="D7574" s="54"/>
      <c r="E7574" s="65"/>
      <c r="F7574" s="66" t="s">
        <v>416</v>
      </c>
      <c r="G7574" s="67" t="str">
        <f t="shared" si="750"/>
        <v/>
      </c>
      <c r="H7574" s="68"/>
      <c r="I7574" s="30"/>
      <c r="J7574" s="152">
        <v>0</v>
      </c>
      <c r="L7574" s="222"/>
      <c r="M7574" s="66"/>
      <c r="N7574" s="67" t="str">
        <f t="shared" si="751"/>
        <v/>
      </c>
      <c r="O7574" s="68"/>
      <c r="P7574" s="36" t="str">
        <f t="shared" si="752"/>
        <v/>
      </c>
      <c r="Q7574" s="216" t="str">
        <f t="shared" si="753"/>
        <v/>
      </c>
      <c r="R7574" s="216" t="str">
        <f t="shared" si="754"/>
        <v/>
      </c>
      <c r="S7574" s="217" t="str">
        <f t="shared" si="755"/>
        <v/>
      </c>
    </row>
    <row r="7575" spans="1:19" ht="15.75" hidden="1" thickBot="1" x14ac:dyDescent="0.3">
      <c r="A7575" s="256" t="s">
        <v>6798</v>
      </c>
      <c r="B7575" s="259" t="str">
        <f>INDEX(Orçamentária!A:B,MATCH(Composições!A7575,Orçamentária!A:A,0),2)</f>
        <v>Tê PVC soldável com rosca na bolsa central 25 mm x 3/4”</v>
      </c>
      <c r="C7575" s="40"/>
      <c r="D7575" s="25" t="s">
        <v>16</v>
      </c>
      <c r="E7575" s="26"/>
      <c r="F7575" s="41" t="s">
        <v>416</v>
      </c>
      <c r="G7575" s="27" t="str">
        <f t="shared" si="750"/>
        <v/>
      </c>
      <c r="H7575" s="28"/>
      <c r="I7575" s="29"/>
      <c r="J7575" s="152">
        <v>0</v>
      </c>
      <c r="L7575" s="218"/>
      <c r="M7575" s="41"/>
      <c r="N7575" s="27" t="str">
        <f t="shared" si="751"/>
        <v/>
      </c>
      <c r="O7575" s="28"/>
      <c r="P7575" s="36" t="str">
        <f t="shared" si="752"/>
        <v/>
      </c>
      <c r="Q7575" s="216" t="str">
        <f t="shared" si="753"/>
        <v/>
      </c>
      <c r="R7575" s="216" t="str">
        <f t="shared" si="754"/>
        <v/>
      </c>
      <c r="S7575" s="217" t="str">
        <f t="shared" si="755"/>
        <v/>
      </c>
    </row>
    <row r="7576" spans="1:19" ht="15.75" hidden="1" thickBot="1" x14ac:dyDescent="0.3">
      <c r="A7576" s="262"/>
      <c r="B7576" s="260"/>
      <c r="C7576" s="31"/>
      <c r="D7576" s="31"/>
      <c r="E7576" s="32"/>
      <c r="F7576" s="42" t="s">
        <v>416</v>
      </c>
      <c r="G7576" s="33" t="str">
        <f t="shared" si="750"/>
        <v/>
      </c>
      <c r="H7576" s="34"/>
      <c r="I7576" s="30"/>
      <c r="J7576" s="152">
        <v>0</v>
      </c>
      <c r="L7576" s="219"/>
      <c r="M7576" s="42"/>
      <c r="N7576" s="33" t="str">
        <f t="shared" si="751"/>
        <v/>
      </c>
      <c r="O7576" s="34"/>
      <c r="P7576" s="36" t="str">
        <f t="shared" si="752"/>
        <v/>
      </c>
      <c r="Q7576" s="216" t="str">
        <f t="shared" si="753"/>
        <v/>
      </c>
      <c r="R7576" s="216" t="str">
        <f t="shared" si="754"/>
        <v/>
      </c>
      <c r="S7576" s="217" t="str">
        <f t="shared" si="755"/>
        <v/>
      </c>
    </row>
    <row r="7577" spans="1:19" ht="26.25" hidden="1" thickBot="1" x14ac:dyDescent="0.3">
      <c r="A7577" s="262"/>
      <c r="B7577" s="260"/>
      <c r="C7577" s="35" t="s">
        <v>8408</v>
      </c>
      <c r="D7577" s="35" t="s">
        <v>213</v>
      </c>
      <c r="E7577" s="36">
        <v>1</v>
      </c>
      <c r="F7577" s="30">
        <v>4.18</v>
      </c>
      <c r="G7577" s="33">
        <f t="shared" si="750"/>
        <v>4.18</v>
      </c>
      <c r="H7577" s="38">
        <f>SUM(G7577:G7577)</f>
        <v>4.18</v>
      </c>
      <c r="I7577" s="39"/>
      <c r="J7577" s="152">
        <v>0</v>
      </c>
      <c r="L7577" s="215">
        <v>1</v>
      </c>
      <c r="M7577" s="30">
        <v>3.5780799999999999</v>
      </c>
      <c r="N7577" s="33">
        <f t="shared" si="751"/>
        <v>3.5780799999999999</v>
      </c>
      <c r="O7577" s="38">
        <f>SUM(N7577:N7577)</f>
        <v>3.5780799999999999</v>
      </c>
      <c r="P7577" s="36" t="str">
        <f t="shared" si="752"/>
        <v/>
      </c>
      <c r="Q7577" s="216">
        <f t="shared" si="753"/>
        <v>0.14399999999999991</v>
      </c>
      <c r="R7577" s="216">
        <f t="shared" si="754"/>
        <v>0.14399999999999991</v>
      </c>
      <c r="S7577" s="217">
        <f t="shared" si="755"/>
        <v>0.14399999999999991</v>
      </c>
    </row>
    <row r="7578" spans="1:19" ht="15.75" hidden="1" thickBot="1" x14ac:dyDescent="0.3">
      <c r="A7578" s="263"/>
      <c r="B7578" s="261"/>
      <c r="C7578" s="54"/>
      <c r="D7578" s="54"/>
      <c r="E7578" s="65"/>
      <c r="F7578" s="66" t="s">
        <v>416</v>
      </c>
      <c r="G7578" s="67" t="str">
        <f t="shared" si="750"/>
        <v/>
      </c>
      <c r="H7578" s="68"/>
      <c r="I7578" s="30"/>
      <c r="J7578" s="152">
        <v>0</v>
      </c>
      <c r="L7578" s="222"/>
      <c r="M7578" s="66"/>
      <c r="N7578" s="67" t="str">
        <f t="shared" si="751"/>
        <v/>
      </c>
      <c r="O7578" s="68"/>
      <c r="P7578" s="36" t="str">
        <f t="shared" si="752"/>
        <v/>
      </c>
      <c r="Q7578" s="216" t="str">
        <f t="shared" si="753"/>
        <v/>
      </c>
      <c r="R7578" s="216" t="str">
        <f t="shared" si="754"/>
        <v/>
      </c>
      <c r="S7578" s="217" t="str">
        <f t="shared" si="755"/>
        <v/>
      </c>
    </row>
    <row r="7579" spans="1:19" ht="15.75" hidden="1" thickBot="1" x14ac:dyDescent="0.3">
      <c r="A7579" s="256" t="s">
        <v>6799</v>
      </c>
      <c r="B7579" s="259" t="str">
        <f>INDEX(Orçamentária!A:B,MATCH(Composições!A7579,Orçamentária!A:A,0),2)</f>
        <v>Tê PVC soldável com rosca na bolsa central 25 mm x 1/2”</v>
      </c>
      <c r="C7579" s="40"/>
      <c r="D7579" s="25" t="s">
        <v>16</v>
      </c>
      <c r="E7579" s="26"/>
      <c r="F7579" s="41" t="s">
        <v>416</v>
      </c>
      <c r="G7579" s="27" t="str">
        <f t="shared" si="750"/>
        <v/>
      </c>
      <c r="H7579" s="28"/>
      <c r="I7579" s="29"/>
      <c r="J7579" s="152">
        <v>0</v>
      </c>
      <c r="L7579" s="218"/>
      <c r="M7579" s="41"/>
      <c r="N7579" s="27" t="str">
        <f t="shared" si="751"/>
        <v/>
      </c>
      <c r="O7579" s="28"/>
      <c r="P7579" s="36" t="str">
        <f t="shared" si="752"/>
        <v/>
      </c>
      <c r="Q7579" s="216" t="str">
        <f t="shared" si="753"/>
        <v/>
      </c>
      <c r="R7579" s="216" t="str">
        <f t="shared" si="754"/>
        <v/>
      </c>
      <c r="S7579" s="217" t="str">
        <f t="shared" si="755"/>
        <v/>
      </c>
    </row>
    <row r="7580" spans="1:19" ht="15.75" hidden="1" thickBot="1" x14ac:dyDescent="0.3">
      <c r="A7580" s="262"/>
      <c r="B7580" s="260"/>
      <c r="C7580" s="31"/>
      <c r="D7580" s="31"/>
      <c r="E7580" s="32"/>
      <c r="F7580" s="42" t="s">
        <v>416</v>
      </c>
      <c r="G7580" s="33" t="str">
        <f t="shared" si="750"/>
        <v/>
      </c>
      <c r="H7580" s="34"/>
      <c r="I7580" s="30"/>
      <c r="J7580" s="152">
        <v>0</v>
      </c>
      <c r="L7580" s="219"/>
      <c r="M7580" s="42"/>
      <c r="N7580" s="33" t="str">
        <f t="shared" si="751"/>
        <v/>
      </c>
      <c r="O7580" s="34"/>
      <c r="P7580" s="36" t="str">
        <f t="shared" si="752"/>
        <v/>
      </c>
      <c r="Q7580" s="216" t="str">
        <f t="shared" si="753"/>
        <v/>
      </c>
      <c r="R7580" s="216" t="str">
        <f t="shared" si="754"/>
        <v/>
      </c>
      <c r="S7580" s="217" t="str">
        <f t="shared" si="755"/>
        <v/>
      </c>
    </row>
    <row r="7581" spans="1:19" ht="26.25" hidden="1" thickBot="1" x14ac:dyDescent="0.3">
      <c r="A7581" s="262"/>
      <c r="B7581" s="260"/>
      <c r="C7581" s="35" t="s">
        <v>8407</v>
      </c>
      <c r="D7581" s="35" t="s">
        <v>213</v>
      </c>
      <c r="E7581" s="36">
        <v>1</v>
      </c>
      <c r="F7581" s="30">
        <v>5.1395</v>
      </c>
      <c r="G7581" s="33">
        <f t="shared" si="750"/>
        <v>5.1395</v>
      </c>
      <c r="H7581" s="38">
        <f>SUM(G7581:G7581)</f>
        <v>5.1395</v>
      </c>
      <c r="I7581" s="39"/>
      <c r="J7581" s="152">
        <v>0</v>
      </c>
      <c r="L7581" s="215">
        <v>1</v>
      </c>
      <c r="M7581" s="30">
        <v>4.3994119999999999</v>
      </c>
      <c r="N7581" s="33">
        <f t="shared" si="751"/>
        <v>4.3994119999999999</v>
      </c>
      <c r="O7581" s="38">
        <f>SUM(N7581:N7581)</f>
        <v>4.3994119999999999</v>
      </c>
      <c r="P7581" s="36" t="str">
        <f t="shared" si="752"/>
        <v/>
      </c>
      <c r="Q7581" s="216">
        <f t="shared" si="753"/>
        <v>0.14400000000000002</v>
      </c>
      <c r="R7581" s="216">
        <f t="shared" si="754"/>
        <v>0.14400000000000002</v>
      </c>
      <c r="S7581" s="217">
        <f t="shared" si="755"/>
        <v>0.14400000000000002</v>
      </c>
    </row>
    <row r="7582" spans="1:19" ht="15.75" hidden="1" thickBot="1" x14ac:dyDescent="0.3">
      <c r="A7582" s="263"/>
      <c r="B7582" s="261"/>
      <c r="C7582" s="54"/>
      <c r="D7582" s="54"/>
      <c r="E7582" s="65"/>
      <c r="F7582" s="66" t="s">
        <v>416</v>
      </c>
      <c r="G7582" s="67" t="str">
        <f t="shared" si="750"/>
        <v/>
      </c>
      <c r="H7582" s="68"/>
      <c r="I7582" s="30"/>
      <c r="J7582" s="152">
        <v>0</v>
      </c>
      <c r="L7582" s="222"/>
      <c r="M7582" s="66"/>
      <c r="N7582" s="67" t="str">
        <f t="shared" si="751"/>
        <v/>
      </c>
      <c r="O7582" s="68"/>
      <c r="P7582" s="36" t="str">
        <f t="shared" si="752"/>
        <v/>
      </c>
      <c r="Q7582" s="216" t="str">
        <f t="shared" si="753"/>
        <v/>
      </c>
      <c r="R7582" s="216" t="str">
        <f t="shared" si="754"/>
        <v/>
      </c>
      <c r="S7582" s="217" t="str">
        <f t="shared" si="755"/>
        <v/>
      </c>
    </row>
    <row r="7583" spans="1:19" ht="15.75" hidden="1" thickBot="1" x14ac:dyDescent="0.3">
      <c r="A7583" s="256" t="s">
        <v>6800</v>
      </c>
      <c r="B7583" s="259" t="str">
        <f>INDEX(Orçamentária!A:B,MATCH(Composições!A7583,Orçamentária!A:A,0),2)</f>
        <v>Cap PVC soldável 25 mm</v>
      </c>
      <c r="C7583" s="40"/>
      <c r="D7583" s="25" t="s">
        <v>16</v>
      </c>
      <c r="E7583" s="26"/>
      <c r="F7583" s="41" t="s">
        <v>416</v>
      </c>
      <c r="G7583" s="27" t="str">
        <f t="shared" si="750"/>
        <v/>
      </c>
      <c r="H7583" s="28"/>
      <c r="I7583" s="29"/>
      <c r="J7583" s="152">
        <v>0</v>
      </c>
      <c r="L7583" s="218"/>
      <c r="M7583" s="41"/>
      <c r="N7583" s="27" t="str">
        <f t="shared" si="751"/>
        <v/>
      </c>
      <c r="O7583" s="28"/>
      <c r="P7583" s="36" t="str">
        <f t="shared" si="752"/>
        <v/>
      </c>
      <c r="Q7583" s="216" t="str">
        <f t="shared" si="753"/>
        <v/>
      </c>
      <c r="R7583" s="216" t="str">
        <f t="shared" si="754"/>
        <v/>
      </c>
      <c r="S7583" s="217" t="str">
        <f t="shared" si="755"/>
        <v/>
      </c>
    </row>
    <row r="7584" spans="1:19" ht="15.75" hidden="1" thickBot="1" x14ac:dyDescent="0.3">
      <c r="A7584" s="262"/>
      <c r="B7584" s="260"/>
      <c r="C7584" s="31"/>
      <c r="D7584" s="31"/>
      <c r="E7584" s="32"/>
      <c r="F7584" s="42" t="s">
        <v>416</v>
      </c>
      <c r="G7584" s="33" t="str">
        <f t="shared" si="750"/>
        <v/>
      </c>
      <c r="H7584" s="34"/>
      <c r="I7584" s="30"/>
      <c r="J7584" s="152">
        <v>0</v>
      </c>
      <c r="L7584" s="219"/>
      <c r="M7584" s="42"/>
      <c r="N7584" s="33" t="str">
        <f t="shared" si="751"/>
        <v/>
      </c>
      <c r="O7584" s="34"/>
      <c r="P7584" s="36" t="str">
        <f t="shared" si="752"/>
        <v/>
      </c>
      <c r="Q7584" s="216" t="str">
        <f t="shared" si="753"/>
        <v/>
      </c>
      <c r="R7584" s="216" t="str">
        <f t="shared" si="754"/>
        <v/>
      </c>
      <c r="S7584" s="217" t="str">
        <f t="shared" si="755"/>
        <v/>
      </c>
    </row>
    <row r="7585" spans="1:19" ht="15.75" hidden="1" thickBot="1" x14ac:dyDescent="0.3">
      <c r="A7585" s="262"/>
      <c r="B7585" s="260"/>
      <c r="C7585" s="35" t="s">
        <v>8050</v>
      </c>
      <c r="D7585" s="35" t="s">
        <v>213</v>
      </c>
      <c r="E7585" s="36">
        <v>1</v>
      </c>
      <c r="F7585" s="30">
        <v>1.2349999999999999</v>
      </c>
      <c r="G7585" s="33">
        <f t="shared" si="750"/>
        <v>1.2349999999999999</v>
      </c>
      <c r="H7585" s="38">
        <f>SUM(G7585:G7585)</f>
        <v>1.2349999999999999</v>
      </c>
      <c r="I7585" s="39"/>
      <c r="J7585" s="152">
        <v>0</v>
      </c>
      <c r="L7585" s="215">
        <v>1</v>
      </c>
      <c r="M7585" s="30">
        <v>1.0571599999999999</v>
      </c>
      <c r="N7585" s="33">
        <f t="shared" si="751"/>
        <v>1.0571599999999999</v>
      </c>
      <c r="O7585" s="38">
        <f>SUM(N7585:N7585)</f>
        <v>1.0571599999999999</v>
      </c>
      <c r="P7585" s="36" t="str">
        <f t="shared" si="752"/>
        <v/>
      </c>
      <c r="Q7585" s="216">
        <f t="shared" si="753"/>
        <v>0.14400000000000002</v>
      </c>
      <c r="R7585" s="216">
        <f t="shared" si="754"/>
        <v>0.14400000000000002</v>
      </c>
      <c r="S7585" s="217">
        <f t="shared" si="755"/>
        <v>0.14400000000000002</v>
      </c>
    </row>
    <row r="7586" spans="1:19" ht="15.75" hidden="1" thickBot="1" x14ac:dyDescent="0.3">
      <c r="A7586" s="263"/>
      <c r="B7586" s="261"/>
      <c r="C7586" s="54"/>
      <c r="D7586" s="54"/>
      <c r="E7586" s="65"/>
      <c r="F7586" s="66" t="s">
        <v>416</v>
      </c>
      <c r="G7586" s="67" t="str">
        <f t="shared" si="750"/>
        <v/>
      </c>
      <c r="H7586" s="68"/>
      <c r="I7586" s="30"/>
      <c r="J7586" s="152">
        <v>0</v>
      </c>
      <c r="L7586" s="222"/>
      <c r="M7586" s="66"/>
      <c r="N7586" s="67" t="str">
        <f t="shared" si="751"/>
        <v/>
      </c>
      <c r="O7586" s="68"/>
      <c r="P7586" s="36" t="str">
        <f t="shared" si="752"/>
        <v/>
      </c>
      <c r="Q7586" s="216" t="str">
        <f t="shared" si="753"/>
        <v/>
      </c>
      <c r="R7586" s="216" t="str">
        <f t="shared" si="754"/>
        <v/>
      </c>
      <c r="S7586" s="217" t="str">
        <f t="shared" si="755"/>
        <v/>
      </c>
    </row>
    <row r="7587" spans="1:19" ht="15.75" hidden="1" thickBot="1" x14ac:dyDescent="0.3">
      <c r="A7587" s="256" t="s">
        <v>6801</v>
      </c>
      <c r="B7587" s="259" t="str">
        <f>INDEX(Orçamentária!A:B,MATCH(Composições!A7587,Orçamentária!A:A,0),2)</f>
        <v>Luva PVC soldável com rosca 25 mm x 1/2” ou 3/4”</v>
      </c>
      <c r="C7587" s="40"/>
      <c r="D7587" s="25" t="s">
        <v>16</v>
      </c>
      <c r="E7587" s="26"/>
      <c r="F7587" s="41" t="s">
        <v>416</v>
      </c>
      <c r="G7587" s="27" t="str">
        <f t="shared" si="750"/>
        <v/>
      </c>
      <c r="H7587" s="28"/>
      <c r="I7587" s="29"/>
      <c r="J7587" s="152">
        <v>0</v>
      </c>
      <c r="L7587" s="218"/>
      <c r="M7587" s="41"/>
      <c r="N7587" s="27" t="str">
        <f t="shared" si="751"/>
        <v/>
      </c>
      <c r="O7587" s="28"/>
      <c r="P7587" s="36" t="str">
        <f t="shared" si="752"/>
        <v/>
      </c>
      <c r="Q7587" s="216" t="str">
        <f t="shared" si="753"/>
        <v/>
      </c>
      <c r="R7587" s="216" t="str">
        <f t="shared" si="754"/>
        <v/>
      </c>
      <c r="S7587" s="217" t="str">
        <f t="shared" si="755"/>
        <v/>
      </c>
    </row>
    <row r="7588" spans="1:19" ht="15.75" hidden="1" thickBot="1" x14ac:dyDescent="0.3">
      <c r="A7588" s="262"/>
      <c r="B7588" s="260"/>
      <c r="C7588" s="31"/>
      <c r="D7588" s="31"/>
      <c r="E7588" s="32"/>
      <c r="F7588" s="42" t="s">
        <v>416</v>
      </c>
      <c r="G7588" s="33" t="str">
        <f t="shared" si="750"/>
        <v/>
      </c>
      <c r="H7588" s="34"/>
      <c r="I7588" s="30"/>
      <c r="J7588" s="152">
        <v>0</v>
      </c>
      <c r="L7588" s="219"/>
      <c r="M7588" s="42"/>
      <c r="N7588" s="33" t="str">
        <f t="shared" si="751"/>
        <v/>
      </c>
      <c r="O7588" s="34"/>
      <c r="P7588" s="36" t="str">
        <f t="shared" si="752"/>
        <v/>
      </c>
      <c r="Q7588" s="216" t="str">
        <f t="shared" si="753"/>
        <v/>
      </c>
      <c r="R7588" s="216" t="str">
        <f t="shared" si="754"/>
        <v/>
      </c>
      <c r="S7588" s="217" t="str">
        <f t="shared" si="755"/>
        <v/>
      </c>
    </row>
    <row r="7589" spans="1:19" ht="26.25" hidden="1" thickBot="1" x14ac:dyDescent="0.3">
      <c r="A7589" s="262"/>
      <c r="B7589" s="260"/>
      <c r="C7589" s="35" t="s">
        <v>8282</v>
      </c>
      <c r="D7589" s="35" t="s">
        <v>213</v>
      </c>
      <c r="E7589" s="36">
        <v>1</v>
      </c>
      <c r="F7589" s="30">
        <v>1.8144999999999998</v>
      </c>
      <c r="G7589" s="33">
        <f t="shared" si="750"/>
        <v>1.8144999999999998</v>
      </c>
      <c r="H7589" s="38">
        <f>SUM(G7589:G7589)</f>
        <v>1.8144999999999998</v>
      </c>
      <c r="I7589" s="39"/>
      <c r="J7589" s="152">
        <v>0</v>
      </c>
      <c r="L7589" s="215">
        <v>1</v>
      </c>
      <c r="M7589" s="30">
        <v>1.5532119999999998</v>
      </c>
      <c r="N7589" s="33">
        <f t="shared" si="751"/>
        <v>1.5532119999999998</v>
      </c>
      <c r="O7589" s="38">
        <f>SUM(N7589:N7589)</f>
        <v>1.5532119999999998</v>
      </c>
      <c r="P7589" s="36" t="str">
        <f t="shared" si="752"/>
        <v/>
      </c>
      <c r="Q7589" s="216">
        <f t="shared" si="753"/>
        <v>0.14400000000000002</v>
      </c>
      <c r="R7589" s="216">
        <f t="shared" si="754"/>
        <v>0.14400000000000002</v>
      </c>
      <c r="S7589" s="217">
        <f t="shared" si="755"/>
        <v>0.14400000000000002</v>
      </c>
    </row>
    <row r="7590" spans="1:19" ht="15.75" hidden="1" thickBot="1" x14ac:dyDescent="0.3">
      <c r="A7590" s="263"/>
      <c r="B7590" s="261"/>
      <c r="C7590" s="54"/>
      <c r="D7590" s="54"/>
      <c r="E7590" s="65"/>
      <c r="F7590" s="66" t="s">
        <v>416</v>
      </c>
      <c r="G7590" s="67" t="str">
        <f t="shared" si="750"/>
        <v/>
      </c>
      <c r="H7590" s="68"/>
      <c r="I7590" s="30"/>
      <c r="J7590" s="152">
        <v>0</v>
      </c>
      <c r="L7590" s="222"/>
      <c r="M7590" s="66"/>
      <c r="N7590" s="67" t="str">
        <f t="shared" si="751"/>
        <v/>
      </c>
      <c r="O7590" s="68"/>
      <c r="P7590" s="36" t="str">
        <f t="shared" si="752"/>
        <v/>
      </c>
      <c r="Q7590" s="216" t="str">
        <f t="shared" si="753"/>
        <v/>
      </c>
      <c r="R7590" s="216" t="str">
        <f t="shared" si="754"/>
        <v/>
      </c>
      <c r="S7590" s="217" t="str">
        <f t="shared" si="755"/>
        <v/>
      </c>
    </row>
    <row r="7591" spans="1:19" ht="15.75" hidden="1" thickBot="1" x14ac:dyDescent="0.3">
      <c r="A7591" s="256" t="s">
        <v>6802</v>
      </c>
      <c r="B7591" s="259" t="str">
        <f>INDEX(Orçamentária!A:B,MATCH(Composições!A7591,Orçamentária!A:A,0),2)</f>
        <v>Luva PVC soldável com bucha de latão 25 mm x 1/2”</v>
      </c>
      <c r="C7591" s="40"/>
      <c r="D7591" s="25" t="s">
        <v>16</v>
      </c>
      <c r="E7591" s="26"/>
      <c r="F7591" s="41" t="s">
        <v>416</v>
      </c>
      <c r="G7591" s="27" t="str">
        <f t="shared" si="750"/>
        <v/>
      </c>
      <c r="H7591" s="28"/>
      <c r="I7591" s="29"/>
      <c r="J7591" s="152">
        <v>0</v>
      </c>
      <c r="L7591" s="218"/>
      <c r="M7591" s="41"/>
      <c r="N7591" s="27" t="str">
        <f t="shared" si="751"/>
        <v/>
      </c>
      <c r="O7591" s="28"/>
      <c r="P7591" s="36" t="str">
        <f t="shared" si="752"/>
        <v/>
      </c>
      <c r="Q7591" s="216" t="str">
        <f t="shared" si="753"/>
        <v/>
      </c>
      <c r="R7591" s="216" t="str">
        <f t="shared" si="754"/>
        <v/>
      </c>
      <c r="S7591" s="217" t="str">
        <f t="shared" si="755"/>
        <v/>
      </c>
    </row>
    <row r="7592" spans="1:19" ht="15.75" hidden="1" thickBot="1" x14ac:dyDescent="0.3">
      <c r="A7592" s="262"/>
      <c r="B7592" s="260"/>
      <c r="C7592" s="31"/>
      <c r="D7592" s="31"/>
      <c r="E7592" s="32"/>
      <c r="F7592" s="42" t="s">
        <v>416</v>
      </c>
      <c r="G7592" s="33" t="str">
        <f t="shared" si="750"/>
        <v/>
      </c>
      <c r="H7592" s="34"/>
      <c r="I7592" s="30"/>
      <c r="J7592" s="152">
        <v>0</v>
      </c>
      <c r="L7592" s="219"/>
      <c r="M7592" s="42"/>
      <c r="N7592" s="33" t="str">
        <f t="shared" si="751"/>
        <v/>
      </c>
      <c r="O7592" s="34"/>
      <c r="P7592" s="36" t="str">
        <f t="shared" si="752"/>
        <v/>
      </c>
      <c r="Q7592" s="216" t="str">
        <f t="shared" si="753"/>
        <v/>
      </c>
      <c r="R7592" s="216" t="str">
        <f t="shared" si="754"/>
        <v/>
      </c>
      <c r="S7592" s="217" t="str">
        <f t="shared" si="755"/>
        <v/>
      </c>
    </row>
    <row r="7593" spans="1:19" ht="15.75" hidden="1" thickBot="1" x14ac:dyDescent="0.3">
      <c r="A7593" s="262"/>
      <c r="B7593" s="260"/>
      <c r="C7593" s="35" t="s">
        <v>8280</v>
      </c>
      <c r="D7593" s="35" t="s">
        <v>213</v>
      </c>
      <c r="E7593" s="36">
        <v>1</v>
      </c>
      <c r="F7593" s="30">
        <v>5.9089999999999998</v>
      </c>
      <c r="G7593" s="33">
        <f t="shared" si="750"/>
        <v>5.9089999999999998</v>
      </c>
      <c r="H7593" s="38">
        <f>SUM(G7593:G7593)</f>
        <v>5.9089999999999998</v>
      </c>
      <c r="I7593" s="39"/>
      <c r="J7593" s="152">
        <v>0</v>
      </c>
      <c r="L7593" s="215">
        <v>1</v>
      </c>
      <c r="M7593" s="30">
        <v>5.0581040000000002</v>
      </c>
      <c r="N7593" s="33">
        <f t="shared" si="751"/>
        <v>5.0581040000000002</v>
      </c>
      <c r="O7593" s="38">
        <f>SUM(N7593:N7593)</f>
        <v>5.0581040000000002</v>
      </c>
      <c r="P7593" s="36" t="str">
        <f t="shared" si="752"/>
        <v/>
      </c>
      <c r="Q7593" s="216">
        <f t="shared" si="753"/>
        <v>0.14399999999999991</v>
      </c>
      <c r="R7593" s="216">
        <f t="shared" si="754"/>
        <v>0.14399999999999991</v>
      </c>
      <c r="S7593" s="217">
        <f t="shared" si="755"/>
        <v>0.14399999999999991</v>
      </c>
    </row>
    <row r="7594" spans="1:19" ht="15.75" hidden="1" thickBot="1" x14ac:dyDescent="0.3">
      <c r="A7594" s="263"/>
      <c r="B7594" s="261"/>
      <c r="C7594" s="54"/>
      <c r="D7594" s="54"/>
      <c r="E7594" s="65"/>
      <c r="F7594" s="66" t="s">
        <v>416</v>
      </c>
      <c r="G7594" s="67" t="str">
        <f t="shared" si="750"/>
        <v/>
      </c>
      <c r="H7594" s="68"/>
      <c r="I7594" s="30"/>
      <c r="J7594" s="152">
        <v>0</v>
      </c>
      <c r="L7594" s="222"/>
      <c r="M7594" s="66"/>
      <c r="N7594" s="67" t="str">
        <f t="shared" si="751"/>
        <v/>
      </c>
      <c r="O7594" s="68"/>
      <c r="P7594" s="36" t="str">
        <f t="shared" si="752"/>
        <v/>
      </c>
      <c r="Q7594" s="216" t="str">
        <f t="shared" si="753"/>
        <v/>
      </c>
      <c r="R7594" s="216" t="str">
        <f t="shared" si="754"/>
        <v/>
      </c>
      <c r="S7594" s="217" t="str">
        <f t="shared" si="755"/>
        <v/>
      </c>
    </row>
    <row r="7595" spans="1:19" ht="15.75" hidden="1" thickBot="1" x14ac:dyDescent="0.3">
      <c r="A7595" s="256" t="s">
        <v>6803</v>
      </c>
      <c r="B7595" s="259" t="str">
        <f>INDEX(Orçamentária!A:B,MATCH(Composições!A7595,Orçamentária!A:A,0),2)</f>
        <v>Luva PVC soldável com bucha de latão 25 mm x 3/4”</v>
      </c>
      <c r="C7595" s="40"/>
      <c r="D7595" s="25" t="s">
        <v>16</v>
      </c>
      <c r="E7595" s="26"/>
      <c r="F7595" s="41" t="s">
        <v>416</v>
      </c>
      <c r="G7595" s="27" t="str">
        <f t="shared" si="750"/>
        <v/>
      </c>
      <c r="H7595" s="28"/>
      <c r="I7595" s="29"/>
      <c r="J7595" s="152">
        <v>0</v>
      </c>
      <c r="L7595" s="218"/>
      <c r="M7595" s="41"/>
      <c r="N7595" s="27" t="str">
        <f t="shared" si="751"/>
        <v/>
      </c>
      <c r="O7595" s="28"/>
      <c r="P7595" s="36" t="str">
        <f t="shared" si="752"/>
        <v/>
      </c>
      <c r="Q7595" s="216" t="str">
        <f t="shared" si="753"/>
        <v/>
      </c>
      <c r="R7595" s="216" t="str">
        <f t="shared" si="754"/>
        <v/>
      </c>
      <c r="S7595" s="217" t="str">
        <f t="shared" si="755"/>
        <v/>
      </c>
    </row>
    <row r="7596" spans="1:19" ht="15.75" hidden="1" thickBot="1" x14ac:dyDescent="0.3">
      <c r="A7596" s="262"/>
      <c r="B7596" s="260"/>
      <c r="C7596" s="31"/>
      <c r="D7596" s="31"/>
      <c r="E7596" s="32"/>
      <c r="F7596" s="42" t="s">
        <v>416</v>
      </c>
      <c r="G7596" s="33" t="str">
        <f t="shared" si="750"/>
        <v/>
      </c>
      <c r="H7596" s="34"/>
      <c r="I7596" s="30"/>
      <c r="J7596" s="152">
        <v>0</v>
      </c>
      <c r="L7596" s="219"/>
      <c r="M7596" s="42"/>
      <c r="N7596" s="33" t="str">
        <f t="shared" si="751"/>
        <v/>
      </c>
      <c r="O7596" s="34"/>
      <c r="P7596" s="36" t="str">
        <f t="shared" si="752"/>
        <v/>
      </c>
      <c r="Q7596" s="216" t="str">
        <f t="shared" si="753"/>
        <v/>
      </c>
      <c r="R7596" s="216" t="str">
        <f t="shared" si="754"/>
        <v/>
      </c>
      <c r="S7596" s="217" t="str">
        <f t="shared" si="755"/>
        <v/>
      </c>
    </row>
    <row r="7597" spans="1:19" ht="15.75" hidden="1" thickBot="1" x14ac:dyDescent="0.3">
      <c r="A7597" s="262"/>
      <c r="B7597" s="260"/>
      <c r="C7597" s="35" t="s">
        <v>8281</v>
      </c>
      <c r="D7597" s="35" t="s">
        <v>213</v>
      </c>
      <c r="E7597" s="36">
        <v>1</v>
      </c>
      <c r="F7597" s="30">
        <v>6.4885000000000002</v>
      </c>
      <c r="G7597" s="33">
        <f t="shared" si="750"/>
        <v>6.4885000000000002</v>
      </c>
      <c r="H7597" s="38">
        <f>SUM(G7597:G7597)</f>
        <v>6.4885000000000002</v>
      </c>
      <c r="I7597" s="39"/>
      <c r="J7597" s="152">
        <v>0</v>
      </c>
      <c r="L7597" s="215">
        <v>1</v>
      </c>
      <c r="M7597" s="30">
        <v>5.5541559999999999</v>
      </c>
      <c r="N7597" s="33">
        <f t="shared" si="751"/>
        <v>5.5541559999999999</v>
      </c>
      <c r="O7597" s="38">
        <f>SUM(N7597:N7597)</f>
        <v>5.5541559999999999</v>
      </c>
      <c r="P7597" s="36" t="str">
        <f t="shared" si="752"/>
        <v/>
      </c>
      <c r="Q7597" s="216">
        <f t="shared" si="753"/>
        <v>0.14400000000000002</v>
      </c>
      <c r="R7597" s="216">
        <f t="shared" si="754"/>
        <v>0.14400000000000002</v>
      </c>
      <c r="S7597" s="217">
        <f t="shared" si="755"/>
        <v>0.14400000000000002</v>
      </c>
    </row>
    <row r="7598" spans="1:19" ht="15.75" hidden="1" thickBot="1" x14ac:dyDescent="0.3">
      <c r="A7598" s="263"/>
      <c r="B7598" s="261"/>
      <c r="C7598" s="54"/>
      <c r="D7598" s="54"/>
      <c r="E7598" s="65"/>
      <c r="F7598" s="66" t="s">
        <v>416</v>
      </c>
      <c r="G7598" s="67" t="str">
        <f t="shared" si="750"/>
        <v/>
      </c>
      <c r="H7598" s="68"/>
      <c r="I7598" s="30"/>
      <c r="J7598" s="152">
        <v>0</v>
      </c>
      <c r="L7598" s="222"/>
      <c r="M7598" s="66"/>
      <c r="N7598" s="67" t="str">
        <f t="shared" si="751"/>
        <v/>
      </c>
      <c r="O7598" s="68"/>
      <c r="P7598" s="36" t="str">
        <f t="shared" si="752"/>
        <v/>
      </c>
      <c r="Q7598" s="216" t="str">
        <f t="shared" si="753"/>
        <v/>
      </c>
      <c r="R7598" s="216" t="str">
        <f t="shared" si="754"/>
        <v/>
      </c>
      <c r="S7598" s="217" t="str">
        <f t="shared" si="755"/>
        <v/>
      </c>
    </row>
    <row r="7599" spans="1:19" ht="15.75" hidden="1" thickBot="1" x14ac:dyDescent="0.3">
      <c r="A7599" s="256" t="s">
        <v>6829</v>
      </c>
      <c r="B7599" s="259" t="str">
        <f>INDEX(Orçamentária!A:B,MATCH(Composições!A7599,Orçamentária!A:A,0),2)</f>
        <v>Luva de correr PVC soldável 25 mm</v>
      </c>
      <c r="C7599" s="40"/>
      <c r="D7599" s="25" t="s">
        <v>16</v>
      </c>
      <c r="E7599" s="26"/>
      <c r="F7599" s="41" t="s">
        <v>416</v>
      </c>
      <c r="G7599" s="27" t="str">
        <f t="shared" si="750"/>
        <v/>
      </c>
      <c r="H7599" s="28"/>
      <c r="I7599" s="29"/>
      <c r="J7599" s="152">
        <v>0</v>
      </c>
      <c r="L7599" s="218"/>
      <c r="M7599" s="41"/>
      <c r="N7599" s="27" t="str">
        <f t="shared" si="751"/>
        <v/>
      </c>
      <c r="O7599" s="28"/>
      <c r="P7599" s="36" t="str">
        <f t="shared" si="752"/>
        <v/>
      </c>
      <c r="Q7599" s="216" t="str">
        <f t="shared" si="753"/>
        <v/>
      </c>
      <c r="R7599" s="216" t="str">
        <f t="shared" si="754"/>
        <v/>
      </c>
      <c r="S7599" s="217" t="str">
        <f t="shared" si="755"/>
        <v/>
      </c>
    </row>
    <row r="7600" spans="1:19" ht="15.75" hidden="1" thickBot="1" x14ac:dyDescent="0.3">
      <c r="A7600" s="262"/>
      <c r="B7600" s="260"/>
      <c r="C7600" s="31"/>
      <c r="D7600" s="31"/>
      <c r="E7600" s="32"/>
      <c r="F7600" s="42" t="s">
        <v>416</v>
      </c>
      <c r="G7600" s="33" t="str">
        <f t="shared" si="750"/>
        <v/>
      </c>
      <c r="H7600" s="34"/>
      <c r="I7600" s="30"/>
      <c r="J7600" s="152">
        <v>0</v>
      </c>
      <c r="L7600" s="219"/>
      <c r="M7600" s="42"/>
      <c r="N7600" s="33" t="str">
        <f t="shared" si="751"/>
        <v/>
      </c>
      <c r="O7600" s="34"/>
      <c r="P7600" s="36" t="str">
        <f t="shared" si="752"/>
        <v/>
      </c>
      <c r="Q7600" s="216" t="str">
        <f t="shared" si="753"/>
        <v/>
      </c>
      <c r="R7600" s="216" t="str">
        <f t="shared" si="754"/>
        <v/>
      </c>
      <c r="S7600" s="217" t="str">
        <f t="shared" si="755"/>
        <v/>
      </c>
    </row>
    <row r="7601" spans="1:19" ht="26.25" hidden="1" thickBot="1" x14ac:dyDescent="0.3">
      <c r="A7601" s="262"/>
      <c r="B7601" s="260"/>
      <c r="C7601" s="35" t="s">
        <v>8239</v>
      </c>
      <c r="D7601" s="35" t="s">
        <v>213</v>
      </c>
      <c r="E7601" s="36">
        <v>1</v>
      </c>
      <c r="F7601" s="30">
        <v>12.197999999999999</v>
      </c>
      <c r="G7601" s="33">
        <f t="shared" si="750"/>
        <v>12.197999999999999</v>
      </c>
      <c r="H7601" s="38">
        <f>SUM(G7601:G7601)</f>
        <v>12.197999999999999</v>
      </c>
      <c r="I7601" s="39"/>
      <c r="J7601" s="152">
        <v>0</v>
      </c>
      <c r="L7601" s="215">
        <v>1</v>
      </c>
      <c r="M7601" s="30">
        <v>10.441488</v>
      </c>
      <c r="N7601" s="33">
        <f t="shared" si="751"/>
        <v>10.441488</v>
      </c>
      <c r="O7601" s="38">
        <f>SUM(N7601:N7601)</f>
        <v>10.441488</v>
      </c>
      <c r="P7601" s="36" t="str">
        <f t="shared" si="752"/>
        <v/>
      </c>
      <c r="Q7601" s="216">
        <f t="shared" si="753"/>
        <v>0.14399999999999991</v>
      </c>
      <c r="R7601" s="216">
        <f t="shared" si="754"/>
        <v>0.14399999999999991</v>
      </c>
      <c r="S7601" s="217">
        <f t="shared" si="755"/>
        <v>0.14399999999999991</v>
      </c>
    </row>
    <row r="7602" spans="1:19" ht="15.75" hidden="1" thickBot="1" x14ac:dyDescent="0.3">
      <c r="A7602" s="263"/>
      <c r="B7602" s="261"/>
      <c r="C7602" s="54"/>
      <c r="D7602" s="54"/>
      <c r="E7602" s="65"/>
      <c r="F7602" s="66" t="s">
        <v>416</v>
      </c>
      <c r="G7602" s="67" t="str">
        <f t="shared" si="750"/>
        <v/>
      </c>
      <c r="H7602" s="68"/>
      <c r="I7602" s="30"/>
      <c r="J7602" s="152">
        <v>0</v>
      </c>
      <c r="L7602" s="222"/>
      <c r="M7602" s="66"/>
      <c r="N7602" s="67" t="str">
        <f t="shared" si="751"/>
        <v/>
      </c>
      <c r="O7602" s="68"/>
      <c r="P7602" s="36" t="str">
        <f t="shared" si="752"/>
        <v/>
      </c>
      <c r="Q7602" s="216" t="str">
        <f t="shared" si="753"/>
        <v/>
      </c>
      <c r="R7602" s="216" t="str">
        <f t="shared" si="754"/>
        <v/>
      </c>
      <c r="S7602" s="217" t="str">
        <f t="shared" si="755"/>
        <v/>
      </c>
    </row>
    <row r="7603" spans="1:19" ht="15.75" hidden="1" thickBot="1" x14ac:dyDescent="0.3">
      <c r="A7603" s="256" t="s">
        <v>6830</v>
      </c>
      <c r="B7603" s="259" t="str">
        <f>INDEX(Orçamentária!A:B,MATCH(Composições!A7603,Orçamentária!A:A,0),2)</f>
        <v>Luva simples PVC soldável 25 mm</v>
      </c>
      <c r="C7603" s="40"/>
      <c r="D7603" s="25" t="s">
        <v>16</v>
      </c>
      <c r="E7603" s="26"/>
      <c r="F7603" s="41" t="s">
        <v>416</v>
      </c>
      <c r="G7603" s="27" t="str">
        <f t="shared" si="750"/>
        <v/>
      </c>
      <c r="H7603" s="28"/>
      <c r="I7603" s="29"/>
      <c r="J7603" s="152">
        <v>0</v>
      </c>
      <c r="L7603" s="218"/>
      <c r="M7603" s="41"/>
      <c r="N7603" s="27" t="str">
        <f t="shared" si="751"/>
        <v/>
      </c>
      <c r="O7603" s="28"/>
      <c r="P7603" s="36" t="str">
        <f t="shared" si="752"/>
        <v/>
      </c>
      <c r="Q7603" s="216" t="str">
        <f t="shared" si="753"/>
        <v/>
      </c>
      <c r="R7603" s="216" t="str">
        <f t="shared" si="754"/>
        <v/>
      </c>
      <c r="S7603" s="217" t="str">
        <f t="shared" si="755"/>
        <v/>
      </c>
    </row>
    <row r="7604" spans="1:19" ht="15.75" hidden="1" thickBot="1" x14ac:dyDescent="0.3">
      <c r="A7604" s="262"/>
      <c r="B7604" s="260"/>
      <c r="C7604" s="31"/>
      <c r="D7604" s="31"/>
      <c r="E7604" s="32"/>
      <c r="F7604" s="42" t="s">
        <v>416</v>
      </c>
      <c r="G7604" s="33" t="str">
        <f t="shared" si="750"/>
        <v/>
      </c>
      <c r="H7604" s="34"/>
      <c r="I7604" s="30"/>
      <c r="J7604" s="152">
        <v>0</v>
      </c>
      <c r="L7604" s="219"/>
      <c r="M7604" s="42"/>
      <c r="N7604" s="33" t="str">
        <f t="shared" si="751"/>
        <v/>
      </c>
      <c r="O7604" s="34"/>
      <c r="P7604" s="36" t="str">
        <f t="shared" si="752"/>
        <v/>
      </c>
      <c r="Q7604" s="216" t="str">
        <f t="shared" si="753"/>
        <v/>
      </c>
      <c r="R7604" s="216" t="str">
        <f t="shared" si="754"/>
        <v/>
      </c>
      <c r="S7604" s="217" t="str">
        <f t="shared" si="755"/>
        <v/>
      </c>
    </row>
    <row r="7605" spans="1:19" ht="15.75" hidden="1" thickBot="1" x14ac:dyDescent="0.3">
      <c r="A7605" s="262"/>
      <c r="B7605" s="260"/>
      <c r="C7605" s="35" t="s">
        <v>8269</v>
      </c>
      <c r="D7605" s="35" t="s">
        <v>213</v>
      </c>
      <c r="E7605" s="36">
        <v>1</v>
      </c>
      <c r="F7605" s="30">
        <v>0.8075</v>
      </c>
      <c r="G7605" s="33">
        <f t="shared" si="750"/>
        <v>0.8075</v>
      </c>
      <c r="H7605" s="38">
        <f>SUM(G7605:G7605)</f>
        <v>0.8075</v>
      </c>
      <c r="I7605" s="39"/>
      <c r="J7605" s="152">
        <v>0</v>
      </c>
      <c r="L7605" s="215">
        <v>1</v>
      </c>
      <c r="M7605" s="30">
        <v>0.69121999999999995</v>
      </c>
      <c r="N7605" s="33">
        <f t="shared" si="751"/>
        <v>0.69121999999999995</v>
      </c>
      <c r="O7605" s="38">
        <f>SUM(N7605:N7605)</f>
        <v>0.69121999999999995</v>
      </c>
      <c r="P7605" s="36" t="str">
        <f t="shared" si="752"/>
        <v/>
      </c>
      <c r="Q7605" s="216">
        <f t="shared" si="753"/>
        <v>0.14400000000000002</v>
      </c>
      <c r="R7605" s="216">
        <f t="shared" si="754"/>
        <v>0.14400000000000002</v>
      </c>
      <c r="S7605" s="217">
        <f t="shared" si="755"/>
        <v>0.14400000000000002</v>
      </c>
    </row>
    <row r="7606" spans="1:19" ht="15.75" hidden="1" thickBot="1" x14ac:dyDescent="0.3">
      <c r="A7606" s="263"/>
      <c r="B7606" s="261"/>
      <c r="C7606" s="54"/>
      <c r="D7606" s="54"/>
      <c r="E7606" s="65"/>
      <c r="F7606" s="66" t="s">
        <v>416</v>
      </c>
      <c r="G7606" s="67" t="str">
        <f t="shared" si="750"/>
        <v/>
      </c>
      <c r="H7606" s="68"/>
      <c r="I7606" s="30"/>
      <c r="J7606" s="152">
        <v>0</v>
      </c>
      <c r="L7606" s="222"/>
      <c r="M7606" s="66"/>
      <c r="N7606" s="67" t="str">
        <f t="shared" si="751"/>
        <v/>
      </c>
      <c r="O7606" s="68"/>
      <c r="P7606" s="36" t="str">
        <f t="shared" si="752"/>
        <v/>
      </c>
      <c r="Q7606" s="216" t="str">
        <f t="shared" si="753"/>
        <v/>
      </c>
      <c r="R7606" s="216" t="str">
        <f t="shared" si="754"/>
        <v/>
      </c>
      <c r="S7606" s="217" t="str">
        <f t="shared" si="755"/>
        <v/>
      </c>
    </row>
    <row r="7607" spans="1:19" ht="15.75" hidden="1" thickBot="1" x14ac:dyDescent="0.3">
      <c r="A7607" s="256" t="s">
        <v>6831</v>
      </c>
      <c r="B7607" s="259" t="str">
        <f>INDEX(Orçamentária!A:B,MATCH(Composições!A7607,Orçamentária!A:A,0),2)</f>
        <v>União de PVC soldável 25 mm</v>
      </c>
      <c r="C7607" s="40"/>
      <c r="D7607" s="25" t="s">
        <v>16</v>
      </c>
      <c r="E7607" s="26"/>
      <c r="F7607" s="41" t="s">
        <v>416</v>
      </c>
      <c r="G7607" s="27" t="str">
        <f t="shared" si="750"/>
        <v/>
      </c>
      <c r="H7607" s="28"/>
      <c r="I7607" s="29"/>
      <c r="J7607" s="152">
        <v>0</v>
      </c>
      <c r="L7607" s="218"/>
      <c r="M7607" s="41"/>
      <c r="N7607" s="27" t="str">
        <f t="shared" si="751"/>
        <v/>
      </c>
      <c r="O7607" s="28"/>
      <c r="P7607" s="36" t="str">
        <f t="shared" si="752"/>
        <v/>
      </c>
      <c r="Q7607" s="216" t="str">
        <f t="shared" si="753"/>
        <v/>
      </c>
      <c r="R7607" s="216" t="str">
        <f t="shared" si="754"/>
        <v/>
      </c>
      <c r="S7607" s="217" t="str">
        <f t="shared" si="755"/>
        <v/>
      </c>
    </row>
    <row r="7608" spans="1:19" ht="15.75" hidden="1" thickBot="1" x14ac:dyDescent="0.3">
      <c r="A7608" s="262"/>
      <c r="B7608" s="260"/>
      <c r="C7608" s="31"/>
      <c r="D7608" s="31"/>
      <c r="E7608" s="32"/>
      <c r="F7608" s="42" t="s">
        <v>416</v>
      </c>
      <c r="G7608" s="33" t="str">
        <f t="shared" si="750"/>
        <v/>
      </c>
      <c r="H7608" s="34"/>
      <c r="I7608" s="30"/>
      <c r="J7608" s="152">
        <v>0</v>
      </c>
      <c r="L7608" s="219"/>
      <c r="M7608" s="42"/>
      <c r="N7608" s="33" t="str">
        <f t="shared" si="751"/>
        <v/>
      </c>
      <c r="O7608" s="34"/>
      <c r="P7608" s="36" t="str">
        <f t="shared" si="752"/>
        <v/>
      </c>
      <c r="Q7608" s="216" t="str">
        <f t="shared" si="753"/>
        <v/>
      </c>
      <c r="R7608" s="216" t="str">
        <f t="shared" si="754"/>
        <v/>
      </c>
      <c r="S7608" s="217" t="str">
        <f t="shared" si="755"/>
        <v/>
      </c>
    </row>
    <row r="7609" spans="1:19" ht="15.75" hidden="1" thickBot="1" x14ac:dyDescent="0.3">
      <c r="A7609" s="262"/>
      <c r="B7609" s="260"/>
      <c r="C7609" s="35" t="s">
        <v>8563</v>
      </c>
      <c r="D7609" s="35" t="s">
        <v>213</v>
      </c>
      <c r="E7609" s="36">
        <v>1</v>
      </c>
      <c r="F7609" s="30">
        <v>7.8944999999999999</v>
      </c>
      <c r="G7609" s="33">
        <f t="shared" si="750"/>
        <v>7.8944999999999999</v>
      </c>
      <c r="H7609" s="38">
        <f>SUM(G7609:G7609)</f>
        <v>7.8944999999999999</v>
      </c>
      <c r="I7609" s="39"/>
      <c r="J7609" s="152">
        <v>0</v>
      </c>
      <c r="L7609" s="215">
        <v>1</v>
      </c>
      <c r="M7609" s="30">
        <v>6.7576920000000005</v>
      </c>
      <c r="N7609" s="33">
        <f t="shared" si="751"/>
        <v>6.7576920000000005</v>
      </c>
      <c r="O7609" s="38">
        <f>SUM(N7609:N7609)</f>
        <v>6.7576920000000005</v>
      </c>
      <c r="P7609" s="36" t="str">
        <f t="shared" si="752"/>
        <v/>
      </c>
      <c r="Q7609" s="216">
        <f t="shared" si="753"/>
        <v>0.14399999999999991</v>
      </c>
      <c r="R7609" s="216">
        <f t="shared" si="754"/>
        <v>0.14399999999999991</v>
      </c>
      <c r="S7609" s="217">
        <f t="shared" si="755"/>
        <v>0.14399999999999991</v>
      </c>
    </row>
    <row r="7610" spans="1:19" ht="15.75" hidden="1" thickBot="1" x14ac:dyDescent="0.3">
      <c r="A7610" s="263"/>
      <c r="B7610" s="261"/>
      <c r="C7610" s="54"/>
      <c r="D7610" s="54"/>
      <c r="E7610" s="65"/>
      <c r="F7610" s="66" t="s">
        <v>416</v>
      </c>
      <c r="G7610" s="67" t="str">
        <f t="shared" si="750"/>
        <v/>
      </c>
      <c r="H7610" s="68"/>
      <c r="I7610" s="30"/>
      <c r="J7610" s="152">
        <v>0</v>
      </c>
      <c r="L7610" s="222"/>
      <c r="M7610" s="66"/>
      <c r="N7610" s="67" t="str">
        <f t="shared" si="751"/>
        <v/>
      </c>
      <c r="O7610" s="68"/>
      <c r="P7610" s="36" t="str">
        <f t="shared" si="752"/>
        <v/>
      </c>
      <c r="Q7610" s="216" t="str">
        <f t="shared" si="753"/>
        <v/>
      </c>
      <c r="R7610" s="216" t="str">
        <f t="shared" si="754"/>
        <v/>
      </c>
      <c r="S7610" s="217" t="str">
        <f t="shared" si="755"/>
        <v/>
      </c>
    </row>
    <row r="7611" spans="1:19" ht="15.75" hidden="1" thickBot="1" x14ac:dyDescent="0.3">
      <c r="A7611" s="256" t="s">
        <v>6832</v>
      </c>
      <c r="B7611" s="259" t="str">
        <f>INDEX(Orçamentária!A:B,MATCH(Composições!A7611,Orçamentária!A:A,0),2)</f>
        <v>Adaptador PVC soldável, curto com bolsa e rosca para Registro 25 mm x 3/4”</v>
      </c>
      <c r="C7611" s="40"/>
      <c r="D7611" s="25" t="s">
        <v>16</v>
      </c>
      <c r="E7611" s="26"/>
      <c r="F7611" s="41" t="s">
        <v>416</v>
      </c>
      <c r="G7611" s="27" t="str">
        <f t="shared" si="750"/>
        <v/>
      </c>
      <c r="H7611" s="28"/>
      <c r="I7611" s="29"/>
      <c r="J7611" s="152">
        <v>0</v>
      </c>
      <c r="L7611" s="218"/>
      <c r="M7611" s="41"/>
      <c r="N7611" s="27" t="str">
        <f t="shared" si="751"/>
        <v/>
      </c>
      <c r="O7611" s="28"/>
      <c r="P7611" s="36" t="str">
        <f t="shared" si="752"/>
        <v/>
      </c>
      <c r="Q7611" s="216" t="str">
        <f t="shared" si="753"/>
        <v/>
      </c>
      <c r="R7611" s="216" t="str">
        <f t="shared" si="754"/>
        <v/>
      </c>
      <c r="S7611" s="217" t="str">
        <f t="shared" si="755"/>
        <v/>
      </c>
    </row>
    <row r="7612" spans="1:19" ht="15.75" hidden="1" thickBot="1" x14ac:dyDescent="0.3">
      <c r="A7612" s="262"/>
      <c r="B7612" s="260"/>
      <c r="C7612" s="31"/>
      <c r="D7612" s="31"/>
      <c r="E7612" s="32"/>
      <c r="F7612" s="42" t="s">
        <v>416</v>
      </c>
      <c r="G7612" s="33" t="str">
        <f t="shared" si="750"/>
        <v/>
      </c>
      <c r="H7612" s="34"/>
      <c r="I7612" s="30"/>
      <c r="J7612" s="152">
        <v>0</v>
      </c>
      <c r="L7612" s="219"/>
      <c r="M7612" s="42"/>
      <c r="N7612" s="33" t="str">
        <f t="shared" si="751"/>
        <v/>
      </c>
      <c r="O7612" s="34"/>
      <c r="P7612" s="36" t="str">
        <f t="shared" si="752"/>
        <v/>
      </c>
      <c r="Q7612" s="216" t="str">
        <f t="shared" si="753"/>
        <v/>
      </c>
      <c r="R7612" s="216" t="str">
        <f t="shared" si="754"/>
        <v/>
      </c>
      <c r="S7612" s="217" t="str">
        <f t="shared" si="755"/>
        <v/>
      </c>
    </row>
    <row r="7613" spans="1:19" ht="26.25" hidden="1" thickBot="1" x14ac:dyDescent="0.3">
      <c r="A7613" s="262"/>
      <c r="B7613" s="260"/>
      <c r="C7613" s="35" t="s">
        <v>7960</v>
      </c>
      <c r="D7613" s="35" t="s">
        <v>213</v>
      </c>
      <c r="E7613" s="36">
        <v>1</v>
      </c>
      <c r="F7613" s="30">
        <v>0.88349999999999995</v>
      </c>
      <c r="G7613" s="33">
        <f t="shared" si="750"/>
        <v>0.88349999999999995</v>
      </c>
      <c r="H7613" s="38">
        <f>SUM(G7613:G7613)</f>
        <v>0.88349999999999995</v>
      </c>
      <c r="I7613" s="39"/>
      <c r="J7613" s="152">
        <v>0</v>
      </c>
      <c r="L7613" s="215">
        <v>1</v>
      </c>
      <c r="M7613" s="30">
        <v>0.75627599999999995</v>
      </c>
      <c r="N7613" s="33">
        <f t="shared" si="751"/>
        <v>0.75627599999999995</v>
      </c>
      <c r="O7613" s="38">
        <f>SUM(N7613:N7613)</f>
        <v>0.75627599999999995</v>
      </c>
      <c r="P7613" s="36" t="str">
        <f t="shared" si="752"/>
        <v/>
      </c>
      <c r="Q7613" s="216">
        <f t="shared" si="753"/>
        <v>0.14400000000000002</v>
      </c>
      <c r="R7613" s="216">
        <f t="shared" si="754"/>
        <v>0.14400000000000002</v>
      </c>
      <c r="S7613" s="217">
        <f t="shared" si="755"/>
        <v>0.14400000000000002</v>
      </c>
    </row>
    <row r="7614" spans="1:19" ht="15.75" hidden="1" thickBot="1" x14ac:dyDescent="0.3">
      <c r="A7614" s="263"/>
      <c r="B7614" s="261"/>
      <c r="C7614" s="54"/>
      <c r="D7614" s="54"/>
      <c r="E7614" s="65"/>
      <c r="F7614" s="66" t="s">
        <v>416</v>
      </c>
      <c r="G7614" s="67" t="str">
        <f t="shared" si="750"/>
        <v/>
      </c>
      <c r="H7614" s="68"/>
      <c r="I7614" s="30"/>
      <c r="J7614" s="152">
        <v>0</v>
      </c>
      <c r="L7614" s="222"/>
      <c r="M7614" s="66"/>
      <c r="N7614" s="67" t="str">
        <f t="shared" si="751"/>
        <v/>
      </c>
      <c r="O7614" s="68"/>
      <c r="P7614" s="36" t="str">
        <f t="shared" si="752"/>
        <v/>
      </c>
      <c r="Q7614" s="216" t="str">
        <f t="shared" si="753"/>
        <v/>
      </c>
      <c r="R7614" s="216" t="str">
        <f t="shared" si="754"/>
        <v/>
      </c>
      <c r="S7614" s="217" t="str">
        <f t="shared" si="755"/>
        <v/>
      </c>
    </row>
    <row r="7615" spans="1:19" ht="15.75" hidden="1" thickBot="1" x14ac:dyDescent="0.3">
      <c r="A7615" s="256" t="s">
        <v>6833</v>
      </c>
      <c r="B7615" s="259" t="str">
        <f>INDEX(Orçamentária!A:B,MATCH(Composições!A7615,Orçamentária!A:A,0),2)</f>
        <v>Adaptador flange PVC soldável 25 mm x 3/4”</v>
      </c>
      <c r="C7615" s="40"/>
      <c r="D7615" s="25" t="s">
        <v>16</v>
      </c>
      <c r="E7615" s="26"/>
      <c r="F7615" s="41" t="s">
        <v>416</v>
      </c>
      <c r="G7615" s="27" t="str">
        <f t="shared" si="750"/>
        <v/>
      </c>
      <c r="H7615" s="28"/>
      <c r="I7615" s="29"/>
      <c r="J7615" s="152">
        <v>0</v>
      </c>
      <c r="L7615" s="218"/>
      <c r="M7615" s="41"/>
      <c r="N7615" s="27" t="str">
        <f t="shared" si="751"/>
        <v/>
      </c>
      <c r="O7615" s="28"/>
      <c r="P7615" s="36" t="str">
        <f t="shared" si="752"/>
        <v/>
      </c>
      <c r="Q7615" s="216" t="str">
        <f t="shared" si="753"/>
        <v/>
      </c>
      <c r="R7615" s="216" t="str">
        <f t="shared" si="754"/>
        <v/>
      </c>
      <c r="S7615" s="217" t="str">
        <f t="shared" si="755"/>
        <v/>
      </c>
    </row>
    <row r="7616" spans="1:19" ht="15.75" hidden="1" thickBot="1" x14ac:dyDescent="0.3">
      <c r="A7616" s="262"/>
      <c r="B7616" s="260"/>
      <c r="C7616" s="31"/>
      <c r="D7616" s="31"/>
      <c r="E7616" s="32"/>
      <c r="F7616" s="42" t="s">
        <v>416</v>
      </c>
      <c r="G7616" s="33" t="str">
        <f t="shared" si="750"/>
        <v/>
      </c>
      <c r="H7616" s="34"/>
      <c r="I7616" s="30"/>
      <c r="J7616" s="152">
        <v>0</v>
      </c>
      <c r="L7616" s="219"/>
      <c r="M7616" s="42"/>
      <c r="N7616" s="33" t="str">
        <f t="shared" si="751"/>
        <v/>
      </c>
      <c r="O7616" s="34"/>
      <c r="P7616" s="36" t="str">
        <f t="shared" si="752"/>
        <v/>
      </c>
      <c r="Q7616" s="216" t="str">
        <f t="shared" si="753"/>
        <v/>
      </c>
      <c r="R7616" s="216" t="str">
        <f t="shared" si="754"/>
        <v/>
      </c>
      <c r="S7616" s="217" t="str">
        <f t="shared" si="755"/>
        <v/>
      </c>
    </row>
    <row r="7617" spans="1:19" ht="26.25" hidden="1" thickBot="1" x14ac:dyDescent="0.3">
      <c r="A7617" s="262"/>
      <c r="B7617" s="260"/>
      <c r="C7617" s="35" t="s">
        <v>7967</v>
      </c>
      <c r="D7617" s="35" t="s">
        <v>213</v>
      </c>
      <c r="E7617" s="36">
        <v>1</v>
      </c>
      <c r="F7617" s="30">
        <v>12.169499999999999</v>
      </c>
      <c r="G7617" s="33">
        <f t="shared" si="750"/>
        <v>12.169499999999999</v>
      </c>
      <c r="H7617" s="38">
        <f>SUM(G7617:G7617)</f>
        <v>12.169499999999999</v>
      </c>
      <c r="I7617" s="39"/>
      <c r="J7617" s="152">
        <v>0</v>
      </c>
      <c r="L7617" s="215">
        <v>1</v>
      </c>
      <c r="M7617" s="30">
        <v>10.417092</v>
      </c>
      <c r="N7617" s="33">
        <f t="shared" si="751"/>
        <v>10.417092</v>
      </c>
      <c r="O7617" s="38">
        <f>SUM(N7617:N7617)</f>
        <v>10.417092</v>
      </c>
      <c r="P7617" s="36" t="str">
        <f t="shared" si="752"/>
        <v/>
      </c>
      <c r="Q7617" s="216">
        <f t="shared" si="753"/>
        <v>0.14399999999999991</v>
      </c>
      <c r="R7617" s="216">
        <f t="shared" si="754"/>
        <v>0.14399999999999991</v>
      </c>
      <c r="S7617" s="217">
        <f t="shared" si="755"/>
        <v>0.14399999999999991</v>
      </c>
    </row>
    <row r="7618" spans="1:19" ht="15.75" hidden="1" thickBot="1" x14ac:dyDescent="0.3">
      <c r="A7618" s="263"/>
      <c r="B7618" s="261"/>
      <c r="C7618" s="54"/>
      <c r="D7618" s="54"/>
      <c r="E7618" s="65"/>
      <c r="F7618" s="66" t="s">
        <v>416</v>
      </c>
      <c r="G7618" s="67" t="str">
        <f t="shared" ref="G7618:G7681" si="756">IF(ISNUMBER(F7618),E7618*F7618,"")</f>
        <v/>
      </c>
      <c r="H7618" s="68"/>
      <c r="I7618" s="30"/>
      <c r="J7618" s="152">
        <v>0</v>
      </c>
      <c r="L7618" s="222"/>
      <c r="M7618" s="66"/>
      <c r="N7618" s="67" t="str">
        <f t="shared" ref="N7618:N7681" si="757">IF(ISNUMBER(M7618),L7618*M7618,"")</f>
        <v/>
      </c>
      <c r="O7618" s="68"/>
      <c r="P7618" s="36" t="str">
        <f t="shared" si="752"/>
        <v/>
      </c>
      <c r="Q7618" s="216" t="str">
        <f t="shared" si="753"/>
        <v/>
      </c>
      <c r="R7618" s="216" t="str">
        <f t="shared" si="754"/>
        <v/>
      </c>
      <c r="S7618" s="217" t="str">
        <f t="shared" si="755"/>
        <v/>
      </c>
    </row>
    <row r="7619" spans="1:19" ht="15.75" hidden="1" thickBot="1" x14ac:dyDescent="0.3">
      <c r="A7619" s="256" t="s">
        <v>6834</v>
      </c>
      <c r="B7619" s="259" t="str">
        <f>INDEX(Orçamentária!A:B,MATCH(Composições!A7619,Orçamentária!A:A,0),2)</f>
        <v>Joelho 90° PVC soldável 32 mm</v>
      </c>
      <c r="C7619" s="40"/>
      <c r="D7619" s="25" t="s">
        <v>16</v>
      </c>
      <c r="E7619" s="26"/>
      <c r="F7619" s="41" t="s">
        <v>416</v>
      </c>
      <c r="G7619" s="27" t="str">
        <f t="shared" si="756"/>
        <v/>
      </c>
      <c r="H7619" s="28"/>
      <c r="I7619" s="29"/>
      <c r="J7619" s="152">
        <v>0</v>
      </c>
      <c r="L7619" s="218"/>
      <c r="M7619" s="41"/>
      <c r="N7619" s="27" t="str">
        <f t="shared" si="757"/>
        <v/>
      </c>
      <c r="O7619" s="28"/>
      <c r="P7619" s="36" t="str">
        <f t="shared" si="752"/>
        <v/>
      </c>
      <c r="Q7619" s="216" t="str">
        <f t="shared" si="753"/>
        <v/>
      </c>
      <c r="R7619" s="216" t="str">
        <f t="shared" si="754"/>
        <v/>
      </c>
      <c r="S7619" s="217" t="str">
        <f t="shared" si="755"/>
        <v/>
      </c>
    </row>
    <row r="7620" spans="1:19" ht="15.75" hidden="1" thickBot="1" x14ac:dyDescent="0.3">
      <c r="A7620" s="262"/>
      <c r="B7620" s="260"/>
      <c r="C7620" s="31"/>
      <c r="D7620" s="31"/>
      <c r="E7620" s="32"/>
      <c r="F7620" s="42" t="s">
        <v>416</v>
      </c>
      <c r="G7620" s="33" t="str">
        <f t="shared" si="756"/>
        <v/>
      </c>
      <c r="H7620" s="34"/>
      <c r="I7620" s="30"/>
      <c r="J7620" s="152">
        <v>0</v>
      </c>
      <c r="L7620" s="219"/>
      <c r="M7620" s="42"/>
      <c r="N7620" s="33" t="str">
        <f t="shared" si="757"/>
        <v/>
      </c>
      <c r="O7620" s="34"/>
      <c r="P7620" s="36" t="str">
        <f t="shared" si="752"/>
        <v/>
      </c>
      <c r="Q7620" s="216" t="str">
        <f t="shared" si="753"/>
        <v/>
      </c>
      <c r="R7620" s="216" t="str">
        <f t="shared" si="754"/>
        <v/>
      </c>
      <c r="S7620" s="217" t="str">
        <f t="shared" si="755"/>
        <v/>
      </c>
    </row>
    <row r="7621" spans="1:19" ht="26.25" hidden="1" thickBot="1" x14ac:dyDescent="0.3">
      <c r="A7621" s="262"/>
      <c r="B7621" s="260"/>
      <c r="C7621" s="35" t="s">
        <v>8200</v>
      </c>
      <c r="D7621" s="35" t="s">
        <v>213</v>
      </c>
      <c r="E7621" s="36">
        <v>1</v>
      </c>
      <c r="F7621" s="30">
        <v>2.3939999999999997</v>
      </c>
      <c r="G7621" s="33">
        <f t="shared" si="756"/>
        <v>2.3939999999999997</v>
      </c>
      <c r="H7621" s="38">
        <f>SUM(G7621:G7621)</f>
        <v>2.3939999999999997</v>
      </c>
      <c r="I7621" s="39"/>
      <c r="J7621" s="152">
        <v>0</v>
      </c>
      <c r="L7621" s="215">
        <v>1</v>
      </c>
      <c r="M7621" s="30">
        <v>2.049264</v>
      </c>
      <c r="N7621" s="33">
        <f t="shared" si="757"/>
        <v>2.049264</v>
      </c>
      <c r="O7621" s="38">
        <f>SUM(N7621:N7621)</f>
        <v>2.049264</v>
      </c>
      <c r="P7621" s="36" t="str">
        <f t="shared" si="752"/>
        <v/>
      </c>
      <c r="Q7621" s="216">
        <f t="shared" si="753"/>
        <v>0.14399999999999991</v>
      </c>
      <c r="R7621" s="216">
        <f t="shared" si="754"/>
        <v>0.14399999999999991</v>
      </c>
      <c r="S7621" s="217">
        <f t="shared" si="755"/>
        <v>0.14399999999999991</v>
      </c>
    </row>
    <row r="7622" spans="1:19" ht="15.75" hidden="1" thickBot="1" x14ac:dyDescent="0.3">
      <c r="A7622" s="263"/>
      <c r="B7622" s="261"/>
      <c r="C7622" s="54"/>
      <c r="D7622" s="54"/>
      <c r="E7622" s="65"/>
      <c r="F7622" s="66" t="s">
        <v>416</v>
      </c>
      <c r="G7622" s="67" t="str">
        <f t="shared" si="756"/>
        <v/>
      </c>
      <c r="H7622" s="68"/>
      <c r="I7622" s="30"/>
      <c r="J7622" s="152">
        <v>0</v>
      </c>
      <c r="L7622" s="222"/>
      <c r="M7622" s="66"/>
      <c r="N7622" s="67" t="str">
        <f t="shared" si="757"/>
        <v/>
      </c>
      <c r="O7622" s="68"/>
      <c r="P7622" s="36" t="str">
        <f t="shared" si="752"/>
        <v/>
      </c>
      <c r="Q7622" s="216" t="str">
        <f t="shared" si="753"/>
        <v/>
      </c>
      <c r="R7622" s="216" t="str">
        <f t="shared" si="754"/>
        <v/>
      </c>
      <c r="S7622" s="217" t="str">
        <f t="shared" si="755"/>
        <v/>
      </c>
    </row>
    <row r="7623" spans="1:19" ht="15.75" hidden="1" thickBot="1" x14ac:dyDescent="0.3">
      <c r="A7623" s="256" t="s">
        <v>6835</v>
      </c>
      <c r="B7623" s="259" t="str">
        <f>INDEX(Orçamentária!A:B,MATCH(Composições!A7623,Orçamentária!A:A,0),2)</f>
        <v>Joelho 45° PVC soldável 32 mm</v>
      </c>
      <c r="C7623" s="40"/>
      <c r="D7623" s="25" t="s">
        <v>16</v>
      </c>
      <c r="E7623" s="26"/>
      <c r="F7623" s="41" t="s">
        <v>416</v>
      </c>
      <c r="G7623" s="27" t="str">
        <f t="shared" si="756"/>
        <v/>
      </c>
      <c r="H7623" s="28"/>
      <c r="I7623" s="29"/>
      <c r="J7623" s="152">
        <v>0</v>
      </c>
      <c r="L7623" s="218"/>
      <c r="M7623" s="41"/>
      <c r="N7623" s="27" t="str">
        <f t="shared" si="757"/>
        <v/>
      </c>
      <c r="O7623" s="28"/>
      <c r="P7623" s="36" t="str">
        <f t="shared" si="752"/>
        <v/>
      </c>
      <c r="Q7623" s="216" t="str">
        <f t="shared" si="753"/>
        <v/>
      </c>
      <c r="R7623" s="216" t="str">
        <f t="shared" si="754"/>
        <v/>
      </c>
      <c r="S7623" s="217" t="str">
        <f t="shared" si="755"/>
        <v/>
      </c>
    </row>
    <row r="7624" spans="1:19" ht="15.75" hidden="1" thickBot="1" x14ac:dyDescent="0.3">
      <c r="A7624" s="262"/>
      <c r="B7624" s="260"/>
      <c r="C7624" s="31"/>
      <c r="D7624" s="31"/>
      <c r="E7624" s="32"/>
      <c r="F7624" s="42" t="s">
        <v>416</v>
      </c>
      <c r="G7624" s="33" t="str">
        <f t="shared" si="756"/>
        <v/>
      </c>
      <c r="H7624" s="34"/>
      <c r="I7624" s="30"/>
      <c r="J7624" s="152">
        <v>0</v>
      </c>
      <c r="L7624" s="219"/>
      <c r="M7624" s="42"/>
      <c r="N7624" s="33" t="str">
        <f t="shared" si="757"/>
        <v/>
      </c>
      <c r="O7624" s="34"/>
      <c r="P7624" s="36" t="str">
        <f t="shared" ref="P7624:P7687" si="758">IF(ISBLANK(L7624),"",IF($E7624&lt;&gt;L7624,"SIM",""))</f>
        <v/>
      </c>
      <c r="Q7624" s="216" t="str">
        <f t="shared" ref="Q7624:Q7687" si="759">IF(M7624="","",1-M7624/$F7624)</f>
        <v/>
      </c>
      <c r="R7624" s="216" t="str">
        <f t="shared" ref="R7624:R7687" si="760">IF(N7624="","",1-N7624/$G7624)</f>
        <v/>
      </c>
      <c r="S7624" s="217" t="str">
        <f t="shared" ref="S7624:S7687" si="761">IF(O7624="","",1-O7624/$H7624)</f>
        <v/>
      </c>
    </row>
    <row r="7625" spans="1:19" ht="26.25" hidden="1" thickBot="1" x14ac:dyDescent="0.3">
      <c r="A7625" s="262"/>
      <c r="B7625" s="260"/>
      <c r="C7625" s="35" t="s">
        <v>8206</v>
      </c>
      <c r="D7625" s="35" t="s">
        <v>213</v>
      </c>
      <c r="E7625" s="36">
        <v>1</v>
      </c>
      <c r="F7625" s="30">
        <v>4.0944999999999991</v>
      </c>
      <c r="G7625" s="33">
        <f t="shared" si="756"/>
        <v>4.0944999999999991</v>
      </c>
      <c r="H7625" s="38">
        <f>SUM(G7625:G7625)</f>
        <v>4.0944999999999991</v>
      </c>
      <c r="I7625" s="39"/>
      <c r="J7625" s="152">
        <v>0</v>
      </c>
      <c r="L7625" s="215">
        <v>1</v>
      </c>
      <c r="M7625" s="30">
        <v>3.5048919999999995</v>
      </c>
      <c r="N7625" s="33">
        <f t="shared" si="757"/>
        <v>3.5048919999999995</v>
      </c>
      <c r="O7625" s="38">
        <f>SUM(N7625:N7625)</f>
        <v>3.5048919999999995</v>
      </c>
      <c r="P7625" s="36" t="str">
        <f t="shared" si="758"/>
        <v/>
      </c>
      <c r="Q7625" s="216">
        <f t="shared" si="759"/>
        <v>0.14399999999999991</v>
      </c>
      <c r="R7625" s="216">
        <f t="shared" si="760"/>
        <v>0.14399999999999991</v>
      </c>
      <c r="S7625" s="217">
        <f t="shared" si="761"/>
        <v>0.14399999999999991</v>
      </c>
    </row>
    <row r="7626" spans="1:19" ht="15.75" hidden="1" thickBot="1" x14ac:dyDescent="0.3">
      <c r="A7626" s="263"/>
      <c r="B7626" s="261"/>
      <c r="C7626" s="54"/>
      <c r="D7626" s="54"/>
      <c r="E7626" s="65"/>
      <c r="F7626" s="66" t="s">
        <v>416</v>
      </c>
      <c r="G7626" s="67" t="str">
        <f t="shared" si="756"/>
        <v/>
      </c>
      <c r="H7626" s="68"/>
      <c r="I7626" s="30"/>
      <c r="J7626" s="152">
        <v>0</v>
      </c>
      <c r="L7626" s="222"/>
      <c r="M7626" s="66"/>
      <c r="N7626" s="67" t="str">
        <f t="shared" si="757"/>
        <v/>
      </c>
      <c r="O7626" s="68"/>
      <c r="P7626" s="36" t="str">
        <f t="shared" si="758"/>
        <v/>
      </c>
      <c r="Q7626" s="216" t="str">
        <f t="shared" si="759"/>
        <v/>
      </c>
      <c r="R7626" s="216" t="str">
        <f t="shared" si="760"/>
        <v/>
      </c>
      <c r="S7626" s="217" t="str">
        <f t="shared" si="761"/>
        <v/>
      </c>
    </row>
    <row r="7627" spans="1:19" ht="15.75" hidden="1" thickBot="1" x14ac:dyDescent="0.3">
      <c r="A7627" s="256" t="s">
        <v>6836</v>
      </c>
      <c r="B7627" s="259" t="str">
        <f>INDEX(Orçamentária!A:B,MATCH(Composições!A7627,Orçamentária!A:A,0),2)</f>
        <v>Cap PVC soldável 32 mm</v>
      </c>
      <c r="C7627" s="40"/>
      <c r="D7627" s="25" t="s">
        <v>16</v>
      </c>
      <c r="E7627" s="26"/>
      <c r="F7627" s="41" t="s">
        <v>416</v>
      </c>
      <c r="G7627" s="27" t="str">
        <f t="shared" si="756"/>
        <v/>
      </c>
      <c r="H7627" s="28"/>
      <c r="I7627" s="29"/>
      <c r="J7627" s="152">
        <v>0</v>
      </c>
      <c r="L7627" s="218"/>
      <c r="M7627" s="41"/>
      <c r="N7627" s="27" t="str">
        <f t="shared" si="757"/>
        <v/>
      </c>
      <c r="O7627" s="28"/>
      <c r="P7627" s="36" t="str">
        <f t="shared" si="758"/>
        <v/>
      </c>
      <c r="Q7627" s="216" t="str">
        <f t="shared" si="759"/>
        <v/>
      </c>
      <c r="R7627" s="216" t="str">
        <f t="shared" si="760"/>
        <v/>
      </c>
      <c r="S7627" s="217" t="str">
        <f t="shared" si="761"/>
        <v/>
      </c>
    </row>
    <row r="7628" spans="1:19" ht="15.75" hidden="1" thickBot="1" x14ac:dyDescent="0.3">
      <c r="A7628" s="262"/>
      <c r="B7628" s="260"/>
      <c r="C7628" s="31"/>
      <c r="D7628" s="31"/>
      <c r="E7628" s="32"/>
      <c r="F7628" s="42" t="s">
        <v>416</v>
      </c>
      <c r="G7628" s="33" t="str">
        <f t="shared" si="756"/>
        <v/>
      </c>
      <c r="H7628" s="34"/>
      <c r="I7628" s="30"/>
      <c r="J7628" s="152">
        <v>0</v>
      </c>
      <c r="L7628" s="219"/>
      <c r="M7628" s="42"/>
      <c r="N7628" s="33" t="str">
        <f t="shared" si="757"/>
        <v/>
      </c>
      <c r="O7628" s="34"/>
      <c r="P7628" s="36" t="str">
        <f t="shared" si="758"/>
        <v/>
      </c>
      <c r="Q7628" s="216" t="str">
        <f t="shared" si="759"/>
        <v/>
      </c>
      <c r="R7628" s="216" t="str">
        <f t="shared" si="760"/>
        <v/>
      </c>
      <c r="S7628" s="217" t="str">
        <f t="shared" si="761"/>
        <v/>
      </c>
    </row>
    <row r="7629" spans="1:19" ht="15.75" hidden="1" thickBot="1" x14ac:dyDescent="0.3">
      <c r="A7629" s="262"/>
      <c r="B7629" s="260"/>
      <c r="C7629" s="35" t="s">
        <v>8051</v>
      </c>
      <c r="D7629" s="35" t="s">
        <v>213</v>
      </c>
      <c r="E7629" s="36">
        <v>1</v>
      </c>
      <c r="F7629" s="30">
        <v>2.0234999999999999</v>
      </c>
      <c r="G7629" s="33">
        <f t="shared" si="756"/>
        <v>2.0234999999999999</v>
      </c>
      <c r="H7629" s="38">
        <f>SUM(G7629:G7629)</f>
        <v>2.0234999999999999</v>
      </c>
      <c r="I7629" s="39"/>
      <c r="J7629" s="152">
        <v>0</v>
      </c>
      <c r="L7629" s="215">
        <v>1</v>
      </c>
      <c r="M7629" s="30">
        <v>1.732116</v>
      </c>
      <c r="N7629" s="33">
        <f t="shared" si="757"/>
        <v>1.732116</v>
      </c>
      <c r="O7629" s="38">
        <f>SUM(N7629:N7629)</f>
        <v>1.732116</v>
      </c>
      <c r="P7629" s="36" t="str">
        <f t="shared" si="758"/>
        <v/>
      </c>
      <c r="Q7629" s="216">
        <f t="shared" si="759"/>
        <v>0.14399999999999991</v>
      </c>
      <c r="R7629" s="216">
        <f t="shared" si="760"/>
        <v>0.14399999999999991</v>
      </c>
      <c r="S7629" s="217">
        <f t="shared" si="761"/>
        <v>0.14399999999999991</v>
      </c>
    </row>
    <row r="7630" spans="1:19" ht="15.75" hidden="1" thickBot="1" x14ac:dyDescent="0.3">
      <c r="A7630" s="263"/>
      <c r="B7630" s="261"/>
      <c r="C7630" s="54"/>
      <c r="D7630" s="54"/>
      <c r="E7630" s="65"/>
      <c r="F7630" s="66" t="s">
        <v>416</v>
      </c>
      <c r="G7630" s="67" t="str">
        <f t="shared" si="756"/>
        <v/>
      </c>
      <c r="H7630" s="68"/>
      <c r="I7630" s="30"/>
      <c r="J7630" s="152">
        <v>0</v>
      </c>
      <c r="L7630" s="222"/>
      <c r="M7630" s="66"/>
      <c r="N7630" s="67" t="str">
        <f t="shared" si="757"/>
        <v/>
      </c>
      <c r="O7630" s="68"/>
      <c r="P7630" s="36" t="str">
        <f t="shared" si="758"/>
        <v/>
      </c>
      <c r="Q7630" s="216" t="str">
        <f t="shared" si="759"/>
        <v/>
      </c>
      <c r="R7630" s="216" t="str">
        <f t="shared" si="760"/>
        <v/>
      </c>
      <c r="S7630" s="217" t="str">
        <f t="shared" si="761"/>
        <v/>
      </c>
    </row>
    <row r="7631" spans="1:19" ht="15.75" hidden="1" thickBot="1" x14ac:dyDescent="0.3">
      <c r="A7631" s="256" t="s">
        <v>6837</v>
      </c>
      <c r="B7631" s="259" t="str">
        <f>INDEX(Orçamentária!A:B,MATCH(Composições!A7631,Orçamentária!A:A,0),2)</f>
        <v>Curva 90° PVC soldável 32 mm</v>
      </c>
      <c r="C7631" s="40"/>
      <c r="D7631" s="25" t="s">
        <v>16</v>
      </c>
      <c r="E7631" s="26"/>
      <c r="F7631" s="41" t="s">
        <v>416</v>
      </c>
      <c r="G7631" s="27" t="str">
        <f t="shared" si="756"/>
        <v/>
      </c>
      <c r="H7631" s="28"/>
      <c r="I7631" s="29"/>
      <c r="J7631" s="152">
        <v>0</v>
      </c>
      <c r="L7631" s="218"/>
      <c r="M7631" s="41"/>
      <c r="N7631" s="27" t="str">
        <f t="shared" si="757"/>
        <v/>
      </c>
      <c r="O7631" s="28"/>
      <c r="P7631" s="36" t="str">
        <f t="shared" si="758"/>
        <v/>
      </c>
      <c r="Q7631" s="216" t="str">
        <f t="shared" si="759"/>
        <v/>
      </c>
      <c r="R7631" s="216" t="str">
        <f t="shared" si="760"/>
        <v/>
      </c>
      <c r="S7631" s="217" t="str">
        <f t="shared" si="761"/>
        <v/>
      </c>
    </row>
    <row r="7632" spans="1:19" ht="15.75" hidden="1" thickBot="1" x14ac:dyDescent="0.3">
      <c r="A7632" s="262"/>
      <c r="B7632" s="260"/>
      <c r="C7632" s="31"/>
      <c r="D7632" s="31"/>
      <c r="E7632" s="32"/>
      <c r="F7632" s="42" t="s">
        <v>416</v>
      </c>
      <c r="G7632" s="33" t="str">
        <f t="shared" si="756"/>
        <v/>
      </c>
      <c r="H7632" s="34"/>
      <c r="I7632" s="30"/>
      <c r="J7632" s="152">
        <v>0</v>
      </c>
      <c r="L7632" s="219"/>
      <c r="M7632" s="42"/>
      <c r="N7632" s="33" t="str">
        <f t="shared" si="757"/>
        <v/>
      </c>
      <c r="O7632" s="34"/>
      <c r="P7632" s="36" t="str">
        <f t="shared" si="758"/>
        <v/>
      </c>
      <c r="Q7632" s="216" t="str">
        <f t="shared" si="759"/>
        <v/>
      </c>
      <c r="R7632" s="216" t="str">
        <f t="shared" si="760"/>
        <v/>
      </c>
      <c r="S7632" s="217" t="str">
        <f t="shared" si="761"/>
        <v/>
      </c>
    </row>
    <row r="7633" spans="1:19" ht="26.25" hidden="1" thickBot="1" x14ac:dyDescent="0.3">
      <c r="A7633" s="262"/>
      <c r="B7633" s="260"/>
      <c r="C7633" s="35" t="s">
        <v>8103</v>
      </c>
      <c r="D7633" s="35" t="s">
        <v>213</v>
      </c>
      <c r="E7633" s="36">
        <v>1</v>
      </c>
      <c r="F7633" s="30">
        <v>6.3839999999999995</v>
      </c>
      <c r="G7633" s="33">
        <f t="shared" si="756"/>
        <v>6.3839999999999995</v>
      </c>
      <c r="H7633" s="38">
        <f>SUM(G7633:G7633)</f>
        <v>6.3839999999999995</v>
      </c>
      <c r="I7633" s="39"/>
      <c r="J7633" s="152">
        <v>0</v>
      </c>
      <c r="L7633" s="215">
        <v>1</v>
      </c>
      <c r="M7633" s="30">
        <v>5.4647039999999993</v>
      </c>
      <c r="N7633" s="33">
        <f t="shared" si="757"/>
        <v>5.4647039999999993</v>
      </c>
      <c r="O7633" s="38">
        <f>SUM(N7633:N7633)</f>
        <v>5.4647039999999993</v>
      </c>
      <c r="P7633" s="36" t="str">
        <f t="shared" si="758"/>
        <v/>
      </c>
      <c r="Q7633" s="216">
        <f t="shared" si="759"/>
        <v>0.14400000000000002</v>
      </c>
      <c r="R7633" s="216">
        <f t="shared" si="760"/>
        <v>0.14400000000000002</v>
      </c>
      <c r="S7633" s="217">
        <f t="shared" si="761"/>
        <v>0.14400000000000002</v>
      </c>
    </row>
    <row r="7634" spans="1:19" ht="15.75" hidden="1" thickBot="1" x14ac:dyDescent="0.3">
      <c r="A7634" s="263"/>
      <c r="B7634" s="261"/>
      <c r="C7634" s="54"/>
      <c r="D7634" s="54"/>
      <c r="E7634" s="65"/>
      <c r="F7634" s="66" t="s">
        <v>416</v>
      </c>
      <c r="G7634" s="67" t="str">
        <f t="shared" si="756"/>
        <v/>
      </c>
      <c r="H7634" s="68"/>
      <c r="I7634" s="30"/>
      <c r="J7634" s="152">
        <v>0</v>
      </c>
      <c r="L7634" s="222"/>
      <c r="M7634" s="66"/>
      <c r="N7634" s="67" t="str">
        <f t="shared" si="757"/>
        <v/>
      </c>
      <c r="O7634" s="68"/>
      <c r="P7634" s="36" t="str">
        <f t="shared" si="758"/>
        <v/>
      </c>
      <c r="Q7634" s="216" t="str">
        <f t="shared" si="759"/>
        <v/>
      </c>
      <c r="R7634" s="216" t="str">
        <f t="shared" si="760"/>
        <v/>
      </c>
      <c r="S7634" s="217" t="str">
        <f t="shared" si="761"/>
        <v/>
      </c>
    </row>
    <row r="7635" spans="1:19" ht="15.75" hidden="1" thickBot="1" x14ac:dyDescent="0.3">
      <c r="A7635" s="256" t="s">
        <v>6838</v>
      </c>
      <c r="B7635" s="259" t="str">
        <f>INDEX(Orçamentária!A:B,MATCH(Composições!A7635,Orçamentária!A:A,0),2)</f>
        <v>Tê PVC soldável 32 mm</v>
      </c>
      <c r="C7635" s="40"/>
      <c r="D7635" s="25" t="s">
        <v>16</v>
      </c>
      <c r="E7635" s="26"/>
      <c r="F7635" s="41" t="s">
        <v>416</v>
      </c>
      <c r="G7635" s="27" t="str">
        <f t="shared" si="756"/>
        <v/>
      </c>
      <c r="H7635" s="28"/>
      <c r="I7635" s="29"/>
      <c r="J7635" s="152">
        <v>0</v>
      </c>
      <c r="L7635" s="218"/>
      <c r="M7635" s="41"/>
      <c r="N7635" s="27" t="str">
        <f t="shared" si="757"/>
        <v/>
      </c>
      <c r="O7635" s="28"/>
      <c r="P7635" s="36" t="str">
        <f t="shared" si="758"/>
        <v/>
      </c>
      <c r="Q7635" s="216" t="str">
        <f t="shared" si="759"/>
        <v/>
      </c>
      <c r="R7635" s="216" t="str">
        <f t="shared" si="760"/>
        <v/>
      </c>
      <c r="S7635" s="217" t="str">
        <f t="shared" si="761"/>
        <v/>
      </c>
    </row>
    <row r="7636" spans="1:19" ht="15.75" hidden="1" thickBot="1" x14ac:dyDescent="0.3">
      <c r="A7636" s="262"/>
      <c r="B7636" s="260"/>
      <c r="C7636" s="31"/>
      <c r="D7636" s="31"/>
      <c r="E7636" s="32"/>
      <c r="F7636" s="42" t="s">
        <v>416</v>
      </c>
      <c r="G7636" s="33" t="str">
        <f t="shared" si="756"/>
        <v/>
      </c>
      <c r="H7636" s="34"/>
      <c r="I7636" s="30"/>
      <c r="J7636" s="152">
        <v>0</v>
      </c>
      <c r="L7636" s="219"/>
      <c r="M7636" s="42"/>
      <c r="N7636" s="33" t="str">
        <f t="shared" si="757"/>
        <v/>
      </c>
      <c r="O7636" s="34"/>
      <c r="P7636" s="36" t="str">
        <f t="shared" si="758"/>
        <v/>
      </c>
      <c r="Q7636" s="216" t="str">
        <f t="shared" si="759"/>
        <v/>
      </c>
      <c r="R7636" s="216" t="str">
        <f t="shared" si="760"/>
        <v/>
      </c>
      <c r="S7636" s="217" t="str">
        <f t="shared" si="761"/>
        <v/>
      </c>
    </row>
    <row r="7637" spans="1:19" ht="26.25" hidden="1" thickBot="1" x14ac:dyDescent="0.3">
      <c r="A7637" s="262"/>
      <c r="B7637" s="260"/>
      <c r="C7637" s="35" t="s">
        <v>8411</v>
      </c>
      <c r="D7637" s="35" t="s">
        <v>213</v>
      </c>
      <c r="E7637" s="36">
        <v>1</v>
      </c>
      <c r="F7637" s="30">
        <v>3.7239999999999998</v>
      </c>
      <c r="G7637" s="33">
        <f t="shared" si="756"/>
        <v>3.7239999999999998</v>
      </c>
      <c r="H7637" s="38">
        <f>SUM(G7637:G7637)</f>
        <v>3.7239999999999998</v>
      </c>
      <c r="I7637" s="39"/>
      <c r="J7637" s="152">
        <v>0</v>
      </c>
      <c r="L7637" s="215">
        <v>1</v>
      </c>
      <c r="M7637" s="30">
        <v>3.1877439999999999</v>
      </c>
      <c r="N7637" s="33">
        <f t="shared" si="757"/>
        <v>3.1877439999999999</v>
      </c>
      <c r="O7637" s="38">
        <f>SUM(N7637:N7637)</f>
        <v>3.1877439999999999</v>
      </c>
      <c r="P7637" s="36" t="str">
        <f t="shared" si="758"/>
        <v/>
      </c>
      <c r="Q7637" s="216">
        <f t="shared" si="759"/>
        <v>0.14400000000000002</v>
      </c>
      <c r="R7637" s="216">
        <f t="shared" si="760"/>
        <v>0.14400000000000002</v>
      </c>
      <c r="S7637" s="217">
        <f t="shared" si="761"/>
        <v>0.14400000000000002</v>
      </c>
    </row>
    <row r="7638" spans="1:19" ht="15.75" hidden="1" thickBot="1" x14ac:dyDescent="0.3">
      <c r="A7638" s="263"/>
      <c r="B7638" s="261"/>
      <c r="C7638" s="54"/>
      <c r="D7638" s="54"/>
      <c r="E7638" s="65"/>
      <c r="F7638" s="66" t="s">
        <v>416</v>
      </c>
      <c r="G7638" s="67" t="str">
        <f t="shared" si="756"/>
        <v/>
      </c>
      <c r="H7638" s="68"/>
      <c r="I7638" s="30"/>
      <c r="J7638" s="152">
        <v>0</v>
      </c>
      <c r="L7638" s="222"/>
      <c r="M7638" s="66"/>
      <c r="N7638" s="67" t="str">
        <f t="shared" si="757"/>
        <v/>
      </c>
      <c r="O7638" s="68"/>
      <c r="P7638" s="36" t="str">
        <f t="shared" si="758"/>
        <v/>
      </c>
      <c r="Q7638" s="216" t="str">
        <f t="shared" si="759"/>
        <v/>
      </c>
      <c r="R7638" s="216" t="str">
        <f t="shared" si="760"/>
        <v/>
      </c>
      <c r="S7638" s="217" t="str">
        <f t="shared" si="761"/>
        <v/>
      </c>
    </row>
    <row r="7639" spans="1:19" ht="15.75" hidden="1" thickBot="1" x14ac:dyDescent="0.3">
      <c r="A7639" s="256" t="s">
        <v>6839</v>
      </c>
      <c r="B7639" s="259" t="str">
        <f>INDEX(Orçamentária!A:B,MATCH(Composições!A7639,Orçamentária!A:A,0),2)</f>
        <v>Luva simples PVC soldável 32 mm</v>
      </c>
      <c r="C7639" s="40"/>
      <c r="D7639" s="25" t="s">
        <v>16</v>
      </c>
      <c r="E7639" s="26"/>
      <c r="F7639" s="41" t="s">
        <v>416</v>
      </c>
      <c r="G7639" s="27" t="str">
        <f t="shared" si="756"/>
        <v/>
      </c>
      <c r="H7639" s="28"/>
      <c r="I7639" s="29"/>
      <c r="J7639" s="152">
        <v>0</v>
      </c>
      <c r="L7639" s="218"/>
      <c r="M7639" s="41"/>
      <c r="N7639" s="27" t="str">
        <f t="shared" si="757"/>
        <v/>
      </c>
      <c r="O7639" s="28"/>
      <c r="P7639" s="36" t="str">
        <f t="shared" si="758"/>
        <v/>
      </c>
      <c r="Q7639" s="216" t="str">
        <f t="shared" si="759"/>
        <v/>
      </c>
      <c r="R7639" s="216" t="str">
        <f t="shared" si="760"/>
        <v/>
      </c>
      <c r="S7639" s="217" t="str">
        <f t="shared" si="761"/>
        <v/>
      </c>
    </row>
    <row r="7640" spans="1:19" ht="15.75" hidden="1" thickBot="1" x14ac:dyDescent="0.3">
      <c r="A7640" s="262"/>
      <c r="B7640" s="260"/>
      <c r="C7640" s="31"/>
      <c r="D7640" s="31"/>
      <c r="E7640" s="32"/>
      <c r="F7640" s="42" t="s">
        <v>416</v>
      </c>
      <c r="G7640" s="33" t="str">
        <f t="shared" si="756"/>
        <v/>
      </c>
      <c r="H7640" s="34"/>
      <c r="I7640" s="30"/>
      <c r="J7640" s="152">
        <v>0</v>
      </c>
      <c r="L7640" s="219"/>
      <c r="M7640" s="42"/>
      <c r="N7640" s="33" t="str">
        <f t="shared" si="757"/>
        <v/>
      </c>
      <c r="O7640" s="34"/>
      <c r="P7640" s="36" t="str">
        <f t="shared" si="758"/>
        <v/>
      </c>
      <c r="Q7640" s="216" t="str">
        <f t="shared" si="759"/>
        <v/>
      </c>
      <c r="R7640" s="216" t="str">
        <f t="shared" si="760"/>
        <v/>
      </c>
      <c r="S7640" s="217" t="str">
        <f t="shared" si="761"/>
        <v/>
      </c>
    </row>
    <row r="7641" spans="1:19" ht="15.75" hidden="1" thickBot="1" x14ac:dyDescent="0.3">
      <c r="A7641" s="262"/>
      <c r="B7641" s="260"/>
      <c r="C7641" s="35" t="s">
        <v>8270</v>
      </c>
      <c r="D7641" s="35" t="s">
        <v>213</v>
      </c>
      <c r="E7641" s="36">
        <v>1</v>
      </c>
      <c r="F7641" s="30">
        <v>1.976</v>
      </c>
      <c r="G7641" s="33">
        <f t="shared" si="756"/>
        <v>1.976</v>
      </c>
      <c r="H7641" s="38">
        <f>SUM(G7641:G7641)</f>
        <v>1.976</v>
      </c>
      <c r="I7641" s="39"/>
      <c r="J7641" s="152">
        <v>0</v>
      </c>
      <c r="L7641" s="215">
        <v>1</v>
      </c>
      <c r="M7641" s="30">
        <v>1.6914560000000001</v>
      </c>
      <c r="N7641" s="33">
        <f t="shared" si="757"/>
        <v>1.6914560000000001</v>
      </c>
      <c r="O7641" s="38">
        <f>SUM(N7641:N7641)</f>
        <v>1.6914560000000001</v>
      </c>
      <c r="P7641" s="36" t="str">
        <f t="shared" si="758"/>
        <v/>
      </c>
      <c r="Q7641" s="216">
        <f t="shared" si="759"/>
        <v>0.14399999999999991</v>
      </c>
      <c r="R7641" s="216">
        <f t="shared" si="760"/>
        <v>0.14399999999999991</v>
      </c>
      <c r="S7641" s="217">
        <f t="shared" si="761"/>
        <v>0.14399999999999991</v>
      </c>
    </row>
    <row r="7642" spans="1:19" ht="15.75" hidden="1" thickBot="1" x14ac:dyDescent="0.3">
      <c r="A7642" s="263"/>
      <c r="B7642" s="261"/>
      <c r="C7642" s="54"/>
      <c r="D7642" s="54"/>
      <c r="E7642" s="65"/>
      <c r="F7642" s="66" t="s">
        <v>416</v>
      </c>
      <c r="G7642" s="67" t="str">
        <f t="shared" si="756"/>
        <v/>
      </c>
      <c r="H7642" s="68"/>
      <c r="I7642" s="30"/>
      <c r="J7642" s="152">
        <v>0</v>
      </c>
      <c r="L7642" s="222"/>
      <c r="M7642" s="66"/>
      <c r="N7642" s="67" t="str">
        <f t="shared" si="757"/>
        <v/>
      </c>
      <c r="O7642" s="68"/>
      <c r="P7642" s="36" t="str">
        <f t="shared" si="758"/>
        <v/>
      </c>
      <c r="Q7642" s="216" t="str">
        <f t="shared" si="759"/>
        <v/>
      </c>
      <c r="R7642" s="216" t="str">
        <f t="shared" si="760"/>
        <v/>
      </c>
      <c r="S7642" s="217" t="str">
        <f t="shared" si="761"/>
        <v/>
      </c>
    </row>
    <row r="7643" spans="1:19" ht="15.75" hidden="1" thickBot="1" x14ac:dyDescent="0.3">
      <c r="A7643" s="256" t="s">
        <v>6840</v>
      </c>
      <c r="B7643" s="259" t="str">
        <f>INDEX(Orçamentária!A:B,MATCH(Composições!A7643,Orçamentária!A:A,0),2)</f>
        <v>Luva de correr PVC soldável 32 mm</v>
      </c>
      <c r="C7643" s="40"/>
      <c r="D7643" s="25" t="s">
        <v>16</v>
      </c>
      <c r="E7643" s="26"/>
      <c r="F7643" s="41" t="s">
        <v>416</v>
      </c>
      <c r="G7643" s="27" t="str">
        <f t="shared" si="756"/>
        <v/>
      </c>
      <c r="H7643" s="28"/>
      <c r="I7643" s="29"/>
      <c r="J7643" s="152">
        <v>0</v>
      </c>
      <c r="L7643" s="218"/>
      <c r="M7643" s="41"/>
      <c r="N7643" s="27" t="str">
        <f t="shared" si="757"/>
        <v/>
      </c>
      <c r="O7643" s="28"/>
      <c r="P7643" s="36" t="str">
        <f t="shared" si="758"/>
        <v/>
      </c>
      <c r="Q7643" s="216" t="str">
        <f t="shared" si="759"/>
        <v/>
      </c>
      <c r="R7643" s="216" t="str">
        <f t="shared" si="760"/>
        <v/>
      </c>
      <c r="S7643" s="217" t="str">
        <f t="shared" si="761"/>
        <v/>
      </c>
    </row>
    <row r="7644" spans="1:19" ht="15.75" hidden="1" thickBot="1" x14ac:dyDescent="0.3">
      <c r="A7644" s="262"/>
      <c r="B7644" s="260"/>
      <c r="C7644" s="31"/>
      <c r="D7644" s="31"/>
      <c r="E7644" s="32"/>
      <c r="F7644" s="42" t="s">
        <v>416</v>
      </c>
      <c r="G7644" s="33" t="str">
        <f t="shared" si="756"/>
        <v/>
      </c>
      <c r="H7644" s="34"/>
      <c r="I7644" s="30"/>
      <c r="J7644" s="152">
        <v>0</v>
      </c>
      <c r="L7644" s="219"/>
      <c r="M7644" s="42"/>
      <c r="N7644" s="33" t="str">
        <f t="shared" si="757"/>
        <v/>
      </c>
      <c r="O7644" s="34"/>
      <c r="P7644" s="36" t="str">
        <f t="shared" si="758"/>
        <v/>
      </c>
      <c r="Q7644" s="216" t="str">
        <f t="shared" si="759"/>
        <v/>
      </c>
      <c r="R7644" s="216" t="str">
        <f t="shared" si="760"/>
        <v/>
      </c>
      <c r="S7644" s="217" t="str">
        <f t="shared" si="761"/>
        <v/>
      </c>
    </row>
    <row r="7645" spans="1:19" ht="26.25" hidden="1" thickBot="1" x14ac:dyDescent="0.3">
      <c r="A7645" s="262"/>
      <c r="B7645" s="260"/>
      <c r="C7645" s="35" t="s">
        <v>8240</v>
      </c>
      <c r="D7645" s="35" t="s">
        <v>213</v>
      </c>
      <c r="E7645" s="36">
        <v>1</v>
      </c>
      <c r="F7645" s="30">
        <v>21.650499999999997</v>
      </c>
      <c r="G7645" s="33">
        <f t="shared" si="756"/>
        <v>21.650499999999997</v>
      </c>
      <c r="H7645" s="38">
        <f>SUM(G7645:G7645)</f>
        <v>21.650499999999997</v>
      </c>
      <c r="I7645" s="39"/>
      <c r="J7645" s="152">
        <v>0</v>
      </c>
      <c r="L7645" s="215">
        <v>1</v>
      </c>
      <c r="M7645" s="30">
        <v>18.532827999999999</v>
      </c>
      <c r="N7645" s="33">
        <f t="shared" si="757"/>
        <v>18.532827999999999</v>
      </c>
      <c r="O7645" s="38">
        <f>SUM(N7645:N7645)</f>
        <v>18.532827999999999</v>
      </c>
      <c r="P7645" s="36" t="str">
        <f t="shared" si="758"/>
        <v/>
      </c>
      <c r="Q7645" s="216">
        <f t="shared" si="759"/>
        <v>0.14400000000000002</v>
      </c>
      <c r="R7645" s="216">
        <f t="shared" si="760"/>
        <v>0.14400000000000002</v>
      </c>
      <c r="S7645" s="217">
        <f t="shared" si="761"/>
        <v>0.14400000000000002</v>
      </c>
    </row>
    <row r="7646" spans="1:19" ht="15.75" hidden="1" thickBot="1" x14ac:dyDescent="0.3">
      <c r="A7646" s="263"/>
      <c r="B7646" s="261"/>
      <c r="C7646" s="54"/>
      <c r="D7646" s="54"/>
      <c r="E7646" s="65"/>
      <c r="F7646" s="66" t="s">
        <v>416</v>
      </c>
      <c r="G7646" s="67" t="str">
        <f t="shared" si="756"/>
        <v/>
      </c>
      <c r="H7646" s="68"/>
      <c r="I7646" s="30"/>
      <c r="J7646" s="152">
        <v>0</v>
      </c>
      <c r="L7646" s="222"/>
      <c r="M7646" s="66"/>
      <c r="N7646" s="67" t="str">
        <f t="shared" si="757"/>
        <v/>
      </c>
      <c r="O7646" s="68"/>
      <c r="P7646" s="36" t="str">
        <f t="shared" si="758"/>
        <v/>
      </c>
      <c r="Q7646" s="216" t="str">
        <f t="shared" si="759"/>
        <v/>
      </c>
      <c r="R7646" s="216" t="str">
        <f t="shared" si="760"/>
        <v/>
      </c>
      <c r="S7646" s="217" t="str">
        <f t="shared" si="761"/>
        <v/>
      </c>
    </row>
    <row r="7647" spans="1:19" ht="15.75" hidden="1" thickBot="1" x14ac:dyDescent="0.3">
      <c r="A7647" s="256" t="s">
        <v>6841</v>
      </c>
      <c r="B7647" s="259" t="str">
        <f>INDEX(Orçamentária!A:B,MATCH(Composições!A7647,Orçamentária!A:A,0),2)</f>
        <v>União PVC soldável 32 mm</v>
      </c>
      <c r="C7647" s="40"/>
      <c r="D7647" s="25" t="s">
        <v>16</v>
      </c>
      <c r="E7647" s="26"/>
      <c r="F7647" s="41" t="s">
        <v>416</v>
      </c>
      <c r="G7647" s="27" t="str">
        <f t="shared" si="756"/>
        <v/>
      </c>
      <c r="H7647" s="28"/>
      <c r="I7647" s="29"/>
      <c r="J7647" s="152">
        <v>0</v>
      </c>
      <c r="L7647" s="218"/>
      <c r="M7647" s="41"/>
      <c r="N7647" s="27" t="str">
        <f t="shared" si="757"/>
        <v/>
      </c>
      <c r="O7647" s="28"/>
      <c r="P7647" s="36" t="str">
        <f t="shared" si="758"/>
        <v/>
      </c>
      <c r="Q7647" s="216" t="str">
        <f t="shared" si="759"/>
        <v/>
      </c>
      <c r="R7647" s="216" t="str">
        <f t="shared" si="760"/>
        <v/>
      </c>
      <c r="S7647" s="217" t="str">
        <f t="shared" si="761"/>
        <v/>
      </c>
    </row>
    <row r="7648" spans="1:19" ht="15.75" hidden="1" thickBot="1" x14ac:dyDescent="0.3">
      <c r="A7648" s="262"/>
      <c r="B7648" s="260"/>
      <c r="C7648" s="31"/>
      <c r="D7648" s="31"/>
      <c r="E7648" s="32"/>
      <c r="F7648" s="42" t="s">
        <v>416</v>
      </c>
      <c r="G7648" s="33" t="str">
        <f t="shared" si="756"/>
        <v/>
      </c>
      <c r="H7648" s="34"/>
      <c r="I7648" s="30"/>
      <c r="J7648" s="152">
        <v>0</v>
      </c>
      <c r="L7648" s="219"/>
      <c r="M7648" s="42"/>
      <c r="N7648" s="33" t="str">
        <f t="shared" si="757"/>
        <v/>
      </c>
      <c r="O7648" s="34"/>
      <c r="P7648" s="36" t="str">
        <f t="shared" si="758"/>
        <v/>
      </c>
      <c r="Q7648" s="216" t="str">
        <f t="shared" si="759"/>
        <v/>
      </c>
      <c r="R7648" s="216" t="str">
        <f t="shared" si="760"/>
        <v/>
      </c>
      <c r="S7648" s="217" t="str">
        <f t="shared" si="761"/>
        <v/>
      </c>
    </row>
    <row r="7649" spans="1:19" ht="15.75" hidden="1" thickBot="1" x14ac:dyDescent="0.3">
      <c r="A7649" s="262"/>
      <c r="B7649" s="260"/>
      <c r="C7649" s="35" t="s">
        <v>8564</v>
      </c>
      <c r="D7649" s="35" t="s">
        <v>213</v>
      </c>
      <c r="E7649" s="36">
        <v>1</v>
      </c>
      <c r="F7649" s="30">
        <v>13.299999999999999</v>
      </c>
      <c r="G7649" s="33">
        <f t="shared" si="756"/>
        <v>13.299999999999999</v>
      </c>
      <c r="H7649" s="38">
        <f>SUM(G7649:G7649)</f>
        <v>13.299999999999999</v>
      </c>
      <c r="I7649" s="39"/>
      <c r="J7649" s="152">
        <v>0</v>
      </c>
      <c r="L7649" s="215">
        <v>1</v>
      </c>
      <c r="M7649" s="30">
        <v>11.384799999999998</v>
      </c>
      <c r="N7649" s="33">
        <f t="shared" si="757"/>
        <v>11.384799999999998</v>
      </c>
      <c r="O7649" s="38">
        <f>SUM(N7649:N7649)</f>
        <v>11.384799999999998</v>
      </c>
      <c r="P7649" s="36" t="str">
        <f t="shared" si="758"/>
        <v/>
      </c>
      <c r="Q7649" s="216">
        <f t="shared" si="759"/>
        <v>0.14400000000000002</v>
      </c>
      <c r="R7649" s="216">
        <f t="shared" si="760"/>
        <v>0.14400000000000002</v>
      </c>
      <c r="S7649" s="217">
        <f t="shared" si="761"/>
        <v>0.14400000000000002</v>
      </c>
    </row>
    <row r="7650" spans="1:19" ht="15.75" hidden="1" thickBot="1" x14ac:dyDescent="0.3">
      <c r="A7650" s="263"/>
      <c r="B7650" s="261"/>
      <c r="C7650" s="54"/>
      <c r="D7650" s="54"/>
      <c r="E7650" s="65"/>
      <c r="F7650" s="66" t="s">
        <v>416</v>
      </c>
      <c r="G7650" s="67" t="str">
        <f t="shared" si="756"/>
        <v/>
      </c>
      <c r="H7650" s="68"/>
      <c r="I7650" s="30"/>
      <c r="J7650" s="152">
        <v>0</v>
      </c>
      <c r="L7650" s="222"/>
      <c r="M7650" s="66"/>
      <c r="N7650" s="67" t="str">
        <f t="shared" si="757"/>
        <v/>
      </c>
      <c r="O7650" s="68"/>
      <c r="P7650" s="36" t="str">
        <f t="shared" si="758"/>
        <v/>
      </c>
      <c r="Q7650" s="216" t="str">
        <f t="shared" si="759"/>
        <v/>
      </c>
      <c r="R7650" s="216" t="str">
        <f t="shared" si="760"/>
        <v/>
      </c>
      <c r="S7650" s="217" t="str">
        <f t="shared" si="761"/>
        <v/>
      </c>
    </row>
    <row r="7651" spans="1:19" ht="15.75" hidden="1" thickBot="1" x14ac:dyDescent="0.3">
      <c r="A7651" s="256" t="s">
        <v>6842</v>
      </c>
      <c r="B7651" s="259" t="str">
        <f>INDEX(Orçamentária!A:B,MATCH(Composições!A7651,Orçamentária!A:A,0),2)</f>
        <v>Bucha de redução longa PVC soldável de 32 mm x 20 mm</v>
      </c>
      <c r="C7651" s="40"/>
      <c r="D7651" s="25" t="s">
        <v>16</v>
      </c>
      <c r="E7651" s="26"/>
      <c r="F7651" s="41" t="s">
        <v>416</v>
      </c>
      <c r="G7651" s="27" t="str">
        <f t="shared" si="756"/>
        <v/>
      </c>
      <c r="H7651" s="28"/>
      <c r="I7651" s="29"/>
      <c r="J7651" s="152">
        <v>0</v>
      </c>
      <c r="L7651" s="218"/>
      <c r="M7651" s="41"/>
      <c r="N7651" s="27" t="str">
        <f t="shared" si="757"/>
        <v/>
      </c>
      <c r="O7651" s="28"/>
      <c r="P7651" s="36" t="str">
        <f t="shared" si="758"/>
        <v/>
      </c>
      <c r="Q7651" s="216" t="str">
        <f t="shared" si="759"/>
        <v/>
      </c>
      <c r="R7651" s="216" t="str">
        <f t="shared" si="760"/>
        <v/>
      </c>
      <c r="S7651" s="217" t="str">
        <f t="shared" si="761"/>
        <v/>
      </c>
    </row>
    <row r="7652" spans="1:19" ht="15.75" hidden="1" thickBot="1" x14ac:dyDescent="0.3">
      <c r="A7652" s="262"/>
      <c r="B7652" s="260"/>
      <c r="C7652" s="31"/>
      <c r="D7652" s="31"/>
      <c r="E7652" s="32"/>
      <c r="F7652" s="42" t="s">
        <v>416</v>
      </c>
      <c r="G7652" s="33" t="str">
        <f t="shared" si="756"/>
        <v/>
      </c>
      <c r="H7652" s="34"/>
      <c r="I7652" s="30"/>
      <c r="J7652" s="152">
        <v>0</v>
      </c>
      <c r="L7652" s="219"/>
      <c r="M7652" s="42"/>
      <c r="N7652" s="33" t="str">
        <f t="shared" si="757"/>
        <v/>
      </c>
      <c r="O7652" s="34"/>
      <c r="P7652" s="36" t="str">
        <f t="shared" si="758"/>
        <v/>
      </c>
      <c r="Q7652" s="216" t="str">
        <f t="shared" si="759"/>
        <v/>
      </c>
      <c r="R7652" s="216" t="str">
        <f t="shared" si="760"/>
        <v/>
      </c>
      <c r="S7652" s="217" t="str">
        <f t="shared" si="761"/>
        <v/>
      </c>
    </row>
    <row r="7653" spans="1:19" ht="26.25" hidden="1" thickBot="1" x14ac:dyDescent="0.3">
      <c r="A7653" s="262"/>
      <c r="B7653" s="260"/>
      <c r="C7653" s="35" t="s">
        <v>8021</v>
      </c>
      <c r="D7653" s="35" t="s">
        <v>213</v>
      </c>
      <c r="E7653" s="36">
        <v>1</v>
      </c>
      <c r="F7653" s="30">
        <v>2.7835000000000001</v>
      </c>
      <c r="G7653" s="33">
        <f t="shared" si="756"/>
        <v>2.7835000000000001</v>
      </c>
      <c r="H7653" s="38">
        <f>SUM(G7653:G7653)</f>
        <v>2.7835000000000001</v>
      </c>
      <c r="I7653" s="39"/>
      <c r="J7653" s="152">
        <v>0</v>
      </c>
      <c r="L7653" s="215">
        <v>1</v>
      </c>
      <c r="M7653" s="30">
        <v>2.382676</v>
      </c>
      <c r="N7653" s="33">
        <f t="shared" si="757"/>
        <v>2.382676</v>
      </c>
      <c r="O7653" s="38">
        <f>SUM(N7653:N7653)</f>
        <v>2.382676</v>
      </c>
      <c r="P7653" s="36" t="str">
        <f t="shared" si="758"/>
        <v/>
      </c>
      <c r="Q7653" s="216">
        <f t="shared" si="759"/>
        <v>0.14400000000000002</v>
      </c>
      <c r="R7653" s="216">
        <f t="shared" si="760"/>
        <v>0.14400000000000002</v>
      </c>
      <c r="S7653" s="217">
        <f t="shared" si="761"/>
        <v>0.14400000000000002</v>
      </c>
    </row>
    <row r="7654" spans="1:19" ht="15.75" hidden="1" thickBot="1" x14ac:dyDescent="0.3">
      <c r="A7654" s="263"/>
      <c r="B7654" s="261"/>
      <c r="C7654" s="54"/>
      <c r="D7654" s="54"/>
      <c r="E7654" s="65"/>
      <c r="F7654" s="66" t="s">
        <v>416</v>
      </c>
      <c r="G7654" s="67" t="str">
        <f t="shared" si="756"/>
        <v/>
      </c>
      <c r="H7654" s="68"/>
      <c r="I7654" s="30"/>
      <c r="J7654" s="152">
        <v>0</v>
      </c>
      <c r="L7654" s="222"/>
      <c r="M7654" s="66"/>
      <c r="N7654" s="67" t="str">
        <f t="shared" si="757"/>
        <v/>
      </c>
      <c r="O7654" s="68"/>
      <c r="P7654" s="36" t="str">
        <f t="shared" si="758"/>
        <v/>
      </c>
      <c r="Q7654" s="216" t="str">
        <f t="shared" si="759"/>
        <v/>
      </c>
      <c r="R7654" s="216" t="str">
        <f t="shared" si="760"/>
        <v/>
      </c>
      <c r="S7654" s="217" t="str">
        <f t="shared" si="761"/>
        <v/>
      </c>
    </row>
    <row r="7655" spans="1:19" ht="15.75" hidden="1" thickBot="1" x14ac:dyDescent="0.3">
      <c r="A7655" s="256" t="s">
        <v>6843</v>
      </c>
      <c r="B7655" s="259" t="str">
        <f>INDEX(Orçamentária!A:B,MATCH(Composições!A7655,Orçamentária!A:A,0),2)</f>
        <v>Bucha de redução curta PVC soldável de 32 mm x 25 mm</v>
      </c>
      <c r="C7655" s="40"/>
      <c r="D7655" s="25" t="s">
        <v>16</v>
      </c>
      <c r="E7655" s="26"/>
      <c r="F7655" s="41" t="s">
        <v>416</v>
      </c>
      <c r="G7655" s="27" t="str">
        <f t="shared" si="756"/>
        <v/>
      </c>
      <c r="H7655" s="28"/>
      <c r="I7655" s="29"/>
      <c r="J7655" s="152">
        <v>0</v>
      </c>
      <c r="L7655" s="218"/>
      <c r="M7655" s="41"/>
      <c r="N7655" s="27" t="str">
        <f t="shared" si="757"/>
        <v/>
      </c>
      <c r="O7655" s="28"/>
      <c r="P7655" s="36" t="str">
        <f t="shared" si="758"/>
        <v/>
      </c>
      <c r="Q7655" s="216" t="str">
        <f t="shared" si="759"/>
        <v/>
      </c>
      <c r="R7655" s="216" t="str">
        <f t="shared" si="760"/>
        <v/>
      </c>
      <c r="S7655" s="217" t="str">
        <f t="shared" si="761"/>
        <v/>
      </c>
    </row>
    <row r="7656" spans="1:19" ht="15.75" hidden="1" thickBot="1" x14ac:dyDescent="0.3">
      <c r="A7656" s="262"/>
      <c r="B7656" s="260"/>
      <c r="C7656" s="31"/>
      <c r="D7656" s="31"/>
      <c r="E7656" s="32"/>
      <c r="F7656" s="42" t="s">
        <v>416</v>
      </c>
      <c r="G7656" s="33" t="str">
        <f t="shared" si="756"/>
        <v/>
      </c>
      <c r="H7656" s="34"/>
      <c r="I7656" s="30"/>
      <c r="J7656" s="152">
        <v>0</v>
      </c>
      <c r="L7656" s="219"/>
      <c r="M7656" s="42"/>
      <c r="N7656" s="33" t="str">
        <f t="shared" si="757"/>
        <v/>
      </c>
      <c r="O7656" s="34"/>
      <c r="P7656" s="36" t="str">
        <f t="shared" si="758"/>
        <v/>
      </c>
      <c r="Q7656" s="216" t="str">
        <f t="shared" si="759"/>
        <v/>
      </c>
      <c r="R7656" s="216" t="str">
        <f t="shared" si="760"/>
        <v/>
      </c>
      <c r="S7656" s="217" t="str">
        <f t="shared" si="761"/>
        <v/>
      </c>
    </row>
    <row r="7657" spans="1:19" ht="26.25" hidden="1" thickBot="1" x14ac:dyDescent="0.3">
      <c r="A7657" s="262"/>
      <c r="B7657" s="260"/>
      <c r="C7657" s="35" t="s">
        <v>8017</v>
      </c>
      <c r="D7657" s="35" t="s">
        <v>213</v>
      </c>
      <c r="E7657" s="36">
        <v>1</v>
      </c>
      <c r="F7657" s="30">
        <v>0.9405</v>
      </c>
      <c r="G7657" s="33">
        <f t="shared" si="756"/>
        <v>0.9405</v>
      </c>
      <c r="H7657" s="38">
        <f>SUM(G7657:G7657)</f>
        <v>0.9405</v>
      </c>
      <c r="I7657" s="39"/>
      <c r="J7657" s="152">
        <v>0</v>
      </c>
      <c r="L7657" s="215">
        <v>1</v>
      </c>
      <c r="M7657" s="30">
        <v>0.80506800000000001</v>
      </c>
      <c r="N7657" s="33">
        <f t="shared" si="757"/>
        <v>0.80506800000000001</v>
      </c>
      <c r="O7657" s="38">
        <f>SUM(N7657:N7657)</f>
        <v>0.80506800000000001</v>
      </c>
      <c r="P7657" s="36" t="str">
        <f t="shared" si="758"/>
        <v/>
      </c>
      <c r="Q7657" s="216">
        <f t="shared" si="759"/>
        <v>0.14400000000000002</v>
      </c>
      <c r="R7657" s="216">
        <f t="shared" si="760"/>
        <v>0.14400000000000002</v>
      </c>
      <c r="S7657" s="217">
        <f t="shared" si="761"/>
        <v>0.14400000000000002</v>
      </c>
    </row>
    <row r="7658" spans="1:19" ht="15.75" hidden="1" thickBot="1" x14ac:dyDescent="0.3">
      <c r="A7658" s="263"/>
      <c r="B7658" s="261"/>
      <c r="C7658" s="54"/>
      <c r="D7658" s="54"/>
      <c r="E7658" s="65"/>
      <c r="F7658" s="66" t="s">
        <v>416</v>
      </c>
      <c r="G7658" s="67" t="str">
        <f t="shared" si="756"/>
        <v/>
      </c>
      <c r="H7658" s="68"/>
      <c r="I7658" s="30"/>
      <c r="J7658" s="152">
        <v>0</v>
      </c>
      <c r="L7658" s="222"/>
      <c r="M7658" s="66"/>
      <c r="N7658" s="67" t="str">
        <f t="shared" si="757"/>
        <v/>
      </c>
      <c r="O7658" s="68"/>
      <c r="P7658" s="36" t="str">
        <f t="shared" si="758"/>
        <v/>
      </c>
      <c r="Q7658" s="216" t="str">
        <f t="shared" si="759"/>
        <v/>
      </c>
      <c r="R7658" s="216" t="str">
        <f t="shared" si="760"/>
        <v/>
      </c>
      <c r="S7658" s="217" t="str">
        <f t="shared" si="761"/>
        <v/>
      </c>
    </row>
    <row r="7659" spans="1:19" ht="15.75" hidden="1" thickBot="1" x14ac:dyDescent="0.3">
      <c r="A7659" s="256" t="s">
        <v>6844</v>
      </c>
      <c r="B7659" s="259" t="str">
        <f>INDEX(Orçamentária!A:B,MATCH(Composições!A7659,Orçamentária!A:A,0),2)</f>
        <v>Adaptador PVC soldável, curto com bolsa e rosca para Registro 32 mm x 1”</v>
      </c>
      <c r="C7659" s="40"/>
      <c r="D7659" s="25" t="s">
        <v>16</v>
      </c>
      <c r="E7659" s="26"/>
      <c r="F7659" s="41" t="s">
        <v>416</v>
      </c>
      <c r="G7659" s="27" t="str">
        <f t="shared" si="756"/>
        <v/>
      </c>
      <c r="H7659" s="28"/>
      <c r="I7659" s="29"/>
      <c r="J7659" s="152">
        <v>0</v>
      </c>
      <c r="L7659" s="218"/>
      <c r="M7659" s="41"/>
      <c r="N7659" s="27" t="str">
        <f t="shared" si="757"/>
        <v/>
      </c>
      <c r="O7659" s="28"/>
      <c r="P7659" s="36" t="str">
        <f t="shared" si="758"/>
        <v/>
      </c>
      <c r="Q7659" s="216" t="str">
        <f t="shared" si="759"/>
        <v/>
      </c>
      <c r="R7659" s="216" t="str">
        <f t="shared" si="760"/>
        <v/>
      </c>
      <c r="S7659" s="217" t="str">
        <f t="shared" si="761"/>
        <v/>
      </c>
    </row>
    <row r="7660" spans="1:19" ht="15.75" hidden="1" thickBot="1" x14ac:dyDescent="0.3">
      <c r="A7660" s="262"/>
      <c r="B7660" s="260"/>
      <c r="C7660" s="31"/>
      <c r="D7660" s="31"/>
      <c r="E7660" s="32"/>
      <c r="F7660" s="42" t="s">
        <v>416</v>
      </c>
      <c r="G7660" s="33" t="str">
        <f t="shared" si="756"/>
        <v/>
      </c>
      <c r="H7660" s="34"/>
      <c r="I7660" s="30"/>
      <c r="J7660" s="152">
        <v>0</v>
      </c>
      <c r="L7660" s="219"/>
      <c r="M7660" s="42"/>
      <c r="N7660" s="33" t="str">
        <f t="shared" si="757"/>
        <v/>
      </c>
      <c r="O7660" s="34"/>
      <c r="P7660" s="36" t="str">
        <f t="shared" si="758"/>
        <v/>
      </c>
      <c r="Q7660" s="216" t="str">
        <f t="shared" si="759"/>
        <v/>
      </c>
      <c r="R7660" s="216" t="str">
        <f t="shared" si="760"/>
        <v/>
      </c>
      <c r="S7660" s="217" t="str">
        <f t="shared" si="761"/>
        <v/>
      </c>
    </row>
    <row r="7661" spans="1:19" ht="26.25" hidden="1" thickBot="1" x14ac:dyDescent="0.3">
      <c r="A7661" s="262"/>
      <c r="B7661" s="260"/>
      <c r="C7661" s="35" t="s">
        <v>7961</v>
      </c>
      <c r="D7661" s="35" t="s">
        <v>213</v>
      </c>
      <c r="E7661" s="36">
        <v>1</v>
      </c>
      <c r="F7661" s="30">
        <v>1.7669999999999999</v>
      </c>
      <c r="G7661" s="33">
        <f t="shared" si="756"/>
        <v>1.7669999999999999</v>
      </c>
      <c r="H7661" s="38">
        <f>SUM(G7661:G7661)</f>
        <v>1.7669999999999999</v>
      </c>
      <c r="I7661" s="39"/>
      <c r="J7661" s="152">
        <v>0</v>
      </c>
      <c r="L7661" s="215">
        <v>1</v>
      </c>
      <c r="M7661" s="30">
        <v>1.5125519999999999</v>
      </c>
      <c r="N7661" s="33">
        <f t="shared" si="757"/>
        <v>1.5125519999999999</v>
      </c>
      <c r="O7661" s="38">
        <f>SUM(N7661:N7661)</f>
        <v>1.5125519999999999</v>
      </c>
      <c r="P7661" s="36" t="str">
        <f t="shared" si="758"/>
        <v/>
      </c>
      <c r="Q7661" s="216">
        <f t="shared" si="759"/>
        <v>0.14400000000000002</v>
      </c>
      <c r="R7661" s="216">
        <f t="shared" si="760"/>
        <v>0.14400000000000002</v>
      </c>
      <c r="S7661" s="217">
        <f t="shared" si="761"/>
        <v>0.14400000000000002</v>
      </c>
    </row>
    <row r="7662" spans="1:19" ht="15.75" hidden="1" thickBot="1" x14ac:dyDescent="0.3">
      <c r="A7662" s="263"/>
      <c r="B7662" s="261"/>
      <c r="C7662" s="54"/>
      <c r="D7662" s="54"/>
      <c r="E7662" s="65"/>
      <c r="F7662" s="66" t="s">
        <v>416</v>
      </c>
      <c r="G7662" s="67" t="str">
        <f t="shared" si="756"/>
        <v/>
      </c>
      <c r="H7662" s="68"/>
      <c r="I7662" s="30"/>
      <c r="J7662" s="152">
        <v>0</v>
      </c>
      <c r="L7662" s="222"/>
      <c r="M7662" s="66"/>
      <c r="N7662" s="67" t="str">
        <f t="shared" si="757"/>
        <v/>
      </c>
      <c r="O7662" s="68"/>
      <c r="P7662" s="36" t="str">
        <f t="shared" si="758"/>
        <v/>
      </c>
      <c r="Q7662" s="216" t="str">
        <f t="shared" si="759"/>
        <v/>
      </c>
      <c r="R7662" s="216" t="str">
        <f t="shared" si="760"/>
        <v/>
      </c>
      <c r="S7662" s="217" t="str">
        <f t="shared" si="761"/>
        <v/>
      </c>
    </row>
    <row r="7663" spans="1:19" ht="15.75" hidden="1" thickBot="1" x14ac:dyDescent="0.3">
      <c r="A7663" s="256" t="s">
        <v>6845</v>
      </c>
      <c r="B7663" s="259" t="str">
        <f>INDEX(Orçamentária!A:B,MATCH(Composições!A7663,Orçamentária!A:A,0),2)</f>
        <v>Adaptador flange PVC soldável 32 mm x 1”</v>
      </c>
      <c r="C7663" s="40"/>
      <c r="D7663" s="25" t="s">
        <v>16</v>
      </c>
      <c r="E7663" s="26"/>
      <c r="F7663" s="41" t="s">
        <v>416</v>
      </c>
      <c r="G7663" s="27" t="str">
        <f t="shared" si="756"/>
        <v/>
      </c>
      <c r="H7663" s="28"/>
      <c r="I7663" s="29"/>
      <c r="J7663" s="152">
        <v>0</v>
      </c>
      <c r="L7663" s="218"/>
      <c r="M7663" s="41"/>
      <c r="N7663" s="27" t="str">
        <f t="shared" si="757"/>
        <v/>
      </c>
      <c r="O7663" s="28"/>
      <c r="P7663" s="36" t="str">
        <f t="shared" si="758"/>
        <v/>
      </c>
      <c r="Q7663" s="216" t="str">
        <f t="shared" si="759"/>
        <v/>
      </c>
      <c r="R7663" s="216" t="str">
        <f t="shared" si="760"/>
        <v/>
      </c>
      <c r="S7663" s="217" t="str">
        <f t="shared" si="761"/>
        <v/>
      </c>
    </row>
    <row r="7664" spans="1:19" ht="15.75" hidden="1" thickBot="1" x14ac:dyDescent="0.3">
      <c r="A7664" s="262"/>
      <c r="B7664" s="260"/>
      <c r="C7664" s="31"/>
      <c r="D7664" s="31"/>
      <c r="E7664" s="32"/>
      <c r="F7664" s="42" t="s">
        <v>416</v>
      </c>
      <c r="G7664" s="33" t="str">
        <f t="shared" si="756"/>
        <v/>
      </c>
      <c r="H7664" s="34"/>
      <c r="I7664" s="30"/>
      <c r="J7664" s="152">
        <v>0</v>
      </c>
      <c r="L7664" s="219"/>
      <c r="M7664" s="42"/>
      <c r="N7664" s="33" t="str">
        <f t="shared" si="757"/>
        <v/>
      </c>
      <c r="O7664" s="34"/>
      <c r="P7664" s="36" t="str">
        <f t="shared" si="758"/>
        <v/>
      </c>
      <c r="Q7664" s="216" t="str">
        <f t="shared" si="759"/>
        <v/>
      </c>
      <c r="R7664" s="216" t="str">
        <f t="shared" si="760"/>
        <v/>
      </c>
      <c r="S7664" s="217" t="str">
        <f t="shared" si="761"/>
        <v/>
      </c>
    </row>
    <row r="7665" spans="1:19" ht="26.25" hidden="1" thickBot="1" x14ac:dyDescent="0.3">
      <c r="A7665" s="262"/>
      <c r="B7665" s="260"/>
      <c r="C7665" s="35" t="s">
        <v>7968</v>
      </c>
      <c r="D7665" s="35" t="s">
        <v>213</v>
      </c>
      <c r="E7665" s="36">
        <v>1</v>
      </c>
      <c r="F7665" s="30">
        <v>18.315999999999999</v>
      </c>
      <c r="G7665" s="33">
        <f t="shared" si="756"/>
        <v>18.315999999999999</v>
      </c>
      <c r="H7665" s="38">
        <f>SUM(G7665:G7665)</f>
        <v>18.315999999999999</v>
      </c>
      <c r="I7665" s="39"/>
      <c r="J7665" s="152">
        <v>0</v>
      </c>
      <c r="L7665" s="215">
        <v>1</v>
      </c>
      <c r="M7665" s="30">
        <v>15.678495999999999</v>
      </c>
      <c r="N7665" s="33">
        <f t="shared" si="757"/>
        <v>15.678495999999999</v>
      </c>
      <c r="O7665" s="38">
        <f>SUM(N7665:N7665)</f>
        <v>15.678495999999999</v>
      </c>
      <c r="P7665" s="36" t="str">
        <f t="shared" si="758"/>
        <v/>
      </c>
      <c r="Q7665" s="216">
        <f t="shared" si="759"/>
        <v>0.14400000000000002</v>
      </c>
      <c r="R7665" s="216">
        <f t="shared" si="760"/>
        <v>0.14400000000000002</v>
      </c>
      <c r="S7665" s="217">
        <f t="shared" si="761"/>
        <v>0.14400000000000002</v>
      </c>
    </row>
    <row r="7666" spans="1:19" ht="15.75" hidden="1" thickBot="1" x14ac:dyDescent="0.3">
      <c r="A7666" s="263"/>
      <c r="B7666" s="261"/>
      <c r="C7666" s="54"/>
      <c r="D7666" s="54"/>
      <c r="E7666" s="65"/>
      <c r="F7666" s="66" t="s">
        <v>416</v>
      </c>
      <c r="G7666" s="67" t="str">
        <f t="shared" si="756"/>
        <v/>
      </c>
      <c r="H7666" s="68"/>
      <c r="I7666" s="30"/>
      <c r="J7666" s="152">
        <v>0</v>
      </c>
      <c r="L7666" s="222"/>
      <c r="M7666" s="66"/>
      <c r="N7666" s="67" t="str">
        <f t="shared" si="757"/>
        <v/>
      </c>
      <c r="O7666" s="68"/>
      <c r="P7666" s="36" t="str">
        <f t="shared" si="758"/>
        <v/>
      </c>
      <c r="Q7666" s="216" t="str">
        <f t="shared" si="759"/>
        <v/>
      </c>
      <c r="R7666" s="216" t="str">
        <f t="shared" si="760"/>
        <v/>
      </c>
      <c r="S7666" s="217" t="str">
        <f t="shared" si="761"/>
        <v/>
      </c>
    </row>
    <row r="7667" spans="1:19" ht="15.75" hidden="1" thickBot="1" x14ac:dyDescent="0.3">
      <c r="A7667" s="256" t="s">
        <v>6846</v>
      </c>
      <c r="B7667" s="259" t="str">
        <f>INDEX(Orçamentária!A:B,MATCH(Composições!A7667,Orçamentária!A:A,0),2)</f>
        <v>Joelho 90° PVC soldável 40 mm</v>
      </c>
      <c r="C7667" s="40"/>
      <c r="D7667" s="25" t="s">
        <v>16</v>
      </c>
      <c r="E7667" s="26"/>
      <c r="F7667" s="41" t="s">
        <v>416</v>
      </c>
      <c r="G7667" s="27" t="str">
        <f t="shared" si="756"/>
        <v/>
      </c>
      <c r="H7667" s="28"/>
      <c r="I7667" s="29"/>
      <c r="J7667" s="152">
        <v>0</v>
      </c>
      <c r="L7667" s="218"/>
      <c r="M7667" s="41"/>
      <c r="N7667" s="27" t="str">
        <f t="shared" si="757"/>
        <v/>
      </c>
      <c r="O7667" s="28"/>
      <c r="P7667" s="36" t="str">
        <f t="shared" si="758"/>
        <v/>
      </c>
      <c r="Q7667" s="216" t="str">
        <f t="shared" si="759"/>
        <v/>
      </c>
      <c r="R7667" s="216" t="str">
        <f t="shared" si="760"/>
        <v/>
      </c>
      <c r="S7667" s="217" t="str">
        <f t="shared" si="761"/>
        <v/>
      </c>
    </row>
    <row r="7668" spans="1:19" ht="15.75" hidden="1" thickBot="1" x14ac:dyDescent="0.3">
      <c r="A7668" s="262"/>
      <c r="B7668" s="260"/>
      <c r="C7668" s="31"/>
      <c r="D7668" s="31"/>
      <c r="E7668" s="32"/>
      <c r="F7668" s="42" t="s">
        <v>416</v>
      </c>
      <c r="G7668" s="33" t="str">
        <f t="shared" si="756"/>
        <v/>
      </c>
      <c r="H7668" s="34"/>
      <c r="I7668" s="30"/>
      <c r="J7668" s="152">
        <v>0</v>
      </c>
      <c r="L7668" s="219"/>
      <c r="M7668" s="42"/>
      <c r="N7668" s="33" t="str">
        <f t="shared" si="757"/>
        <v/>
      </c>
      <c r="O7668" s="34"/>
      <c r="P7668" s="36" t="str">
        <f t="shared" si="758"/>
        <v/>
      </c>
      <c r="Q7668" s="216" t="str">
        <f t="shared" si="759"/>
        <v/>
      </c>
      <c r="R7668" s="216" t="str">
        <f t="shared" si="760"/>
        <v/>
      </c>
      <c r="S7668" s="217" t="str">
        <f t="shared" si="761"/>
        <v/>
      </c>
    </row>
    <row r="7669" spans="1:19" ht="26.25" hidden="1" thickBot="1" x14ac:dyDescent="0.3">
      <c r="A7669" s="262"/>
      <c r="B7669" s="260"/>
      <c r="C7669" s="35" t="s">
        <v>8201</v>
      </c>
      <c r="D7669" s="35" t="s">
        <v>213</v>
      </c>
      <c r="E7669" s="36">
        <v>1</v>
      </c>
      <c r="F7669" s="30">
        <v>5.8329999999999993</v>
      </c>
      <c r="G7669" s="33">
        <f t="shared" si="756"/>
        <v>5.8329999999999993</v>
      </c>
      <c r="H7669" s="38">
        <f>SUM(G7669:G7669)</f>
        <v>5.8329999999999993</v>
      </c>
      <c r="I7669" s="39"/>
      <c r="J7669" s="152">
        <v>0</v>
      </c>
      <c r="L7669" s="215">
        <v>1</v>
      </c>
      <c r="M7669" s="30">
        <v>4.9930479999999999</v>
      </c>
      <c r="N7669" s="33">
        <f t="shared" si="757"/>
        <v>4.9930479999999999</v>
      </c>
      <c r="O7669" s="38">
        <f>SUM(N7669:N7669)</f>
        <v>4.9930479999999999</v>
      </c>
      <c r="P7669" s="36" t="str">
        <f t="shared" si="758"/>
        <v/>
      </c>
      <c r="Q7669" s="216">
        <f t="shared" si="759"/>
        <v>0.14399999999999991</v>
      </c>
      <c r="R7669" s="216">
        <f t="shared" si="760"/>
        <v>0.14399999999999991</v>
      </c>
      <c r="S7669" s="217">
        <f t="shared" si="761"/>
        <v>0.14399999999999991</v>
      </c>
    </row>
    <row r="7670" spans="1:19" ht="15.75" hidden="1" thickBot="1" x14ac:dyDescent="0.3">
      <c r="A7670" s="263"/>
      <c r="B7670" s="261"/>
      <c r="C7670" s="54"/>
      <c r="D7670" s="54"/>
      <c r="E7670" s="65"/>
      <c r="F7670" s="66" t="s">
        <v>416</v>
      </c>
      <c r="G7670" s="67" t="str">
        <f t="shared" si="756"/>
        <v/>
      </c>
      <c r="H7670" s="68"/>
      <c r="I7670" s="30"/>
      <c r="J7670" s="152">
        <v>0</v>
      </c>
      <c r="L7670" s="222"/>
      <c r="M7670" s="66"/>
      <c r="N7670" s="67" t="str">
        <f t="shared" si="757"/>
        <v/>
      </c>
      <c r="O7670" s="68"/>
      <c r="P7670" s="36" t="str">
        <f t="shared" si="758"/>
        <v/>
      </c>
      <c r="Q7670" s="216" t="str">
        <f t="shared" si="759"/>
        <v/>
      </c>
      <c r="R7670" s="216" t="str">
        <f t="shared" si="760"/>
        <v/>
      </c>
      <c r="S7670" s="217" t="str">
        <f t="shared" si="761"/>
        <v/>
      </c>
    </row>
    <row r="7671" spans="1:19" ht="15.75" hidden="1" thickBot="1" x14ac:dyDescent="0.3">
      <c r="A7671" s="256" t="s">
        <v>6847</v>
      </c>
      <c r="B7671" s="259" t="str">
        <f>INDEX(Orçamentária!A:B,MATCH(Composições!A7671,Orçamentária!A:A,0),2)</f>
        <v>Cap PVC soldável 40 mm</v>
      </c>
      <c r="C7671" s="40"/>
      <c r="D7671" s="25" t="s">
        <v>16</v>
      </c>
      <c r="E7671" s="26"/>
      <c r="F7671" s="41" t="s">
        <v>416</v>
      </c>
      <c r="G7671" s="27" t="str">
        <f t="shared" si="756"/>
        <v/>
      </c>
      <c r="H7671" s="28"/>
      <c r="I7671" s="29"/>
      <c r="J7671" s="152">
        <v>0</v>
      </c>
      <c r="L7671" s="218"/>
      <c r="M7671" s="41"/>
      <c r="N7671" s="27" t="str">
        <f t="shared" si="757"/>
        <v/>
      </c>
      <c r="O7671" s="28"/>
      <c r="P7671" s="36" t="str">
        <f t="shared" si="758"/>
        <v/>
      </c>
      <c r="Q7671" s="216" t="str">
        <f t="shared" si="759"/>
        <v/>
      </c>
      <c r="R7671" s="216" t="str">
        <f t="shared" si="760"/>
        <v/>
      </c>
      <c r="S7671" s="217" t="str">
        <f t="shared" si="761"/>
        <v/>
      </c>
    </row>
    <row r="7672" spans="1:19" ht="15.75" hidden="1" thickBot="1" x14ac:dyDescent="0.3">
      <c r="A7672" s="262"/>
      <c r="B7672" s="260"/>
      <c r="C7672" s="31"/>
      <c r="D7672" s="31"/>
      <c r="E7672" s="32"/>
      <c r="F7672" s="42" t="s">
        <v>416</v>
      </c>
      <c r="G7672" s="33" t="str">
        <f t="shared" si="756"/>
        <v/>
      </c>
      <c r="H7672" s="34"/>
      <c r="I7672" s="30"/>
      <c r="J7672" s="152">
        <v>0</v>
      </c>
      <c r="L7672" s="219"/>
      <c r="M7672" s="42"/>
      <c r="N7672" s="33" t="str">
        <f t="shared" si="757"/>
        <v/>
      </c>
      <c r="O7672" s="34"/>
      <c r="P7672" s="36" t="str">
        <f t="shared" si="758"/>
        <v/>
      </c>
      <c r="Q7672" s="216" t="str">
        <f t="shared" si="759"/>
        <v/>
      </c>
      <c r="R7672" s="216" t="str">
        <f t="shared" si="760"/>
        <v/>
      </c>
      <c r="S7672" s="217" t="str">
        <f t="shared" si="761"/>
        <v/>
      </c>
    </row>
    <row r="7673" spans="1:19" ht="15.75" hidden="1" thickBot="1" x14ac:dyDescent="0.3">
      <c r="A7673" s="262"/>
      <c r="B7673" s="260"/>
      <c r="C7673" s="35" t="s">
        <v>8052</v>
      </c>
      <c r="D7673" s="35" t="s">
        <v>213</v>
      </c>
      <c r="E7673" s="36">
        <v>1</v>
      </c>
      <c r="F7673" s="30">
        <v>3.8854999999999995</v>
      </c>
      <c r="G7673" s="33">
        <f t="shared" si="756"/>
        <v>3.8854999999999995</v>
      </c>
      <c r="H7673" s="38">
        <f>SUM(G7673:G7673)</f>
        <v>3.8854999999999995</v>
      </c>
      <c r="I7673" s="39"/>
      <c r="J7673" s="152">
        <v>0</v>
      </c>
      <c r="L7673" s="215">
        <v>1</v>
      </c>
      <c r="M7673" s="30">
        <v>3.3259879999999997</v>
      </c>
      <c r="N7673" s="33">
        <f t="shared" si="757"/>
        <v>3.3259879999999997</v>
      </c>
      <c r="O7673" s="38">
        <f>SUM(N7673:N7673)</f>
        <v>3.3259879999999997</v>
      </c>
      <c r="P7673" s="36" t="str">
        <f t="shared" si="758"/>
        <v/>
      </c>
      <c r="Q7673" s="216">
        <f t="shared" si="759"/>
        <v>0.14400000000000002</v>
      </c>
      <c r="R7673" s="216">
        <f t="shared" si="760"/>
        <v>0.14400000000000002</v>
      </c>
      <c r="S7673" s="217">
        <f t="shared" si="761"/>
        <v>0.14400000000000002</v>
      </c>
    </row>
    <row r="7674" spans="1:19" ht="15.75" hidden="1" thickBot="1" x14ac:dyDescent="0.3">
      <c r="A7674" s="263"/>
      <c r="B7674" s="261"/>
      <c r="C7674" s="54"/>
      <c r="D7674" s="54"/>
      <c r="E7674" s="65"/>
      <c r="F7674" s="66" t="s">
        <v>416</v>
      </c>
      <c r="G7674" s="67" t="str">
        <f t="shared" si="756"/>
        <v/>
      </c>
      <c r="H7674" s="68"/>
      <c r="I7674" s="30"/>
      <c r="J7674" s="152">
        <v>0</v>
      </c>
      <c r="L7674" s="222"/>
      <c r="M7674" s="66"/>
      <c r="N7674" s="67" t="str">
        <f t="shared" si="757"/>
        <v/>
      </c>
      <c r="O7674" s="68"/>
      <c r="P7674" s="36" t="str">
        <f t="shared" si="758"/>
        <v/>
      </c>
      <c r="Q7674" s="216" t="str">
        <f t="shared" si="759"/>
        <v/>
      </c>
      <c r="R7674" s="216" t="str">
        <f t="shared" si="760"/>
        <v/>
      </c>
      <c r="S7674" s="217" t="str">
        <f t="shared" si="761"/>
        <v/>
      </c>
    </row>
    <row r="7675" spans="1:19" ht="15.75" hidden="1" thickBot="1" x14ac:dyDescent="0.3">
      <c r="A7675" s="256" t="s">
        <v>6848</v>
      </c>
      <c r="B7675" s="259" t="str">
        <f>INDEX(Orçamentária!A:B,MATCH(Composições!A7675,Orçamentária!A:A,0),2)</f>
        <v>Curva 90° PVC soldável 40 mm</v>
      </c>
      <c r="C7675" s="40"/>
      <c r="D7675" s="25" t="s">
        <v>16</v>
      </c>
      <c r="E7675" s="26"/>
      <c r="F7675" s="41" t="s">
        <v>416</v>
      </c>
      <c r="G7675" s="27" t="str">
        <f t="shared" si="756"/>
        <v/>
      </c>
      <c r="H7675" s="28"/>
      <c r="I7675" s="29"/>
      <c r="J7675" s="152">
        <v>0</v>
      </c>
      <c r="L7675" s="218"/>
      <c r="M7675" s="41"/>
      <c r="N7675" s="27" t="str">
        <f t="shared" si="757"/>
        <v/>
      </c>
      <c r="O7675" s="28"/>
      <c r="P7675" s="36" t="str">
        <f t="shared" si="758"/>
        <v/>
      </c>
      <c r="Q7675" s="216" t="str">
        <f t="shared" si="759"/>
        <v/>
      </c>
      <c r="R7675" s="216" t="str">
        <f t="shared" si="760"/>
        <v/>
      </c>
      <c r="S7675" s="217" t="str">
        <f t="shared" si="761"/>
        <v/>
      </c>
    </row>
    <row r="7676" spans="1:19" ht="15.75" hidden="1" thickBot="1" x14ac:dyDescent="0.3">
      <c r="A7676" s="262"/>
      <c r="B7676" s="260"/>
      <c r="C7676" s="31"/>
      <c r="D7676" s="31"/>
      <c r="E7676" s="32"/>
      <c r="F7676" s="42" t="s">
        <v>416</v>
      </c>
      <c r="G7676" s="33" t="str">
        <f t="shared" si="756"/>
        <v/>
      </c>
      <c r="H7676" s="34"/>
      <c r="I7676" s="30"/>
      <c r="J7676" s="152">
        <v>0</v>
      </c>
      <c r="L7676" s="219"/>
      <c r="M7676" s="42"/>
      <c r="N7676" s="33" t="str">
        <f t="shared" si="757"/>
        <v/>
      </c>
      <c r="O7676" s="34"/>
      <c r="P7676" s="36" t="str">
        <f t="shared" si="758"/>
        <v/>
      </c>
      <c r="Q7676" s="216" t="str">
        <f t="shared" si="759"/>
        <v/>
      </c>
      <c r="R7676" s="216" t="str">
        <f t="shared" si="760"/>
        <v/>
      </c>
      <c r="S7676" s="217" t="str">
        <f t="shared" si="761"/>
        <v/>
      </c>
    </row>
    <row r="7677" spans="1:19" ht="26.25" hidden="1" thickBot="1" x14ac:dyDescent="0.3">
      <c r="A7677" s="262"/>
      <c r="B7677" s="260"/>
      <c r="C7677" s="35" t="s">
        <v>8104</v>
      </c>
      <c r="D7677" s="35" t="s">
        <v>213</v>
      </c>
      <c r="E7677" s="36">
        <v>1</v>
      </c>
      <c r="F7677" s="30">
        <v>11.875</v>
      </c>
      <c r="G7677" s="33">
        <f t="shared" si="756"/>
        <v>11.875</v>
      </c>
      <c r="H7677" s="38">
        <f>SUM(G7677:G7677)</f>
        <v>11.875</v>
      </c>
      <c r="I7677" s="39"/>
      <c r="J7677" s="152">
        <v>0</v>
      </c>
      <c r="L7677" s="215">
        <v>1</v>
      </c>
      <c r="M7677" s="30">
        <v>10.164999999999999</v>
      </c>
      <c r="N7677" s="33">
        <f t="shared" si="757"/>
        <v>10.164999999999999</v>
      </c>
      <c r="O7677" s="38">
        <f>SUM(N7677:N7677)</f>
        <v>10.164999999999999</v>
      </c>
      <c r="P7677" s="36" t="str">
        <f t="shared" si="758"/>
        <v/>
      </c>
      <c r="Q7677" s="216">
        <f t="shared" si="759"/>
        <v>0.14400000000000002</v>
      </c>
      <c r="R7677" s="216">
        <f t="shared" si="760"/>
        <v>0.14400000000000002</v>
      </c>
      <c r="S7677" s="217">
        <f t="shared" si="761"/>
        <v>0.14400000000000002</v>
      </c>
    </row>
    <row r="7678" spans="1:19" ht="15.75" hidden="1" thickBot="1" x14ac:dyDescent="0.3">
      <c r="A7678" s="263"/>
      <c r="B7678" s="261"/>
      <c r="C7678" s="54"/>
      <c r="D7678" s="54"/>
      <c r="E7678" s="65"/>
      <c r="F7678" s="66" t="s">
        <v>416</v>
      </c>
      <c r="G7678" s="67" t="str">
        <f t="shared" si="756"/>
        <v/>
      </c>
      <c r="H7678" s="68"/>
      <c r="I7678" s="30"/>
      <c r="J7678" s="152">
        <v>0</v>
      </c>
      <c r="L7678" s="222"/>
      <c r="M7678" s="66"/>
      <c r="N7678" s="67" t="str">
        <f t="shared" si="757"/>
        <v/>
      </c>
      <c r="O7678" s="68"/>
      <c r="P7678" s="36" t="str">
        <f t="shared" si="758"/>
        <v/>
      </c>
      <c r="Q7678" s="216" t="str">
        <f t="shared" si="759"/>
        <v/>
      </c>
      <c r="R7678" s="216" t="str">
        <f t="shared" si="760"/>
        <v/>
      </c>
      <c r="S7678" s="217" t="str">
        <f t="shared" si="761"/>
        <v/>
      </c>
    </row>
    <row r="7679" spans="1:19" ht="15.75" hidden="1" thickBot="1" x14ac:dyDescent="0.3">
      <c r="A7679" s="256" t="s">
        <v>6849</v>
      </c>
      <c r="B7679" s="259" t="str">
        <f>INDEX(Orçamentária!A:B,MATCH(Composições!A7679,Orçamentária!A:A,0),2)</f>
        <v>Joelho 45° PVC soldável 40 mm</v>
      </c>
      <c r="C7679" s="40"/>
      <c r="D7679" s="25" t="s">
        <v>16</v>
      </c>
      <c r="E7679" s="26"/>
      <c r="F7679" s="41" t="s">
        <v>416</v>
      </c>
      <c r="G7679" s="27" t="str">
        <f t="shared" si="756"/>
        <v/>
      </c>
      <c r="H7679" s="28"/>
      <c r="I7679" s="29"/>
      <c r="J7679" s="152">
        <v>0</v>
      </c>
      <c r="L7679" s="218"/>
      <c r="M7679" s="41"/>
      <c r="N7679" s="27" t="str">
        <f t="shared" si="757"/>
        <v/>
      </c>
      <c r="O7679" s="28"/>
      <c r="P7679" s="36" t="str">
        <f t="shared" si="758"/>
        <v/>
      </c>
      <c r="Q7679" s="216" t="str">
        <f t="shared" si="759"/>
        <v/>
      </c>
      <c r="R7679" s="216" t="str">
        <f t="shared" si="760"/>
        <v/>
      </c>
      <c r="S7679" s="217" t="str">
        <f t="shared" si="761"/>
        <v/>
      </c>
    </row>
    <row r="7680" spans="1:19" ht="15.75" hidden="1" thickBot="1" x14ac:dyDescent="0.3">
      <c r="A7680" s="262"/>
      <c r="B7680" s="260"/>
      <c r="C7680" s="31"/>
      <c r="D7680" s="31"/>
      <c r="E7680" s="32"/>
      <c r="F7680" s="42" t="s">
        <v>416</v>
      </c>
      <c r="G7680" s="33" t="str">
        <f t="shared" si="756"/>
        <v/>
      </c>
      <c r="H7680" s="34"/>
      <c r="I7680" s="30"/>
      <c r="J7680" s="152">
        <v>0</v>
      </c>
      <c r="L7680" s="219"/>
      <c r="M7680" s="42"/>
      <c r="N7680" s="33" t="str">
        <f t="shared" si="757"/>
        <v/>
      </c>
      <c r="O7680" s="34"/>
      <c r="P7680" s="36" t="str">
        <f t="shared" si="758"/>
        <v/>
      </c>
      <c r="Q7680" s="216" t="str">
        <f t="shared" si="759"/>
        <v/>
      </c>
      <c r="R7680" s="216" t="str">
        <f t="shared" si="760"/>
        <v/>
      </c>
      <c r="S7680" s="217" t="str">
        <f t="shared" si="761"/>
        <v/>
      </c>
    </row>
    <row r="7681" spans="1:19" ht="26.25" hidden="1" thickBot="1" x14ac:dyDescent="0.3">
      <c r="A7681" s="262"/>
      <c r="B7681" s="260"/>
      <c r="C7681" s="35" t="s">
        <v>8207</v>
      </c>
      <c r="D7681" s="35" t="s">
        <v>213</v>
      </c>
      <c r="E7681" s="36">
        <v>1</v>
      </c>
      <c r="F7681" s="30">
        <v>5.89</v>
      </c>
      <c r="G7681" s="33">
        <f t="shared" si="756"/>
        <v>5.89</v>
      </c>
      <c r="H7681" s="38">
        <f>SUM(G7681:G7681)</f>
        <v>5.89</v>
      </c>
      <c r="I7681" s="39"/>
      <c r="J7681" s="152">
        <v>0</v>
      </c>
      <c r="L7681" s="215">
        <v>1</v>
      </c>
      <c r="M7681" s="30">
        <v>5.0418399999999997</v>
      </c>
      <c r="N7681" s="33">
        <f t="shared" si="757"/>
        <v>5.0418399999999997</v>
      </c>
      <c r="O7681" s="38">
        <f>SUM(N7681:N7681)</f>
        <v>5.0418399999999997</v>
      </c>
      <c r="P7681" s="36" t="str">
        <f t="shared" si="758"/>
        <v/>
      </c>
      <c r="Q7681" s="216">
        <f t="shared" si="759"/>
        <v>0.14400000000000002</v>
      </c>
      <c r="R7681" s="216">
        <f t="shared" si="760"/>
        <v>0.14400000000000002</v>
      </c>
      <c r="S7681" s="217">
        <f t="shared" si="761"/>
        <v>0.14400000000000002</v>
      </c>
    </row>
    <row r="7682" spans="1:19" ht="15.75" hidden="1" thickBot="1" x14ac:dyDescent="0.3">
      <c r="A7682" s="263"/>
      <c r="B7682" s="261"/>
      <c r="C7682" s="54"/>
      <c r="D7682" s="54"/>
      <c r="E7682" s="65"/>
      <c r="F7682" s="66" t="s">
        <v>416</v>
      </c>
      <c r="G7682" s="67" t="str">
        <f t="shared" ref="G7682:G7745" si="762">IF(ISNUMBER(F7682),E7682*F7682,"")</f>
        <v/>
      </c>
      <c r="H7682" s="68"/>
      <c r="I7682" s="30"/>
      <c r="J7682" s="152">
        <v>0</v>
      </c>
      <c r="L7682" s="222"/>
      <c r="M7682" s="66"/>
      <c r="N7682" s="67" t="str">
        <f t="shared" ref="N7682:N7745" si="763">IF(ISNUMBER(M7682),L7682*M7682,"")</f>
        <v/>
      </c>
      <c r="O7682" s="68"/>
      <c r="P7682" s="36" t="str">
        <f t="shared" si="758"/>
        <v/>
      </c>
      <c r="Q7682" s="216" t="str">
        <f t="shared" si="759"/>
        <v/>
      </c>
      <c r="R7682" s="216" t="str">
        <f t="shared" si="760"/>
        <v/>
      </c>
      <c r="S7682" s="217" t="str">
        <f t="shared" si="761"/>
        <v/>
      </c>
    </row>
    <row r="7683" spans="1:19" ht="15.75" hidden="1" thickBot="1" x14ac:dyDescent="0.3">
      <c r="A7683" s="256" t="s">
        <v>6850</v>
      </c>
      <c r="B7683" s="259" t="str">
        <f>INDEX(Orçamentária!A:B,MATCH(Composições!A7683,Orçamentária!A:A,0),2)</f>
        <v>Tê PVC soldável 40 mm</v>
      </c>
      <c r="C7683" s="40"/>
      <c r="D7683" s="25" t="s">
        <v>16</v>
      </c>
      <c r="E7683" s="26"/>
      <c r="F7683" s="41" t="s">
        <v>416</v>
      </c>
      <c r="G7683" s="27" t="str">
        <f t="shared" si="762"/>
        <v/>
      </c>
      <c r="H7683" s="28"/>
      <c r="I7683" s="29"/>
      <c r="J7683" s="152">
        <v>0</v>
      </c>
      <c r="L7683" s="218"/>
      <c r="M7683" s="41"/>
      <c r="N7683" s="27" t="str">
        <f t="shared" si="763"/>
        <v/>
      </c>
      <c r="O7683" s="28"/>
      <c r="P7683" s="36" t="str">
        <f t="shared" si="758"/>
        <v/>
      </c>
      <c r="Q7683" s="216" t="str">
        <f t="shared" si="759"/>
        <v/>
      </c>
      <c r="R7683" s="216" t="str">
        <f t="shared" si="760"/>
        <v/>
      </c>
      <c r="S7683" s="217" t="str">
        <f t="shared" si="761"/>
        <v/>
      </c>
    </row>
    <row r="7684" spans="1:19" ht="15.75" hidden="1" thickBot="1" x14ac:dyDescent="0.3">
      <c r="A7684" s="262"/>
      <c r="B7684" s="260"/>
      <c r="C7684" s="31"/>
      <c r="D7684" s="31"/>
      <c r="E7684" s="32"/>
      <c r="F7684" s="42" t="s">
        <v>416</v>
      </c>
      <c r="G7684" s="33" t="str">
        <f t="shared" si="762"/>
        <v/>
      </c>
      <c r="H7684" s="34"/>
      <c r="I7684" s="30"/>
      <c r="J7684" s="152">
        <v>0</v>
      </c>
      <c r="L7684" s="219"/>
      <c r="M7684" s="42"/>
      <c r="N7684" s="33" t="str">
        <f t="shared" si="763"/>
        <v/>
      </c>
      <c r="O7684" s="34"/>
      <c r="P7684" s="36" t="str">
        <f t="shared" si="758"/>
        <v/>
      </c>
      <c r="Q7684" s="216" t="str">
        <f t="shared" si="759"/>
        <v/>
      </c>
      <c r="R7684" s="216" t="str">
        <f t="shared" si="760"/>
        <v/>
      </c>
      <c r="S7684" s="217" t="str">
        <f t="shared" si="761"/>
        <v/>
      </c>
    </row>
    <row r="7685" spans="1:19" ht="26.25" hidden="1" thickBot="1" x14ac:dyDescent="0.3">
      <c r="A7685" s="262"/>
      <c r="B7685" s="260"/>
      <c r="C7685" s="35" t="s">
        <v>8412</v>
      </c>
      <c r="D7685" s="35" t="s">
        <v>213</v>
      </c>
      <c r="E7685" s="36">
        <v>1</v>
      </c>
      <c r="F7685" s="30">
        <v>9.1105</v>
      </c>
      <c r="G7685" s="33">
        <f t="shared" si="762"/>
        <v>9.1105</v>
      </c>
      <c r="H7685" s="38">
        <f>SUM(G7685:G7685)</f>
        <v>9.1105</v>
      </c>
      <c r="I7685" s="39"/>
      <c r="J7685" s="152">
        <v>0</v>
      </c>
      <c r="L7685" s="215">
        <v>1</v>
      </c>
      <c r="M7685" s="30">
        <v>7.7985880000000005</v>
      </c>
      <c r="N7685" s="33">
        <f t="shared" si="763"/>
        <v>7.7985880000000005</v>
      </c>
      <c r="O7685" s="38">
        <f>SUM(N7685:N7685)</f>
        <v>7.7985880000000005</v>
      </c>
      <c r="P7685" s="36" t="str">
        <f t="shared" si="758"/>
        <v/>
      </c>
      <c r="Q7685" s="216">
        <f t="shared" si="759"/>
        <v>0.14399999999999991</v>
      </c>
      <c r="R7685" s="216">
        <f t="shared" si="760"/>
        <v>0.14399999999999991</v>
      </c>
      <c r="S7685" s="217">
        <f t="shared" si="761"/>
        <v>0.14399999999999991</v>
      </c>
    </row>
    <row r="7686" spans="1:19" ht="15.75" hidden="1" thickBot="1" x14ac:dyDescent="0.3">
      <c r="A7686" s="263"/>
      <c r="B7686" s="261"/>
      <c r="C7686" s="54"/>
      <c r="D7686" s="54"/>
      <c r="E7686" s="65"/>
      <c r="F7686" s="66" t="s">
        <v>416</v>
      </c>
      <c r="G7686" s="67" t="str">
        <f t="shared" si="762"/>
        <v/>
      </c>
      <c r="H7686" s="68"/>
      <c r="I7686" s="30"/>
      <c r="J7686" s="152">
        <v>0</v>
      </c>
      <c r="L7686" s="222"/>
      <c r="M7686" s="66"/>
      <c r="N7686" s="67" t="str">
        <f t="shared" si="763"/>
        <v/>
      </c>
      <c r="O7686" s="68"/>
      <c r="P7686" s="36" t="str">
        <f t="shared" si="758"/>
        <v/>
      </c>
      <c r="Q7686" s="216" t="str">
        <f t="shared" si="759"/>
        <v/>
      </c>
      <c r="R7686" s="216" t="str">
        <f t="shared" si="760"/>
        <v/>
      </c>
      <c r="S7686" s="217" t="str">
        <f t="shared" si="761"/>
        <v/>
      </c>
    </row>
    <row r="7687" spans="1:19" ht="15.75" hidden="1" thickBot="1" x14ac:dyDescent="0.3">
      <c r="A7687" s="256" t="s">
        <v>6851</v>
      </c>
      <c r="B7687" s="259" t="str">
        <f>INDEX(Orçamentária!A:B,MATCH(Composições!A7687,Orçamentária!A:A,0),2)</f>
        <v>Luva simples PVC soldável 40 mm</v>
      </c>
      <c r="C7687" s="40"/>
      <c r="D7687" s="25" t="s">
        <v>16</v>
      </c>
      <c r="E7687" s="26"/>
      <c r="F7687" s="41" t="s">
        <v>416</v>
      </c>
      <c r="G7687" s="27" t="str">
        <f t="shared" si="762"/>
        <v/>
      </c>
      <c r="H7687" s="28"/>
      <c r="I7687" s="29"/>
      <c r="J7687" s="152">
        <v>0</v>
      </c>
      <c r="L7687" s="218"/>
      <c r="M7687" s="41"/>
      <c r="N7687" s="27" t="str">
        <f t="shared" si="763"/>
        <v/>
      </c>
      <c r="O7687" s="28"/>
      <c r="P7687" s="36" t="str">
        <f t="shared" si="758"/>
        <v/>
      </c>
      <c r="Q7687" s="216" t="str">
        <f t="shared" si="759"/>
        <v/>
      </c>
      <c r="R7687" s="216" t="str">
        <f t="shared" si="760"/>
        <v/>
      </c>
      <c r="S7687" s="217" t="str">
        <f t="shared" si="761"/>
        <v/>
      </c>
    </row>
    <row r="7688" spans="1:19" ht="15.75" hidden="1" thickBot="1" x14ac:dyDescent="0.3">
      <c r="A7688" s="262"/>
      <c r="B7688" s="260"/>
      <c r="C7688" s="31"/>
      <c r="D7688" s="31"/>
      <c r="E7688" s="32"/>
      <c r="F7688" s="42" t="s">
        <v>416</v>
      </c>
      <c r="G7688" s="33" t="str">
        <f t="shared" si="762"/>
        <v/>
      </c>
      <c r="H7688" s="34"/>
      <c r="I7688" s="30"/>
      <c r="J7688" s="152">
        <v>0</v>
      </c>
      <c r="L7688" s="219"/>
      <c r="M7688" s="42"/>
      <c r="N7688" s="33" t="str">
        <f t="shared" si="763"/>
        <v/>
      </c>
      <c r="O7688" s="34"/>
      <c r="P7688" s="36" t="str">
        <f t="shared" ref="P7688:P7751" si="764">IF(ISBLANK(L7688),"",IF($E7688&lt;&gt;L7688,"SIM",""))</f>
        <v/>
      </c>
      <c r="Q7688" s="216" t="str">
        <f t="shared" ref="Q7688:Q7751" si="765">IF(M7688="","",1-M7688/$F7688)</f>
        <v/>
      </c>
      <c r="R7688" s="216" t="str">
        <f t="shared" ref="R7688:R7751" si="766">IF(N7688="","",1-N7688/$G7688)</f>
        <v/>
      </c>
      <c r="S7688" s="217" t="str">
        <f t="shared" ref="S7688:S7751" si="767">IF(O7688="","",1-O7688/$H7688)</f>
        <v/>
      </c>
    </row>
    <row r="7689" spans="1:19" ht="15.75" hidden="1" thickBot="1" x14ac:dyDescent="0.3">
      <c r="A7689" s="262"/>
      <c r="B7689" s="260"/>
      <c r="C7689" s="35" t="s">
        <v>8271</v>
      </c>
      <c r="D7689" s="35" t="s">
        <v>213</v>
      </c>
      <c r="E7689" s="36">
        <v>1</v>
      </c>
      <c r="F7689" s="30">
        <v>4.2084999999999999</v>
      </c>
      <c r="G7689" s="33">
        <f t="shared" si="762"/>
        <v>4.2084999999999999</v>
      </c>
      <c r="H7689" s="38">
        <f>SUM(G7689:G7689)</f>
        <v>4.2084999999999999</v>
      </c>
      <c r="I7689" s="39"/>
      <c r="J7689" s="152">
        <v>0</v>
      </c>
      <c r="L7689" s="215">
        <v>1</v>
      </c>
      <c r="M7689" s="30">
        <v>3.6024760000000002</v>
      </c>
      <c r="N7689" s="33">
        <f t="shared" si="763"/>
        <v>3.6024760000000002</v>
      </c>
      <c r="O7689" s="38">
        <f>SUM(N7689:N7689)</f>
        <v>3.6024760000000002</v>
      </c>
      <c r="P7689" s="36" t="str">
        <f t="shared" si="764"/>
        <v/>
      </c>
      <c r="Q7689" s="216">
        <f t="shared" si="765"/>
        <v>0.14399999999999991</v>
      </c>
      <c r="R7689" s="216">
        <f t="shared" si="766"/>
        <v>0.14399999999999991</v>
      </c>
      <c r="S7689" s="217">
        <f t="shared" si="767"/>
        <v>0.14399999999999991</v>
      </c>
    </row>
    <row r="7690" spans="1:19" ht="15.75" hidden="1" thickBot="1" x14ac:dyDescent="0.3">
      <c r="A7690" s="263"/>
      <c r="B7690" s="261"/>
      <c r="C7690" s="54"/>
      <c r="D7690" s="54"/>
      <c r="E7690" s="65"/>
      <c r="F7690" s="66" t="s">
        <v>416</v>
      </c>
      <c r="G7690" s="67" t="str">
        <f t="shared" si="762"/>
        <v/>
      </c>
      <c r="H7690" s="68"/>
      <c r="I7690" s="30"/>
      <c r="J7690" s="152">
        <v>0</v>
      </c>
      <c r="L7690" s="222"/>
      <c r="M7690" s="66"/>
      <c r="N7690" s="67" t="str">
        <f t="shared" si="763"/>
        <v/>
      </c>
      <c r="O7690" s="68"/>
      <c r="P7690" s="36" t="str">
        <f t="shared" si="764"/>
        <v/>
      </c>
      <c r="Q7690" s="216" t="str">
        <f t="shared" si="765"/>
        <v/>
      </c>
      <c r="R7690" s="216" t="str">
        <f t="shared" si="766"/>
        <v/>
      </c>
      <c r="S7690" s="217" t="str">
        <f t="shared" si="767"/>
        <v/>
      </c>
    </row>
    <row r="7691" spans="1:19" ht="15.75" hidden="1" thickBot="1" x14ac:dyDescent="0.3">
      <c r="A7691" s="256" t="s">
        <v>6852</v>
      </c>
      <c r="B7691" s="259" t="str">
        <f>INDEX(Orçamentária!A:B,MATCH(Composições!A7691,Orçamentária!A:A,0),2)</f>
        <v>Luva de correr PVC soldável 40 mm</v>
      </c>
      <c r="C7691" s="40"/>
      <c r="D7691" s="25" t="s">
        <v>16</v>
      </c>
      <c r="E7691" s="26"/>
      <c r="F7691" s="41" t="s">
        <v>416</v>
      </c>
      <c r="G7691" s="27" t="str">
        <f t="shared" si="762"/>
        <v/>
      </c>
      <c r="H7691" s="28"/>
      <c r="I7691" s="29"/>
      <c r="J7691" s="152">
        <v>0</v>
      </c>
      <c r="L7691" s="218"/>
      <c r="M7691" s="41"/>
      <c r="N7691" s="27" t="str">
        <f t="shared" si="763"/>
        <v/>
      </c>
      <c r="O7691" s="28"/>
      <c r="P7691" s="36" t="str">
        <f t="shared" si="764"/>
        <v/>
      </c>
      <c r="Q7691" s="216" t="str">
        <f t="shared" si="765"/>
        <v/>
      </c>
      <c r="R7691" s="216" t="str">
        <f t="shared" si="766"/>
        <v/>
      </c>
      <c r="S7691" s="217" t="str">
        <f t="shared" si="767"/>
        <v/>
      </c>
    </row>
    <row r="7692" spans="1:19" ht="15.75" hidden="1" thickBot="1" x14ac:dyDescent="0.3">
      <c r="A7692" s="262"/>
      <c r="B7692" s="260"/>
      <c r="C7692" s="31"/>
      <c r="D7692" s="31"/>
      <c r="E7692" s="32"/>
      <c r="F7692" s="42" t="s">
        <v>416</v>
      </c>
      <c r="G7692" s="33" t="str">
        <f t="shared" si="762"/>
        <v/>
      </c>
      <c r="H7692" s="34"/>
      <c r="I7692" s="30"/>
      <c r="J7692" s="152">
        <v>0</v>
      </c>
      <c r="L7692" s="219"/>
      <c r="M7692" s="42"/>
      <c r="N7692" s="33" t="str">
        <f t="shared" si="763"/>
        <v/>
      </c>
      <c r="O7692" s="34"/>
      <c r="P7692" s="36" t="str">
        <f t="shared" si="764"/>
        <v/>
      </c>
      <c r="Q7692" s="216" t="str">
        <f t="shared" si="765"/>
        <v/>
      </c>
      <c r="R7692" s="216" t="str">
        <f t="shared" si="766"/>
        <v/>
      </c>
      <c r="S7692" s="217" t="str">
        <f t="shared" si="767"/>
        <v/>
      </c>
    </row>
    <row r="7693" spans="1:19" ht="26.25" hidden="1" thickBot="1" x14ac:dyDescent="0.3">
      <c r="A7693" s="262"/>
      <c r="B7693" s="260"/>
      <c r="C7693" s="35" t="s">
        <v>8241</v>
      </c>
      <c r="D7693" s="35" t="s">
        <v>213</v>
      </c>
      <c r="E7693" s="36">
        <v>1</v>
      </c>
      <c r="F7693" s="30">
        <v>27.986999999999998</v>
      </c>
      <c r="G7693" s="33">
        <f t="shared" si="762"/>
        <v>27.986999999999998</v>
      </c>
      <c r="H7693" s="38">
        <f>SUM(G7693:G7693)</f>
        <v>27.986999999999998</v>
      </c>
      <c r="I7693" s="39"/>
      <c r="J7693" s="152">
        <v>0</v>
      </c>
      <c r="L7693" s="215">
        <v>1</v>
      </c>
      <c r="M7693" s="30">
        <v>23.956871999999997</v>
      </c>
      <c r="N7693" s="33">
        <f t="shared" si="763"/>
        <v>23.956871999999997</v>
      </c>
      <c r="O7693" s="38">
        <f>SUM(N7693:N7693)</f>
        <v>23.956871999999997</v>
      </c>
      <c r="P7693" s="36" t="str">
        <f t="shared" si="764"/>
        <v/>
      </c>
      <c r="Q7693" s="216">
        <f t="shared" si="765"/>
        <v>0.14400000000000002</v>
      </c>
      <c r="R7693" s="216">
        <f t="shared" si="766"/>
        <v>0.14400000000000002</v>
      </c>
      <c r="S7693" s="217">
        <f t="shared" si="767"/>
        <v>0.14400000000000002</v>
      </c>
    </row>
    <row r="7694" spans="1:19" ht="15.75" hidden="1" thickBot="1" x14ac:dyDescent="0.3">
      <c r="A7694" s="263"/>
      <c r="B7694" s="261"/>
      <c r="C7694" s="54"/>
      <c r="D7694" s="54"/>
      <c r="E7694" s="65"/>
      <c r="F7694" s="66" t="s">
        <v>416</v>
      </c>
      <c r="G7694" s="67" t="str">
        <f t="shared" si="762"/>
        <v/>
      </c>
      <c r="H7694" s="68"/>
      <c r="I7694" s="30"/>
      <c r="J7694" s="152">
        <v>0</v>
      </c>
      <c r="L7694" s="222"/>
      <c r="M7694" s="66"/>
      <c r="N7694" s="67" t="str">
        <f t="shared" si="763"/>
        <v/>
      </c>
      <c r="O7694" s="68"/>
      <c r="P7694" s="36" t="str">
        <f t="shared" si="764"/>
        <v/>
      </c>
      <c r="Q7694" s="216" t="str">
        <f t="shared" si="765"/>
        <v/>
      </c>
      <c r="R7694" s="216" t="str">
        <f t="shared" si="766"/>
        <v/>
      </c>
      <c r="S7694" s="217" t="str">
        <f t="shared" si="767"/>
        <v/>
      </c>
    </row>
    <row r="7695" spans="1:19" ht="15.75" hidden="1" thickBot="1" x14ac:dyDescent="0.3">
      <c r="A7695" s="256" t="s">
        <v>6853</v>
      </c>
      <c r="B7695" s="259" t="str">
        <f>INDEX(Orçamentária!A:B,MATCH(Composições!A7695,Orçamentária!A:A,0),2)</f>
        <v>União PVC soldável 40 mm</v>
      </c>
      <c r="C7695" s="40"/>
      <c r="D7695" s="25" t="s">
        <v>16</v>
      </c>
      <c r="E7695" s="26"/>
      <c r="F7695" s="41" t="s">
        <v>416</v>
      </c>
      <c r="G7695" s="27" t="str">
        <f t="shared" si="762"/>
        <v/>
      </c>
      <c r="H7695" s="28"/>
      <c r="I7695" s="29"/>
      <c r="J7695" s="152">
        <v>0</v>
      </c>
      <c r="L7695" s="218"/>
      <c r="M7695" s="41"/>
      <c r="N7695" s="27" t="str">
        <f t="shared" si="763"/>
        <v/>
      </c>
      <c r="O7695" s="28"/>
      <c r="P7695" s="36" t="str">
        <f t="shared" si="764"/>
        <v/>
      </c>
      <c r="Q7695" s="216" t="str">
        <f t="shared" si="765"/>
        <v/>
      </c>
      <c r="R7695" s="216" t="str">
        <f t="shared" si="766"/>
        <v/>
      </c>
      <c r="S7695" s="217" t="str">
        <f t="shared" si="767"/>
        <v/>
      </c>
    </row>
    <row r="7696" spans="1:19" ht="15.75" hidden="1" thickBot="1" x14ac:dyDescent="0.3">
      <c r="A7696" s="262"/>
      <c r="B7696" s="260"/>
      <c r="C7696" s="31"/>
      <c r="D7696" s="31"/>
      <c r="E7696" s="32"/>
      <c r="F7696" s="42" t="s">
        <v>416</v>
      </c>
      <c r="G7696" s="33" t="str">
        <f t="shared" si="762"/>
        <v/>
      </c>
      <c r="H7696" s="34"/>
      <c r="I7696" s="30"/>
      <c r="J7696" s="152">
        <v>0</v>
      </c>
      <c r="L7696" s="219"/>
      <c r="M7696" s="42"/>
      <c r="N7696" s="33" t="str">
        <f t="shared" si="763"/>
        <v/>
      </c>
      <c r="O7696" s="34"/>
      <c r="P7696" s="36" t="str">
        <f t="shared" si="764"/>
        <v/>
      </c>
      <c r="Q7696" s="216" t="str">
        <f t="shared" si="765"/>
        <v/>
      </c>
      <c r="R7696" s="216" t="str">
        <f t="shared" si="766"/>
        <v/>
      </c>
      <c r="S7696" s="217" t="str">
        <f t="shared" si="767"/>
        <v/>
      </c>
    </row>
    <row r="7697" spans="1:19" ht="15.75" hidden="1" thickBot="1" x14ac:dyDescent="0.3">
      <c r="A7697" s="262"/>
      <c r="B7697" s="260"/>
      <c r="C7697" s="35" t="s">
        <v>8565</v>
      </c>
      <c r="D7697" s="35" t="s">
        <v>213</v>
      </c>
      <c r="E7697" s="36">
        <v>1</v>
      </c>
      <c r="F7697" s="30">
        <v>25.574000000000002</v>
      </c>
      <c r="G7697" s="33">
        <f t="shared" si="762"/>
        <v>25.574000000000002</v>
      </c>
      <c r="H7697" s="38">
        <f>SUM(G7697:G7697)</f>
        <v>25.574000000000002</v>
      </c>
      <c r="I7697" s="39"/>
      <c r="J7697" s="152">
        <v>0</v>
      </c>
      <c r="L7697" s="215">
        <v>1</v>
      </c>
      <c r="M7697" s="30">
        <v>21.891344</v>
      </c>
      <c r="N7697" s="33">
        <f t="shared" si="763"/>
        <v>21.891344</v>
      </c>
      <c r="O7697" s="38">
        <f>SUM(N7697:N7697)</f>
        <v>21.891344</v>
      </c>
      <c r="P7697" s="36" t="str">
        <f t="shared" si="764"/>
        <v/>
      </c>
      <c r="Q7697" s="216">
        <f t="shared" si="765"/>
        <v>0.14400000000000002</v>
      </c>
      <c r="R7697" s="216">
        <f t="shared" si="766"/>
        <v>0.14400000000000002</v>
      </c>
      <c r="S7697" s="217">
        <f t="shared" si="767"/>
        <v>0.14400000000000002</v>
      </c>
    </row>
    <row r="7698" spans="1:19" ht="15.75" hidden="1" thickBot="1" x14ac:dyDescent="0.3">
      <c r="A7698" s="263"/>
      <c r="B7698" s="261"/>
      <c r="C7698" s="54"/>
      <c r="D7698" s="54"/>
      <c r="E7698" s="65"/>
      <c r="F7698" s="66" t="s">
        <v>416</v>
      </c>
      <c r="G7698" s="67" t="str">
        <f t="shared" si="762"/>
        <v/>
      </c>
      <c r="H7698" s="68"/>
      <c r="I7698" s="30"/>
      <c r="J7698" s="152">
        <v>0</v>
      </c>
      <c r="L7698" s="222"/>
      <c r="M7698" s="66"/>
      <c r="N7698" s="67" t="str">
        <f t="shared" si="763"/>
        <v/>
      </c>
      <c r="O7698" s="68"/>
      <c r="P7698" s="36" t="str">
        <f t="shared" si="764"/>
        <v/>
      </c>
      <c r="Q7698" s="216" t="str">
        <f t="shared" si="765"/>
        <v/>
      </c>
      <c r="R7698" s="216" t="str">
        <f t="shared" si="766"/>
        <v/>
      </c>
      <c r="S7698" s="217" t="str">
        <f t="shared" si="767"/>
        <v/>
      </c>
    </row>
    <row r="7699" spans="1:19" ht="15.75" hidden="1" thickBot="1" x14ac:dyDescent="0.3">
      <c r="A7699" s="256" t="s">
        <v>6854</v>
      </c>
      <c r="B7699" s="259" t="str">
        <f>INDEX(Orçamentária!A:B,MATCH(Composições!A7699,Orçamentária!A:A,0),2)</f>
        <v>Bucha de redução curta PVC soldável de 40 mm x 32 mm</v>
      </c>
      <c r="C7699" s="40"/>
      <c r="D7699" s="25" t="s">
        <v>16</v>
      </c>
      <c r="E7699" s="26"/>
      <c r="F7699" s="41" t="s">
        <v>416</v>
      </c>
      <c r="G7699" s="27" t="str">
        <f t="shared" si="762"/>
        <v/>
      </c>
      <c r="H7699" s="28"/>
      <c r="I7699" s="29"/>
      <c r="J7699" s="152">
        <v>0</v>
      </c>
      <c r="L7699" s="218"/>
      <c r="M7699" s="41"/>
      <c r="N7699" s="27" t="str">
        <f t="shared" si="763"/>
        <v/>
      </c>
      <c r="O7699" s="28"/>
      <c r="P7699" s="36" t="str">
        <f t="shared" si="764"/>
        <v/>
      </c>
      <c r="Q7699" s="216" t="str">
        <f t="shared" si="765"/>
        <v/>
      </c>
      <c r="R7699" s="216" t="str">
        <f t="shared" si="766"/>
        <v/>
      </c>
      <c r="S7699" s="217" t="str">
        <f t="shared" si="767"/>
        <v/>
      </c>
    </row>
    <row r="7700" spans="1:19" ht="15.75" hidden="1" thickBot="1" x14ac:dyDescent="0.3">
      <c r="A7700" s="262"/>
      <c r="B7700" s="260"/>
      <c r="C7700" s="31"/>
      <c r="D7700" s="31"/>
      <c r="E7700" s="32"/>
      <c r="F7700" s="42" t="s">
        <v>416</v>
      </c>
      <c r="G7700" s="33" t="str">
        <f t="shared" si="762"/>
        <v/>
      </c>
      <c r="H7700" s="34"/>
      <c r="I7700" s="30"/>
      <c r="J7700" s="152">
        <v>0</v>
      </c>
      <c r="L7700" s="219"/>
      <c r="M7700" s="42"/>
      <c r="N7700" s="33" t="str">
        <f t="shared" si="763"/>
        <v/>
      </c>
      <c r="O7700" s="34"/>
      <c r="P7700" s="36" t="str">
        <f t="shared" si="764"/>
        <v/>
      </c>
      <c r="Q7700" s="216" t="str">
        <f t="shared" si="765"/>
        <v/>
      </c>
      <c r="R7700" s="216" t="str">
        <f t="shared" si="766"/>
        <v/>
      </c>
      <c r="S7700" s="217" t="str">
        <f t="shared" si="767"/>
        <v/>
      </c>
    </row>
    <row r="7701" spans="1:19" ht="26.25" hidden="1" thickBot="1" x14ac:dyDescent="0.3">
      <c r="A7701" s="262"/>
      <c r="B7701" s="260"/>
      <c r="C7701" s="35" t="s">
        <v>8018</v>
      </c>
      <c r="D7701" s="35" t="s">
        <v>213</v>
      </c>
      <c r="E7701" s="36">
        <v>1</v>
      </c>
      <c r="F7701" s="30">
        <v>2.0804999999999998</v>
      </c>
      <c r="G7701" s="33">
        <f t="shared" si="762"/>
        <v>2.0804999999999998</v>
      </c>
      <c r="H7701" s="38">
        <f>SUM(G7701:G7701)</f>
        <v>2.0804999999999998</v>
      </c>
      <c r="I7701" s="39"/>
      <c r="J7701" s="152">
        <v>0</v>
      </c>
      <c r="L7701" s="215">
        <v>1</v>
      </c>
      <c r="M7701" s="30">
        <v>1.7809079999999997</v>
      </c>
      <c r="N7701" s="33">
        <f t="shared" si="763"/>
        <v>1.7809079999999997</v>
      </c>
      <c r="O7701" s="38">
        <f>SUM(N7701:N7701)</f>
        <v>1.7809079999999997</v>
      </c>
      <c r="P7701" s="36" t="str">
        <f t="shared" si="764"/>
        <v/>
      </c>
      <c r="Q7701" s="216">
        <f t="shared" si="765"/>
        <v>0.14400000000000002</v>
      </c>
      <c r="R7701" s="216">
        <f t="shared" si="766"/>
        <v>0.14400000000000002</v>
      </c>
      <c r="S7701" s="217">
        <f t="shared" si="767"/>
        <v>0.14400000000000002</v>
      </c>
    </row>
    <row r="7702" spans="1:19" ht="15.75" hidden="1" thickBot="1" x14ac:dyDescent="0.3">
      <c r="A7702" s="263"/>
      <c r="B7702" s="261"/>
      <c r="C7702" s="54"/>
      <c r="D7702" s="54"/>
      <c r="E7702" s="65"/>
      <c r="F7702" s="66" t="s">
        <v>416</v>
      </c>
      <c r="G7702" s="67" t="str">
        <f t="shared" si="762"/>
        <v/>
      </c>
      <c r="H7702" s="68"/>
      <c r="I7702" s="30"/>
      <c r="J7702" s="152">
        <v>0</v>
      </c>
      <c r="L7702" s="222"/>
      <c r="M7702" s="66"/>
      <c r="N7702" s="67" t="str">
        <f t="shared" si="763"/>
        <v/>
      </c>
      <c r="O7702" s="68"/>
      <c r="P7702" s="36" t="str">
        <f t="shared" si="764"/>
        <v/>
      </c>
      <c r="Q7702" s="216" t="str">
        <f t="shared" si="765"/>
        <v/>
      </c>
      <c r="R7702" s="216" t="str">
        <f t="shared" si="766"/>
        <v/>
      </c>
      <c r="S7702" s="217" t="str">
        <f t="shared" si="767"/>
        <v/>
      </c>
    </row>
    <row r="7703" spans="1:19" ht="15.75" hidden="1" thickBot="1" x14ac:dyDescent="0.3">
      <c r="A7703" s="256" t="s">
        <v>6855</v>
      </c>
      <c r="B7703" s="259" t="str">
        <f>INDEX(Orçamentária!A:B,MATCH(Composições!A7703,Orçamentária!A:A,0),2)</f>
        <v>Adaptador PVC soldável, curto com bolsa e rosca para Registro 40 mm x 1 1/4”</v>
      </c>
      <c r="C7703" s="40"/>
      <c r="D7703" s="25" t="s">
        <v>16</v>
      </c>
      <c r="E7703" s="26"/>
      <c r="F7703" s="41" t="s">
        <v>416</v>
      </c>
      <c r="G7703" s="27" t="str">
        <f t="shared" si="762"/>
        <v/>
      </c>
      <c r="H7703" s="28"/>
      <c r="I7703" s="29"/>
      <c r="J7703" s="152">
        <v>0</v>
      </c>
      <c r="L7703" s="218"/>
      <c r="M7703" s="41"/>
      <c r="N7703" s="27" t="str">
        <f t="shared" si="763"/>
        <v/>
      </c>
      <c r="O7703" s="28"/>
      <c r="P7703" s="36" t="str">
        <f t="shared" si="764"/>
        <v/>
      </c>
      <c r="Q7703" s="216" t="str">
        <f t="shared" si="765"/>
        <v/>
      </c>
      <c r="R7703" s="216" t="str">
        <f t="shared" si="766"/>
        <v/>
      </c>
      <c r="S7703" s="217" t="str">
        <f t="shared" si="767"/>
        <v/>
      </c>
    </row>
    <row r="7704" spans="1:19" ht="15.75" hidden="1" thickBot="1" x14ac:dyDescent="0.3">
      <c r="A7704" s="262"/>
      <c r="B7704" s="260"/>
      <c r="C7704" s="31"/>
      <c r="D7704" s="31"/>
      <c r="E7704" s="32"/>
      <c r="F7704" s="42" t="s">
        <v>416</v>
      </c>
      <c r="G7704" s="33" t="str">
        <f t="shared" si="762"/>
        <v/>
      </c>
      <c r="H7704" s="34"/>
      <c r="I7704" s="30"/>
      <c r="J7704" s="152">
        <v>0</v>
      </c>
      <c r="L7704" s="219"/>
      <c r="M7704" s="42"/>
      <c r="N7704" s="33" t="str">
        <f t="shared" si="763"/>
        <v/>
      </c>
      <c r="O7704" s="34"/>
      <c r="P7704" s="36" t="str">
        <f t="shared" si="764"/>
        <v/>
      </c>
      <c r="Q7704" s="216" t="str">
        <f t="shared" si="765"/>
        <v/>
      </c>
      <c r="R7704" s="216" t="str">
        <f t="shared" si="766"/>
        <v/>
      </c>
      <c r="S7704" s="217" t="str">
        <f t="shared" si="767"/>
        <v/>
      </c>
    </row>
    <row r="7705" spans="1:19" ht="26.25" hidden="1" thickBot="1" x14ac:dyDescent="0.3">
      <c r="A7705" s="262"/>
      <c r="B7705" s="260"/>
      <c r="C7705" s="35" t="s">
        <v>7962</v>
      </c>
      <c r="D7705" s="35" t="s">
        <v>213</v>
      </c>
      <c r="E7705" s="36">
        <v>1</v>
      </c>
      <c r="F7705" s="30">
        <v>3.6574999999999998</v>
      </c>
      <c r="G7705" s="33">
        <f t="shared" si="762"/>
        <v>3.6574999999999998</v>
      </c>
      <c r="H7705" s="38">
        <f>SUM(G7705:G7705)</f>
        <v>3.6574999999999998</v>
      </c>
      <c r="I7705" s="39"/>
      <c r="J7705" s="152">
        <v>0</v>
      </c>
      <c r="L7705" s="215">
        <v>1</v>
      </c>
      <c r="M7705" s="30">
        <v>3.1308199999999999</v>
      </c>
      <c r="N7705" s="33">
        <f t="shared" si="763"/>
        <v>3.1308199999999999</v>
      </c>
      <c r="O7705" s="38">
        <f>SUM(N7705:N7705)</f>
        <v>3.1308199999999999</v>
      </c>
      <c r="P7705" s="36" t="str">
        <f t="shared" si="764"/>
        <v/>
      </c>
      <c r="Q7705" s="216">
        <f t="shared" si="765"/>
        <v>0.14399999999999991</v>
      </c>
      <c r="R7705" s="216">
        <f t="shared" si="766"/>
        <v>0.14399999999999991</v>
      </c>
      <c r="S7705" s="217">
        <f t="shared" si="767"/>
        <v>0.14399999999999991</v>
      </c>
    </row>
    <row r="7706" spans="1:19" ht="15.75" hidden="1" thickBot="1" x14ac:dyDescent="0.3">
      <c r="A7706" s="263"/>
      <c r="B7706" s="261"/>
      <c r="C7706" s="54"/>
      <c r="D7706" s="54"/>
      <c r="E7706" s="65"/>
      <c r="F7706" s="66" t="s">
        <v>416</v>
      </c>
      <c r="G7706" s="67" t="str">
        <f t="shared" si="762"/>
        <v/>
      </c>
      <c r="H7706" s="68"/>
      <c r="I7706" s="30"/>
      <c r="J7706" s="152">
        <v>0</v>
      </c>
      <c r="L7706" s="222"/>
      <c r="M7706" s="66"/>
      <c r="N7706" s="67" t="str">
        <f t="shared" si="763"/>
        <v/>
      </c>
      <c r="O7706" s="68"/>
      <c r="P7706" s="36" t="str">
        <f t="shared" si="764"/>
        <v/>
      </c>
      <c r="Q7706" s="216" t="str">
        <f t="shared" si="765"/>
        <v/>
      </c>
      <c r="R7706" s="216" t="str">
        <f t="shared" si="766"/>
        <v/>
      </c>
      <c r="S7706" s="217" t="str">
        <f t="shared" si="767"/>
        <v/>
      </c>
    </row>
    <row r="7707" spans="1:19" ht="15.75" hidden="1" thickBot="1" x14ac:dyDescent="0.3">
      <c r="A7707" s="256" t="s">
        <v>6856</v>
      </c>
      <c r="B7707" s="259" t="str">
        <f>INDEX(Orçamentária!A:B,MATCH(Composições!A7707,Orçamentária!A:A,0),2)</f>
        <v>Adaptador flange PVC soldável 40 mm x 1 1/4”</v>
      </c>
      <c r="C7707" s="40"/>
      <c r="D7707" s="25" t="s">
        <v>16</v>
      </c>
      <c r="E7707" s="26"/>
      <c r="F7707" s="41" t="s">
        <v>416</v>
      </c>
      <c r="G7707" s="27" t="str">
        <f t="shared" si="762"/>
        <v/>
      </c>
      <c r="H7707" s="28"/>
      <c r="I7707" s="29"/>
      <c r="J7707" s="152">
        <v>0</v>
      </c>
      <c r="L7707" s="218"/>
      <c r="M7707" s="41"/>
      <c r="N7707" s="27" t="str">
        <f t="shared" si="763"/>
        <v/>
      </c>
      <c r="O7707" s="28"/>
      <c r="P7707" s="36" t="str">
        <f t="shared" si="764"/>
        <v/>
      </c>
      <c r="Q7707" s="216" t="str">
        <f t="shared" si="765"/>
        <v/>
      </c>
      <c r="R7707" s="216" t="str">
        <f t="shared" si="766"/>
        <v/>
      </c>
      <c r="S7707" s="217" t="str">
        <f t="shared" si="767"/>
        <v/>
      </c>
    </row>
    <row r="7708" spans="1:19" ht="15.75" hidden="1" thickBot="1" x14ac:dyDescent="0.3">
      <c r="A7708" s="262"/>
      <c r="B7708" s="260"/>
      <c r="C7708" s="31"/>
      <c r="D7708" s="31"/>
      <c r="E7708" s="32"/>
      <c r="F7708" s="42" t="s">
        <v>416</v>
      </c>
      <c r="G7708" s="33" t="str">
        <f t="shared" si="762"/>
        <v/>
      </c>
      <c r="H7708" s="34"/>
      <c r="I7708" s="30"/>
      <c r="J7708" s="152">
        <v>0</v>
      </c>
      <c r="L7708" s="219"/>
      <c r="M7708" s="42"/>
      <c r="N7708" s="33" t="str">
        <f t="shared" si="763"/>
        <v/>
      </c>
      <c r="O7708" s="34"/>
      <c r="P7708" s="36" t="str">
        <f t="shared" si="764"/>
        <v/>
      </c>
      <c r="Q7708" s="216" t="str">
        <f t="shared" si="765"/>
        <v/>
      </c>
      <c r="R7708" s="216" t="str">
        <f t="shared" si="766"/>
        <v/>
      </c>
      <c r="S7708" s="217" t="str">
        <f t="shared" si="767"/>
        <v/>
      </c>
    </row>
    <row r="7709" spans="1:19" ht="26.25" hidden="1" thickBot="1" x14ac:dyDescent="0.3">
      <c r="A7709" s="262"/>
      <c r="B7709" s="260"/>
      <c r="C7709" s="35" t="s">
        <v>7969</v>
      </c>
      <c r="D7709" s="35" t="s">
        <v>213</v>
      </c>
      <c r="E7709" s="36">
        <v>1</v>
      </c>
      <c r="F7709" s="30">
        <v>27.416999999999998</v>
      </c>
      <c r="G7709" s="33">
        <f t="shared" si="762"/>
        <v>27.416999999999998</v>
      </c>
      <c r="H7709" s="38">
        <f>SUM(G7709:G7709)</f>
        <v>27.416999999999998</v>
      </c>
      <c r="I7709" s="39"/>
      <c r="J7709" s="152">
        <v>0</v>
      </c>
      <c r="L7709" s="215">
        <v>1</v>
      </c>
      <c r="M7709" s="30">
        <v>23.468951999999998</v>
      </c>
      <c r="N7709" s="33">
        <f t="shared" si="763"/>
        <v>23.468951999999998</v>
      </c>
      <c r="O7709" s="38">
        <f>SUM(N7709:N7709)</f>
        <v>23.468951999999998</v>
      </c>
      <c r="P7709" s="36" t="str">
        <f t="shared" si="764"/>
        <v/>
      </c>
      <c r="Q7709" s="216">
        <f t="shared" si="765"/>
        <v>0.14400000000000002</v>
      </c>
      <c r="R7709" s="216">
        <f t="shared" si="766"/>
        <v>0.14400000000000002</v>
      </c>
      <c r="S7709" s="217">
        <f t="shared" si="767"/>
        <v>0.14400000000000002</v>
      </c>
    </row>
    <row r="7710" spans="1:19" ht="15.75" hidden="1" thickBot="1" x14ac:dyDescent="0.3">
      <c r="A7710" s="263"/>
      <c r="B7710" s="261"/>
      <c r="C7710" s="54"/>
      <c r="D7710" s="54"/>
      <c r="E7710" s="65"/>
      <c r="F7710" s="66" t="s">
        <v>416</v>
      </c>
      <c r="G7710" s="67" t="str">
        <f t="shared" si="762"/>
        <v/>
      </c>
      <c r="H7710" s="68"/>
      <c r="I7710" s="30"/>
      <c r="J7710" s="152">
        <v>0</v>
      </c>
      <c r="L7710" s="222"/>
      <c r="M7710" s="66"/>
      <c r="N7710" s="67" t="str">
        <f t="shared" si="763"/>
        <v/>
      </c>
      <c r="O7710" s="68"/>
      <c r="P7710" s="36" t="str">
        <f t="shared" si="764"/>
        <v/>
      </c>
      <c r="Q7710" s="216" t="str">
        <f t="shared" si="765"/>
        <v/>
      </c>
      <c r="R7710" s="216" t="str">
        <f t="shared" si="766"/>
        <v/>
      </c>
      <c r="S7710" s="217" t="str">
        <f t="shared" si="767"/>
        <v/>
      </c>
    </row>
    <row r="7711" spans="1:19" ht="15.75" hidden="1" thickBot="1" x14ac:dyDescent="0.3">
      <c r="A7711" s="256" t="s">
        <v>6857</v>
      </c>
      <c r="B7711" s="259" t="str">
        <f>INDEX(Orçamentária!A:B,MATCH(Composições!A7711,Orçamentária!A:A,0),2)</f>
        <v>Joelho 90° PVC soldável 50 mm</v>
      </c>
      <c r="C7711" s="40"/>
      <c r="D7711" s="25" t="s">
        <v>16</v>
      </c>
      <c r="E7711" s="26"/>
      <c r="F7711" s="41" t="s">
        <v>416</v>
      </c>
      <c r="G7711" s="27" t="str">
        <f t="shared" si="762"/>
        <v/>
      </c>
      <c r="H7711" s="28"/>
      <c r="I7711" s="29"/>
      <c r="J7711" s="152">
        <v>0</v>
      </c>
      <c r="L7711" s="218"/>
      <c r="M7711" s="41"/>
      <c r="N7711" s="27" t="str">
        <f t="shared" si="763"/>
        <v/>
      </c>
      <c r="O7711" s="28"/>
      <c r="P7711" s="36" t="str">
        <f t="shared" si="764"/>
        <v/>
      </c>
      <c r="Q7711" s="216" t="str">
        <f t="shared" si="765"/>
        <v/>
      </c>
      <c r="R7711" s="216" t="str">
        <f t="shared" si="766"/>
        <v/>
      </c>
      <c r="S7711" s="217" t="str">
        <f t="shared" si="767"/>
        <v/>
      </c>
    </row>
    <row r="7712" spans="1:19" ht="15.75" hidden="1" thickBot="1" x14ac:dyDescent="0.3">
      <c r="A7712" s="262"/>
      <c r="B7712" s="260"/>
      <c r="C7712" s="31"/>
      <c r="D7712" s="31"/>
      <c r="E7712" s="32"/>
      <c r="F7712" s="42" t="s">
        <v>416</v>
      </c>
      <c r="G7712" s="33" t="str">
        <f t="shared" si="762"/>
        <v/>
      </c>
      <c r="H7712" s="34"/>
      <c r="I7712" s="30"/>
      <c r="J7712" s="152">
        <v>0</v>
      </c>
      <c r="L7712" s="219"/>
      <c r="M7712" s="42"/>
      <c r="N7712" s="33" t="str">
        <f t="shared" si="763"/>
        <v/>
      </c>
      <c r="O7712" s="34"/>
      <c r="P7712" s="36" t="str">
        <f t="shared" si="764"/>
        <v/>
      </c>
      <c r="Q7712" s="216" t="str">
        <f t="shared" si="765"/>
        <v/>
      </c>
      <c r="R7712" s="216" t="str">
        <f t="shared" si="766"/>
        <v/>
      </c>
      <c r="S7712" s="217" t="str">
        <f t="shared" si="767"/>
        <v/>
      </c>
    </row>
    <row r="7713" spans="1:19" ht="26.25" hidden="1" thickBot="1" x14ac:dyDescent="0.3">
      <c r="A7713" s="262"/>
      <c r="B7713" s="260"/>
      <c r="C7713" s="35" t="s">
        <v>8202</v>
      </c>
      <c r="D7713" s="35" t="s">
        <v>213</v>
      </c>
      <c r="E7713" s="36">
        <v>1</v>
      </c>
      <c r="F7713" s="30">
        <v>4.9305000000000003</v>
      </c>
      <c r="G7713" s="33">
        <f t="shared" si="762"/>
        <v>4.9305000000000003</v>
      </c>
      <c r="H7713" s="38">
        <f>SUM(G7713:G7713)</f>
        <v>4.9305000000000003</v>
      </c>
      <c r="I7713" s="39"/>
      <c r="J7713" s="152">
        <v>0</v>
      </c>
      <c r="L7713" s="215">
        <v>1</v>
      </c>
      <c r="M7713" s="30">
        <v>4.2205080000000006</v>
      </c>
      <c r="N7713" s="33">
        <f t="shared" si="763"/>
        <v>4.2205080000000006</v>
      </c>
      <c r="O7713" s="38">
        <f>SUM(N7713:N7713)</f>
        <v>4.2205080000000006</v>
      </c>
      <c r="P7713" s="36" t="str">
        <f t="shared" si="764"/>
        <v/>
      </c>
      <c r="Q7713" s="216">
        <f t="shared" si="765"/>
        <v>0.14399999999999991</v>
      </c>
      <c r="R7713" s="216">
        <f t="shared" si="766"/>
        <v>0.14399999999999991</v>
      </c>
      <c r="S7713" s="217">
        <f t="shared" si="767"/>
        <v>0.14399999999999991</v>
      </c>
    </row>
    <row r="7714" spans="1:19" ht="15.75" hidden="1" thickBot="1" x14ac:dyDescent="0.3">
      <c r="A7714" s="263"/>
      <c r="B7714" s="261"/>
      <c r="C7714" s="54"/>
      <c r="D7714" s="54"/>
      <c r="E7714" s="65"/>
      <c r="F7714" s="66" t="s">
        <v>416</v>
      </c>
      <c r="G7714" s="67" t="str">
        <f t="shared" si="762"/>
        <v/>
      </c>
      <c r="H7714" s="68"/>
      <c r="I7714" s="30"/>
      <c r="J7714" s="152">
        <v>0</v>
      </c>
      <c r="L7714" s="222"/>
      <c r="M7714" s="66"/>
      <c r="N7714" s="67" t="str">
        <f t="shared" si="763"/>
        <v/>
      </c>
      <c r="O7714" s="68"/>
      <c r="P7714" s="36" t="str">
        <f t="shared" si="764"/>
        <v/>
      </c>
      <c r="Q7714" s="216" t="str">
        <f t="shared" si="765"/>
        <v/>
      </c>
      <c r="R7714" s="216" t="str">
        <f t="shared" si="766"/>
        <v/>
      </c>
      <c r="S7714" s="217" t="str">
        <f t="shared" si="767"/>
        <v/>
      </c>
    </row>
    <row r="7715" spans="1:19" ht="15.75" hidden="1" thickBot="1" x14ac:dyDescent="0.3">
      <c r="A7715" s="256" t="s">
        <v>6858</v>
      </c>
      <c r="B7715" s="259" t="str">
        <f>INDEX(Orçamentária!A:B,MATCH(Composições!A7715,Orçamentária!A:A,0),2)</f>
        <v>Cap PVC soldável 50 mm</v>
      </c>
      <c r="C7715" s="40"/>
      <c r="D7715" s="25" t="s">
        <v>16</v>
      </c>
      <c r="E7715" s="26"/>
      <c r="F7715" s="41" t="s">
        <v>416</v>
      </c>
      <c r="G7715" s="27" t="str">
        <f t="shared" si="762"/>
        <v/>
      </c>
      <c r="H7715" s="28"/>
      <c r="I7715" s="29"/>
      <c r="J7715" s="152">
        <v>0</v>
      </c>
      <c r="L7715" s="218"/>
      <c r="M7715" s="41"/>
      <c r="N7715" s="27" t="str">
        <f t="shared" si="763"/>
        <v/>
      </c>
      <c r="O7715" s="28"/>
      <c r="P7715" s="36" t="str">
        <f t="shared" si="764"/>
        <v/>
      </c>
      <c r="Q7715" s="216" t="str">
        <f t="shared" si="765"/>
        <v/>
      </c>
      <c r="R7715" s="216" t="str">
        <f t="shared" si="766"/>
        <v/>
      </c>
      <c r="S7715" s="217" t="str">
        <f t="shared" si="767"/>
        <v/>
      </c>
    </row>
    <row r="7716" spans="1:19" ht="15.75" hidden="1" thickBot="1" x14ac:dyDescent="0.3">
      <c r="A7716" s="262"/>
      <c r="B7716" s="260"/>
      <c r="C7716" s="31"/>
      <c r="D7716" s="31"/>
      <c r="E7716" s="32"/>
      <c r="F7716" s="42" t="s">
        <v>416</v>
      </c>
      <c r="G7716" s="33" t="str">
        <f t="shared" si="762"/>
        <v/>
      </c>
      <c r="H7716" s="34"/>
      <c r="I7716" s="30"/>
      <c r="J7716" s="152">
        <v>0</v>
      </c>
      <c r="L7716" s="219"/>
      <c r="M7716" s="42"/>
      <c r="N7716" s="33" t="str">
        <f t="shared" si="763"/>
        <v/>
      </c>
      <c r="O7716" s="34"/>
      <c r="P7716" s="36" t="str">
        <f t="shared" si="764"/>
        <v/>
      </c>
      <c r="Q7716" s="216" t="str">
        <f t="shared" si="765"/>
        <v/>
      </c>
      <c r="R7716" s="216" t="str">
        <f t="shared" si="766"/>
        <v/>
      </c>
      <c r="S7716" s="217" t="str">
        <f t="shared" si="767"/>
        <v/>
      </c>
    </row>
    <row r="7717" spans="1:19" ht="15.75" hidden="1" thickBot="1" x14ac:dyDescent="0.3">
      <c r="A7717" s="262"/>
      <c r="B7717" s="260"/>
      <c r="C7717" s="35" t="s">
        <v>8053</v>
      </c>
      <c r="D7717" s="35" t="s">
        <v>213</v>
      </c>
      <c r="E7717" s="36">
        <v>1</v>
      </c>
      <c r="F7717" s="30">
        <v>7.0109999999999992</v>
      </c>
      <c r="G7717" s="33">
        <f t="shared" si="762"/>
        <v>7.0109999999999992</v>
      </c>
      <c r="H7717" s="38">
        <f>SUM(G7717:G7717)</f>
        <v>7.0109999999999992</v>
      </c>
      <c r="I7717" s="39"/>
      <c r="J7717" s="152">
        <v>0</v>
      </c>
      <c r="L7717" s="215">
        <v>1</v>
      </c>
      <c r="M7717" s="30">
        <v>6.001415999999999</v>
      </c>
      <c r="N7717" s="33">
        <f t="shared" si="763"/>
        <v>6.001415999999999</v>
      </c>
      <c r="O7717" s="38">
        <f>SUM(N7717:N7717)</f>
        <v>6.001415999999999</v>
      </c>
      <c r="P7717" s="36" t="str">
        <f t="shared" si="764"/>
        <v/>
      </c>
      <c r="Q7717" s="216">
        <f t="shared" si="765"/>
        <v>0.14400000000000002</v>
      </c>
      <c r="R7717" s="216">
        <f t="shared" si="766"/>
        <v>0.14400000000000002</v>
      </c>
      <c r="S7717" s="217">
        <f t="shared" si="767"/>
        <v>0.14400000000000002</v>
      </c>
    </row>
    <row r="7718" spans="1:19" ht="15.75" hidden="1" thickBot="1" x14ac:dyDescent="0.3">
      <c r="A7718" s="263"/>
      <c r="B7718" s="261"/>
      <c r="C7718" s="54"/>
      <c r="D7718" s="54"/>
      <c r="E7718" s="65"/>
      <c r="F7718" s="66" t="s">
        <v>416</v>
      </c>
      <c r="G7718" s="67" t="str">
        <f t="shared" si="762"/>
        <v/>
      </c>
      <c r="H7718" s="68"/>
      <c r="I7718" s="30"/>
      <c r="J7718" s="152">
        <v>0</v>
      </c>
      <c r="L7718" s="222"/>
      <c r="M7718" s="66"/>
      <c r="N7718" s="67" t="str">
        <f t="shared" si="763"/>
        <v/>
      </c>
      <c r="O7718" s="68"/>
      <c r="P7718" s="36" t="str">
        <f t="shared" si="764"/>
        <v/>
      </c>
      <c r="Q7718" s="216" t="str">
        <f t="shared" si="765"/>
        <v/>
      </c>
      <c r="R7718" s="216" t="str">
        <f t="shared" si="766"/>
        <v/>
      </c>
      <c r="S7718" s="217" t="str">
        <f t="shared" si="767"/>
        <v/>
      </c>
    </row>
    <row r="7719" spans="1:19" ht="15.75" hidden="1" thickBot="1" x14ac:dyDescent="0.3">
      <c r="A7719" s="256" t="s">
        <v>6859</v>
      </c>
      <c r="B7719" s="259" t="str">
        <f>INDEX(Orçamentária!A:B,MATCH(Composições!A7719,Orçamentária!A:A,0),2)</f>
        <v>Curva 90° PVC soldável 50 mm</v>
      </c>
      <c r="C7719" s="40"/>
      <c r="D7719" s="25" t="s">
        <v>16</v>
      </c>
      <c r="E7719" s="26"/>
      <c r="F7719" s="41" t="s">
        <v>416</v>
      </c>
      <c r="G7719" s="27" t="str">
        <f t="shared" si="762"/>
        <v/>
      </c>
      <c r="H7719" s="28"/>
      <c r="I7719" s="29"/>
      <c r="J7719" s="152">
        <v>0</v>
      </c>
      <c r="L7719" s="218"/>
      <c r="M7719" s="41"/>
      <c r="N7719" s="27" t="str">
        <f t="shared" si="763"/>
        <v/>
      </c>
      <c r="O7719" s="28"/>
      <c r="P7719" s="36" t="str">
        <f t="shared" si="764"/>
        <v/>
      </c>
      <c r="Q7719" s="216" t="str">
        <f t="shared" si="765"/>
        <v/>
      </c>
      <c r="R7719" s="216" t="str">
        <f t="shared" si="766"/>
        <v/>
      </c>
      <c r="S7719" s="217" t="str">
        <f t="shared" si="767"/>
        <v/>
      </c>
    </row>
    <row r="7720" spans="1:19" ht="15.75" hidden="1" thickBot="1" x14ac:dyDescent="0.3">
      <c r="A7720" s="262"/>
      <c r="B7720" s="260"/>
      <c r="C7720" s="31"/>
      <c r="D7720" s="31"/>
      <c r="E7720" s="32"/>
      <c r="F7720" s="42" t="s">
        <v>416</v>
      </c>
      <c r="G7720" s="33" t="str">
        <f t="shared" si="762"/>
        <v/>
      </c>
      <c r="H7720" s="34"/>
      <c r="I7720" s="30"/>
      <c r="J7720" s="152">
        <v>0</v>
      </c>
      <c r="L7720" s="219"/>
      <c r="M7720" s="42"/>
      <c r="N7720" s="33" t="str">
        <f t="shared" si="763"/>
        <v/>
      </c>
      <c r="O7720" s="34"/>
      <c r="P7720" s="36" t="str">
        <f t="shared" si="764"/>
        <v/>
      </c>
      <c r="Q7720" s="216" t="str">
        <f t="shared" si="765"/>
        <v/>
      </c>
      <c r="R7720" s="216" t="str">
        <f t="shared" si="766"/>
        <v/>
      </c>
      <c r="S7720" s="217" t="str">
        <f t="shared" si="767"/>
        <v/>
      </c>
    </row>
    <row r="7721" spans="1:19" ht="26.25" hidden="1" thickBot="1" x14ac:dyDescent="0.3">
      <c r="A7721" s="262"/>
      <c r="B7721" s="260"/>
      <c r="C7721" s="35" t="s">
        <v>8105</v>
      </c>
      <c r="D7721" s="35" t="s">
        <v>213</v>
      </c>
      <c r="E7721" s="36">
        <v>1</v>
      </c>
      <c r="F7721" s="30">
        <v>12.891499999999999</v>
      </c>
      <c r="G7721" s="33">
        <f t="shared" si="762"/>
        <v>12.891499999999999</v>
      </c>
      <c r="H7721" s="38">
        <f>SUM(G7721:G7721)</f>
        <v>12.891499999999999</v>
      </c>
      <c r="I7721" s="39"/>
      <c r="J7721" s="152">
        <v>0</v>
      </c>
      <c r="L7721" s="215">
        <v>1</v>
      </c>
      <c r="M7721" s="30">
        <v>11.035124</v>
      </c>
      <c r="N7721" s="33">
        <f t="shared" si="763"/>
        <v>11.035124</v>
      </c>
      <c r="O7721" s="38">
        <f>SUM(N7721:N7721)</f>
        <v>11.035124</v>
      </c>
      <c r="P7721" s="36" t="str">
        <f t="shared" si="764"/>
        <v/>
      </c>
      <c r="Q7721" s="216">
        <f t="shared" si="765"/>
        <v>0.14399999999999991</v>
      </c>
      <c r="R7721" s="216">
        <f t="shared" si="766"/>
        <v>0.14399999999999991</v>
      </c>
      <c r="S7721" s="217">
        <f t="shared" si="767"/>
        <v>0.14399999999999991</v>
      </c>
    </row>
    <row r="7722" spans="1:19" ht="15.75" hidden="1" thickBot="1" x14ac:dyDescent="0.3">
      <c r="A7722" s="263"/>
      <c r="B7722" s="261"/>
      <c r="C7722" s="54"/>
      <c r="D7722" s="54"/>
      <c r="E7722" s="65"/>
      <c r="F7722" s="66" t="s">
        <v>416</v>
      </c>
      <c r="G7722" s="67" t="str">
        <f t="shared" si="762"/>
        <v/>
      </c>
      <c r="H7722" s="68"/>
      <c r="I7722" s="30"/>
      <c r="J7722" s="152">
        <v>0</v>
      </c>
      <c r="L7722" s="222"/>
      <c r="M7722" s="66"/>
      <c r="N7722" s="67" t="str">
        <f t="shared" si="763"/>
        <v/>
      </c>
      <c r="O7722" s="68"/>
      <c r="P7722" s="36" t="str">
        <f t="shared" si="764"/>
        <v/>
      </c>
      <c r="Q7722" s="216" t="str">
        <f t="shared" si="765"/>
        <v/>
      </c>
      <c r="R7722" s="216" t="str">
        <f t="shared" si="766"/>
        <v/>
      </c>
      <c r="S7722" s="217" t="str">
        <f t="shared" si="767"/>
        <v/>
      </c>
    </row>
    <row r="7723" spans="1:19" ht="15.75" hidden="1" thickBot="1" x14ac:dyDescent="0.3">
      <c r="A7723" s="256" t="s">
        <v>6860</v>
      </c>
      <c r="B7723" s="259" t="str">
        <f>INDEX(Orçamentária!A:B,MATCH(Composições!A7723,Orçamentária!A:A,0),2)</f>
        <v>Joelho 45° PVC soldável 50 mm</v>
      </c>
      <c r="C7723" s="40"/>
      <c r="D7723" s="25" t="s">
        <v>16</v>
      </c>
      <c r="E7723" s="26"/>
      <c r="F7723" s="41" t="s">
        <v>416</v>
      </c>
      <c r="G7723" s="27" t="str">
        <f t="shared" si="762"/>
        <v/>
      </c>
      <c r="H7723" s="28"/>
      <c r="I7723" s="29"/>
      <c r="J7723" s="152">
        <v>0</v>
      </c>
      <c r="L7723" s="218"/>
      <c r="M7723" s="41"/>
      <c r="N7723" s="27" t="str">
        <f t="shared" si="763"/>
        <v/>
      </c>
      <c r="O7723" s="28"/>
      <c r="P7723" s="36" t="str">
        <f t="shared" si="764"/>
        <v/>
      </c>
      <c r="Q7723" s="216" t="str">
        <f t="shared" si="765"/>
        <v/>
      </c>
      <c r="R7723" s="216" t="str">
        <f t="shared" si="766"/>
        <v/>
      </c>
      <c r="S7723" s="217" t="str">
        <f t="shared" si="767"/>
        <v/>
      </c>
    </row>
    <row r="7724" spans="1:19" ht="15.75" hidden="1" thickBot="1" x14ac:dyDescent="0.3">
      <c r="A7724" s="262"/>
      <c r="B7724" s="260"/>
      <c r="C7724" s="31"/>
      <c r="D7724" s="31"/>
      <c r="E7724" s="32"/>
      <c r="F7724" s="42" t="s">
        <v>416</v>
      </c>
      <c r="G7724" s="33" t="str">
        <f t="shared" si="762"/>
        <v/>
      </c>
      <c r="H7724" s="34"/>
      <c r="I7724" s="30"/>
      <c r="J7724" s="152">
        <v>0</v>
      </c>
      <c r="L7724" s="219"/>
      <c r="M7724" s="42"/>
      <c r="N7724" s="33" t="str">
        <f t="shared" si="763"/>
        <v/>
      </c>
      <c r="O7724" s="34"/>
      <c r="P7724" s="36" t="str">
        <f t="shared" si="764"/>
        <v/>
      </c>
      <c r="Q7724" s="216" t="str">
        <f t="shared" si="765"/>
        <v/>
      </c>
      <c r="R7724" s="216" t="str">
        <f t="shared" si="766"/>
        <v/>
      </c>
      <c r="S7724" s="217" t="str">
        <f t="shared" si="767"/>
        <v/>
      </c>
    </row>
    <row r="7725" spans="1:19" ht="26.25" hidden="1" thickBot="1" x14ac:dyDescent="0.3">
      <c r="A7725" s="262"/>
      <c r="B7725" s="260"/>
      <c r="C7725" s="35" t="s">
        <v>8208</v>
      </c>
      <c r="D7725" s="35" t="s">
        <v>213</v>
      </c>
      <c r="E7725" s="36">
        <v>1</v>
      </c>
      <c r="F7725" s="30">
        <v>7.4005000000000001</v>
      </c>
      <c r="G7725" s="33">
        <f t="shared" si="762"/>
        <v>7.4005000000000001</v>
      </c>
      <c r="H7725" s="38">
        <f>SUM(G7725:G7725)</f>
        <v>7.4005000000000001</v>
      </c>
      <c r="I7725" s="39"/>
      <c r="J7725" s="152">
        <v>0</v>
      </c>
      <c r="L7725" s="215">
        <v>1</v>
      </c>
      <c r="M7725" s="30">
        <v>6.3348279999999999</v>
      </c>
      <c r="N7725" s="33">
        <f t="shared" si="763"/>
        <v>6.3348279999999999</v>
      </c>
      <c r="O7725" s="38">
        <f>SUM(N7725:N7725)</f>
        <v>6.3348279999999999</v>
      </c>
      <c r="P7725" s="36" t="str">
        <f t="shared" si="764"/>
        <v/>
      </c>
      <c r="Q7725" s="216">
        <f t="shared" si="765"/>
        <v>0.14400000000000002</v>
      </c>
      <c r="R7725" s="216">
        <f t="shared" si="766"/>
        <v>0.14400000000000002</v>
      </c>
      <c r="S7725" s="217">
        <f t="shared" si="767"/>
        <v>0.14400000000000002</v>
      </c>
    </row>
    <row r="7726" spans="1:19" ht="15.75" hidden="1" thickBot="1" x14ac:dyDescent="0.3">
      <c r="A7726" s="263"/>
      <c r="B7726" s="261"/>
      <c r="C7726" s="54"/>
      <c r="D7726" s="54"/>
      <c r="E7726" s="65"/>
      <c r="F7726" s="66" t="s">
        <v>416</v>
      </c>
      <c r="G7726" s="67" t="str">
        <f t="shared" si="762"/>
        <v/>
      </c>
      <c r="H7726" s="68"/>
      <c r="I7726" s="30"/>
      <c r="J7726" s="152">
        <v>0</v>
      </c>
      <c r="L7726" s="222"/>
      <c r="M7726" s="66"/>
      <c r="N7726" s="67" t="str">
        <f t="shared" si="763"/>
        <v/>
      </c>
      <c r="O7726" s="68"/>
      <c r="P7726" s="36" t="str">
        <f t="shared" si="764"/>
        <v/>
      </c>
      <c r="Q7726" s="216" t="str">
        <f t="shared" si="765"/>
        <v/>
      </c>
      <c r="R7726" s="216" t="str">
        <f t="shared" si="766"/>
        <v/>
      </c>
      <c r="S7726" s="217" t="str">
        <f t="shared" si="767"/>
        <v/>
      </c>
    </row>
    <row r="7727" spans="1:19" ht="15.75" hidden="1" thickBot="1" x14ac:dyDescent="0.3">
      <c r="A7727" s="256" t="s">
        <v>6861</v>
      </c>
      <c r="B7727" s="259" t="str">
        <f>INDEX(Orçamentária!A:B,MATCH(Composições!A7727,Orçamentária!A:A,0),2)</f>
        <v>Tê PVC soldável 50 mm</v>
      </c>
      <c r="C7727" s="40"/>
      <c r="D7727" s="25" t="s">
        <v>16</v>
      </c>
      <c r="E7727" s="26"/>
      <c r="F7727" s="41" t="s">
        <v>416</v>
      </c>
      <c r="G7727" s="27" t="str">
        <f t="shared" si="762"/>
        <v/>
      </c>
      <c r="H7727" s="28"/>
      <c r="I7727" s="29"/>
      <c r="J7727" s="152">
        <v>0</v>
      </c>
      <c r="L7727" s="218"/>
      <c r="M7727" s="41"/>
      <c r="N7727" s="27" t="str">
        <f t="shared" si="763"/>
        <v/>
      </c>
      <c r="O7727" s="28"/>
      <c r="P7727" s="36" t="str">
        <f t="shared" si="764"/>
        <v/>
      </c>
      <c r="Q7727" s="216" t="str">
        <f t="shared" si="765"/>
        <v/>
      </c>
      <c r="R7727" s="216" t="str">
        <f t="shared" si="766"/>
        <v/>
      </c>
      <c r="S7727" s="217" t="str">
        <f t="shared" si="767"/>
        <v/>
      </c>
    </row>
    <row r="7728" spans="1:19" ht="15.75" hidden="1" thickBot="1" x14ac:dyDescent="0.3">
      <c r="A7728" s="262"/>
      <c r="B7728" s="260"/>
      <c r="C7728" s="31"/>
      <c r="D7728" s="31"/>
      <c r="E7728" s="32"/>
      <c r="F7728" s="42" t="s">
        <v>416</v>
      </c>
      <c r="G7728" s="33" t="str">
        <f t="shared" si="762"/>
        <v/>
      </c>
      <c r="H7728" s="34"/>
      <c r="I7728" s="30"/>
      <c r="J7728" s="152">
        <v>0</v>
      </c>
      <c r="L7728" s="219"/>
      <c r="M7728" s="42"/>
      <c r="N7728" s="33" t="str">
        <f t="shared" si="763"/>
        <v/>
      </c>
      <c r="O7728" s="34"/>
      <c r="P7728" s="36" t="str">
        <f t="shared" si="764"/>
        <v/>
      </c>
      <c r="Q7728" s="216" t="str">
        <f t="shared" si="765"/>
        <v/>
      </c>
      <c r="R7728" s="216" t="str">
        <f t="shared" si="766"/>
        <v/>
      </c>
      <c r="S7728" s="217" t="str">
        <f t="shared" si="767"/>
        <v/>
      </c>
    </row>
    <row r="7729" spans="1:19" ht="26.25" hidden="1" thickBot="1" x14ac:dyDescent="0.3">
      <c r="A7729" s="262"/>
      <c r="B7729" s="260"/>
      <c r="C7729" s="35" t="s">
        <v>8416</v>
      </c>
      <c r="D7729" s="35" t="s">
        <v>213</v>
      </c>
      <c r="E7729" s="36">
        <v>1</v>
      </c>
      <c r="F7729" s="30">
        <v>9.5284999999999993</v>
      </c>
      <c r="G7729" s="33">
        <f t="shared" si="762"/>
        <v>9.5284999999999993</v>
      </c>
      <c r="H7729" s="38">
        <f>SUM(G7729:G7729)</f>
        <v>9.5284999999999993</v>
      </c>
      <c r="I7729" s="39"/>
      <c r="J7729" s="152">
        <v>0</v>
      </c>
      <c r="L7729" s="215">
        <v>1</v>
      </c>
      <c r="M7729" s="30">
        <v>8.1563959999999991</v>
      </c>
      <c r="N7729" s="33">
        <f t="shared" si="763"/>
        <v>8.1563959999999991</v>
      </c>
      <c r="O7729" s="38">
        <f>SUM(N7729:N7729)</f>
        <v>8.1563959999999991</v>
      </c>
      <c r="P7729" s="36" t="str">
        <f t="shared" si="764"/>
        <v/>
      </c>
      <c r="Q7729" s="216">
        <f t="shared" si="765"/>
        <v>0.14400000000000002</v>
      </c>
      <c r="R7729" s="216">
        <f t="shared" si="766"/>
        <v>0.14400000000000002</v>
      </c>
      <c r="S7729" s="217">
        <f t="shared" si="767"/>
        <v>0.14400000000000002</v>
      </c>
    </row>
    <row r="7730" spans="1:19" ht="15.75" hidden="1" thickBot="1" x14ac:dyDescent="0.3">
      <c r="A7730" s="263"/>
      <c r="B7730" s="261"/>
      <c r="C7730" s="54"/>
      <c r="D7730" s="54"/>
      <c r="E7730" s="65"/>
      <c r="F7730" s="66" t="s">
        <v>416</v>
      </c>
      <c r="G7730" s="67" t="str">
        <f t="shared" si="762"/>
        <v/>
      </c>
      <c r="H7730" s="68"/>
      <c r="I7730" s="30"/>
      <c r="J7730" s="152">
        <v>0</v>
      </c>
      <c r="L7730" s="222"/>
      <c r="M7730" s="66"/>
      <c r="N7730" s="67" t="str">
        <f t="shared" si="763"/>
        <v/>
      </c>
      <c r="O7730" s="68"/>
      <c r="P7730" s="36" t="str">
        <f t="shared" si="764"/>
        <v/>
      </c>
      <c r="Q7730" s="216" t="str">
        <f t="shared" si="765"/>
        <v/>
      </c>
      <c r="R7730" s="216" t="str">
        <f t="shared" si="766"/>
        <v/>
      </c>
      <c r="S7730" s="217" t="str">
        <f t="shared" si="767"/>
        <v/>
      </c>
    </row>
    <row r="7731" spans="1:19" ht="15.75" hidden="1" thickBot="1" x14ac:dyDescent="0.3">
      <c r="A7731" s="256" t="s">
        <v>6862</v>
      </c>
      <c r="B7731" s="259" t="str">
        <f>INDEX(Orçamentária!A:B,MATCH(Composições!A7731,Orçamentária!A:A,0),2)</f>
        <v>Luva simples PVC soldável 50 mm</v>
      </c>
      <c r="C7731" s="40"/>
      <c r="D7731" s="25" t="s">
        <v>16</v>
      </c>
      <c r="E7731" s="26"/>
      <c r="F7731" s="41" t="s">
        <v>416</v>
      </c>
      <c r="G7731" s="27" t="str">
        <f t="shared" si="762"/>
        <v/>
      </c>
      <c r="H7731" s="28"/>
      <c r="I7731" s="29"/>
      <c r="J7731" s="152">
        <v>0</v>
      </c>
      <c r="L7731" s="218"/>
      <c r="M7731" s="41"/>
      <c r="N7731" s="27" t="str">
        <f t="shared" si="763"/>
        <v/>
      </c>
      <c r="O7731" s="28"/>
      <c r="P7731" s="36" t="str">
        <f t="shared" si="764"/>
        <v/>
      </c>
      <c r="Q7731" s="216" t="str">
        <f t="shared" si="765"/>
        <v/>
      </c>
      <c r="R7731" s="216" t="str">
        <f t="shared" si="766"/>
        <v/>
      </c>
      <c r="S7731" s="217" t="str">
        <f t="shared" si="767"/>
        <v/>
      </c>
    </row>
    <row r="7732" spans="1:19" ht="15.75" hidden="1" thickBot="1" x14ac:dyDescent="0.3">
      <c r="A7732" s="262"/>
      <c r="B7732" s="260"/>
      <c r="C7732" s="31"/>
      <c r="D7732" s="31"/>
      <c r="E7732" s="32"/>
      <c r="F7732" s="42" t="s">
        <v>416</v>
      </c>
      <c r="G7732" s="33" t="str">
        <f t="shared" si="762"/>
        <v/>
      </c>
      <c r="H7732" s="34"/>
      <c r="I7732" s="30"/>
      <c r="J7732" s="152">
        <v>0</v>
      </c>
      <c r="L7732" s="219"/>
      <c r="M7732" s="42"/>
      <c r="N7732" s="33" t="str">
        <f t="shared" si="763"/>
        <v/>
      </c>
      <c r="O7732" s="34"/>
      <c r="P7732" s="36" t="str">
        <f t="shared" si="764"/>
        <v/>
      </c>
      <c r="Q7732" s="216" t="str">
        <f t="shared" si="765"/>
        <v/>
      </c>
      <c r="R7732" s="216" t="str">
        <f t="shared" si="766"/>
        <v/>
      </c>
      <c r="S7732" s="217" t="str">
        <f t="shared" si="767"/>
        <v/>
      </c>
    </row>
    <row r="7733" spans="1:19" ht="15.75" hidden="1" thickBot="1" x14ac:dyDescent="0.3">
      <c r="A7733" s="262"/>
      <c r="B7733" s="260"/>
      <c r="C7733" s="35" t="s">
        <v>8272</v>
      </c>
      <c r="D7733" s="35" t="s">
        <v>213</v>
      </c>
      <c r="E7733" s="36">
        <v>1</v>
      </c>
      <c r="F7733" s="30">
        <v>4.3129999999999997</v>
      </c>
      <c r="G7733" s="33">
        <f t="shared" si="762"/>
        <v>4.3129999999999997</v>
      </c>
      <c r="H7733" s="38">
        <f>SUM(G7733:G7733)</f>
        <v>4.3129999999999997</v>
      </c>
      <c r="I7733" s="39"/>
      <c r="J7733" s="152">
        <v>0</v>
      </c>
      <c r="L7733" s="215">
        <v>1</v>
      </c>
      <c r="M7733" s="30">
        <v>3.6919279999999999</v>
      </c>
      <c r="N7733" s="33">
        <f t="shared" si="763"/>
        <v>3.6919279999999999</v>
      </c>
      <c r="O7733" s="38">
        <f>SUM(N7733:N7733)</f>
        <v>3.6919279999999999</v>
      </c>
      <c r="P7733" s="36" t="str">
        <f t="shared" si="764"/>
        <v/>
      </c>
      <c r="Q7733" s="216">
        <f t="shared" si="765"/>
        <v>0.14400000000000002</v>
      </c>
      <c r="R7733" s="216">
        <f t="shared" si="766"/>
        <v>0.14400000000000002</v>
      </c>
      <c r="S7733" s="217">
        <f t="shared" si="767"/>
        <v>0.14400000000000002</v>
      </c>
    </row>
    <row r="7734" spans="1:19" ht="15.75" hidden="1" thickBot="1" x14ac:dyDescent="0.3">
      <c r="A7734" s="263"/>
      <c r="B7734" s="261"/>
      <c r="C7734" s="54"/>
      <c r="D7734" s="54"/>
      <c r="E7734" s="65"/>
      <c r="F7734" s="66" t="s">
        <v>416</v>
      </c>
      <c r="G7734" s="67" t="str">
        <f t="shared" si="762"/>
        <v/>
      </c>
      <c r="H7734" s="68"/>
      <c r="I7734" s="30"/>
      <c r="J7734" s="152">
        <v>0</v>
      </c>
      <c r="L7734" s="222"/>
      <c r="M7734" s="66"/>
      <c r="N7734" s="67" t="str">
        <f t="shared" si="763"/>
        <v/>
      </c>
      <c r="O7734" s="68"/>
      <c r="P7734" s="36" t="str">
        <f t="shared" si="764"/>
        <v/>
      </c>
      <c r="Q7734" s="216" t="str">
        <f t="shared" si="765"/>
        <v/>
      </c>
      <c r="R7734" s="216" t="str">
        <f t="shared" si="766"/>
        <v/>
      </c>
      <c r="S7734" s="217" t="str">
        <f t="shared" si="767"/>
        <v/>
      </c>
    </row>
    <row r="7735" spans="1:19" ht="15.75" hidden="1" thickBot="1" x14ac:dyDescent="0.3">
      <c r="A7735" s="256" t="s">
        <v>6863</v>
      </c>
      <c r="B7735" s="259" t="str">
        <f>INDEX(Orçamentária!A:B,MATCH(Composições!A7735,Orçamentária!A:A,0),2)</f>
        <v>Luva de correr PVC soldável 50 mm</v>
      </c>
      <c r="C7735" s="40"/>
      <c r="D7735" s="25" t="s">
        <v>16</v>
      </c>
      <c r="E7735" s="26"/>
      <c r="F7735" s="41" t="s">
        <v>416</v>
      </c>
      <c r="G7735" s="27" t="str">
        <f t="shared" si="762"/>
        <v/>
      </c>
      <c r="H7735" s="28"/>
      <c r="I7735" s="29"/>
      <c r="J7735" s="152">
        <v>0</v>
      </c>
      <c r="L7735" s="218"/>
      <c r="M7735" s="41"/>
      <c r="N7735" s="27" t="str">
        <f t="shared" si="763"/>
        <v/>
      </c>
      <c r="O7735" s="28"/>
      <c r="P7735" s="36" t="str">
        <f t="shared" si="764"/>
        <v/>
      </c>
      <c r="Q7735" s="216" t="str">
        <f t="shared" si="765"/>
        <v/>
      </c>
      <c r="R7735" s="216" t="str">
        <f t="shared" si="766"/>
        <v/>
      </c>
      <c r="S7735" s="217" t="str">
        <f t="shared" si="767"/>
        <v/>
      </c>
    </row>
    <row r="7736" spans="1:19" ht="15.75" hidden="1" thickBot="1" x14ac:dyDescent="0.3">
      <c r="A7736" s="262"/>
      <c r="B7736" s="260"/>
      <c r="C7736" s="31"/>
      <c r="D7736" s="31"/>
      <c r="E7736" s="32"/>
      <c r="F7736" s="42" t="s">
        <v>416</v>
      </c>
      <c r="G7736" s="33" t="str">
        <f t="shared" si="762"/>
        <v/>
      </c>
      <c r="H7736" s="34"/>
      <c r="I7736" s="30"/>
      <c r="J7736" s="152">
        <v>0</v>
      </c>
      <c r="L7736" s="219"/>
      <c r="M7736" s="42"/>
      <c r="N7736" s="33" t="str">
        <f t="shared" si="763"/>
        <v/>
      </c>
      <c r="O7736" s="34"/>
      <c r="P7736" s="36" t="str">
        <f t="shared" si="764"/>
        <v/>
      </c>
      <c r="Q7736" s="216" t="str">
        <f t="shared" si="765"/>
        <v/>
      </c>
      <c r="R7736" s="216" t="str">
        <f t="shared" si="766"/>
        <v/>
      </c>
      <c r="S7736" s="217" t="str">
        <f t="shared" si="767"/>
        <v/>
      </c>
    </row>
    <row r="7737" spans="1:19" ht="26.25" hidden="1" thickBot="1" x14ac:dyDescent="0.3">
      <c r="A7737" s="262"/>
      <c r="B7737" s="260"/>
      <c r="C7737" s="35" t="s">
        <v>8242</v>
      </c>
      <c r="D7737" s="35" t="s">
        <v>213</v>
      </c>
      <c r="E7737" s="36">
        <v>1</v>
      </c>
      <c r="F7737" s="30">
        <v>28.224499999999999</v>
      </c>
      <c r="G7737" s="33">
        <f t="shared" si="762"/>
        <v>28.224499999999999</v>
      </c>
      <c r="H7737" s="38">
        <f>SUM(G7737:G7737)</f>
        <v>28.224499999999999</v>
      </c>
      <c r="I7737" s="39"/>
      <c r="J7737" s="152">
        <v>0</v>
      </c>
      <c r="L7737" s="215">
        <v>1</v>
      </c>
      <c r="M7737" s="30">
        <v>24.160171999999999</v>
      </c>
      <c r="N7737" s="33">
        <f t="shared" si="763"/>
        <v>24.160171999999999</v>
      </c>
      <c r="O7737" s="38">
        <f>SUM(N7737:N7737)</f>
        <v>24.160171999999999</v>
      </c>
      <c r="P7737" s="36" t="str">
        <f t="shared" si="764"/>
        <v/>
      </c>
      <c r="Q7737" s="216">
        <f t="shared" si="765"/>
        <v>0.14400000000000002</v>
      </c>
      <c r="R7737" s="216">
        <f t="shared" si="766"/>
        <v>0.14400000000000002</v>
      </c>
      <c r="S7737" s="217">
        <f t="shared" si="767"/>
        <v>0.14400000000000002</v>
      </c>
    </row>
    <row r="7738" spans="1:19" ht="15.75" hidden="1" thickBot="1" x14ac:dyDescent="0.3">
      <c r="A7738" s="263"/>
      <c r="B7738" s="261"/>
      <c r="C7738" s="54"/>
      <c r="D7738" s="54"/>
      <c r="E7738" s="65"/>
      <c r="F7738" s="66" t="s">
        <v>416</v>
      </c>
      <c r="G7738" s="67" t="str">
        <f t="shared" si="762"/>
        <v/>
      </c>
      <c r="H7738" s="68"/>
      <c r="I7738" s="30"/>
      <c r="J7738" s="152">
        <v>0</v>
      </c>
      <c r="L7738" s="222"/>
      <c r="M7738" s="66"/>
      <c r="N7738" s="67" t="str">
        <f t="shared" si="763"/>
        <v/>
      </c>
      <c r="O7738" s="68"/>
      <c r="P7738" s="36" t="str">
        <f t="shared" si="764"/>
        <v/>
      </c>
      <c r="Q7738" s="216" t="str">
        <f t="shared" si="765"/>
        <v/>
      </c>
      <c r="R7738" s="216" t="str">
        <f t="shared" si="766"/>
        <v/>
      </c>
      <c r="S7738" s="217" t="str">
        <f t="shared" si="767"/>
        <v/>
      </c>
    </row>
    <row r="7739" spans="1:19" ht="15.75" hidden="1" thickBot="1" x14ac:dyDescent="0.3">
      <c r="A7739" s="256" t="s">
        <v>6864</v>
      </c>
      <c r="B7739" s="259" t="str">
        <f>INDEX(Orçamentária!A:B,MATCH(Composições!A7739,Orçamentária!A:A,0),2)</f>
        <v>União PVC soldável 50 mm</v>
      </c>
      <c r="C7739" s="40"/>
      <c r="D7739" s="25" t="s">
        <v>16</v>
      </c>
      <c r="E7739" s="26"/>
      <c r="F7739" s="41" t="s">
        <v>416</v>
      </c>
      <c r="G7739" s="27" t="str">
        <f t="shared" si="762"/>
        <v/>
      </c>
      <c r="H7739" s="28"/>
      <c r="I7739" s="29"/>
      <c r="J7739" s="152">
        <v>0</v>
      </c>
      <c r="L7739" s="218"/>
      <c r="M7739" s="41"/>
      <c r="N7739" s="27" t="str">
        <f t="shared" si="763"/>
        <v/>
      </c>
      <c r="O7739" s="28"/>
      <c r="P7739" s="36" t="str">
        <f t="shared" si="764"/>
        <v/>
      </c>
      <c r="Q7739" s="216" t="str">
        <f t="shared" si="765"/>
        <v/>
      </c>
      <c r="R7739" s="216" t="str">
        <f t="shared" si="766"/>
        <v/>
      </c>
      <c r="S7739" s="217" t="str">
        <f t="shared" si="767"/>
        <v/>
      </c>
    </row>
    <row r="7740" spans="1:19" ht="15.75" hidden="1" thickBot="1" x14ac:dyDescent="0.3">
      <c r="A7740" s="262"/>
      <c r="B7740" s="260"/>
      <c r="C7740" s="31"/>
      <c r="D7740" s="31"/>
      <c r="E7740" s="32"/>
      <c r="F7740" s="42" t="s">
        <v>416</v>
      </c>
      <c r="G7740" s="33" t="str">
        <f t="shared" si="762"/>
        <v/>
      </c>
      <c r="H7740" s="34"/>
      <c r="I7740" s="30"/>
      <c r="J7740" s="152">
        <v>0</v>
      </c>
      <c r="L7740" s="219"/>
      <c r="M7740" s="42"/>
      <c r="N7740" s="33" t="str">
        <f t="shared" si="763"/>
        <v/>
      </c>
      <c r="O7740" s="34"/>
      <c r="P7740" s="36" t="str">
        <f t="shared" si="764"/>
        <v/>
      </c>
      <c r="Q7740" s="216" t="str">
        <f t="shared" si="765"/>
        <v/>
      </c>
      <c r="R7740" s="216" t="str">
        <f t="shared" si="766"/>
        <v/>
      </c>
      <c r="S7740" s="217" t="str">
        <f t="shared" si="767"/>
        <v/>
      </c>
    </row>
    <row r="7741" spans="1:19" ht="15.75" hidden="1" thickBot="1" x14ac:dyDescent="0.3">
      <c r="A7741" s="262"/>
      <c r="B7741" s="260"/>
      <c r="C7741" s="35" t="s">
        <v>8566</v>
      </c>
      <c r="D7741" s="35" t="s">
        <v>213</v>
      </c>
      <c r="E7741" s="36">
        <v>1</v>
      </c>
      <c r="F7741" s="30">
        <v>27.302999999999997</v>
      </c>
      <c r="G7741" s="33">
        <f t="shared" si="762"/>
        <v>27.302999999999997</v>
      </c>
      <c r="H7741" s="38">
        <f>SUM(G7741:G7741)</f>
        <v>27.302999999999997</v>
      </c>
      <c r="I7741" s="39"/>
      <c r="J7741" s="152">
        <v>0</v>
      </c>
      <c r="L7741" s="215">
        <v>1</v>
      </c>
      <c r="M7741" s="30">
        <v>23.371367999999997</v>
      </c>
      <c r="N7741" s="33">
        <f t="shared" si="763"/>
        <v>23.371367999999997</v>
      </c>
      <c r="O7741" s="38">
        <f>SUM(N7741:N7741)</f>
        <v>23.371367999999997</v>
      </c>
      <c r="P7741" s="36" t="str">
        <f t="shared" si="764"/>
        <v/>
      </c>
      <c r="Q7741" s="216">
        <f t="shared" si="765"/>
        <v>0.14400000000000002</v>
      </c>
      <c r="R7741" s="216">
        <f t="shared" si="766"/>
        <v>0.14400000000000002</v>
      </c>
      <c r="S7741" s="217">
        <f t="shared" si="767"/>
        <v>0.14400000000000002</v>
      </c>
    </row>
    <row r="7742" spans="1:19" ht="15.75" hidden="1" thickBot="1" x14ac:dyDescent="0.3">
      <c r="A7742" s="263"/>
      <c r="B7742" s="261"/>
      <c r="C7742" s="54"/>
      <c r="D7742" s="54"/>
      <c r="E7742" s="65"/>
      <c r="F7742" s="66" t="s">
        <v>416</v>
      </c>
      <c r="G7742" s="67" t="str">
        <f t="shared" si="762"/>
        <v/>
      </c>
      <c r="H7742" s="68"/>
      <c r="I7742" s="30"/>
      <c r="J7742" s="152">
        <v>0</v>
      </c>
      <c r="L7742" s="222"/>
      <c r="M7742" s="66"/>
      <c r="N7742" s="67" t="str">
        <f t="shared" si="763"/>
        <v/>
      </c>
      <c r="O7742" s="68"/>
      <c r="P7742" s="36" t="str">
        <f t="shared" si="764"/>
        <v/>
      </c>
      <c r="Q7742" s="216" t="str">
        <f t="shared" si="765"/>
        <v/>
      </c>
      <c r="R7742" s="216" t="str">
        <f t="shared" si="766"/>
        <v/>
      </c>
      <c r="S7742" s="217" t="str">
        <f t="shared" si="767"/>
        <v/>
      </c>
    </row>
    <row r="7743" spans="1:19" ht="15.75" hidden="1" thickBot="1" x14ac:dyDescent="0.3">
      <c r="A7743" s="256" t="s">
        <v>6865</v>
      </c>
      <c r="B7743" s="259" t="str">
        <f>INDEX(Orçamentária!A:B,MATCH(Composições!A7743,Orçamentária!A:A,0),2)</f>
        <v>Bucha de redução curta PVC soldável de 50 mm x 40 mm</v>
      </c>
      <c r="C7743" s="40"/>
      <c r="D7743" s="25" t="s">
        <v>16</v>
      </c>
      <c r="E7743" s="26"/>
      <c r="F7743" s="41" t="s">
        <v>416</v>
      </c>
      <c r="G7743" s="27" t="str">
        <f t="shared" si="762"/>
        <v/>
      </c>
      <c r="H7743" s="28"/>
      <c r="I7743" s="29"/>
      <c r="J7743" s="152">
        <v>0</v>
      </c>
      <c r="L7743" s="218"/>
      <c r="M7743" s="41"/>
      <c r="N7743" s="27" t="str">
        <f t="shared" si="763"/>
        <v/>
      </c>
      <c r="O7743" s="28"/>
      <c r="P7743" s="36" t="str">
        <f t="shared" si="764"/>
        <v/>
      </c>
      <c r="Q7743" s="216" t="str">
        <f t="shared" si="765"/>
        <v/>
      </c>
      <c r="R7743" s="216" t="str">
        <f t="shared" si="766"/>
        <v/>
      </c>
      <c r="S7743" s="217" t="str">
        <f t="shared" si="767"/>
        <v/>
      </c>
    </row>
    <row r="7744" spans="1:19" ht="15.75" hidden="1" thickBot="1" x14ac:dyDescent="0.3">
      <c r="A7744" s="262"/>
      <c r="B7744" s="260"/>
      <c r="C7744" s="31"/>
      <c r="D7744" s="31"/>
      <c r="E7744" s="32"/>
      <c r="F7744" s="42" t="s">
        <v>416</v>
      </c>
      <c r="G7744" s="33" t="str">
        <f t="shared" si="762"/>
        <v/>
      </c>
      <c r="H7744" s="34"/>
      <c r="I7744" s="30"/>
      <c r="J7744" s="152">
        <v>0</v>
      </c>
      <c r="L7744" s="219"/>
      <c r="M7744" s="42"/>
      <c r="N7744" s="33" t="str">
        <f t="shared" si="763"/>
        <v/>
      </c>
      <c r="O7744" s="34"/>
      <c r="P7744" s="36" t="str">
        <f t="shared" si="764"/>
        <v/>
      </c>
      <c r="Q7744" s="216" t="str">
        <f t="shared" si="765"/>
        <v/>
      </c>
      <c r="R7744" s="216" t="str">
        <f t="shared" si="766"/>
        <v/>
      </c>
      <c r="S7744" s="217" t="str">
        <f t="shared" si="767"/>
        <v/>
      </c>
    </row>
    <row r="7745" spans="1:19" ht="26.25" hidden="1" thickBot="1" x14ac:dyDescent="0.3">
      <c r="A7745" s="262"/>
      <c r="B7745" s="260"/>
      <c r="C7745" s="35" t="s">
        <v>8019</v>
      </c>
      <c r="D7745" s="35" t="s">
        <v>213</v>
      </c>
      <c r="E7745" s="36">
        <v>1</v>
      </c>
      <c r="F7745" s="30">
        <v>3.61</v>
      </c>
      <c r="G7745" s="33">
        <f t="shared" si="762"/>
        <v>3.61</v>
      </c>
      <c r="H7745" s="38">
        <f>SUM(G7745:G7745)</f>
        <v>3.61</v>
      </c>
      <c r="I7745" s="39"/>
      <c r="J7745" s="152">
        <v>0</v>
      </c>
      <c r="L7745" s="215">
        <v>1</v>
      </c>
      <c r="M7745" s="30">
        <v>3.09016</v>
      </c>
      <c r="N7745" s="33">
        <f t="shared" si="763"/>
        <v>3.09016</v>
      </c>
      <c r="O7745" s="38">
        <f>SUM(N7745:N7745)</f>
        <v>3.09016</v>
      </c>
      <c r="P7745" s="36" t="str">
        <f t="shared" si="764"/>
        <v/>
      </c>
      <c r="Q7745" s="216">
        <f t="shared" si="765"/>
        <v>0.14400000000000002</v>
      </c>
      <c r="R7745" s="216">
        <f t="shared" si="766"/>
        <v>0.14400000000000002</v>
      </c>
      <c r="S7745" s="217">
        <f t="shared" si="767"/>
        <v>0.14400000000000002</v>
      </c>
    </row>
    <row r="7746" spans="1:19" ht="15.75" hidden="1" thickBot="1" x14ac:dyDescent="0.3">
      <c r="A7746" s="263"/>
      <c r="B7746" s="261"/>
      <c r="C7746" s="54"/>
      <c r="D7746" s="54"/>
      <c r="E7746" s="65"/>
      <c r="F7746" s="66" t="s">
        <v>416</v>
      </c>
      <c r="G7746" s="67" t="str">
        <f t="shared" ref="G7746:G7809" si="768">IF(ISNUMBER(F7746),E7746*F7746,"")</f>
        <v/>
      </c>
      <c r="H7746" s="68"/>
      <c r="I7746" s="30"/>
      <c r="J7746" s="152">
        <v>0</v>
      </c>
      <c r="L7746" s="222"/>
      <c r="M7746" s="66"/>
      <c r="N7746" s="67" t="str">
        <f t="shared" ref="N7746:N7809" si="769">IF(ISNUMBER(M7746),L7746*M7746,"")</f>
        <v/>
      </c>
      <c r="O7746" s="68"/>
      <c r="P7746" s="36" t="str">
        <f t="shared" si="764"/>
        <v/>
      </c>
      <c r="Q7746" s="216" t="str">
        <f t="shared" si="765"/>
        <v/>
      </c>
      <c r="R7746" s="216" t="str">
        <f t="shared" si="766"/>
        <v/>
      </c>
      <c r="S7746" s="217" t="str">
        <f t="shared" si="767"/>
        <v/>
      </c>
    </row>
    <row r="7747" spans="1:19" ht="15.75" hidden="1" thickBot="1" x14ac:dyDescent="0.3">
      <c r="A7747" s="256" t="s">
        <v>6866</v>
      </c>
      <c r="B7747" s="259" t="str">
        <f>INDEX(Orçamentária!A:B,MATCH(Composições!A7747,Orçamentária!A:A,0),2)</f>
        <v>Adaptador PVC soldável, curto com bolsa e rosca para Registro 50 mm x 1 1/2”</v>
      </c>
      <c r="C7747" s="40"/>
      <c r="D7747" s="25" t="s">
        <v>16</v>
      </c>
      <c r="E7747" s="26"/>
      <c r="F7747" s="41" t="s">
        <v>416</v>
      </c>
      <c r="G7747" s="27" t="str">
        <f t="shared" si="768"/>
        <v/>
      </c>
      <c r="H7747" s="28"/>
      <c r="I7747" s="29"/>
      <c r="J7747" s="152">
        <v>0</v>
      </c>
      <c r="L7747" s="218"/>
      <c r="M7747" s="41"/>
      <c r="N7747" s="27" t="str">
        <f t="shared" si="769"/>
        <v/>
      </c>
      <c r="O7747" s="28"/>
      <c r="P7747" s="36" t="str">
        <f t="shared" si="764"/>
        <v/>
      </c>
      <c r="Q7747" s="216" t="str">
        <f t="shared" si="765"/>
        <v/>
      </c>
      <c r="R7747" s="216" t="str">
        <f t="shared" si="766"/>
        <v/>
      </c>
      <c r="S7747" s="217" t="str">
        <f t="shared" si="767"/>
        <v/>
      </c>
    </row>
    <row r="7748" spans="1:19" ht="15.75" hidden="1" thickBot="1" x14ac:dyDescent="0.3">
      <c r="A7748" s="262"/>
      <c r="B7748" s="260"/>
      <c r="C7748" s="31"/>
      <c r="D7748" s="31"/>
      <c r="E7748" s="32"/>
      <c r="F7748" s="42" t="s">
        <v>416</v>
      </c>
      <c r="G7748" s="33" t="str">
        <f t="shared" si="768"/>
        <v/>
      </c>
      <c r="H7748" s="34"/>
      <c r="I7748" s="30"/>
      <c r="J7748" s="152">
        <v>0</v>
      </c>
      <c r="L7748" s="219"/>
      <c r="M7748" s="42"/>
      <c r="N7748" s="33" t="str">
        <f t="shared" si="769"/>
        <v/>
      </c>
      <c r="O7748" s="34"/>
      <c r="P7748" s="36" t="str">
        <f t="shared" si="764"/>
        <v/>
      </c>
      <c r="Q7748" s="216" t="str">
        <f t="shared" si="765"/>
        <v/>
      </c>
      <c r="R7748" s="216" t="str">
        <f t="shared" si="766"/>
        <v/>
      </c>
      <c r="S7748" s="217" t="str">
        <f t="shared" si="767"/>
        <v/>
      </c>
    </row>
    <row r="7749" spans="1:19" ht="26.25" hidden="1" thickBot="1" x14ac:dyDescent="0.3">
      <c r="A7749" s="262"/>
      <c r="B7749" s="260"/>
      <c r="C7749" s="35" t="s">
        <v>7963</v>
      </c>
      <c r="D7749" s="35" t="s">
        <v>213</v>
      </c>
      <c r="E7749" s="36">
        <v>1</v>
      </c>
      <c r="F7749" s="30">
        <v>4.4079999999999995</v>
      </c>
      <c r="G7749" s="33">
        <f t="shared" si="768"/>
        <v>4.4079999999999995</v>
      </c>
      <c r="H7749" s="38">
        <f>SUM(G7749:G7749)</f>
        <v>4.4079999999999995</v>
      </c>
      <c r="I7749" s="39"/>
      <c r="J7749" s="152">
        <v>0</v>
      </c>
      <c r="L7749" s="215">
        <v>1</v>
      </c>
      <c r="M7749" s="30">
        <v>3.7732479999999997</v>
      </c>
      <c r="N7749" s="33">
        <f t="shared" si="769"/>
        <v>3.7732479999999997</v>
      </c>
      <c r="O7749" s="38">
        <f>SUM(N7749:N7749)</f>
        <v>3.7732479999999997</v>
      </c>
      <c r="P7749" s="36" t="str">
        <f t="shared" si="764"/>
        <v/>
      </c>
      <c r="Q7749" s="216">
        <f t="shared" si="765"/>
        <v>0.14400000000000002</v>
      </c>
      <c r="R7749" s="216">
        <f t="shared" si="766"/>
        <v>0.14400000000000002</v>
      </c>
      <c r="S7749" s="217">
        <f t="shared" si="767"/>
        <v>0.14400000000000002</v>
      </c>
    </row>
    <row r="7750" spans="1:19" ht="15.75" hidden="1" thickBot="1" x14ac:dyDescent="0.3">
      <c r="A7750" s="263"/>
      <c r="B7750" s="261"/>
      <c r="C7750" s="54"/>
      <c r="D7750" s="54"/>
      <c r="E7750" s="65"/>
      <c r="F7750" s="66" t="s">
        <v>416</v>
      </c>
      <c r="G7750" s="67" t="str">
        <f t="shared" si="768"/>
        <v/>
      </c>
      <c r="H7750" s="68"/>
      <c r="I7750" s="30"/>
      <c r="J7750" s="152">
        <v>0</v>
      </c>
      <c r="L7750" s="222"/>
      <c r="M7750" s="66"/>
      <c r="N7750" s="67" t="str">
        <f t="shared" si="769"/>
        <v/>
      </c>
      <c r="O7750" s="68"/>
      <c r="P7750" s="36" t="str">
        <f t="shared" si="764"/>
        <v/>
      </c>
      <c r="Q7750" s="216" t="str">
        <f t="shared" si="765"/>
        <v/>
      </c>
      <c r="R7750" s="216" t="str">
        <f t="shared" si="766"/>
        <v/>
      </c>
      <c r="S7750" s="217" t="str">
        <f t="shared" si="767"/>
        <v/>
      </c>
    </row>
    <row r="7751" spans="1:19" ht="15.75" hidden="1" thickBot="1" x14ac:dyDescent="0.3">
      <c r="A7751" s="256" t="s">
        <v>6867</v>
      </c>
      <c r="B7751" s="259" t="str">
        <f>INDEX(Orçamentária!A:B,MATCH(Composições!A7751,Orçamentária!A:A,0),2)</f>
        <v>Adaptador flange PVC soldável 50 mm x 1 1/2”</v>
      </c>
      <c r="C7751" s="40"/>
      <c r="D7751" s="25" t="s">
        <v>16</v>
      </c>
      <c r="E7751" s="26"/>
      <c r="F7751" s="41" t="s">
        <v>416</v>
      </c>
      <c r="G7751" s="27" t="str">
        <f t="shared" si="768"/>
        <v/>
      </c>
      <c r="H7751" s="28"/>
      <c r="I7751" s="29"/>
      <c r="J7751" s="152">
        <v>0</v>
      </c>
      <c r="L7751" s="218"/>
      <c r="M7751" s="41"/>
      <c r="N7751" s="27" t="str">
        <f t="shared" si="769"/>
        <v/>
      </c>
      <c r="O7751" s="28"/>
      <c r="P7751" s="36" t="str">
        <f t="shared" si="764"/>
        <v/>
      </c>
      <c r="Q7751" s="216" t="str">
        <f t="shared" si="765"/>
        <v/>
      </c>
      <c r="R7751" s="216" t="str">
        <f t="shared" si="766"/>
        <v/>
      </c>
      <c r="S7751" s="217" t="str">
        <f t="shared" si="767"/>
        <v/>
      </c>
    </row>
    <row r="7752" spans="1:19" ht="15.75" hidden="1" thickBot="1" x14ac:dyDescent="0.3">
      <c r="A7752" s="262"/>
      <c r="B7752" s="260"/>
      <c r="C7752" s="31"/>
      <c r="D7752" s="31"/>
      <c r="E7752" s="32"/>
      <c r="F7752" s="42" t="s">
        <v>416</v>
      </c>
      <c r="G7752" s="33" t="str">
        <f t="shared" si="768"/>
        <v/>
      </c>
      <c r="H7752" s="34"/>
      <c r="I7752" s="30"/>
      <c r="J7752" s="152">
        <v>0</v>
      </c>
      <c r="L7752" s="219"/>
      <c r="M7752" s="42"/>
      <c r="N7752" s="33" t="str">
        <f t="shared" si="769"/>
        <v/>
      </c>
      <c r="O7752" s="34"/>
      <c r="P7752" s="36" t="str">
        <f t="shared" ref="P7752:P7815" si="770">IF(ISBLANK(L7752),"",IF($E7752&lt;&gt;L7752,"SIM",""))</f>
        <v/>
      </c>
      <c r="Q7752" s="216" t="str">
        <f t="shared" ref="Q7752:Q7815" si="771">IF(M7752="","",1-M7752/$F7752)</f>
        <v/>
      </c>
      <c r="R7752" s="216" t="str">
        <f t="shared" ref="R7752:R7815" si="772">IF(N7752="","",1-N7752/$G7752)</f>
        <v/>
      </c>
      <c r="S7752" s="217" t="str">
        <f t="shared" ref="S7752:S7815" si="773">IF(O7752="","",1-O7752/$H7752)</f>
        <v/>
      </c>
    </row>
    <row r="7753" spans="1:19" ht="26.25" hidden="1" thickBot="1" x14ac:dyDescent="0.3">
      <c r="A7753" s="262"/>
      <c r="B7753" s="260"/>
      <c r="C7753" s="35" t="s">
        <v>7970</v>
      </c>
      <c r="D7753" s="35" t="s">
        <v>213</v>
      </c>
      <c r="E7753" s="36">
        <v>1</v>
      </c>
      <c r="F7753" s="30">
        <v>25.916</v>
      </c>
      <c r="G7753" s="33">
        <f t="shared" si="768"/>
        <v>25.916</v>
      </c>
      <c r="H7753" s="38">
        <f>SUM(G7753:G7753)</f>
        <v>25.916</v>
      </c>
      <c r="I7753" s="39"/>
      <c r="J7753" s="152">
        <v>0</v>
      </c>
      <c r="L7753" s="215">
        <v>1</v>
      </c>
      <c r="M7753" s="30">
        <v>22.184096</v>
      </c>
      <c r="N7753" s="33">
        <f t="shared" si="769"/>
        <v>22.184096</v>
      </c>
      <c r="O7753" s="38">
        <f>SUM(N7753:N7753)</f>
        <v>22.184096</v>
      </c>
      <c r="P7753" s="36" t="str">
        <f t="shared" si="770"/>
        <v/>
      </c>
      <c r="Q7753" s="216">
        <f t="shared" si="771"/>
        <v>0.14400000000000002</v>
      </c>
      <c r="R7753" s="216">
        <f t="shared" si="772"/>
        <v>0.14400000000000002</v>
      </c>
      <c r="S7753" s="217">
        <f t="shared" si="773"/>
        <v>0.14400000000000002</v>
      </c>
    </row>
    <row r="7754" spans="1:19" ht="15.75" hidden="1" thickBot="1" x14ac:dyDescent="0.3">
      <c r="A7754" s="263"/>
      <c r="B7754" s="261"/>
      <c r="C7754" s="54"/>
      <c r="D7754" s="54"/>
      <c r="E7754" s="65"/>
      <c r="F7754" s="66" t="s">
        <v>416</v>
      </c>
      <c r="G7754" s="67" t="str">
        <f t="shared" si="768"/>
        <v/>
      </c>
      <c r="H7754" s="68"/>
      <c r="I7754" s="30"/>
      <c r="J7754" s="152">
        <v>0</v>
      </c>
      <c r="L7754" s="222"/>
      <c r="M7754" s="66"/>
      <c r="N7754" s="67" t="str">
        <f t="shared" si="769"/>
        <v/>
      </c>
      <c r="O7754" s="68"/>
      <c r="P7754" s="36" t="str">
        <f t="shared" si="770"/>
        <v/>
      </c>
      <c r="Q7754" s="216" t="str">
        <f t="shared" si="771"/>
        <v/>
      </c>
      <c r="R7754" s="216" t="str">
        <f t="shared" si="772"/>
        <v/>
      </c>
      <c r="S7754" s="217" t="str">
        <f t="shared" si="773"/>
        <v/>
      </c>
    </row>
    <row r="7755" spans="1:19" ht="15.75" hidden="1" thickBot="1" x14ac:dyDescent="0.3">
      <c r="A7755" s="256" t="s">
        <v>6868</v>
      </c>
      <c r="B7755" s="259" t="str">
        <f>INDEX(Orçamentária!A:B,MATCH(Composições!A7755,Orçamentária!A:A,0),2)</f>
        <v>Curva 90° PVC soldável 60 mm</v>
      </c>
      <c r="C7755" s="40"/>
      <c r="D7755" s="25" t="s">
        <v>16</v>
      </c>
      <c r="E7755" s="26"/>
      <c r="F7755" s="41" t="s">
        <v>416</v>
      </c>
      <c r="G7755" s="27" t="str">
        <f t="shared" si="768"/>
        <v/>
      </c>
      <c r="H7755" s="28"/>
      <c r="I7755" s="29"/>
      <c r="J7755" s="152">
        <v>0</v>
      </c>
      <c r="L7755" s="218"/>
      <c r="M7755" s="41"/>
      <c r="N7755" s="27" t="str">
        <f t="shared" si="769"/>
        <v/>
      </c>
      <c r="O7755" s="28"/>
      <c r="P7755" s="36" t="str">
        <f t="shared" si="770"/>
        <v/>
      </c>
      <c r="Q7755" s="216" t="str">
        <f t="shared" si="771"/>
        <v/>
      </c>
      <c r="R7755" s="216" t="str">
        <f t="shared" si="772"/>
        <v/>
      </c>
      <c r="S7755" s="217" t="str">
        <f t="shared" si="773"/>
        <v/>
      </c>
    </row>
    <row r="7756" spans="1:19" ht="15.75" hidden="1" thickBot="1" x14ac:dyDescent="0.3">
      <c r="A7756" s="262"/>
      <c r="B7756" s="260"/>
      <c r="C7756" s="31"/>
      <c r="D7756" s="31"/>
      <c r="E7756" s="32"/>
      <c r="F7756" s="42" t="s">
        <v>416</v>
      </c>
      <c r="G7756" s="33" t="str">
        <f t="shared" si="768"/>
        <v/>
      </c>
      <c r="H7756" s="34"/>
      <c r="I7756" s="30"/>
      <c r="J7756" s="152">
        <v>0</v>
      </c>
      <c r="L7756" s="219"/>
      <c r="M7756" s="42"/>
      <c r="N7756" s="33" t="str">
        <f t="shared" si="769"/>
        <v/>
      </c>
      <c r="O7756" s="34"/>
      <c r="P7756" s="36" t="str">
        <f t="shared" si="770"/>
        <v/>
      </c>
      <c r="Q7756" s="216" t="str">
        <f t="shared" si="771"/>
        <v/>
      </c>
      <c r="R7756" s="216" t="str">
        <f t="shared" si="772"/>
        <v/>
      </c>
      <c r="S7756" s="217" t="str">
        <f t="shared" si="773"/>
        <v/>
      </c>
    </row>
    <row r="7757" spans="1:19" ht="26.25" hidden="1" thickBot="1" x14ac:dyDescent="0.3">
      <c r="A7757" s="262"/>
      <c r="B7757" s="260"/>
      <c r="C7757" s="35" t="s">
        <v>8106</v>
      </c>
      <c r="D7757" s="35" t="s">
        <v>213</v>
      </c>
      <c r="E7757" s="36">
        <v>1</v>
      </c>
      <c r="F7757" s="30">
        <v>33.686999999999998</v>
      </c>
      <c r="G7757" s="33">
        <f t="shared" si="768"/>
        <v>33.686999999999998</v>
      </c>
      <c r="H7757" s="38">
        <f>SUM(G7757:G7757)</f>
        <v>33.686999999999998</v>
      </c>
      <c r="I7757" s="39"/>
      <c r="J7757" s="152">
        <v>0</v>
      </c>
      <c r="L7757" s="215">
        <v>1</v>
      </c>
      <c r="M7757" s="30">
        <v>28.836071999999998</v>
      </c>
      <c r="N7757" s="33">
        <f t="shared" si="769"/>
        <v>28.836071999999998</v>
      </c>
      <c r="O7757" s="38">
        <f>SUM(N7757:N7757)</f>
        <v>28.836071999999998</v>
      </c>
      <c r="P7757" s="36" t="str">
        <f t="shared" si="770"/>
        <v/>
      </c>
      <c r="Q7757" s="216">
        <f t="shared" si="771"/>
        <v>0.14400000000000002</v>
      </c>
      <c r="R7757" s="216">
        <f t="shared" si="772"/>
        <v>0.14400000000000002</v>
      </c>
      <c r="S7757" s="217">
        <f t="shared" si="773"/>
        <v>0.14400000000000002</v>
      </c>
    </row>
    <row r="7758" spans="1:19" ht="15.75" hidden="1" thickBot="1" x14ac:dyDescent="0.3">
      <c r="A7758" s="263"/>
      <c r="B7758" s="261"/>
      <c r="C7758" s="54"/>
      <c r="D7758" s="54"/>
      <c r="E7758" s="65"/>
      <c r="F7758" s="66" t="s">
        <v>416</v>
      </c>
      <c r="G7758" s="67" t="str">
        <f t="shared" si="768"/>
        <v/>
      </c>
      <c r="H7758" s="68"/>
      <c r="I7758" s="30"/>
      <c r="J7758" s="152">
        <v>0</v>
      </c>
      <c r="L7758" s="222"/>
      <c r="M7758" s="66"/>
      <c r="N7758" s="67" t="str">
        <f t="shared" si="769"/>
        <v/>
      </c>
      <c r="O7758" s="68"/>
      <c r="P7758" s="36" t="str">
        <f t="shared" si="770"/>
        <v/>
      </c>
      <c r="Q7758" s="216" t="str">
        <f t="shared" si="771"/>
        <v/>
      </c>
      <c r="R7758" s="216" t="str">
        <f t="shared" si="772"/>
        <v/>
      </c>
      <c r="S7758" s="217" t="str">
        <f t="shared" si="773"/>
        <v/>
      </c>
    </row>
    <row r="7759" spans="1:19" ht="15.75" hidden="1" thickBot="1" x14ac:dyDescent="0.3">
      <c r="A7759" s="256" t="s">
        <v>6869</v>
      </c>
      <c r="B7759" s="259" t="str">
        <f>INDEX(Orçamentária!A:B,MATCH(Composições!A7759,Orçamentária!A:A,0),2)</f>
        <v>Luva de correr PVC soldável 60 mm</v>
      </c>
      <c r="C7759" s="40"/>
      <c r="D7759" s="25" t="s">
        <v>16</v>
      </c>
      <c r="E7759" s="26"/>
      <c r="F7759" s="41" t="s">
        <v>416</v>
      </c>
      <c r="G7759" s="27" t="str">
        <f t="shared" si="768"/>
        <v/>
      </c>
      <c r="H7759" s="28"/>
      <c r="I7759" s="29"/>
      <c r="J7759" s="152">
        <v>0</v>
      </c>
      <c r="L7759" s="218"/>
      <c r="M7759" s="41"/>
      <c r="N7759" s="27" t="str">
        <f t="shared" si="769"/>
        <v/>
      </c>
      <c r="O7759" s="28"/>
      <c r="P7759" s="36" t="str">
        <f t="shared" si="770"/>
        <v/>
      </c>
      <c r="Q7759" s="216" t="str">
        <f t="shared" si="771"/>
        <v/>
      </c>
      <c r="R7759" s="216" t="str">
        <f t="shared" si="772"/>
        <v/>
      </c>
      <c r="S7759" s="217" t="str">
        <f t="shared" si="773"/>
        <v/>
      </c>
    </row>
    <row r="7760" spans="1:19" ht="15.75" hidden="1" thickBot="1" x14ac:dyDescent="0.3">
      <c r="A7760" s="262"/>
      <c r="B7760" s="260"/>
      <c r="C7760" s="31"/>
      <c r="D7760" s="31"/>
      <c r="E7760" s="32"/>
      <c r="F7760" s="42" t="s">
        <v>416</v>
      </c>
      <c r="G7760" s="33" t="str">
        <f t="shared" si="768"/>
        <v/>
      </c>
      <c r="H7760" s="34"/>
      <c r="I7760" s="30"/>
      <c r="J7760" s="152">
        <v>0</v>
      </c>
      <c r="L7760" s="219"/>
      <c r="M7760" s="42"/>
      <c r="N7760" s="33" t="str">
        <f t="shared" si="769"/>
        <v/>
      </c>
      <c r="O7760" s="34"/>
      <c r="P7760" s="36" t="str">
        <f t="shared" si="770"/>
        <v/>
      </c>
      <c r="Q7760" s="216" t="str">
        <f t="shared" si="771"/>
        <v/>
      </c>
      <c r="R7760" s="216" t="str">
        <f t="shared" si="772"/>
        <v/>
      </c>
      <c r="S7760" s="217" t="str">
        <f t="shared" si="773"/>
        <v/>
      </c>
    </row>
    <row r="7761" spans="1:19" ht="26.25" hidden="1" thickBot="1" x14ac:dyDescent="0.3">
      <c r="A7761" s="262"/>
      <c r="B7761" s="260"/>
      <c r="C7761" s="35" t="s">
        <v>8243</v>
      </c>
      <c r="D7761" s="35" t="s">
        <v>213</v>
      </c>
      <c r="E7761" s="36">
        <v>1</v>
      </c>
      <c r="F7761" s="30">
        <v>38.788499999999999</v>
      </c>
      <c r="G7761" s="33">
        <f t="shared" si="768"/>
        <v>38.788499999999999</v>
      </c>
      <c r="H7761" s="38">
        <f>SUM(G7761:G7761)</f>
        <v>38.788499999999999</v>
      </c>
      <c r="I7761" s="39"/>
      <c r="J7761" s="152">
        <v>0</v>
      </c>
      <c r="L7761" s="215">
        <v>1</v>
      </c>
      <c r="M7761" s="30">
        <v>33.202956</v>
      </c>
      <c r="N7761" s="33">
        <f t="shared" si="769"/>
        <v>33.202956</v>
      </c>
      <c r="O7761" s="38">
        <f>SUM(N7761:N7761)</f>
        <v>33.202956</v>
      </c>
      <c r="P7761" s="36" t="str">
        <f t="shared" si="770"/>
        <v/>
      </c>
      <c r="Q7761" s="216">
        <f t="shared" si="771"/>
        <v>0.14400000000000002</v>
      </c>
      <c r="R7761" s="216">
        <f t="shared" si="772"/>
        <v>0.14400000000000002</v>
      </c>
      <c r="S7761" s="217">
        <f t="shared" si="773"/>
        <v>0.14400000000000002</v>
      </c>
    </row>
    <row r="7762" spans="1:19" ht="15.75" hidden="1" thickBot="1" x14ac:dyDescent="0.3">
      <c r="A7762" s="263"/>
      <c r="B7762" s="261"/>
      <c r="C7762" s="54"/>
      <c r="D7762" s="54"/>
      <c r="E7762" s="65"/>
      <c r="F7762" s="66" t="s">
        <v>416</v>
      </c>
      <c r="G7762" s="67" t="str">
        <f t="shared" si="768"/>
        <v/>
      </c>
      <c r="H7762" s="68"/>
      <c r="I7762" s="30"/>
      <c r="J7762" s="152">
        <v>0</v>
      </c>
      <c r="L7762" s="222"/>
      <c r="M7762" s="66"/>
      <c r="N7762" s="67" t="str">
        <f t="shared" si="769"/>
        <v/>
      </c>
      <c r="O7762" s="68"/>
      <c r="P7762" s="36" t="str">
        <f t="shared" si="770"/>
        <v/>
      </c>
      <c r="Q7762" s="216" t="str">
        <f t="shared" si="771"/>
        <v/>
      </c>
      <c r="R7762" s="216" t="str">
        <f t="shared" si="772"/>
        <v/>
      </c>
      <c r="S7762" s="217" t="str">
        <f t="shared" si="773"/>
        <v/>
      </c>
    </row>
    <row r="7763" spans="1:19" ht="15.75" hidden="1" thickBot="1" x14ac:dyDescent="0.3">
      <c r="A7763" s="256" t="s">
        <v>6870</v>
      </c>
      <c r="B7763" s="259" t="str">
        <f>INDEX(Orçamentária!A:B,MATCH(Composições!A7763,Orçamentária!A:A,0),2)</f>
        <v>Bucha de redução curta PVC soldável de 60 mm x 50 mm</v>
      </c>
      <c r="C7763" s="40"/>
      <c r="D7763" s="25" t="s">
        <v>16</v>
      </c>
      <c r="E7763" s="26"/>
      <c r="F7763" s="41" t="s">
        <v>416</v>
      </c>
      <c r="G7763" s="27" t="str">
        <f t="shared" si="768"/>
        <v/>
      </c>
      <c r="H7763" s="28"/>
      <c r="I7763" s="29"/>
      <c r="J7763" s="152">
        <v>0</v>
      </c>
      <c r="L7763" s="218"/>
      <c r="M7763" s="41"/>
      <c r="N7763" s="27" t="str">
        <f t="shared" si="769"/>
        <v/>
      </c>
      <c r="O7763" s="28"/>
      <c r="P7763" s="36" t="str">
        <f t="shared" si="770"/>
        <v/>
      </c>
      <c r="Q7763" s="216" t="str">
        <f t="shared" si="771"/>
        <v/>
      </c>
      <c r="R7763" s="216" t="str">
        <f t="shared" si="772"/>
        <v/>
      </c>
      <c r="S7763" s="217" t="str">
        <f t="shared" si="773"/>
        <v/>
      </c>
    </row>
    <row r="7764" spans="1:19" ht="15.75" hidden="1" thickBot="1" x14ac:dyDescent="0.3">
      <c r="A7764" s="262"/>
      <c r="B7764" s="260"/>
      <c r="C7764" s="31"/>
      <c r="D7764" s="31"/>
      <c r="E7764" s="32"/>
      <c r="F7764" s="42" t="s">
        <v>416</v>
      </c>
      <c r="G7764" s="33" t="str">
        <f t="shared" si="768"/>
        <v/>
      </c>
      <c r="H7764" s="34"/>
      <c r="I7764" s="30"/>
      <c r="J7764" s="152">
        <v>0</v>
      </c>
      <c r="L7764" s="219"/>
      <c r="M7764" s="42"/>
      <c r="N7764" s="33" t="str">
        <f t="shared" si="769"/>
        <v/>
      </c>
      <c r="O7764" s="34"/>
      <c r="P7764" s="36" t="str">
        <f t="shared" si="770"/>
        <v/>
      </c>
      <c r="Q7764" s="216" t="str">
        <f t="shared" si="771"/>
        <v/>
      </c>
      <c r="R7764" s="216" t="str">
        <f t="shared" si="772"/>
        <v/>
      </c>
      <c r="S7764" s="217" t="str">
        <f t="shared" si="773"/>
        <v/>
      </c>
    </row>
    <row r="7765" spans="1:19" ht="26.25" hidden="1" thickBot="1" x14ac:dyDescent="0.3">
      <c r="A7765" s="262"/>
      <c r="B7765" s="260"/>
      <c r="C7765" s="35" t="s">
        <v>8020</v>
      </c>
      <c r="D7765" s="35" t="s">
        <v>213</v>
      </c>
      <c r="E7765" s="36">
        <v>1</v>
      </c>
      <c r="F7765" s="30">
        <v>6.7354999999999992</v>
      </c>
      <c r="G7765" s="33">
        <f t="shared" si="768"/>
        <v>6.7354999999999992</v>
      </c>
      <c r="H7765" s="38">
        <f>SUM(G7765:G7765)</f>
        <v>6.7354999999999992</v>
      </c>
      <c r="I7765" s="39"/>
      <c r="J7765" s="152">
        <v>0</v>
      </c>
      <c r="L7765" s="215">
        <v>1</v>
      </c>
      <c r="M7765" s="30">
        <v>5.7655879999999993</v>
      </c>
      <c r="N7765" s="33">
        <f t="shared" si="769"/>
        <v>5.7655879999999993</v>
      </c>
      <c r="O7765" s="38">
        <f>SUM(N7765:N7765)</f>
        <v>5.7655879999999993</v>
      </c>
      <c r="P7765" s="36" t="str">
        <f t="shared" si="770"/>
        <v/>
      </c>
      <c r="Q7765" s="216">
        <f t="shared" si="771"/>
        <v>0.14400000000000002</v>
      </c>
      <c r="R7765" s="216">
        <f t="shared" si="772"/>
        <v>0.14400000000000002</v>
      </c>
      <c r="S7765" s="217">
        <f t="shared" si="773"/>
        <v>0.14400000000000002</v>
      </c>
    </row>
    <row r="7766" spans="1:19" ht="15.75" hidden="1" thickBot="1" x14ac:dyDescent="0.3">
      <c r="A7766" s="263"/>
      <c r="B7766" s="261"/>
      <c r="C7766" s="54"/>
      <c r="D7766" s="54"/>
      <c r="E7766" s="65"/>
      <c r="F7766" s="66" t="s">
        <v>416</v>
      </c>
      <c r="G7766" s="67" t="str">
        <f t="shared" si="768"/>
        <v/>
      </c>
      <c r="H7766" s="68"/>
      <c r="I7766" s="30"/>
      <c r="J7766" s="152">
        <v>0</v>
      </c>
      <c r="L7766" s="222"/>
      <c r="M7766" s="66"/>
      <c r="N7766" s="67" t="str">
        <f t="shared" si="769"/>
        <v/>
      </c>
      <c r="O7766" s="68"/>
      <c r="P7766" s="36" t="str">
        <f t="shared" si="770"/>
        <v/>
      </c>
      <c r="Q7766" s="216" t="str">
        <f t="shared" si="771"/>
        <v/>
      </c>
      <c r="R7766" s="216" t="str">
        <f t="shared" si="772"/>
        <v/>
      </c>
      <c r="S7766" s="217" t="str">
        <f t="shared" si="773"/>
        <v/>
      </c>
    </row>
    <row r="7767" spans="1:19" ht="15.75" hidden="1" thickBot="1" x14ac:dyDescent="0.3">
      <c r="A7767" s="256" t="s">
        <v>6871</v>
      </c>
      <c r="B7767" s="259" t="str">
        <f>INDEX(Orçamentária!A:B,MATCH(Composições!A7767,Orçamentária!A:A,0),2)</f>
        <v>Adaptador flange PVC soldável 60 mm x 2”</v>
      </c>
      <c r="C7767" s="40"/>
      <c r="D7767" s="25" t="s">
        <v>16</v>
      </c>
      <c r="E7767" s="26"/>
      <c r="F7767" s="41" t="s">
        <v>416</v>
      </c>
      <c r="G7767" s="27" t="str">
        <f t="shared" si="768"/>
        <v/>
      </c>
      <c r="H7767" s="28"/>
      <c r="I7767" s="29"/>
      <c r="J7767" s="152">
        <v>0</v>
      </c>
      <c r="L7767" s="218"/>
      <c r="M7767" s="41"/>
      <c r="N7767" s="27" t="str">
        <f t="shared" si="769"/>
        <v/>
      </c>
      <c r="O7767" s="28"/>
      <c r="P7767" s="36" t="str">
        <f t="shared" si="770"/>
        <v/>
      </c>
      <c r="Q7767" s="216" t="str">
        <f t="shared" si="771"/>
        <v/>
      </c>
      <c r="R7767" s="216" t="str">
        <f t="shared" si="772"/>
        <v/>
      </c>
      <c r="S7767" s="217" t="str">
        <f t="shared" si="773"/>
        <v/>
      </c>
    </row>
    <row r="7768" spans="1:19" ht="15.75" hidden="1" thickBot="1" x14ac:dyDescent="0.3">
      <c r="A7768" s="262"/>
      <c r="B7768" s="260"/>
      <c r="C7768" s="31"/>
      <c r="D7768" s="31"/>
      <c r="E7768" s="32"/>
      <c r="F7768" s="42" t="s">
        <v>416</v>
      </c>
      <c r="G7768" s="33" t="str">
        <f t="shared" si="768"/>
        <v/>
      </c>
      <c r="H7768" s="34"/>
      <c r="I7768" s="30"/>
      <c r="J7768" s="152">
        <v>0</v>
      </c>
      <c r="L7768" s="219"/>
      <c r="M7768" s="42"/>
      <c r="N7768" s="33" t="str">
        <f t="shared" si="769"/>
        <v/>
      </c>
      <c r="O7768" s="34"/>
      <c r="P7768" s="36" t="str">
        <f t="shared" si="770"/>
        <v/>
      </c>
      <c r="Q7768" s="216" t="str">
        <f t="shared" si="771"/>
        <v/>
      </c>
      <c r="R7768" s="216" t="str">
        <f t="shared" si="772"/>
        <v/>
      </c>
      <c r="S7768" s="217" t="str">
        <f t="shared" si="773"/>
        <v/>
      </c>
    </row>
    <row r="7769" spans="1:19" ht="26.25" hidden="1" thickBot="1" x14ac:dyDescent="0.3">
      <c r="A7769" s="262"/>
      <c r="B7769" s="260"/>
      <c r="C7769" s="35" t="s">
        <v>7971</v>
      </c>
      <c r="D7769" s="35" t="s">
        <v>213</v>
      </c>
      <c r="E7769" s="36">
        <v>1</v>
      </c>
      <c r="F7769" s="30">
        <v>45.276999999999994</v>
      </c>
      <c r="G7769" s="33">
        <f t="shared" si="768"/>
        <v>45.276999999999994</v>
      </c>
      <c r="H7769" s="38">
        <f>SUM(G7769:G7769)</f>
        <v>45.276999999999994</v>
      </c>
      <c r="I7769" s="39"/>
      <c r="J7769" s="152">
        <v>0</v>
      </c>
      <c r="L7769" s="215">
        <v>1</v>
      </c>
      <c r="M7769" s="30">
        <v>38.757111999999992</v>
      </c>
      <c r="N7769" s="33">
        <f t="shared" si="769"/>
        <v>38.757111999999992</v>
      </c>
      <c r="O7769" s="38">
        <f>SUM(N7769:N7769)</f>
        <v>38.757111999999992</v>
      </c>
      <c r="P7769" s="36" t="str">
        <f t="shared" si="770"/>
        <v/>
      </c>
      <c r="Q7769" s="216">
        <f t="shared" si="771"/>
        <v>0.14400000000000002</v>
      </c>
      <c r="R7769" s="216">
        <f t="shared" si="772"/>
        <v>0.14400000000000002</v>
      </c>
      <c r="S7769" s="217">
        <f t="shared" si="773"/>
        <v>0.14400000000000002</v>
      </c>
    </row>
    <row r="7770" spans="1:19" ht="15.75" hidden="1" thickBot="1" x14ac:dyDescent="0.3">
      <c r="A7770" s="263"/>
      <c r="B7770" s="261"/>
      <c r="C7770" s="54"/>
      <c r="D7770" s="54"/>
      <c r="E7770" s="65"/>
      <c r="F7770" s="66" t="s">
        <v>416</v>
      </c>
      <c r="G7770" s="67" t="str">
        <f t="shared" si="768"/>
        <v/>
      </c>
      <c r="H7770" s="68"/>
      <c r="I7770" s="30"/>
      <c r="J7770" s="152">
        <v>0</v>
      </c>
      <c r="L7770" s="222"/>
      <c r="M7770" s="66"/>
      <c r="N7770" s="67" t="str">
        <f t="shared" si="769"/>
        <v/>
      </c>
      <c r="O7770" s="68"/>
      <c r="P7770" s="36" t="str">
        <f t="shared" si="770"/>
        <v/>
      </c>
      <c r="Q7770" s="216" t="str">
        <f t="shared" si="771"/>
        <v/>
      </c>
      <c r="R7770" s="216" t="str">
        <f t="shared" si="772"/>
        <v/>
      </c>
      <c r="S7770" s="217" t="str">
        <f t="shared" si="773"/>
        <v/>
      </c>
    </row>
    <row r="7771" spans="1:19" ht="15.75" hidden="1" thickBot="1" x14ac:dyDescent="0.3">
      <c r="A7771" s="256" t="s">
        <v>6872</v>
      </c>
      <c r="B7771" s="259" t="str">
        <f>INDEX(Orçamentária!A:B,MATCH(Composições!A7771,Orçamentária!A:A,0),2)</f>
        <v>Joelho 90° PVC soldável 75 mm</v>
      </c>
      <c r="C7771" s="40"/>
      <c r="D7771" s="25" t="s">
        <v>16</v>
      </c>
      <c r="E7771" s="26"/>
      <c r="F7771" s="41" t="s">
        <v>416</v>
      </c>
      <c r="G7771" s="27" t="str">
        <f t="shared" si="768"/>
        <v/>
      </c>
      <c r="H7771" s="28"/>
      <c r="I7771" s="29"/>
      <c r="J7771" s="152">
        <v>0</v>
      </c>
      <c r="L7771" s="218"/>
      <c r="M7771" s="41"/>
      <c r="N7771" s="27" t="str">
        <f t="shared" si="769"/>
        <v/>
      </c>
      <c r="O7771" s="28"/>
      <c r="P7771" s="36" t="str">
        <f t="shared" si="770"/>
        <v/>
      </c>
      <c r="Q7771" s="216" t="str">
        <f t="shared" si="771"/>
        <v/>
      </c>
      <c r="R7771" s="216" t="str">
        <f t="shared" si="772"/>
        <v/>
      </c>
      <c r="S7771" s="217" t="str">
        <f t="shared" si="773"/>
        <v/>
      </c>
    </row>
    <row r="7772" spans="1:19" ht="15.75" hidden="1" thickBot="1" x14ac:dyDescent="0.3">
      <c r="A7772" s="262"/>
      <c r="B7772" s="260"/>
      <c r="C7772" s="31"/>
      <c r="D7772" s="31"/>
      <c r="E7772" s="32"/>
      <c r="F7772" s="42" t="s">
        <v>416</v>
      </c>
      <c r="G7772" s="33" t="str">
        <f t="shared" si="768"/>
        <v/>
      </c>
      <c r="H7772" s="34"/>
      <c r="I7772" s="30"/>
      <c r="J7772" s="152">
        <v>0</v>
      </c>
      <c r="L7772" s="219"/>
      <c r="M7772" s="42"/>
      <c r="N7772" s="33" t="str">
        <f t="shared" si="769"/>
        <v/>
      </c>
      <c r="O7772" s="34"/>
      <c r="P7772" s="36" t="str">
        <f t="shared" si="770"/>
        <v/>
      </c>
      <c r="Q7772" s="216" t="str">
        <f t="shared" si="771"/>
        <v/>
      </c>
      <c r="R7772" s="216" t="str">
        <f t="shared" si="772"/>
        <v/>
      </c>
      <c r="S7772" s="217" t="str">
        <f t="shared" si="773"/>
        <v/>
      </c>
    </row>
    <row r="7773" spans="1:19" ht="26.25" hidden="1" thickBot="1" x14ac:dyDescent="0.3">
      <c r="A7773" s="262"/>
      <c r="B7773" s="260"/>
      <c r="C7773" s="35" t="s">
        <v>8212</v>
      </c>
      <c r="D7773" s="35" t="s">
        <v>213</v>
      </c>
      <c r="E7773" s="36">
        <v>1</v>
      </c>
      <c r="F7773" s="30">
        <v>84.36</v>
      </c>
      <c r="G7773" s="33">
        <f t="shared" si="768"/>
        <v>84.36</v>
      </c>
      <c r="H7773" s="38">
        <f>SUM(G7773:G7773)</f>
        <v>84.36</v>
      </c>
      <c r="I7773" s="39"/>
      <c r="J7773" s="152">
        <v>0</v>
      </c>
      <c r="L7773" s="215">
        <v>1</v>
      </c>
      <c r="M7773" s="30">
        <v>72.212159999999997</v>
      </c>
      <c r="N7773" s="33">
        <f t="shared" si="769"/>
        <v>72.212159999999997</v>
      </c>
      <c r="O7773" s="38">
        <f>SUM(N7773:N7773)</f>
        <v>72.212159999999997</v>
      </c>
      <c r="P7773" s="36" t="str">
        <f t="shared" si="770"/>
        <v/>
      </c>
      <c r="Q7773" s="216">
        <f t="shared" si="771"/>
        <v>0.14400000000000002</v>
      </c>
      <c r="R7773" s="216">
        <f t="shared" si="772"/>
        <v>0.14400000000000002</v>
      </c>
      <c r="S7773" s="217">
        <f t="shared" si="773"/>
        <v>0.14400000000000002</v>
      </c>
    </row>
    <row r="7774" spans="1:19" ht="15.75" hidden="1" thickBot="1" x14ac:dyDescent="0.3">
      <c r="A7774" s="263"/>
      <c r="B7774" s="261"/>
      <c r="C7774" s="54"/>
      <c r="D7774" s="54"/>
      <c r="E7774" s="65"/>
      <c r="F7774" s="66" t="s">
        <v>416</v>
      </c>
      <c r="G7774" s="67" t="str">
        <f t="shared" si="768"/>
        <v/>
      </c>
      <c r="H7774" s="68"/>
      <c r="I7774" s="30"/>
      <c r="J7774" s="152">
        <v>0</v>
      </c>
      <c r="L7774" s="222"/>
      <c r="M7774" s="66"/>
      <c r="N7774" s="67" t="str">
        <f t="shared" si="769"/>
        <v/>
      </c>
      <c r="O7774" s="68"/>
      <c r="P7774" s="36" t="str">
        <f t="shared" si="770"/>
        <v/>
      </c>
      <c r="Q7774" s="216" t="str">
        <f t="shared" si="771"/>
        <v/>
      </c>
      <c r="R7774" s="216" t="str">
        <f t="shared" si="772"/>
        <v/>
      </c>
      <c r="S7774" s="217" t="str">
        <f t="shared" si="773"/>
        <v/>
      </c>
    </row>
    <row r="7775" spans="1:19" ht="15.75" hidden="1" thickBot="1" x14ac:dyDescent="0.3">
      <c r="A7775" s="256" t="s">
        <v>6873</v>
      </c>
      <c r="B7775" s="259" t="str">
        <f>INDEX(Orçamentária!A:B,MATCH(Composições!A7775,Orçamentária!A:A,0),2)</f>
        <v>Cap PVC soldável 75 mm</v>
      </c>
      <c r="C7775" s="40"/>
      <c r="D7775" s="25" t="s">
        <v>16</v>
      </c>
      <c r="E7775" s="26"/>
      <c r="F7775" s="41" t="s">
        <v>416</v>
      </c>
      <c r="G7775" s="27" t="str">
        <f t="shared" si="768"/>
        <v/>
      </c>
      <c r="H7775" s="28"/>
      <c r="I7775" s="29"/>
      <c r="J7775" s="152">
        <v>0</v>
      </c>
      <c r="L7775" s="218"/>
      <c r="M7775" s="41"/>
      <c r="N7775" s="27" t="str">
        <f t="shared" si="769"/>
        <v/>
      </c>
      <c r="O7775" s="28"/>
      <c r="P7775" s="36" t="str">
        <f t="shared" si="770"/>
        <v/>
      </c>
      <c r="Q7775" s="216" t="str">
        <f t="shared" si="771"/>
        <v/>
      </c>
      <c r="R7775" s="216" t="str">
        <f t="shared" si="772"/>
        <v/>
      </c>
      <c r="S7775" s="217" t="str">
        <f t="shared" si="773"/>
        <v/>
      </c>
    </row>
    <row r="7776" spans="1:19" ht="15.75" hidden="1" thickBot="1" x14ac:dyDescent="0.3">
      <c r="A7776" s="262"/>
      <c r="B7776" s="260"/>
      <c r="C7776" s="31"/>
      <c r="D7776" s="31"/>
      <c r="E7776" s="32"/>
      <c r="F7776" s="42" t="s">
        <v>416</v>
      </c>
      <c r="G7776" s="33" t="str">
        <f t="shared" si="768"/>
        <v/>
      </c>
      <c r="H7776" s="34"/>
      <c r="I7776" s="30"/>
      <c r="J7776" s="152">
        <v>0</v>
      </c>
      <c r="L7776" s="219"/>
      <c r="M7776" s="42"/>
      <c r="N7776" s="33" t="str">
        <f t="shared" si="769"/>
        <v/>
      </c>
      <c r="O7776" s="34"/>
      <c r="P7776" s="36" t="str">
        <f t="shared" si="770"/>
        <v/>
      </c>
      <c r="Q7776" s="216" t="str">
        <f t="shared" si="771"/>
        <v/>
      </c>
      <c r="R7776" s="216" t="str">
        <f t="shared" si="772"/>
        <v/>
      </c>
      <c r="S7776" s="217" t="str">
        <f t="shared" si="773"/>
        <v/>
      </c>
    </row>
    <row r="7777" spans="1:19" ht="15.75" hidden="1" thickBot="1" x14ac:dyDescent="0.3">
      <c r="A7777" s="262"/>
      <c r="B7777" s="260"/>
      <c r="C7777" s="35" t="s">
        <v>8055</v>
      </c>
      <c r="D7777" s="35" t="s">
        <v>213</v>
      </c>
      <c r="E7777" s="36">
        <v>1</v>
      </c>
      <c r="F7777" s="30">
        <v>20.6435</v>
      </c>
      <c r="G7777" s="33">
        <f t="shared" si="768"/>
        <v>20.6435</v>
      </c>
      <c r="H7777" s="38">
        <f>SUM(G7777:G7777)</f>
        <v>20.6435</v>
      </c>
      <c r="I7777" s="39"/>
      <c r="J7777" s="152">
        <v>0</v>
      </c>
      <c r="L7777" s="215">
        <v>1</v>
      </c>
      <c r="M7777" s="30">
        <v>17.670836000000001</v>
      </c>
      <c r="N7777" s="33">
        <f t="shared" si="769"/>
        <v>17.670836000000001</v>
      </c>
      <c r="O7777" s="38">
        <f>SUM(N7777:N7777)</f>
        <v>17.670836000000001</v>
      </c>
      <c r="P7777" s="36" t="str">
        <f t="shared" si="770"/>
        <v/>
      </c>
      <c r="Q7777" s="216">
        <f t="shared" si="771"/>
        <v>0.14399999999999991</v>
      </c>
      <c r="R7777" s="216">
        <f t="shared" si="772"/>
        <v>0.14399999999999991</v>
      </c>
      <c r="S7777" s="217">
        <f t="shared" si="773"/>
        <v>0.14399999999999991</v>
      </c>
    </row>
    <row r="7778" spans="1:19" ht="15.75" hidden="1" thickBot="1" x14ac:dyDescent="0.3">
      <c r="A7778" s="263"/>
      <c r="B7778" s="261"/>
      <c r="C7778" s="54"/>
      <c r="D7778" s="54"/>
      <c r="E7778" s="65"/>
      <c r="F7778" s="66" t="s">
        <v>416</v>
      </c>
      <c r="G7778" s="67" t="str">
        <f t="shared" si="768"/>
        <v/>
      </c>
      <c r="H7778" s="68"/>
      <c r="I7778" s="30"/>
      <c r="J7778" s="152">
        <v>0</v>
      </c>
      <c r="L7778" s="222"/>
      <c r="M7778" s="66"/>
      <c r="N7778" s="67" t="str">
        <f t="shared" si="769"/>
        <v/>
      </c>
      <c r="O7778" s="68"/>
      <c r="P7778" s="36" t="str">
        <f t="shared" si="770"/>
        <v/>
      </c>
      <c r="Q7778" s="216" t="str">
        <f t="shared" si="771"/>
        <v/>
      </c>
      <c r="R7778" s="216" t="str">
        <f t="shared" si="772"/>
        <v/>
      </c>
      <c r="S7778" s="217" t="str">
        <f t="shared" si="773"/>
        <v/>
      </c>
    </row>
    <row r="7779" spans="1:19" ht="15.75" hidden="1" thickBot="1" x14ac:dyDescent="0.3">
      <c r="A7779" s="256" t="s">
        <v>6874</v>
      </c>
      <c r="B7779" s="259" t="str">
        <f>INDEX(Orçamentária!A:B,MATCH(Composições!A7779,Orçamentária!A:A,0),2)</f>
        <v>Joelho 45° PVC soldável 75 mm</v>
      </c>
      <c r="C7779" s="40"/>
      <c r="D7779" s="25" t="s">
        <v>16</v>
      </c>
      <c r="E7779" s="26"/>
      <c r="F7779" s="41" t="s">
        <v>416</v>
      </c>
      <c r="G7779" s="27" t="str">
        <f t="shared" si="768"/>
        <v/>
      </c>
      <c r="H7779" s="28"/>
      <c r="I7779" s="29"/>
      <c r="J7779" s="152">
        <v>0</v>
      </c>
      <c r="L7779" s="218"/>
      <c r="M7779" s="41"/>
      <c r="N7779" s="27" t="str">
        <f t="shared" si="769"/>
        <v/>
      </c>
      <c r="O7779" s="28"/>
      <c r="P7779" s="36" t="str">
        <f t="shared" si="770"/>
        <v/>
      </c>
      <c r="Q7779" s="216" t="str">
        <f t="shared" si="771"/>
        <v/>
      </c>
      <c r="R7779" s="216" t="str">
        <f t="shared" si="772"/>
        <v/>
      </c>
      <c r="S7779" s="217" t="str">
        <f t="shared" si="773"/>
        <v/>
      </c>
    </row>
    <row r="7780" spans="1:19" ht="15.75" hidden="1" thickBot="1" x14ac:dyDescent="0.3">
      <c r="A7780" s="262"/>
      <c r="B7780" s="260"/>
      <c r="C7780" s="31"/>
      <c r="D7780" s="31"/>
      <c r="E7780" s="32"/>
      <c r="F7780" s="42" t="s">
        <v>416</v>
      </c>
      <c r="G7780" s="33" t="str">
        <f t="shared" si="768"/>
        <v/>
      </c>
      <c r="H7780" s="34"/>
      <c r="I7780" s="30"/>
      <c r="J7780" s="152">
        <v>0</v>
      </c>
      <c r="L7780" s="219"/>
      <c r="M7780" s="42"/>
      <c r="N7780" s="33" t="str">
        <f t="shared" si="769"/>
        <v/>
      </c>
      <c r="O7780" s="34"/>
      <c r="P7780" s="36" t="str">
        <f t="shared" si="770"/>
        <v/>
      </c>
      <c r="Q7780" s="216" t="str">
        <f t="shared" si="771"/>
        <v/>
      </c>
      <c r="R7780" s="216" t="str">
        <f t="shared" si="772"/>
        <v/>
      </c>
      <c r="S7780" s="217" t="str">
        <f t="shared" si="773"/>
        <v/>
      </c>
    </row>
    <row r="7781" spans="1:19" ht="26.25" hidden="1" thickBot="1" x14ac:dyDescent="0.3">
      <c r="A7781" s="262"/>
      <c r="B7781" s="260"/>
      <c r="C7781" s="35" t="s">
        <v>8210</v>
      </c>
      <c r="D7781" s="35" t="s">
        <v>213</v>
      </c>
      <c r="E7781" s="36">
        <v>1</v>
      </c>
      <c r="F7781" s="30">
        <v>64.447999999999993</v>
      </c>
      <c r="G7781" s="33">
        <f t="shared" si="768"/>
        <v>64.447999999999993</v>
      </c>
      <c r="H7781" s="38">
        <f>SUM(G7781:G7781)</f>
        <v>64.447999999999993</v>
      </c>
      <c r="I7781" s="39"/>
      <c r="J7781" s="152">
        <v>0</v>
      </c>
      <c r="L7781" s="215">
        <v>1</v>
      </c>
      <c r="M7781" s="30">
        <v>55.167487999999992</v>
      </c>
      <c r="N7781" s="33">
        <f t="shared" si="769"/>
        <v>55.167487999999992</v>
      </c>
      <c r="O7781" s="38">
        <f>SUM(N7781:N7781)</f>
        <v>55.167487999999992</v>
      </c>
      <c r="P7781" s="36" t="str">
        <f t="shared" si="770"/>
        <v/>
      </c>
      <c r="Q7781" s="216">
        <f t="shared" si="771"/>
        <v>0.14400000000000002</v>
      </c>
      <c r="R7781" s="216">
        <f t="shared" si="772"/>
        <v>0.14400000000000002</v>
      </c>
      <c r="S7781" s="217">
        <f t="shared" si="773"/>
        <v>0.14400000000000002</v>
      </c>
    </row>
    <row r="7782" spans="1:19" ht="15.75" hidden="1" thickBot="1" x14ac:dyDescent="0.3">
      <c r="A7782" s="263"/>
      <c r="B7782" s="261"/>
      <c r="C7782" s="54"/>
      <c r="D7782" s="54"/>
      <c r="E7782" s="65"/>
      <c r="F7782" s="66" t="s">
        <v>416</v>
      </c>
      <c r="G7782" s="67" t="str">
        <f t="shared" si="768"/>
        <v/>
      </c>
      <c r="H7782" s="68"/>
      <c r="I7782" s="30"/>
      <c r="J7782" s="152">
        <v>0</v>
      </c>
      <c r="L7782" s="222"/>
      <c r="M7782" s="66"/>
      <c r="N7782" s="67" t="str">
        <f t="shared" si="769"/>
        <v/>
      </c>
      <c r="O7782" s="68"/>
      <c r="P7782" s="36" t="str">
        <f t="shared" si="770"/>
        <v/>
      </c>
      <c r="Q7782" s="216" t="str">
        <f t="shared" si="771"/>
        <v/>
      </c>
      <c r="R7782" s="216" t="str">
        <f t="shared" si="772"/>
        <v/>
      </c>
      <c r="S7782" s="217" t="str">
        <f t="shared" si="773"/>
        <v/>
      </c>
    </row>
    <row r="7783" spans="1:19" ht="15.75" hidden="1" thickBot="1" x14ac:dyDescent="0.3">
      <c r="A7783" s="256" t="s">
        <v>6875</v>
      </c>
      <c r="B7783" s="259" t="str">
        <f>INDEX(Orçamentária!A:B,MATCH(Composições!A7783,Orçamentária!A:A,0),2)</f>
        <v>Curva 90° PVC soldável 75 mm</v>
      </c>
      <c r="C7783" s="40"/>
      <c r="D7783" s="25" t="s">
        <v>16</v>
      </c>
      <c r="E7783" s="26"/>
      <c r="F7783" s="41" t="s">
        <v>416</v>
      </c>
      <c r="G7783" s="27" t="str">
        <f t="shared" si="768"/>
        <v/>
      </c>
      <c r="H7783" s="28"/>
      <c r="I7783" s="29"/>
      <c r="J7783" s="152">
        <v>0</v>
      </c>
      <c r="L7783" s="218"/>
      <c r="M7783" s="41"/>
      <c r="N7783" s="27" t="str">
        <f t="shared" si="769"/>
        <v/>
      </c>
      <c r="O7783" s="28"/>
      <c r="P7783" s="36" t="str">
        <f t="shared" si="770"/>
        <v/>
      </c>
      <c r="Q7783" s="216" t="str">
        <f t="shared" si="771"/>
        <v/>
      </c>
      <c r="R7783" s="216" t="str">
        <f t="shared" si="772"/>
        <v/>
      </c>
      <c r="S7783" s="217" t="str">
        <f t="shared" si="773"/>
        <v/>
      </c>
    </row>
    <row r="7784" spans="1:19" ht="15.75" hidden="1" thickBot="1" x14ac:dyDescent="0.3">
      <c r="A7784" s="262"/>
      <c r="B7784" s="260"/>
      <c r="C7784" s="31"/>
      <c r="D7784" s="31"/>
      <c r="E7784" s="32"/>
      <c r="F7784" s="42" t="s">
        <v>416</v>
      </c>
      <c r="G7784" s="33" t="str">
        <f t="shared" si="768"/>
        <v/>
      </c>
      <c r="H7784" s="34"/>
      <c r="I7784" s="30"/>
      <c r="J7784" s="152">
        <v>0</v>
      </c>
      <c r="L7784" s="219"/>
      <c r="M7784" s="42"/>
      <c r="N7784" s="33" t="str">
        <f t="shared" si="769"/>
        <v/>
      </c>
      <c r="O7784" s="34"/>
      <c r="P7784" s="36" t="str">
        <f t="shared" si="770"/>
        <v/>
      </c>
      <c r="Q7784" s="216" t="str">
        <f t="shared" si="771"/>
        <v/>
      </c>
      <c r="R7784" s="216" t="str">
        <f t="shared" si="772"/>
        <v/>
      </c>
      <c r="S7784" s="217" t="str">
        <f t="shared" si="773"/>
        <v/>
      </c>
    </row>
    <row r="7785" spans="1:19" ht="26.25" hidden="1" thickBot="1" x14ac:dyDescent="0.3">
      <c r="A7785" s="262"/>
      <c r="B7785" s="260"/>
      <c r="C7785" s="35" t="s">
        <v>8107</v>
      </c>
      <c r="D7785" s="35" t="s">
        <v>213</v>
      </c>
      <c r="E7785" s="36">
        <v>1</v>
      </c>
      <c r="F7785" s="30">
        <v>51.737000000000002</v>
      </c>
      <c r="G7785" s="33">
        <f t="shared" si="768"/>
        <v>51.737000000000002</v>
      </c>
      <c r="H7785" s="38">
        <f>SUM(G7785:G7785)</f>
        <v>51.737000000000002</v>
      </c>
      <c r="I7785" s="39"/>
      <c r="J7785" s="152">
        <v>0</v>
      </c>
      <c r="L7785" s="215">
        <v>1</v>
      </c>
      <c r="M7785" s="30">
        <v>44.286872000000002</v>
      </c>
      <c r="N7785" s="33">
        <f t="shared" si="769"/>
        <v>44.286872000000002</v>
      </c>
      <c r="O7785" s="38">
        <f>SUM(N7785:N7785)</f>
        <v>44.286872000000002</v>
      </c>
      <c r="P7785" s="36" t="str">
        <f t="shared" si="770"/>
        <v/>
      </c>
      <c r="Q7785" s="216">
        <f t="shared" si="771"/>
        <v>0.14400000000000002</v>
      </c>
      <c r="R7785" s="216">
        <f t="shared" si="772"/>
        <v>0.14400000000000002</v>
      </c>
      <c r="S7785" s="217">
        <f t="shared" si="773"/>
        <v>0.14400000000000002</v>
      </c>
    </row>
    <row r="7786" spans="1:19" ht="15.75" hidden="1" thickBot="1" x14ac:dyDescent="0.3">
      <c r="A7786" s="263"/>
      <c r="B7786" s="261"/>
      <c r="C7786" s="54"/>
      <c r="D7786" s="54"/>
      <c r="E7786" s="65"/>
      <c r="F7786" s="66" t="s">
        <v>416</v>
      </c>
      <c r="G7786" s="67" t="str">
        <f t="shared" si="768"/>
        <v/>
      </c>
      <c r="H7786" s="68"/>
      <c r="I7786" s="30"/>
      <c r="J7786" s="152">
        <v>0</v>
      </c>
      <c r="L7786" s="222"/>
      <c r="M7786" s="66"/>
      <c r="N7786" s="67" t="str">
        <f t="shared" si="769"/>
        <v/>
      </c>
      <c r="O7786" s="68"/>
      <c r="P7786" s="36" t="str">
        <f t="shared" si="770"/>
        <v/>
      </c>
      <c r="Q7786" s="216" t="str">
        <f t="shared" si="771"/>
        <v/>
      </c>
      <c r="R7786" s="216" t="str">
        <f t="shared" si="772"/>
        <v/>
      </c>
      <c r="S7786" s="217" t="str">
        <f t="shared" si="773"/>
        <v/>
      </c>
    </row>
    <row r="7787" spans="1:19" ht="15.75" hidden="1" thickBot="1" x14ac:dyDescent="0.3">
      <c r="A7787" s="256" t="s">
        <v>6876</v>
      </c>
      <c r="B7787" s="259" t="str">
        <f>INDEX(Orçamentária!A:B,MATCH(Composições!A7787,Orçamentária!A:A,0),2)</f>
        <v>Tê PVC soldável 75 mm</v>
      </c>
      <c r="C7787" s="40"/>
      <c r="D7787" s="25" t="s">
        <v>16</v>
      </c>
      <c r="E7787" s="26"/>
      <c r="F7787" s="41" t="s">
        <v>416</v>
      </c>
      <c r="G7787" s="27" t="str">
        <f t="shared" si="768"/>
        <v/>
      </c>
      <c r="H7787" s="28"/>
      <c r="I7787" s="29"/>
      <c r="J7787" s="152">
        <v>0</v>
      </c>
      <c r="L7787" s="218"/>
      <c r="M7787" s="41"/>
      <c r="N7787" s="27" t="str">
        <f t="shared" si="769"/>
        <v/>
      </c>
      <c r="O7787" s="28"/>
      <c r="P7787" s="36" t="str">
        <f t="shared" si="770"/>
        <v/>
      </c>
      <c r="Q7787" s="216" t="str">
        <f t="shared" si="771"/>
        <v/>
      </c>
      <c r="R7787" s="216" t="str">
        <f t="shared" si="772"/>
        <v/>
      </c>
      <c r="S7787" s="217" t="str">
        <f t="shared" si="773"/>
        <v/>
      </c>
    </row>
    <row r="7788" spans="1:19" ht="15.75" hidden="1" thickBot="1" x14ac:dyDescent="0.3">
      <c r="A7788" s="262"/>
      <c r="B7788" s="260"/>
      <c r="C7788" s="31"/>
      <c r="D7788" s="31"/>
      <c r="E7788" s="32"/>
      <c r="F7788" s="42" t="s">
        <v>416</v>
      </c>
      <c r="G7788" s="33" t="str">
        <f t="shared" si="768"/>
        <v/>
      </c>
      <c r="H7788" s="34"/>
      <c r="I7788" s="30"/>
      <c r="J7788" s="152">
        <v>0</v>
      </c>
      <c r="L7788" s="219"/>
      <c r="M7788" s="42"/>
      <c r="N7788" s="33" t="str">
        <f t="shared" si="769"/>
        <v/>
      </c>
      <c r="O7788" s="34"/>
      <c r="P7788" s="36" t="str">
        <f t="shared" si="770"/>
        <v/>
      </c>
      <c r="Q7788" s="216" t="str">
        <f t="shared" si="771"/>
        <v/>
      </c>
      <c r="R7788" s="216" t="str">
        <f t="shared" si="772"/>
        <v/>
      </c>
      <c r="S7788" s="217" t="str">
        <f t="shared" si="773"/>
        <v/>
      </c>
    </row>
    <row r="7789" spans="1:19" ht="26.25" hidden="1" thickBot="1" x14ac:dyDescent="0.3">
      <c r="A7789" s="262"/>
      <c r="B7789" s="260"/>
      <c r="C7789" s="35" t="s">
        <v>8414</v>
      </c>
      <c r="D7789" s="35" t="s">
        <v>213</v>
      </c>
      <c r="E7789" s="36">
        <v>1</v>
      </c>
      <c r="F7789" s="30">
        <v>56.753</v>
      </c>
      <c r="G7789" s="33">
        <f t="shared" si="768"/>
        <v>56.753</v>
      </c>
      <c r="H7789" s="38">
        <f>SUM(G7789:G7789)</f>
        <v>56.753</v>
      </c>
      <c r="I7789" s="39"/>
      <c r="J7789" s="152">
        <v>0</v>
      </c>
      <c r="L7789" s="215">
        <v>1</v>
      </c>
      <c r="M7789" s="30">
        <v>48.580568</v>
      </c>
      <c r="N7789" s="33">
        <f t="shared" si="769"/>
        <v>48.580568</v>
      </c>
      <c r="O7789" s="38">
        <f>SUM(N7789:N7789)</f>
        <v>48.580568</v>
      </c>
      <c r="P7789" s="36" t="str">
        <f t="shared" si="770"/>
        <v/>
      </c>
      <c r="Q7789" s="216">
        <f t="shared" si="771"/>
        <v>0.14400000000000002</v>
      </c>
      <c r="R7789" s="216">
        <f t="shared" si="772"/>
        <v>0.14400000000000002</v>
      </c>
      <c r="S7789" s="217">
        <f t="shared" si="773"/>
        <v>0.14400000000000002</v>
      </c>
    </row>
    <row r="7790" spans="1:19" ht="15.75" hidden="1" thickBot="1" x14ac:dyDescent="0.3">
      <c r="A7790" s="263"/>
      <c r="B7790" s="261"/>
      <c r="C7790" s="54"/>
      <c r="D7790" s="54"/>
      <c r="E7790" s="65"/>
      <c r="F7790" s="66" t="s">
        <v>416</v>
      </c>
      <c r="G7790" s="67" t="str">
        <f t="shared" si="768"/>
        <v/>
      </c>
      <c r="H7790" s="68"/>
      <c r="I7790" s="30"/>
      <c r="J7790" s="152">
        <v>0</v>
      </c>
      <c r="L7790" s="222"/>
      <c r="M7790" s="66"/>
      <c r="N7790" s="67" t="str">
        <f t="shared" si="769"/>
        <v/>
      </c>
      <c r="O7790" s="68"/>
      <c r="P7790" s="36" t="str">
        <f t="shared" si="770"/>
        <v/>
      </c>
      <c r="Q7790" s="216" t="str">
        <f t="shared" si="771"/>
        <v/>
      </c>
      <c r="R7790" s="216" t="str">
        <f t="shared" si="772"/>
        <v/>
      </c>
      <c r="S7790" s="217" t="str">
        <f t="shared" si="773"/>
        <v/>
      </c>
    </row>
    <row r="7791" spans="1:19" ht="15.75" hidden="1" thickBot="1" x14ac:dyDescent="0.3">
      <c r="A7791" s="256" t="s">
        <v>6877</v>
      </c>
      <c r="B7791" s="259" t="str">
        <f>INDEX(Orçamentária!A:B,MATCH(Composições!A7791,Orçamentária!A:A,0),2)</f>
        <v>Luva simples PVC soldável 75 mm</v>
      </c>
      <c r="C7791" s="40"/>
      <c r="D7791" s="25" t="s">
        <v>16</v>
      </c>
      <c r="E7791" s="26"/>
      <c r="F7791" s="41" t="s">
        <v>416</v>
      </c>
      <c r="G7791" s="27" t="str">
        <f t="shared" si="768"/>
        <v/>
      </c>
      <c r="H7791" s="28"/>
      <c r="I7791" s="29"/>
      <c r="J7791" s="152">
        <v>0</v>
      </c>
      <c r="L7791" s="218"/>
      <c r="M7791" s="41"/>
      <c r="N7791" s="27" t="str">
        <f t="shared" si="769"/>
        <v/>
      </c>
      <c r="O7791" s="28"/>
      <c r="P7791" s="36" t="str">
        <f t="shared" si="770"/>
        <v/>
      </c>
      <c r="Q7791" s="216" t="str">
        <f t="shared" si="771"/>
        <v/>
      </c>
      <c r="R7791" s="216" t="str">
        <f t="shared" si="772"/>
        <v/>
      </c>
      <c r="S7791" s="217" t="str">
        <f t="shared" si="773"/>
        <v/>
      </c>
    </row>
    <row r="7792" spans="1:19" ht="15.75" hidden="1" thickBot="1" x14ac:dyDescent="0.3">
      <c r="A7792" s="262"/>
      <c r="B7792" s="260"/>
      <c r="C7792" s="31"/>
      <c r="D7792" s="31"/>
      <c r="E7792" s="32"/>
      <c r="F7792" s="42" t="s">
        <v>416</v>
      </c>
      <c r="G7792" s="33" t="str">
        <f t="shared" si="768"/>
        <v/>
      </c>
      <c r="H7792" s="34"/>
      <c r="I7792" s="30"/>
      <c r="J7792" s="152">
        <v>0</v>
      </c>
      <c r="L7792" s="219"/>
      <c r="M7792" s="42"/>
      <c r="N7792" s="33" t="str">
        <f t="shared" si="769"/>
        <v/>
      </c>
      <c r="O7792" s="34"/>
      <c r="P7792" s="36" t="str">
        <f t="shared" si="770"/>
        <v/>
      </c>
      <c r="Q7792" s="216" t="str">
        <f t="shared" si="771"/>
        <v/>
      </c>
      <c r="R7792" s="216" t="str">
        <f t="shared" si="772"/>
        <v/>
      </c>
      <c r="S7792" s="217" t="str">
        <f t="shared" si="773"/>
        <v/>
      </c>
    </row>
    <row r="7793" spans="1:19" ht="15.75" hidden="1" thickBot="1" x14ac:dyDescent="0.3">
      <c r="A7793" s="262"/>
      <c r="B7793" s="260"/>
      <c r="C7793" s="35" t="s">
        <v>8274</v>
      </c>
      <c r="D7793" s="35" t="s">
        <v>213</v>
      </c>
      <c r="E7793" s="36">
        <v>1</v>
      </c>
      <c r="F7793" s="30">
        <v>19.303999999999998</v>
      </c>
      <c r="G7793" s="33">
        <f t="shared" si="768"/>
        <v>19.303999999999998</v>
      </c>
      <c r="H7793" s="38">
        <f>SUM(G7793:G7793)</f>
        <v>19.303999999999998</v>
      </c>
      <c r="I7793" s="39"/>
      <c r="J7793" s="152">
        <v>0</v>
      </c>
      <c r="L7793" s="215">
        <v>1</v>
      </c>
      <c r="M7793" s="30">
        <v>16.524224</v>
      </c>
      <c r="N7793" s="33">
        <f t="shared" si="769"/>
        <v>16.524224</v>
      </c>
      <c r="O7793" s="38">
        <f>SUM(N7793:N7793)</f>
        <v>16.524224</v>
      </c>
      <c r="P7793" s="36" t="str">
        <f t="shared" si="770"/>
        <v/>
      </c>
      <c r="Q7793" s="216">
        <f t="shared" si="771"/>
        <v>0.14399999999999991</v>
      </c>
      <c r="R7793" s="216">
        <f t="shared" si="772"/>
        <v>0.14399999999999991</v>
      </c>
      <c r="S7793" s="217">
        <f t="shared" si="773"/>
        <v>0.14399999999999991</v>
      </c>
    </row>
    <row r="7794" spans="1:19" ht="15.75" hidden="1" thickBot="1" x14ac:dyDescent="0.3">
      <c r="A7794" s="263"/>
      <c r="B7794" s="261"/>
      <c r="C7794" s="54"/>
      <c r="D7794" s="54"/>
      <c r="E7794" s="65"/>
      <c r="F7794" s="66" t="s">
        <v>416</v>
      </c>
      <c r="G7794" s="67" t="str">
        <f t="shared" si="768"/>
        <v/>
      </c>
      <c r="H7794" s="68"/>
      <c r="I7794" s="30"/>
      <c r="J7794" s="152">
        <v>0</v>
      </c>
      <c r="L7794" s="222"/>
      <c r="M7794" s="66"/>
      <c r="N7794" s="67" t="str">
        <f t="shared" si="769"/>
        <v/>
      </c>
      <c r="O7794" s="68"/>
      <c r="P7794" s="36" t="str">
        <f t="shared" si="770"/>
        <v/>
      </c>
      <c r="Q7794" s="216" t="str">
        <f t="shared" si="771"/>
        <v/>
      </c>
      <c r="R7794" s="216" t="str">
        <f t="shared" si="772"/>
        <v/>
      </c>
      <c r="S7794" s="217" t="str">
        <f t="shared" si="773"/>
        <v/>
      </c>
    </row>
    <row r="7795" spans="1:19" ht="15.75" hidden="1" thickBot="1" x14ac:dyDescent="0.3">
      <c r="A7795" s="256" t="s">
        <v>6878</v>
      </c>
      <c r="B7795" s="259" t="str">
        <f>INDEX(Orçamentária!A:B,MATCH(Composições!A7795,Orçamentária!A:A,0),2)</f>
        <v>Luva de correr PVC soldável 75 mm</v>
      </c>
      <c r="C7795" s="40"/>
      <c r="D7795" s="25" t="s">
        <v>16</v>
      </c>
      <c r="E7795" s="26"/>
      <c r="F7795" s="41" t="s">
        <v>416</v>
      </c>
      <c r="G7795" s="27" t="str">
        <f t="shared" si="768"/>
        <v/>
      </c>
      <c r="H7795" s="28"/>
      <c r="I7795" s="29"/>
      <c r="J7795" s="152">
        <v>0</v>
      </c>
      <c r="L7795" s="218"/>
      <c r="M7795" s="41"/>
      <c r="N7795" s="27" t="str">
        <f t="shared" si="769"/>
        <v/>
      </c>
      <c r="O7795" s="28"/>
      <c r="P7795" s="36" t="str">
        <f t="shared" si="770"/>
        <v/>
      </c>
      <c r="Q7795" s="216" t="str">
        <f t="shared" si="771"/>
        <v/>
      </c>
      <c r="R7795" s="216" t="str">
        <f t="shared" si="772"/>
        <v/>
      </c>
      <c r="S7795" s="217" t="str">
        <f t="shared" si="773"/>
        <v/>
      </c>
    </row>
    <row r="7796" spans="1:19" ht="15.75" hidden="1" thickBot="1" x14ac:dyDescent="0.3">
      <c r="A7796" s="262"/>
      <c r="B7796" s="260"/>
      <c r="C7796" s="31"/>
      <c r="D7796" s="31"/>
      <c r="E7796" s="32"/>
      <c r="F7796" s="42" t="s">
        <v>416</v>
      </c>
      <c r="G7796" s="33" t="str">
        <f t="shared" si="768"/>
        <v/>
      </c>
      <c r="H7796" s="34"/>
      <c r="I7796" s="30"/>
      <c r="J7796" s="152">
        <v>0</v>
      </c>
      <c r="L7796" s="219"/>
      <c r="M7796" s="42"/>
      <c r="N7796" s="33" t="str">
        <f t="shared" si="769"/>
        <v/>
      </c>
      <c r="O7796" s="34"/>
      <c r="P7796" s="36" t="str">
        <f t="shared" si="770"/>
        <v/>
      </c>
      <c r="Q7796" s="216" t="str">
        <f t="shared" si="771"/>
        <v/>
      </c>
      <c r="R7796" s="216" t="str">
        <f t="shared" si="772"/>
        <v/>
      </c>
      <c r="S7796" s="217" t="str">
        <f t="shared" si="773"/>
        <v/>
      </c>
    </row>
    <row r="7797" spans="1:19" ht="26.25" hidden="1" thickBot="1" x14ac:dyDescent="0.3">
      <c r="A7797" s="262"/>
      <c r="B7797" s="260"/>
      <c r="C7797" s="35" t="s">
        <v>8247</v>
      </c>
      <c r="D7797" s="35" t="s">
        <v>213</v>
      </c>
      <c r="E7797" s="36">
        <v>1</v>
      </c>
      <c r="F7797" s="30">
        <v>34.6845</v>
      </c>
      <c r="G7797" s="33">
        <f t="shared" si="768"/>
        <v>34.6845</v>
      </c>
      <c r="H7797" s="38">
        <f>SUM(G7797:G7797)</f>
        <v>34.6845</v>
      </c>
      <c r="I7797" s="39"/>
      <c r="J7797" s="152">
        <v>0</v>
      </c>
      <c r="L7797" s="215">
        <v>1</v>
      </c>
      <c r="M7797" s="30">
        <v>29.689931999999999</v>
      </c>
      <c r="N7797" s="33">
        <f t="shared" si="769"/>
        <v>29.689931999999999</v>
      </c>
      <c r="O7797" s="38">
        <f>SUM(N7797:N7797)</f>
        <v>29.689931999999999</v>
      </c>
      <c r="P7797" s="36" t="str">
        <f t="shared" si="770"/>
        <v/>
      </c>
      <c r="Q7797" s="216">
        <f t="shared" si="771"/>
        <v>0.14400000000000002</v>
      </c>
      <c r="R7797" s="216">
        <f t="shared" si="772"/>
        <v>0.14400000000000002</v>
      </c>
      <c r="S7797" s="217">
        <f t="shared" si="773"/>
        <v>0.14400000000000002</v>
      </c>
    </row>
    <row r="7798" spans="1:19" ht="15.75" hidden="1" thickBot="1" x14ac:dyDescent="0.3">
      <c r="A7798" s="263"/>
      <c r="B7798" s="261"/>
      <c r="C7798" s="54"/>
      <c r="D7798" s="54"/>
      <c r="E7798" s="65"/>
      <c r="F7798" s="66" t="s">
        <v>416</v>
      </c>
      <c r="G7798" s="67" t="str">
        <f t="shared" si="768"/>
        <v/>
      </c>
      <c r="H7798" s="68"/>
      <c r="I7798" s="30"/>
      <c r="J7798" s="152">
        <v>0</v>
      </c>
      <c r="L7798" s="222"/>
      <c r="M7798" s="66"/>
      <c r="N7798" s="67" t="str">
        <f t="shared" si="769"/>
        <v/>
      </c>
      <c r="O7798" s="68"/>
      <c r="P7798" s="36" t="str">
        <f t="shared" si="770"/>
        <v/>
      </c>
      <c r="Q7798" s="216" t="str">
        <f t="shared" si="771"/>
        <v/>
      </c>
      <c r="R7798" s="216" t="str">
        <f t="shared" si="772"/>
        <v/>
      </c>
      <c r="S7798" s="217" t="str">
        <f t="shared" si="773"/>
        <v/>
      </c>
    </row>
    <row r="7799" spans="1:19" ht="15.75" hidden="1" thickBot="1" x14ac:dyDescent="0.3">
      <c r="A7799" s="256" t="s">
        <v>6879</v>
      </c>
      <c r="B7799" s="259" t="str">
        <f>INDEX(Orçamentária!A:B,MATCH(Composições!A7799,Orçamentária!A:A,0),2)</f>
        <v>União PVC soldável 75 mm</v>
      </c>
      <c r="C7799" s="40"/>
      <c r="D7799" s="25" t="s">
        <v>16</v>
      </c>
      <c r="E7799" s="26"/>
      <c r="F7799" s="41" t="s">
        <v>416</v>
      </c>
      <c r="G7799" s="27" t="str">
        <f t="shared" si="768"/>
        <v/>
      </c>
      <c r="H7799" s="28"/>
      <c r="I7799" s="29"/>
      <c r="J7799" s="152">
        <v>0</v>
      </c>
      <c r="L7799" s="218"/>
      <c r="M7799" s="41"/>
      <c r="N7799" s="27" t="str">
        <f t="shared" si="769"/>
        <v/>
      </c>
      <c r="O7799" s="28"/>
      <c r="P7799" s="36" t="str">
        <f t="shared" si="770"/>
        <v/>
      </c>
      <c r="Q7799" s="216" t="str">
        <f t="shared" si="771"/>
        <v/>
      </c>
      <c r="R7799" s="216" t="str">
        <f t="shared" si="772"/>
        <v/>
      </c>
      <c r="S7799" s="217" t="str">
        <f t="shared" si="773"/>
        <v/>
      </c>
    </row>
    <row r="7800" spans="1:19" ht="15.75" hidden="1" thickBot="1" x14ac:dyDescent="0.3">
      <c r="A7800" s="262"/>
      <c r="B7800" s="260"/>
      <c r="C7800" s="31"/>
      <c r="D7800" s="31"/>
      <c r="E7800" s="32"/>
      <c r="F7800" s="42" t="s">
        <v>416</v>
      </c>
      <c r="G7800" s="33" t="str">
        <f t="shared" si="768"/>
        <v/>
      </c>
      <c r="H7800" s="34"/>
      <c r="I7800" s="30"/>
      <c r="J7800" s="152">
        <v>0</v>
      </c>
      <c r="L7800" s="219"/>
      <c r="M7800" s="42"/>
      <c r="N7800" s="33" t="str">
        <f t="shared" si="769"/>
        <v/>
      </c>
      <c r="O7800" s="34"/>
      <c r="P7800" s="36" t="str">
        <f t="shared" si="770"/>
        <v/>
      </c>
      <c r="Q7800" s="216" t="str">
        <f t="shared" si="771"/>
        <v/>
      </c>
      <c r="R7800" s="216" t="str">
        <f t="shared" si="772"/>
        <v/>
      </c>
      <c r="S7800" s="217" t="str">
        <f t="shared" si="773"/>
        <v/>
      </c>
    </row>
    <row r="7801" spans="1:19" ht="15.75" hidden="1" thickBot="1" x14ac:dyDescent="0.3">
      <c r="A7801" s="262"/>
      <c r="B7801" s="260"/>
      <c r="C7801" s="35" t="s">
        <v>8567</v>
      </c>
      <c r="D7801" s="35" t="s">
        <v>213</v>
      </c>
      <c r="E7801" s="36">
        <v>1</v>
      </c>
      <c r="F7801" s="30">
        <v>144.69450000000001</v>
      </c>
      <c r="G7801" s="33">
        <f t="shared" si="768"/>
        <v>144.69450000000001</v>
      </c>
      <c r="H7801" s="38">
        <f>SUM(G7801:G7801)</f>
        <v>144.69450000000001</v>
      </c>
      <c r="I7801" s="39"/>
      <c r="J7801" s="152">
        <v>0</v>
      </c>
      <c r="L7801" s="215">
        <v>1</v>
      </c>
      <c r="M7801" s="30">
        <v>123.85849200000001</v>
      </c>
      <c r="N7801" s="33">
        <f t="shared" si="769"/>
        <v>123.85849200000001</v>
      </c>
      <c r="O7801" s="38">
        <f>SUM(N7801:N7801)</f>
        <v>123.85849200000001</v>
      </c>
      <c r="P7801" s="36" t="str">
        <f t="shared" si="770"/>
        <v/>
      </c>
      <c r="Q7801" s="216">
        <f t="shared" si="771"/>
        <v>0.14399999999999991</v>
      </c>
      <c r="R7801" s="216">
        <f t="shared" si="772"/>
        <v>0.14399999999999991</v>
      </c>
      <c r="S7801" s="217">
        <f t="shared" si="773"/>
        <v>0.14399999999999991</v>
      </c>
    </row>
    <row r="7802" spans="1:19" ht="15.75" hidden="1" thickBot="1" x14ac:dyDescent="0.3">
      <c r="A7802" s="263"/>
      <c r="B7802" s="261"/>
      <c r="C7802" s="54"/>
      <c r="D7802" s="54"/>
      <c r="E7802" s="65"/>
      <c r="F7802" s="66" t="s">
        <v>416</v>
      </c>
      <c r="G7802" s="67" t="str">
        <f t="shared" si="768"/>
        <v/>
      </c>
      <c r="H7802" s="68"/>
      <c r="I7802" s="30"/>
      <c r="J7802" s="152">
        <v>0</v>
      </c>
      <c r="L7802" s="222"/>
      <c r="M7802" s="66"/>
      <c r="N7802" s="67" t="str">
        <f t="shared" si="769"/>
        <v/>
      </c>
      <c r="O7802" s="68"/>
      <c r="P7802" s="36" t="str">
        <f t="shared" si="770"/>
        <v/>
      </c>
      <c r="Q7802" s="216" t="str">
        <f t="shared" si="771"/>
        <v/>
      </c>
      <c r="R7802" s="216" t="str">
        <f t="shared" si="772"/>
        <v/>
      </c>
      <c r="S7802" s="217" t="str">
        <f t="shared" si="773"/>
        <v/>
      </c>
    </row>
    <row r="7803" spans="1:19" ht="15.75" hidden="1" thickBot="1" x14ac:dyDescent="0.3">
      <c r="A7803" s="256" t="s">
        <v>6880</v>
      </c>
      <c r="B7803" s="259" t="str">
        <f>INDEX(Orçamentária!A:B,MATCH(Composições!A7803,Orçamentária!A:A,0),2)</f>
        <v>Bucha de redução curta PVC soldável de 75 mm x 60 mm</v>
      </c>
      <c r="C7803" s="40"/>
      <c r="D7803" s="25" t="s">
        <v>16</v>
      </c>
      <c r="E7803" s="26"/>
      <c r="F7803" s="41" t="s">
        <v>416</v>
      </c>
      <c r="G7803" s="27" t="str">
        <f t="shared" si="768"/>
        <v/>
      </c>
      <c r="H7803" s="28"/>
      <c r="I7803" s="29"/>
      <c r="J7803" s="152">
        <v>0</v>
      </c>
      <c r="L7803" s="218"/>
      <c r="M7803" s="41"/>
      <c r="N7803" s="27" t="str">
        <f t="shared" si="769"/>
        <v/>
      </c>
      <c r="O7803" s="28"/>
      <c r="P7803" s="36" t="str">
        <f t="shared" si="770"/>
        <v/>
      </c>
      <c r="Q7803" s="216" t="str">
        <f t="shared" si="771"/>
        <v/>
      </c>
      <c r="R7803" s="216" t="str">
        <f t="shared" si="772"/>
        <v/>
      </c>
      <c r="S7803" s="217" t="str">
        <f t="shared" si="773"/>
        <v/>
      </c>
    </row>
    <row r="7804" spans="1:19" ht="15.75" hidden="1" thickBot="1" x14ac:dyDescent="0.3">
      <c r="A7804" s="262"/>
      <c r="B7804" s="260"/>
      <c r="C7804" s="31"/>
      <c r="D7804" s="31"/>
      <c r="E7804" s="32"/>
      <c r="F7804" s="42" t="s">
        <v>416</v>
      </c>
      <c r="G7804" s="33" t="str">
        <f t="shared" si="768"/>
        <v/>
      </c>
      <c r="H7804" s="34"/>
      <c r="I7804" s="30"/>
      <c r="J7804" s="152">
        <v>0</v>
      </c>
      <c r="L7804" s="219"/>
      <c r="M7804" s="42"/>
      <c r="N7804" s="33" t="str">
        <f t="shared" si="769"/>
        <v/>
      </c>
      <c r="O7804" s="34"/>
      <c r="P7804" s="36" t="str">
        <f t="shared" si="770"/>
        <v/>
      </c>
      <c r="Q7804" s="216" t="str">
        <f t="shared" si="771"/>
        <v/>
      </c>
      <c r="R7804" s="216" t="str">
        <f t="shared" si="772"/>
        <v/>
      </c>
      <c r="S7804" s="217" t="str">
        <f t="shared" si="773"/>
        <v/>
      </c>
    </row>
    <row r="7805" spans="1:19" ht="15.75" hidden="1" thickBot="1" x14ac:dyDescent="0.3">
      <c r="A7805" s="262"/>
      <c r="B7805" s="260"/>
      <c r="C7805" s="35" t="s">
        <v>7938</v>
      </c>
      <c r="D7805" s="35" t="s">
        <v>16</v>
      </c>
      <c r="E7805" s="36">
        <v>1</v>
      </c>
      <c r="F7805" s="30">
        <v>0</v>
      </c>
      <c r="G7805" s="33">
        <f t="shared" si="768"/>
        <v>0</v>
      </c>
      <c r="H7805" s="38">
        <f>SUM(G7805:G7805)</f>
        <v>0</v>
      </c>
      <c r="I7805" s="39"/>
      <c r="J7805" s="152">
        <v>0</v>
      </c>
      <c r="L7805" s="215">
        <v>1</v>
      </c>
      <c r="M7805" s="30">
        <v>0</v>
      </c>
      <c r="N7805" s="33">
        <f t="shared" si="769"/>
        <v>0</v>
      </c>
      <c r="O7805" s="38">
        <f>SUM(N7805:N7805)</f>
        <v>0</v>
      </c>
      <c r="P7805" s="36" t="str">
        <f t="shared" si="770"/>
        <v/>
      </c>
      <c r="Q7805" s="216" t="e">
        <f t="shared" si="771"/>
        <v>#DIV/0!</v>
      </c>
      <c r="R7805" s="216" t="e">
        <f t="shared" si="772"/>
        <v>#DIV/0!</v>
      </c>
      <c r="S7805" s="217" t="e">
        <f t="shared" si="773"/>
        <v>#DIV/0!</v>
      </c>
    </row>
    <row r="7806" spans="1:19" ht="15.75" hidden="1" thickBot="1" x14ac:dyDescent="0.3">
      <c r="A7806" s="263"/>
      <c r="B7806" s="261"/>
      <c r="C7806" s="54"/>
      <c r="D7806" s="54"/>
      <c r="E7806" s="65"/>
      <c r="F7806" s="66" t="s">
        <v>416</v>
      </c>
      <c r="G7806" s="67" t="str">
        <f t="shared" si="768"/>
        <v/>
      </c>
      <c r="H7806" s="68"/>
      <c r="I7806" s="30"/>
      <c r="J7806" s="152">
        <v>0</v>
      </c>
      <c r="L7806" s="222"/>
      <c r="M7806" s="66"/>
      <c r="N7806" s="67" t="str">
        <f t="shared" si="769"/>
        <v/>
      </c>
      <c r="O7806" s="68"/>
      <c r="P7806" s="36" t="str">
        <f t="shared" si="770"/>
        <v/>
      </c>
      <c r="Q7806" s="216" t="str">
        <f t="shared" si="771"/>
        <v/>
      </c>
      <c r="R7806" s="216" t="str">
        <f t="shared" si="772"/>
        <v/>
      </c>
      <c r="S7806" s="217" t="str">
        <f t="shared" si="773"/>
        <v/>
      </c>
    </row>
    <row r="7807" spans="1:19" ht="15.75" hidden="1" thickBot="1" x14ac:dyDescent="0.3">
      <c r="A7807" s="256" t="s">
        <v>6881</v>
      </c>
      <c r="B7807" s="259" t="str">
        <f>INDEX(Orçamentária!A:B,MATCH(Composições!A7807,Orçamentária!A:A,0),2)</f>
        <v>Adaptador PVC soldável, curto com bolsa e rosca para Registro 75 mm x 2 1/2”</v>
      </c>
      <c r="C7807" s="40"/>
      <c r="D7807" s="25" t="s">
        <v>16</v>
      </c>
      <c r="E7807" s="26"/>
      <c r="F7807" s="41" t="s">
        <v>416</v>
      </c>
      <c r="G7807" s="27" t="str">
        <f t="shared" si="768"/>
        <v/>
      </c>
      <c r="H7807" s="28"/>
      <c r="I7807" s="29"/>
      <c r="J7807" s="152">
        <v>0</v>
      </c>
      <c r="L7807" s="218"/>
      <c r="M7807" s="41"/>
      <c r="N7807" s="27" t="str">
        <f t="shared" si="769"/>
        <v/>
      </c>
      <c r="O7807" s="28"/>
      <c r="P7807" s="36" t="str">
        <f t="shared" si="770"/>
        <v/>
      </c>
      <c r="Q7807" s="216" t="str">
        <f t="shared" si="771"/>
        <v/>
      </c>
      <c r="R7807" s="216" t="str">
        <f t="shared" si="772"/>
        <v/>
      </c>
      <c r="S7807" s="217" t="str">
        <f t="shared" si="773"/>
        <v/>
      </c>
    </row>
    <row r="7808" spans="1:19" ht="15.75" hidden="1" thickBot="1" x14ac:dyDescent="0.3">
      <c r="A7808" s="262"/>
      <c r="B7808" s="260"/>
      <c r="C7808" s="31"/>
      <c r="D7808" s="31"/>
      <c r="E7808" s="32"/>
      <c r="F7808" s="42" t="s">
        <v>416</v>
      </c>
      <c r="G7808" s="33" t="str">
        <f t="shared" si="768"/>
        <v/>
      </c>
      <c r="H7808" s="34"/>
      <c r="I7808" s="30"/>
      <c r="J7808" s="152">
        <v>0</v>
      </c>
      <c r="L7808" s="219"/>
      <c r="M7808" s="42"/>
      <c r="N7808" s="33" t="str">
        <f t="shared" si="769"/>
        <v/>
      </c>
      <c r="O7808" s="34"/>
      <c r="P7808" s="36" t="str">
        <f t="shared" si="770"/>
        <v/>
      </c>
      <c r="Q7808" s="216" t="str">
        <f t="shared" si="771"/>
        <v/>
      </c>
      <c r="R7808" s="216" t="str">
        <f t="shared" si="772"/>
        <v/>
      </c>
      <c r="S7808" s="217" t="str">
        <f t="shared" si="773"/>
        <v/>
      </c>
    </row>
    <row r="7809" spans="1:19" ht="26.25" hidden="1" thickBot="1" x14ac:dyDescent="0.3">
      <c r="A7809" s="262"/>
      <c r="B7809" s="260"/>
      <c r="C7809" s="35" t="s">
        <v>7965</v>
      </c>
      <c r="D7809" s="35" t="s">
        <v>213</v>
      </c>
      <c r="E7809" s="36">
        <v>1</v>
      </c>
      <c r="F7809" s="30">
        <v>19.209</v>
      </c>
      <c r="G7809" s="33">
        <f t="shared" si="768"/>
        <v>19.209</v>
      </c>
      <c r="H7809" s="38">
        <f>SUM(G7809:G7809)</f>
        <v>19.209</v>
      </c>
      <c r="I7809" s="39"/>
      <c r="J7809" s="152">
        <v>0</v>
      </c>
      <c r="L7809" s="215">
        <v>1</v>
      </c>
      <c r="M7809" s="30">
        <v>16.442903999999999</v>
      </c>
      <c r="N7809" s="33">
        <f t="shared" si="769"/>
        <v>16.442903999999999</v>
      </c>
      <c r="O7809" s="38">
        <f>SUM(N7809:N7809)</f>
        <v>16.442903999999999</v>
      </c>
      <c r="P7809" s="36" t="str">
        <f t="shared" si="770"/>
        <v/>
      </c>
      <c r="Q7809" s="216">
        <f t="shared" si="771"/>
        <v>0.14400000000000002</v>
      </c>
      <c r="R7809" s="216">
        <f t="shared" si="772"/>
        <v>0.14400000000000002</v>
      </c>
      <c r="S7809" s="217">
        <f t="shared" si="773"/>
        <v>0.14400000000000002</v>
      </c>
    </row>
    <row r="7810" spans="1:19" ht="15.75" hidden="1" thickBot="1" x14ac:dyDescent="0.3">
      <c r="A7810" s="263"/>
      <c r="B7810" s="261"/>
      <c r="C7810" s="54"/>
      <c r="D7810" s="54"/>
      <c r="E7810" s="65"/>
      <c r="F7810" s="66" t="s">
        <v>416</v>
      </c>
      <c r="G7810" s="67" t="str">
        <f t="shared" ref="G7810:G7873" si="774">IF(ISNUMBER(F7810),E7810*F7810,"")</f>
        <v/>
      </c>
      <c r="H7810" s="68"/>
      <c r="I7810" s="30"/>
      <c r="J7810" s="152">
        <v>0</v>
      </c>
      <c r="L7810" s="222"/>
      <c r="M7810" s="66"/>
      <c r="N7810" s="67" t="str">
        <f t="shared" ref="N7810:N7873" si="775">IF(ISNUMBER(M7810),L7810*M7810,"")</f>
        <v/>
      </c>
      <c r="O7810" s="68"/>
      <c r="P7810" s="36" t="str">
        <f t="shared" si="770"/>
        <v/>
      </c>
      <c r="Q7810" s="216" t="str">
        <f t="shared" si="771"/>
        <v/>
      </c>
      <c r="R7810" s="216" t="str">
        <f t="shared" si="772"/>
        <v/>
      </c>
      <c r="S7810" s="217" t="str">
        <f t="shared" si="773"/>
        <v/>
      </c>
    </row>
    <row r="7811" spans="1:19" ht="15.75" hidden="1" thickBot="1" x14ac:dyDescent="0.3">
      <c r="A7811" s="256" t="s">
        <v>6882</v>
      </c>
      <c r="B7811" s="259" t="str">
        <f>INDEX(Orçamentária!A:B,MATCH(Composições!A7811,Orçamentária!A:A,0),2)</f>
        <v>Adaptador Flange Caixa Dágua Soldável 75 mm x 2 1/2”</v>
      </c>
      <c r="C7811" s="40"/>
      <c r="D7811" s="25" t="s">
        <v>16</v>
      </c>
      <c r="E7811" s="26"/>
      <c r="F7811" s="41" t="s">
        <v>416</v>
      </c>
      <c r="G7811" s="27" t="str">
        <f t="shared" si="774"/>
        <v/>
      </c>
      <c r="H7811" s="28"/>
      <c r="I7811" s="29"/>
      <c r="J7811" s="152">
        <v>0</v>
      </c>
      <c r="L7811" s="218"/>
      <c r="M7811" s="41"/>
      <c r="N7811" s="27" t="str">
        <f t="shared" si="775"/>
        <v/>
      </c>
      <c r="O7811" s="28"/>
      <c r="P7811" s="36" t="str">
        <f t="shared" si="770"/>
        <v/>
      </c>
      <c r="Q7811" s="216" t="str">
        <f t="shared" si="771"/>
        <v/>
      </c>
      <c r="R7811" s="216" t="str">
        <f t="shared" si="772"/>
        <v/>
      </c>
      <c r="S7811" s="217" t="str">
        <f t="shared" si="773"/>
        <v/>
      </c>
    </row>
    <row r="7812" spans="1:19" ht="15.75" hidden="1" thickBot="1" x14ac:dyDescent="0.3">
      <c r="A7812" s="262"/>
      <c r="B7812" s="260"/>
      <c r="C7812" s="31"/>
      <c r="D7812" s="31"/>
      <c r="E7812" s="32"/>
      <c r="F7812" s="42" t="s">
        <v>416</v>
      </c>
      <c r="G7812" s="33" t="str">
        <f t="shared" si="774"/>
        <v/>
      </c>
      <c r="H7812" s="34"/>
      <c r="I7812" s="30"/>
      <c r="J7812" s="152">
        <v>0</v>
      </c>
      <c r="L7812" s="219"/>
      <c r="M7812" s="42"/>
      <c r="N7812" s="33" t="str">
        <f t="shared" si="775"/>
        <v/>
      </c>
      <c r="O7812" s="34"/>
      <c r="P7812" s="36" t="str">
        <f t="shared" si="770"/>
        <v/>
      </c>
      <c r="Q7812" s="216" t="str">
        <f t="shared" si="771"/>
        <v/>
      </c>
      <c r="R7812" s="216" t="str">
        <f t="shared" si="772"/>
        <v/>
      </c>
      <c r="S7812" s="217" t="str">
        <f t="shared" si="773"/>
        <v/>
      </c>
    </row>
    <row r="7813" spans="1:19" ht="26.25" hidden="1" thickBot="1" x14ac:dyDescent="0.3">
      <c r="A7813" s="262"/>
      <c r="B7813" s="260"/>
      <c r="C7813" s="35" t="s">
        <v>8568</v>
      </c>
      <c r="D7813" s="35" t="s">
        <v>213</v>
      </c>
      <c r="E7813" s="36">
        <v>1</v>
      </c>
      <c r="F7813" s="30">
        <v>211.03299999999999</v>
      </c>
      <c r="G7813" s="33">
        <f t="shared" si="774"/>
        <v>211.03299999999999</v>
      </c>
      <c r="H7813" s="38">
        <f>SUM(G7813:G7813)</f>
        <v>211.03299999999999</v>
      </c>
      <c r="I7813" s="39"/>
      <c r="J7813" s="152">
        <v>0</v>
      </c>
      <c r="L7813" s="215">
        <v>1</v>
      </c>
      <c r="M7813" s="30">
        <v>180.644248</v>
      </c>
      <c r="N7813" s="33">
        <f t="shared" si="775"/>
        <v>180.644248</v>
      </c>
      <c r="O7813" s="38">
        <f>SUM(N7813:N7813)</f>
        <v>180.644248</v>
      </c>
      <c r="P7813" s="36" t="str">
        <f t="shared" si="770"/>
        <v/>
      </c>
      <c r="Q7813" s="216">
        <f t="shared" si="771"/>
        <v>0.14399999999999991</v>
      </c>
      <c r="R7813" s="216">
        <f t="shared" si="772"/>
        <v>0.14399999999999991</v>
      </c>
      <c r="S7813" s="217">
        <f t="shared" si="773"/>
        <v>0.14399999999999991</v>
      </c>
    </row>
    <row r="7814" spans="1:19" ht="15.75" hidden="1" thickBot="1" x14ac:dyDescent="0.3">
      <c r="A7814" s="263"/>
      <c r="B7814" s="261"/>
      <c r="C7814" s="54"/>
      <c r="D7814" s="54"/>
      <c r="E7814" s="65"/>
      <c r="F7814" s="66" t="s">
        <v>416</v>
      </c>
      <c r="G7814" s="67" t="str">
        <f t="shared" si="774"/>
        <v/>
      </c>
      <c r="H7814" s="68"/>
      <c r="I7814" s="30"/>
      <c r="J7814" s="152">
        <v>0</v>
      </c>
      <c r="L7814" s="222"/>
      <c r="M7814" s="66"/>
      <c r="N7814" s="67" t="str">
        <f t="shared" si="775"/>
        <v/>
      </c>
      <c r="O7814" s="68"/>
      <c r="P7814" s="36" t="str">
        <f t="shared" si="770"/>
        <v/>
      </c>
      <c r="Q7814" s="216" t="str">
        <f t="shared" si="771"/>
        <v/>
      </c>
      <c r="R7814" s="216" t="str">
        <f t="shared" si="772"/>
        <v/>
      </c>
      <c r="S7814" s="217" t="str">
        <f t="shared" si="773"/>
        <v/>
      </c>
    </row>
    <row r="7815" spans="1:19" ht="15.75" hidden="1" thickBot="1" x14ac:dyDescent="0.3">
      <c r="A7815" s="256" t="s">
        <v>6883</v>
      </c>
      <c r="B7815" s="259" t="str">
        <f>INDEX(Orçamentária!A:B,MATCH(Composições!A7815,Orçamentária!A:A,0),2)</f>
        <v>Joelho 90° PVC soldável 85 mm</v>
      </c>
      <c r="C7815" s="40"/>
      <c r="D7815" s="25" t="s">
        <v>16</v>
      </c>
      <c r="E7815" s="26"/>
      <c r="F7815" s="41" t="s">
        <v>416</v>
      </c>
      <c r="G7815" s="27" t="str">
        <f t="shared" si="774"/>
        <v/>
      </c>
      <c r="H7815" s="28"/>
      <c r="I7815" s="29"/>
      <c r="J7815" s="152">
        <v>0</v>
      </c>
      <c r="L7815" s="218"/>
      <c r="M7815" s="41"/>
      <c r="N7815" s="27" t="str">
        <f t="shared" si="775"/>
        <v/>
      </c>
      <c r="O7815" s="28"/>
      <c r="P7815" s="36" t="str">
        <f t="shared" si="770"/>
        <v/>
      </c>
      <c r="Q7815" s="216" t="str">
        <f t="shared" si="771"/>
        <v/>
      </c>
      <c r="R7815" s="216" t="str">
        <f t="shared" si="772"/>
        <v/>
      </c>
      <c r="S7815" s="217" t="str">
        <f t="shared" si="773"/>
        <v/>
      </c>
    </row>
    <row r="7816" spans="1:19" ht="15.75" hidden="1" thickBot="1" x14ac:dyDescent="0.3">
      <c r="A7816" s="262"/>
      <c r="B7816" s="260"/>
      <c r="C7816" s="31"/>
      <c r="D7816" s="31"/>
      <c r="E7816" s="32"/>
      <c r="F7816" s="42" t="s">
        <v>416</v>
      </c>
      <c r="G7816" s="33" t="str">
        <f t="shared" si="774"/>
        <v/>
      </c>
      <c r="H7816" s="34"/>
      <c r="I7816" s="30"/>
      <c r="J7816" s="152">
        <v>0</v>
      </c>
      <c r="L7816" s="219"/>
      <c r="M7816" s="42"/>
      <c r="N7816" s="33" t="str">
        <f t="shared" si="775"/>
        <v/>
      </c>
      <c r="O7816" s="34"/>
      <c r="P7816" s="36" t="str">
        <f t="shared" ref="P7816:P7879" si="776">IF(ISBLANK(L7816),"",IF($E7816&lt;&gt;L7816,"SIM",""))</f>
        <v/>
      </c>
      <c r="Q7816" s="216" t="str">
        <f t="shared" ref="Q7816:Q7879" si="777">IF(M7816="","",1-M7816/$F7816)</f>
        <v/>
      </c>
      <c r="R7816" s="216" t="str">
        <f t="shared" ref="R7816:R7879" si="778">IF(N7816="","",1-N7816/$G7816)</f>
        <v/>
      </c>
      <c r="S7816" s="217" t="str">
        <f t="shared" ref="S7816:S7879" si="779">IF(O7816="","",1-O7816/$H7816)</f>
        <v/>
      </c>
    </row>
    <row r="7817" spans="1:19" ht="26.25" hidden="1" thickBot="1" x14ac:dyDescent="0.3">
      <c r="A7817" s="262"/>
      <c r="B7817" s="260"/>
      <c r="C7817" s="35" t="s">
        <v>8204</v>
      </c>
      <c r="D7817" s="35" t="s">
        <v>213</v>
      </c>
      <c r="E7817" s="36">
        <v>1</v>
      </c>
      <c r="F7817" s="30">
        <v>100.86149999999999</v>
      </c>
      <c r="G7817" s="33">
        <f t="shared" si="774"/>
        <v>100.86149999999999</v>
      </c>
      <c r="H7817" s="38">
        <f>SUM(G7817:G7817)</f>
        <v>100.86149999999999</v>
      </c>
      <c r="I7817" s="39"/>
      <c r="J7817" s="152">
        <v>0</v>
      </c>
      <c r="L7817" s="215">
        <v>1</v>
      </c>
      <c r="M7817" s="30">
        <v>86.337443999999991</v>
      </c>
      <c r="N7817" s="33">
        <f t="shared" si="775"/>
        <v>86.337443999999991</v>
      </c>
      <c r="O7817" s="38">
        <f>SUM(N7817:N7817)</f>
        <v>86.337443999999991</v>
      </c>
      <c r="P7817" s="36" t="str">
        <f t="shared" si="776"/>
        <v/>
      </c>
      <c r="Q7817" s="216">
        <f t="shared" si="777"/>
        <v>0.14400000000000002</v>
      </c>
      <c r="R7817" s="216">
        <f t="shared" si="778"/>
        <v>0.14400000000000002</v>
      </c>
      <c r="S7817" s="217">
        <f t="shared" si="779"/>
        <v>0.14400000000000002</v>
      </c>
    </row>
    <row r="7818" spans="1:19" ht="15.75" hidden="1" thickBot="1" x14ac:dyDescent="0.3">
      <c r="A7818" s="263"/>
      <c r="B7818" s="261"/>
      <c r="C7818" s="54"/>
      <c r="D7818" s="54"/>
      <c r="E7818" s="65"/>
      <c r="F7818" s="66" t="s">
        <v>416</v>
      </c>
      <c r="G7818" s="67" t="str">
        <f t="shared" si="774"/>
        <v/>
      </c>
      <c r="H7818" s="68"/>
      <c r="I7818" s="30"/>
      <c r="J7818" s="152">
        <v>0</v>
      </c>
      <c r="L7818" s="222"/>
      <c r="M7818" s="66"/>
      <c r="N7818" s="67" t="str">
        <f t="shared" si="775"/>
        <v/>
      </c>
      <c r="O7818" s="68"/>
      <c r="P7818" s="36" t="str">
        <f t="shared" si="776"/>
        <v/>
      </c>
      <c r="Q7818" s="216" t="str">
        <f t="shared" si="777"/>
        <v/>
      </c>
      <c r="R7818" s="216" t="str">
        <f t="shared" si="778"/>
        <v/>
      </c>
      <c r="S7818" s="217" t="str">
        <f t="shared" si="779"/>
        <v/>
      </c>
    </row>
    <row r="7819" spans="1:19" ht="15.75" hidden="1" thickBot="1" x14ac:dyDescent="0.3">
      <c r="A7819" s="256" t="s">
        <v>6884</v>
      </c>
      <c r="B7819" s="259" t="str">
        <f>INDEX(Orçamentária!A:B,MATCH(Composições!A7819,Orçamentária!A:A,0),2)</f>
        <v>Cap PVC soldável 85 mm</v>
      </c>
      <c r="C7819" s="40"/>
      <c r="D7819" s="25" t="s">
        <v>16</v>
      </c>
      <c r="E7819" s="26"/>
      <c r="F7819" s="41" t="s">
        <v>416</v>
      </c>
      <c r="G7819" s="27" t="str">
        <f t="shared" si="774"/>
        <v/>
      </c>
      <c r="H7819" s="28"/>
      <c r="I7819" s="29"/>
      <c r="J7819" s="152">
        <v>0</v>
      </c>
      <c r="L7819" s="218"/>
      <c r="M7819" s="41"/>
      <c r="N7819" s="27" t="str">
        <f t="shared" si="775"/>
        <v/>
      </c>
      <c r="O7819" s="28"/>
      <c r="P7819" s="36" t="str">
        <f t="shared" si="776"/>
        <v/>
      </c>
      <c r="Q7819" s="216" t="str">
        <f t="shared" si="777"/>
        <v/>
      </c>
      <c r="R7819" s="216" t="str">
        <f t="shared" si="778"/>
        <v/>
      </c>
      <c r="S7819" s="217" t="str">
        <f t="shared" si="779"/>
        <v/>
      </c>
    </row>
    <row r="7820" spans="1:19" ht="15.75" hidden="1" thickBot="1" x14ac:dyDescent="0.3">
      <c r="A7820" s="262"/>
      <c r="B7820" s="260"/>
      <c r="C7820" s="31"/>
      <c r="D7820" s="31"/>
      <c r="E7820" s="32"/>
      <c r="F7820" s="42" t="s">
        <v>416</v>
      </c>
      <c r="G7820" s="33" t="str">
        <f t="shared" si="774"/>
        <v/>
      </c>
      <c r="H7820" s="34"/>
      <c r="I7820" s="30"/>
      <c r="J7820" s="152">
        <v>0</v>
      </c>
      <c r="L7820" s="219"/>
      <c r="M7820" s="42"/>
      <c r="N7820" s="33" t="str">
        <f t="shared" si="775"/>
        <v/>
      </c>
      <c r="O7820" s="34"/>
      <c r="P7820" s="36" t="str">
        <f t="shared" si="776"/>
        <v/>
      </c>
      <c r="Q7820" s="216" t="str">
        <f t="shared" si="777"/>
        <v/>
      </c>
      <c r="R7820" s="216" t="str">
        <f t="shared" si="778"/>
        <v/>
      </c>
      <c r="S7820" s="217" t="str">
        <f t="shared" si="779"/>
        <v/>
      </c>
    </row>
    <row r="7821" spans="1:19" ht="26.25" hidden="1" thickBot="1" x14ac:dyDescent="0.3">
      <c r="A7821" s="262"/>
      <c r="B7821" s="260"/>
      <c r="C7821" s="35" t="s">
        <v>8569</v>
      </c>
      <c r="D7821" s="35" t="s">
        <v>213</v>
      </c>
      <c r="E7821" s="36">
        <v>1</v>
      </c>
      <c r="F7821" s="30">
        <v>22.514999999999997</v>
      </c>
      <c r="G7821" s="33">
        <f t="shared" si="774"/>
        <v>22.514999999999997</v>
      </c>
      <c r="H7821" s="38">
        <f>SUM(G7821:G7821)</f>
        <v>22.514999999999997</v>
      </c>
      <c r="I7821" s="39"/>
      <c r="J7821" s="152">
        <v>0</v>
      </c>
      <c r="L7821" s="215">
        <v>1</v>
      </c>
      <c r="M7821" s="30">
        <v>19.272839999999999</v>
      </c>
      <c r="N7821" s="33">
        <f t="shared" si="775"/>
        <v>19.272839999999999</v>
      </c>
      <c r="O7821" s="38">
        <f>SUM(N7821:N7821)</f>
        <v>19.272839999999999</v>
      </c>
      <c r="P7821" s="36" t="str">
        <f t="shared" si="776"/>
        <v/>
      </c>
      <c r="Q7821" s="216">
        <f t="shared" si="777"/>
        <v>0.14399999999999991</v>
      </c>
      <c r="R7821" s="216">
        <f t="shared" si="778"/>
        <v>0.14399999999999991</v>
      </c>
      <c r="S7821" s="217">
        <f t="shared" si="779"/>
        <v>0.14399999999999991</v>
      </c>
    </row>
    <row r="7822" spans="1:19" ht="15.75" hidden="1" thickBot="1" x14ac:dyDescent="0.3">
      <c r="A7822" s="263"/>
      <c r="B7822" s="261"/>
      <c r="C7822" s="54"/>
      <c r="D7822" s="54"/>
      <c r="E7822" s="65"/>
      <c r="F7822" s="66" t="s">
        <v>416</v>
      </c>
      <c r="G7822" s="67" t="str">
        <f t="shared" si="774"/>
        <v/>
      </c>
      <c r="H7822" s="68"/>
      <c r="I7822" s="30"/>
      <c r="J7822" s="152">
        <v>0</v>
      </c>
      <c r="L7822" s="222"/>
      <c r="M7822" s="66"/>
      <c r="N7822" s="67" t="str">
        <f t="shared" si="775"/>
        <v/>
      </c>
      <c r="O7822" s="68"/>
      <c r="P7822" s="36" t="str">
        <f t="shared" si="776"/>
        <v/>
      </c>
      <c r="Q7822" s="216" t="str">
        <f t="shared" si="777"/>
        <v/>
      </c>
      <c r="R7822" s="216" t="str">
        <f t="shared" si="778"/>
        <v/>
      </c>
      <c r="S7822" s="217" t="str">
        <f t="shared" si="779"/>
        <v/>
      </c>
    </row>
    <row r="7823" spans="1:19" ht="15.75" hidden="1" thickBot="1" x14ac:dyDescent="0.3">
      <c r="A7823" s="256" t="s">
        <v>6885</v>
      </c>
      <c r="B7823" s="259" t="str">
        <f>INDEX(Orçamentária!A:B,MATCH(Composições!A7823,Orçamentária!A:A,0),2)</f>
        <v>Joelho 45° PVC soldável 85 mm</v>
      </c>
      <c r="C7823" s="40"/>
      <c r="D7823" s="25" t="s">
        <v>16</v>
      </c>
      <c r="E7823" s="26"/>
      <c r="F7823" s="41" t="s">
        <v>416</v>
      </c>
      <c r="G7823" s="27" t="str">
        <f t="shared" si="774"/>
        <v/>
      </c>
      <c r="H7823" s="28"/>
      <c r="I7823" s="29"/>
      <c r="J7823" s="152">
        <v>0</v>
      </c>
      <c r="L7823" s="218"/>
      <c r="M7823" s="41"/>
      <c r="N7823" s="27" t="str">
        <f t="shared" si="775"/>
        <v/>
      </c>
      <c r="O7823" s="28"/>
      <c r="P7823" s="36" t="str">
        <f t="shared" si="776"/>
        <v/>
      </c>
      <c r="Q7823" s="216" t="str">
        <f t="shared" si="777"/>
        <v/>
      </c>
      <c r="R7823" s="216" t="str">
        <f t="shared" si="778"/>
        <v/>
      </c>
      <c r="S7823" s="217" t="str">
        <f t="shared" si="779"/>
        <v/>
      </c>
    </row>
    <row r="7824" spans="1:19" ht="15.75" hidden="1" thickBot="1" x14ac:dyDescent="0.3">
      <c r="A7824" s="262"/>
      <c r="B7824" s="260"/>
      <c r="C7824" s="31"/>
      <c r="D7824" s="31"/>
      <c r="E7824" s="32"/>
      <c r="F7824" s="42" t="s">
        <v>416</v>
      </c>
      <c r="G7824" s="33" t="str">
        <f t="shared" si="774"/>
        <v/>
      </c>
      <c r="H7824" s="34"/>
      <c r="I7824" s="30"/>
      <c r="J7824" s="152">
        <v>0</v>
      </c>
      <c r="L7824" s="219"/>
      <c r="M7824" s="42"/>
      <c r="N7824" s="33" t="str">
        <f t="shared" si="775"/>
        <v/>
      </c>
      <c r="O7824" s="34"/>
      <c r="P7824" s="36" t="str">
        <f t="shared" si="776"/>
        <v/>
      </c>
      <c r="Q7824" s="216" t="str">
        <f t="shared" si="777"/>
        <v/>
      </c>
      <c r="R7824" s="216" t="str">
        <f t="shared" si="778"/>
        <v/>
      </c>
      <c r="S7824" s="217" t="str">
        <f t="shared" si="779"/>
        <v/>
      </c>
    </row>
    <row r="7825" spans="1:19" ht="26.25" hidden="1" thickBot="1" x14ac:dyDescent="0.3">
      <c r="A7825" s="262"/>
      <c r="B7825" s="260"/>
      <c r="C7825" s="35" t="s">
        <v>8211</v>
      </c>
      <c r="D7825" s="35" t="s">
        <v>213</v>
      </c>
      <c r="E7825" s="36">
        <v>1</v>
      </c>
      <c r="F7825" s="30">
        <v>79.533999999999992</v>
      </c>
      <c r="G7825" s="33">
        <f t="shared" si="774"/>
        <v>79.533999999999992</v>
      </c>
      <c r="H7825" s="38">
        <f>SUM(G7825:G7825)</f>
        <v>79.533999999999992</v>
      </c>
      <c r="I7825" s="39"/>
      <c r="J7825" s="152">
        <v>0</v>
      </c>
      <c r="L7825" s="215">
        <v>1</v>
      </c>
      <c r="M7825" s="30">
        <v>68.081103999999996</v>
      </c>
      <c r="N7825" s="33">
        <f t="shared" si="775"/>
        <v>68.081103999999996</v>
      </c>
      <c r="O7825" s="38">
        <f>SUM(N7825:N7825)</f>
        <v>68.081103999999996</v>
      </c>
      <c r="P7825" s="36" t="str">
        <f t="shared" si="776"/>
        <v/>
      </c>
      <c r="Q7825" s="216">
        <f t="shared" si="777"/>
        <v>0.14399999999999991</v>
      </c>
      <c r="R7825" s="216">
        <f t="shared" si="778"/>
        <v>0.14399999999999991</v>
      </c>
      <c r="S7825" s="217">
        <f t="shared" si="779"/>
        <v>0.14399999999999991</v>
      </c>
    </row>
    <row r="7826" spans="1:19" ht="15.75" hidden="1" thickBot="1" x14ac:dyDescent="0.3">
      <c r="A7826" s="263"/>
      <c r="B7826" s="261"/>
      <c r="C7826" s="54"/>
      <c r="D7826" s="54"/>
      <c r="E7826" s="65"/>
      <c r="F7826" s="66" t="s">
        <v>416</v>
      </c>
      <c r="G7826" s="67" t="str">
        <f t="shared" si="774"/>
        <v/>
      </c>
      <c r="H7826" s="68"/>
      <c r="I7826" s="30"/>
      <c r="J7826" s="152">
        <v>0</v>
      </c>
      <c r="L7826" s="222"/>
      <c r="M7826" s="66"/>
      <c r="N7826" s="67" t="str">
        <f t="shared" si="775"/>
        <v/>
      </c>
      <c r="O7826" s="68"/>
      <c r="P7826" s="36" t="str">
        <f t="shared" si="776"/>
        <v/>
      </c>
      <c r="Q7826" s="216" t="str">
        <f t="shared" si="777"/>
        <v/>
      </c>
      <c r="R7826" s="216" t="str">
        <f t="shared" si="778"/>
        <v/>
      </c>
      <c r="S7826" s="217" t="str">
        <f t="shared" si="779"/>
        <v/>
      </c>
    </row>
    <row r="7827" spans="1:19" ht="15.75" hidden="1" thickBot="1" x14ac:dyDescent="0.3">
      <c r="A7827" s="256" t="s">
        <v>6886</v>
      </c>
      <c r="B7827" s="259" t="str">
        <f>INDEX(Orçamentária!A:B,MATCH(Composições!A7827,Orçamentária!A:A,0),2)</f>
        <v>Curva 90° PVC soldável 85 mm</v>
      </c>
      <c r="C7827" s="40"/>
      <c r="D7827" s="25" t="s">
        <v>16</v>
      </c>
      <c r="E7827" s="26"/>
      <c r="F7827" s="41" t="s">
        <v>416</v>
      </c>
      <c r="G7827" s="27" t="str">
        <f t="shared" si="774"/>
        <v/>
      </c>
      <c r="H7827" s="28"/>
      <c r="I7827" s="29"/>
      <c r="J7827" s="152">
        <v>0</v>
      </c>
      <c r="L7827" s="218"/>
      <c r="M7827" s="41"/>
      <c r="N7827" s="27" t="str">
        <f t="shared" si="775"/>
        <v/>
      </c>
      <c r="O7827" s="28"/>
      <c r="P7827" s="36" t="str">
        <f t="shared" si="776"/>
        <v/>
      </c>
      <c r="Q7827" s="216" t="str">
        <f t="shared" si="777"/>
        <v/>
      </c>
      <c r="R7827" s="216" t="str">
        <f t="shared" si="778"/>
        <v/>
      </c>
      <c r="S7827" s="217" t="str">
        <f t="shared" si="779"/>
        <v/>
      </c>
    </row>
    <row r="7828" spans="1:19" ht="15.75" hidden="1" thickBot="1" x14ac:dyDescent="0.3">
      <c r="A7828" s="262"/>
      <c r="B7828" s="260"/>
      <c r="C7828" s="31"/>
      <c r="D7828" s="31"/>
      <c r="E7828" s="32"/>
      <c r="F7828" s="42" t="s">
        <v>416</v>
      </c>
      <c r="G7828" s="33" t="str">
        <f t="shared" si="774"/>
        <v/>
      </c>
      <c r="H7828" s="34"/>
      <c r="I7828" s="30"/>
      <c r="J7828" s="152">
        <v>0</v>
      </c>
      <c r="L7828" s="219"/>
      <c r="M7828" s="42"/>
      <c r="N7828" s="33" t="str">
        <f t="shared" si="775"/>
        <v/>
      </c>
      <c r="O7828" s="34"/>
      <c r="P7828" s="36" t="str">
        <f t="shared" si="776"/>
        <v/>
      </c>
      <c r="Q7828" s="216" t="str">
        <f t="shared" si="777"/>
        <v/>
      </c>
      <c r="R7828" s="216" t="str">
        <f t="shared" si="778"/>
        <v/>
      </c>
      <c r="S7828" s="217" t="str">
        <f t="shared" si="779"/>
        <v/>
      </c>
    </row>
    <row r="7829" spans="1:19" ht="26.25" hidden="1" thickBot="1" x14ac:dyDescent="0.3">
      <c r="A7829" s="262"/>
      <c r="B7829" s="260"/>
      <c r="C7829" s="35" t="s">
        <v>8108</v>
      </c>
      <c r="D7829" s="35" t="s">
        <v>213</v>
      </c>
      <c r="E7829" s="36">
        <v>1</v>
      </c>
      <c r="F7829" s="30">
        <v>66.272000000000006</v>
      </c>
      <c r="G7829" s="33">
        <f t="shared" si="774"/>
        <v>66.272000000000006</v>
      </c>
      <c r="H7829" s="38">
        <f>SUM(G7829:G7829)</f>
        <v>66.272000000000006</v>
      </c>
      <c r="I7829" s="39"/>
      <c r="J7829" s="152">
        <v>0</v>
      </c>
      <c r="L7829" s="215">
        <v>1</v>
      </c>
      <c r="M7829" s="30">
        <v>56.728832000000004</v>
      </c>
      <c r="N7829" s="33">
        <f t="shared" si="775"/>
        <v>56.728832000000004</v>
      </c>
      <c r="O7829" s="38">
        <f>SUM(N7829:N7829)</f>
        <v>56.728832000000004</v>
      </c>
      <c r="P7829" s="36" t="str">
        <f t="shared" si="776"/>
        <v/>
      </c>
      <c r="Q7829" s="216">
        <f t="shared" si="777"/>
        <v>0.14400000000000002</v>
      </c>
      <c r="R7829" s="216">
        <f t="shared" si="778"/>
        <v>0.14400000000000002</v>
      </c>
      <c r="S7829" s="217">
        <f t="shared" si="779"/>
        <v>0.14400000000000002</v>
      </c>
    </row>
    <row r="7830" spans="1:19" ht="15.75" hidden="1" thickBot="1" x14ac:dyDescent="0.3">
      <c r="A7830" s="263"/>
      <c r="B7830" s="261"/>
      <c r="C7830" s="54"/>
      <c r="D7830" s="54"/>
      <c r="E7830" s="65"/>
      <c r="F7830" s="66" t="s">
        <v>416</v>
      </c>
      <c r="G7830" s="67" t="str">
        <f t="shared" si="774"/>
        <v/>
      </c>
      <c r="H7830" s="68"/>
      <c r="I7830" s="30"/>
      <c r="J7830" s="152">
        <v>0</v>
      </c>
      <c r="L7830" s="222"/>
      <c r="M7830" s="66"/>
      <c r="N7830" s="67" t="str">
        <f t="shared" si="775"/>
        <v/>
      </c>
      <c r="O7830" s="68"/>
      <c r="P7830" s="36" t="str">
        <f t="shared" si="776"/>
        <v/>
      </c>
      <c r="Q7830" s="216" t="str">
        <f t="shared" si="777"/>
        <v/>
      </c>
      <c r="R7830" s="216" t="str">
        <f t="shared" si="778"/>
        <v/>
      </c>
      <c r="S7830" s="217" t="str">
        <f t="shared" si="779"/>
        <v/>
      </c>
    </row>
    <row r="7831" spans="1:19" ht="15.75" hidden="1" thickBot="1" x14ac:dyDescent="0.3">
      <c r="A7831" s="256" t="s">
        <v>6887</v>
      </c>
      <c r="B7831" s="259" t="str">
        <f>INDEX(Orçamentária!A:B,MATCH(Composições!A7831,Orçamentária!A:A,0),2)</f>
        <v>Tê PVC soldável 85 mm</v>
      </c>
      <c r="C7831" s="40"/>
      <c r="D7831" s="25" t="s">
        <v>16</v>
      </c>
      <c r="E7831" s="26"/>
      <c r="F7831" s="41" t="s">
        <v>416</v>
      </c>
      <c r="G7831" s="27" t="str">
        <f t="shared" si="774"/>
        <v/>
      </c>
      <c r="H7831" s="28"/>
      <c r="I7831" s="29"/>
      <c r="J7831" s="152">
        <v>0</v>
      </c>
      <c r="L7831" s="218"/>
      <c r="M7831" s="41"/>
      <c r="N7831" s="27" t="str">
        <f t="shared" si="775"/>
        <v/>
      </c>
      <c r="O7831" s="28"/>
      <c r="P7831" s="36" t="str">
        <f t="shared" si="776"/>
        <v/>
      </c>
      <c r="Q7831" s="216" t="str">
        <f t="shared" si="777"/>
        <v/>
      </c>
      <c r="R7831" s="216" t="str">
        <f t="shared" si="778"/>
        <v/>
      </c>
      <c r="S7831" s="217" t="str">
        <f t="shared" si="779"/>
        <v/>
      </c>
    </row>
    <row r="7832" spans="1:19" ht="15.75" hidden="1" thickBot="1" x14ac:dyDescent="0.3">
      <c r="A7832" s="262"/>
      <c r="B7832" s="260"/>
      <c r="C7832" s="31"/>
      <c r="D7832" s="31"/>
      <c r="E7832" s="32"/>
      <c r="F7832" s="42" t="s">
        <v>416</v>
      </c>
      <c r="G7832" s="33" t="str">
        <f t="shared" si="774"/>
        <v/>
      </c>
      <c r="H7832" s="34"/>
      <c r="I7832" s="30"/>
      <c r="J7832" s="152">
        <v>0</v>
      </c>
      <c r="L7832" s="219"/>
      <c r="M7832" s="42"/>
      <c r="N7832" s="33" t="str">
        <f t="shared" si="775"/>
        <v/>
      </c>
      <c r="O7832" s="34"/>
      <c r="P7832" s="36" t="str">
        <f t="shared" si="776"/>
        <v/>
      </c>
      <c r="Q7832" s="216" t="str">
        <f t="shared" si="777"/>
        <v/>
      </c>
      <c r="R7832" s="216" t="str">
        <f t="shared" si="778"/>
        <v/>
      </c>
      <c r="S7832" s="217" t="str">
        <f t="shared" si="779"/>
        <v/>
      </c>
    </row>
    <row r="7833" spans="1:19" ht="26.25" hidden="1" thickBot="1" x14ac:dyDescent="0.3">
      <c r="A7833" s="262"/>
      <c r="B7833" s="260"/>
      <c r="C7833" s="35" t="s">
        <v>8415</v>
      </c>
      <c r="D7833" s="35" t="s">
        <v>213</v>
      </c>
      <c r="E7833" s="36">
        <v>1</v>
      </c>
      <c r="F7833" s="30">
        <v>77.168499999999995</v>
      </c>
      <c r="G7833" s="33">
        <f t="shared" si="774"/>
        <v>77.168499999999995</v>
      </c>
      <c r="H7833" s="38">
        <f>SUM(G7833:G7833)</f>
        <v>77.168499999999995</v>
      </c>
      <c r="I7833" s="39"/>
      <c r="J7833" s="152">
        <v>0</v>
      </c>
      <c r="L7833" s="215">
        <v>1</v>
      </c>
      <c r="M7833" s="30">
        <v>66.056235999999998</v>
      </c>
      <c r="N7833" s="33">
        <f t="shared" si="775"/>
        <v>66.056235999999998</v>
      </c>
      <c r="O7833" s="38">
        <f>SUM(N7833:N7833)</f>
        <v>66.056235999999998</v>
      </c>
      <c r="P7833" s="36" t="str">
        <f t="shared" si="776"/>
        <v/>
      </c>
      <c r="Q7833" s="216">
        <f t="shared" si="777"/>
        <v>0.14399999999999991</v>
      </c>
      <c r="R7833" s="216">
        <f t="shared" si="778"/>
        <v>0.14399999999999991</v>
      </c>
      <c r="S7833" s="217">
        <f t="shared" si="779"/>
        <v>0.14399999999999991</v>
      </c>
    </row>
    <row r="7834" spans="1:19" ht="15.75" hidden="1" thickBot="1" x14ac:dyDescent="0.3">
      <c r="A7834" s="263"/>
      <c r="B7834" s="261"/>
      <c r="C7834" s="54"/>
      <c r="D7834" s="54"/>
      <c r="E7834" s="65"/>
      <c r="F7834" s="66" t="s">
        <v>416</v>
      </c>
      <c r="G7834" s="67" t="str">
        <f t="shared" si="774"/>
        <v/>
      </c>
      <c r="H7834" s="68"/>
      <c r="I7834" s="30"/>
      <c r="J7834" s="152">
        <v>0</v>
      </c>
      <c r="L7834" s="222"/>
      <c r="M7834" s="66"/>
      <c r="N7834" s="67" t="str">
        <f t="shared" si="775"/>
        <v/>
      </c>
      <c r="O7834" s="68"/>
      <c r="P7834" s="36" t="str">
        <f t="shared" si="776"/>
        <v/>
      </c>
      <c r="Q7834" s="216" t="str">
        <f t="shared" si="777"/>
        <v/>
      </c>
      <c r="R7834" s="216" t="str">
        <f t="shared" si="778"/>
        <v/>
      </c>
      <c r="S7834" s="217" t="str">
        <f t="shared" si="779"/>
        <v/>
      </c>
    </row>
    <row r="7835" spans="1:19" ht="15.75" hidden="1" thickBot="1" x14ac:dyDescent="0.3">
      <c r="A7835" s="256" t="s">
        <v>6888</v>
      </c>
      <c r="B7835" s="259" t="str">
        <f>INDEX(Orçamentária!A:B,MATCH(Composições!A7835,Orçamentária!A:A,0),2)</f>
        <v>Luva simples PVC soldável 85 mm</v>
      </c>
      <c r="C7835" s="40"/>
      <c r="D7835" s="25" t="s">
        <v>16</v>
      </c>
      <c r="E7835" s="26"/>
      <c r="F7835" s="41" t="s">
        <v>416</v>
      </c>
      <c r="G7835" s="27" t="str">
        <f t="shared" si="774"/>
        <v/>
      </c>
      <c r="H7835" s="28"/>
      <c r="I7835" s="29"/>
      <c r="J7835" s="152">
        <v>0</v>
      </c>
      <c r="L7835" s="218"/>
      <c r="M7835" s="41"/>
      <c r="N7835" s="27" t="str">
        <f t="shared" si="775"/>
        <v/>
      </c>
      <c r="O7835" s="28"/>
      <c r="P7835" s="36" t="str">
        <f t="shared" si="776"/>
        <v/>
      </c>
      <c r="Q7835" s="216" t="str">
        <f t="shared" si="777"/>
        <v/>
      </c>
      <c r="R7835" s="216" t="str">
        <f t="shared" si="778"/>
        <v/>
      </c>
      <c r="S7835" s="217" t="str">
        <f t="shared" si="779"/>
        <v/>
      </c>
    </row>
    <row r="7836" spans="1:19" ht="15.75" hidden="1" thickBot="1" x14ac:dyDescent="0.3">
      <c r="A7836" s="262"/>
      <c r="B7836" s="260"/>
      <c r="C7836" s="31"/>
      <c r="D7836" s="31"/>
      <c r="E7836" s="32"/>
      <c r="F7836" s="42" t="s">
        <v>416</v>
      </c>
      <c r="G7836" s="33" t="str">
        <f t="shared" si="774"/>
        <v/>
      </c>
      <c r="H7836" s="34"/>
      <c r="I7836" s="30"/>
      <c r="J7836" s="152">
        <v>0</v>
      </c>
      <c r="L7836" s="219"/>
      <c r="M7836" s="42"/>
      <c r="N7836" s="33" t="str">
        <f t="shared" si="775"/>
        <v/>
      </c>
      <c r="O7836" s="34"/>
      <c r="P7836" s="36" t="str">
        <f t="shared" si="776"/>
        <v/>
      </c>
      <c r="Q7836" s="216" t="str">
        <f t="shared" si="777"/>
        <v/>
      </c>
      <c r="R7836" s="216" t="str">
        <f t="shared" si="778"/>
        <v/>
      </c>
      <c r="S7836" s="217" t="str">
        <f t="shared" si="779"/>
        <v/>
      </c>
    </row>
    <row r="7837" spans="1:19" ht="15.75" hidden="1" thickBot="1" x14ac:dyDescent="0.3">
      <c r="A7837" s="262"/>
      <c r="B7837" s="260"/>
      <c r="C7837" s="35" t="s">
        <v>8275</v>
      </c>
      <c r="D7837" s="35" t="s">
        <v>213</v>
      </c>
      <c r="E7837" s="36">
        <v>1</v>
      </c>
      <c r="F7837" s="30">
        <v>43.338999999999999</v>
      </c>
      <c r="G7837" s="33">
        <f t="shared" si="774"/>
        <v>43.338999999999999</v>
      </c>
      <c r="H7837" s="38">
        <f>SUM(G7837:G7837)</f>
        <v>43.338999999999999</v>
      </c>
      <c r="I7837" s="39"/>
      <c r="J7837" s="152">
        <v>0</v>
      </c>
      <c r="L7837" s="215">
        <v>1</v>
      </c>
      <c r="M7837" s="30">
        <v>37.098183999999996</v>
      </c>
      <c r="N7837" s="33">
        <f t="shared" si="775"/>
        <v>37.098183999999996</v>
      </c>
      <c r="O7837" s="38">
        <f>SUM(N7837:N7837)</f>
        <v>37.098183999999996</v>
      </c>
      <c r="P7837" s="36" t="str">
        <f t="shared" si="776"/>
        <v/>
      </c>
      <c r="Q7837" s="216">
        <f t="shared" si="777"/>
        <v>0.14400000000000002</v>
      </c>
      <c r="R7837" s="216">
        <f t="shared" si="778"/>
        <v>0.14400000000000002</v>
      </c>
      <c r="S7837" s="217">
        <f t="shared" si="779"/>
        <v>0.14400000000000002</v>
      </c>
    </row>
    <row r="7838" spans="1:19" ht="15.75" hidden="1" thickBot="1" x14ac:dyDescent="0.3">
      <c r="A7838" s="263"/>
      <c r="B7838" s="261"/>
      <c r="C7838" s="54"/>
      <c r="D7838" s="54"/>
      <c r="E7838" s="65"/>
      <c r="F7838" s="66" t="s">
        <v>416</v>
      </c>
      <c r="G7838" s="67" t="str">
        <f t="shared" si="774"/>
        <v/>
      </c>
      <c r="H7838" s="68"/>
      <c r="I7838" s="30"/>
      <c r="J7838" s="152">
        <v>0</v>
      </c>
      <c r="L7838" s="222"/>
      <c r="M7838" s="66"/>
      <c r="N7838" s="67" t="str">
        <f t="shared" si="775"/>
        <v/>
      </c>
      <c r="O7838" s="68"/>
      <c r="P7838" s="36" t="str">
        <f t="shared" si="776"/>
        <v/>
      </c>
      <c r="Q7838" s="216" t="str">
        <f t="shared" si="777"/>
        <v/>
      </c>
      <c r="R7838" s="216" t="str">
        <f t="shared" si="778"/>
        <v/>
      </c>
      <c r="S7838" s="217" t="str">
        <f t="shared" si="779"/>
        <v/>
      </c>
    </row>
    <row r="7839" spans="1:19" ht="15.75" hidden="1" thickBot="1" x14ac:dyDescent="0.3">
      <c r="A7839" s="256" t="s">
        <v>6889</v>
      </c>
      <c r="B7839" s="259" t="str">
        <f>INDEX(Orçamentária!A:B,MATCH(Composições!A7839,Orçamentária!A:A,0),2)</f>
        <v>Luva de correr PVC soldável 85 mm</v>
      </c>
      <c r="C7839" s="40"/>
      <c r="D7839" s="25" t="s">
        <v>16</v>
      </c>
      <c r="E7839" s="26"/>
      <c r="F7839" s="41" t="s">
        <v>416</v>
      </c>
      <c r="G7839" s="27" t="str">
        <f t="shared" si="774"/>
        <v/>
      </c>
      <c r="H7839" s="28"/>
      <c r="I7839" s="29"/>
      <c r="J7839" s="152">
        <v>0</v>
      </c>
      <c r="L7839" s="218"/>
      <c r="M7839" s="41"/>
      <c r="N7839" s="27" t="str">
        <f t="shared" si="775"/>
        <v/>
      </c>
      <c r="O7839" s="28"/>
      <c r="P7839" s="36" t="str">
        <f t="shared" si="776"/>
        <v/>
      </c>
      <c r="Q7839" s="216" t="str">
        <f t="shared" si="777"/>
        <v/>
      </c>
      <c r="R7839" s="216" t="str">
        <f t="shared" si="778"/>
        <v/>
      </c>
      <c r="S7839" s="217" t="str">
        <f t="shared" si="779"/>
        <v/>
      </c>
    </row>
    <row r="7840" spans="1:19" ht="15.75" hidden="1" thickBot="1" x14ac:dyDescent="0.3">
      <c r="A7840" s="262"/>
      <c r="B7840" s="260"/>
      <c r="C7840" s="31"/>
      <c r="D7840" s="31"/>
      <c r="E7840" s="32"/>
      <c r="F7840" s="42" t="s">
        <v>416</v>
      </c>
      <c r="G7840" s="33" t="str">
        <f t="shared" si="774"/>
        <v/>
      </c>
      <c r="H7840" s="34"/>
      <c r="I7840" s="30"/>
      <c r="J7840" s="152">
        <v>0</v>
      </c>
      <c r="L7840" s="219"/>
      <c r="M7840" s="42"/>
      <c r="N7840" s="33" t="str">
        <f t="shared" si="775"/>
        <v/>
      </c>
      <c r="O7840" s="34"/>
      <c r="P7840" s="36" t="str">
        <f t="shared" si="776"/>
        <v/>
      </c>
      <c r="Q7840" s="216" t="str">
        <f t="shared" si="777"/>
        <v/>
      </c>
      <c r="R7840" s="216" t="str">
        <f t="shared" si="778"/>
        <v/>
      </c>
      <c r="S7840" s="217" t="str">
        <f t="shared" si="779"/>
        <v/>
      </c>
    </row>
    <row r="7841" spans="1:19" ht="26.25" hidden="1" thickBot="1" x14ac:dyDescent="0.3">
      <c r="A7841" s="262"/>
      <c r="B7841" s="260"/>
      <c r="C7841" s="35" t="s">
        <v>8247</v>
      </c>
      <c r="D7841" s="35" t="s">
        <v>213</v>
      </c>
      <c r="E7841" s="36">
        <v>1</v>
      </c>
      <c r="F7841" s="30">
        <v>34.6845</v>
      </c>
      <c r="G7841" s="33">
        <f t="shared" si="774"/>
        <v>34.6845</v>
      </c>
      <c r="H7841" s="38">
        <f>SUM(G7841:G7841)</f>
        <v>34.6845</v>
      </c>
      <c r="I7841" s="39"/>
      <c r="J7841" s="152">
        <v>0</v>
      </c>
      <c r="L7841" s="215">
        <v>1</v>
      </c>
      <c r="M7841" s="30">
        <v>29.689931999999999</v>
      </c>
      <c r="N7841" s="33">
        <f t="shared" si="775"/>
        <v>29.689931999999999</v>
      </c>
      <c r="O7841" s="38">
        <f>SUM(N7841:N7841)</f>
        <v>29.689931999999999</v>
      </c>
      <c r="P7841" s="36" t="str">
        <f t="shared" si="776"/>
        <v/>
      </c>
      <c r="Q7841" s="216">
        <f t="shared" si="777"/>
        <v>0.14400000000000002</v>
      </c>
      <c r="R7841" s="216">
        <f t="shared" si="778"/>
        <v>0.14400000000000002</v>
      </c>
      <c r="S7841" s="217">
        <f t="shared" si="779"/>
        <v>0.14400000000000002</v>
      </c>
    </row>
    <row r="7842" spans="1:19" ht="15.75" hidden="1" thickBot="1" x14ac:dyDescent="0.3">
      <c r="A7842" s="263"/>
      <c r="B7842" s="261"/>
      <c r="C7842" s="54"/>
      <c r="D7842" s="54"/>
      <c r="E7842" s="65"/>
      <c r="F7842" s="66" t="s">
        <v>416</v>
      </c>
      <c r="G7842" s="67" t="str">
        <f t="shared" si="774"/>
        <v/>
      </c>
      <c r="H7842" s="68"/>
      <c r="I7842" s="30"/>
      <c r="J7842" s="152">
        <v>0</v>
      </c>
      <c r="L7842" s="222"/>
      <c r="M7842" s="66"/>
      <c r="N7842" s="67" t="str">
        <f t="shared" si="775"/>
        <v/>
      </c>
      <c r="O7842" s="68"/>
      <c r="P7842" s="36" t="str">
        <f t="shared" si="776"/>
        <v/>
      </c>
      <c r="Q7842" s="216" t="str">
        <f t="shared" si="777"/>
        <v/>
      </c>
      <c r="R7842" s="216" t="str">
        <f t="shared" si="778"/>
        <v/>
      </c>
      <c r="S7842" s="217" t="str">
        <f t="shared" si="779"/>
        <v/>
      </c>
    </row>
    <row r="7843" spans="1:19" ht="15.75" hidden="1" thickBot="1" x14ac:dyDescent="0.3">
      <c r="A7843" s="256" t="s">
        <v>6890</v>
      </c>
      <c r="B7843" s="259" t="str">
        <f>INDEX(Orçamentária!A:B,MATCH(Composições!A7843,Orçamentária!A:A,0),2)</f>
        <v>Bucha de redução curta PVC soldável de 85 mm x 75 mm</v>
      </c>
      <c r="C7843" s="40"/>
      <c r="D7843" s="25" t="s">
        <v>16</v>
      </c>
      <c r="E7843" s="26"/>
      <c r="F7843" s="41" t="s">
        <v>416</v>
      </c>
      <c r="G7843" s="27" t="str">
        <f t="shared" si="774"/>
        <v/>
      </c>
      <c r="H7843" s="28"/>
      <c r="I7843" s="29"/>
      <c r="J7843" s="152">
        <v>0</v>
      </c>
      <c r="L7843" s="218"/>
      <c r="M7843" s="41"/>
      <c r="N7843" s="27" t="str">
        <f t="shared" si="775"/>
        <v/>
      </c>
      <c r="O7843" s="28"/>
      <c r="P7843" s="36" t="str">
        <f t="shared" si="776"/>
        <v/>
      </c>
      <c r="Q7843" s="216" t="str">
        <f t="shared" si="777"/>
        <v/>
      </c>
      <c r="R7843" s="216" t="str">
        <f t="shared" si="778"/>
        <v/>
      </c>
      <c r="S7843" s="217" t="str">
        <f t="shared" si="779"/>
        <v/>
      </c>
    </row>
    <row r="7844" spans="1:19" ht="15.75" hidden="1" thickBot="1" x14ac:dyDescent="0.3">
      <c r="A7844" s="262"/>
      <c r="B7844" s="260"/>
      <c r="C7844" s="31"/>
      <c r="D7844" s="31"/>
      <c r="E7844" s="32"/>
      <c r="F7844" s="42" t="s">
        <v>416</v>
      </c>
      <c r="G7844" s="33" t="str">
        <f t="shared" si="774"/>
        <v/>
      </c>
      <c r="H7844" s="34"/>
      <c r="I7844" s="30"/>
      <c r="J7844" s="152">
        <v>0</v>
      </c>
      <c r="L7844" s="219"/>
      <c r="M7844" s="42"/>
      <c r="N7844" s="33" t="str">
        <f t="shared" si="775"/>
        <v/>
      </c>
      <c r="O7844" s="34"/>
      <c r="P7844" s="36" t="str">
        <f t="shared" si="776"/>
        <v/>
      </c>
      <c r="Q7844" s="216" t="str">
        <f t="shared" si="777"/>
        <v/>
      </c>
      <c r="R7844" s="216" t="str">
        <f t="shared" si="778"/>
        <v/>
      </c>
      <c r="S7844" s="217" t="str">
        <f t="shared" si="779"/>
        <v/>
      </c>
    </row>
    <row r="7845" spans="1:19" ht="15.75" hidden="1" thickBot="1" x14ac:dyDescent="0.3">
      <c r="A7845" s="262"/>
      <c r="B7845" s="260"/>
      <c r="C7845" s="35" t="s">
        <v>7939</v>
      </c>
      <c r="D7845" s="35" t="s">
        <v>16</v>
      </c>
      <c r="E7845" s="36">
        <v>1</v>
      </c>
      <c r="F7845" s="30">
        <v>0</v>
      </c>
      <c r="G7845" s="33">
        <f t="shared" si="774"/>
        <v>0</v>
      </c>
      <c r="H7845" s="38">
        <f>SUM(G7845:G7845)</f>
        <v>0</v>
      </c>
      <c r="I7845" s="39"/>
      <c r="J7845" s="152">
        <v>0</v>
      </c>
      <c r="L7845" s="215">
        <v>1</v>
      </c>
      <c r="M7845" s="30">
        <v>0</v>
      </c>
      <c r="N7845" s="33">
        <f t="shared" si="775"/>
        <v>0</v>
      </c>
      <c r="O7845" s="38">
        <f>SUM(N7845:N7845)</f>
        <v>0</v>
      </c>
      <c r="P7845" s="36" t="str">
        <f t="shared" si="776"/>
        <v/>
      </c>
      <c r="Q7845" s="216" t="e">
        <f t="shared" si="777"/>
        <v>#DIV/0!</v>
      </c>
      <c r="R7845" s="216" t="e">
        <f t="shared" si="778"/>
        <v>#DIV/0!</v>
      </c>
      <c r="S7845" s="217" t="e">
        <f t="shared" si="779"/>
        <v>#DIV/0!</v>
      </c>
    </row>
    <row r="7846" spans="1:19" ht="15.75" hidden="1" thickBot="1" x14ac:dyDescent="0.3">
      <c r="A7846" s="263"/>
      <c r="B7846" s="261"/>
      <c r="C7846" s="54"/>
      <c r="D7846" s="54"/>
      <c r="E7846" s="65"/>
      <c r="F7846" s="66" t="s">
        <v>416</v>
      </c>
      <c r="G7846" s="67" t="str">
        <f t="shared" si="774"/>
        <v/>
      </c>
      <c r="H7846" s="68"/>
      <c r="I7846" s="30"/>
      <c r="J7846" s="152">
        <v>0</v>
      </c>
      <c r="L7846" s="222"/>
      <c r="M7846" s="66"/>
      <c r="N7846" s="67" t="str">
        <f t="shared" si="775"/>
        <v/>
      </c>
      <c r="O7846" s="68"/>
      <c r="P7846" s="36" t="str">
        <f t="shared" si="776"/>
        <v/>
      </c>
      <c r="Q7846" s="216" t="str">
        <f t="shared" si="777"/>
        <v/>
      </c>
      <c r="R7846" s="216" t="str">
        <f t="shared" si="778"/>
        <v/>
      </c>
      <c r="S7846" s="217" t="str">
        <f t="shared" si="779"/>
        <v/>
      </c>
    </row>
    <row r="7847" spans="1:19" ht="15.75" hidden="1" thickBot="1" x14ac:dyDescent="0.3">
      <c r="A7847" s="256" t="s">
        <v>6891</v>
      </c>
      <c r="B7847" s="259" t="str">
        <f>INDEX(Orçamentária!A:B,MATCH(Composições!A7847,Orçamentária!A:A,0),2)</f>
        <v>Adaptador PVC soldável, curto com bolsa e rosca para Registro 85 mm x 3”</v>
      </c>
      <c r="C7847" s="40"/>
      <c r="D7847" s="25" t="s">
        <v>16</v>
      </c>
      <c r="E7847" s="26"/>
      <c r="F7847" s="41" t="s">
        <v>416</v>
      </c>
      <c r="G7847" s="27" t="str">
        <f t="shared" si="774"/>
        <v/>
      </c>
      <c r="H7847" s="28"/>
      <c r="I7847" s="29"/>
      <c r="J7847" s="152">
        <v>0</v>
      </c>
      <c r="L7847" s="218"/>
      <c r="M7847" s="41"/>
      <c r="N7847" s="27" t="str">
        <f t="shared" si="775"/>
        <v/>
      </c>
      <c r="O7847" s="28"/>
      <c r="P7847" s="36" t="str">
        <f t="shared" si="776"/>
        <v/>
      </c>
      <c r="Q7847" s="216" t="str">
        <f t="shared" si="777"/>
        <v/>
      </c>
      <c r="R7847" s="216" t="str">
        <f t="shared" si="778"/>
        <v/>
      </c>
      <c r="S7847" s="217" t="str">
        <f t="shared" si="779"/>
        <v/>
      </c>
    </row>
    <row r="7848" spans="1:19" ht="15.75" hidden="1" thickBot="1" x14ac:dyDescent="0.3">
      <c r="A7848" s="262"/>
      <c r="B7848" s="260"/>
      <c r="C7848" s="31"/>
      <c r="D7848" s="31"/>
      <c r="E7848" s="32"/>
      <c r="F7848" s="42" t="s">
        <v>416</v>
      </c>
      <c r="G7848" s="33" t="str">
        <f t="shared" si="774"/>
        <v/>
      </c>
      <c r="H7848" s="34"/>
      <c r="I7848" s="30"/>
      <c r="J7848" s="152">
        <v>0</v>
      </c>
      <c r="L7848" s="219"/>
      <c r="M7848" s="42"/>
      <c r="N7848" s="33" t="str">
        <f t="shared" si="775"/>
        <v/>
      </c>
      <c r="O7848" s="34"/>
      <c r="P7848" s="36" t="str">
        <f t="shared" si="776"/>
        <v/>
      </c>
      <c r="Q7848" s="216" t="str">
        <f t="shared" si="777"/>
        <v/>
      </c>
      <c r="R7848" s="216" t="str">
        <f t="shared" si="778"/>
        <v/>
      </c>
      <c r="S7848" s="217" t="str">
        <f t="shared" si="779"/>
        <v/>
      </c>
    </row>
    <row r="7849" spans="1:19" ht="26.25" hidden="1" thickBot="1" x14ac:dyDescent="0.3">
      <c r="A7849" s="262"/>
      <c r="B7849" s="260"/>
      <c r="C7849" s="35" t="s">
        <v>7966</v>
      </c>
      <c r="D7849" s="35" t="s">
        <v>213</v>
      </c>
      <c r="E7849" s="36">
        <v>1</v>
      </c>
      <c r="F7849" s="30">
        <v>26.485999999999997</v>
      </c>
      <c r="G7849" s="33">
        <f t="shared" si="774"/>
        <v>26.485999999999997</v>
      </c>
      <c r="H7849" s="38">
        <f>SUM(G7849:G7849)</f>
        <v>26.485999999999997</v>
      </c>
      <c r="I7849" s="39"/>
      <c r="J7849" s="152">
        <v>0</v>
      </c>
      <c r="L7849" s="215">
        <v>1</v>
      </c>
      <c r="M7849" s="30">
        <v>22.672015999999999</v>
      </c>
      <c r="N7849" s="33">
        <f t="shared" si="775"/>
        <v>22.672015999999999</v>
      </c>
      <c r="O7849" s="38">
        <f>SUM(N7849:N7849)</f>
        <v>22.672015999999999</v>
      </c>
      <c r="P7849" s="36" t="str">
        <f t="shared" si="776"/>
        <v/>
      </c>
      <c r="Q7849" s="216">
        <f t="shared" si="777"/>
        <v>0.14399999999999991</v>
      </c>
      <c r="R7849" s="216">
        <f t="shared" si="778"/>
        <v>0.14399999999999991</v>
      </c>
      <c r="S7849" s="217">
        <f t="shared" si="779"/>
        <v>0.14399999999999991</v>
      </c>
    </row>
    <row r="7850" spans="1:19" ht="15.75" hidden="1" thickBot="1" x14ac:dyDescent="0.3">
      <c r="A7850" s="263"/>
      <c r="B7850" s="261"/>
      <c r="C7850" s="54"/>
      <c r="D7850" s="54"/>
      <c r="E7850" s="65"/>
      <c r="F7850" s="66" t="s">
        <v>416</v>
      </c>
      <c r="G7850" s="67" t="str">
        <f t="shared" si="774"/>
        <v/>
      </c>
      <c r="H7850" s="68"/>
      <c r="I7850" s="30"/>
      <c r="J7850" s="152">
        <v>0</v>
      </c>
      <c r="L7850" s="222"/>
      <c r="M7850" s="66"/>
      <c r="N7850" s="67" t="str">
        <f t="shared" si="775"/>
        <v/>
      </c>
      <c r="O7850" s="68"/>
      <c r="P7850" s="36" t="str">
        <f t="shared" si="776"/>
        <v/>
      </c>
      <c r="Q7850" s="216" t="str">
        <f t="shared" si="777"/>
        <v/>
      </c>
      <c r="R7850" s="216" t="str">
        <f t="shared" si="778"/>
        <v/>
      </c>
      <c r="S7850" s="217" t="str">
        <f t="shared" si="779"/>
        <v/>
      </c>
    </row>
    <row r="7851" spans="1:19" ht="15.75" hidden="1" thickBot="1" x14ac:dyDescent="0.3">
      <c r="A7851" s="256" t="s">
        <v>6892</v>
      </c>
      <c r="B7851" s="259" t="str">
        <f>INDEX(Orçamentária!A:B,MATCH(Composições!A7851,Orçamentária!A:A,0),2)</f>
        <v>Joelho 90° PVC soldável 110 mm</v>
      </c>
      <c r="C7851" s="40"/>
      <c r="D7851" s="25" t="s">
        <v>16</v>
      </c>
      <c r="E7851" s="26"/>
      <c r="F7851" s="41" t="s">
        <v>416</v>
      </c>
      <c r="G7851" s="27" t="str">
        <f t="shared" si="774"/>
        <v/>
      </c>
      <c r="H7851" s="28"/>
      <c r="I7851" s="29"/>
      <c r="J7851" s="152">
        <v>0</v>
      </c>
      <c r="L7851" s="218"/>
      <c r="M7851" s="41"/>
      <c r="N7851" s="27" t="str">
        <f t="shared" si="775"/>
        <v/>
      </c>
      <c r="O7851" s="28"/>
      <c r="P7851" s="36" t="str">
        <f t="shared" si="776"/>
        <v/>
      </c>
      <c r="Q7851" s="216" t="str">
        <f t="shared" si="777"/>
        <v/>
      </c>
      <c r="R7851" s="216" t="str">
        <f t="shared" si="778"/>
        <v/>
      </c>
      <c r="S7851" s="217" t="str">
        <f t="shared" si="779"/>
        <v/>
      </c>
    </row>
    <row r="7852" spans="1:19" ht="15.75" hidden="1" thickBot="1" x14ac:dyDescent="0.3">
      <c r="A7852" s="262"/>
      <c r="B7852" s="260"/>
      <c r="C7852" s="31"/>
      <c r="D7852" s="31"/>
      <c r="E7852" s="32"/>
      <c r="F7852" s="42" t="s">
        <v>416</v>
      </c>
      <c r="G7852" s="33" t="str">
        <f t="shared" si="774"/>
        <v/>
      </c>
      <c r="H7852" s="34"/>
      <c r="I7852" s="30"/>
      <c r="J7852" s="152">
        <v>0</v>
      </c>
      <c r="L7852" s="219"/>
      <c r="M7852" s="42"/>
      <c r="N7852" s="33" t="str">
        <f t="shared" si="775"/>
        <v/>
      </c>
      <c r="O7852" s="34"/>
      <c r="P7852" s="36" t="str">
        <f t="shared" si="776"/>
        <v/>
      </c>
      <c r="Q7852" s="216" t="str">
        <f t="shared" si="777"/>
        <v/>
      </c>
      <c r="R7852" s="216" t="str">
        <f t="shared" si="778"/>
        <v/>
      </c>
      <c r="S7852" s="217" t="str">
        <f t="shared" si="779"/>
        <v/>
      </c>
    </row>
    <row r="7853" spans="1:19" ht="26.25" hidden="1" thickBot="1" x14ac:dyDescent="0.3">
      <c r="A7853" s="262"/>
      <c r="B7853" s="260"/>
      <c r="C7853" s="35" t="s">
        <v>8198</v>
      </c>
      <c r="D7853" s="35" t="s">
        <v>213</v>
      </c>
      <c r="E7853" s="36">
        <v>1</v>
      </c>
      <c r="F7853" s="30">
        <v>204.37349999999998</v>
      </c>
      <c r="G7853" s="33">
        <f t="shared" si="774"/>
        <v>204.37349999999998</v>
      </c>
      <c r="H7853" s="38">
        <f>SUM(G7853:G7853)</f>
        <v>204.37349999999998</v>
      </c>
      <c r="I7853" s="39"/>
      <c r="J7853" s="152">
        <v>0</v>
      </c>
      <c r="L7853" s="215">
        <v>1</v>
      </c>
      <c r="M7853" s="30">
        <v>174.94371599999999</v>
      </c>
      <c r="N7853" s="33">
        <f t="shared" si="775"/>
        <v>174.94371599999999</v>
      </c>
      <c r="O7853" s="38">
        <f>SUM(N7853:N7853)</f>
        <v>174.94371599999999</v>
      </c>
      <c r="P7853" s="36" t="str">
        <f t="shared" si="776"/>
        <v/>
      </c>
      <c r="Q7853" s="216">
        <f t="shared" si="777"/>
        <v>0.14399999999999991</v>
      </c>
      <c r="R7853" s="216">
        <f t="shared" si="778"/>
        <v>0.14399999999999991</v>
      </c>
      <c r="S7853" s="217">
        <f t="shared" si="779"/>
        <v>0.14399999999999991</v>
      </c>
    </row>
    <row r="7854" spans="1:19" ht="15.75" hidden="1" thickBot="1" x14ac:dyDescent="0.3">
      <c r="A7854" s="263"/>
      <c r="B7854" s="261"/>
      <c r="C7854" s="54"/>
      <c r="D7854" s="54"/>
      <c r="E7854" s="65"/>
      <c r="F7854" s="66" t="s">
        <v>416</v>
      </c>
      <c r="G7854" s="67" t="str">
        <f t="shared" si="774"/>
        <v/>
      </c>
      <c r="H7854" s="68"/>
      <c r="I7854" s="30"/>
      <c r="J7854" s="152">
        <v>0</v>
      </c>
      <c r="L7854" s="222"/>
      <c r="M7854" s="66"/>
      <c r="N7854" s="67" t="str">
        <f t="shared" si="775"/>
        <v/>
      </c>
      <c r="O7854" s="68"/>
      <c r="P7854" s="36" t="str">
        <f t="shared" si="776"/>
        <v/>
      </c>
      <c r="Q7854" s="216" t="str">
        <f t="shared" si="777"/>
        <v/>
      </c>
      <c r="R7854" s="216" t="str">
        <f t="shared" si="778"/>
        <v/>
      </c>
      <c r="S7854" s="217" t="str">
        <f t="shared" si="779"/>
        <v/>
      </c>
    </row>
    <row r="7855" spans="1:19" ht="15.75" hidden="1" thickBot="1" x14ac:dyDescent="0.3">
      <c r="A7855" s="256" t="s">
        <v>6893</v>
      </c>
      <c r="B7855" s="259" t="str">
        <f>INDEX(Orçamentária!A:B,MATCH(Composições!A7855,Orçamentária!A:A,0),2)</f>
        <v>Joelho 45° PVC soldável 110 mm</v>
      </c>
      <c r="C7855" s="40"/>
      <c r="D7855" s="25" t="s">
        <v>16</v>
      </c>
      <c r="E7855" s="26"/>
      <c r="F7855" s="41" t="s">
        <v>416</v>
      </c>
      <c r="G7855" s="27" t="str">
        <f t="shared" si="774"/>
        <v/>
      </c>
      <c r="H7855" s="28"/>
      <c r="I7855" s="29"/>
      <c r="J7855" s="152">
        <v>0</v>
      </c>
      <c r="L7855" s="218"/>
      <c r="M7855" s="41"/>
      <c r="N7855" s="27" t="str">
        <f t="shared" si="775"/>
        <v/>
      </c>
      <c r="O7855" s="28"/>
      <c r="P7855" s="36" t="str">
        <f t="shared" si="776"/>
        <v/>
      </c>
      <c r="Q7855" s="216" t="str">
        <f t="shared" si="777"/>
        <v/>
      </c>
      <c r="R7855" s="216" t="str">
        <f t="shared" si="778"/>
        <v/>
      </c>
      <c r="S7855" s="217" t="str">
        <f t="shared" si="779"/>
        <v/>
      </c>
    </row>
    <row r="7856" spans="1:19" ht="15.75" hidden="1" thickBot="1" x14ac:dyDescent="0.3">
      <c r="A7856" s="262"/>
      <c r="B7856" s="260"/>
      <c r="C7856" s="31"/>
      <c r="D7856" s="31"/>
      <c r="E7856" s="32"/>
      <c r="F7856" s="42" t="s">
        <v>416</v>
      </c>
      <c r="G7856" s="33" t="str">
        <f t="shared" si="774"/>
        <v/>
      </c>
      <c r="H7856" s="34"/>
      <c r="I7856" s="30"/>
      <c r="J7856" s="152">
        <v>0</v>
      </c>
      <c r="L7856" s="219"/>
      <c r="M7856" s="42"/>
      <c r="N7856" s="33" t="str">
        <f t="shared" si="775"/>
        <v/>
      </c>
      <c r="O7856" s="34"/>
      <c r="P7856" s="36" t="str">
        <f t="shared" si="776"/>
        <v/>
      </c>
      <c r="Q7856" s="216" t="str">
        <f t="shared" si="777"/>
        <v/>
      </c>
      <c r="R7856" s="216" t="str">
        <f t="shared" si="778"/>
        <v/>
      </c>
      <c r="S7856" s="217" t="str">
        <f t="shared" si="779"/>
        <v/>
      </c>
    </row>
    <row r="7857" spans="1:19" ht="15.75" hidden="1" thickBot="1" x14ac:dyDescent="0.3">
      <c r="A7857" s="262"/>
      <c r="B7857" s="260"/>
      <c r="C7857" s="35" t="s">
        <v>7940</v>
      </c>
      <c r="D7857" s="35" t="s">
        <v>16</v>
      </c>
      <c r="E7857" s="36">
        <v>1</v>
      </c>
      <c r="F7857" s="30">
        <v>0</v>
      </c>
      <c r="G7857" s="33">
        <f t="shared" si="774"/>
        <v>0</v>
      </c>
      <c r="H7857" s="38">
        <f>SUM(G7857:G7857)</f>
        <v>0</v>
      </c>
      <c r="I7857" s="39"/>
      <c r="J7857" s="152">
        <v>0</v>
      </c>
      <c r="L7857" s="215">
        <v>1</v>
      </c>
      <c r="M7857" s="30">
        <v>0</v>
      </c>
      <c r="N7857" s="33">
        <f t="shared" si="775"/>
        <v>0</v>
      </c>
      <c r="O7857" s="38">
        <f>SUM(N7857:N7857)</f>
        <v>0</v>
      </c>
      <c r="P7857" s="36" t="str">
        <f t="shared" si="776"/>
        <v/>
      </c>
      <c r="Q7857" s="216" t="e">
        <f t="shared" si="777"/>
        <v>#DIV/0!</v>
      </c>
      <c r="R7857" s="216" t="e">
        <f t="shared" si="778"/>
        <v>#DIV/0!</v>
      </c>
      <c r="S7857" s="217" t="e">
        <f t="shared" si="779"/>
        <v>#DIV/0!</v>
      </c>
    </row>
    <row r="7858" spans="1:19" ht="15.75" hidden="1" thickBot="1" x14ac:dyDescent="0.3">
      <c r="A7858" s="263"/>
      <c r="B7858" s="261"/>
      <c r="C7858" s="54"/>
      <c r="D7858" s="54"/>
      <c r="E7858" s="65"/>
      <c r="F7858" s="66" t="s">
        <v>416</v>
      </c>
      <c r="G7858" s="67" t="str">
        <f t="shared" si="774"/>
        <v/>
      </c>
      <c r="H7858" s="68"/>
      <c r="I7858" s="30"/>
      <c r="J7858" s="152">
        <v>0</v>
      </c>
      <c r="L7858" s="222"/>
      <c r="M7858" s="66"/>
      <c r="N7858" s="67" t="str">
        <f t="shared" si="775"/>
        <v/>
      </c>
      <c r="O7858" s="68"/>
      <c r="P7858" s="36" t="str">
        <f t="shared" si="776"/>
        <v/>
      </c>
      <c r="Q7858" s="216" t="str">
        <f t="shared" si="777"/>
        <v/>
      </c>
      <c r="R7858" s="216" t="str">
        <f t="shared" si="778"/>
        <v/>
      </c>
      <c r="S7858" s="217" t="str">
        <f t="shared" si="779"/>
        <v/>
      </c>
    </row>
    <row r="7859" spans="1:19" ht="15.75" hidden="1" thickBot="1" x14ac:dyDescent="0.3">
      <c r="A7859" s="256" t="s">
        <v>6894</v>
      </c>
      <c r="B7859" s="259" t="str">
        <f>INDEX(Orçamentária!A:B,MATCH(Composições!A7859,Orçamentária!A:A,0),2)</f>
        <v>Cap PVC soldável 110 mm</v>
      </c>
      <c r="C7859" s="40"/>
      <c r="D7859" s="25" t="s">
        <v>16</v>
      </c>
      <c r="E7859" s="26"/>
      <c r="F7859" s="41" t="s">
        <v>416</v>
      </c>
      <c r="G7859" s="27" t="str">
        <f t="shared" si="774"/>
        <v/>
      </c>
      <c r="H7859" s="28"/>
      <c r="I7859" s="29"/>
      <c r="J7859" s="152">
        <v>0</v>
      </c>
      <c r="L7859" s="218"/>
      <c r="M7859" s="41"/>
      <c r="N7859" s="27" t="str">
        <f t="shared" si="775"/>
        <v/>
      </c>
      <c r="O7859" s="28"/>
      <c r="P7859" s="36" t="str">
        <f t="shared" si="776"/>
        <v/>
      </c>
      <c r="Q7859" s="216" t="str">
        <f t="shared" si="777"/>
        <v/>
      </c>
      <c r="R7859" s="216" t="str">
        <f t="shared" si="778"/>
        <v/>
      </c>
      <c r="S7859" s="217" t="str">
        <f t="shared" si="779"/>
        <v/>
      </c>
    </row>
    <row r="7860" spans="1:19" ht="15.75" hidden="1" thickBot="1" x14ac:dyDescent="0.3">
      <c r="A7860" s="262"/>
      <c r="B7860" s="260"/>
      <c r="C7860" s="31"/>
      <c r="D7860" s="31"/>
      <c r="E7860" s="32"/>
      <c r="F7860" s="42" t="s">
        <v>416</v>
      </c>
      <c r="G7860" s="33" t="str">
        <f t="shared" si="774"/>
        <v/>
      </c>
      <c r="H7860" s="34"/>
      <c r="I7860" s="30"/>
      <c r="J7860" s="152">
        <v>0</v>
      </c>
      <c r="L7860" s="219"/>
      <c r="M7860" s="42"/>
      <c r="N7860" s="33" t="str">
        <f t="shared" si="775"/>
        <v/>
      </c>
      <c r="O7860" s="34"/>
      <c r="P7860" s="36" t="str">
        <f t="shared" si="776"/>
        <v/>
      </c>
      <c r="Q7860" s="216" t="str">
        <f t="shared" si="777"/>
        <v/>
      </c>
      <c r="R7860" s="216" t="str">
        <f t="shared" si="778"/>
        <v/>
      </c>
      <c r="S7860" s="217" t="str">
        <f t="shared" si="779"/>
        <v/>
      </c>
    </row>
    <row r="7861" spans="1:19" ht="26.25" hidden="1" thickBot="1" x14ac:dyDescent="0.3">
      <c r="A7861" s="262"/>
      <c r="B7861" s="260"/>
      <c r="C7861" s="35" t="s">
        <v>8570</v>
      </c>
      <c r="D7861" s="35" t="s">
        <v>213</v>
      </c>
      <c r="E7861" s="36">
        <v>1</v>
      </c>
      <c r="F7861" s="30">
        <v>34.475499999999997</v>
      </c>
      <c r="G7861" s="33">
        <f t="shared" si="774"/>
        <v>34.475499999999997</v>
      </c>
      <c r="H7861" s="38">
        <f>SUM(G7861:G7861)</f>
        <v>34.475499999999997</v>
      </c>
      <c r="I7861" s="39"/>
      <c r="J7861" s="152">
        <v>0</v>
      </c>
      <c r="L7861" s="215">
        <v>1</v>
      </c>
      <c r="M7861" s="30">
        <v>29.511027999999996</v>
      </c>
      <c r="N7861" s="33">
        <f t="shared" si="775"/>
        <v>29.511027999999996</v>
      </c>
      <c r="O7861" s="38">
        <f>SUM(N7861:N7861)</f>
        <v>29.511027999999996</v>
      </c>
      <c r="P7861" s="36" t="str">
        <f t="shared" si="776"/>
        <v/>
      </c>
      <c r="Q7861" s="216">
        <f t="shared" si="777"/>
        <v>0.14400000000000002</v>
      </c>
      <c r="R7861" s="216">
        <f t="shared" si="778"/>
        <v>0.14400000000000002</v>
      </c>
      <c r="S7861" s="217">
        <f t="shared" si="779"/>
        <v>0.14400000000000002</v>
      </c>
    </row>
    <row r="7862" spans="1:19" ht="15.75" hidden="1" thickBot="1" x14ac:dyDescent="0.3">
      <c r="A7862" s="263"/>
      <c r="B7862" s="261"/>
      <c r="C7862" s="54"/>
      <c r="D7862" s="54"/>
      <c r="E7862" s="65"/>
      <c r="F7862" s="66" t="s">
        <v>416</v>
      </c>
      <c r="G7862" s="67" t="str">
        <f t="shared" si="774"/>
        <v/>
      </c>
      <c r="H7862" s="68"/>
      <c r="I7862" s="30"/>
      <c r="J7862" s="152">
        <v>0</v>
      </c>
      <c r="L7862" s="222"/>
      <c r="M7862" s="66"/>
      <c r="N7862" s="67" t="str">
        <f t="shared" si="775"/>
        <v/>
      </c>
      <c r="O7862" s="68"/>
      <c r="P7862" s="36" t="str">
        <f t="shared" si="776"/>
        <v/>
      </c>
      <c r="Q7862" s="216" t="str">
        <f t="shared" si="777"/>
        <v/>
      </c>
      <c r="R7862" s="216" t="str">
        <f t="shared" si="778"/>
        <v/>
      </c>
      <c r="S7862" s="217" t="str">
        <f t="shared" si="779"/>
        <v/>
      </c>
    </row>
    <row r="7863" spans="1:19" ht="15.75" hidden="1" thickBot="1" x14ac:dyDescent="0.3">
      <c r="A7863" s="256" t="s">
        <v>6895</v>
      </c>
      <c r="B7863" s="259" t="str">
        <f>INDEX(Orçamentária!A:B,MATCH(Composições!A7863,Orçamentária!A:A,0),2)</f>
        <v>Curva 90° PVC soldável 110 mm</v>
      </c>
      <c r="C7863" s="40"/>
      <c r="D7863" s="25" t="s">
        <v>16</v>
      </c>
      <c r="E7863" s="26"/>
      <c r="F7863" s="41" t="s">
        <v>416</v>
      </c>
      <c r="G7863" s="27" t="str">
        <f t="shared" si="774"/>
        <v/>
      </c>
      <c r="H7863" s="28"/>
      <c r="I7863" s="29"/>
      <c r="J7863" s="152">
        <v>0</v>
      </c>
      <c r="L7863" s="218"/>
      <c r="M7863" s="41"/>
      <c r="N7863" s="27" t="str">
        <f t="shared" si="775"/>
        <v/>
      </c>
      <c r="O7863" s="28"/>
      <c r="P7863" s="36" t="str">
        <f t="shared" si="776"/>
        <v/>
      </c>
      <c r="Q7863" s="216" t="str">
        <f t="shared" si="777"/>
        <v/>
      </c>
      <c r="R7863" s="216" t="str">
        <f t="shared" si="778"/>
        <v/>
      </c>
      <c r="S7863" s="217" t="str">
        <f t="shared" si="779"/>
        <v/>
      </c>
    </row>
    <row r="7864" spans="1:19" ht="15.75" hidden="1" thickBot="1" x14ac:dyDescent="0.3">
      <c r="A7864" s="262"/>
      <c r="B7864" s="260"/>
      <c r="C7864" s="31"/>
      <c r="D7864" s="31"/>
      <c r="E7864" s="32"/>
      <c r="F7864" s="42" t="s">
        <v>416</v>
      </c>
      <c r="G7864" s="33" t="str">
        <f t="shared" si="774"/>
        <v/>
      </c>
      <c r="H7864" s="34"/>
      <c r="I7864" s="30"/>
      <c r="J7864" s="152">
        <v>0</v>
      </c>
      <c r="L7864" s="219"/>
      <c r="M7864" s="42"/>
      <c r="N7864" s="33" t="str">
        <f t="shared" si="775"/>
        <v/>
      </c>
      <c r="O7864" s="34"/>
      <c r="P7864" s="36" t="str">
        <f t="shared" si="776"/>
        <v/>
      </c>
      <c r="Q7864" s="216" t="str">
        <f t="shared" si="777"/>
        <v/>
      </c>
      <c r="R7864" s="216" t="str">
        <f t="shared" si="778"/>
        <v/>
      </c>
      <c r="S7864" s="217" t="str">
        <f t="shared" si="779"/>
        <v/>
      </c>
    </row>
    <row r="7865" spans="1:19" ht="26.25" hidden="1" thickBot="1" x14ac:dyDescent="0.3">
      <c r="A7865" s="262"/>
      <c r="B7865" s="260"/>
      <c r="C7865" s="35" t="s">
        <v>8116</v>
      </c>
      <c r="D7865" s="35" t="s">
        <v>213</v>
      </c>
      <c r="E7865" s="36">
        <v>1</v>
      </c>
      <c r="F7865" s="30">
        <v>175.58850000000001</v>
      </c>
      <c r="G7865" s="33">
        <f t="shared" si="774"/>
        <v>175.58850000000001</v>
      </c>
      <c r="H7865" s="38">
        <f>SUM(G7865:G7865)</f>
        <v>175.58850000000001</v>
      </c>
      <c r="I7865" s="39"/>
      <c r="J7865" s="152">
        <v>0</v>
      </c>
      <c r="L7865" s="215">
        <v>1</v>
      </c>
      <c r="M7865" s="30">
        <v>150.30375600000002</v>
      </c>
      <c r="N7865" s="33">
        <f t="shared" si="775"/>
        <v>150.30375600000002</v>
      </c>
      <c r="O7865" s="38">
        <f>SUM(N7865:N7865)</f>
        <v>150.30375600000002</v>
      </c>
      <c r="P7865" s="36" t="str">
        <f t="shared" si="776"/>
        <v/>
      </c>
      <c r="Q7865" s="216">
        <f t="shared" si="777"/>
        <v>0.14399999999999991</v>
      </c>
      <c r="R7865" s="216">
        <f t="shared" si="778"/>
        <v>0.14399999999999991</v>
      </c>
      <c r="S7865" s="217">
        <f t="shared" si="779"/>
        <v>0.14399999999999991</v>
      </c>
    </row>
    <row r="7866" spans="1:19" ht="15.75" hidden="1" thickBot="1" x14ac:dyDescent="0.3">
      <c r="A7866" s="263"/>
      <c r="B7866" s="261"/>
      <c r="C7866" s="54"/>
      <c r="D7866" s="54"/>
      <c r="E7866" s="65"/>
      <c r="F7866" s="66" t="s">
        <v>416</v>
      </c>
      <c r="G7866" s="67" t="str">
        <f t="shared" si="774"/>
        <v/>
      </c>
      <c r="H7866" s="68"/>
      <c r="I7866" s="30"/>
      <c r="J7866" s="152">
        <v>0</v>
      </c>
      <c r="L7866" s="222"/>
      <c r="M7866" s="66"/>
      <c r="N7866" s="67" t="str">
        <f t="shared" si="775"/>
        <v/>
      </c>
      <c r="O7866" s="68"/>
      <c r="P7866" s="36" t="str">
        <f t="shared" si="776"/>
        <v/>
      </c>
      <c r="Q7866" s="216" t="str">
        <f t="shared" si="777"/>
        <v/>
      </c>
      <c r="R7866" s="216" t="str">
        <f t="shared" si="778"/>
        <v/>
      </c>
      <c r="S7866" s="217" t="str">
        <f t="shared" si="779"/>
        <v/>
      </c>
    </row>
    <row r="7867" spans="1:19" ht="15.75" hidden="1" thickBot="1" x14ac:dyDescent="0.3">
      <c r="A7867" s="256" t="s">
        <v>6896</v>
      </c>
      <c r="B7867" s="259" t="str">
        <f>INDEX(Orçamentária!A:B,MATCH(Composições!A7867,Orçamentária!A:A,0),2)</f>
        <v>Luva simples PVC soldável 110 mm</v>
      </c>
      <c r="C7867" s="40"/>
      <c r="D7867" s="25" t="s">
        <v>16</v>
      </c>
      <c r="E7867" s="26"/>
      <c r="F7867" s="41" t="s">
        <v>416</v>
      </c>
      <c r="G7867" s="27" t="str">
        <f t="shared" si="774"/>
        <v/>
      </c>
      <c r="H7867" s="28"/>
      <c r="I7867" s="29"/>
      <c r="J7867" s="152">
        <v>0</v>
      </c>
      <c r="L7867" s="218"/>
      <c r="M7867" s="41"/>
      <c r="N7867" s="27" t="str">
        <f t="shared" si="775"/>
        <v/>
      </c>
      <c r="O7867" s="28"/>
      <c r="P7867" s="36" t="str">
        <f t="shared" si="776"/>
        <v/>
      </c>
      <c r="Q7867" s="216" t="str">
        <f t="shared" si="777"/>
        <v/>
      </c>
      <c r="R7867" s="216" t="str">
        <f t="shared" si="778"/>
        <v/>
      </c>
      <c r="S7867" s="217" t="str">
        <f t="shared" si="779"/>
        <v/>
      </c>
    </row>
    <row r="7868" spans="1:19" ht="15.75" hidden="1" thickBot="1" x14ac:dyDescent="0.3">
      <c r="A7868" s="262"/>
      <c r="B7868" s="260"/>
      <c r="C7868" s="31"/>
      <c r="D7868" s="31"/>
      <c r="E7868" s="32"/>
      <c r="F7868" s="42" t="s">
        <v>416</v>
      </c>
      <c r="G7868" s="33" t="str">
        <f t="shared" si="774"/>
        <v/>
      </c>
      <c r="H7868" s="34"/>
      <c r="I7868" s="30"/>
      <c r="J7868" s="152">
        <v>0</v>
      </c>
      <c r="L7868" s="219"/>
      <c r="M7868" s="42"/>
      <c r="N7868" s="33" t="str">
        <f t="shared" si="775"/>
        <v/>
      </c>
      <c r="O7868" s="34"/>
      <c r="P7868" s="36" t="str">
        <f t="shared" si="776"/>
        <v/>
      </c>
      <c r="Q7868" s="216" t="str">
        <f t="shared" si="777"/>
        <v/>
      </c>
      <c r="R7868" s="216" t="str">
        <f t="shared" si="778"/>
        <v/>
      </c>
      <c r="S7868" s="217" t="str">
        <f t="shared" si="779"/>
        <v/>
      </c>
    </row>
    <row r="7869" spans="1:19" ht="15.75" hidden="1" thickBot="1" x14ac:dyDescent="0.3">
      <c r="A7869" s="262"/>
      <c r="B7869" s="260"/>
      <c r="C7869" s="35" t="s">
        <v>8268</v>
      </c>
      <c r="D7869" s="35" t="s">
        <v>213</v>
      </c>
      <c r="E7869" s="36">
        <v>1</v>
      </c>
      <c r="F7869" s="30">
        <v>73.586999999999989</v>
      </c>
      <c r="G7869" s="33">
        <f t="shared" si="774"/>
        <v>73.586999999999989</v>
      </c>
      <c r="H7869" s="38">
        <f>SUM(G7869:G7869)</f>
        <v>73.586999999999989</v>
      </c>
      <c r="I7869" s="39"/>
      <c r="J7869" s="152">
        <v>0</v>
      </c>
      <c r="L7869" s="215">
        <v>1</v>
      </c>
      <c r="M7869" s="30">
        <v>62.99047199999999</v>
      </c>
      <c r="N7869" s="33">
        <f t="shared" si="775"/>
        <v>62.99047199999999</v>
      </c>
      <c r="O7869" s="38">
        <f>SUM(N7869:N7869)</f>
        <v>62.99047199999999</v>
      </c>
      <c r="P7869" s="36" t="str">
        <f t="shared" si="776"/>
        <v/>
      </c>
      <c r="Q7869" s="216">
        <f t="shared" si="777"/>
        <v>0.14400000000000002</v>
      </c>
      <c r="R7869" s="216">
        <f t="shared" si="778"/>
        <v>0.14400000000000002</v>
      </c>
      <c r="S7869" s="217">
        <f t="shared" si="779"/>
        <v>0.14400000000000002</v>
      </c>
    </row>
    <row r="7870" spans="1:19" ht="15.75" hidden="1" thickBot="1" x14ac:dyDescent="0.3">
      <c r="A7870" s="263"/>
      <c r="B7870" s="261"/>
      <c r="C7870" s="54"/>
      <c r="D7870" s="54"/>
      <c r="E7870" s="65"/>
      <c r="F7870" s="66" t="s">
        <v>416</v>
      </c>
      <c r="G7870" s="67" t="str">
        <f t="shared" si="774"/>
        <v/>
      </c>
      <c r="H7870" s="68"/>
      <c r="I7870" s="30"/>
      <c r="J7870" s="152">
        <v>0</v>
      </c>
      <c r="L7870" s="222"/>
      <c r="M7870" s="66"/>
      <c r="N7870" s="67" t="str">
        <f t="shared" si="775"/>
        <v/>
      </c>
      <c r="O7870" s="68"/>
      <c r="P7870" s="36" t="str">
        <f t="shared" si="776"/>
        <v/>
      </c>
      <c r="Q7870" s="216" t="str">
        <f t="shared" si="777"/>
        <v/>
      </c>
      <c r="R7870" s="216" t="str">
        <f t="shared" si="778"/>
        <v/>
      </c>
      <c r="S7870" s="217" t="str">
        <f t="shared" si="779"/>
        <v/>
      </c>
    </row>
    <row r="7871" spans="1:19" ht="15.75" hidden="1" thickBot="1" x14ac:dyDescent="0.3">
      <c r="A7871" s="256" t="e">
        <f>#REF!</f>
        <v>#REF!</v>
      </c>
      <c r="B7871" s="259" t="e">
        <f>INDEX(Orçamentária!A:B,MATCH(Composições!A7871,Orçamentária!A:A,0),2)</f>
        <v>#REF!</v>
      </c>
      <c r="C7871" s="40"/>
      <c r="D7871" s="25" t="s">
        <v>16</v>
      </c>
      <c r="E7871" s="26"/>
      <c r="F7871" s="41" t="s">
        <v>416</v>
      </c>
      <c r="G7871" s="27" t="str">
        <f t="shared" si="774"/>
        <v/>
      </c>
      <c r="H7871" s="28"/>
      <c r="I7871" s="29"/>
      <c r="J7871" s="152">
        <v>0</v>
      </c>
      <c r="L7871" s="218"/>
      <c r="M7871" s="41"/>
      <c r="N7871" s="27" t="str">
        <f t="shared" si="775"/>
        <v/>
      </c>
      <c r="O7871" s="28"/>
      <c r="P7871" s="36" t="str">
        <f t="shared" si="776"/>
        <v/>
      </c>
      <c r="Q7871" s="216" t="str">
        <f t="shared" si="777"/>
        <v/>
      </c>
      <c r="R7871" s="216" t="str">
        <f t="shared" si="778"/>
        <v/>
      </c>
      <c r="S7871" s="217" t="str">
        <f t="shared" si="779"/>
        <v/>
      </c>
    </row>
    <row r="7872" spans="1:19" ht="15.75" hidden="1" thickBot="1" x14ac:dyDescent="0.3">
      <c r="A7872" s="257"/>
      <c r="B7872" s="260"/>
      <c r="C7872" s="31"/>
      <c r="D7872" s="31"/>
      <c r="E7872" s="32"/>
      <c r="F7872" s="42" t="s">
        <v>416</v>
      </c>
      <c r="G7872" s="33" t="str">
        <f t="shared" si="774"/>
        <v/>
      </c>
      <c r="H7872" s="34"/>
      <c r="I7872" s="30"/>
      <c r="J7872" s="152">
        <v>0</v>
      </c>
      <c r="L7872" s="219"/>
      <c r="M7872" s="42"/>
      <c r="N7872" s="33" t="str">
        <f t="shared" si="775"/>
        <v/>
      </c>
      <c r="O7872" s="34"/>
      <c r="P7872" s="36" t="str">
        <f t="shared" si="776"/>
        <v/>
      </c>
      <c r="Q7872" s="216" t="str">
        <f t="shared" si="777"/>
        <v/>
      </c>
      <c r="R7872" s="216" t="str">
        <f t="shared" si="778"/>
        <v/>
      </c>
      <c r="S7872" s="217" t="str">
        <f t="shared" si="779"/>
        <v/>
      </c>
    </row>
    <row r="7873" spans="1:19" ht="26.25" hidden="1" thickBot="1" x14ac:dyDescent="0.3">
      <c r="A7873" s="257"/>
      <c r="B7873" s="260"/>
      <c r="C7873" s="35" t="s">
        <v>8246</v>
      </c>
      <c r="D7873" s="35" t="s">
        <v>213</v>
      </c>
      <c r="E7873" s="36">
        <v>1</v>
      </c>
      <c r="F7873" s="30">
        <v>55.204499999999996</v>
      </c>
      <c r="G7873" s="33">
        <f t="shared" si="774"/>
        <v>55.204499999999996</v>
      </c>
      <c r="H7873" s="38">
        <f>SUM(G7873:G7873)</f>
        <v>55.204499999999996</v>
      </c>
      <c r="I7873" s="39"/>
      <c r="J7873" s="152">
        <v>0</v>
      </c>
      <c r="L7873" s="215">
        <v>1</v>
      </c>
      <c r="M7873" s="30">
        <v>47.255051999999999</v>
      </c>
      <c r="N7873" s="33">
        <f t="shared" si="775"/>
        <v>47.255051999999999</v>
      </c>
      <c r="O7873" s="38">
        <f>SUM(N7873:N7873)</f>
        <v>47.255051999999999</v>
      </c>
      <c r="P7873" s="36" t="str">
        <f t="shared" si="776"/>
        <v/>
      </c>
      <c r="Q7873" s="216">
        <f t="shared" si="777"/>
        <v>0.14399999999999991</v>
      </c>
      <c r="R7873" s="216">
        <f t="shared" si="778"/>
        <v>0.14399999999999991</v>
      </c>
      <c r="S7873" s="217">
        <f t="shared" si="779"/>
        <v>0.14399999999999991</v>
      </c>
    </row>
    <row r="7874" spans="1:19" ht="15.75" hidden="1" thickBot="1" x14ac:dyDescent="0.3">
      <c r="A7874" s="258"/>
      <c r="B7874" s="261"/>
      <c r="C7874" s="54"/>
      <c r="D7874" s="54"/>
      <c r="E7874" s="65"/>
      <c r="F7874" s="66" t="s">
        <v>416</v>
      </c>
      <c r="G7874" s="67" t="str">
        <f t="shared" ref="G7874:G7937" si="780">IF(ISNUMBER(F7874),E7874*F7874,"")</f>
        <v/>
      </c>
      <c r="H7874" s="68"/>
      <c r="I7874" s="30"/>
      <c r="J7874" s="152">
        <v>0</v>
      </c>
      <c r="L7874" s="222"/>
      <c r="M7874" s="66"/>
      <c r="N7874" s="67" t="str">
        <f t="shared" ref="N7874:N7937" si="781">IF(ISNUMBER(M7874),L7874*M7874,"")</f>
        <v/>
      </c>
      <c r="O7874" s="68"/>
      <c r="P7874" s="36" t="str">
        <f t="shared" si="776"/>
        <v/>
      </c>
      <c r="Q7874" s="216" t="str">
        <f t="shared" si="777"/>
        <v/>
      </c>
      <c r="R7874" s="216" t="str">
        <f t="shared" si="778"/>
        <v/>
      </c>
      <c r="S7874" s="217" t="str">
        <f t="shared" si="779"/>
        <v/>
      </c>
    </row>
    <row r="7875" spans="1:19" ht="15.75" hidden="1" thickBot="1" x14ac:dyDescent="0.3">
      <c r="A7875" s="256" t="e">
        <f>#REF!</f>
        <v>#REF!</v>
      </c>
      <c r="B7875" s="259" t="e">
        <f>INDEX(Orçamentária!A:B,MATCH(Composições!A7875,Orçamentária!A:A,0),2)</f>
        <v>#REF!</v>
      </c>
      <c r="C7875" s="40"/>
      <c r="D7875" s="25" t="s">
        <v>16</v>
      </c>
      <c r="E7875" s="26"/>
      <c r="F7875" s="41" t="s">
        <v>416</v>
      </c>
      <c r="G7875" s="27" t="str">
        <f t="shared" si="780"/>
        <v/>
      </c>
      <c r="H7875" s="28"/>
      <c r="I7875" s="29"/>
      <c r="J7875" s="152">
        <v>0</v>
      </c>
      <c r="L7875" s="218"/>
      <c r="M7875" s="41"/>
      <c r="N7875" s="27" t="str">
        <f t="shared" si="781"/>
        <v/>
      </c>
      <c r="O7875" s="28"/>
      <c r="P7875" s="36" t="str">
        <f t="shared" si="776"/>
        <v/>
      </c>
      <c r="Q7875" s="216" t="str">
        <f t="shared" si="777"/>
        <v/>
      </c>
      <c r="R7875" s="216" t="str">
        <f t="shared" si="778"/>
        <v/>
      </c>
      <c r="S7875" s="217" t="str">
        <f t="shared" si="779"/>
        <v/>
      </c>
    </row>
    <row r="7876" spans="1:19" ht="15.75" hidden="1" thickBot="1" x14ac:dyDescent="0.3">
      <c r="A7876" s="257"/>
      <c r="B7876" s="260"/>
      <c r="C7876" s="31"/>
      <c r="D7876" s="31"/>
      <c r="E7876" s="32"/>
      <c r="F7876" s="42" t="s">
        <v>416</v>
      </c>
      <c r="G7876" s="33" t="str">
        <f t="shared" si="780"/>
        <v/>
      </c>
      <c r="H7876" s="34"/>
      <c r="I7876" s="30"/>
      <c r="J7876" s="152">
        <v>0</v>
      </c>
      <c r="L7876" s="219"/>
      <c r="M7876" s="42"/>
      <c r="N7876" s="33" t="str">
        <f t="shared" si="781"/>
        <v/>
      </c>
      <c r="O7876" s="34"/>
      <c r="P7876" s="36" t="str">
        <f t="shared" si="776"/>
        <v/>
      </c>
      <c r="Q7876" s="216" t="str">
        <f t="shared" si="777"/>
        <v/>
      </c>
      <c r="R7876" s="216" t="str">
        <f t="shared" si="778"/>
        <v/>
      </c>
      <c r="S7876" s="217" t="str">
        <f t="shared" si="779"/>
        <v/>
      </c>
    </row>
    <row r="7877" spans="1:19" ht="15.75" hidden="1" thickBot="1" x14ac:dyDescent="0.3">
      <c r="A7877" s="257"/>
      <c r="B7877" s="260"/>
      <c r="C7877" s="35" t="s">
        <v>8571</v>
      </c>
      <c r="D7877" s="35" t="s">
        <v>213</v>
      </c>
      <c r="E7877" s="36">
        <v>1</v>
      </c>
      <c r="F7877" s="30">
        <v>376.39949999999999</v>
      </c>
      <c r="G7877" s="33">
        <f t="shared" si="780"/>
        <v>376.39949999999999</v>
      </c>
      <c r="H7877" s="38">
        <f>SUM(G7877:G7877)</f>
        <v>376.39949999999999</v>
      </c>
      <c r="I7877" s="39"/>
      <c r="J7877" s="152">
        <v>0</v>
      </c>
      <c r="L7877" s="215">
        <v>1</v>
      </c>
      <c r="M7877" s="30">
        <v>322.19797199999999</v>
      </c>
      <c r="N7877" s="33">
        <f t="shared" si="781"/>
        <v>322.19797199999999</v>
      </c>
      <c r="O7877" s="38">
        <f>SUM(N7877:N7877)</f>
        <v>322.19797199999999</v>
      </c>
      <c r="P7877" s="36" t="str">
        <f t="shared" si="776"/>
        <v/>
      </c>
      <c r="Q7877" s="216">
        <f t="shared" si="777"/>
        <v>0.14400000000000002</v>
      </c>
      <c r="R7877" s="216">
        <f t="shared" si="778"/>
        <v>0.14400000000000002</v>
      </c>
      <c r="S7877" s="217">
        <f t="shared" si="779"/>
        <v>0.14400000000000002</v>
      </c>
    </row>
    <row r="7878" spans="1:19" ht="15.75" hidden="1" thickBot="1" x14ac:dyDescent="0.3">
      <c r="A7878" s="258"/>
      <c r="B7878" s="261"/>
      <c r="C7878" s="54"/>
      <c r="D7878" s="54"/>
      <c r="E7878" s="65"/>
      <c r="F7878" s="66" t="s">
        <v>416</v>
      </c>
      <c r="G7878" s="67" t="str">
        <f t="shared" si="780"/>
        <v/>
      </c>
      <c r="H7878" s="68"/>
      <c r="I7878" s="30"/>
      <c r="J7878" s="152">
        <v>0</v>
      </c>
      <c r="L7878" s="222"/>
      <c r="M7878" s="66"/>
      <c r="N7878" s="67" t="str">
        <f t="shared" si="781"/>
        <v/>
      </c>
      <c r="O7878" s="68"/>
      <c r="P7878" s="36" t="str">
        <f t="shared" si="776"/>
        <v/>
      </c>
      <c r="Q7878" s="216" t="str">
        <f t="shared" si="777"/>
        <v/>
      </c>
      <c r="R7878" s="216" t="str">
        <f t="shared" si="778"/>
        <v/>
      </c>
      <c r="S7878" s="217" t="str">
        <f t="shared" si="779"/>
        <v/>
      </c>
    </row>
    <row r="7879" spans="1:19" ht="15.75" hidden="1" thickBot="1" x14ac:dyDescent="0.3">
      <c r="A7879" s="256" t="s">
        <v>6899</v>
      </c>
      <c r="B7879" s="259" t="str">
        <f>INDEX(Orçamentária!A:B,MATCH(Composições!A7879,Orçamentária!A:A,0),2)</f>
        <v>Adaptador PVC soldável, curto com bolsa e rosca para Registro 110 mm x 4”</v>
      </c>
      <c r="C7879" s="40"/>
      <c r="D7879" s="25" t="s">
        <v>16</v>
      </c>
      <c r="E7879" s="26"/>
      <c r="F7879" s="41" t="s">
        <v>416</v>
      </c>
      <c r="G7879" s="27" t="str">
        <f t="shared" si="780"/>
        <v/>
      </c>
      <c r="H7879" s="28"/>
      <c r="I7879" s="29"/>
      <c r="J7879" s="152">
        <v>0</v>
      </c>
      <c r="L7879" s="218"/>
      <c r="M7879" s="41"/>
      <c r="N7879" s="27" t="str">
        <f t="shared" si="781"/>
        <v/>
      </c>
      <c r="O7879" s="28"/>
      <c r="P7879" s="36" t="str">
        <f t="shared" si="776"/>
        <v/>
      </c>
      <c r="Q7879" s="216" t="str">
        <f t="shared" si="777"/>
        <v/>
      </c>
      <c r="R7879" s="216" t="str">
        <f t="shared" si="778"/>
        <v/>
      </c>
      <c r="S7879" s="217" t="str">
        <f t="shared" si="779"/>
        <v/>
      </c>
    </row>
    <row r="7880" spans="1:19" ht="15.75" hidden="1" thickBot="1" x14ac:dyDescent="0.3">
      <c r="A7880" s="257"/>
      <c r="B7880" s="260"/>
      <c r="C7880" s="31"/>
      <c r="D7880" s="31"/>
      <c r="E7880" s="32"/>
      <c r="F7880" s="42" t="s">
        <v>416</v>
      </c>
      <c r="G7880" s="33" t="str">
        <f t="shared" si="780"/>
        <v/>
      </c>
      <c r="H7880" s="34"/>
      <c r="I7880" s="30"/>
      <c r="J7880" s="152">
        <v>0</v>
      </c>
      <c r="L7880" s="219"/>
      <c r="M7880" s="42"/>
      <c r="N7880" s="33" t="str">
        <f t="shared" si="781"/>
        <v/>
      </c>
      <c r="O7880" s="34"/>
      <c r="P7880" s="36" t="str">
        <f t="shared" ref="P7880:P7943" si="782">IF(ISBLANK(L7880),"",IF($E7880&lt;&gt;L7880,"SIM",""))</f>
        <v/>
      </c>
      <c r="Q7880" s="216" t="str">
        <f t="shared" ref="Q7880:Q7943" si="783">IF(M7880="","",1-M7880/$F7880)</f>
        <v/>
      </c>
      <c r="R7880" s="216" t="str">
        <f t="shared" ref="R7880:R7943" si="784">IF(N7880="","",1-N7880/$G7880)</f>
        <v/>
      </c>
      <c r="S7880" s="217" t="str">
        <f t="shared" ref="S7880:S7943" si="785">IF(O7880="","",1-O7880/$H7880)</f>
        <v/>
      </c>
    </row>
    <row r="7881" spans="1:19" ht="26.25" hidden="1" thickBot="1" x14ac:dyDescent="0.3">
      <c r="A7881" s="257"/>
      <c r="B7881" s="260"/>
      <c r="C7881" s="35" t="s">
        <v>7959</v>
      </c>
      <c r="D7881" s="35" t="s">
        <v>213</v>
      </c>
      <c r="E7881" s="36">
        <v>1</v>
      </c>
      <c r="F7881" s="30">
        <v>42.740499999999997</v>
      </c>
      <c r="G7881" s="33">
        <f t="shared" si="780"/>
        <v>42.740499999999997</v>
      </c>
      <c r="H7881" s="38">
        <f>SUM(G7881:G7881)</f>
        <v>42.740499999999997</v>
      </c>
      <c r="I7881" s="39"/>
      <c r="J7881" s="152">
        <v>0</v>
      </c>
      <c r="L7881" s="215">
        <v>1</v>
      </c>
      <c r="M7881" s="30">
        <v>36.585867999999998</v>
      </c>
      <c r="N7881" s="33">
        <f t="shared" si="781"/>
        <v>36.585867999999998</v>
      </c>
      <c r="O7881" s="38">
        <f>SUM(N7881:N7881)</f>
        <v>36.585867999999998</v>
      </c>
      <c r="P7881" s="36" t="str">
        <f t="shared" si="782"/>
        <v/>
      </c>
      <c r="Q7881" s="216">
        <f t="shared" si="783"/>
        <v>0.14400000000000002</v>
      </c>
      <c r="R7881" s="216">
        <f t="shared" si="784"/>
        <v>0.14400000000000002</v>
      </c>
      <c r="S7881" s="217">
        <f t="shared" si="785"/>
        <v>0.14400000000000002</v>
      </c>
    </row>
    <row r="7882" spans="1:19" ht="15.75" hidden="1" thickBot="1" x14ac:dyDescent="0.3">
      <c r="A7882" s="258"/>
      <c r="B7882" s="261"/>
      <c r="C7882" s="54"/>
      <c r="D7882" s="54"/>
      <c r="E7882" s="65"/>
      <c r="F7882" s="66" t="s">
        <v>416</v>
      </c>
      <c r="G7882" s="67" t="str">
        <f t="shared" si="780"/>
        <v/>
      </c>
      <c r="H7882" s="68"/>
      <c r="I7882" s="30"/>
      <c r="J7882" s="152">
        <v>0</v>
      </c>
      <c r="L7882" s="222"/>
      <c r="M7882" s="66"/>
      <c r="N7882" s="67" t="str">
        <f t="shared" si="781"/>
        <v/>
      </c>
      <c r="O7882" s="68"/>
      <c r="P7882" s="36" t="str">
        <f t="shared" si="782"/>
        <v/>
      </c>
      <c r="Q7882" s="216" t="str">
        <f t="shared" si="783"/>
        <v/>
      </c>
      <c r="R7882" s="216" t="str">
        <f t="shared" si="784"/>
        <v/>
      </c>
      <c r="S7882" s="217" t="str">
        <f t="shared" si="785"/>
        <v/>
      </c>
    </row>
    <row r="7883" spans="1:19" ht="15.75" hidden="1" thickBot="1" x14ac:dyDescent="0.3">
      <c r="A7883" s="256" t="s">
        <v>6900</v>
      </c>
      <c r="B7883" s="259" t="str">
        <f>INDEX(Orçamentária!A:B,MATCH(Composições!A7883,Orçamentária!A:A,0),2)</f>
        <v>Adaptador flange PVC soldável 110 mm x 4”</v>
      </c>
      <c r="C7883" s="40"/>
      <c r="D7883" s="25" t="s">
        <v>16</v>
      </c>
      <c r="E7883" s="26"/>
      <c r="F7883" s="41" t="s">
        <v>416</v>
      </c>
      <c r="G7883" s="27" t="str">
        <f t="shared" si="780"/>
        <v/>
      </c>
      <c r="H7883" s="28"/>
      <c r="I7883" s="29"/>
      <c r="J7883" s="152">
        <v>0</v>
      </c>
      <c r="L7883" s="218"/>
      <c r="M7883" s="41"/>
      <c r="N7883" s="27" t="str">
        <f t="shared" si="781"/>
        <v/>
      </c>
      <c r="O7883" s="28"/>
      <c r="P7883" s="36" t="str">
        <f t="shared" si="782"/>
        <v/>
      </c>
      <c r="Q7883" s="216" t="str">
        <f t="shared" si="783"/>
        <v/>
      </c>
      <c r="R7883" s="216" t="str">
        <f t="shared" si="784"/>
        <v/>
      </c>
      <c r="S7883" s="217" t="str">
        <f t="shared" si="785"/>
        <v/>
      </c>
    </row>
    <row r="7884" spans="1:19" ht="15.75" hidden="1" thickBot="1" x14ac:dyDescent="0.3">
      <c r="A7884" s="257"/>
      <c r="B7884" s="260"/>
      <c r="C7884" s="31"/>
      <c r="D7884" s="31"/>
      <c r="E7884" s="32"/>
      <c r="F7884" s="42" t="s">
        <v>416</v>
      </c>
      <c r="G7884" s="33" t="str">
        <f t="shared" si="780"/>
        <v/>
      </c>
      <c r="H7884" s="34"/>
      <c r="I7884" s="30"/>
      <c r="J7884" s="152">
        <v>0</v>
      </c>
      <c r="L7884" s="219"/>
      <c r="M7884" s="42"/>
      <c r="N7884" s="33" t="str">
        <f t="shared" si="781"/>
        <v/>
      </c>
      <c r="O7884" s="34"/>
      <c r="P7884" s="36" t="str">
        <f t="shared" si="782"/>
        <v/>
      </c>
      <c r="Q7884" s="216" t="str">
        <f t="shared" si="783"/>
        <v/>
      </c>
      <c r="R7884" s="216" t="str">
        <f t="shared" si="784"/>
        <v/>
      </c>
      <c r="S7884" s="217" t="str">
        <f t="shared" si="785"/>
        <v/>
      </c>
    </row>
    <row r="7885" spans="1:19" ht="26.25" hidden="1" thickBot="1" x14ac:dyDescent="0.3">
      <c r="A7885" s="257"/>
      <c r="B7885" s="260"/>
      <c r="C7885" s="35" t="s">
        <v>7972</v>
      </c>
      <c r="D7885" s="35" t="s">
        <v>213</v>
      </c>
      <c r="E7885" s="36">
        <v>1</v>
      </c>
      <c r="F7885" s="30">
        <v>263.96699999999998</v>
      </c>
      <c r="G7885" s="33">
        <f t="shared" si="780"/>
        <v>263.96699999999998</v>
      </c>
      <c r="H7885" s="38">
        <f>SUM(G7885:G7885)</f>
        <v>263.96699999999998</v>
      </c>
      <c r="I7885" s="39"/>
      <c r="J7885" s="152">
        <v>0</v>
      </c>
      <c r="L7885" s="215">
        <v>1</v>
      </c>
      <c r="M7885" s="30">
        <v>225.95575199999999</v>
      </c>
      <c r="N7885" s="33">
        <f t="shared" si="781"/>
        <v>225.95575199999999</v>
      </c>
      <c r="O7885" s="38">
        <f>SUM(N7885:N7885)</f>
        <v>225.95575199999999</v>
      </c>
      <c r="P7885" s="36" t="str">
        <f t="shared" si="782"/>
        <v/>
      </c>
      <c r="Q7885" s="216">
        <f t="shared" si="783"/>
        <v>0.14400000000000002</v>
      </c>
      <c r="R7885" s="216">
        <f t="shared" si="784"/>
        <v>0.14400000000000002</v>
      </c>
      <c r="S7885" s="217">
        <f t="shared" si="785"/>
        <v>0.14400000000000002</v>
      </c>
    </row>
    <row r="7886" spans="1:19" ht="15.75" hidden="1" thickBot="1" x14ac:dyDescent="0.3">
      <c r="A7886" s="258"/>
      <c r="B7886" s="261"/>
      <c r="C7886" s="54"/>
      <c r="D7886" s="54"/>
      <c r="E7886" s="65"/>
      <c r="F7886" s="66" t="s">
        <v>416</v>
      </c>
      <c r="G7886" s="67" t="str">
        <f t="shared" si="780"/>
        <v/>
      </c>
      <c r="H7886" s="68"/>
      <c r="I7886" s="30"/>
      <c r="J7886" s="152">
        <v>0</v>
      </c>
      <c r="L7886" s="222"/>
      <c r="M7886" s="66"/>
      <c r="N7886" s="67" t="str">
        <f t="shared" si="781"/>
        <v/>
      </c>
      <c r="O7886" s="68"/>
      <c r="P7886" s="36" t="str">
        <f t="shared" si="782"/>
        <v/>
      </c>
      <c r="Q7886" s="216" t="str">
        <f t="shared" si="783"/>
        <v/>
      </c>
      <c r="R7886" s="216" t="str">
        <f t="shared" si="784"/>
        <v/>
      </c>
      <c r="S7886" s="217" t="str">
        <f t="shared" si="785"/>
        <v/>
      </c>
    </row>
    <row r="7887" spans="1:19" ht="15.75" hidden="1" thickBot="1" x14ac:dyDescent="0.3">
      <c r="A7887" s="256" t="s">
        <v>6901</v>
      </c>
      <c r="B7887" s="259" t="str">
        <f>INDEX(Orçamentária!A:B,MATCH(Composições!A7887,Orçamentária!A:A,0),2)</f>
        <v>Luva simples PVC esgoto ou águas pluviais 40 mm</v>
      </c>
      <c r="C7887" s="40"/>
      <c r="D7887" s="25" t="s">
        <v>16</v>
      </c>
      <c r="E7887" s="26"/>
      <c r="F7887" s="41" t="s">
        <v>416</v>
      </c>
      <c r="G7887" s="27" t="str">
        <f t="shared" si="780"/>
        <v/>
      </c>
      <c r="H7887" s="28"/>
      <c r="I7887" s="29"/>
      <c r="J7887" s="152">
        <v>0</v>
      </c>
      <c r="L7887" s="218"/>
      <c r="M7887" s="41"/>
      <c r="N7887" s="27" t="str">
        <f t="shared" si="781"/>
        <v/>
      </c>
      <c r="O7887" s="28"/>
      <c r="P7887" s="36" t="str">
        <f t="shared" si="782"/>
        <v/>
      </c>
      <c r="Q7887" s="216" t="str">
        <f t="shared" si="783"/>
        <v/>
      </c>
      <c r="R7887" s="216" t="str">
        <f t="shared" si="784"/>
        <v/>
      </c>
      <c r="S7887" s="217" t="str">
        <f t="shared" si="785"/>
        <v/>
      </c>
    </row>
    <row r="7888" spans="1:19" ht="15.75" hidden="1" thickBot="1" x14ac:dyDescent="0.3">
      <c r="A7888" s="257"/>
      <c r="B7888" s="260"/>
      <c r="C7888" s="31"/>
      <c r="D7888" s="31"/>
      <c r="E7888" s="32"/>
      <c r="F7888" s="42" t="s">
        <v>416</v>
      </c>
      <c r="G7888" s="33" t="str">
        <f t="shared" si="780"/>
        <v/>
      </c>
      <c r="H7888" s="34"/>
      <c r="I7888" s="30"/>
      <c r="J7888" s="152">
        <v>0</v>
      </c>
      <c r="L7888" s="219"/>
      <c r="M7888" s="42"/>
      <c r="N7888" s="33" t="str">
        <f t="shared" si="781"/>
        <v/>
      </c>
      <c r="O7888" s="34"/>
      <c r="P7888" s="36" t="str">
        <f t="shared" si="782"/>
        <v/>
      </c>
      <c r="Q7888" s="216" t="str">
        <f t="shared" si="783"/>
        <v/>
      </c>
      <c r="R7888" s="216" t="str">
        <f t="shared" si="784"/>
        <v/>
      </c>
      <c r="S7888" s="217" t="str">
        <f t="shared" si="785"/>
        <v/>
      </c>
    </row>
    <row r="7889" spans="1:19" ht="15.75" hidden="1" thickBot="1" x14ac:dyDescent="0.3">
      <c r="A7889" s="257"/>
      <c r="B7889" s="260"/>
      <c r="C7889" s="35" t="s">
        <v>8271</v>
      </c>
      <c r="D7889" s="35" t="s">
        <v>213</v>
      </c>
      <c r="E7889" s="36">
        <v>1</v>
      </c>
      <c r="F7889" s="30">
        <v>4.2084999999999999</v>
      </c>
      <c r="G7889" s="33">
        <f t="shared" si="780"/>
        <v>4.2084999999999999</v>
      </c>
      <c r="H7889" s="38">
        <f>SUM(G7889:G7889)</f>
        <v>4.2084999999999999</v>
      </c>
      <c r="I7889" s="39"/>
      <c r="J7889" s="152">
        <v>0</v>
      </c>
      <c r="L7889" s="215">
        <v>1</v>
      </c>
      <c r="M7889" s="30">
        <v>3.6024760000000002</v>
      </c>
      <c r="N7889" s="33">
        <f t="shared" si="781"/>
        <v>3.6024760000000002</v>
      </c>
      <c r="O7889" s="38">
        <f>SUM(N7889:N7889)</f>
        <v>3.6024760000000002</v>
      </c>
      <c r="P7889" s="36" t="str">
        <f t="shared" si="782"/>
        <v/>
      </c>
      <c r="Q7889" s="216">
        <f t="shared" si="783"/>
        <v>0.14399999999999991</v>
      </c>
      <c r="R7889" s="216">
        <f t="shared" si="784"/>
        <v>0.14399999999999991</v>
      </c>
      <c r="S7889" s="217">
        <f t="shared" si="785"/>
        <v>0.14399999999999991</v>
      </c>
    </row>
    <row r="7890" spans="1:19" ht="15.75" hidden="1" thickBot="1" x14ac:dyDescent="0.3">
      <c r="A7890" s="258"/>
      <c r="B7890" s="261"/>
      <c r="C7890" s="54"/>
      <c r="D7890" s="54"/>
      <c r="E7890" s="65"/>
      <c r="F7890" s="66" t="s">
        <v>416</v>
      </c>
      <c r="G7890" s="67" t="str">
        <f t="shared" si="780"/>
        <v/>
      </c>
      <c r="H7890" s="68"/>
      <c r="I7890" s="30"/>
      <c r="J7890" s="152">
        <v>0</v>
      </c>
      <c r="L7890" s="222"/>
      <c r="M7890" s="66"/>
      <c r="N7890" s="67" t="str">
        <f t="shared" si="781"/>
        <v/>
      </c>
      <c r="O7890" s="68"/>
      <c r="P7890" s="36" t="str">
        <f t="shared" si="782"/>
        <v/>
      </c>
      <c r="Q7890" s="216" t="str">
        <f t="shared" si="783"/>
        <v/>
      </c>
      <c r="R7890" s="216" t="str">
        <f t="shared" si="784"/>
        <v/>
      </c>
      <c r="S7890" s="217" t="str">
        <f t="shared" si="785"/>
        <v/>
      </c>
    </row>
    <row r="7891" spans="1:19" ht="15.75" hidden="1" thickBot="1" x14ac:dyDescent="0.3">
      <c r="A7891" s="256" t="s">
        <v>6902</v>
      </c>
      <c r="B7891" s="259" t="str">
        <f>INDEX(Orçamentária!A:B,MATCH(Composições!A7891,Orçamentária!A:A,0),2)</f>
        <v>Luva de correr PVC esgoto ou águas pluviais 40 mm</v>
      </c>
      <c r="C7891" s="40"/>
      <c r="D7891" s="25" t="s">
        <v>16</v>
      </c>
      <c r="E7891" s="26"/>
      <c r="F7891" s="41" t="s">
        <v>416</v>
      </c>
      <c r="G7891" s="27" t="str">
        <f t="shared" si="780"/>
        <v/>
      </c>
      <c r="H7891" s="28"/>
      <c r="I7891" s="29"/>
      <c r="J7891" s="152">
        <v>0</v>
      </c>
      <c r="L7891" s="218"/>
      <c r="M7891" s="41"/>
      <c r="N7891" s="27" t="str">
        <f t="shared" si="781"/>
        <v/>
      </c>
      <c r="O7891" s="28"/>
      <c r="P7891" s="36" t="str">
        <f t="shared" si="782"/>
        <v/>
      </c>
      <c r="Q7891" s="216" t="str">
        <f t="shared" si="783"/>
        <v/>
      </c>
      <c r="R7891" s="216" t="str">
        <f t="shared" si="784"/>
        <v/>
      </c>
      <c r="S7891" s="217" t="str">
        <f t="shared" si="785"/>
        <v/>
      </c>
    </row>
    <row r="7892" spans="1:19" ht="15.75" hidden="1" thickBot="1" x14ac:dyDescent="0.3">
      <c r="A7892" s="257"/>
      <c r="B7892" s="260"/>
      <c r="C7892" s="31"/>
      <c r="D7892" s="31"/>
      <c r="E7892" s="32"/>
      <c r="F7892" s="42" t="s">
        <v>416</v>
      </c>
      <c r="G7892" s="33" t="str">
        <f t="shared" si="780"/>
        <v/>
      </c>
      <c r="H7892" s="34"/>
      <c r="I7892" s="30"/>
      <c r="J7892" s="152">
        <v>0</v>
      </c>
      <c r="L7892" s="219"/>
      <c r="M7892" s="42"/>
      <c r="N7892" s="33" t="str">
        <f t="shared" si="781"/>
        <v/>
      </c>
      <c r="O7892" s="34"/>
      <c r="P7892" s="36" t="str">
        <f t="shared" si="782"/>
        <v/>
      </c>
      <c r="Q7892" s="216" t="str">
        <f t="shared" si="783"/>
        <v/>
      </c>
      <c r="R7892" s="216" t="str">
        <f t="shared" si="784"/>
        <v/>
      </c>
      <c r="S7892" s="217" t="str">
        <f t="shared" si="785"/>
        <v/>
      </c>
    </row>
    <row r="7893" spans="1:19" ht="15.75" hidden="1" thickBot="1" x14ac:dyDescent="0.3">
      <c r="A7893" s="257"/>
      <c r="B7893" s="260"/>
      <c r="C7893" s="35" t="s">
        <v>7182</v>
      </c>
      <c r="D7893" s="35" t="s">
        <v>16</v>
      </c>
      <c r="E7893" s="36">
        <v>1</v>
      </c>
      <c r="F7893" s="30">
        <v>0</v>
      </c>
      <c r="G7893" s="33">
        <f t="shared" si="780"/>
        <v>0</v>
      </c>
      <c r="H7893" s="38">
        <f>SUM(G7893:G7893)</f>
        <v>0</v>
      </c>
      <c r="I7893" s="39"/>
      <c r="J7893" s="152">
        <v>0</v>
      </c>
      <c r="L7893" s="215">
        <v>1</v>
      </c>
      <c r="M7893" s="30">
        <v>0</v>
      </c>
      <c r="N7893" s="33">
        <f t="shared" si="781"/>
        <v>0</v>
      </c>
      <c r="O7893" s="38">
        <f>SUM(N7893:N7893)</f>
        <v>0</v>
      </c>
      <c r="P7893" s="36" t="str">
        <f t="shared" si="782"/>
        <v/>
      </c>
      <c r="Q7893" s="216" t="e">
        <f t="shared" si="783"/>
        <v>#DIV/0!</v>
      </c>
      <c r="R7893" s="216" t="e">
        <f t="shared" si="784"/>
        <v>#DIV/0!</v>
      </c>
      <c r="S7893" s="217" t="e">
        <f t="shared" si="785"/>
        <v>#DIV/0!</v>
      </c>
    </row>
    <row r="7894" spans="1:19" ht="15.75" hidden="1" thickBot="1" x14ac:dyDescent="0.3">
      <c r="A7894" s="258"/>
      <c r="B7894" s="261"/>
      <c r="C7894" s="54"/>
      <c r="D7894" s="54"/>
      <c r="E7894" s="65"/>
      <c r="F7894" s="66" t="s">
        <v>416</v>
      </c>
      <c r="G7894" s="67" t="str">
        <f t="shared" si="780"/>
        <v/>
      </c>
      <c r="H7894" s="68"/>
      <c r="I7894" s="30"/>
      <c r="J7894" s="152">
        <v>0</v>
      </c>
      <c r="L7894" s="222"/>
      <c r="M7894" s="66"/>
      <c r="N7894" s="67" t="str">
        <f t="shared" si="781"/>
        <v/>
      </c>
      <c r="O7894" s="68"/>
      <c r="P7894" s="36" t="str">
        <f t="shared" si="782"/>
        <v/>
      </c>
      <c r="Q7894" s="216" t="str">
        <f t="shared" si="783"/>
        <v/>
      </c>
      <c r="R7894" s="216" t="str">
        <f t="shared" si="784"/>
        <v/>
      </c>
      <c r="S7894" s="217" t="str">
        <f t="shared" si="785"/>
        <v/>
      </c>
    </row>
    <row r="7895" spans="1:19" ht="15.75" hidden="1" thickBot="1" x14ac:dyDescent="0.3">
      <c r="A7895" s="256" t="s">
        <v>6903</v>
      </c>
      <c r="B7895" s="259" t="str">
        <f>INDEX(Orçamentária!A:B,MATCH(Composições!A7895,Orçamentária!A:A,0),2)</f>
        <v>Junção PVC esgoto ou águas pluviais 40 mm</v>
      </c>
      <c r="C7895" s="40"/>
      <c r="D7895" s="25" t="s">
        <v>16</v>
      </c>
      <c r="E7895" s="26"/>
      <c r="F7895" s="41" t="s">
        <v>416</v>
      </c>
      <c r="G7895" s="27" t="str">
        <f t="shared" si="780"/>
        <v/>
      </c>
      <c r="H7895" s="28"/>
      <c r="I7895" s="29"/>
      <c r="J7895" s="152">
        <v>0</v>
      </c>
      <c r="L7895" s="218"/>
      <c r="M7895" s="41"/>
      <c r="N7895" s="27" t="str">
        <f t="shared" si="781"/>
        <v/>
      </c>
      <c r="O7895" s="28"/>
      <c r="P7895" s="36" t="str">
        <f t="shared" si="782"/>
        <v/>
      </c>
      <c r="Q7895" s="216" t="str">
        <f t="shared" si="783"/>
        <v/>
      </c>
      <c r="R7895" s="216" t="str">
        <f t="shared" si="784"/>
        <v/>
      </c>
      <c r="S7895" s="217" t="str">
        <f t="shared" si="785"/>
        <v/>
      </c>
    </row>
    <row r="7896" spans="1:19" ht="15.75" hidden="1" thickBot="1" x14ac:dyDescent="0.3">
      <c r="A7896" s="257"/>
      <c r="B7896" s="260"/>
      <c r="C7896" s="31"/>
      <c r="D7896" s="31"/>
      <c r="E7896" s="32"/>
      <c r="F7896" s="42" t="s">
        <v>416</v>
      </c>
      <c r="G7896" s="33" t="str">
        <f t="shared" si="780"/>
        <v/>
      </c>
      <c r="H7896" s="34"/>
      <c r="I7896" s="30"/>
      <c r="J7896" s="152">
        <v>0</v>
      </c>
      <c r="L7896" s="219"/>
      <c r="M7896" s="42"/>
      <c r="N7896" s="33" t="str">
        <f t="shared" si="781"/>
        <v/>
      </c>
      <c r="O7896" s="34"/>
      <c r="P7896" s="36" t="str">
        <f t="shared" si="782"/>
        <v/>
      </c>
      <c r="Q7896" s="216" t="str">
        <f t="shared" si="783"/>
        <v/>
      </c>
      <c r="R7896" s="216" t="str">
        <f t="shared" si="784"/>
        <v/>
      </c>
      <c r="S7896" s="217" t="str">
        <f t="shared" si="785"/>
        <v/>
      </c>
    </row>
    <row r="7897" spans="1:19" ht="26.25" hidden="1" thickBot="1" x14ac:dyDescent="0.3">
      <c r="A7897" s="257"/>
      <c r="B7897" s="260"/>
      <c r="C7897" s="35" t="s">
        <v>8217</v>
      </c>
      <c r="D7897" s="35" t="s">
        <v>213</v>
      </c>
      <c r="E7897" s="36">
        <v>1</v>
      </c>
      <c r="F7897" s="30">
        <v>3.7145000000000001</v>
      </c>
      <c r="G7897" s="33">
        <f t="shared" si="780"/>
        <v>3.7145000000000001</v>
      </c>
      <c r="H7897" s="38">
        <f>SUM(G7897:G7897)</f>
        <v>3.7145000000000001</v>
      </c>
      <c r="I7897" s="39"/>
      <c r="J7897" s="152">
        <v>0</v>
      </c>
      <c r="L7897" s="215">
        <v>1</v>
      </c>
      <c r="M7897" s="30">
        <v>3.1796120000000001</v>
      </c>
      <c r="N7897" s="33">
        <f t="shared" si="781"/>
        <v>3.1796120000000001</v>
      </c>
      <c r="O7897" s="38">
        <f>SUM(N7897:N7897)</f>
        <v>3.1796120000000001</v>
      </c>
      <c r="P7897" s="36" t="str">
        <f t="shared" si="782"/>
        <v/>
      </c>
      <c r="Q7897" s="216">
        <f t="shared" si="783"/>
        <v>0.14400000000000002</v>
      </c>
      <c r="R7897" s="216">
        <f t="shared" si="784"/>
        <v>0.14400000000000002</v>
      </c>
      <c r="S7897" s="217">
        <f t="shared" si="785"/>
        <v>0.14400000000000002</v>
      </c>
    </row>
    <row r="7898" spans="1:19" ht="15.75" hidden="1" thickBot="1" x14ac:dyDescent="0.3">
      <c r="A7898" s="258"/>
      <c r="B7898" s="261"/>
      <c r="C7898" s="54"/>
      <c r="D7898" s="54"/>
      <c r="E7898" s="65"/>
      <c r="F7898" s="66" t="s">
        <v>416</v>
      </c>
      <c r="G7898" s="67" t="str">
        <f t="shared" si="780"/>
        <v/>
      </c>
      <c r="H7898" s="68"/>
      <c r="I7898" s="30"/>
      <c r="J7898" s="152">
        <v>0</v>
      </c>
      <c r="L7898" s="222"/>
      <c r="M7898" s="66"/>
      <c r="N7898" s="67" t="str">
        <f t="shared" si="781"/>
        <v/>
      </c>
      <c r="O7898" s="68"/>
      <c r="P7898" s="36" t="str">
        <f t="shared" si="782"/>
        <v/>
      </c>
      <c r="Q7898" s="216" t="str">
        <f t="shared" si="783"/>
        <v/>
      </c>
      <c r="R7898" s="216" t="str">
        <f t="shared" si="784"/>
        <v/>
      </c>
      <c r="S7898" s="217" t="str">
        <f t="shared" si="785"/>
        <v/>
      </c>
    </row>
    <row r="7899" spans="1:19" ht="15.75" hidden="1" thickBot="1" x14ac:dyDescent="0.3">
      <c r="A7899" s="256" t="s">
        <v>6904</v>
      </c>
      <c r="B7899" s="259" t="str">
        <f>INDEX(Orçamentária!A:B,MATCH(Composições!A7899,Orçamentária!A:A,0),2)</f>
        <v>Tê PVC esgoto ou águas pluviais 40 mm</v>
      </c>
      <c r="C7899" s="40"/>
      <c r="D7899" s="25" t="s">
        <v>16</v>
      </c>
      <c r="E7899" s="26"/>
      <c r="F7899" s="41" t="s">
        <v>416</v>
      </c>
      <c r="G7899" s="27" t="str">
        <f t="shared" si="780"/>
        <v/>
      </c>
      <c r="H7899" s="28"/>
      <c r="I7899" s="29"/>
      <c r="J7899" s="152">
        <v>0</v>
      </c>
      <c r="L7899" s="218"/>
      <c r="M7899" s="41"/>
      <c r="N7899" s="27" t="str">
        <f t="shared" si="781"/>
        <v/>
      </c>
      <c r="O7899" s="28"/>
      <c r="P7899" s="36" t="str">
        <f t="shared" si="782"/>
        <v/>
      </c>
      <c r="Q7899" s="216" t="str">
        <f t="shared" si="783"/>
        <v/>
      </c>
      <c r="R7899" s="216" t="str">
        <f t="shared" si="784"/>
        <v/>
      </c>
      <c r="S7899" s="217" t="str">
        <f t="shared" si="785"/>
        <v/>
      </c>
    </row>
    <row r="7900" spans="1:19" ht="15.75" hidden="1" thickBot="1" x14ac:dyDescent="0.3">
      <c r="A7900" s="257"/>
      <c r="B7900" s="260"/>
      <c r="C7900" s="31"/>
      <c r="D7900" s="31"/>
      <c r="E7900" s="32"/>
      <c r="F7900" s="42" t="s">
        <v>416</v>
      </c>
      <c r="G7900" s="33" t="str">
        <f t="shared" si="780"/>
        <v/>
      </c>
      <c r="H7900" s="34"/>
      <c r="I7900" s="30"/>
      <c r="J7900" s="152">
        <v>0</v>
      </c>
      <c r="L7900" s="219"/>
      <c r="M7900" s="42"/>
      <c r="N7900" s="33" t="str">
        <f t="shared" si="781"/>
        <v/>
      </c>
      <c r="O7900" s="34"/>
      <c r="P7900" s="36" t="str">
        <f t="shared" si="782"/>
        <v/>
      </c>
      <c r="Q7900" s="216" t="str">
        <f t="shared" si="783"/>
        <v/>
      </c>
      <c r="R7900" s="216" t="str">
        <f t="shared" si="784"/>
        <v/>
      </c>
      <c r="S7900" s="217" t="str">
        <f t="shared" si="785"/>
        <v/>
      </c>
    </row>
    <row r="7901" spans="1:19" ht="26.25" hidden="1" thickBot="1" x14ac:dyDescent="0.3">
      <c r="A7901" s="257"/>
      <c r="B7901" s="260"/>
      <c r="C7901" s="35" t="s">
        <v>8406</v>
      </c>
      <c r="D7901" s="35" t="s">
        <v>213</v>
      </c>
      <c r="E7901" s="36">
        <v>1</v>
      </c>
      <c r="F7901" s="30">
        <v>3.6194999999999999</v>
      </c>
      <c r="G7901" s="33">
        <f t="shared" si="780"/>
        <v>3.6194999999999999</v>
      </c>
      <c r="H7901" s="38">
        <f>SUM(G7901:G7901)</f>
        <v>3.6194999999999999</v>
      </c>
      <c r="I7901" s="39"/>
      <c r="J7901" s="152">
        <v>0</v>
      </c>
      <c r="L7901" s="215">
        <v>1</v>
      </c>
      <c r="M7901" s="30">
        <v>3.0982919999999998</v>
      </c>
      <c r="N7901" s="33">
        <f t="shared" si="781"/>
        <v>3.0982919999999998</v>
      </c>
      <c r="O7901" s="38">
        <f>SUM(N7901:N7901)</f>
        <v>3.0982919999999998</v>
      </c>
      <c r="P7901" s="36" t="str">
        <f t="shared" si="782"/>
        <v/>
      </c>
      <c r="Q7901" s="216">
        <f t="shared" si="783"/>
        <v>0.14400000000000002</v>
      </c>
      <c r="R7901" s="216">
        <f t="shared" si="784"/>
        <v>0.14400000000000002</v>
      </c>
      <c r="S7901" s="217">
        <f t="shared" si="785"/>
        <v>0.14400000000000002</v>
      </c>
    </row>
    <row r="7902" spans="1:19" ht="15.75" hidden="1" thickBot="1" x14ac:dyDescent="0.3">
      <c r="A7902" s="258"/>
      <c r="B7902" s="261"/>
      <c r="C7902" s="54"/>
      <c r="D7902" s="54"/>
      <c r="E7902" s="65"/>
      <c r="F7902" s="66" t="s">
        <v>416</v>
      </c>
      <c r="G7902" s="67" t="str">
        <f t="shared" si="780"/>
        <v/>
      </c>
      <c r="H7902" s="68"/>
      <c r="I7902" s="30"/>
      <c r="J7902" s="152">
        <v>0</v>
      </c>
      <c r="L7902" s="222"/>
      <c r="M7902" s="66"/>
      <c r="N7902" s="67" t="str">
        <f t="shared" si="781"/>
        <v/>
      </c>
      <c r="O7902" s="68"/>
      <c r="P7902" s="36" t="str">
        <f t="shared" si="782"/>
        <v/>
      </c>
      <c r="Q7902" s="216" t="str">
        <f t="shared" si="783"/>
        <v/>
      </c>
      <c r="R7902" s="216" t="str">
        <f t="shared" si="784"/>
        <v/>
      </c>
      <c r="S7902" s="217" t="str">
        <f t="shared" si="785"/>
        <v/>
      </c>
    </row>
    <row r="7903" spans="1:19" ht="15.75" hidden="1" thickBot="1" x14ac:dyDescent="0.3">
      <c r="A7903" s="256" t="s">
        <v>6905</v>
      </c>
      <c r="B7903" s="259" t="str">
        <f>INDEX(Orçamentária!A:B,MATCH(Composições!A7903,Orçamentária!A:A,0),2)</f>
        <v>Cap PVC esgoto ou águas pluviais 40 mm</v>
      </c>
      <c r="C7903" s="40"/>
      <c r="D7903" s="25" t="s">
        <v>16</v>
      </c>
      <c r="E7903" s="26"/>
      <c r="F7903" s="41" t="s">
        <v>416</v>
      </c>
      <c r="G7903" s="27" t="str">
        <f t="shared" si="780"/>
        <v/>
      </c>
      <c r="H7903" s="28"/>
      <c r="I7903" s="29"/>
      <c r="J7903" s="152">
        <v>0</v>
      </c>
      <c r="L7903" s="218"/>
      <c r="M7903" s="41"/>
      <c r="N7903" s="27" t="str">
        <f t="shared" si="781"/>
        <v/>
      </c>
      <c r="O7903" s="28"/>
      <c r="P7903" s="36" t="str">
        <f t="shared" si="782"/>
        <v/>
      </c>
      <c r="Q7903" s="216" t="str">
        <f t="shared" si="783"/>
        <v/>
      </c>
      <c r="R7903" s="216" t="str">
        <f t="shared" si="784"/>
        <v/>
      </c>
      <c r="S7903" s="217" t="str">
        <f t="shared" si="785"/>
        <v/>
      </c>
    </row>
    <row r="7904" spans="1:19" ht="15.75" hidden="1" thickBot="1" x14ac:dyDescent="0.3">
      <c r="A7904" s="257"/>
      <c r="B7904" s="260"/>
      <c r="C7904" s="31"/>
      <c r="D7904" s="31"/>
      <c r="E7904" s="32"/>
      <c r="F7904" s="42" t="s">
        <v>416</v>
      </c>
      <c r="G7904" s="33" t="str">
        <f t="shared" si="780"/>
        <v/>
      </c>
      <c r="H7904" s="34"/>
      <c r="I7904" s="30"/>
      <c r="J7904" s="152">
        <v>0</v>
      </c>
      <c r="L7904" s="219"/>
      <c r="M7904" s="42"/>
      <c r="N7904" s="33" t="str">
        <f t="shared" si="781"/>
        <v/>
      </c>
      <c r="O7904" s="34"/>
      <c r="P7904" s="36" t="str">
        <f t="shared" si="782"/>
        <v/>
      </c>
      <c r="Q7904" s="216" t="str">
        <f t="shared" si="783"/>
        <v/>
      </c>
      <c r="R7904" s="216" t="str">
        <f t="shared" si="784"/>
        <v/>
      </c>
      <c r="S7904" s="217" t="str">
        <f t="shared" si="785"/>
        <v/>
      </c>
    </row>
    <row r="7905" spans="1:19" ht="15.75" hidden="1" thickBot="1" x14ac:dyDescent="0.3">
      <c r="A7905" s="257"/>
      <c r="B7905" s="260"/>
      <c r="C7905" s="35" t="s">
        <v>8052</v>
      </c>
      <c r="D7905" s="35" t="s">
        <v>213</v>
      </c>
      <c r="E7905" s="36">
        <v>1</v>
      </c>
      <c r="F7905" s="30">
        <v>3.8854999999999995</v>
      </c>
      <c r="G7905" s="33">
        <f t="shared" si="780"/>
        <v>3.8854999999999995</v>
      </c>
      <c r="H7905" s="38">
        <f>SUM(G7905:G7905)</f>
        <v>3.8854999999999995</v>
      </c>
      <c r="I7905" s="39"/>
      <c r="J7905" s="152">
        <v>0</v>
      </c>
      <c r="L7905" s="215">
        <v>1</v>
      </c>
      <c r="M7905" s="30">
        <v>3.3259879999999997</v>
      </c>
      <c r="N7905" s="33">
        <f t="shared" si="781"/>
        <v>3.3259879999999997</v>
      </c>
      <c r="O7905" s="38">
        <f>SUM(N7905:N7905)</f>
        <v>3.3259879999999997</v>
      </c>
      <c r="P7905" s="36" t="str">
        <f t="shared" si="782"/>
        <v/>
      </c>
      <c r="Q7905" s="216">
        <f t="shared" si="783"/>
        <v>0.14400000000000002</v>
      </c>
      <c r="R7905" s="216">
        <f t="shared" si="784"/>
        <v>0.14400000000000002</v>
      </c>
      <c r="S7905" s="217">
        <f t="shared" si="785"/>
        <v>0.14400000000000002</v>
      </c>
    </row>
    <row r="7906" spans="1:19" ht="15.75" hidden="1" thickBot="1" x14ac:dyDescent="0.3">
      <c r="A7906" s="258"/>
      <c r="B7906" s="261"/>
      <c r="C7906" s="54"/>
      <c r="D7906" s="54"/>
      <c r="E7906" s="65"/>
      <c r="F7906" s="66" t="s">
        <v>416</v>
      </c>
      <c r="G7906" s="67" t="str">
        <f t="shared" si="780"/>
        <v/>
      </c>
      <c r="H7906" s="68"/>
      <c r="I7906" s="30"/>
      <c r="J7906" s="152">
        <v>0</v>
      </c>
      <c r="L7906" s="222"/>
      <c r="M7906" s="66"/>
      <c r="N7906" s="67" t="str">
        <f t="shared" si="781"/>
        <v/>
      </c>
      <c r="O7906" s="68"/>
      <c r="P7906" s="36" t="str">
        <f t="shared" si="782"/>
        <v/>
      </c>
      <c r="Q7906" s="216" t="str">
        <f t="shared" si="783"/>
        <v/>
      </c>
      <c r="R7906" s="216" t="str">
        <f t="shared" si="784"/>
        <v/>
      </c>
      <c r="S7906" s="217" t="str">
        <f t="shared" si="785"/>
        <v/>
      </c>
    </row>
    <row r="7907" spans="1:19" ht="15.75" hidden="1" thickBot="1" x14ac:dyDescent="0.3">
      <c r="A7907" s="256" t="s">
        <v>6906</v>
      </c>
      <c r="B7907" s="259" t="str">
        <f>INDEX(Orçamentária!A:B,MATCH(Composições!A7907,Orçamentária!A:A,0),2)</f>
        <v>Joelho 90° com anel PVC esgoto ou águas pluviais 40 mm</v>
      </c>
      <c r="C7907" s="40"/>
      <c r="D7907" s="25" t="s">
        <v>16</v>
      </c>
      <c r="E7907" s="26"/>
      <c r="F7907" s="41" t="s">
        <v>416</v>
      </c>
      <c r="G7907" s="27" t="str">
        <f t="shared" si="780"/>
        <v/>
      </c>
      <c r="H7907" s="28"/>
      <c r="I7907" s="29"/>
      <c r="J7907" s="152">
        <v>0</v>
      </c>
      <c r="L7907" s="218"/>
      <c r="M7907" s="41"/>
      <c r="N7907" s="27" t="str">
        <f t="shared" si="781"/>
        <v/>
      </c>
      <c r="O7907" s="28"/>
      <c r="P7907" s="36" t="str">
        <f t="shared" si="782"/>
        <v/>
      </c>
      <c r="Q7907" s="216" t="str">
        <f t="shared" si="783"/>
        <v/>
      </c>
      <c r="R7907" s="216" t="str">
        <f t="shared" si="784"/>
        <v/>
      </c>
      <c r="S7907" s="217" t="str">
        <f t="shared" si="785"/>
        <v/>
      </c>
    </row>
    <row r="7908" spans="1:19" ht="15.75" hidden="1" thickBot="1" x14ac:dyDescent="0.3">
      <c r="A7908" s="257"/>
      <c r="B7908" s="260"/>
      <c r="C7908" s="31"/>
      <c r="D7908" s="31"/>
      <c r="E7908" s="32"/>
      <c r="F7908" s="42" t="s">
        <v>416</v>
      </c>
      <c r="G7908" s="33" t="str">
        <f t="shared" si="780"/>
        <v/>
      </c>
      <c r="H7908" s="34"/>
      <c r="I7908" s="30"/>
      <c r="J7908" s="152">
        <v>0</v>
      </c>
      <c r="L7908" s="219"/>
      <c r="M7908" s="42"/>
      <c r="N7908" s="33" t="str">
        <f t="shared" si="781"/>
        <v/>
      </c>
      <c r="O7908" s="34"/>
      <c r="P7908" s="36" t="str">
        <f t="shared" si="782"/>
        <v/>
      </c>
      <c r="Q7908" s="216" t="str">
        <f t="shared" si="783"/>
        <v/>
      </c>
      <c r="R7908" s="216" t="str">
        <f t="shared" si="784"/>
        <v/>
      </c>
      <c r="S7908" s="217" t="str">
        <f t="shared" si="785"/>
        <v/>
      </c>
    </row>
    <row r="7909" spans="1:19" ht="26.25" hidden="1" thickBot="1" x14ac:dyDescent="0.3">
      <c r="A7909" s="257"/>
      <c r="B7909" s="260"/>
      <c r="C7909" s="35" t="s">
        <v>8184</v>
      </c>
      <c r="D7909" s="35" t="s">
        <v>213</v>
      </c>
      <c r="E7909" s="36">
        <v>1</v>
      </c>
      <c r="F7909" s="30">
        <v>5.5670000000000002</v>
      </c>
      <c r="G7909" s="33">
        <f t="shared" si="780"/>
        <v>5.5670000000000002</v>
      </c>
      <c r="H7909" s="38">
        <f>SUM(G7909:G7909)</f>
        <v>5.5670000000000002</v>
      </c>
      <c r="I7909" s="39"/>
      <c r="J7909" s="152">
        <v>0</v>
      </c>
      <c r="L7909" s="215">
        <v>1</v>
      </c>
      <c r="M7909" s="30">
        <v>4.765352</v>
      </c>
      <c r="N7909" s="33">
        <f t="shared" si="781"/>
        <v>4.765352</v>
      </c>
      <c r="O7909" s="38">
        <f>SUM(N7909:N7909)</f>
        <v>4.765352</v>
      </c>
      <c r="P7909" s="36" t="str">
        <f t="shared" si="782"/>
        <v/>
      </c>
      <c r="Q7909" s="216">
        <f t="shared" si="783"/>
        <v>0.14400000000000002</v>
      </c>
      <c r="R7909" s="216">
        <f t="shared" si="784"/>
        <v>0.14400000000000002</v>
      </c>
      <c r="S7909" s="217">
        <f t="shared" si="785"/>
        <v>0.14400000000000002</v>
      </c>
    </row>
    <row r="7910" spans="1:19" ht="15.75" hidden="1" thickBot="1" x14ac:dyDescent="0.3">
      <c r="A7910" s="258"/>
      <c r="B7910" s="261"/>
      <c r="C7910" s="54"/>
      <c r="D7910" s="54"/>
      <c r="E7910" s="65"/>
      <c r="F7910" s="66" t="s">
        <v>416</v>
      </c>
      <c r="G7910" s="67" t="str">
        <f t="shared" si="780"/>
        <v/>
      </c>
      <c r="H7910" s="68"/>
      <c r="I7910" s="30"/>
      <c r="J7910" s="152">
        <v>0</v>
      </c>
      <c r="L7910" s="222"/>
      <c r="M7910" s="66"/>
      <c r="N7910" s="67" t="str">
        <f t="shared" si="781"/>
        <v/>
      </c>
      <c r="O7910" s="68"/>
      <c r="P7910" s="36" t="str">
        <f t="shared" si="782"/>
        <v/>
      </c>
      <c r="Q7910" s="216" t="str">
        <f t="shared" si="783"/>
        <v/>
      </c>
      <c r="R7910" s="216" t="str">
        <f t="shared" si="784"/>
        <v/>
      </c>
      <c r="S7910" s="217" t="str">
        <f t="shared" si="785"/>
        <v/>
      </c>
    </row>
    <row r="7911" spans="1:19" ht="15.75" hidden="1" thickBot="1" x14ac:dyDescent="0.3">
      <c r="A7911" s="256" t="s">
        <v>6907</v>
      </c>
      <c r="B7911" s="259" t="str">
        <f>INDEX(Orçamentária!A:B,MATCH(Composições!A7911,Orçamentária!A:A,0),2)</f>
        <v>Joelho 90° PVC esgoto ou águas pluviais 40 mm</v>
      </c>
      <c r="C7911" s="40"/>
      <c r="D7911" s="25" t="s">
        <v>16</v>
      </c>
      <c r="E7911" s="26"/>
      <c r="F7911" s="41" t="s">
        <v>416</v>
      </c>
      <c r="G7911" s="27" t="str">
        <f t="shared" si="780"/>
        <v/>
      </c>
      <c r="H7911" s="28"/>
      <c r="I7911" s="29"/>
      <c r="J7911" s="152">
        <v>0</v>
      </c>
      <c r="L7911" s="218"/>
      <c r="M7911" s="41"/>
      <c r="N7911" s="27" t="str">
        <f t="shared" si="781"/>
        <v/>
      </c>
      <c r="O7911" s="28"/>
      <c r="P7911" s="36" t="str">
        <f t="shared" si="782"/>
        <v/>
      </c>
      <c r="Q7911" s="216" t="str">
        <f t="shared" si="783"/>
        <v/>
      </c>
      <c r="R7911" s="216" t="str">
        <f t="shared" si="784"/>
        <v/>
      </c>
      <c r="S7911" s="217" t="str">
        <f t="shared" si="785"/>
        <v/>
      </c>
    </row>
    <row r="7912" spans="1:19" ht="15.75" hidden="1" thickBot="1" x14ac:dyDescent="0.3">
      <c r="A7912" s="257"/>
      <c r="B7912" s="260"/>
      <c r="C7912" s="31"/>
      <c r="D7912" s="31"/>
      <c r="E7912" s="32"/>
      <c r="F7912" s="42" t="s">
        <v>416</v>
      </c>
      <c r="G7912" s="33" t="str">
        <f t="shared" si="780"/>
        <v/>
      </c>
      <c r="H7912" s="34"/>
      <c r="I7912" s="30"/>
      <c r="J7912" s="152">
        <v>0</v>
      </c>
      <c r="L7912" s="219"/>
      <c r="M7912" s="42"/>
      <c r="N7912" s="33" t="str">
        <f t="shared" si="781"/>
        <v/>
      </c>
      <c r="O7912" s="34"/>
      <c r="P7912" s="36" t="str">
        <f t="shared" si="782"/>
        <v/>
      </c>
      <c r="Q7912" s="216" t="str">
        <f t="shared" si="783"/>
        <v/>
      </c>
      <c r="R7912" s="216" t="str">
        <f t="shared" si="784"/>
        <v/>
      </c>
      <c r="S7912" s="217" t="str">
        <f t="shared" si="785"/>
        <v/>
      </c>
    </row>
    <row r="7913" spans="1:19" ht="26.25" hidden="1" thickBot="1" x14ac:dyDescent="0.3">
      <c r="A7913" s="257"/>
      <c r="B7913" s="260"/>
      <c r="C7913" s="35" t="s">
        <v>8195</v>
      </c>
      <c r="D7913" s="35" t="s">
        <v>213</v>
      </c>
      <c r="E7913" s="36">
        <v>1</v>
      </c>
      <c r="F7913" s="30">
        <v>2.1849999999999996</v>
      </c>
      <c r="G7913" s="33">
        <f t="shared" si="780"/>
        <v>2.1849999999999996</v>
      </c>
      <c r="H7913" s="38">
        <f>SUM(G7913:G7913)</f>
        <v>2.1849999999999996</v>
      </c>
      <c r="I7913" s="39"/>
      <c r="J7913" s="152">
        <v>0</v>
      </c>
      <c r="L7913" s="215">
        <v>1</v>
      </c>
      <c r="M7913" s="30">
        <v>1.8703599999999998</v>
      </c>
      <c r="N7913" s="33">
        <f t="shared" si="781"/>
        <v>1.8703599999999998</v>
      </c>
      <c r="O7913" s="38">
        <f>SUM(N7913:N7913)</f>
        <v>1.8703599999999998</v>
      </c>
      <c r="P7913" s="36" t="str">
        <f t="shared" si="782"/>
        <v/>
      </c>
      <c r="Q7913" s="216">
        <f t="shared" si="783"/>
        <v>0.14399999999999991</v>
      </c>
      <c r="R7913" s="216">
        <f t="shared" si="784"/>
        <v>0.14399999999999991</v>
      </c>
      <c r="S7913" s="217">
        <f t="shared" si="785"/>
        <v>0.14399999999999991</v>
      </c>
    </row>
    <row r="7914" spans="1:19" ht="15.75" hidden="1" thickBot="1" x14ac:dyDescent="0.3">
      <c r="A7914" s="258"/>
      <c r="B7914" s="261"/>
      <c r="C7914" s="54"/>
      <c r="D7914" s="54"/>
      <c r="E7914" s="65"/>
      <c r="F7914" s="66" t="s">
        <v>416</v>
      </c>
      <c r="G7914" s="67" t="str">
        <f t="shared" si="780"/>
        <v/>
      </c>
      <c r="H7914" s="68"/>
      <c r="I7914" s="30"/>
      <c r="J7914" s="152">
        <v>0</v>
      </c>
      <c r="L7914" s="222"/>
      <c r="M7914" s="66"/>
      <c r="N7914" s="67" t="str">
        <f t="shared" si="781"/>
        <v/>
      </c>
      <c r="O7914" s="68"/>
      <c r="P7914" s="36" t="str">
        <f t="shared" si="782"/>
        <v/>
      </c>
      <c r="Q7914" s="216" t="str">
        <f t="shared" si="783"/>
        <v/>
      </c>
      <c r="R7914" s="216" t="str">
        <f t="shared" si="784"/>
        <v/>
      </c>
      <c r="S7914" s="217" t="str">
        <f t="shared" si="785"/>
        <v/>
      </c>
    </row>
    <row r="7915" spans="1:19" ht="15.75" hidden="1" thickBot="1" x14ac:dyDescent="0.3">
      <c r="A7915" s="256" t="s">
        <v>6908</v>
      </c>
      <c r="B7915" s="259" t="str">
        <f>INDEX(Orçamentária!A:B,MATCH(Composições!A7915,Orçamentária!A:A,0),2)</f>
        <v>Joelho 45° PVC esgoto ou águas pluviais 40 mm</v>
      </c>
      <c r="C7915" s="40"/>
      <c r="D7915" s="25" t="s">
        <v>16</v>
      </c>
      <c r="E7915" s="26"/>
      <c r="F7915" s="41" t="s">
        <v>416</v>
      </c>
      <c r="G7915" s="27" t="str">
        <f t="shared" si="780"/>
        <v/>
      </c>
      <c r="H7915" s="28"/>
      <c r="I7915" s="29"/>
      <c r="J7915" s="152">
        <v>0</v>
      </c>
      <c r="L7915" s="218"/>
      <c r="M7915" s="41"/>
      <c r="N7915" s="27" t="str">
        <f t="shared" si="781"/>
        <v/>
      </c>
      <c r="O7915" s="28"/>
      <c r="P7915" s="36" t="str">
        <f t="shared" si="782"/>
        <v/>
      </c>
      <c r="Q7915" s="216" t="str">
        <f t="shared" si="783"/>
        <v/>
      </c>
      <c r="R7915" s="216" t="str">
        <f t="shared" si="784"/>
        <v/>
      </c>
      <c r="S7915" s="217" t="str">
        <f t="shared" si="785"/>
        <v/>
      </c>
    </row>
    <row r="7916" spans="1:19" ht="15.75" hidden="1" thickBot="1" x14ac:dyDescent="0.3">
      <c r="A7916" s="257"/>
      <c r="B7916" s="260"/>
      <c r="C7916" s="31"/>
      <c r="D7916" s="31"/>
      <c r="E7916" s="32"/>
      <c r="F7916" s="42" t="s">
        <v>416</v>
      </c>
      <c r="G7916" s="33" t="str">
        <f t="shared" si="780"/>
        <v/>
      </c>
      <c r="H7916" s="34"/>
      <c r="I7916" s="30"/>
      <c r="J7916" s="152">
        <v>0</v>
      </c>
      <c r="L7916" s="219"/>
      <c r="M7916" s="42"/>
      <c r="N7916" s="33" t="str">
        <f t="shared" si="781"/>
        <v/>
      </c>
      <c r="O7916" s="34"/>
      <c r="P7916" s="36" t="str">
        <f t="shared" si="782"/>
        <v/>
      </c>
      <c r="Q7916" s="216" t="str">
        <f t="shared" si="783"/>
        <v/>
      </c>
      <c r="R7916" s="216" t="str">
        <f t="shared" si="784"/>
        <v/>
      </c>
      <c r="S7916" s="217" t="str">
        <f t="shared" si="785"/>
        <v/>
      </c>
    </row>
    <row r="7917" spans="1:19" ht="26.25" hidden="1" thickBot="1" x14ac:dyDescent="0.3">
      <c r="A7917" s="257"/>
      <c r="B7917" s="260"/>
      <c r="C7917" s="35" t="s">
        <v>8190</v>
      </c>
      <c r="D7917" s="35" t="s">
        <v>213</v>
      </c>
      <c r="E7917" s="36">
        <v>1</v>
      </c>
      <c r="F7917" s="30">
        <v>2.4224999999999999</v>
      </c>
      <c r="G7917" s="33">
        <f t="shared" si="780"/>
        <v>2.4224999999999999</v>
      </c>
      <c r="H7917" s="38">
        <f>SUM(G7917:G7917)</f>
        <v>2.4224999999999999</v>
      </c>
      <c r="I7917" s="39"/>
      <c r="J7917" s="152">
        <v>0</v>
      </c>
      <c r="L7917" s="215">
        <v>1</v>
      </c>
      <c r="M7917" s="30">
        <v>2.0736599999999998</v>
      </c>
      <c r="N7917" s="33">
        <f t="shared" si="781"/>
        <v>2.0736599999999998</v>
      </c>
      <c r="O7917" s="38">
        <f>SUM(N7917:N7917)</f>
        <v>2.0736599999999998</v>
      </c>
      <c r="P7917" s="36" t="str">
        <f t="shared" si="782"/>
        <v/>
      </c>
      <c r="Q7917" s="216">
        <f t="shared" si="783"/>
        <v>0.14400000000000002</v>
      </c>
      <c r="R7917" s="216">
        <f t="shared" si="784"/>
        <v>0.14400000000000002</v>
      </c>
      <c r="S7917" s="217">
        <f t="shared" si="785"/>
        <v>0.14400000000000002</v>
      </c>
    </row>
    <row r="7918" spans="1:19" ht="15.75" hidden="1" thickBot="1" x14ac:dyDescent="0.3">
      <c r="A7918" s="258"/>
      <c r="B7918" s="261"/>
      <c r="C7918" s="54"/>
      <c r="D7918" s="54"/>
      <c r="E7918" s="65"/>
      <c r="F7918" s="66" t="s">
        <v>416</v>
      </c>
      <c r="G7918" s="67" t="str">
        <f t="shared" si="780"/>
        <v/>
      </c>
      <c r="H7918" s="68"/>
      <c r="I7918" s="30"/>
      <c r="J7918" s="152">
        <v>0</v>
      </c>
      <c r="L7918" s="222"/>
      <c r="M7918" s="66"/>
      <c r="N7918" s="67" t="str">
        <f t="shared" si="781"/>
        <v/>
      </c>
      <c r="O7918" s="68"/>
      <c r="P7918" s="36" t="str">
        <f t="shared" si="782"/>
        <v/>
      </c>
      <c r="Q7918" s="216" t="str">
        <f t="shared" si="783"/>
        <v/>
      </c>
      <c r="R7918" s="216" t="str">
        <f t="shared" si="784"/>
        <v/>
      </c>
      <c r="S7918" s="217" t="str">
        <f t="shared" si="785"/>
        <v/>
      </c>
    </row>
    <row r="7919" spans="1:19" ht="15.75" hidden="1" thickBot="1" x14ac:dyDescent="0.3">
      <c r="A7919" s="256" t="s">
        <v>6909</v>
      </c>
      <c r="B7919" s="259" t="str">
        <f>INDEX(Orçamentária!A:B,MATCH(Composições!A7919,Orçamentária!A:A,0),2)</f>
        <v>Curva longa 90° PVC esgoto ou águas pluviais 40 mm</v>
      </c>
      <c r="C7919" s="40"/>
      <c r="D7919" s="25" t="s">
        <v>16</v>
      </c>
      <c r="E7919" s="26"/>
      <c r="F7919" s="41" t="s">
        <v>416</v>
      </c>
      <c r="G7919" s="27" t="str">
        <f t="shared" si="780"/>
        <v/>
      </c>
      <c r="H7919" s="28"/>
      <c r="I7919" s="29"/>
      <c r="J7919" s="152">
        <v>0</v>
      </c>
      <c r="L7919" s="218"/>
      <c r="M7919" s="41"/>
      <c r="N7919" s="27" t="str">
        <f t="shared" si="781"/>
        <v/>
      </c>
      <c r="O7919" s="28"/>
      <c r="P7919" s="36" t="str">
        <f t="shared" si="782"/>
        <v/>
      </c>
      <c r="Q7919" s="216" t="str">
        <f t="shared" si="783"/>
        <v/>
      </c>
      <c r="R7919" s="216" t="str">
        <f t="shared" si="784"/>
        <v/>
      </c>
      <c r="S7919" s="217" t="str">
        <f t="shared" si="785"/>
        <v/>
      </c>
    </row>
    <row r="7920" spans="1:19" ht="15.75" hidden="1" thickBot="1" x14ac:dyDescent="0.3">
      <c r="A7920" s="257"/>
      <c r="B7920" s="260"/>
      <c r="C7920" s="31"/>
      <c r="D7920" s="31"/>
      <c r="E7920" s="32"/>
      <c r="F7920" s="42" t="s">
        <v>416</v>
      </c>
      <c r="G7920" s="33" t="str">
        <f t="shared" si="780"/>
        <v/>
      </c>
      <c r="H7920" s="34"/>
      <c r="I7920" s="30"/>
      <c r="J7920" s="152">
        <v>0</v>
      </c>
      <c r="L7920" s="219"/>
      <c r="M7920" s="42"/>
      <c r="N7920" s="33" t="str">
        <f t="shared" si="781"/>
        <v/>
      </c>
      <c r="O7920" s="34"/>
      <c r="P7920" s="36" t="str">
        <f t="shared" si="782"/>
        <v/>
      </c>
      <c r="Q7920" s="216" t="str">
        <f t="shared" si="783"/>
        <v/>
      </c>
      <c r="R7920" s="216" t="str">
        <f t="shared" si="784"/>
        <v/>
      </c>
      <c r="S7920" s="217" t="str">
        <f t="shared" si="785"/>
        <v/>
      </c>
    </row>
    <row r="7921" spans="1:19" ht="15.75" hidden="1" thickBot="1" x14ac:dyDescent="0.3">
      <c r="A7921" s="257"/>
      <c r="B7921" s="260"/>
      <c r="C7921" s="35" t="s">
        <v>8113</v>
      </c>
      <c r="D7921" s="35" t="s">
        <v>213</v>
      </c>
      <c r="E7921" s="36">
        <v>1</v>
      </c>
      <c r="F7921" s="30">
        <v>6.8019999999999996</v>
      </c>
      <c r="G7921" s="33">
        <f t="shared" si="780"/>
        <v>6.8019999999999996</v>
      </c>
      <c r="H7921" s="38">
        <f>SUM(G7921:G7921)</f>
        <v>6.8019999999999996</v>
      </c>
      <c r="I7921" s="39"/>
      <c r="J7921" s="152">
        <v>0</v>
      </c>
      <c r="L7921" s="215">
        <v>1</v>
      </c>
      <c r="M7921" s="30">
        <v>5.8225119999999997</v>
      </c>
      <c r="N7921" s="33">
        <f t="shared" si="781"/>
        <v>5.8225119999999997</v>
      </c>
      <c r="O7921" s="38">
        <f>SUM(N7921:N7921)</f>
        <v>5.8225119999999997</v>
      </c>
      <c r="P7921" s="36" t="str">
        <f t="shared" si="782"/>
        <v/>
      </c>
      <c r="Q7921" s="216">
        <f t="shared" si="783"/>
        <v>0.14400000000000002</v>
      </c>
      <c r="R7921" s="216">
        <f t="shared" si="784"/>
        <v>0.14400000000000002</v>
      </c>
      <c r="S7921" s="217">
        <f t="shared" si="785"/>
        <v>0.14400000000000002</v>
      </c>
    </row>
    <row r="7922" spans="1:19" ht="15.75" hidden="1" thickBot="1" x14ac:dyDescent="0.3">
      <c r="A7922" s="258"/>
      <c r="B7922" s="261"/>
      <c r="C7922" s="54"/>
      <c r="D7922" s="54"/>
      <c r="E7922" s="65"/>
      <c r="F7922" s="66" t="s">
        <v>416</v>
      </c>
      <c r="G7922" s="67" t="str">
        <f t="shared" si="780"/>
        <v/>
      </c>
      <c r="H7922" s="68"/>
      <c r="I7922" s="30"/>
      <c r="J7922" s="152">
        <v>0</v>
      </c>
      <c r="L7922" s="222"/>
      <c r="M7922" s="66"/>
      <c r="N7922" s="67" t="str">
        <f t="shared" si="781"/>
        <v/>
      </c>
      <c r="O7922" s="68"/>
      <c r="P7922" s="36" t="str">
        <f t="shared" si="782"/>
        <v/>
      </c>
      <c r="Q7922" s="216" t="str">
        <f t="shared" si="783"/>
        <v/>
      </c>
      <c r="R7922" s="216" t="str">
        <f t="shared" si="784"/>
        <v/>
      </c>
      <c r="S7922" s="217" t="str">
        <f t="shared" si="785"/>
        <v/>
      </c>
    </row>
    <row r="7923" spans="1:19" ht="15.75" hidden="1" thickBot="1" x14ac:dyDescent="0.3">
      <c r="A7923" s="256" t="s">
        <v>6910</v>
      </c>
      <c r="B7923" s="259" t="str">
        <f>INDEX(Orçamentária!A:B,MATCH(Composições!A7923,Orçamentária!A:A,0),2)</f>
        <v>Luva simples PVC esgoto ou águas pluviais 50 mm</v>
      </c>
      <c r="C7923" s="40"/>
      <c r="D7923" s="25" t="s">
        <v>16</v>
      </c>
      <c r="E7923" s="26"/>
      <c r="F7923" s="41" t="s">
        <v>416</v>
      </c>
      <c r="G7923" s="27" t="str">
        <f t="shared" si="780"/>
        <v/>
      </c>
      <c r="H7923" s="28"/>
      <c r="I7923" s="29"/>
      <c r="J7923" s="152">
        <v>0</v>
      </c>
      <c r="L7923" s="218"/>
      <c r="M7923" s="41"/>
      <c r="N7923" s="27" t="str">
        <f t="shared" si="781"/>
        <v/>
      </c>
      <c r="O7923" s="28"/>
      <c r="P7923" s="36" t="str">
        <f t="shared" si="782"/>
        <v/>
      </c>
      <c r="Q7923" s="216" t="str">
        <f t="shared" si="783"/>
        <v/>
      </c>
      <c r="R7923" s="216" t="str">
        <f t="shared" si="784"/>
        <v/>
      </c>
      <c r="S7923" s="217" t="str">
        <f t="shared" si="785"/>
        <v/>
      </c>
    </row>
    <row r="7924" spans="1:19" ht="15.75" hidden="1" thickBot="1" x14ac:dyDescent="0.3">
      <c r="A7924" s="257"/>
      <c r="B7924" s="260"/>
      <c r="C7924" s="31"/>
      <c r="D7924" s="31"/>
      <c r="E7924" s="32"/>
      <c r="F7924" s="42" t="s">
        <v>416</v>
      </c>
      <c r="G7924" s="33" t="str">
        <f t="shared" si="780"/>
        <v/>
      </c>
      <c r="H7924" s="34"/>
      <c r="I7924" s="30"/>
      <c r="J7924" s="152">
        <v>0</v>
      </c>
      <c r="L7924" s="219"/>
      <c r="M7924" s="42"/>
      <c r="N7924" s="33" t="str">
        <f t="shared" si="781"/>
        <v/>
      </c>
      <c r="O7924" s="34"/>
      <c r="P7924" s="36" t="str">
        <f t="shared" si="782"/>
        <v/>
      </c>
      <c r="Q7924" s="216" t="str">
        <f t="shared" si="783"/>
        <v/>
      </c>
      <c r="R7924" s="216" t="str">
        <f t="shared" si="784"/>
        <v/>
      </c>
      <c r="S7924" s="217" t="str">
        <f t="shared" si="785"/>
        <v/>
      </c>
    </row>
    <row r="7925" spans="1:19" ht="26.25" hidden="1" thickBot="1" x14ac:dyDescent="0.3">
      <c r="A7925" s="257"/>
      <c r="B7925" s="260"/>
      <c r="C7925" s="35" t="s">
        <v>8278</v>
      </c>
      <c r="D7925" s="35" t="s">
        <v>213</v>
      </c>
      <c r="E7925" s="36">
        <v>1</v>
      </c>
      <c r="F7925" s="30">
        <v>3.2489999999999997</v>
      </c>
      <c r="G7925" s="33">
        <f t="shared" si="780"/>
        <v>3.2489999999999997</v>
      </c>
      <c r="H7925" s="38">
        <f>SUM(G7925:G7925)</f>
        <v>3.2489999999999997</v>
      </c>
      <c r="I7925" s="39"/>
      <c r="J7925" s="152">
        <v>0</v>
      </c>
      <c r="L7925" s="215">
        <v>1</v>
      </c>
      <c r="M7925" s="30">
        <v>2.7811439999999998</v>
      </c>
      <c r="N7925" s="33">
        <f t="shared" si="781"/>
        <v>2.7811439999999998</v>
      </c>
      <c r="O7925" s="38">
        <f>SUM(N7925:N7925)</f>
        <v>2.7811439999999998</v>
      </c>
      <c r="P7925" s="36" t="str">
        <f t="shared" si="782"/>
        <v/>
      </c>
      <c r="Q7925" s="216">
        <f t="shared" si="783"/>
        <v>0.14400000000000002</v>
      </c>
      <c r="R7925" s="216">
        <f t="shared" si="784"/>
        <v>0.14400000000000002</v>
      </c>
      <c r="S7925" s="217">
        <f t="shared" si="785"/>
        <v>0.14400000000000002</v>
      </c>
    </row>
    <row r="7926" spans="1:19" ht="15.75" hidden="1" thickBot="1" x14ac:dyDescent="0.3">
      <c r="A7926" s="258"/>
      <c r="B7926" s="261"/>
      <c r="C7926" s="54"/>
      <c r="D7926" s="54"/>
      <c r="E7926" s="65"/>
      <c r="F7926" s="66" t="s">
        <v>416</v>
      </c>
      <c r="G7926" s="67" t="str">
        <f t="shared" si="780"/>
        <v/>
      </c>
      <c r="H7926" s="68"/>
      <c r="I7926" s="30"/>
      <c r="J7926" s="152">
        <v>0</v>
      </c>
      <c r="L7926" s="222"/>
      <c r="M7926" s="66"/>
      <c r="N7926" s="67" t="str">
        <f t="shared" si="781"/>
        <v/>
      </c>
      <c r="O7926" s="68"/>
      <c r="P7926" s="36" t="str">
        <f t="shared" si="782"/>
        <v/>
      </c>
      <c r="Q7926" s="216" t="str">
        <f t="shared" si="783"/>
        <v/>
      </c>
      <c r="R7926" s="216" t="str">
        <f t="shared" si="784"/>
        <v/>
      </c>
      <c r="S7926" s="217" t="str">
        <f t="shared" si="785"/>
        <v/>
      </c>
    </row>
    <row r="7927" spans="1:19" ht="15.75" hidden="1" thickBot="1" x14ac:dyDescent="0.3">
      <c r="A7927" s="256" t="s">
        <v>6911</v>
      </c>
      <c r="B7927" s="259" t="str">
        <f>INDEX(Orçamentária!A:B,MATCH(Composições!A7927,Orçamentária!A:A,0),2)</f>
        <v>Luva de correr PVC esgoto ou águas pluviais 50 mm</v>
      </c>
      <c r="C7927" s="40"/>
      <c r="D7927" s="25" t="s">
        <v>16</v>
      </c>
      <c r="E7927" s="26"/>
      <c r="F7927" s="41" t="s">
        <v>416</v>
      </c>
      <c r="G7927" s="27" t="str">
        <f t="shared" si="780"/>
        <v/>
      </c>
      <c r="H7927" s="28"/>
      <c r="I7927" s="29"/>
      <c r="J7927" s="152">
        <v>0</v>
      </c>
      <c r="L7927" s="218"/>
      <c r="M7927" s="41"/>
      <c r="N7927" s="27" t="str">
        <f t="shared" si="781"/>
        <v/>
      </c>
      <c r="O7927" s="28"/>
      <c r="P7927" s="36" t="str">
        <f t="shared" si="782"/>
        <v/>
      </c>
      <c r="Q7927" s="216" t="str">
        <f t="shared" si="783"/>
        <v/>
      </c>
      <c r="R7927" s="216" t="str">
        <f t="shared" si="784"/>
        <v/>
      </c>
      <c r="S7927" s="217" t="str">
        <f t="shared" si="785"/>
        <v/>
      </c>
    </row>
    <row r="7928" spans="1:19" ht="15.75" hidden="1" thickBot="1" x14ac:dyDescent="0.3">
      <c r="A7928" s="257"/>
      <c r="B7928" s="260"/>
      <c r="C7928" s="31"/>
      <c r="D7928" s="31"/>
      <c r="E7928" s="32"/>
      <c r="F7928" s="42" t="s">
        <v>416</v>
      </c>
      <c r="G7928" s="33" t="str">
        <f t="shared" si="780"/>
        <v/>
      </c>
      <c r="H7928" s="34"/>
      <c r="I7928" s="30"/>
      <c r="J7928" s="152">
        <v>0</v>
      </c>
      <c r="L7928" s="219"/>
      <c r="M7928" s="42"/>
      <c r="N7928" s="33" t="str">
        <f t="shared" si="781"/>
        <v/>
      </c>
      <c r="O7928" s="34"/>
      <c r="P7928" s="36" t="str">
        <f t="shared" si="782"/>
        <v/>
      </c>
      <c r="Q7928" s="216" t="str">
        <f t="shared" si="783"/>
        <v/>
      </c>
      <c r="R7928" s="216" t="str">
        <f t="shared" si="784"/>
        <v/>
      </c>
      <c r="S7928" s="217" t="str">
        <f t="shared" si="785"/>
        <v/>
      </c>
    </row>
    <row r="7929" spans="1:19" ht="15.75" hidden="1" thickBot="1" x14ac:dyDescent="0.3">
      <c r="A7929" s="257"/>
      <c r="B7929" s="260"/>
      <c r="C7929" s="35" t="s">
        <v>8250</v>
      </c>
      <c r="D7929" s="35" t="s">
        <v>213</v>
      </c>
      <c r="E7929" s="36">
        <v>1</v>
      </c>
      <c r="F7929" s="30">
        <v>11.058</v>
      </c>
      <c r="G7929" s="33">
        <f t="shared" si="780"/>
        <v>11.058</v>
      </c>
      <c r="H7929" s="38">
        <f>SUM(G7929:G7929)</f>
        <v>11.058</v>
      </c>
      <c r="I7929" s="39"/>
      <c r="J7929" s="152">
        <v>0</v>
      </c>
      <c r="L7929" s="215">
        <v>1</v>
      </c>
      <c r="M7929" s="30">
        <v>9.4656479999999998</v>
      </c>
      <c r="N7929" s="33">
        <f t="shared" si="781"/>
        <v>9.4656479999999998</v>
      </c>
      <c r="O7929" s="38">
        <f>SUM(N7929:N7929)</f>
        <v>9.4656479999999998</v>
      </c>
      <c r="P7929" s="36" t="str">
        <f t="shared" si="782"/>
        <v/>
      </c>
      <c r="Q7929" s="216">
        <f t="shared" si="783"/>
        <v>0.14400000000000002</v>
      </c>
      <c r="R7929" s="216">
        <f t="shared" si="784"/>
        <v>0.14400000000000002</v>
      </c>
      <c r="S7929" s="217">
        <f t="shared" si="785"/>
        <v>0.14400000000000002</v>
      </c>
    </row>
    <row r="7930" spans="1:19" ht="15.75" hidden="1" thickBot="1" x14ac:dyDescent="0.3">
      <c r="A7930" s="258"/>
      <c r="B7930" s="261"/>
      <c r="C7930" s="54"/>
      <c r="D7930" s="54"/>
      <c r="E7930" s="65"/>
      <c r="F7930" s="66" t="s">
        <v>416</v>
      </c>
      <c r="G7930" s="67" t="str">
        <f t="shared" si="780"/>
        <v/>
      </c>
      <c r="H7930" s="68"/>
      <c r="I7930" s="30"/>
      <c r="J7930" s="152">
        <v>0</v>
      </c>
      <c r="L7930" s="222"/>
      <c r="M7930" s="66"/>
      <c r="N7930" s="67" t="str">
        <f t="shared" si="781"/>
        <v/>
      </c>
      <c r="O7930" s="68"/>
      <c r="P7930" s="36" t="str">
        <f t="shared" si="782"/>
        <v/>
      </c>
      <c r="Q7930" s="216" t="str">
        <f t="shared" si="783"/>
        <v/>
      </c>
      <c r="R7930" s="216" t="str">
        <f t="shared" si="784"/>
        <v/>
      </c>
      <c r="S7930" s="217" t="str">
        <f t="shared" si="785"/>
        <v/>
      </c>
    </row>
    <row r="7931" spans="1:19" ht="15.75" hidden="1" thickBot="1" x14ac:dyDescent="0.3">
      <c r="A7931" s="256" t="s">
        <v>6912</v>
      </c>
      <c r="B7931" s="259" t="str">
        <f>INDEX(Orçamentária!A:B,MATCH(Composições!A7931,Orçamentária!A:A,0),2)</f>
        <v>Junção PVC esgoto ou águas pluviais 50 mm</v>
      </c>
      <c r="C7931" s="40"/>
      <c r="D7931" s="25" t="s">
        <v>16</v>
      </c>
      <c r="E7931" s="26"/>
      <c r="F7931" s="41" t="s">
        <v>416</v>
      </c>
      <c r="G7931" s="27" t="str">
        <f t="shared" si="780"/>
        <v/>
      </c>
      <c r="H7931" s="28"/>
      <c r="I7931" s="29"/>
      <c r="J7931" s="152">
        <v>0</v>
      </c>
      <c r="L7931" s="218"/>
      <c r="M7931" s="41"/>
      <c r="N7931" s="27" t="str">
        <f t="shared" si="781"/>
        <v/>
      </c>
      <c r="O7931" s="28"/>
      <c r="P7931" s="36" t="str">
        <f t="shared" si="782"/>
        <v/>
      </c>
      <c r="Q7931" s="216" t="str">
        <f t="shared" si="783"/>
        <v/>
      </c>
      <c r="R7931" s="216" t="str">
        <f t="shared" si="784"/>
        <v/>
      </c>
      <c r="S7931" s="217" t="str">
        <f t="shared" si="785"/>
        <v/>
      </c>
    </row>
    <row r="7932" spans="1:19" ht="15.75" hidden="1" thickBot="1" x14ac:dyDescent="0.3">
      <c r="A7932" s="257"/>
      <c r="B7932" s="260"/>
      <c r="C7932" s="31"/>
      <c r="D7932" s="31"/>
      <c r="E7932" s="32"/>
      <c r="F7932" s="42" t="s">
        <v>416</v>
      </c>
      <c r="G7932" s="33" t="str">
        <f t="shared" si="780"/>
        <v/>
      </c>
      <c r="H7932" s="34"/>
      <c r="I7932" s="30"/>
      <c r="J7932" s="152">
        <v>0</v>
      </c>
      <c r="L7932" s="219"/>
      <c r="M7932" s="42"/>
      <c r="N7932" s="33" t="str">
        <f t="shared" si="781"/>
        <v/>
      </c>
      <c r="O7932" s="34"/>
      <c r="P7932" s="36" t="str">
        <f t="shared" si="782"/>
        <v/>
      </c>
      <c r="Q7932" s="216" t="str">
        <f t="shared" si="783"/>
        <v/>
      </c>
      <c r="R7932" s="216" t="str">
        <f t="shared" si="784"/>
        <v/>
      </c>
      <c r="S7932" s="217" t="str">
        <f t="shared" si="785"/>
        <v/>
      </c>
    </row>
    <row r="7933" spans="1:19" ht="26.25" hidden="1" thickBot="1" x14ac:dyDescent="0.3">
      <c r="A7933" s="257"/>
      <c r="B7933" s="260"/>
      <c r="C7933" s="35" t="s">
        <v>8218</v>
      </c>
      <c r="D7933" s="35" t="s">
        <v>213</v>
      </c>
      <c r="E7933" s="36">
        <v>1</v>
      </c>
      <c r="F7933" s="30">
        <v>9.69</v>
      </c>
      <c r="G7933" s="33">
        <f t="shared" si="780"/>
        <v>9.69</v>
      </c>
      <c r="H7933" s="38">
        <f>SUM(G7933:G7933)</f>
        <v>9.69</v>
      </c>
      <c r="I7933" s="39"/>
      <c r="J7933" s="152">
        <v>0</v>
      </c>
      <c r="L7933" s="215">
        <v>1</v>
      </c>
      <c r="M7933" s="30">
        <v>8.2946399999999993</v>
      </c>
      <c r="N7933" s="33">
        <f t="shared" si="781"/>
        <v>8.2946399999999993</v>
      </c>
      <c r="O7933" s="38">
        <f>SUM(N7933:N7933)</f>
        <v>8.2946399999999993</v>
      </c>
      <c r="P7933" s="36" t="str">
        <f t="shared" si="782"/>
        <v/>
      </c>
      <c r="Q7933" s="216">
        <f t="shared" si="783"/>
        <v>0.14400000000000002</v>
      </c>
      <c r="R7933" s="216">
        <f t="shared" si="784"/>
        <v>0.14400000000000002</v>
      </c>
      <c r="S7933" s="217">
        <f t="shared" si="785"/>
        <v>0.14400000000000002</v>
      </c>
    </row>
    <row r="7934" spans="1:19" ht="15.75" hidden="1" thickBot="1" x14ac:dyDescent="0.3">
      <c r="A7934" s="258"/>
      <c r="B7934" s="261"/>
      <c r="C7934" s="54"/>
      <c r="D7934" s="54"/>
      <c r="E7934" s="65"/>
      <c r="F7934" s="66" t="s">
        <v>416</v>
      </c>
      <c r="G7934" s="67" t="str">
        <f t="shared" si="780"/>
        <v/>
      </c>
      <c r="H7934" s="68"/>
      <c r="I7934" s="30"/>
      <c r="J7934" s="152">
        <v>0</v>
      </c>
      <c r="L7934" s="222"/>
      <c r="M7934" s="66"/>
      <c r="N7934" s="67" t="str">
        <f t="shared" si="781"/>
        <v/>
      </c>
      <c r="O7934" s="68"/>
      <c r="P7934" s="36" t="str">
        <f t="shared" si="782"/>
        <v/>
      </c>
      <c r="Q7934" s="216" t="str">
        <f t="shared" si="783"/>
        <v/>
      </c>
      <c r="R7934" s="216" t="str">
        <f t="shared" si="784"/>
        <v/>
      </c>
      <c r="S7934" s="217" t="str">
        <f t="shared" si="785"/>
        <v/>
      </c>
    </row>
    <row r="7935" spans="1:19" ht="15.75" hidden="1" thickBot="1" x14ac:dyDescent="0.3">
      <c r="A7935" s="256" t="s">
        <v>6913</v>
      </c>
      <c r="B7935" s="259" t="str">
        <f>INDEX(Orçamentária!A:B,MATCH(Composições!A7935,Orçamentária!A:A,0),2)</f>
        <v>Tê PVC esgoto ou águas pluviais 50 mm</v>
      </c>
      <c r="C7935" s="40"/>
      <c r="D7935" s="25" t="s">
        <v>16</v>
      </c>
      <c r="E7935" s="26"/>
      <c r="F7935" s="41" t="s">
        <v>416</v>
      </c>
      <c r="G7935" s="27" t="str">
        <f t="shared" si="780"/>
        <v/>
      </c>
      <c r="H7935" s="28"/>
      <c r="I7935" s="29"/>
      <c r="J7935" s="152">
        <v>0</v>
      </c>
      <c r="L7935" s="218"/>
      <c r="M7935" s="41"/>
      <c r="N7935" s="27" t="str">
        <f t="shared" si="781"/>
        <v/>
      </c>
      <c r="O7935" s="28"/>
      <c r="P7935" s="36" t="str">
        <f t="shared" si="782"/>
        <v/>
      </c>
      <c r="Q7935" s="216" t="str">
        <f t="shared" si="783"/>
        <v/>
      </c>
      <c r="R7935" s="216" t="str">
        <f t="shared" si="784"/>
        <v/>
      </c>
      <c r="S7935" s="217" t="str">
        <f t="shared" si="785"/>
        <v/>
      </c>
    </row>
    <row r="7936" spans="1:19" ht="15.75" hidden="1" thickBot="1" x14ac:dyDescent="0.3">
      <c r="A7936" s="257"/>
      <c r="B7936" s="260"/>
      <c r="C7936" s="31"/>
      <c r="D7936" s="31"/>
      <c r="E7936" s="32"/>
      <c r="F7936" s="42" t="s">
        <v>416</v>
      </c>
      <c r="G7936" s="33" t="str">
        <f t="shared" si="780"/>
        <v/>
      </c>
      <c r="H7936" s="34"/>
      <c r="I7936" s="30"/>
      <c r="J7936" s="152">
        <v>0</v>
      </c>
      <c r="L7936" s="219"/>
      <c r="M7936" s="42"/>
      <c r="N7936" s="33" t="str">
        <f t="shared" si="781"/>
        <v/>
      </c>
      <c r="O7936" s="34"/>
      <c r="P7936" s="36" t="str">
        <f t="shared" si="782"/>
        <v/>
      </c>
      <c r="Q7936" s="216" t="str">
        <f t="shared" si="783"/>
        <v/>
      </c>
      <c r="R7936" s="216" t="str">
        <f t="shared" si="784"/>
        <v/>
      </c>
      <c r="S7936" s="217" t="str">
        <f t="shared" si="785"/>
        <v/>
      </c>
    </row>
    <row r="7937" spans="1:19" ht="26.25" hidden="1" thickBot="1" x14ac:dyDescent="0.3">
      <c r="A7937" s="257"/>
      <c r="B7937" s="260"/>
      <c r="C7937" s="35" t="s">
        <v>8409</v>
      </c>
      <c r="D7937" s="35" t="s">
        <v>213</v>
      </c>
      <c r="E7937" s="36">
        <v>1</v>
      </c>
      <c r="F7937" s="30">
        <v>7.3814999999999991</v>
      </c>
      <c r="G7937" s="33">
        <f t="shared" si="780"/>
        <v>7.3814999999999991</v>
      </c>
      <c r="H7937" s="38">
        <f>SUM(G7937:G7937)</f>
        <v>7.3814999999999991</v>
      </c>
      <c r="I7937" s="39"/>
      <c r="J7937" s="152">
        <v>0</v>
      </c>
      <c r="L7937" s="215">
        <v>1</v>
      </c>
      <c r="M7937" s="30">
        <v>6.3185639999999994</v>
      </c>
      <c r="N7937" s="33">
        <f t="shared" si="781"/>
        <v>6.3185639999999994</v>
      </c>
      <c r="O7937" s="38">
        <f>SUM(N7937:N7937)</f>
        <v>6.3185639999999994</v>
      </c>
      <c r="P7937" s="36" t="str">
        <f t="shared" si="782"/>
        <v/>
      </c>
      <c r="Q7937" s="216">
        <f t="shared" si="783"/>
        <v>0.14400000000000002</v>
      </c>
      <c r="R7937" s="216">
        <f t="shared" si="784"/>
        <v>0.14400000000000002</v>
      </c>
      <c r="S7937" s="217">
        <f t="shared" si="785"/>
        <v>0.14400000000000002</v>
      </c>
    </row>
    <row r="7938" spans="1:19" ht="15.75" hidden="1" thickBot="1" x14ac:dyDescent="0.3">
      <c r="A7938" s="258"/>
      <c r="B7938" s="261"/>
      <c r="C7938" s="54"/>
      <c r="D7938" s="54"/>
      <c r="E7938" s="65"/>
      <c r="F7938" s="66" t="s">
        <v>416</v>
      </c>
      <c r="G7938" s="67" t="str">
        <f t="shared" ref="G7938:G8001" si="786">IF(ISNUMBER(F7938),E7938*F7938,"")</f>
        <v/>
      </c>
      <c r="H7938" s="68"/>
      <c r="I7938" s="30"/>
      <c r="J7938" s="152">
        <v>0</v>
      </c>
      <c r="L7938" s="222"/>
      <c r="M7938" s="66"/>
      <c r="N7938" s="67" t="str">
        <f t="shared" ref="N7938:N8001" si="787">IF(ISNUMBER(M7938),L7938*M7938,"")</f>
        <v/>
      </c>
      <c r="O7938" s="68"/>
      <c r="P7938" s="36" t="str">
        <f t="shared" si="782"/>
        <v/>
      </c>
      <c r="Q7938" s="216" t="str">
        <f t="shared" si="783"/>
        <v/>
      </c>
      <c r="R7938" s="216" t="str">
        <f t="shared" si="784"/>
        <v/>
      </c>
      <c r="S7938" s="217" t="str">
        <f t="shared" si="785"/>
        <v/>
      </c>
    </row>
    <row r="7939" spans="1:19" ht="15.75" hidden="1" thickBot="1" x14ac:dyDescent="0.3">
      <c r="A7939" s="256" t="s">
        <v>6914</v>
      </c>
      <c r="B7939" s="259" t="str">
        <f>INDEX(Orçamentária!A:B,MATCH(Composições!A7939,Orçamentária!A:A,0),2)</f>
        <v>Joelho 90° com anel PVC esgoto ou águas pluviais 50 mm</v>
      </c>
      <c r="C7939" s="40"/>
      <c r="D7939" s="25" t="s">
        <v>16</v>
      </c>
      <c r="E7939" s="26"/>
      <c r="F7939" s="41" t="s">
        <v>416</v>
      </c>
      <c r="G7939" s="27" t="str">
        <f t="shared" si="786"/>
        <v/>
      </c>
      <c r="H7939" s="28"/>
      <c r="I7939" s="29"/>
      <c r="J7939" s="152">
        <v>0</v>
      </c>
      <c r="L7939" s="218"/>
      <c r="M7939" s="41"/>
      <c r="N7939" s="27" t="str">
        <f t="shared" si="787"/>
        <v/>
      </c>
      <c r="O7939" s="28"/>
      <c r="P7939" s="36" t="str">
        <f t="shared" si="782"/>
        <v/>
      </c>
      <c r="Q7939" s="216" t="str">
        <f t="shared" si="783"/>
        <v/>
      </c>
      <c r="R7939" s="216" t="str">
        <f t="shared" si="784"/>
        <v/>
      </c>
      <c r="S7939" s="217" t="str">
        <f t="shared" si="785"/>
        <v/>
      </c>
    </row>
    <row r="7940" spans="1:19" ht="15.75" hidden="1" thickBot="1" x14ac:dyDescent="0.3">
      <c r="A7940" s="257"/>
      <c r="B7940" s="260"/>
      <c r="C7940" s="31"/>
      <c r="D7940" s="31"/>
      <c r="E7940" s="32"/>
      <c r="F7940" s="42" t="s">
        <v>416</v>
      </c>
      <c r="G7940" s="33" t="str">
        <f t="shared" si="786"/>
        <v/>
      </c>
      <c r="H7940" s="34"/>
      <c r="I7940" s="30"/>
      <c r="J7940" s="152">
        <v>0</v>
      </c>
      <c r="L7940" s="219"/>
      <c r="M7940" s="42"/>
      <c r="N7940" s="33" t="str">
        <f t="shared" si="787"/>
        <v/>
      </c>
      <c r="O7940" s="34"/>
      <c r="P7940" s="36" t="str">
        <f t="shared" si="782"/>
        <v/>
      </c>
      <c r="Q7940" s="216" t="str">
        <f t="shared" si="783"/>
        <v/>
      </c>
      <c r="R7940" s="216" t="str">
        <f t="shared" si="784"/>
        <v/>
      </c>
      <c r="S7940" s="217" t="str">
        <f t="shared" si="785"/>
        <v/>
      </c>
    </row>
    <row r="7941" spans="1:19" ht="15.75" hidden="1" thickBot="1" x14ac:dyDescent="0.3">
      <c r="A7941" s="257"/>
      <c r="B7941" s="260"/>
      <c r="C7941" s="35" t="s">
        <v>7941</v>
      </c>
      <c r="D7941" s="35" t="s">
        <v>16</v>
      </c>
      <c r="E7941" s="36">
        <v>1</v>
      </c>
      <c r="F7941" s="30">
        <v>0</v>
      </c>
      <c r="G7941" s="33">
        <f t="shared" si="786"/>
        <v>0</v>
      </c>
      <c r="H7941" s="38">
        <f>SUM(G7941:G7941)</f>
        <v>0</v>
      </c>
      <c r="I7941" s="39"/>
      <c r="J7941" s="152">
        <v>0</v>
      </c>
      <c r="L7941" s="215">
        <v>1</v>
      </c>
      <c r="M7941" s="30">
        <v>0</v>
      </c>
      <c r="N7941" s="33">
        <f t="shared" si="787"/>
        <v>0</v>
      </c>
      <c r="O7941" s="38">
        <f>SUM(N7941:N7941)</f>
        <v>0</v>
      </c>
      <c r="P7941" s="36" t="str">
        <f t="shared" si="782"/>
        <v/>
      </c>
      <c r="Q7941" s="216" t="e">
        <f t="shared" si="783"/>
        <v>#DIV/0!</v>
      </c>
      <c r="R7941" s="216" t="e">
        <f t="shared" si="784"/>
        <v>#DIV/0!</v>
      </c>
      <c r="S7941" s="217" t="e">
        <f t="shared" si="785"/>
        <v>#DIV/0!</v>
      </c>
    </row>
    <row r="7942" spans="1:19" ht="15.75" hidden="1" thickBot="1" x14ac:dyDescent="0.3">
      <c r="A7942" s="258"/>
      <c r="B7942" s="261"/>
      <c r="C7942" s="54"/>
      <c r="D7942" s="54"/>
      <c r="E7942" s="65"/>
      <c r="F7942" s="66" t="s">
        <v>416</v>
      </c>
      <c r="G7942" s="67" t="str">
        <f t="shared" si="786"/>
        <v/>
      </c>
      <c r="H7942" s="68"/>
      <c r="I7942" s="30"/>
      <c r="J7942" s="152">
        <v>0</v>
      </c>
      <c r="L7942" s="222"/>
      <c r="M7942" s="66"/>
      <c r="N7942" s="67" t="str">
        <f t="shared" si="787"/>
        <v/>
      </c>
      <c r="O7942" s="68"/>
      <c r="P7942" s="36" t="str">
        <f t="shared" si="782"/>
        <v/>
      </c>
      <c r="Q7942" s="216" t="str">
        <f t="shared" si="783"/>
        <v/>
      </c>
      <c r="R7942" s="216" t="str">
        <f t="shared" si="784"/>
        <v/>
      </c>
      <c r="S7942" s="217" t="str">
        <f t="shared" si="785"/>
        <v/>
      </c>
    </row>
    <row r="7943" spans="1:19" ht="15.75" hidden="1" thickBot="1" x14ac:dyDescent="0.3">
      <c r="A7943" s="256" t="s">
        <v>6915</v>
      </c>
      <c r="B7943" s="259" t="str">
        <f>INDEX(Orçamentária!A:B,MATCH(Composições!A7943,Orçamentária!A:A,0),2)</f>
        <v>Joelho 90° PVC esgoto ou águas pluviais 50 mm</v>
      </c>
      <c r="C7943" s="40"/>
      <c r="D7943" s="25" t="s">
        <v>16</v>
      </c>
      <c r="E7943" s="26"/>
      <c r="F7943" s="41" t="s">
        <v>416</v>
      </c>
      <c r="G7943" s="27" t="str">
        <f t="shared" si="786"/>
        <v/>
      </c>
      <c r="H7943" s="28"/>
      <c r="I7943" s="29"/>
      <c r="J7943" s="152">
        <v>0</v>
      </c>
      <c r="L7943" s="218"/>
      <c r="M7943" s="41"/>
      <c r="N7943" s="27" t="str">
        <f t="shared" si="787"/>
        <v/>
      </c>
      <c r="O7943" s="28"/>
      <c r="P7943" s="36" t="str">
        <f t="shared" si="782"/>
        <v/>
      </c>
      <c r="Q7943" s="216" t="str">
        <f t="shared" si="783"/>
        <v/>
      </c>
      <c r="R7943" s="216" t="str">
        <f t="shared" si="784"/>
        <v/>
      </c>
      <c r="S7943" s="217" t="str">
        <f t="shared" si="785"/>
        <v/>
      </c>
    </row>
    <row r="7944" spans="1:19" ht="15.75" hidden="1" thickBot="1" x14ac:dyDescent="0.3">
      <c r="A7944" s="257"/>
      <c r="B7944" s="260"/>
      <c r="C7944" s="31"/>
      <c r="D7944" s="31"/>
      <c r="E7944" s="32"/>
      <c r="F7944" s="42" t="s">
        <v>416</v>
      </c>
      <c r="G7944" s="33" t="str">
        <f t="shared" si="786"/>
        <v/>
      </c>
      <c r="H7944" s="34"/>
      <c r="I7944" s="30"/>
      <c r="J7944" s="152">
        <v>0</v>
      </c>
      <c r="L7944" s="219"/>
      <c r="M7944" s="42"/>
      <c r="N7944" s="33" t="str">
        <f t="shared" si="787"/>
        <v/>
      </c>
      <c r="O7944" s="34"/>
      <c r="P7944" s="36" t="str">
        <f t="shared" ref="P7944:P8007" si="788">IF(ISBLANK(L7944),"",IF($E7944&lt;&gt;L7944,"SIM",""))</f>
        <v/>
      </c>
      <c r="Q7944" s="216" t="str">
        <f t="shared" ref="Q7944:Q8007" si="789">IF(M7944="","",1-M7944/$F7944)</f>
        <v/>
      </c>
      <c r="R7944" s="216" t="str">
        <f t="shared" ref="R7944:R8007" si="790">IF(N7944="","",1-N7944/$G7944)</f>
        <v/>
      </c>
      <c r="S7944" s="217" t="str">
        <f t="shared" ref="S7944:S8007" si="791">IF(O7944="","",1-O7944/$H7944)</f>
        <v/>
      </c>
    </row>
    <row r="7945" spans="1:19" ht="26.25" hidden="1" thickBot="1" x14ac:dyDescent="0.3">
      <c r="A7945" s="257"/>
      <c r="B7945" s="260"/>
      <c r="C7945" s="35" t="s">
        <v>8196</v>
      </c>
      <c r="D7945" s="35" t="s">
        <v>213</v>
      </c>
      <c r="E7945" s="36">
        <v>1</v>
      </c>
      <c r="F7945" s="30">
        <v>3.0114999999999998</v>
      </c>
      <c r="G7945" s="33">
        <f t="shared" si="786"/>
        <v>3.0114999999999998</v>
      </c>
      <c r="H7945" s="38">
        <f>SUM(G7945:G7945)</f>
        <v>3.0114999999999998</v>
      </c>
      <c r="I7945" s="39"/>
      <c r="J7945" s="152">
        <v>0</v>
      </c>
      <c r="L7945" s="215">
        <v>1</v>
      </c>
      <c r="M7945" s="30">
        <v>2.5778439999999998</v>
      </c>
      <c r="N7945" s="33">
        <f t="shared" si="787"/>
        <v>2.5778439999999998</v>
      </c>
      <c r="O7945" s="38">
        <f>SUM(N7945:N7945)</f>
        <v>2.5778439999999998</v>
      </c>
      <c r="P7945" s="36" t="str">
        <f t="shared" si="788"/>
        <v/>
      </c>
      <c r="Q7945" s="216">
        <f t="shared" si="789"/>
        <v>0.14400000000000002</v>
      </c>
      <c r="R7945" s="216">
        <f t="shared" si="790"/>
        <v>0.14400000000000002</v>
      </c>
      <c r="S7945" s="217">
        <f t="shared" si="791"/>
        <v>0.14400000000000002</v>
      </c>
    </row>
    <row r="7946" spans="1:19" ht="15.75" hidden="1" thickBot="1" x14ac:dyDescent="0.3">
      <c r="A7946" s="258"/>
      <c r="B7946" s="261"/>
      <c r="C7946" s="54"/>
      <c r="D7946" s="54"/>
      <c r="E7946" s="65"/>
      <c r="F7946" s="66" t="s">
        <v>416</v>
      </c>
      <c r="G7946" s="67" t="str">
        <f t="shared" si="786"/>
        <v/>
      </c>
      <c r="H7946" s="68"/>
      <c r="I7946" s="30"/>
      <c r="J7946" s="152">
        <v>0</v>
      </c>
      <c r="L7946" s="222"/>
      <c r="M7946" s="66"/>
      <c r="N7946" s="67" t="str">
        <f t="shared" si="787"/>
        <v/>
      </c>
      <c r="O7946" s="68"/>
      <c r="P7946" s="36" t="str">
        <f t="shared" si="788"/>
        <v/>
      </c>
      <c r="Q7946" s="216" t="str">
        <f t="shared" si="789"/>
        <v/>
      </c>
      <c r="R7946" s="216" t="str">
        <f t="shared" si="790"/>
        <v/>
      </c>
      <c r="S7946" s="217" t="str">
        <f t="shared" si="791"/>
        <v/>
      </c>
    </row>
    <row r="7947" spans="1:19" ht="15.75" hidden="1" thickBot="1" x14ac:dyDescent="0.3">
      <c r="A7947" s="256" t="s">
        <v>6916</v>
      </c>
      <c r="B7947" s="259" t="str">
        <f>INDEX(Orçamentária!A:B,MATCH(Composições!A7947,Orçamentária!A:A,0),2)</f>
        <v>Cap PVC esgoto ou águas pluviais 50 mm</v>
      </c>
      <c r="C7947" s="40"/>
      <c r="D7947" s="25" t="s">
        <v>16</v>
      </c>
      <c r="E7947" s="26"/>
      <c r="F7947" s="41" t="s">
        <v>416</v>
      </c>
      <c r="G7947" s="27" t="str">
        <f t="shared" si="786"/>
        <v/>
      </c>
      <c r="H7947" s="28"/>
      <c r="I7947" s="29"/>
      <c r="J7947" s="152">
        <v>0</v>
      </c>
      <c r="L7947" s="218"/>
      <c r="M7947" s="41"/>
      <c r="N7947" s="27" t="str">
        <f t="shared" si="787"/>
        <v/>
      </c>
      <c r="O7947" s="28"/>
      <c r="P7947" s="36" t="str">
        <f t="shared" si="788"/>
        <v/>
      </c>
      <c r="Q7947" s="216" t="str">
        <f t="shared" si="789"/>
        <v/>
      </c>
      <c r="R7947" s="216" t="str">
        <f t="shared" si="790"/>
        <v/>
      </c>
      <c r="S7947" s="217" t="str">
        <f t="shared" si="791"/>
        <v/>
      </c>
    </row>
    <row r="7948" spans="1:19" ht="15.75" hidden="1" thickBot="1" x14ac:dyDescent="0.3">
      <c r="A7948" s="257"/>
      <c r="B7948" s="260"/>
      <c r="C7948" s="31"/>
      <c r="D7948" s="31"/>
      <c r="E7948" s="32"/>
      <c r="F7948" s="42" t="s">
        <v>416</v>
      </c>
      <c r="G7948" s="33" t="str">
        <f t="shared" si="786"/>
        <v/>
      </c>
      <c r="H7948" s="34"/>
      <c r="I7948" s="30"/>
      <c r="J7948" s="152">
        <v>0</v>
      </c>
      <c r="L7948" s="219"/>
      <c r="M7948" s="42"/>
      <c r="N7948" s="33" t="str">
        <f t="shared" si="787"/>
        <v/>
      </c>
      <c r="O7948" s="34"/>
      <c r="P7948" s="36" t="str">
        <f t="shared" si="788"/>
        <v/>
      </c>
      <c r="Q7948" s="216" t="str">
        <f t="shared" si="789"/>
        <v/>
      </c>
      <c r="R7948" s="216" t="str">
        <f t="shared" si="790"/>
        <v/>
      </c>
      <c r="S7948" s="217" t="str">
        <f t="shared" si="791"/>
        <v/>
      </c>
    </row>
    <row r="7949" spans="1:19" ht="26.25" hidden="1" thickBot="1" x14ac:dyDescent="0.3">
      <c r="A7949" s="257"/>
      <c r="B7949" s="260"/>
      <c r="C7949" s="35" t="s">
        <v>8049</v>
      </c>
      <c r="D7949" s="35" t="s">
        <v>213</v>
      </c>
      <c r="E7949" s="36">
        <v>1</v>
      </c>
      <c r="F7949" s="30">
        <v>4.3984999999999994</v>
      </c>
      <c r="G7949" s="33">
        <f t="shared" si="786"/>
        <v>4.3984999999999994</v>
      </c>
      <c r="H7949" s="38">
        <f>SUM(G7949:G7949)</f>
        <v>4.3984999999999994</v>
      </c>
      <c r="I7949" s="39"/>
      <c r="J7949" s="152">
        <v>0</v>
      </c>
      <c r="L7949" s="215">
        <v>1</v>
      </c>
      <c r="M7949" s="30">
        <v>3.7651159999999995</v>
      </c>
      <c r="N7949" s="33">
        <f t="shared" si="787"/>
        <v>3.7651159999999995</v>
      </c>
      <c r="O7949" s="38">
        <f>SUM(N7949:N7949)</f>
        <v>3.7651159999999995</v>
      </c>
      <c r="P7949" s="36" t="str">
        <f t="shared" si="788"/>
        <v/>
      </c>
      <c r="Q7949" s="216">
        <f t="shared" si="789"/>
        <v>0.14400000000000002</v>
      </c>
      <c r="R7949" s="216">
        <f t="shared" si="790"/>
        <v>0.14400000000000002</v>
      </c>
      <c r="S7949" s="217">
        <f t="shared" si="791"/>
        <v>0.14400000000000002</v>
      </c>
    </row>
    <row r="7950" spans="1:19" ht="15.75" hidden="1" thickBot="1" x14ac:dyDescent="0.3">
      <c r="A7950" s="258"/>
      <c r="B7950" s="261"/>
      <c r="C7950" s="54"/>
      <c r="D7950" s="54"/>
      <c r="E7950" s="65"/>
      <c r="F7950" s="66" t="s">
        <v>416</v>
      </c>
      <c r="G7950" s="67" t="str">
        <f t="shared" si="786"/>
        <v/>
      </c>
      <c r="H7950" s="68"/>
      <c r="I7950" s="30"/>
      <c r="J7950" s="152">
        <v>0</v>
      </c>
      <c r="L7950" s="222"/>
      <c r="M7950" s="66"/>
      <c r="N7950" s="67" t="str">
        <f t="shared" si="787"/>
        <v/>
      </c>
      <c r="O7950" s="68"/>
      <c r="P7950" s="36" t="str">
        <f t="shared" si="788"/>
        <v/>
      </c>
      <c r="Q7950" s="216" t="str">
        <f t="shared" si="789"/>
        <v/>
      </c>
      <c r="R7950" s="216" t="str">
        <f t="shared" si="790"/>
        <v/>
      </c>
      <c r="S7950" s="217" t="str">
        <f t="shared" si="791"/>
        <v/>
      </c>
    </row>
    <row r="7951" spans="1:19" ht="15.75" hidden="1" thickBot="1" x14ac:dyDescent="0.3">
      <c r="A7951" s="256" t="s">
        <v>6917</v>
      </c>
      <c r="B7951" s="259" t="str">
        <f>INDEX(Orçamentária!A:B,MATCH(Composições!A7951,Orçamentária!A:A,0),2)</f>
        <v>Bucha de redução PVC esgoto ou águas pluviais 50 x 40 mm</v>
      </c>
      <c r="C7951" s="40"/>
      <c r="D7951" s="25" t="s">
        <v>16</v>
      </c>
      <c r="E7951" s="26"/>
      <c r="F7951" s="41" t="s">
        <v>416</v>
      </c>
      <c r="G7951" s="27" t="str">
        <f t="shared" si="786"/>
        <v/>
      </c>
      <c r="H7951" s="28"/>
      <c r="I7951" s="29"/>
      <c r="J7951" s="152">
        <v>0</v>
      </c>
      <c r="L7951" s="218"/>
      <c r="M7951" s="41"/>
      <c r="N7951" s="27" t="str">
        <f t="shared" si="787"/>
        <v/>
      </c>
      <c r="O7951" s="28"/>
      <c r="P7951" s="36" t="str">
        <f t="shared" si="788"/>
        <v/>
      </c>
      <c r="Q7951" s="216" t="str">
        <f t="shared" si="789"/>
        <v/>
      </c>
      <c r="R7951" s="216" t="str">
        <f t="shared" si="790"/>
        <v/>
      </c>
      <c r="S7951" s="217" t="str">
        <f t="shared" si="791"/>
        <v/>
      </c>
    </row>
    <row r="7952" spans="1:19" ht="15.75" hidden="1" thickBot="1" x14ac:dyDescent="0.3">
      <c r="A7952" s="257"/>
      <c r="B7952" s="260"/>
      <c r="C7952" s="31"/>
      <c r="D7952" s="31"/>
      <c r="E7952" s="32"/>
      <c r="F7952" s="42" t="s">
        <v>416</v>
      </c>
      <c r="G7952" s="33" t="str">
        <f t="shared" si="786"/>
        <v/>
      </c>
      <c r="H7952" s="34"/>
      <c r="I7952" s="30"/>
      <c r="J7952" s="152">
        <v>0</v>
      </c>
      <c r="L7952" s="219"/>
      <c r="M7952" s="42"/>
      <c r="N7952" s="33" t="str">
        <f t="shared" si="787"/>
        <v/>
      </c>
      <c r="O7952" s="34"/>
      <c r="P7952" s="36" t="str">
        <f t="shared" si="788"/>
        <v/>
      </c>
      <c r="Q7952" s="216" t="str">
        <f t="shared" si="789"/>
        <v/>
      </c>
      <c r="R7952" s="216" t="str">
        <f t="shared" si="790"/>
        <v/>
      </c>
      <c r="S7952" s="217" t="str">
        <f t="shared" si="791"/>
        <v/>
      </c>
    </row>
    <row r="7953" spans="1:19" ht="26.25" hidden="1" thickBot="1" x14ac:dyDescent="0.3">
      <c r="A7953" s="257"/>
      <c r="B7953" s="260"/>
      <c r="C7953" s="35" t="s">
        <v>8024</v>
      </c>
      <c r="D7953" s="35" t="s">
        <v>213</v>
      </c>
      <c r="E7953" s="36">
        <v>1</v>
      </c>
      <c r="F7953" s="30">
        <v>5.2154999999999996</v>
      </c>
      <c r="G7953" s="33">
        <f t="shared" si="786"/>
        <v>5.2154999999999996</v>
      </c>
      <c r="H7953" s="38">
        <f>SUM(G7953:G7953)</f>
        <v>5.2154999999999996</v>
      </c>
      <c r="I7953" s="39"/>
      <c r="J7953" s="152">
        <v>0</v>
      </c>
      <c r="L7953" s="215">
        <v>1</v>
      </c>
      <c r="M7953" s="30">
        <v>4.4644680000000001</v>
      </c>
      <c r="N7953" s="33">
        <f t="shared" si="787"/>
        <v>4.4644680000000001</v>
      </c>
      <c r="O7953" s="38">
        <f>SUM(N7953:N7953)</f>
        <v>4.4644680000000001</v>
      </c>
      <c r="P7953" s="36" t="str">
        <f t="shared" si="788"/>
        <v/>
      </c>
      <c r="Q7953" s="216">
        <f t="shared" si="789"/>
        <v>0.14399999999999991</v>
      </c>
      <c r="R7953" s="216">
        <f t="shared" si="790"/>
        <v>0.14399999999999991</v>
      </c>
      <c r="S7953" s="217">
        <f t="shared" si="791"/>
        <v>0.14399999999999991</v>
      </c>
    </row>
    <row r="7954" spans="1:19" ht="15.75" hidden="1" thickBot="1" x14ac:dyDescent="0.3">
      <c r="A7954" s="258"/>
      <c r="B7954" s="261"/>
      <c r="C7954" s="54"/>
      <c r="D7954" s="54"/>
      <c r="E7954" s="65"/>
      <c r="F7954" s="66" t="s">
        <v>416</v>
      </c>
      <c r="G7954" s="67" t="str">
        <f t="shared" si="786"/>
        <v/>
      </c>
      <c r="H7954" s="68"/>
      <c r="I7954" s="30"/>
      <c r="J7954" s="152">
        <v>0</v>
      </c>
      <c r="L7954" s="222"/>
      <c r="M7954" s="66"/>
      <c r="N7954" s="67" t="str">
        <f t="shared" si="787"/>
        <v/>
      </c>
      <c r="O7954" s="68"/>
      <c r="P7954" s="36" t="str">
        <f t="shared" si="788"/>
        <v/>
      </c>
      <c r="Q7954" s="216" t="str">
        <f t="shared" si="789"/>
        <v/>
      </c>
      <c r="R7954" s="216" t="str">
        <f t="shared" si="790"/>
        <v/>
      </c>
      <c r="S7954" s="217" t="str">
        <f t="shared" si="791"/>
        <v/>
      </c>
    </row>
    <row r="7955" spans="1:19" ht="15.75" hidden="1" thickBot="1" x14ac:dyDescent="0.3">
      <c r="A7955" s="256" t="s">
        <v>6918</v>
      </c>
      <c r="B7955" s="259" t="str">
        <f>INDEX(Orçamentária!A:B,MATCH(Composições!A7955,Orçamentária!A:A,0),2)</f>
        <v>Curva longa 90° PVC esgoto ou águas pluviais 50 mm</v>
      </c>
      <c r="C7955" s="40"/>
      <c r="D7955" s="25" t="s">
        <v>16</v>
      </c>
      <c r="E7955" s="26"/>
      <c r="F7955" s="41" t="s">
        <v>416</v>
      </c>
      <c r="G7955" s="27" t="str">
        <f t="shared" si="786"/>
        <v/>
      </c>
      <c r="H7955" s="28"/>
      <c r="I7955" s="29"/>
      <c r="J7955" s="152">
        <v>0</v>
      </c>
      <c r="L7955" s="218"/>
      <c r="M7955" s="41"/>
      <c r="N7955" s="27" t="str">
        <f t="shared" si="787"/>
        <v/>
      </c>
      <c r="O7955" s="28"/>
      <c r="P7955" s="36" t="str">
        <f t="shared" si="788"/>
        <v/>
      </c>
      <c r="Q7955" s="216" t="str">
        <f t="shared" si="789"/>
        <v/>
      </c>
      <c r="R7955" s="216" t="str">
        <f t="shared" si="790"/>
        <v/>
      </c>
      <c r="S7955" s="217" t="str">
        <f t="shared" si="791"/>
        <v/>
      </c>
    </row>
    <row r="7956" spans="1:19" ht="15.75" hidden="1" thickBot="1" x14ac:dyDescent="0.3">
      <c r="A7956" s="257"/>
      <c r="B7956" s="260"/>
      <c r="C7956" s="31"/>
      <c r="D7956" s="31"/>
      <c r="E7956" s="32"/>
      <c r="F7956" s="42" t="s">
        <v>416</v>
      </c>
      <c r="G7956" s="33" t="str">
        <f t="shared" si="786"/>
        <v/>
      </c>
      <c r="H7956" s="34"/>
      <c r="I7956" s="30"/>
      <c r="J7956" s="152">
        <v>0</v>
      </c>
      <c r="L7956" s="219"/>
      <c r="M7956" s="42"/>
      <c r="N7956" s="33" t="str">
        <f t="shared" si="787"/>
        <v/>
      </c>
      <c r="O7956" s="34"/>
      <c r="P7956" s="36" t="str">
        <f t="shared" si="788"/>
        <v/>
      </c>
      <c r="Q7956" s="216" t="str">
        <f t="shared" si="789"/>
        <v/>
      </c>
      <c r="R7956" s="216" t="str">
        <f t="shared" si="790"/>
        <v/>
      </c>
      <c r="S7956" s="217" t="str">
        <f t="shared" si="791"/>
        <v/>
      </c>
    </row>
    <row r="7957" spans="1:19" ht="15.75" hidden="1" thickBot="1" x14ac:dyDescent="0.3">
      <c r="A7957" s="257"/>
      <c r="B7957" s="260"/>
      <c r="C7957" s="35" t="s">
        <v>8114</v>
      </c>
      <c r="D7957" s="35" t="s">
        <v>213</v>
      </c>
      <c r="E7957" s="36">
        <v>1</v>
      </c>
      <c r="F7957" s="30">
        <v>13.442499999999999</v>
      </c>
      <c r="G7957" s="33">
        <f t="shared" si="786"/>
        <v>13.442499999999999</v>
      </c>
      <c r="H7957" s="38">
        <f>SUM(G7957:G7957)</f>
        <v>13.442499999999999</v>
      </c>
      <c r="I7957" s="39"/>
      <c r="J7957" s="152">
        <v>0</v>
      </c>
      <c r="L7957" s="215">
        <v>1</v>
      </c>
      <c r="M7957" s="30">
        <v>11.506779999999999</v>
      </c>
      <c r="N7957" s="33">
        <f t="shared" si="787"/>
        <v>11.506779999999999</v>
      </c>
      <c r="O7957" s="38">
        <f>SUM(N7957:N7957)</f>
        <v>11.506779999999999</v>
      </c>
      <c r="P7957" s="36" t="str">
        <f t="shared" si="788"/>
        <v/>
      </c>
      <c r="Q7957" s="216">
        <f t="shared" si="789"/>
        <v>0.14400000000000002</v>
      </c>
      <c r="R7957" s="216">
        <f t="shared" si="790"/>
        <v>0.14400000000000002</v>
      </c>
      <c r="S7957" s="217">
        <f t="shared" si="791"/>
        <v>0.14400000000000002</v>
      </c>
    </row>
    <row r="7958" spans="1:19" ht="15.75" hidden="1" thickBot="1" x14ac:dyDescent="0.3">
      <c r="A7958" s="258"/>
      <c r="B7958" s="261"/>
      <c r="C7958" s="54"/>
      <c r="D7958" s="54"/>
      <c r="E7958" s="65"/>
      <c r="F7958" s="66" t="s">
        <v>416</v>
      </c>
      <c r="G7958" s="67" t="str">
        <f t="shared" si="786"/>
        <v/>
      </c>
      <c r="H7958" s="68"/>
      <c r="I7958" s="30"/>
      <c r="J7958" s="152">
        <v>0</v>
      </c>
      <c r="L7958" s="222"/>
      <c r="M7958" s="66"/>
      <c r="N7958" s="67" t="str">
        <f t="shared" si="787"/>
        <v/>
      </c>
      <c r="O7958" s="68"/>
      <c r="P7958" s="36" t="str">
        <f t="shared" si="788"/>
        <v/>
      </c>
      <c r="Q7958" s="216" t="str">
        <f t="shared" si="789"/>
        <v/>
      </c>
      <c r="R7958" s="216" t="str">
        <f t="shared" si="790"/>
        <v/>
      </c>
      <c r="S7958" s="217" t="str">
        <f t="shared" si="791"/>
        <v/>
      </c>
    </row>
    <row r="7959" spans="1:19" ht="15.75" hidden="1" thickBot="1" x14ac:dyDescent="0.3">
      <c r="A7959" s="256" t="s">
        <v>6919</v>
      </c>
      <c r="B7959" s="259" t="str">
        <f>INDEX(Orçamentária!A:B,MATCH(Composições!A7959,Orçamentária!A:A,0),2)</f>
        <v>Luva simples PVC esgoto ou águas pluviais 70 mm</v>
      </c>
      <c r="C7959" s="40"/>
      <c r="D7959" s="25" t="s">
        <v>16</v>
      </c>
      <c r="E7959" s="26"/>
      <c r="F7959" s="41" t="s">
        <v>416</v>
      </c>
      <c r="G7959" s="27" t="str">
        <f t="shared" si="786"/>
        <v/>
      </c>
      <c r="H7959" s="28"/>
      <c r="I7959" s="29"/>
      <c r="J7959" s="152">
        <v>0</v>
      </c>
      <c r="L7959" s="218"/>
      <c r="M7959" s="41"/>
      <c r="N7959" s="27" t="str">
        <f t="shared" si="787"/>
        <v/>
      </c>
      <c r="O7959" s="28"/>
      <c r="P7959" s="36" t="str">
        <f t="shared" si="788"/>
        <v/>
      </c>
      <c r="Q7959" s="216" t="str">
        <f t="shared" si="789"/>
        <v/>
      </c>
      <c r="R7959" s="216" t="str">
        <f t="shared" si="790"/>
        <v/>
      </c>
      <c r="S7959" s="217" t="str">
        <f t="shared" si="791"/>
        <v/>
      </c>
    </row>
    <row r="7960" spans="1:19" ht="15.75" hidden="1" thickBot="1" x14ac:dyDescent="0.3">
      <c r="A7960" s="257"/>
      <c r="B7960" s="260"/>
      <c r="C7960" s="31"/>
      <c r="D7960" s="31"/>
      <c r="E7960" s="32"/>
      <c r="F7960" s="42" t="s">
        <v>416</v>
      </c>
      <c r="G7960" s="33" t="str">
        <f t="shared" si="786"/>
        <v/>
      </c>
      <c r="H7960" s="34"/>
      <c r="I7960" s="30"/>
      <c r="J7960" s="152">
        <v>0</v>
      </c>
      <c r="L7960" s="219"/>
      <c r="M7960" s="42"/>
      <c r="N7960" s="33" t="str">
        <f t="shared" si="787"/>
        <v/>
      </c>
      <c r="O7960" s="34"/>
      <c r="P7960" s="36" t="str">
        <f t="shared" si="788"/>
        <v/>
      </c>
      <c r="Q7960" s="216" t="str">
        <f t="shared" si="789"/>
        <v/>
      </c>
      <c r="R7960" s="216" t="str">
        <f t="shared" si="790"/>
        <v/>
      </c>
      <c r="S7960" s="217" t="str">
        <f t="shared" si="791"/>
        <v/>
      </c>
    </row>
    <row r="7961" spans="1:19" ht="26.25" hidden="1" thickBot="1" x14ac:dyDescent="0.3">
      <c r="A7961" s="257"/>
      <c r="B7961" s="260"/>
      <c r="C7961" s="35" t="s">
        <v>8279</v>
      </c>
      <c r="D7961" s="35" t="s">
        <v>213</v>
      </c>
      <c r="E7961" s="36">
        <v>1</v>
      </c>
      <c r="F7961" s="30">
        <v>6.593</v>
      </c>
      <c r="G7961" s="33">
        <f t="shared" si="786"/>
        <v>6.593</v>
      </c>
      <c r="H7961" s="38">
        <f>SUM(G7961:G7961)</f>
        <v>6.593</v>
      </c>
      <c r="I7961" s="39"/>
      <c r="J7961" s="152">
        <v>0</v>
      </c>
      <c r="L7961" s="215">
        <v>1</v>
      </c>
      <c r="M7961" s="30">
        <v>5.6436080000000004</v>
      </c>
      <c r="N7961" s="33">
        <f t="shared" si="787"/>
        <v>5.6436080000000004</v>
      </c>
      <c r="O7961" s="38">
        <f>SUM(N7961:N7961)</f>
        <v>5.6436080000000004</v>
      </c>
      <c r="P7961" s="36" t="str">
        <f t="shared" si="788"/>
        <v/>
      </c>
      <c r="Q7961" s="216">
        <f t="shared" si="789"/>
        <v>0.14399999999999991</v>
      </c>
      <c r="R7961" s="216">
        <f t="shared" si="790"/>
        <v>0.14399999999999991</v>
      </c>
      <c r="S7961" s="217">
        <f t="shared" si="791"/>
        <v>0.14399999999999991</v>
      </c>
    </row>
    <row r="7962" spans="1:19" ht="15.75" hidden="1" thickBot="1" x14ac:dyDescent="0.3">
      <c r="A7962" s="258"/>
      <c r="B7962" s="261"/>
      <c r="C7962" s="54"/>
      <c r="D7962" s="54"/>
      <c r="E7962" s="65"/>
      <c r="F7962" s="66" t="s">
        <v>416</v>
      </c>
      <c r="G7962" s="67" t="str">
        <f t="shared" si="786"/>
        <v/>
      </c>
      <c r="H7962" s="68"/>
      <c r="I7962" s="30"/>
      <c r="J7962" s="152">
        <v>0</v>
      </c>
      <c r="L7962" s="222"/>
      <c r="M7962" s="66"/>
      <c r="N7962" s="67" t="str">
        <f t="shared" si="787"/>
        <v/>
      </c>
      <c r="O7962" s="68"/>
      <c r="P7962" s="36" t="str">
        <f t="shared" si="788"/>
        <v/>
      </c>
      <c r="Q7962" s="216" t="str">
        <f t="shared" si="789"/>
        <v/>
      </c>
      <c r="R7962" s="216" t="str">
        <f t="shared" si="790"/>
        <v/>
      </c>
      <c r="S7962" s="217" t="str">
        <f t="shared" si="791"/>
        <v/>
      </c>
    </row>
    <row r="7963" spans="1:19" ht="15.75" hidden="1" thickBot="1" x14ac:dyDescent="0.3">
      <c r="A7963" s="256" t="s">
        <v>6920</v>
      </c>
      <c r="B7963" s="259" t="str">
        <f>INDEX(Orçamentária!A:B,MATCH(Composições!A7963,Orçamentária!A:A,0),2)</f>
        <v>Joelho 90° PVC esgoto ou águas pluviais 75 mm</v>
      </c>
      <c r="C7963" s="40"/>
      <c r="D7963" s="25" t="s">
        <v>16</v>
      </c>
      <c r="E7963" s="26"/>
      <c r="F7963" s="41" t="s">
        <v>416</v>
      </c>
      <c r="G7963" s="27" t="str">
        <f t="shared" si="786"/>
        <v/>
      </c>
      <c r="H7963" s="28"/>
      <c r="I7963" s="29"/>
      <c r="J7963" s="152">
        <v>0</v>
      </c>
      <c r="L7963" s="218"/>
      <c r="M7963" s="41"/>
      <c r="N7963" s="27" t="str">
        <f t="shared" si="787"/>
        <v/>
      </c>
      <c r="O7963" s="28"/>
      <c r="P7963" s="36" t="str">
        <f t="shared" si="788"/>
        <v/>
      </c>
      <c r="Q7963" s="216" t="str">
        <f t="shared" si="789"/>
        <v/>
      </c>
      <c r="R7963" s="216" t="str">
        <f t="shared" si="790"/>
        <v/>
      </c>
      <c r="S7963" s="217" t="str">
        <f t="shared" si="791"/>
        <v/>
      </c>
    </row>
    <row r="7964" spans="1:19" ht="15.75" hidden="1" thickBot="1" x14ac:dyDescent="0.3">
      <c r="A7964" s="257"/>
      <c r="B7964" s="260"/>
      <c r="C7964" s="31"/>
      <c r="D7964" s="31"/>
      <c r="E7964" s="32"/>
      <c r="F7964" s="42" t="s">
        <v>416</v>
      </c>
      <c r="G7964" s="33" t="str">
        <f t="shared" si="786"/>
        <v/>
      </c>
      <c r="H7964" s="34"/>
      <c r="I7964" s="30"/>
      <c r="J7964" s="152">
        <v>0</v>
      </c>
      <c r="L7964" s="219"/>
      <c r="M7964" s="42"/>
      <c r="N7964" s="33" t="str">
        <f t="shared" si="787"/>
        <v/>
      </c>
      <c r="O7964" s="34"/>
      <c r="P7964" s="36" t="str">
        <f t="shared" si="788"/>
        <v/>
      </c>
      <c r="Q7964" s="216" t="str">
        <f t="shared" si="789"/>
        <v/>
      </c>
      <c r="R7964" s="216" t="str">
        <f t="shared" si="790"/>
        <v/>
      </c>
      <c r="S7964" s="217" t="str">
        <f t="shared" si="791"/>
        <v/>
      </c>
    </row>
    <row r="7965" spans="1:19" ht="26.25" hidden="1" thickBot="1" x14ac:dyDescent="0.3">
      <c r="A7965" s="257"/>
      <c r="B7965" s="260"/>
      <c r="C7965" s="35" t="s">
        <v>8197</v>
      </c>
      <c r="D7965" s="35" t="s">
        <v>213</v>
      </c>
      <c r="E7965" s="36">
        <v>1</v>
      </c>
      <c r="F7965" s="30">
        <v>6.8304999999999998</v>
      </c>
      <c r="G7965" s="33">
        <f t="shared" si="786"/>
        <v>6.8304999999999998</v>
      </c>
      <c r="H7965" s="38">
        <f>SUM(G7965:G7965)</f>
        <v>6.8304999999999998</v>
      </c>
      <c r="I7965" s="39"/>
      <c r="J7965" s="152">
        <v>0</v>
      </c>
      <c r="L7965" s="215">
        <v>1</v>
      </c>
      <c r="M7965" s="30">
        <v>5.846908</v>
      </c>
      <c r="N7965" s="33">
        <f t="shared" si="787"/>
        <v>5.846908</v>
      </c>
      <c r="O7965" s="38">
        <f>SUM(N7965:N7965)</f>
        <v>5.846908</v>
      </c>
      <c r="P7965" s="36" t="str">
        <f t="shared" si="788"/>
        <v/>
      </c>
      <c r="Q7965" s="216">
        <f t="shared" si="789"/>
        <v>0.14400000000000002</v>
      </c>
      <c r="R7965" s="216">
        <f t="shared" si="790"/>
        <v>0.14400000000000002</v>
      </c>
      <c r="S7965" s="217">
        <f t="shared" si="791"/>
        <v>0.14400000000000002</v>
      </c>
    </row>
    <row r="7966" spans="1:19" ht="15.75" hidden="1" thickBot="1" x14ac:dyDescent="0.3">
      <c r="A7966" s="258"/>
      <c r="B7966" s="261"/>
      <c r="C7966" s="54"/>
      <c r="D7966" s="54"/>
      <c r="E7966" s="65"/>
      <c r="F7966" s="66" t="s">
        <v>416</v>
      </c>
      <c r="G7966" s="67" t="str">
        <f t="shared" si="786"/>
        <v/>
      </c>
      <c r="H7966" s="68"/>
      <c r="I7966" s="30"/>
      <c r="J7966" s="152">
        <v>0</v>
      </c>
      <c r="L7966" s="222"/>
      <c r="M7966" s="66"/>
      <c r="N7966" s="67" t="str">
        <f t="shared" si="787"/>
        <v/>
      </c>
      <c r="O7966" s="68"/>
      <c r="P7966" s="36" t="str">
        <f t="shared" si="788"/>
        <v/>
      </c>
      <c r="Q7966" s="216" t="str">
        <f t="shared" si="789"/>
        <v/>
      </c>
      <c r="R7966" s="216" t="str">
        <f t="shared" si="790"/>
        <v/>
      </c>
      <c r="S7966" s="217" t="str">
        <f t="shared" si="791"/>
        <v/>
      </c>
    </row>
    <row r="7967" spans="1:19" ht="15.75" hidden="1" thickBot="1" x14ac:dyDescent="0.3">
      <c r="A7967" s="256" t="s">
        <v>6921</v>
      </c>
      <c r="B7967" s="259" t="str">
        <f>INDEX(Orçamentária!A:B,MATCH(Composições!A7967,Orçamentária!A:A,0),2)</f>
        <v>Curva longa 90° PVC esgoto ou águas pluviais 75 mm</v>
      </c>
      <c r="C7967" s="40"/>
      <c r="D7967" s="25" t="s">
        <v>16</v>
      </c>
      <c r="E7967" s="26"/>
      <c r="F7967" s="41" t="s">
        <v>416</v>
      </c>
      <c r="G7967" s="27" t="str">
        <f t="shared" si="786"/>
        <v/>
      </c>
      <c r="H7967" s="28"/>
      <c r="I7967" s="29"/>
      <c r="J7967" s="152">
        <v>0</v>
      </c>
      <c r="L7967" s="218"/>
      <c r="M7967" s="41"/>
      <c r="N7967" s="27" t="str">
        <f t="shared" si="787"/>
        <v/>
      </c>
      <c r="O7967" s="28"/>
      <c r="P7967" s="36" t="str">
        <f t="shared" si="788"/>
        <v/>
      </c>
      <c r="Q7967" s="216" t="str">
        <f t="shared" si="789"/>
        <v/>
      </c>
      <c r="R7967" s="216" t="str">
        <f t="shared" si="790"/>
        <v/>
      </c>
      <c r="S7967" s="217" t="str">
        <f t="shared" si="791"/>
        <v/>
      </c>
    </row>
    <row r="7968" spans="1:19" ht="15.75" hidden="1" thickBot="1" x14ac:dyDescent="0.3">
      <c r="A7968" s="257"/>
      <c r="B7968" s="260"/>
      <c r="C7968" s="31"/>
      <c r="D7968" s="31"/>
      <c r="E7968" s="32"/>
      <c r="F7968" s="42" t="s">
        <v>416</v>
      </c>
      <c r="G7968" s="33" t="str">
        <f t="shared" si="786"/>
        <v/>
      </c>
      <c r="H7968" s="34"/>
      <c r="I7968" s="30"/>
      <c r="J7968" s="152">
        <v>0</v>
      </c>
      <c r="L7968" s="219"/>
      <c r="M7968" s="42"/>
      <c r="N7968" s="33" t="str">
        <f t="shared" si="787"/>
        <v/>
      </c>
      <c r="O7968" s="34"/>
      <c r="P7968" s="36" t="str">
        <f t="shared" si="788"/>
        <v/>
      </c>
      <c r="Q7968" s="216" t="str">
        <f t="shared" si="789"/>
        <v/>
      </c>
      <c r="R7968" s="216" t="str">
        <f t="shared" si="790"/>
        <v/>
      </c>
      <c r="S7968" s="217" t="str">
        <f t="shared" si="791"/>
        <v/>
      </c>
    </row>
    <row r="7969" spans="1:19" ht="15.75" hidden="1" thickBot="1" x14ac:dyDescent="0.3">
      <c r="A7969" s="257"/>
      <c r="B7969" s="260"/>
      <c r="C7969" s="35" t="s">
        <v>8115</v>
      </c>
      <c r="D7969" s="35" t="s">
        <v>213</v>
      </c>
      <c r="E7969" s="36">
        <v>1</v>
      </c>
      <c r="F7969" s="30">
        <v>43.775999999999996</v>
      </c>
      <c r="G7969" s="33">
        <f t="shared" si="786"/>
        <v>43.775999999999996</v>
      </c>
      <c r="H7969" s="38">
        <f>SUM(G7969:G7969)</f>
        <v>43.775999999999996</v>
      </c>
      <c r="I7969" s="39"/>
      <c r="J7969" s="152">
        <v>0</v>
      </c>
      <c r="L7969" s="215">
        <v>1</v>
      </c>
      <c r="M7969" s="30">
        <v>37.472255999999994</v>
      </c>
      <c r="N7969" s="33">
        <f t="shared" si="787"/>
        <v>37.472255999999994</v>
      </c>
      <c r="O7969" s="38">
        <f>SUM(N7969:N7969)</f>
        <v>37.472255999999994</v>
      </c>
      <c r="P7969" s="36" t="str">
        <f t="shared" si="788"/>
        <v/>
      </c>
      <c r="Q7969" s="216">
        <f t="shared" si="789"/>
        <v>0.14400000000000002</v>
      </c>
      <c r="R7969" s="216">
        <f t="shared" si="790"/>
        <v>0.14400000000000002</v>
      </c>
      <c r="S7969" s="217">
        <f t="shared" si="791"/>
        <v>0.14400000000000002</v>
      </c>
    </row>
    <row r="7970" spans="1:19" ht="15.75" hidden="1" thickBot="1" x14ac:dyDescent="0.3">
      <c r="A7970" s="258"/>
      <c r="B7970" s="261"/>
      <c r="C7970" s="54"/>
      <c r="D7970" s="54"/>
      <c r="E7970" s="65"/>
      <c r="F7970" s="66" t="s">
        <v>416</v>
      </c>
      <c r="G7970" s="67" t="str">
        <f t="shared" si="786"/>
        <v/>
      </c>
      <c r="H7970" s="68"/>
      <c r="I7970" s="30"/>
      <c r="J7970" s="152">
        <v>0</v>
      </c>
      <c r="L7970" s="222"/>
      <c r="M7970" s="66"/>
      <c r="N7970" s="67" t="str">
        <f t="shared" si="787"/>
        <v/>
      </c>
      <c r="O7970" s="68"/>
      <c r="P7970" s="36" t="str">
        <f t="shared" si="788"/>
        <v/>
      </c>
      <c r="Q7970" s="216" t="str">
        <f t="shared" si="789"/>
        <v/>
      </c>
      <c r="R7970" s="216" t="str">
        <f t="shared" si="790"/>
        <v/>
      </c>
      <c r="S7970" s="217" t="str">
        <f t="shared" si="791"/>
        <v/>
      </c>
    </row>
    <row r="7971" spans="1:19" ht="15.75" hidden="1" thickBot="1" x14ac:dyDescent="0.3">
      <c r="A7971" s="256" t="s">
        <v>6922</v>
      </c>
      <c r="B7971" s="259" t="str">
        <f>INDEX(Orçamentária!A:B,MATCH(Composições!A7971,Orçamentária!A:A,0),2)</f>
        <v>Joelho 45° PVC esgoto ou águas pluviais 75 mm</v>
      </c>
      <c r="C7971" s="40"/>
      <c r="D7971" s="25" t="s">
        <v>16</v>
      </c>
      <c r="E7971" s="26"/>
      <c r="F7971" s="41" t="s">
        <v>416</v>
      </c>
      <c r="G7971" s="27" t="str">
        <f t="shared" si="786"/>
        <v/>
      </c>
      <c r="H7971" s="28"/>
      <c r="I7971" s="29"/>
      <c r="J7971" s="152">
        <v>0</v>
      </c>
      <c r="L7971" s="218"/>
      <c r="M7971" s="41"/>
      <c r="N7971" s="27" t="str">
        <f t="shared" si="787"/>
        <v/>
      </c>
      <c r="O7971" s="28"/>
      <c r="P7971" s="36" t="str">
        <f t="shared" si="788"/>
        <v/>
      </c>
      <c r="Q7971" s="216" t="str">
        <f t="shared" si="789"/>
        <v/>
      </c>
      <c r="R7971" s="216" t="str">
        <f t="shared" si="790"/>
        <v/>
      </c>
      <c r="S7971" s="217" t="str">
        <f t="shared" si="791"/>
        <v/>
      </c>
    </row>
    <row r="7972" spans="1:19" ht="15.75" hidden="1" thickBot="1" x14ac:dyDescent="0.3">
      <c r="A7972" s="257"/>
      <c r="B7972" s="260"/>
      <c r="C7972" s="31"/>
      <c r="D7972" s="31"/>
      <c r="E7972" s="32"/>
      <c r="F7972" s="42" t="s">
        <v>416</v>
      </c>
      <c r="G7972" s="33" t="str">
        <f t="shared" si="786"/>
        <v/>
      </c>
      <c r="H7972" s="34"/>
      <c r="I7972" s="30"/>
      <c r="J7972" s="152">
        <v>0</v>
      </c>
      <c r="L7972" s="219"/>
      <c r="M7972" s="42"/>
      <c r="N7972" s="33" t="str">
        <f t="shared" si="787"/>
        <v/>
      </c>
      <c r="O7972" s="34"/>
      <c r="P7972" s="36" t="str">
        <f t="shared" si="788"/>
        <v/>
      </c>
      <c r="Q7972" s="216" t="str">
        <f t="shared" si="789"/>
        <v/>
      </c>
      <c r="R7972" s="216" t="str">
        <f t="shared" si="790"/>
        <v/>
      </c>
      <c r="S7972" s="217" t="str">
        <f t="shared" si="791"/>
        <v/>
      </c>
    </row>
    <row r="7973" spans="1:19" ht="26.25" hidden="1" thickBot="1" x14ac:dyDescent="0.3">
      <c r="A7973" s="257"/>
      <c r="B7973" s="260"/>
      <c r="C7973" s="35" t="s">
        <v>8192</v>
      </c>
      <c r="D7973" s="35" t="s">
        <v>213</v>
      </c>
      <c r="E7973" s="36">
        <v>1</v>
      </c>
      <c r="F7973" s="30">
        <v>7.7899999999999991</v>
      </c>
      <c r="G7973" s="33">
        <f t="shared" si="786"/>
        <v>7.7899999999999991</v>
      </c>
      <c r="H7973" s="38">
        <f>SUM(G7973:G7973)</f>
        <v>7.7899999999999991</v>
      </c>
      <c r="I7973" s="39"/>
      <c r="J7973" s="152">
        <v>0</v>
      </c>
      <c r="L7973" s="215">
        <v>1</v>
      </c>
      <c r="M7973" s="30">
        <v>6.6682399999999991</v>
      </c>
      <c r="N7973" s="33">
        <f t="shared" si="787"/>
        <v>6.6682399999999991</v>
      </c>
      <c r="O7973" s="38">
        <f>SUM(N7973:N7973)</f>
        <v>6.6682399999999991</v>
      </c>
      <c r="P7973" s="36" t="str">
        <f t="shared" si="788"/>
        <v/>
      </c>
      <c r="Q7973" s="216">
        <f t="shared" si="789"/>
        <v>0.14400000000000002</v>
      </c>
      <c r="R7973" s="216">
        <f t="shared" si="790"/>
        <v>0.14400000000000002</v>
      </c>
      <c r="S7973" s="217">
        <f t="shared" si="791"/>
        <v>0.14400000000000002</v>
      </c>
    </row>
    <row r="7974" spans="1:19" ht="15.75" hidden="1" thickBot="1" x14ac:dyDescent="0.3">
      <c r="A7974" s="258"/>
      <c r="B7974" s="261"/>
      <c r="C7974" s="54"/>
      <c r="D7974" s="54"/>
      <c r="E7974" s="65"/>
      <c r="F7974" s="66" t="s">
        <v>416</v>
      </c>
      <c r="G7974" s="67" t="str">
        <f t="shared" si="786"/>
        <v/>
      </c>
      <c r="H7974" s="68"/>
      <c r="I7974" s="30"/>
      <c r="J7974" s="152">
        <v>0</v>
      </c>
      <c r="L7974" s="222"/>
      <c r="M7974" s="66"/>
      <c r="N7974" s="67" t="str">
        <f t="shared" si="787"/>
        <v/>
      </c>
      <c r="O7974" s="68"/>
      <c r="P7974" s="36" t="str">
        <f t="shared" si="788"/>
        <v/>
      </c>
      <c r="Q7974" s="216" t="str">
        <f t="shared" si="789"/>
        <v/>
      </c>
      <c r="R7974" s="216" t="str">
        <f t="shared" si="790"/>
        <v/>
      </c>
      <c r="S7974" s="217" t="str">
        <f t="shared" si="791"/>
        <v/>
      </c>
    </row>
    <row r="7975" spans="1:19" ht="15.75" hidden="1" thickBot="1" x14ac:dyDescent="0.3">
      <c r="A7975" s="256" t="s">
        <v>6923</v>
      </c>
      <c r="B7975" s="259" t="str">
        <f>INDEX(Orçamentária!A:B,MATCH(Composições!A7975,Orçamentária!A:A,0),2)</f>
        <v>Luva de correr PVC esgoto ou águas pluviais 75 mm</v>
      </c>
      <c r="C7975" s="40"/>
      <c r="D7975" s="25" t="s">
        <v>16</v>
      </c>
      <c r="E7975" s="26"/>
      <c r="F7975" s="41" t="s">
        <v>416</v>
      </c>
      <c r="G7975" s="27" t="str">
        <f t="shared" si="786"/>
        <v/>
      </c>
      <c r="H7975" s="28"/>
      <c r="I7975" s="29"/>
      <c r="J7975" s="152">
        <v>0</v>
      </c>
      <c r="L7975" s="218"/>
      <c r="M7975" s="41"/>
      <c r="N7975" s="27" t="str">
        <f t="shared" si="787"/>
        <v/>
      </c>
      <c r="O7975" s="28"/>
      <c r="P7975" s="36" t="str">
        <f t="shared" si="788"/>
        <v/>
      </c>
      <c r="Q7975" s="216" t="str">
        <f t="shared" si="789"/>
        <v/>
      </c>
      <c r="R7975" s="216" t="str">
        <f t="shared" si="790"/>
        <v/>
      </c>
      <c r="S7975" s="217" t="str">
        <f t="shared" si="791"/>
        <v/>
      </c>
    </row>
    <row r="7976" spans="1:19" ht="15.75" hidden="1" thickBot="1" x14ac:dyDescent="0.3">
      <c r="A7976" s="257"/>
      <c r="B7976" s="260"/>
      <c r="C7976" s="31"/>
      <c r="D7976" s="31"/>
      <c r="E7976" s="32"/>
      <c r="F7976" s="42" t="s">
        <v>416</v>
      </c>
      <c r="G7976" s="33" t="str">
        <f t="shared" si="786"/>
        <v/>
      </c>
      <c r="H7976" s="34"/>
      <c r="I7976" s="30"/>
      <c r="J7976" s="152">
        <v>0</v>
      </c>
      <c r="L7976" s="219"/>
      <c r="M7976" s="42"/>
      <c r="N7976" s="33" t="str">
        <f t="shared" si="787"/>
        <v/>
      </c>
      <c r="O7976" s="34"/>
      <c r="P7976" s="36" t="str">
        <f t="shared" si="788"/>
        <v/>
      </c>
      <c r="Q7976" s="216" t="str">
        <f t="shared" si="789"/>
        <v/>
      </c>
      <c r="R7976" s="216" t="str">
        <f t="shared" si="790"/>
        <v/>
      </c>
      <c r="S7976" s="217" t="str">
        <f t="shared" si="791"/>
        <v/>
      </c>
    </row>
    <row r="7977" spans="1:19" ht="15.75" hidden="1" thickBot="1" x14ac:dyDescent="0.3">
      <c r="A7977" s="257"/>
      <c r="B7977" s="260"/>
      <c r="C7977" s="35" t="s">
        <v>8251</v>
      </c>
      <c r="D7977" s="35" t="s">
        <v>213</v>
      </c>
      <c r="E7977" s="36">
        <v>1</v>
      </c>
      <c r="F7977" s="30">
        <v>12.283499999999998</v>
      </c>
      <c r="G7977" s="33">
        <f t="shared" si="786"/>
        <v>12.283499999999998</v>
      </c>
      <c r="H7977" s="38">
        <f>SUM(G7977:G7977)</f>
        <v>12.283499999999998</v>
      </c>
      <c r="I7977" s="39"/>
      <c r="J7977" s="152">
        <v>0</v>
      </c>
      <c r="L7977" s="215">
        <v>1</v>
      </c>
      <c r="M7977" s="30">
        <v>10.514675999999998</v>
      </c>
      <c r="N7977" s="33">
        <f t="shared" si="787"/>
        <v>10.514675999999998</v>
      </c>
      <c r="O7977" s="38">
        <f>SUM(N7977:N7977)</f>
        <v>10.514675999999998</v>
      </c>
      <c r="P7977" s="36" t="str">
        <f t="shared" si="788"/>
        <v/>
      </c>
      <c r="Q7977" s="216">
        <f t="shared" si="789"/>
        <v>0.14400000000000002</v>
      </c>
      <c r="R7977" s="216">
        <f t="shared" si="790"/>
        <v>0.14400000000000002</v>
      </c>
      <c r="S7977" s="217">
        <f t="shared" si="791"/>
        <v>0.14400000000000002</v>
      </c>
    </row>
    <row r="7978" spans="1:19" ht="15.75" hidden="1" thickBot="1" x14ac:dyDescent="0.3">
      <c r="A7978" s="258"/>
      <c r="B7978" s="261"/>
      <c r="C7978" s="54"/>
      <c r="D7978" s="54"/>
      <c r="E7978" s="65"/>
      <c r="F7978" s="66" t="s">
        <v>416</v>
      </c>
      <c r="G7978" s="67" t="str">
        <f t="shared" si="786"/>
        <v/>
      </c>
      <c r="H7978" s="68"/>
      <c r="I7978" s="30"/>
      <c r="J7978" s="152">
        <v>0</v>
      </c>
      <c r="L7978" s="222"/>
      <c r="M7978" s="66"/>
      <c r="N7978" s="67" t="str">
        <f t="shared" si="787"/>
        <v/>
      </c>
      <c r="O7978" s="68"/>
      <c r="P7978" s="36" t="str">
        <f t="shared" si="788"/>
        <v/>
      </c>
      <c r="Q7978" s="216" t="str">
        <f t="shared" si="789"/>
        <v/>
      </c>
      <c r="R7978" s="216" t="str">
        <f t="shared" si="790"/>
        <v/>
      </c>
      <c r="S7978" s="217" t="str">
        <f t="shared" si="791"/>
        <v/>
      </c>
    </row>
    <row r="7979" spans="1:19" ht="15.75" hidden="1" thickBot="1" x14ac:dyDescent="0.3">
      <c r="A7979" s="256" t="s">
        <v>6924</v>
      </c>
      <c r="B7979" s="259" t="str">
        <f>INDEX(Orçamentária!A:B,MATCH(Composições!A7979,Orçamentária!A:A,0),2)</f>
        <v>Tê PVC esgoto ou águas pluviais 75 mm</v>
      </c>
      <c r="C7979" s="40"/>
      <c r="D7979" s="25" t="s">
        <v>16</v>
      </c>
      <c r="E7979" s="26"/>
      <c r="F7979" s="41" t="s">
        <v>416</v>
      </c>
      <c r="G7979" s="27" t="str">
        <f t="shared" si="786"/>
        <v/>
      </c>
      <c r="H7979" s="28"/>
      <c r="I7979" s="29"/>
      <c r="J7979" s="152">
        <v>0</v>
      </c>
      <c r="L7979" s="218"/>
      <c r="M7979" s="41"/>
      <c r="N7979" s="27" t="str">
        <f t="shared" si="787"/>
        <v/>
      </c>
      <c r="O7979" s="28"/>
      <c r="P7979" s="36" t="str">
        <f t="shared" si="788"/>
        <v/>
      </c>
      <c r="Q7979" s="216" t="str">
        <f t="shared" si="789"/>
        <v/>
      </c>
      <c r="R7979" s="216" t="str">
        <f t="shared" si="790"/>
        <v/>
      </c>
      <c r="S7979" s="217" t="str">
        <f t="shared" si="791"/>
        <v/>
      </c>
    </row>
    <row r="7980" spans="1:19" ht="15.75" hidden="1" thickBot="1" x14ac:dyDescent="0.3">
      <c r="A7980" s="257"/>
      <c r="B7980" s="260"/>
      <c r="C7980" s="31"/>
      <c r="D7980" s="31"/>
      <c r="E7980" s="32"/>
      <c r="F7980" s="42" t="s">
        <v>416</v>
      </c>
      <c r="G7980" s="33" t="str">
        <f t="shared" si="786"/>
        <v/>
      </c>
      <c r="H7980" s="34"/>
      <c r="I7980" s="30"/>
      <c r="J7980" s="152">
        <v>0</v>
      </c>
      <c r="L7980" s="219"/>
      <c r="M7980" s="42"/>
      <c r="N7980" s="33" t="str">
        <f t="shared" si="787"/>
        <v/>
      </c>
      <c r="O7980" s="34"/>
      <c r="P7980" s="36" t="str">
        <f t="shared" si="788"/>
        <v/>
      </c>
      <c r="Q7980" s="216" t="str">
        <f t="shared" si="789"/>
        <v/>
      </c>
      <c r="R7980" s="216" t="str">
        <f t="shared" si="790"/>
        <v/>
      </c>
      <c r="S7980" s="217" t="str">
        <f t="shared" si="791"/>
        <v/>
      </c>
    </row>
    <row r="7981" spans="1:19" ht="15.75" hidden="1" thickBot="1" x14ac:dyDescent="0.3">
      <c r="A7981" s="257"/>
      <c r="B7981" s="260"/>
      <c r="C7981" s="35" t="s">
        <v>8422</v>
      </c>
      <c r="D7981" s="35" t="s">
        <v>213</v>
      </c>
      <c r="E7981" s="36">
        <v>1</v>
      </c>
      <c r="F7981" s="30">
        <v>28.186499999999999</v>
      </c>
      <c r="G7981" s="33">
        <f t="shared" si="786"/>
        <v>28.186499999999999</v>
      </c>
      <c r="H7981" s="38">
        <f>SUM(G7981:G7981)</f>
        <v>28.186499999999999</v>
      </c>
      <c r="I7981" s="39"/>
      <c r="J7981" s="152">
        <v>0</v>
      </c>
      <c r="L7981" s="215">
        <v>1</v>
      </c>
      <c r="M7981" s="30">
        <v>24.127644</v>
      </c>
      <c r="N7981" s="33">
        <f t="shared" si="787"/>
        <v>24.127644</v>
      </c>
      <c r="O7981" s="38">
        <f>SUM(N7981:N7981)</f>
        <v>24.127644</v>
      </c>
      <c r="P7981" s="36" t="str">
        <f t="shared" si="788"/>
        <v/>
      </c>
      <c r="Q7981" s="216">
        <f t="shared" si="789"/>
        <v>0.14399999999999991</v>
      </c>
      <c r="R7981" s="216">
        <f t="shared" si="790"/>
        <v>0.14399999999999991</v>
      </c>
      <c r="S7981" s="217">
        <f t="shared" si="791"/>
        <v>0.14399999999999991</v>
      </c>
    </row>
    <row r="7982" spans="1:19" ht="15.75" hidden="1" thickBot="1" x14ac:dyDescent="0.3">
      <c r="A7982" s="258"/>
      <c r="B7982" s="261"/>
      <c r="C7982" s="54"/>
      <c r="D7982" s="54"/>
      <c r="E7982" s="65"/>
      <c r="F7982" s="66" t="s">
        <v>416</v>
      </c>
      <c r="G7982" s="67" t="str">
        <f t="shared" si="786"/>
        <v/>
      </c>
      <c r="H7982" s="68"/>
      <c r="I7982" s="30"/>
      <c r="J7982" s="152">
        <v>0</v>
      </c>
      <c r="L7982" s="222"/>
      <c r="M7982" s="66"/>
      <c r="N7982" s="67" t="str">
        <f t="shared" si="787"/>
        <v/>
      </c>
      <c r="O7982" s="68"/>
      <c r="P7982" s="36" t="str">
        <f t="shared" si="788"/>
        <v/>
      </c>
      <c r="Q7982" s="216" t="str">
        <f t="shared" si="789"/>
        <v/>
      </c>
      <c r="R7982" s="216" t="str">
        <f t="shared" si="790"/>
        <v/>
      </c>
      <c r="S7982" s="217" t="str">
        <f t="shared" si="791"/>
        <v/>
      </c>
    </row>
    <row r="7983" spans="1:19" ht="15.75" hidden="1" thickBot="1" x14ac:dyDescent="0.3">
      <c r="A7983" s="256" t="s">
        <v>6925</v>
      </c>
      <c r="B7983" s="259" t="str">
        <f>INDEX(Orçamentária!A:B,MATCH(Composições!A7983,Orçamentária!A:A,0),2)</f>
        <v>Cap PVC esgoto ou águas pluviais 75 mm</v>
      </c>
      <c r="C7983" s="40"/>
      <c r="D7983" s="25" t="s">
        <v>16</v>
      </c>
      <c r="E7983" s="26"/>
      <c r="F7983" s="41" t="s">
        <v>416</v>
      </c>
      <c r="G7983" s="27" t="str">
        <f t="shared" si="786"/>
        <v/>
      </c>
      <c r="H7983" s="28"/>
      <c r="I7983" s="29"/>
      <c r="J7983" s="152">
        <v>0</v>
      </c>
      <c r="L7983" s="218"/>
      <c r="M7983" s="41"/>
      <c r="N7983" s="27" t="str">
        <f t="shared" si="787"/>
        <v/>
      </c>
      <c r="O7983" s="28"/>
      <c r="P7983" s="36" t="str">
        <f t="shared" si="788"/>
        <v/>
      </c>
      <c r="Q7983" s="216" t="str">
        <f t="shared" si="789"/>
        <v/>
      </c>
      <c r="R7983" s="216" t="str">
        <f t="shared" si="790"/>
        <v/>
      </c>
      <c r="S7983" s="217" t="str">
        <f t="shared" si="791"/>
        <v/>
      </c>
    </row>
    <row r="7984" spans="1:19" ht="15.75" hidden="1" thickBot="1" x14ac:dyDescent="0.3">
      <c r="A7984" s="257"/>
      <c r="B7984" s="260"/>
      <c r="C7984" s="31"/>
      <c r="D7984" s="31"/>
      <c r="E7984" s="32"/>
      <c r="F7984" s="42" t="s">
        <v>416</v>
      </c>
      <c r="G7984" s="33" t="str">
        <f t="shared" si="786"/>
        <v/>
      </c>
      <c r="H7984" s="34"/>
      <c r="I7984" s="30"/>
      <c r="J7984" s="152">
        <v>0</v>
      </c>
      <c r="L7984" s="219"/>
      <c r="M7984" s="42"/>
      <c r="N7984" s="33" t="str">
        <f t="shared" si="787"/>
        <v/>
      </c>
      <c r="O7984" s="34"/>
      <c r="P7984" s="36" t="str">
        <f t="shared" si="788"/>
        <v/>
      </c>
      <c r="Q7984" s="216" t="str">
        <f t="shared" si="789"/>
        <v/>
      </c>
      <c r="R7984" s="216" t="str">
        <f t="shared" si="790"/>
        <v/>
      </c>
      <c r="S7984" s="217" t="str">
        <f t="shared" si="791"/>
        <v/>
      </c>
    </row>
    <row r="7985" spans="1:19" ht="15.75" hidden="1" thickBot="1" x14ac:dyDescent="0.3">
      <c r="A7985" s="257"/>
      <c r="B7985" s="260"/>
      <c r="C7985" s="35" t="s">
        <v>8048</v>
      </c>
      <c r="D7985" s="35" t="s">
        <v>213</v>
      </c>
      <c r="E7985" s="36">
        <v>1</v>
      </c>
      <c r="F7985" s="30">
        <v>10.45</v>
      </c>
      <c r="G7985" s="33">
        <f t="shared" si="786"/>
        <v>10.45</v>
      </c>
      <c r="H7985" s="38">
        <f>SUM(G7985:G7985)</f>
        <v>10.45</v>
      </c>
      <c r="I7985" s="39"/>
      <c r="J7985" s="152">
        <v>0</v>
      </c>
      <c r="L7985" s="215">
        <v>1</v>
      </c>
      <c r="M7985" s="30">
        <v>8.9451999999999998</v>
      </c>
      <c r="N7985" s="33">
        <f t="shared" si="787"/>
        <v>8.9451999999999998</v>
      </c>
      <c r="O7985" s="38">
        <f>SUM(N7985:N7985)</f>
        <v>8.9451999999999998</v>
      </c>
      <c r="P7985" s="36" t="str">
        <f t="shared" si="788"/>
        <v/>
      </c>
      <c r="Q7985" s="216">
        <f t="shared" si="789"/>
        <v>0.14399999999999991</v>
      </c>
      <c r="R7985" s="216">
        <f t="shared" si="790"/>
        <v>0.14399999999999991</v>
      </c>
      <c r="S7985" s="217">
        <f t="shared" si="791"/>
        <v>0.14399999999999991</v>
      </c>
    </row>
    <row r="7986" spans="1:19" ht="15.75" hidden="1" thickBot="1" x14ac:dyDescent="0.3">
      <c r="A7986" s="258"/>
      <c r="B7986" s="261"/>
      <c r="C7986" s="54"/>
      <c r="D7986" s="54"/>
      <c r="E7986" s="65"/>
      <c r="F7986" s="66" t="s">
        <v>416</v>
      </c>
      <c r="G7986" s="67" t="str">
        <f t="shared" si="786"/>
        <v/>
      </c>
      <c r="H7986" s="68"/>
      <c r="I7986" s="30"/>
      <c r="J7986" s="152">
        <v>0</v>
      </c>
      <c r="L7986" s="222"/>
      <c r="M7986" s="66"/>
      <c r="N7986" s="67" t="str">
        <f t="shared" si="787"/>
        <v/>
      </c>
      <c r="O7986" s="68"/>
      <c r="P7986" s="36" t="str">
        <f t="shared" si="788"/>
        <v/>
      </c>
      <c r="Q7986" s="216" t="str">
        <f t="shared" si="789"/>
        <v/>
      </c>
      <c r="R7986" s="216" t="str">
        <f t="shared" si="790"/>
        <v/>
      </c>
      <c r="S7986" s="217" t="str">
        <f t="shared" si="791"/>
        <v/>
      </c>
    </row>
    <row r="7987" spans="1:19" ht="15.75" hidden="1" thickBot="1" x14ac:dyDescent="0.3">
      <c r="A7987" s="256" t="s">
        <v>6926</v>
      </c>
      <c r="B7987" s="259" t="str">
        <f>INDEX(Orçamentária!A:B,MATCH(Composições!A7987,Orçamentária!A:A,0),2)</f>
        <v>Redução Excêntrica PVC esgoto ou águas pluviais 75 x 50 mm</v>
      </c>
      <c r="C7987" s="40"/>
      <c r="D7987" s="25" t="s">
        <v>16</v>
      </c>
      <c r="E7987" s="26"/>
      <c r="F7987" s="41" t="s">
        <v>416</v>
      </c>
      <c r="G7987" s="27" t="str">
        <f t="shared" si="786"/>
        <v/>
      </c>
      <c r="H7987" s="28"/>
      <c r="I7987" s="29"/>
      <c r="J7987" s="152">
        <v>0</v>
      </c>
      <c r="L7987" s="218"/>
      <c r="M7987" s="41"/>
      <c r="N7987" s="27" t="str">
        <f t="shared" si="787"/>
        <v/>
      </c>
      <c r="O7987" s="28"/>
      <c r="P7987" s="36" t="str">
        <f t="shared" si="788"/>
        <v/>
      </c>
      <c r="Q7987" s="216" t="str">
        <f t="shared" si="789"/>
        <v/>
      </c>
      <c r="R7987" s="216" t="str">
        <f t="shared" si="790"/>
        <v/>
      </c>
      <c r="S7987" s="217" t="str">
        <f t="shared" si="791"/>
        <v/>
      </c>
    </row>
    <row r="7988" spans="1:19" ht="15.75" hidden="1" thickBot="1" x14ac:dyDescent="0.3">
      <c r="A7988" s="257"/>
      <c r="B7988" s="260"/>
      <c r="C7988" s="31"/>
      <c r="D7988" s="31"/>
      <c r="E7988" s="32"/>
      <c r="F7988" s="42" t="s">
        <v>416</v>
      </c>
      <c r="G7988" s="33" t="str">
        <f t="shared" si="786"/>
        <v/>
      </c>
      <c r="H7988" s="34"/>
      <c r="I7988" s="30"/>
      <c r="J7988" s="152">
        <v>0</v>
      </c>
      <c r="L7988" s="219"/>
      <c r="M7988" s="42"/>
      <c r="N7988" s="33" t="str">
        <f t="shared" si="787"/>
        <v/>
      </c>
      <c r="O7988" s="34"/>
      <c r="P7988" s="36" t="str">
        <f t="shared" si="788"/>
        <v/>
      </c>
      <c r="Q7988" s="216" t="str">
        <f t="shared" si="789"/>
        <v/>
      </c>
      <c r="R7988" s="216" t="str">
        <f t="shared" si="790"/>
        <v/>
      </c>
      <c r="S7988" s="217" t="str">
        <f t="shared" si="791"/>
        <v/>
      </c>
    </row>
    <row r="7989" spans="1:19" ht="26.25" hidden="1" thickBot="1" x14ac:dyDescent="0.3">
      <c r="A7989" s="257"/>
      <c r="B7989" s="260"/>
      <c r="C7989" s="35" t="s">
        <v>8350</v>
      </c>
      <c r="D7989" s="35" t="s">
        <v>213</v>
      </c>
      <c r="E7989" s="36">
        <v>1</v>
      </c>
      <c r="F7989" s="30">
        <v>7.6475</v>
      </c>
      <c r="G7989" s="33">
        <f t="shared" si="786"/>
        <v>7.6475</v>
      </c>
      <c r="H7989" s="38">
        <f>SUM(G7989:G7989)</f>
        <v>7.6475</v>
      </c>
      <c r="I7989" s="39"/>
      <c r="J7989" s="152">
        <v>0</v>
      </c>
      <c r="L7989" s="215">
        <v>1</v>
      </c>
      <c r="M7989" s="30">
        <v>6.5462600000000002</v>
      </c>
      <c r="N7989" s="33">
        <f t="shared" si="787"/>
        <v>6.5462600000000002</v>
      </c>
      <c r="O7989" s="38">
        <f>SUM(N7989:N7989)</f>
        <v>6.5462600000000002</v>
      </c>
      <c r="P7989" s="36" t="str">
        <f t="shared" si="788"/>
        <v/>
      </c>
      <c r="Q7989" s="216">
        <f t="shared" si="789"/>
        <v>0.14400000000000002</v>
      </c>
      <c r="R7989" s="216">
        <f t="shared" si="790"/>
        <v>0.14400000000000002</v>
      </c>
      <c r="S7989" s="217">
        <f t="shared" si="791"/>
        <v>0.14400000000000002</v>
      </c>
    </row>
    <row r="7990" spans="1:19" ht="15.75" hidden="1" thickBot="1" x14ac:dyDescent="0.3">
      <c r="A7990" s="258"/>
      <c r="B7990" s="261"/>
      <c r="C7990" s="54"/>
      <c r="D7990" s="54"/>
      <c r="E7990" s="65"/>
      <c r="F7990" s="66" t="s">
        <v>416</v>
      </c>
      <c r="G7990" s="67" t="str">
        <f t="shared" si="786"/>
        <v/>
      </c>
      <c r="H7990" s="68"/>
      <c r="I7990" s="30"/>
      <c r="J7990" s="152">
        <v>0</v>
      </c>
      <c r="L7990" s="222"/>
      <c r="M7990" s="66"/>
      <c r="N7990" s="67" t="str">
        <f t="shared" si="787"/>
        <v/>
      </c>
      <c r="O7990" s="68"/>
      <c r="P7990" s="36" t="str">
        <f t="shared" si="788"/>
        <v/>
      </c>
      <c r="Q7990" s="216" t="str">
        <f t="shared" si="789"/>
        <v/>
      </c>
      <c r="R7990" s="216" t="str">
        <f t="shared" si="790"/>
        <v/>
      </c>
      <c r="S7990" s="217" t="str">
        <f t="shared" si="791"/>
        <v/>
      </c>
    </row>
    <row r="7991" spans="1:19" ht="15.75" hidden="1" thickBot="1" x14ac:dyDescent="0.3">
      <c r="A7991" s="256" t="s">
        <v>6927</v>
      </c>
      <c r="B7991" s="259" t="str">
        <f>INDEX(Orçamentária!A:B,MATCH(Composições!A7991,Orçamentária!A:A,0),2)</f>
        <v>Luva simples PVC esgoto ou águas pluviais 100 mm</v>
      </c>
      <c r="C7991" s="40"/>
      <c r="D7991" s="25" t="s">
        <v>16</v>
      </c>
      <c r="E7991" s="26"/>
      <c r="F7991" s="41" t="s">
        <v>416</v>
      </c>
      <c r="G7991" s="27" t="str">
        <f t="shared" si="786"/>
        <v/>
      </c>
      <c r="H7991" s="28"/>
      <c r="I7991" s="29"/>
      <c r="J7991" s="152">
        <v>0</v>
      </c>
      <c r="L7991" s="218"/>
      <c r="M7991" s="41"/>
      <c r="N7991" s="27" t="str">
        <f t="shared" si="787"/>
        <v/>
      </c>
      <c r="O7991" s="28"/>
      <c r="P7991" s="36" t="str">
        <f t="shared" si="788"/>
        <v/>
      </c>
      <c r="Q7991" s="216" t="str">
        <f t="shared" si="789"/>
        <v/>
      </c>
      <c r="R7991" s="216" t="str">
        <f t="shared" si="790"/>
        <v/>
      </c>
      <c r="S7991" s="217" t="str">
        <f t="shared" si="791"/>
        <v/>
      </c>
    </row>
    <row r="7992" spans="1:19" ht="15.75" hidden="1" thickBot="1" x14ac:dyDescent="0.3">
      <c r="A7992" s="257"/>
      <c r="B7992" s="260"/>
      <c r="C7992" s="31"/>
      <c r="D7992" s="31"/>
      <c r="E7992" s="32"/>
      <c r="F7992" s="42" t="s">
        <v>416</v>
      </c>
      <c r="G7992" s="33" t="str">
        <f t="shared" si="786"/>
        <v/>
      </c>
      <c r="H7992" s="34"/>
      <c r="I7992" s="30"/>
      <c r="J7992" s="152">
        <v>0</v>
      </c>
      <c r="L7992" s="219"/>
      <c r="M7992" s="42"/>
      <c r="N7992" s="33" t="str">
        <f t="shared" si="787"/>
        <v/>
      </c>
      <c r="O7992" s="34"/>
      <c r="P7992" s="36" t="str">
        <f t="shared" si="788"/>
        <v/>
      </c>
      <c r="Q7992" s="216" t="str">
        <f t="shared" si="789"/>
        <v/>
      </c>
      <c r="R7992" s="216" t="str">
        <f t="shared" si="790"/>
        <v/>
      </c>
      <c r="S7992" s="217" t="str">
        <f t="shared" si="791"/>
        <v/>
      </c>
    </row>
    <row r="7993" spans="1:19" ht="26.25" hidden="1" thickBot="1" x14ac:dyDescent="0.3">
      <c r="A7993" s="257"/>
      <c r="B7993" s="260"/>
      <c r="C7993" s="35" t="s">
        <v>8276</v>
      </c>
      <c r="D7993" s="35" t="s">
        <v>213</v>
      </c>
      <c r="E7993" s="36">
        <v>1</v>
      </c>
      <c r="F7993" s="30">
        <v>6.4409999999999998</v>
      </c>
      <c r="G7993" s="33">
        <f t="shared" si="786"/>
        <v>6.4409999999999998</v>
      </c>
      <c r="H7993" s="38">
        <f>SUM(G7993:G7993)</f>
        <v>6.4409999999999998</v>
      </c>
      <c r="I7993" s="39"/>
      <c r="J7993" s="152">
        <v>0</v>
      </c>
      <c r="L7993" s="215">
        <v>1</v>
      </c>
      <c r="M7993" s="30">
        <v>5.513496</v>
      </c>
      <c r="N7993" s="33">
        <f t="shared" si="787"/>
        <v>5.513496</v>
      </c>
      <c r="O7993" s="38">
        <f>SUM(N7993:N7993)</f>
        <v>5.513496</v>
      </c>
      <c r="P7993" s="36" t="str">
        <f t="shared" si="788"/>
        <v/>
      </c>
      <c r="Q7993" s="216">
        <f t="shared" si="789"/>
        <v>0.14400000000000002</v>
      </c>
      <c r="R7993" s="216">
        <f t="shared" si="790"/>
        <v>0.14400000000000002</v>
      </c>
      <c r="S7993" s="217">
        <f t="shared" si="791"/>
        <v>0.14400000000000002</v>
      </c>
    </row>
    <row r="7994" spans="1:19" ht="15.75" hidden="1" thickBot="1" x14ac:dyDescent="0.3">
      <c r="A7994" s="258"/>
      <c r="B7994" s="261"/>
      <c r="C7994" s="54"/>
      <c r="D7994" s="54"/>
      <c r="E7994" s="65"/>
      <c r="F7994" s="66" t="s">
        <v>416</v>
      </c>
      <c r="G7994" s="67" t="str">
        <f t="shared" si="786"/>
        <v/>
      </c>
      <c r="H7994" s="68"/>
      <c r="I7994" s="30"/>
      <c r="J7994" s="152">
        <v>0</v>
      </c>
      <c r="L7994" s="222"/>
      <c r="M7994" s="66"/>
      <c r="N7994" s="67" t="str">
        <f t="shared" si="787"/>
        <v/>
      </c>
      <c r="O7994" s="68"/>
      <c r="P7994" s="36" t="str">
        <f t="shared" si="788"/>
        <v/>
      </c>
      <c r="Q7994" s="216" t="str">
        <f t="shared" si="789"/>
        <v/>
      </c>
      <c r="R7994" s="216" t="str">
        <f t="shared" si="790"/>
        <v/>
      </c>
      <c r="S7994" s="217" t="str">
        <f t="shared" si="791"/>
        <v/>
      </c>
    </row>
    <row r="7995" spans="1:19" ht="15.75" hidden="1" thickBot="1" x14ac:dyDescent="0.3">
      <c r="A7995" s="256" t="s">
        <v>6987</v>
      </c>
      <c r="B7995" s="259" t="str">
        <f>INDEX(Orçamentária!A:B,MATCH(Composições!A7995,Orçamentária!A:A,0),2)</f>
        <v>Joelho 90° PVC esgoto ou águas pluviais 100 mm</v>
      </c>
      <c r="C7995" s="40"/>
      <c r="D7995" s="25" t="s">
        <v>16</v>
      </c>
      <c r="E7995" s="26"/>
      <c r="F7995" s="41" t="s">
        <v>416</v>
      </c>
      <c r="G7995" s="27" t="str">
        <f t="shared" si="786"/>
        <v/>
      </c>
      <c r="H7995" s="28"/>
      <c r="I7995" s="29"/>
      <c r="J7995" s="152">
        <v>0</v>
      </c>
      <c r="L7995" s="218"/>
      <c r="M7995" s="41"/>
      <c r="N7995" s="27" t="str">
        <f t="shared" si="787"/>
        <v/>
      </c>
      <c r="O7995" s="28"/>
      <c r="P7995" s="36" t="str">
        <f t="shared" si="788"/>
        <v/>
      </c>
      <c r="Q7995" s="216" t="str">
        <f t="shared" si="789"/>
        <v/>
      </c>
      <c r="R7995" s="216" t="str">
        <f t="shared" si="790"/>
        <v/>
      </c>
      <c r="S7995" s="217" t="str">
        <f t="shared" si="791"/>
        <v/>
      </c>
    </row>
    <row r="7996" spans="1:19" ht="15.75" hidden="1" thickBot="1" x14ac:dyDescent="0.3">
      <c r="A7996" s="257"/>
      <c r="B7996" s="260"/>
      <c r="C7996" s="31"/>
      <c r="D7996" s="31"/>
      <c r="E7996" s="32"/>
      <c r="F7996" s="42" t="s">
        <v>416</v>
      </c>
      <c r="G7996" s="33" t="str">
        <f t="shared" si="786"/>
        <v/>
      </c>
      <c r="H7996" s="34"/>
      <c r="I7996" s="30"/>
      <c r="J7996" s="152">
        <v>0</v>
      </c>
      <c r="L7996" s="219"/>
      <c r="M7996" s="42"/>
      <c r="N7996" s="33" t="str">
        <f t="shared" si="787"/>
        <v/>
      </c>
      <c r="O7996" s="34"/>
      <c r="P7996" s="36" t="str">
        <f t="shared" si="788"/>
        <v/>
      </c>
      <c r="Q7996" s="216" t="str">
        <f t="shared" si="789"/>
        <v/>
      </c>
      <c r="R7996" s="216" t="str">
        <f t="shared" si="790"/>
        <v/>
      </c>
      <c r="S7996" s="217" t="str">
        <f t="shared" si="791"/>
        <v/>
      </c>
    </row>
    <row r="7997" spans="1:19" ht="26.25" hidden="1" thickBot="1" x14ac:dyDescent="0.3">
      <c r="A7997" s="257"/>
      <c r="B7997" s="260"/>
      <c r="C7997" s="35" t="s">
        <v>8193</v>
      </c>
      <c r="D7997" s="35" t="s">
        <v>213</v>
      </c>
      <c r="E7997" s="36">
        <v>1</v>
      </c>
      <c r="F7997" s="30">
        <v>8.17</v>
      </c>
      <c r="G7997" s="33">
        <f t="shared" si="786"/>
        <v>8.17</v>
      </c>
      <c r="H7997" s="38">
        <f>SUM(G7997:G7997)</f>
        <v>8.17</v>
      </c>
      <c r="I7997" s="39"/>
      <c r="J7997" s="152">
        <v>0</v>
      </c>
      <c r="L7997" s="215">
        <v>1</v>
      </c>
      <c r="M7997" s="30">
        <v>6.9935200000000002</v>
      </c>
      <c r="N7997" s="33">
        <f t="shared" si="787"/>
        <v>6.9935200000000002</v>
      </c>
      <c r="O7997" s="38">
        <f>SUM(N7997:N7997)</f>
        <v>6.9935200000000002</v>
      </c>
      <c r="P7997" s="36" t="str">
        <f t="shared" si="788"/>
        <v/>
      </c>
      <c r="Q7997" s="216">
        <f t="shared" si="789"/>
        <v>0.14400000000000002</v>
      </c>
      <c r="R7997" s="216">
        <f t="shared" si="790"/>
        <v>0.14400000000000002</v>
      </c>
      <c r="S7997" s="217">
        <f t="shared" si="791"/>
        <v>0.14400000000000002</v>
      </c>
    </row>
    <row r="7998" spans="1:19" ht="15.75" hidden="1" thickBot="1" x14ac:dyDescent="0.3">
      <c r="A7998" s="258"/>
      <c r="B7998" s="261"/>
      <c r="C7998" s="54"/>
      <c r="D7998" s="54"/>
      <c r="E7998" s="65"/>
      <c r="F7998" s="66" t="s">
        <v>416</v>
      </c>
      <c r="G7998" s="67" t="str">
        <f t="shared" si="786"/>
        <v/>
      </c>
      <c r="H7998" s="68"/>
      <c r="I7998" s="30"/>
      <c r="J7998" s="152">
        <v>0</v>
      </c>
      <c r="L7998" s="222"/>
      <c r="M7998" s="66"/>
      <c r="N7998" s="67" t="str">
        <f t="shared" si="787"/>
        <v/>
      </c>
      <c r="O7998" s="68"/>
      <c r="P7998" s="36" t="str">
        <f t="shared" si="788"/>
        <v/>
      </c>
      <c r="Q7998" s="216" t="str">
        <f t="shared" si="789"/>
        <v/>
      </c>
      <c r="R7998" s="216" t="str">
        <f t="shared" si="790"/>
        <v/>
      </c>
      <c r="S7998" s="217" t="str">
        <f t="shared" si="791"/>
        <v/>
      </c>
    </row>
    <row r="7999" spans="1:19" ht="15.75" hidden="1" thickBot="1" x14ac:dyDescent="0.3">
      <c r="A7999" s="256" t="s">
        <v>6988</v>
      </c>
      <c r="B7999" s="259" t="str">
        <f>INDEX(Orçamentária!A:B,MATCH(Composições!A7999,Orçamentária!A:A,0),2)</f>
        <v>Curva longa 90° PVC esgoto ou águas pluviais 100 mm</v>
      </c>
      <c r="C7999" s="40"/>
      <c r="D7999" s="25" t="s">
        <v>16</v>
      </c>
      <c r="E7999" s="26"/>
      <c r="F7999" s="41" t="s">
        <v>416</v>
      </c>
      <c r="G7999" s="27" t="str">
        <f t="shared" si="786"/>
        <v/>
      </c>
      <c r="H7999" s="28"/>
      <c r="I7999" s="29"/>
      <c r="J7999" s="152">
        <v>0</v>
      </c>
      <c r="L7999" s="218"/>
      <c r="M7999" s="41"/>
      <c r="N7999" s="27" t="str">
        <f t="shared" si="787"/>
        <v/>
      </c>
      <c r="O7999" s="28"/>
      <c r="P7999" s="36" t="str">
        <f t="shared" si="788"/>
        <v/>
      </c>
      <c r="Q7999" s="216" t="str">
        <f t="shared" si="789"/>
        <v/>
      </c>
      <c r="R7999" s="216" t="str">
        <f t="shared" si="790"/>
        <v/>
      </c>
      <c r="S7999" s="217" t="str">
        <f t="shared" si="791"/>
        <v/>
      </c>
    </row>
    <row r="8000" spans="1:19" ht="15.75" hidden="1" thickBot="1" x14ac:dyDescent="0.3">
      <c r="A8000" s="257"/>
      <c r="B8000" s="260"/>
      <c r="C8000" s="31"/>
      <c r="D8000" s="31"/>
      <c r="E8000" s="32"/>
      <c r="F8000" s="42" t="s">
        <v>416</v>
      </c>
      <c r="G8000" s="33" t="str">
        <f t="shared" si="786"/>
        <v/>
      </c>
      <c r="H8000" s="34"/>
      <c r="I8000" s="30"/>
      <c r="J8000" s="152">
        <v>0</v>
      </c>
      <c r="L8000" s="219"/>
      <c r="M8000" s="42"/>
      <c r="N8000" s="33" t="str">
        <f t="shared" si="787"/>
        <v/>
      </c>
      <c r="O8000" s="34"/>
      <c r="P8000" s="36" t="str">
        <f t="shared" si="788"/>
        <v/>
      </c>
      <c r="Q8000" s="216" t="str">
        <f t="shared" si="789"/>
        <v/>
      </c>
      <c r="R8000" s="216" t="str">
        <f t="shared" si="790"/>
        <v/>
      </c>
      <c r="S8000" s="217" t="str">
        <f t="shared" si="791"/>
        <v/>
      </c>
    </row>
    <row r="8001" spans="1:19" ht="15.75" hidden="1" thickBot="1" x14ac:dyDescent="0.3">
      <c r="A8001" s="257"/>
      <c r="B8001" s="260"/>
      <c r="C8001" s="35" t="s">
        <v>8112</v>
      </c>
      <c r="D8001" s="35" t="s">
        <v>213</v>
      </c>
      <c r="E8001" s="36">
        <v>1</v>
      </c>
      <c r="F8001" s="30">
        <v>57.294499999999999</v>
      </c>
      <c r="G8001" s="33">
        <f t="shared" si="786"/>
        <v>57.294499999999999</v>
      </c>
      <c r="H8001" s="38">
        <f>SUM(G8001:G8001)</f>
        <v>57.294499999999999</v>
      </c>
      <c r="I8001" s="39"/>
      <c r="J8001" s="152">
        <v>0</v>
      </c>
      <c r="L8001" s="215">
        <v>1</v>
      </c>
      <c r="M8001" s="30">
        <v>49.044091999999999</v>
      </c>
      <c r="N8001" s="33">
        <f t="shared" si="787"/>
        <v>49.044091999999999</v>
      </c>
      <c r="O8001" s="38">
        <f>SUM(N8001:N8001)</f>
        <v>49.044091999999999</v>
      </c>
      <c r="P8001" s="36" t="str">
        <f t="shared" si="788"/>
        <v/>
      </c>
      <c r="Q8001" s="216">
        <f t="shared" si="789"/>
        <v>0.14400000000000002</v>
      </c>
      <c r="R8001" s="216">
        <f t="shared" si="790"/>
        <v>0.14400000000000002</v>
      </c>
      <c r="S8001" s="217">
        <f t="shared" si="791"/>
        <v>0.14400000000000002</v>
      </c>
    </row>
    <row r="8002" spans="1:19" ht="15.75" hidden="1" thickBot="1" x14ac:dyDescent="0.3">
      <c r="A8002" s="258"/>
      <c r="B8002" s="261"/>
      <c r="C8002" s="54"/>
      <c r="D8002" s="54"/>
      <c r="E8002" s="65"/>
      <c r="F8002" s="66" t="s">
        <v>416</v>
      </c>
      <c r="G8002" s="67" t="str">
        <f t="shared" ref="G8002:G8065" si="792">IF(ISNUMBER(F8002),E8002*F8002,"")</f>
        <v/>
      </c>
      <c r="H8002" s="68"/>
      <c r="I8002" s="30"/>
      <c r="J8002" s="152">
        <v>0</v>
      </c>
      <c r="L8002" s="222"/>
      <c r="M8002" s="66"/>
      <c r="N8002" s="67" t="str">
        <f t="shared" ref="N8002:N8065" si="793">IF(ISNUMBER(M8002),L8002*M8002,"")</f>
        <v/>
      </c>
      <c r="O8002" s="68"/>
      <c r="P8002" s="36" t="str">
        <f t="shared" si="788"/>
        <v/>
      </c>
      <c r="Q8002" s="216" t="str">
        <f t="shared" si="789"/>
        <v/>
      </c>
      <c r="R8002" s="216" t="str">
        <f t="shared" si="790"/>
        <v/>
      </c>
      <c r="S8002" s="217" t="str">
        <f t="shared" si="791"/>
        <v/>
      </c>
    </row>
    <row r="8003" spans="1:19" ht="15.75" hidden="1" thickBot="1" x14ac:dyDescent="0.3">
      <c r="A8003" s="256" t="s">
        <v>6989</v>
      </c>
      <c r="B8003" s="259" t="str">
        <f>INDEX(Orçamentária!A:B,MATCH(Composições!A8003,Orçamentária!A:A,0),2)</f>
        <v>Joelho 45° PVC esgoto ou águas pluviais 100 mm</v>
      </c>
      <c r="C8003" s="40"/>
      <c r="D8003" s="25" t="s">
        <v>16</v>
      </c>
      <c r="E8003" s="26"/>
      <c r="F8003" s="41" t="s">
        <v>416</v>
      </c>
      <c r="G8003" s="27" t="str">
        <f t="shared" si="792"/>
        <v/>
      </c>
      <c r="H8003" s="28"/>
      <c r="I8003" s="29"/>
      <c r="J8003" s="152">
        <v>0</v>
      </c>
      <c r="L8003" s="218"/>
      <c r="M8003" s="41"/>
      <c r="N8003" s="27" t="str">
        <f t="shared" si="793"/>
        <v/>
      </c>
      <c r="O8003" s="28"/>
      <c r="P8003" s="36" t="str">
        <f t="shared" si="788"/>
        <v/>
      </c>
      <c r="Q8003" s="216" t="str">
        <f t="shared" si="789"/>
        <v/>
      </c>
      <c r="R8003" s="216" t="str">
        <f t="shared" si="790"/>
        <v/>
      </c>
      <c r="S8003" s="217" t="str">
        <f t="shared" si="791"/>
        <v/>
      </c>
    </row>
    <row r="8004" spans="1:19" ht="15.75" hidden="1" thickBot="1" x14ac:dyDescent="0.3">
      <c r="A8004" s="257"/>
      <c r="B8004" s="260"/>
      <c r="C8004" s="31"/>
      <c r="D8004" s="31"/>
      <c r="E8004" s="32"/>
      <c r="F8004" s="42" t="s">
        <v>416</v>
      </c>
      <c r="G8004" s="33" t="str">
        <f t="shared" si="792"/>
        <v/>
      </c>
      <c r="H8004" s="34"/>
      <c r="I8004" s="30"/>
      <c r="J8004" s="152">
        <v>0</v>
      </c>
      <c r="L8004" s="219"/>
      <c r="M8004" s="42"/>
      <c r="N8004" s="33" t="str">
        <f t="shared" si="793"/>
        <v/>
      </c>
      <c r="O8004" s="34"/>
      <c r="P8004" s="36" t="str">
        <f t="shared" si="788"/>
        <v/>
      </c>
      <c r="Q8004" s="216" t="str">
        <f t="shared" si="789"/>
        <v/>
      </c>
      <c r="R8004" s="216" t="str">
        <f t="shared" si="790"/>
        <v/>
      </c>
      <c r="S8004" s="217" t="str">
        <f t="shared" si="791"/>
        <v/>
      </c>
    </row>
    <row r="8005" spans="1:19" ht="26.25" hidden="1" thickBot="1" x14ac:dyDescent="0.3">
      <c r="A8005" s="257"/>
      <c r="B8005" s="260"/>
      <c r="C8005" s="35" t="s">
        <v>8188</v>
      </c>
      <c r="D8005" s="35" t="s">
        <v>213</v>
      </c>
      <c r="E8005" s="36">
        <v>1</v>
      </c>
      <c r="F8005" s="30">
        <v>8.9870000000000001</v>
      </c>
      <c r="G8005" s="33">
        <f t="shared" si="792"/>
        <v>8.9870000000000001</v>
      </c>
      <c r="H8005" s="38">
        <f>SUM(G8005:G8005)</f>
        <v>8.9870000000000001</v>
      </c>
      <c r="I8005" s="39"/>
      <c r="J8005" s="152">
        <v>0</v>
      </c>
      <c r="L8005" s="215">
        <v>1</v>
      </c>
      <c r="M8005" s="30">
        <v>7.6928720000000004</v>
      </c>
      <c r="N8005" s="33">
        <f t="shared" si="793"/>
        <v>7.6928720000000004</v>
      </c>
      <c r="O8005" s="38">
        <f>SUM(N8005:N8005)</f>
        <v>7.6928720000000004</v>
      </c>
      <c r="P8005" s="36" t="str">
        <f t="shared" si="788"/>
        <v/>
      </c>
      <c r="Q8005" s="216">
        <f t="shared" si="789"/>
        <v>0.14400000000000002</v>
      </c>
      <c r="R8005" s="216">
        <f t="shared" si="790"/>
        <v>0.14400000000000002</v>
      </c>
      <c r="S8005" s="217">
        <f t="shared" si="791"/>
        <v>0.14400000000000002</v>
      </c>
    </row>
    <row r="8006" spans="1:19" ht="15.75" hidden="1" thickBot="1" x14ac:dyDescent="0.3">
      <c r="A8006" s="258"/>
      <c r="B8006" s="261"/>
      <c r="C8006" s="54"/>
      <c r="D8006" s="54"/>
      <c r="E8006" s="65"/>
      <c r="F8006" s="66" t="s">
        <v>416</v>
      </c>
      <c r="G8006" s="67" t="str">
        <f t="shared" si="792"/>
        <v/>
      </c>
      <c r="H8006" s="68"/>
      <c r="I8006" s="30"/>
      <c r="J8006" s="152">
        <v>0</v>
      </c>
      <c r="L8006" s="222"/>
      <c r="M8006" s="66"/>
      <c r="N8006" s="67" t="str">
        <f t="shared" si="793"/>
        <v/>
      </c>
      <c r="O8006" s="68"/>
      <c r="P8006" s="36" t="str">
        <f t="shared" si="788"/>
        <v/>
      </c>
      <c r="Q8006" s="216" t="str">
        <f t="shared" si="789"/>
        <v/>
      </c>
      <c r="R8006" s="216" t="str">
        <f t="shared" si="790"/>
        <v/>
      </c>
      <c r="S8006" s="217" t="str">
        <f t="shared" si="791"/>
        <v/>
      </c>
    </row>
    <row r="8007" spans="1:19" ht="15.75" hidden="1" thickBot="1" x14ac:dyDescent="0.3">
      <c r="A8007" s="256" t="s">
        <v>6990</v>
      </c>
      <c r="B8007" s="259" t="str">
        <f>INDEX(Orçamentária!A:B,MATCH(Composições!A8007,Orçamentária!A:A,0),2)</f>
        <v>Junção dupla PVC esgoto ou águas pluviais 100 mm</v>
      </c>
      <c r="C8007" s="40"/>
      <c r="D8007" s="25" t="s">
        <v>16</v>
      </c>
      <c r="E8007" s="26"/>
      <c r="F8007" s="41" t="s">
        <v>416</v>
      </c>
      <c r="G8007" s="27" t="str">
        <f t="shared" si="792"/>
        <v/>
      </c>
      <c r="H8007" s="28"/>
      <c r="I8007" s="29"/>
      <c r="J8007" s="152">
        <v>0</v>
      </c>
      <c r="L8007" s="218"/>
      <c r="M8007" s="41"/>
      <c r="N8007" s="27" t="str">
        <f t="shared" si="793"/>
        <v/>
      </c>
      <c r="O8007" s="28"/>
      <c r="P8007" s="36" t="str">
        <f t="shared" si="788"/>
        <v/>
      </c>
      <c r="Q8007" s="216" t="str">
        <f t="shared" si="789"/>
        <v/>
      </c>
      <c r="R8007" s="216" t="str">
        <f t="shared" si="790"/>
        <v/>
      </c>
      <c r="S8007" s="217" t="str">
        <f t="shared" si="791"/>
        <v/>
      </c>
    </row>
    <row r="8008" spans="1:19" ht="15.75" hidden="1" thickBot="1" x14ac:dyDescent="0.3">
      <c r="A8008" s="257"/>
      <c r="B8008" s="260"/>
      <c r="C8008" s="31"/>
      <c r="D8008" s="31"/>
      <c r="E8008" s="32"/>
      <c r="F8008" s="42" t="s">
        <v>416</v>
      </c>
      <c r="G8008" s="33" t="str">
        <f t="shared" si="792"/>
        <v/>
      </c>
      <c r="H8008" s="34"/>
      <c r="I8008" s="30"/>
      <c r="J8008" s="152">
        <v>0</v>
      </c>
      <c r="L8008" s="219"/>
      <c r="M8008" s="42"/>
      <c r="N8008" s="33" t="str">
        <f t="shared" si="793"/>
        <v/>
      </c>
      <c r="O8008" s="34"/>
      <c r="P8008" s="36" t="str">
        <f t="shared" ref="P8008:P8071" si="794">IF(ISBLANK(L8008),"",IF($E8008&lt;&gt;L8008,"SIM",""))</f>
        <v/>
      </c>
      <c r="Q8008" s="216" t="str">
        <f t="shared" ref="Q8008:Q8071" si="795">IF(M8008="","",1-M8008/$F8008)</f>
        <v/>
      </c>
      <c r="R8008" s="216" t="str">
        <f t="shared" ref="R8008:R8071" si="796">IF(N8008="","",1-N8008/$G8008)</f>
        <v/>
      </c>
      <c r="S8008" s="217" t="str">
        <f t="shared" ref="S8008:S8071" si="797">IF(O8008="","",1-O8008/$H8008)</f>
        <v/>
      </c>
    </row>
    <row r="8009" spans="1:19" ht="26.25" hidden="1" thickBot="1" x14ac:dyDescent="0.3">
      <c r="A8009" s="257"/>
      <c r="B8009" s="260"/>
      <c r="C8009" s="35" t="s">
        <v>8213</v>
      </c>
      <c r="D8009" s="35" t="s">
        <v>213</v>
      </c>
      <c r="E8009" s="36">
        <v>1</v>
      </c>
      <c r="F8009" s="30">
        <v>41.163499999999999</v>
      </c>
      <c r="G8009" s="33">
        <f t="shared" si="792"/>
        <v>41.163499999999999</v>
      </c>
      <c r="H8009" s="38">
        <f>SUM(G8009:G8009)</f>
        <v>41.163499999999999</v>
      </c>
      <c r="I8009" s="39"/>
      <c r="J8009" s="152">
        <v>0</v>
      </c>
      <c r="L8009" s="215">
        <v>1</v>
      </c>
      <c r="M8009" s="30">
        <v>35.235956000000002</v>
      </c>
      <c r="N8009" s="33">
        <f t="shared" si="793"/>
        <v>35.235956000000002</v>
      </c>
      <c r="O8009" s="38">
        <f>SUM(N8009:N8009)</f>
        <v>35.235956000000002</v>
      </c>
      <c r="P8009" s="36" t="str">
        <f t="shared" si="794"/>
        <v/>
      </c>
      <c r="Q8009" s="216">
        <f t="shared" si="795"/>
        <v>0.14399999999999991</v>
      </c>
      <c r="R8009" s="216">
        <f t="shared" si="796"/>
        <v>0.14399999999999991</v>
      </c>
      <c r="S8009" s="217">
        <f t="shared" si="797"/>
        <v>0.14399999999999991</v>
      </c>
    </row>
    <row r="8010" spans="1:19" ht="15.75" hidden="1" thickBot="1" x14ac:dyDescent="0.3">
      <c r="A8010" s="258"/>
      <c r="B8010" s="261"/>
      <c r="C8010" s="54"/>
      <c r="D8010" s="54"/>
      <c r="E8010" s="65"/>
      <c r="F8010" s="66" t="s">
        <v>416</v>
      </c>
      <c r="G8010" s="67" t="str">
        <f t="shared" si="792"/>
        <v/>
      </c>
      <c r="H8010" s="68"/>
      <c r="I8010" s="30"/>
      <c r="J8010" s="152">
        <v>0</v>
      </c>
      <c r="L8010" s="222"/>
      <c r="M8010" s="66"/>
      <c r="N8010" s="67" t="str">
        <f t="shared" si="793"/>
        <v/>
      </c>
      <c r="O8010" s="68"/>
      <c r="P8010" s="36" t="str">
        <f t="shared" si="794"/>
        <v/>
      </c>
      <c r="Q8010" s="216" t="str">
        <f t="shared" si="795"/>
        <v/>
      </c>
      <c r="R8010" s="216" t="str">
        <f t="shared" si="796"/>
        <v/>
      </c>
      <c r="S8010" s="217" t="str">
        <f t="shared" si="797"/>
        <v/>
      </c>
    </row>
    <row r="8011" spans="1:19" ht="15.75" hidden="1" thickBot="1" x14ac:dyDescent="0.3">
      <c r="A8011" s="256" t="s">
        <v>6991</v>
      </c>
      <c r="B8011" s="259" t="str">
        <f>INDEX(Orçamentária!A:B,MATCH(Composições!A8011,Orçamentária!A:A,0),2)</f>
        <v>Junção Simples 100 x 100 mm</v>
      </c>
      <c r="C8011" s="40"/>
      <c r="D8011" s="25" t="s">
        <v>16</v>
      </c>
      <c r="E8011" s="26"/>
      <c r="F8011" s="41" t="s">
        <v>416</v>
      </c>
      <c r="G8011" s="27" t="str">
        <f t="shared" si="792"/>
        <v/>
      </c>
      <c r="H8011" s="28"/>
      <c r="I8011" s="29"/>
      <c r="J8011" s="152">
        <v>0</v>
      </c>
      <c r="L8011" s="218"/>
      <c r="M8011" s="41"/>
      <c r="N8011" s="27" t="str">
        <f t="shared" si="793"/>
        <v/>
      </c>
      <c r="O8011" s="28"/>
      <c r="P8011" s="36" t="str">
        <f t="shared" si="794"/>
        <v/>
      </c>
      <c r="Q8011" s="216" t="str">
        <f t="shared" si="795"/>
        <v/>
      </c>
      <c r="R8011" s="216" t="str">
        <f t="shared" si="796"/>
        <v/>
      </c>
      <c r="S8011" s="217" t="str">
        <f t="shared" si="797"/>
        <v/>
      </c>
    </row>
    <row r="8012" spans="1:19" ht="15.75" hidden="1" thickBot="1" x14ac:dyDescent="0.3">
      <c r="A8012" s="257"/>
      <c r="B8012" s="260"/>
      <c r="C8012" s="31"/>
      <c r="D8012" s="31"/>
      <c r="E8012" s="32"/>
      <c r="F8012" s="42" t="s">
        <v>416</v>
      </c>
      <c r="G8012" s="33" t="str">
        <f t="shared" si="792"/>
        <v/>
      </c>
      <c r="H8012" s="34"/>
      <c r="I8012" s="30"/>
      <c r="J8012" s="152">
        <v>0</v>
      </c>
      <c r="L8012" s="219"/>
      <c r="M8012" s="42"/>
      <c r="N8012" s="33" t="str">
        <f t="shared" si="793"/>
        <v/>
      </c>
      <c r="O8012" s="34"/>
      <c r="P8012" s="36" t="str">
        <f t="shared" si="794"/>
        <v/>
      </c>
      <c r="Q8012" s="216" t="str">
        <f t="shared" si="795"/>
        <v/>
      </c>
      <c r="R8012" s="216" t="str">
        <f t="shared" si="796"/>
        <v/>
      </c>
      <c r="S8012" s="217" t="str">
        <f t="shared" si="797"/>
        <v/>
      </c>
    </row>
    <row r="8013" spans="1:19" ht="26.25" hidden="1" thickBot="1" x14ac:dyDescent="0.3">
      <c r="A8013" s="257"/>
      <c r="B8013" s="260"/>
      <c r="C8013" s="35" t="s">
        <v>8216</v>
      </c>
      <c r="D8013" s="35" t="s">
        <v>213</v>
      </c>
      <c r="E8013" s="36">
        <v>1</v>
      </c>
      <c r="F8013" s="30">
        <v>23.607500000000002</v>
      </c>
      <c r="G8013" s="33">
        <f t="shared" si="792"/>
        <v>23.607500000000002</v>
      </c>
      <c r="H8013" s="38">
        <f>SUM(G8013:G8013)</f>
        <v>23.607500000000002</v>
      </c>
      <c r="I8013" s="39"/>
      <c r="J8013" s="152">
        <v>0</v>
      </c>
      <c r="L8013" s="215">
        <v>1</v>
      </c>
      <c r="M8013" s="30">
        <v>20.208020000000001</v>
      </c>
      <c r="N8013" s="33">
        <f t="shared" si="793"/>
        <v>20.208020000000001</v>
      </c>
      <c r="O8013" s="38">
        <f>SUM(N8013:N8013)</f>
        <v>20.208020000000001</v>
      </c>
      <c r="P8013" s="36" t="str">
        <f t="shared" si="794"/>
        <v/>
      </c>
      <c r="Q8013" s="216">
        <f t="shared" si="795"/>
        <v>0.14400000000000002</v>
      </c>
      <c r="R8013" s="216">
        <f t="shared" si="796"/>
        <v>0.14400000000000002</v>
      </c>
      <c r="S8013" s="217">
        <f t="shared" si="797"/>
        <v>0.14400000000000002</v>
      </c>
    </row>
    <row r="8014" spans="1:19" ht="15.75" hidden="1" thickBot="1" x14ac:dyDescent="0.3">
      <c r="A8014" s="258"/>
      <c r="B8014" s="261"/>
      <c r="C8014" s="54"/>
      <c r="D8014" s="54"/>
      <c r="E8014" s="65"/>
      <c r="F8014" s="66" t="s">
        <v>416</v>
      </c>
      <c r="G8014" s="67" t="str">
        <f t="shared" si="792"/>
        <v/>
      </c>
      <c r="H8014" s="68"/>
      <c r="I8014" s="30"/>
      <c r="J8014" s="152">
        <v>0</v>
      </c>
      <c r="L8014" s="222"/>
      <c r="M8014" s="66"/>
      <c r="N8014" s="67" t="str">
        <f t="shared" si="793"/>
        <v/>
      </c>
      <c r="O8014" s="68"/>
      <c r="P8014" s="36" t="str">
        <f t="shared" si="794"/>
        <v/>
      </c>
      <c r="Q8014" s="216" t="str">
        <f t="shared" si="795"/>
        <v/>
      </c>
      <c r="R8014" s="216" t="str">
        <f t="shared" si="796"/>
        <v/>
      </c>
      <c r="S8014" s="217" t="str">
        <f t="shared" si="797"/>
        <v/>
      </c>
    </row>
    <row r="8015" spans="1:19" ht="15.75" hidden="1" thickBot="1" x14ac:dyDescent="0.3">
      <c r="A8015" s="256" t="s">
        <v>6992</v>
      </c>
      <c r="B8015" s="259" t="str">
        <f>INDEX(Orçamentária!A:B,MATCH(Composições!A8015,Orçamentária!A:A,0),2)</f>
        <v>Cap PVC esgoto ou águas pluviais 100 mm</v>
      </c>
      <c r="C8015" s="40"/>
      <c r="D8015" s="25" t="s">
        <v>16</v>
      </c>
      <c r="E8015" s="26"/>
      <c r="F8015" s="41" t="s">
        <v>416</v>
      </c>
      <c r="G8015" s="27" t="str">
        <f t="shared" si="792"/>
        <v/>
      </c>
      <c r="H8015" s="28"/>
      <c r="I8015" s="29"/>
      <c r="J8015" s="152">
        <v>0</v>
      </c>
      <c r="L8015" s="218"/>
      <c r="M8015" s="41"/>
      <c r="N8015" s="27" t="str">
        <f t="shared" si="793"/>
        <v/>
      </c>
      <c r="O8015" s="28"/>
      <c r="P8015" s="36" t="str">
        <f t="shared" si="794"/>
        <v/>
      </c>
      <c r="Q8015" s="216" t="str">
        <f t="shared" si="795"/>
        <v/>
      </c>
      <c r="R8015" s="216" t="str">
        <f t="shared" si="796"/>
        <v/>
      </c>
      <c r="S8015" s="217" t="str">
        <f t="shared" si="797"/>
        <v/>
      </c>
    </row>
    <row r="8016" spans="1:19" ht="15.75" hidden="1" thickBot="1" x14ac:dyDescent="0.3">
      <c r="A8016" s="257"/>
      <c r="B8016" s="260"/>
      <c r="C8016" s="31"/>
      <c r="D8016" s="31"/>
      <c r="E8016" s="32"/>
      <c r="F8016" s="42" t="s">
        <v>416</v>
      </c>
      <c r="G8016" s="33" t="str">
        <f t="shared" si="792"/>
        <v/>
      </c>
      <c r="H8016" s="34"/>
      <c r="I8016" s="30"/>
      <c r="J8016" s="152">
        <v>0</v>
      </c>
      <c r="L8016" s="219"/>
      <c r="M8016" s="42"/>
      <c r="N8016" s="33" t="str">
        <f t="shared" si="793"/>
        <v/>
      </c>
      <c r="O8016" s="34"/>
      <c r="P8016" s="36" t="str">
        <f t="shared" si="794"/>
        <v/>
      </c>
      <c r="Q8016" s="216" t="str">
        <f t="shared" si="795"/>
        <v/>
      </c>
      <c r="R8016" s="216" t="str">
        <f t="shared" si="796"/>
        <v/>
      </c>
      <c r="S8016" s="217" t="str">
        <f t="shared" si="797"/>
        <v/>
      </c>
    </row>
    <row r="8017" spans="1:19" ht="15.75" hidden="1" thickBot="1" x14ac:dyDescent="0.3">
      <c r="A8017" s="257"/>
      <c r="B8017" s="260"/>
      <c r="C8017" s="35" t="s">
        <v>8046</v>
      </c>
      <c r="D8017" s="35" t="s">
        <v>213</v>
      </c>
      <c r="E8017" s="36">
        <v>1</v>
      </c>
      <c r="F8017" s="30">
        <v>12.625499999999999</v>
      </c>
      <c r="G8017" s="33">
        <f t="shared" si="792"/>
        <v>12.625499999999999</v>
      </c>
      <c r="H8017" s="38">
        <f>SUM(G8017:G8017)</f>
        <v>12.625499999999999</v>
      </c>
      <c r="I8017" s="39"/>
      <c r="J8017" s="152">
        <v>0</v>
      </c>
      <c r="L8017" s="215">
        <v>1</v>
      </c>
      <c r="M8017" s="30">
        <v>10.807428</v>
      </c>
      <c r="N8017" s="33">
        <f t="shared" si="793"/>
        <v>10.807428</v>
      </c>
      <c r="O8017" s="38">
        <f>SUM(N8017:N8017)</f>
        <v>10.807428</v>
      </c>
      <c r="P8017" s="36" t="str">
        <f t="shared" si="794"/>
        <v/>
      </c>
      <c r="Q8017" s="216">
        <f t="shared" si="795"/>
        <v>0.14399999999999991</v>
      </c>
      <c r="R8017" s="216">
        <f t="shared" si="796"/>
        <v>0.14399999999999991</v>
      </c>
      <c r="S8017" s="217">
        <f t="shared" si="797"/>
        <v>0.14399999999999991</v>
      </c>
    </row>
    <row r="8018" spans="1:19" ht="15.75" hidden="1" thickBot="1" x14ac:dyDescent="0.3">
      <c r="A8018" s="258"/>
      <c r="B8018" s="261"/>
      <c r="C8018" s="54"/>
      <c r="D8018" s="54"/>
      <c r="E8018" s="65"/>
      <c r="F8018" s="66" t="s">
        <v>416</v>
      </c>
      <c r="G8018" s="67" t="str">
        <f t="shared" si="792"/>
        <v/>
      </c>
      <c r="H8018" s="68"/>
      <c r="I8018" s="30"/>
      <c r="J8018" s="152">
        <v>0</v>
      </c>
      <c r="L8018" s="222"/>
      <c r="M8018" s="66"/>
      <c r="N8018" s="67" t="str">
        <f t="shared" si="793"/>
        <v/>
      </c>
      <c r="O8018" s="68"/>
      <c r="P8018" s="36" t="str">
        <f t="shared" si="794"/>
        <v/>
      </c>
      <c r="Q8018" s="216" t="str">
        <f t="shared" si="795"/>
        <v/>
      </c>
      <c r="R8018" s="216" t="str">
        <f t="shared" si="796"/>
        <v/>
      </c>
      <c r="S8018" s="217" t="str">
        <f t="shared" si="797"/>
        <v/>
      </c>
    </row>
    <row r="8019" spans="1:19" ht="15.75" hidden="1" thickBot="1" x14ac:dyDescent="0.3">
      <c r="A8019" s="256" t="s">
        <v>6993</v>
      </c>
      <c r="B8019" s="259" t="str">
        <f>INDEX(Orçamentária!A:B,MATCH(Composições!A8019,Orçamentária!A:A,0),2)</f>
        <v>Tê PVC esgoto ou águas pluviais 100 mm</v>
      </c>
      <c r="C8019" s="40"/>
      <c r="D8019" s="25" t="s">
        <v>16</v>
      </c>
      <c r="E8019" s="26"/>
      <c r="F8019" s="41" t="s">
        <v>416</v>
      </c>
      <c r="G8019" s="27" t="str">
        <f t="shared" si="792"/>
        <v/>
      </c>
      <c r="H8019" s="28"/>
      <c r="I8019" s="29"/>
      <c r="J8019" s="152">
        <v>0</v>
      </c>
      <c r="L8019" s="218"/>
      <c r="M8019" s="41"/>
      <c r="N8019" s="27" t="str">
        <f t="shared" si="793"/>
        <v/>
      </c>
      <c r="O8019" s="28"/>
      <c r="P8019" s="36" t="str">
        <f t="shared" si="794"/>
        <v/>
      </c>
      <c r="Q8019" s="216" t="str">
        <f t="shared" si="795"/>
        <v/>
      </c>
      <c r="R8019" s="216" t="str">
        <f t="shared" si="796"/>
        <v/>
      </c>
      <c r="S8019" s="217" t="str">
        <f t="shared" si="797"/>
        <v/>
      </c>
    </row>
    <row r="8020" spans="1:19" ht="15.75" hidden="1" thickBot="1" x14ac:dyDescent="0.3">
      <c r="A8020" s="257"/>
      <c r="B8020" s="260"/>
      <c r="C8020" s="31"/>
      <c r="D8020" s="31"/>
      <c r="E8020" s="32"/>
      <c r="F8020" s="42" t="s">
        <v>416</v>
      </c>
      <c r="G8020" s="33" t="str">
        <f t="shared" si="792"/>
        <v/>
      </c>
      <c r="H8020" s="34"/>
      <c r="I8020" s="30"/>
      <c r="J8020" s="152">
        <v>0</v>
      </c>
      <c r="L8020" s="219"/>
      <c r="M8020" s="42"/>
      <c r="N8020" s="33" t="str">
        <f t="shared" si="793"/>
        <v/>
      </c>
      <c r="O8020" s="34"/>
      <c r="P8020" s="36" t="str">
        <f t="shared" si="794"/>
        <v/>
      </c>
      <c r="Q8020" s="216" t="str">
        <f t="shared" si="795"/>
        <v/>
      </c>
      <c r="R8020" s="216" t="str">
        <f t="shared" si="796"/>
        <v/>
      </c>
      <c r="S8020" s="217" t="str">
        <f t="shared" si="797"/>
        <v/>
      </c>
    </row>
    <row r="8021" spans="1:19" ht="15.75" hidden="1" thickBot="1" x14ac:dyDescent="0.3">
      <c r="A8021" s="257"/>
      <c r="B8021" s="260"/>
      <c r="C8021" s="35" t="s">
        <v>8420</v>
      </c>
      <c r="D8021" s="35" t="s">
        <v>213</v>
      </c>
      <c r="E8021" s="36">
        <v>1</v>
      </c>
      <c r="F8021" s="30">
        <v>43.025499999999994</v>
      </c>
      <c r="G8021" s="33">
        <f t="shared" si="792"/>
        <v>43.025499999999994</v>
      </c>
      <c r="H8021" s="38">
        <f>SUM(G8021:G8021)</f>
        <v>43.025499999999994</v>
      </c>
      <c r="I8021" s="39"/>
      <c r="J8021" s="152">
        <v>0</v>
      </c>
      <c r="L8021" s="215">
        <v>1</v>
      </c>
      <c r="M8021" s="30">
        <v>36.829827999999992</v>
      </c>
      <c r="N8021" s="33">
        <f t="shared" si="793"/>
        <v>36.829827999999992</v>
      </c>
      <c r="O8021" s="38">
        <f>SUM(N8021:N8021)</f>
        <v>36.829827999999992</v>
      </c>
      <c r="P8021" s="36" t="str">
        <f t="shared" si="794"/>
        <v/>
      </c>
      <c r="Q8021" s="216">
        <f t="shared" si="795"/>
        <v>0.14400000000000002</v>
      </c>
      <c r="R8021" s="216">
        <f t="shared" si="796"/>
        <v>0.14400000000000002</v>
      </c>
      <c r="S8021" s="217">
        <f t="shared" si="797"/>
        <v>0.14400000000000002</v>
      </c>
    </row>
    <row r="8022" spans="1:19" ht="15.75" hidden="1" thickBot="1" x14ac:dyDescent="0.3">
      <c r="A8022" s="258"/>
      <c r="B8022" s="261"/>
      <c r="C8022" s="54"/>
      <c r="D8022" s="54"/>
      <c r="E8022" s="65"/>
      <c r="F8022" s="66" t="s">
        <v>416</v>
      </c>
      <c r="G8022" s="67" t="str">
        <f t="shared" si="792"/>
        <v/>
      </c>
      <c r="H8022" s="68"/>
      <c r="I8022" s="30"/>
      <c r="J8022" s="152">
        <v>0</v>
      </c>
      <c r="L8022" s="222"/>
      <c r="M8022" s="66"/>
      <c r="N8022" s="67" t="str">
        <f t="shared" si="793"/>
        <v/>
      </c>
      <c r="O8022" s="68"/>
      <c r="P8022" s="36" t="str">
        <f t="shared" si="794"/>
        <v/>
      </c>
      <c r="Q8022" s="216" t="str">
        <f t="shared" si="795"/>
        <v/>
      </c>
      <c r="R8022" s="216" t="str">
        <f t="shared" si="796"/>
        <v/>
      </c>
      <c r="S8022" s="217" t="str">
        <f t="shared" si="797"/>
        <v/>
      </c>
    </row>
    <row r="8023" spans="1:19" ht="15.75" hidden="1" thickBot="1" x14ac:dyDescent="0.3">
      <c r="A8023" s="256" t="s">
        <v>6994</v>
      </c>
      <c r="B8023" s="259" t="str">
        <f>INDEX(Orçamentária!A:B,MATCH(Composições!A8023,Orçamentária!A:A,0),2)</f>
        <v>Tê inspeção PVC esgoto ou águas pluviais 100 mm</v>
      </c>
      <c r="C8023" s="40"/>
      <c r="D8023" s="25" t="s">
        <v>16</v>
      </c>
      <c r="E8023" s="26"/>
      <c r="F8023" s="41" t="s">
        <v>416</v>
      </c>
      <c r="G8023" s="27" t="str">
        <f t="shared" si="792"/>
        <v/>
      </c>
      <c r="H8023" s="28"/>
      <c r="I8023" s="29"/>
      <c r="J8023" s="152">
        <v>0</v>
      </c>
      <c r="L8023" s="218"/>
      <c r="M8023" s="41"/>
      <c r="N8023" s="27" t="str">
        <f t="shared" si="793"/>
        <v/>
      </c>
      <c r="O8023" s="28"/>
      <c r="P8023" s="36" t="str">
        <f t="shared" si="794"/>
        <v/>
      </c>
      <c r="Q8023" s="216" t="str">
        <f t="shared" si="795"/>
        <v/>
      </c>
      <c r="R8023" s="216" t="str">
        <f t="shared" si="796"/>
        <v/>
      </c>
      <c r="S8023" s="217" t="str">
        <f t="shared" si="797"/>
        <v/>
      </c>
    </row>
    <row r="8024" spans="1:19" ht="15.75" hidden="1" thickBot="1" x14ac:dyDescent="0.3">
      <c r="A8024" s="257"/>
      <c r="B8024" s="260"/>
      <c r="C8024" s="31"/>
      <c r="D8024" s="31"/>
      <c r="E8024" s="32"/>
      <c r="F8024" s="42" t="s">
        <v>416</v>
      </c>
      <c r="G8024" s="33" t="str">
        <f t="shared" si="792"/>
        <v/>
      </c>
      <c r="H8024" s="34"/>
      <c r="I8024" s="30"/>
      <c r="J8024" s="152">
        <v>0</v>
      </c>
      <c r="L8024" s="219"/>
      <c r="M8024" s="42"/>
      <c r="N8024" s="33" t="str">
        <f t="shared" si="793"/>
        <v/>
      </c>
      <c r="O8024" s="34"/>
      <c r="P8024" s="36" t="str">
        <f t="shared" si="794"/>
        <v/>
      </c>
      <c r="Q8024" s="216" t="str">
        <f t="shared" si="795"/>
        <v/>
      </c>
      <c r="R8024" s="216" t="str">
        <f t="shared" si="796"/>
        <v/>
      </c>
      <c r="S8024" s="217" t="str">
        <f t="shared" si="797"/>
        <v/>
      </c>
    </row>
    <row r="8025" spans="1:19" ht="26.25" hidden="1" thickBot="1" x14ac:dyDescent="0.3">
      <c r="A8025" s="257"/>
      <c r="B8025" s="260"/>
      <c r="C8025" s="35" t="s">
        <v>8572</v>
      </c>
      <c r="D8025" s="35" t="s">
        <v>213</v>
      </c>
      <c r="E8025" s="36">
        <v>1</v>
      </c>
      <c r="F8025" s="30">
        <v>40.336999999999996</v>
      </c>
      <c r="G8025" s="33">
        <f t="shared" si="792"/>
        <v>40.336999999999996</v>
      </c>
      <c r="H8025" s="38">
        <f>SUM(G8025:G8025)</f>
        <v>40.336999999999996</v>
      </c>
      <c r="I8025" s="39"/>
      <c r="J8025" s="152">
        <v>0</v>
      </c>
      <c r="L8025" s="215">
        <v>1</v>
      </c>
      <c r="M8025" s="30">
        <v>34.528471999999994</v>
      </c>
      <c r="N8025" s="33">
        <f t="shared" si="793"/>
        <v>34.528471999999994</v>
      </c>
      <c r="O8025" s="38">
        <f>SUM(N8025:N8025)</f>
        <v>34.528471999999994</v>
      </c>
      <c r="P8025" s="36" t="str">
        <f t="shared" si="794"/>
        <v/>
      </c>
      <c r="Q8025" s="216">
        <f t="shared" si="795"/>
        <v>0.14400000000000013</v>
      </c>
      <c r="R8025" s="216">
        <f t="shared" si="796"/>
        <v>0.14400000000000013</v>
      </c>
      <c r="S8025" s="217">
        <f t="shared" si="797"/>
        <v>0.14400000000000013</v>
      </c>
    </row>
    <row r="8026" spans="1:19" ht="15.75" hidden="1" thickBot="1" x14ac:dyDescent="0.3">
      <c r="A8026" s="258"/>
      <c r="B8026" s="261"/>
      <c r="C8026" s="54"/>
      <c r="D8026" s="54"/>
      <c r="E8026" s="65"/>
      <c r="F8026" s="66" t="s">
        <v>416</v>
      </c>
      <c r="G8026" s="67" t="str">
        <f t="shared" si="792"/>
        <v/>
      </c>
      <c r="H8026" s="68"/>
      <c r="I8026" s="30"/>
      <c r="J8026" s="152">
        <v>0</v>
      </c>
      <c r="L8026" s="222"/>
      <c r="M8026" s="66"/>
      <c r="N8026" s="67" t="str">
        <f t="shared" si="793"/>
        <v/>
      </c>
      <c r="O8026" s="68"/>
      <c r="P8026" s="36" t="str">
        <f t="shared" si="794"/>
        <v/>
      </c>
      <c r="Q8026" s="216" t="str">
        <f t="shared" si="795"/>
        <v/>
      </c>
      <c r="R8026" s="216" t="str">
        <f t="shared" si="796"/>
        <v/>
      </c>
      <c r="S8026" s="217" t="str">
        <f t="shared" si="797"/>
        <v/>
      </c>
    </row>
    <row r="8027" spans="1:19" ht="15.75" hidden="1" thickBot="1" x14ac:dyDescent="0.3">
      <c r="A8027" s="256" t="s">
        <v>6995</v>
      </c>
      <c r="B8027" s="259" t="str">
        <f>INDEX(Orçamentária!A:B,MATCH(Composições!A8027,Orçamentária!A:A,0),2)</f>
        <v>Joelho com visita PVC esgoto ou águas pluviais 100x75 mm</v>
      </c>
      <c r="C8027" s="40"/>
      <c r="D8027" s="25" t="s">
        <v>16</v>
      </c>
      <c r="E8027" s="26"/>
      <c r="F8027" s="41" t="s">
        <v>416</v>
      </c>
      <c r="G8027" s="27" t="str">
        <f t="shared" si="792"/>
        <v/>
      </c>
      <c r="H8027" s="28"/>
      <c r="I8027" s="29"/>
      <c r="J8027" s="152">
        <v>0</v>
      </c>
      <c r="L8027" s="218"/>
      <c r="M8027" s="41"/>
      <c r="N8027" s="27" t="str">
        <f t="shared" si="793"/>
        <v/>
      </c>
      <c r="O8027" s="28"/>
      <c r="P8027" s="36" t="str">
        <f t="shared" si="794"/>
        <v/>
      </c>
      <c r="Q8027" s="216" t="str">
        <f t="shared" si="795"/>
        <v/>
      </c>
      <c r="R8027" s="216" t="str">
        <f t="shared" si="796"/>
        <v/>
      </c>
      <c r="S8027" s="217" t="str">
        <f t="shared" si="797"/>
        <v/>
      </c>
    </row>
    <row r="8028" spans="1:19" ht="15.75" hidden="1" thickBot="1" x14ac:dyDescent="0.3">
      <c r="A8028" s="257"/>
      <c r="B8028" s="260"/>
      <c r="C8028" s="31"/>
      <c r="D8028" s="31"/>
      <c r="E8028" s="32"/>
      <c r="F8028" s="42" t="s">
        <v>416</v>
      </c>
      <c r="G8028" s="33" t="str">
        <f t="shared" si="792"/>
        <v/>
      </c>
      <c r="H8028" s="34"/>
      <c r="I8028" s="30"/>
      <c r="J8028" s="152">
        <v>0</v>
      </c>
      <c r="L8028" s="219"/>
      <c r="M8028" s="42"/>
      <c r="N8028" s="33" t="str">
        <f t="shared" si="793"/>
        <v/>
      </c>
      <c r="O8028" s="34"/>
      <c r="P8028" s="36" t="str">
        <f t="shared" si="794"/>
        <v/>
      </c>
      <c r="Q8028" s="216" t="str">
        <f t="shared" si="795"/>
        <v/>
      </c>
      <c r="R8028" s="216" t="str">
        <f t="shared" si="796"/>
        <v/>
      </c>
      <c r="S8028" s="217" t="str">
        <f t="shared" si="797"/>
        <v/>
      </c>
    </row>
    <row r="8029" spans="1:19" ht="26.25" hidden="1" thickBot="1" x14ac:dyDescent="0.3">
      <c r="A8029" s="257"/>
      <c r="B8029" s="260"/>
      <c r="C8029" s="35" t="s">
        <v>8183</v>
      </c>
      <c r="D8029" s="35" t="s">
        <v>213</v>
      </c>
      <c r="E8029" s="36">
        <v>1</v>
      </c>
      <c r="F8029" s="30">
        <v>19.959500000000002</v>
      </c>
      <c r="G8029" s="33">
        <f t="shared" si="792"/>
        <v>19.959500000000002</v>
      </c>
      <c r="H8029" s="38">
        <f>SUM(G8029:G8029)</f>
        <v>19.959500000000002</v>
      </c>
      <c r="I8029" s="39"/>
      <c r="J8029" s="152">
        <v>0</v>
      </c>
      <c r="L8029" s="215">
        <v>1</v>
      </c>
      <c r="M8029" s="30">
        <v>17.085332000000001</v>
      </c>
      <c r="N8029" s="33">
        <f t="shared" si="793"/>
        <v>17.085332000000001</v>
      </c>
      <c r="O8029" s="38">
        <f>SUM(N8029:N8029)</f>
        <v>17.085332000000001</v>
      </c>
      <c r="P8029" s="36" t="str">
        <f t="shared" si="794"/>
        <v/>
      </c>
      <c r="Q8029" s="216">
        <f t="shared" si="795"/>
        <v>0.14400000000000002</v>
      </c>
      <c r="R8029" s="216">
        <f t="shared" si="796"/>
        <v>0.14400000000000002</v>
      </c>
      <c r="S8029" s="217">
        <f t="shared" si="797"/>
        <v>0.14400000000000002</v>
      </c>
    </row>
    <row r="8030" spans="1:19" ht="15.75" hidden="1" thickBot="1" x14ac:dyDescent="0.3">
      <c r="A8030" s="258"/>
      <c r="B8030" s="261"/>
      <c r="C8030" s="54"/>
      <c r="D8030" s="54"/>
      <c r="E8030" s="65"/>
      <c r="F8030" s="66" t="s">
        <v>416</v>
      </c>
      <c r="G8030" s="67" t="str">
        <f t="shared" si="792"/>
        <v/>
      </c>
      <c r="H8030" s="68"/>
      <c r="I8030" s="30"/>
      <c r="J8030" s="152">
        <v>0</v>
      </c>
      <c r="L8030" s="222"/>
      <c r="M8030" s="66"/>
      <c r="N8030" s="67" t="str">
        <f t="shared" si="793"/>
        <v/>
      </c>
      <c r="O8030" s="68"/>
      <c r="P8030" s="36" t="str">
        <f t="shared" si="794"/>
        <v/>
      </c>
      <c r="Q8030" s="216" t="str">
        <f t="shared" si="795"/>
        <v/>
      </c>
      <c r="R8030" s="216" t="str">
        <f t="shared" si="796"/>
        <v/>
      </c>
      <c r="S8030" s="217" t="str">
        <f t="shared" si="797"/>
        <v/>
      </c>
    </row>
    <row r="8031" spans="1:19" ht="15.75" hidden="1" thickBot="1" x14ac:dyDescent="0.3">
      <c r="A8031" s="256" t="s">
        <v>6996</v>
      </c>
      <c r="B8031" s="259" t="str">
        <f>INDEX(Orçamentária!A:B,MATCH(Composições!A8031,Orçamentária!A:A,0),2)</f>
        <v>Redução PVC esgoto ou águas pluviais 100x75 mm</v>
      </c>
      <c r="C8031" s="40"/>
      <c r="D8031" s="25" t="s">
        <v>16</v>
      </c>
      <c r="E8031" s="26"/>
      <c r="F8031" s="41" t="s">
        <v>416</v>
      </c>
      <c r="G8031" s="27" t="str">
        <f t="shared" si="792"/>
        <v/>
      </c>
      <c r="H8031" s="28"/>
      <c r="I8031" s="29"/>
      <c r="J8031" s="152">
        <v>0</v>
      </c>
      <c r="L8031" s="218"/>
      <c r="M8031" s="41"/>
      <c r="N8031" s="27" t="str">
        <f t="shared" si="793"/>
        <v/>
      </c>
      <c r="O8031" s="28"/>
      <c r="P8031" s="36" t="str">
        <f t="shared" si="794"/>
        <v/>
      </c>
      <c r="Q8031" s="216" t="str">
        <f t="shared" si="795"/>
        <v/>
      </c>
      <c r="R8031" s="216" t="str">
        <f t="shared" si="796"/>
        <v/>
      </c>
      <c r="S8031" s="217" t="str">
        <f t="shared" si="797"/>
        <v/>
      </c>
    </row>
    <row r="8032" spans="1:19" ht="15.75" hidden="1" thickBot="1" x14ac:dyDescent="0.3">
      <c r="A8032" s="257"/>
      <c r="B8032" s="260"/>
      <c r="C8032" s="31"/>
      <c r="D8032" s="31"/>
      <c r="E8032" s="32"/>
      <c r="F8032" s="42" t="s">
        <v>416</v>
      </c>
      <c r="G8032" s="33" t="str">
        <f t="shared" si="792"/>
        <v/>
      </c>
      <c r="H8032" s="34"/>
      <c r="I8032" s="30"/>
      <c r="J8032" s="152">
        <v>0</v>
      </c>
      <c r="L8032" s="219"/>
      <c r="M8032" s="42"/>
      <c r="N8032" s="33" t="str">
        <f t="shared" si="793"/>
        <v/>
      </c>
      <c r="O8032" s="34"/>
      <c r="P8032" s="36" t="str">
        <f t="shared" si="794"/>
        <v/>
      </c>
      <c r="Q8032" s="216" t="str">
        <f t="shared" si="795"/>
        <v/>
      </c>
      <c r="R8032" s="216" t="str">
        <f t="shared" si="796"/>
        <v/>
      </c>
      <c r="S8032" s="217" t="str">
        <f t="shared" si="797"/>
        <v/>
      </c>
    </row>
    <row r="8033" spans="1:19" ht="26.25" hidden="1" thickBot="1" x14ac:dyDescent="0.3">
      <c r="A8033" s="257"/>
      <c r="B8033" s="260"/>
      <c r="C8033" s="35" t="s">
        <v>8349</v>
      </c>
      <c r="D8033" s="35" t="s">
        <v>213</v>
      </c>
      <c r="E8033" s="36">
        <v>1</v>
      </c>
      <c r="F8033" s="30">
        <v>10.222</v>
      </c>
      <c r="G8033" s="33">
        <f t="shared" si="792"/>
        <v>10.222</v>
      </c>
      <c r="H8033" s="38">
        <f>SUM(G8033:G8033)</f>
        <v>10.222</v>
      </c>
      <c r="I8033" s="39"/>
      <c r="J8033" s="152">
        <v>0</v>
      </c>
      <c r="L8033" s="215">
        <v>1</v>
      </c>
      <c r="M8033" s="30">
        <v>8.7500319999999991</v>
      </c>
      <c r="N8033" s="33">
        <f t="shared" si="793"/>
        <v>8.7500319999999991</v>
      </c>
      <c r="O8033" s="38">
        <f>SUM(N8033:N8033)</f>
        <v>8.7500319999999991</v>
      </c>
      <c r="P8033" s="36" t="str">
        <f t="shared" si="794"/>
        <v/>
      </c>
      <c r="Q8033" s="216">
        <f t="shared" si="795"/>
        <v>0.14400000000000002</v>
      </c>
      <c r="R8033" s="216">
        <f t="shared" si="796"/>
        <v>0.14400000000000002</v>
      </c>
      <c r="S8033" s="217">
        <f t="shared" si="797"/>
        <v>0.14400000000000002</v>
      </c>
    </row>
    <row r="8034" spans="1:19" ht="15.75" hidden="1" thickBot="1" x14ac:dyDescent="0.3">
      <c r="A8034" s="258"/>
      <c r="B8034" s="261"/>
      <c r="C8034" s="54"/>
      <c r="D8034" s="54"/>
      <c r="E8034" s="65"/>
      <c r="F8034" s="66" t="s">
        <v>416</v>
      </c>
      <c r="G8034" s="67" t="str">
        <f t="shared" si="792"/>
        <v/>
      </c>
      <c r="H8034" s="68"/>
      <c r="I8034" s="30"/>
      <c r="J8034" s="152">
        <v>0</v>
      </c>
      <c r="L8034" s="222"/>
      <c r="M8034" s="66"/>
      <c r="N8034" s="67" t="str">
        <f t="shared" si="793"/>
        <v/>
      </c>
      <c r="O8034" s="68"/>
      <c r="P8034" s="36" t="str">
        <f t="shared" si="794"/>
        <v/>
      </c>
      <c r="Q8034" s="216" t="str">
        <f t="shared" si="795"/>
        <v/>
      </c>
      <c r="R8034" s="216" t="str">
        <f t="shared" si="796"/>
        <v/>
      </c>
      <c r="S8034" s="217" t="str">
        <f t="shared" si="797"/>
        <v/>
      </c>
    </row>
    <row r="8035" spans="1:19" ht="15.75" hidden="1" thickBot="1" x14ac:dyDescent="0.3">
      <c r="A8035" s="256" t="s">
        <v>6997</v>
      </c>
      <c r="B8035" s="259" t="str">
        <f>INDEX(Orçamentária!A:B,MATCH(Composições!A8035,Orçamentária!A:A,0),2)</f>
        <v>Luva simples PVC esgoto ou águas pluviais 150 mm</v>
      </c>
      <c r="C8035" s="40"/>
      <c r="D8035" s="25" t="s">
        <v>16</v>
      </c>
      <c r="E8035" s="26"/>
      <c r="F8035" s="41" t="s">
        <v>416</v>
      </c>
      <c r="G8035" s="27" t="str">
        <f t="shared" si="792"/>
        <v/>
      </c>
      <c r="H8035" s="28"/>
      <c r="I8035" s="29"/>
      <c r="J8035" s="152">
        <v>0</v>
      </c>
      <c r="L8035" s="218"/>
      <c r="M8035" s="41"/>
      <c r="N8035" s="27" t="str">
        <f t="shared" si="793"/>
        <v/>
      </c>
      <c r="O8035" s="28"/>
      <c r="P8035" s="36" t="str">
        <f t="shared" si="794"/>
        <v/>
      </c>
      <c r="Q8035" s="216" t="str">
        <f t="shared" si="795"/>
        <v/>
      </c>
      <c r="R8035" s="216" t="str">
        <f t="shared" si="796"/>
        <v/>
      </c>
      <c r="S8035" s="217" t="str">
        <f t="shared" si="797"/>
        <v/>
      </c>
    </row>
    <row r="8036" spans="1:19" ht="15.75" hidden="1" thickBot="1" x14ac:dyDescent="0.3">
      <c r="A8036" s="257"/>
      <c r="B8036" s="260"/>
      <c r="C8036" s="31"/>
      <c r="D8036" s="31"/>
      <c r="E8036" s="32"/>
      <c r="F8036" s="42" t="s">
        <v>416</v>
      </c>
      <c r="G8036" s="33" t="str">
        <f t="shared" si="792"/>
        <v/>
      </c>
      <c r="H8036" s="34"/>
      <c r="I8036" s="30"/>
      <c r="J8036" s="152">
        <v>0</v>
      </c>
      <c r="L8036" s="219"/>
      <c r="M8036" s="42"/>
      <c r="N8036" s="33" t="str">
        <f t="shared" si="793"/>
        <v/>
      </c>
      <c r="O8036" s="34"/>
      <c r="P8036" s="36" t="str">
        <f t="shared" si="794"/>
        <v/>
      </c>
      <c r="Q8036" s="216" t="str">
        <f t="shared" si="795"/>
        <v/>
      </c>
      <c r="R8036" s="216" t="str">
        <f t="shared" si="796"/>
        <v/>
      </c>
      <c r="S8036" s="217" t="str">
        <f t="shared" si="797"/>
        <v/>
      </c>
    </row>
    <row r="8037" spans="1:19" ht="26.25" hidden="1" thickBot="1" x14ac:dyDescent="0.3">
      <c r="A8037" s="257"/>
      <c r="B8037" s="260"/>
      <c r="C8037" s="35" t="s">
        <v>8277</v>
      </c>
      <c r="D8037" s="35" t="s">
        <v>213</v>
      </c>
      <c r="E8037" s="36">
        <v>1</v>
      </c>
      <c r="F8037" s="30">
        <v>32.242999999999995</v>
      </c>
      <c r="G8037" s="33">
        <f t="shared" si="792"/>
        <v>32.242999999999995</v>
      </c>
      <c r="H8037" s="38">
        <f>SUM(G8037:G8037)</f>
        <v>32.242999999999995</v>
      </c>
      <c r="I8037" s="39"/>
      <c r="J8037" s="152">
        <v>0</v>
      </c>
      <c r="L8037" s="215">
        <v>1</v>
      </c>
      <c r="M8037" s="30">
        <v>27.600007999999995</v>
      </c>
      <c r="N8037" s="33">
        <f t="shared" si="793"/>
        <v>27.600007999999995</v>
      </c>
      <c r="O8037" s="38">
        <f>SUM(N8037:N8037)</f>
        <v>27.600007999999995</v>
      </c>
      <c r="P8037" s="36" t="str">
        <f t="shared" si="794"/>
        <v/>
      </c>
      <c r="Q8037" s="216">
        <f t="shared" si="795"/>
        <v>0.14400000000000002</v>
      </c>
      <c r="R8037" s="216">
        <f t="shared" si="796"/>
        <v>0.14400000000000002</v>
      </c>
      <c r="S8037" s="217">
        <f t="shared" si="797"/>
        <v>0.14400000000000002</v>
      </c>
    </row>
    <row r="8038" spans="1:19" ht="15.75" hidden="1" thickBot="1" x14ac:dyDescent="0.3">
      <c r="A8038" s="258"/>
      <c r="B8038" s="261"/>
      <c r="C8038" s="54"/>
      <c r="D8038" s="54"/>
      <c r="E8038" s="65"/>
      <c r="F8038" s="66" t="s">
        <v>416</v>
      </c>
      <c r="G8038" s="67" t="str">
        <f t="shared" si="792"/>
        <v/>
      </c>
      <c r="H8038" s="68"/>
      <c r="I8038" s="30"/>
      <c r="J8038" s="152">
        <v>0</v>
      </c>
      <c r="L8038" s="222"/>
      <c r="M8038" s="66"/>
      <c r="N8038" s="67" t="str">
        <f t="shared" si="793"/>
        <v/>
      </c>
      <c r="O8038" s="68"/>
      <c r="P8038" s="36" t="str">
        <f t="shared" si="794"/>
        <v/>
      </c>
      <c r="Q8038" s="216" t="str">
        <f t="shared" si="795"/>
        <v/>
      </c>
      <c r="R8038" s="216" t="str">
        <f t="shared" si="796"/>
        <v/>
      </c>
      <c r="S8038" s="217" t="str">
        <f t="shared" si="797"/>
        <v/>
      </c>
    </row>
    <row r="8039" spans="1:19" ht="15.75" hidden="1" thickBot="1" x14ac:dyDescent="0.3">
      <c r="A8039" s="256" t="s">
        <v>6998</v>
      </c>
      <c r="B8039" s="259" t="str">
        <f>INDEX(Orçamentária!A:B,MATCH(Composições!A8039,Orçamentária!A:A,0),2)</f>
        <v>Luva de correr PVC esgoto ou águas pluviais 150 mm</v>
      </c>
      <c r="C8039" s="40"/>
      <c r="D8039" s="25" t="s">
        <v>16</v>
      </c>
      <c r="E8039" s="26"/>
      <c r="F8039" s="41" t="s">
        <v>416</v>
      </c>
      <c r="G8039" s="27" t="str">
        <f t="shared" si="792"/>
        <v/>
      </c>
      <c r="H8039" s="28"/>
      <c r="I8039" s="29"/>
      <c r="J8039" s="152">
        <v>0</v>
      </c>
      <c r="L8039" s="218"/>
      <c r="M8039" s="41"/>
      <c r="N8039" s="27" t="str">
        <f t="shared" si="793"/>
        <v/>
      </c>
      <c r="O8039" s="28"/>
      <c r="P8039" s="36" t="str">
        <f t="shared" si="794"/>
        <v/>
      </c>
      <c r="Q8039" s="216" t="str">
        <f t="shared" si="795"/>
        <v/>
      </c>
      <c r="R8039" s="216" t="str">
        <f t="shared" si="796"/>
        <v/>
      </c>
      <c r="S8039" s="217" t="str">
        <f t="shared" si="797"/>
        <v/>
      </c>
    </row>
    <row r="8040" spans="1:19" ht="15.75" hidden="1" thickBot="1" x14ac:dyDescent="0.3">
      <c r="A8040" s="257"/>
      <c r="B8040" s="260"/>
      <c r="C8040" s="31"/>
      <c r="D8040" s="31"/>
      <c r="E8040" s="32"/>
      <c r="F8040" s="42" t="s">
        <v>416</v>
      </c>
      <c r="G8040" s="33" t="str">
        <f t="shared" si="792"/>
        <v/>
      </c>
      <c r="H8040" s="34"/>
      <c r="I8040" s="30"/>
      <c r="J8040" s="152">
        <v>0</v>
      </c>
      <c r="L8040" s="219"/>
      <c r="M8040" s="42"/>
      <c r="N8040" s="33" t="str">
        <f t="shared" si="793"/>
        <v/>
      </c>
      <c r="O8040" s="34"/>
      <c r="P8040" s="36" t="str">
        <f t="shared" si="794"/>
        <v/>
      </c>
      <c r="Q8040" s="216" t="str">
        <f t="shared" si="795"/>
        <v/>
      </c>
      <c r="R8040" s="216" t="str">
        <f t="shared" si="796"/>
        <v/>
      </c>
      <c r="S8040" s="217" t="str">
        <f t="shared" si="797"/>
        <v/>
      </c>
    </row>
    <row r="8041" spans="1:19" ht="15.75" hidden="1" thickBot="1" x14ac:dyDescent="0.3">
      <c r="A8041" s="257"/>
      <c r="B8041" s="260"/>
      <c r="C8041" s="35" t="s">
        <v>8249</v>
      </c>
      <c r="D8041" s="35" t="s">
        <v>213</v>
      </c>
      <c r="E8041" s="36">
        <v>1</v>
      </c>
      <c r="F8041" s="30">
        <v>73.558500000000009</v>
      </c>
      <c r="G8041" s="33">
        <f t="shared" si="792"/>
        <v>73.558500000000009</v>
      </c>
      <c r="H8041" s="38">
        <f>SUM(G8041:G8041)</f>
        <v>73.558500000000009</v>
      </c>
      <c r="I8041" s="39"/>
      <c r="J8041" s="152">
        <v>0</v>
      </c>
      <c r="L8041" s="215">
        <v>1</v>
      </c>
      <c r="M8041" s="30">
        <v>62.966076000000008</v>
      </c>
      <c r="N8041" s="33">
        <f t="shared" si="793"/>
        <v>62.966076000000008</v>
      </c>
      <c r="O8041" s="38">
        <f>SUM(N8041:N8041)</f>
        <v>62.966076000000008</v>
      </c>
      <c r="P8041" s="36" t="str">
        <f t="shared" si="794"/>
        <v/>
      </c>
      <c r="Q8041" s="216">
        <f t="shared" si="795"/>
        <v>0.14400000000000002</v>
      </c>
      <c r="R8041" s="216">
        <f t="shared" si="796"/>
        <v>0.14400000000000002</v>
      </c>
      <c r="S8041" s="217">
        <f t="shared" si="797"/>
        <v>0.14400000000000002</v>
      </c>
    </row>
    <row r="8042" spans="1:19" ht="15.75" hidden="1" thickBot="1" x14ac:dyDescent="0.3">
      <c r="A8042" s="258"/>
      <c r="B8042" s="261"/>
      <c r="C8042" s="54"/>
      <c r="D8042" s="54"/>
      <c r="E8042" s="65"/>
      <c r="F8042" s="66" t="s">
        <v>416</v>
      </c>
      <c r="G8042" s="67" t="str">
        <f t="shared" si="792"/>
        <v/>
      </c>
      <c r="H8042" s="68"/>
      <c r="I8042" s="30"/>
      <c r="J8042" s="152">
        <v>0</v>
      </c>
      <c r="L8042" s="222"/>
      <c r="M8042" s="66"/>
      <c r="N8042" s="67" t="str">
        <f t="shared" si="793"/>
        <v/>
      </c>
      <c r="O8042" s="68"/>
      <c r="P8042" s="36" t="str">
        <f t="shared" si="794"/>
        <v/>
      </c>
      <c r="Q8042" s="216" t="str">
        <f t="shared" si="795"/>
        <v/>
      </c>
      <c r="R8042" s="216" t="str">
        <f t="shared" si="796"/>
        <v/>
      </c>
      <c r="S8042" s="217" t="str">
        <f t="shared" si="797"/>
        <v/>
      </c>
    </row>
    <row r="8043" spans="1:19" ht="15.75" hidden="1" thickBot="1" x14ac:dyDescent="0.3">
      <c r="A8043" s="256" t="s">
        <v>6999</v>
      </c>
      <c r="B8043" s="259" t="str">
        <f>INDEX(Orçamentária!A:B,MATCH(Composições!A8043,Orçamentária!A:A,0),2)</f>
        <v>Junção PVC esgoto ou águas pluviais 150 mm</v>
      </c>
      <c r="C8043" s="40"/>
      <c r="D8043" s="25" t="s">
        <v>16</v>
      </c>
      <c r="E8043" s="26"/>
      <c r="F8043" s="41" t="s">
        <v>416</v>
      </c>
      <c r="G8043" s="27" t="str">
        <f t="shared" si="792"/>
        <v/>
      </c>
      <c r="H8043" s="28"/>
      <c r="I8043" s="29"/>
      <c r="J8043" s="152">
        <v>0</v>
      </c>
      <c r="L8043" s="218"/>
      <c r="M8043" s="41"/>
      <c r="N8043" s="27" t="str">
        <f t="shared" si="793"/>
        <v/>
      </c>
      <c r="O8043" s="28"/>
      <c r="P8043" s="36" t="str">
        <f t="shared" si="794"/>
        <v/>
      </c>
      <c r="Q8043" s="216" t="str">
        <f t="shared" si="795"/>
        <v/>
      </c>
      <c r="R8043" s="216" t="str">
        <f t="shared" si="796"/>
        <v/>
      </c>
      <c r="S8043" s="217" t="str">
        <f t="shared" si="797"/>
        <v/>
      </c>
    </row>
    <row r="8044" spans="1:19" ht="15.75" hidden="1" thickBot="1" x14ac:dyDescent="0.3">
      <c r="A8044" s="257"/>
      <c r="B8044" s="260"/>
      <c r="C8044" s="31"/>
      <c r="D8044" s="31"/>
      <c r="E8044" s="32"/>
      <c r="F8044" s="42" t="s">
        <v>416</v>
      </c>
      <c r="G8044" s="33" t="str">
        <f t="shared" si="792"/>
        <v/>
      </c>
      <c r="H8044" s="34"/>
      <c r="I8044" s="30"/>
      <c r="J8044" s="152">
        <v>0</v>
      </c>
      <c r="L8044" s="219"/>
      <c r="M8044" s="42"/>
      <c r="N8044" s="33" t="str">
        <f t="shared" si="793"/>
        <v/>
      </c>
      <c r="O8044" s="34"/>
      <c r="P8044" s="36" t="str">
        <f t="shared" si="794"/>
        <v/>
      </c>
      <c r="Q8044" s="216" t="str">
        <f t="shared" si="795"/>
        <v/>
      </c>
      <c r="R8044" s="216" t="str">
        <f t="shared" si="796"/>
        <v/>
      </c>
      <c r="S8044" s="217" t="str">
        <f t="shared" si="797"/>
        <v/>
      </c>
    </row>
    <row r="8045" spans="1:19" ht="26.25" hidden="1" thickBot="1" x14ac:dyDescent="0.3">
      <c r="A8045" s="257"/>
      <c r="B8045" s="260"/>
      <c r="C8045" s="35" t="s">
        <v>8214</v>
      </c>
      <c r="D8045" s="35" t="s">
        <v>213</v>
      </c>
      <c r="E8045" s="36">
        <v>1</v>
      </c>
      <c r="F8045" s="30">
        <v>179.64499999999998</v>
      </c>
      <c r="G8045" s="33">
        <f t="shared" si="792"/>
        <v>179.64499999999998</v>
      </c>
      <c r="H8045" s="38">
        <f>SUM(G8045:G8045)</f>
        <v>179.64499999999998</v>
      </c>
      <c r="I8045" s="39"/>
      <c r="J8045" s="152">
        <v>0</v>
      </c>
      <c r="L8045" s="215">
        <v>1</v>
      </c>
      <c r="M8045" s="30">
        <v>153.77611999999999</v>
      </c>
      <c r="N8045" s="33">
        <f t="shared" si="793"/>
        <v>153.77611999999999</v>
      </c>
      <c r="O8045" s="38">
        <f>SUM(N8045:N8045)</f>
        <v>153.77611999999999</v>
      </c>
      <c r="P8045" s="36" t="str">
        <f t="shared" si="794"/>
        <v/>
      </c>
      <c r="Q8045" s="216">
        <f t="shared" si="795"/>
        <v>0.14399999999999991</v>
      </c>
      <c r="R8045" s="216">
        <f t="shared" si="796"/>
        <v>0.14399999999999991</v>
      </c>
      <c r="S8045" s="217">
        <f t="shared" si="797"/>
        <v>0.14399999999999991</v>
      </c>
    </row>
    <row r="8046" spans="1:19" ht="15.75" hidden="1" thickBot="1" x14ac:dyDescent="0.3">
      <c r="A8046" s="258"/>
      <c r="B8046" s="261"/>
      <c r="C8046" s="54"/>
      <c r="D8046" s="54"/>
      <c r="E8046" s="65"/>
      <c r="F8046" s="66" t="s">
        <v>416</v>
      </c>
      <c r="G8046" s="67" t="str">
        <f t="shared" si="792"/>
        <v/>
      </c>
      <c r="H8046" s="68"/>
      <c r="I8046" s="30"/>
      <c r="J8046" s="152">
        <v>0</v>
      </c>
      <c r="L8046" s="222"/>
      <c r="M8046" s="66"/>
      <c r="N8046" s="67" t="str">
        <f t="shared" si="793"/>
        <v/>
      </c>
      <c r="O8046" s="68"/>
      <c r="P8046" s="36" t="str">
        <f t="shared" si="794"/>
        <v/>
      </c>
      <c r="Q8046" s="216" t="str">
        <f t="shared" si="795"/>
        <v/>
      </c>
      <c r="R8046" s="216" t="str">
        <f t="shared" si="796"/>
        <v/>
      </c>
      <c r="S8046" s="217" t="str">
        <f t="shared" si="797"/>
        <v/>
      </c>
    </row>
    <row r="8047" spans="1:19" ht="15.75" hidden="1" thickBot="1" x14ac:dyDescent="0.3">
      <c r="A8047" s="256" t="s">
        <v>7000</v>
      </c>
      <c r="B8047" s="259" t="str">
        <f>INDEX(Orçamentária!A:B,MATCH(Composições!A8047,Orçamentária!A:A,0),2)</f>
        <v>Tê PVC esgoto ou águas pluviais 150 mm</v>
      </c>
      <c r="C8047" s="40"/>
      <c r="D8047" s="25" t="s">
        <v>16</v>
      </c>
      <c r="E8047" s="26"/>
      <c r="F8047" s="41" t="s">
        <v>416</v>
      </c>
      <c r="G8047" s="27" t="str">
        <f t="shared" si="792"/>
        <v/>
      </c>
      <c r="H8047" s="28"/>
      <c r="I8047" s="29"/>
      <c r="J8047" s="152">
        <v>0</v>
      </c>
      <c r="L8047" s="218"/>
      <c r="M8047" s="41"/>
      <c r="N8047" s="27" t="str">
        <f t="shared" si="793"/>
        <v/>
      </c>
      <c r="O8047" s="28"/>
      <c r="P8047" s="36" t="str">
        <f t="shared" si="794"/>
        <v/>
      </c>
      <c r="Q8047" s="216" t="str">
        <f t="shared" si="795"/>
        <v/>
      </c>
      <c r="R8047" s="216" t="str">
        <f t="shared" si="796"/>
        <v/>
      </c>
      <c r="S8047" s="217" t="str">
        <f t="shared" si="797"/>
        <v/>
      </c>
    </row>
    <row r="8048" spans="1:19" ht="15.75" hidden="1" thickBot="1" x14ac:dyDescent="0.3">
      <c r="A8048" s="257"/>
      <c r="B8048" s="260"/>
      <c r="C8048" s="31"/>
      <c r="D8048" s="31"/>
      <c r="E8048" s="32"/>
      <c r="F8048" s="42" t="s">
        <v>416</v>
      </c>
      <c r="G8048" s="33" t="str">
        <f t="shared" si="792"/>
        <v/>
      </c>
      <c r="H8048" s="34"/>
      <c r="I8048" s="30"/>
      <c r="J8048" s="152">
        <v>0</v>
      </c>
      <c r="L8048" s="219"/>
      <c r="M8048" s="42"/>
      <c r="N8048" s="33" t="str">
        <f t="shared" si="793"/>
        <v/>
      </c>
      <c r="O8048" s="34"/>
      <c r="P8048" s="36" t="str">
        <f t="shared" si="794"/>
        <v/>
      </c>
      <c r="Q8048" s="216" t="str">
        <f t="shared" si="795"/>
        <v/>
      </c>
      <c r="R8048" s="216" t="str">
        <f t="shared" si="796"/>
        <v/>
      </c>
      <c r="S8048" s="217" t="str">
        <f t="shared" si="797"/>
        <v/>
      </c>
    </row>
    <row r="8049" spans="1:19" ht="15.75" hidden="1" thickBot="1" x14ac:dyDescent="0.3">
      <c r="A8049" s="257"/>
      <c r="B8049" s="260"/>
      <c r="C8049" s="35" t="s">
        <v>8421</v>
      </c>
      <c r="D8049" s="35" t="s">
        <v>213</v>
      </c>
      <c r="E8049" s="36">
        <v>1</v>
      </c>
      <c r="F8049" s="30">
        <v>113.96199999999999</v>
      </c>
      <c r="G8049" s="33">
        <f t="shared" si="792"/>
        <v>113.96199999999999</v>
      </c>
      <c r="H8049" s="38">
        <f>SUM(G8049:G8049)</f>
        <v>113.96199999999999</v>
      </c>
      <c r="I8049" s="39"/>
      <c r="J8049" s="152">
        <v>0</v>
      </c>
      <c r="L8049" s="215">
        <v>1</v>
      </c>
      <c r="M8049" s="30">
        <v>97.55147199999999</v>
      </c>
      <c r="N8049" s="33">
        <f t="shared" si="793"/>
        <v>97.55147199999999</v>
      </c>
      <c r="O8049" s="38">
        <f>SUM(N8049:N8049)</f>
        <v>97.55147199999999</v>
      </c>
      <c r="P8049" s="36" t="str">
        <f t="shared" si="794"/>
        <v/>
      </c>
      <c r="Q8049" s="216">
        <f t="shared" si="795"/>
        <v>0.14400000000000002</v>
      </c>
      <c r="R8049" s="216">
        <f t="shared" si="796"/>
        <v>0.14400000000000002</v>
      </c>
      <c r="S8049" s="217">
        <f t="shared" si="797"/>
        <v>0.14400000000000002</v>
      </c>
    </row>
    <row r="8050" spans="1:19" ht="15.75" hidden="1" thickBot="1" x14ac:dyDescent="0.3">
      <c r="A8050" s="258"/>
      <c r="B8050" s="261"/>
      <c r="C8050" s="54"/>
      <c r="D8050" s="54"/>
      <c r="E8050" s="65"/>
      <c r="F8050" s="66" t="s">
        <v>416</v>
      </c>
      <c r="G8050" s="67" t="str">
        <f t="shared" si="792"/>
        <v/>
      </c>
      <c r="H8050" s="68"/>
      <c r="I8050" s="30"/>
      <c r="J8050" s="152">
        <v>0</v>
      </c>
      <c r="L8050" s="222"/>
      <c r="M8050" s="66"/>
      <c r="N8050" s="67" t="str">
        <f t="shared" si="793"/>
        <v/>
      </c>
      <c r="O8050" s="68"/>
      <c r="P8050" s="36" t="str">
        <f t="shared" si="794"/>
        <v/>
      </c>
      <c r="Q8050" s="216" t="str">
        <f t="shared" si="795"/>
        <v/>
      </c>
      <c r="R8050" s="216" t="str">
        <f t="shared" si="796"/>
        <v/>
      </c>
      <c r="S8050" s="217" t="str">
        <f t="shared" si="797"/>
        <v/>
      </c>
    </row>
    <row r="8051" spans="1:19" ht="15.75" hidden="1" thickBot="1" x14ac:dyDescent="0.3">
      <c r="A8051" s="256" t="s">
        <v>7001</v>
      </c>
      <c r="B8051" s="259" t="str">
        <f>INDEX(Orçamentária!A:B,MATCH(Composições!A8051,Orçamentária!A:A,0),2)</f>
        <v>Joelho 90° PVC esgoto ou águas pluviais 150 mm</v>
      </c>
      <c r="C8051" s="40"/>
      <c r="D8051" s="25" t="s">
        <v>16</v>
      </c>
      <c r="E8051" s="26"/>
      <c r="F8051" s="41" t="s">
        <v>416</v>
      </c>
      <c r="G8051" s="27" t="str">
        <f t="shared" si="792"/>
        <v/>
      </c>
      <c r="H8051" s="28"/>
      <c r="I8051" s="29"/>
      <c r="J8051" s="152">
        <v>0</v>
      </c>
      <c r="L8051" s="218"/>
      <c r="M8051" s="41"/>
      <c r="N8051" s="27" t="str">
        <f t="shared" si="793"/>
        <v/>
      </c>
      <c r="O8051" s="28"/>
      <c r="P8051" s="36" t="str">
        <f t="shared" si="794"/>
        <v/>
      </c>
      <c r="Q8051" s="216" t="str">
        <f t="shared" si="795"/>
        <v/>
      </c>
      <c r="R8051" s="216" t="str">
        <f t="shared" si="796"/>
        <v/>
      </c>
      <c r="S8051" s="217" t="str">
        <f t="shared" si="797"/>
        <v/>
      </c>
    </row>
    <row r="8052" spans="1:19" ht="15.75" hidden="1" thickBot="1" x14ac:dyDescent="0.3">
      <c r="A8052" s="257"/>
      <c r="B8052" s="260"/>
      <c r="C8052" s="31"/>
      <c r="D8052" s="31"/>
      <c r="E8052" s="32"/>
      <c r="F8052" s="42" t="s">
        <v>416</v>
      </c>
      <c r="G8052" s="33" t="str">
        <f t="shared" si="792"/>
        <v/>
      </c>
      <c r="H8052" s="34"/>
      <c r="I8052" s="30"/>
      <c r="J8052" s="152">
        <v>0</v>
      </c>
      <c r="L8052" s="219"/>
      <c r="M8052" s="42"/>
      <c r="N8052" s="33" t="str">
        <f t="shared" si="793"/>
        <v/>
      </c>
      <c r="O8052" s="34"/>
      <c r="P8052" s="36" t="str">
        <f t="shared" si="794"/>
        <v/>
      </c>
      <c r="Q8052" s="216" t="str">
        <f t="shared" si="795"/>
        <v/>
      </c>
      <c r="R8052" s="216" t="str">
        <f t="shared" si="796"/>
        <v/>
      </c>
      <c r="S8052" s="217" t="str">
        <f t="shared" si="797"/>
        <v/>
      </c>
    </row>
    <row r="8053" spans="1:19" ht="26.25" hidden="1" thickBot="1" x14ac:dyDescent="0.3">
      <c r="A8053" s="257"/>
      <c r="B8053" s="260"/>
      <c r="C8053" s="35" t="s">
        <v>8194</v>
      </c>
      <c r="D8053" s="35" t="s">
        <v>213</v>
      </c>
      <c r="E8053" s="36">
        <v>1</v>
      </c>
      <c r="F8053" s="30">
        <v>59.289499999999997</v>
      </c>
      <c r="G8053" s="33">
        <f t="shared" si="792"/>
        <v>59.289499999999997</v>
      </c>
      <c r="H8053" s="38">
        <f>SUM(G8053:G8053)</f>
        <v>59.289499999999997</v>
      </c>
      <c r="I8053" s="39"/>
      <c r="J8053" s="152">
        <v>0</v>
      </c>
      <c r="L8053" s="215">
        <v>1</v>
      </c>
      <c r="M8053" s="30">
        <v>50.751812000000001</v>
      </c>
      <c r="N8053" s="33">
        <f t="shared" si="793"/>
        <v>50.751812000000001</v>
      </c>
      <c r="O8053" s="38">
        <f>SUM(N8053:N8053)</f>
        <v>50.751812000000001</v>
      </c>
      <c r="P8053" s="36" t="str">
        <f t="shared" si="794"/>
        <v/>
      </c>
      <c r="Q8053" s="216">
        <f t="shared" si="795"/>
        <v>0.14399999999999991</v>
      </c>
      <c r="R8053" s="216">
        <f t="shared" si="796"/>
        <v>0.14399999999999991</v>
      </c>
      <c r="S8053" s="217">
        <f t="shared" si="797"/>
        <v>0.14399999999999991</v>
      </c>
    </row>
    <row r="8054" spans="1:19" ht="15.75" hidden="1" thickBot="1" x14ac:dyDescent="0.3">
      <c r="A8054" s="258"/>
      <c r="B8054" s="261"/>
      <c r="C8054" s="54"/>
      <c r="D8054" s="54"/>
      <c r="E8054" s="65"/>
      <c r="F8054" s="66" t="s">
        <v>416</v>
      </c>
      <c r="G8054" s="67" t="str">
        <f t="shared" si="792"/>
        <v/>
      </c>
      <c r="H8054" s="68"/>
      <c r="I8054" s="30"/>
      <c r="J8054" s="152">
        <v>0</v>
      </c>
      <c r="L8054" s="222"/>
      <c r="M8054" s="66"/>
      <c r="N8054" s="67" t="str">
        <f t="shared" si="793"/>
        <v/>
      </c>
      <c r="O8054" s="68"/>
      <c r="P8054" s="36" t="str">
        <f t="shared" si="794"/>
        <v/>
      </c>
      <c r="Q8054" s="216" t="str">
        <f t="shared" si="795"/>
        <v/>
      </c>
      <c r="R8054" s="216" t="str">
        <f t="shared" si="796"/>
        <v/>
      </c>
      <c r="S8054" s="217" t="str">
        <f t="shared" si="797"/>
        <v/>
      </c>
    </row>
    <row r="8055" spans="1:19" ht="15.75" hidden="1" thickBot="1" x14ac:dyDescent="0.3">
      <c r="A8055" s="256" t="s">
        <v>7002</v>
      </c>
      <c r="B8055" s="259" t="str">
        <f>INDEX(Orçamentária!A:B,MATCH(Composições!A8055,Orçamentária!A:A,0),2)</f>
        <v>Joelho 45° PVC esgoto ou águas pluviais 150 mm</v>
      </c>
      <c r="C8055" s="40"/>
      <c r="D8055" s="25" t="s">
        <v>16</v>
      </c>
      <c r="E8055" s="26"/>
      <c r="F8055" s="41" t="s">
        <v>416</v>
      </c>
      <c r="G8055" s="27" t="str">
        <f t="shared" si="792"/>
        <v/>
      </c>
      <c r="H8055" s="28"/>
      <c r="I8055" s="29"/>
      <c r="J8055" s="152">
        <v>0</v>
      </c>
      <c r="L8055" s="218"/>
      <c r="M8055" s="41"/>
      <c r="N8055" s="27" t="str">
        <f t="shared" si="793"/>
        <v/>
      </c>
      <c r="O8055" s="28"/>
      <c r="P8055" s="36" t="str">
        <f t="shared" si="794"/>
        <v/>
      </c>
      <c r="Q8055" s="216" t="str">
        <f t="shared" si="795"/>
        <v/>
      </c>
      <c r="R8055" s="216" t="str">
        <f t="shared" si="796"/>
        <v/>
      </c>
      <c r="S8055" s="217" t="str">
        <f t="shared" si="797"/>
        <v/>
      </c>
    </row>
    <row r="8056" spans="1:19" ht="15.75" hidden="1" thickBot="1" x14ac:dyDescent="0.3">
      <c r="A8056" s="257"/>
      <c r="B8056" s="260"/>
      <c r="C8056" s="31"/>
      <c r="D8056" s="31"/>
      <c r="E8056" s="32"/>
      <c r="F8056" s="42" t="s">
        <v>416</v>
      </c>
      <c r="G8056" s="33" t="str">
        <f t="shared" si="792"/>
        <v/>
      </c>
      <c r="H8056" s="34"/>
      <c r="I8056" s="30"/>
      <c r="J8056" s="152">
        <v>0</v>
      </c>
      <c r="L8056" s="219"/>
      <c r="M8056" s="42"/>
      <c r="N8056" s="33" t="str">
        <f t="shared" si="793"/>
        <v/>
      </c>
      <c r="O8056" s="34"/>
      <c r="P8056" s="36" t="str">
        <f t="shared" si="794"/>
        <v/>
      </c>
      <c r="Q8056" s="216" t="str">
        <f t="shared" si="795"/>
        <v/>
      </c>
      <c r="R8056" s="216" t="str">
        <f t="shared" si="796"/>
        <v/>
      </c>
      <c r="S8056" s="217" t="str">
        <f t="shared" si="797"/>
        <v/>
      </c>
    </row>
    <row r="8057" spans="1:19" ht="26.25" hidden="1" thickBot="1" x14ac:dyDescent="0.3">
      <c r="A8057" s="257"/>
      <c r="B8057" s="260"/>
      <c r="C8057" s="35" t="s">
        <v>8189</v>
      </c>
      <c r="D8057" s="35" t="s">
        <v>213</v>
      </c>
      <c r="E8057" s="36">
        <v>1</v>
      </c>
      <c r="F8057" s="30">
        <v>64.400500000000008</v>
      </c>
      <c r="G8057" s="33">
        <f t="shared" si="792"/>
        <v>64.400500000000008</v>
      </c>
      <c r="H8057" s="38">
        <f>SUM(G8057:G8057)</f>
        <v>64.400500000000008</v>
      </c>
      <c r="I8057" s="39"/>
      <c r="J8057" s="152">
        <v>0</v>
      </c>
      <c r="L8057" s="215">
        <v>1</v>
      </c>
      <c r="M8057" s="30">
        <v>55.126828000000003</v>
      </c>
      <c r="N8057" s="33">
        <f t="shared" si="793"/>
        <v>55.126828000000003</v>
      </c>
      <c r="O8057" s="38">
        <f>SUM(N8057:N8057)</f>
        <v>55.126828000000003</v>
      </c>
      <c r="P8057" s="36" t="str">
        <f t="shared" si="794"/>
        <v/>
      </c>
      <c r="Q8057" s="216">
        <f t="shared" si="795"/>
        <v>0.14400000000000002</v>
      </c>
      <c r="R8057" s="216">
        <f t="shared" si="796"/>
        <v>0.14400000000000002</v>
      </c>
      <c r="S8057" s="217">
        <f t="shared" si="797"/>
        <v>0.14400000000000002</v>
      </c>
    </row>
    <row r="8058" spans="1:19" ht="15.75" hidden="1" thickBot="1" x14ac:dyDescent="0.3">
      <c r="A8058" s="258"/>
      <c r="B8058" s="261"/>
      <c r="C8058" s="54"/>
      <c r="D8058" s="54"/>
      <c r="E8058" s="65"/>
      <c r="F8058" s="66" t="s">
        <v>416</v>
      </c>
      <c r="G8058" s="67" t="str">
        <f t="shared" si="792"/>
        <v/>
      </c>
      <c r="H8058" s="68"/>
      <c r="I8058" s="30"/>
      <c r="J8058" s="152">
        <v>0</v>
      </c>
      <c r="L8058" s="222"/>
      <c r="M8058" s="66"/>
      <c r="N8058" s="67" t="str">
        <f t="shared" si="793"/>
        <v/>
      </c>
      <c r="O8058" s="68"/>
      <c r="P8058" s="36" t="str">
        <f t="shared" si="794"/>
        <v/>
      </c>
      <c r="Q8058" s="216" t="str">
        <f t="shared" si="795"/>
        <v/>
      </c>
      <c r="R8058" s="216" t="str">
        <f t="shared" si="796"/>
        <v/>
      </c>
      <c r="S8058" s="217" t="str">
        <f t="shared" si="797"/>
        <v/>
      </c>
    </row>
    <row r="8059" spans="1:19" ht="15.75" hidden="1" thickBot="1" x14ac:dyDescent="0.3">
      <c r="A8059" s="256" t="s">
        <v>7003</v>
      </c>
      <c r="B8059" s="259" t="str">
        <f>INDEX(Orçamentária!A:B,MATCH(Composições!A8059,Orçamentária!A:A,0),2)</f>
        <v>Curva longa 90° PVC esgoto ou águas pluviais 150 mm</v>
      </c>
      <c r="C8059" s="40"/>
      <c r="D8059" s="25" t="s">
        <v>16</v>
      </c>
      <c r="E8059" s="26"/>
      <c r="F8059" s="41" t="s">
        <v>416</v>
      </c>
      <c r="G8059" s="27" t="str">
        <f t="shared" si="792"/>
        <v/>
      </c>
      <c r="H8059" s="28"/>
      <c r="I8059" s="29"/>
      <c r="J8059" s="152">
        <v>0</v>
      </c>
      <c r="L8059" s="218"/>
      <c r="M8059" s="41"/>
      <c r="N8059" s="27" t="str">
        <f t="shared" si="793"/>
        <v/>
      </c>
      <c r="O8059" s="28"/>
      <c r="P8059" s="36" t="str">
        <f t="shared" si="794"/>
        <v/>
      </c>
      <c r="Q8059" s="216" t="str">
        <f t="shared" si="795"/>
        <v/>
      </c>
      <c r="R8059" s="216" t="str">
        <f t="shared" si="796"/>
        <v/>
      </c>
      <c r="S8059" s="217" t="str">
        <f t="shared" si="797"/>
        <v/>
      </c>
    </row>
    <row r="8060" spans="1:19" ht="15.75" hidden="1" thickBot="1" x14ac:dyDescent="0.3">
      <c r="A8060" s="257"/>
      <c r="B8060" s="260"/>
      <c r="C8060" s="31"/>
      <c r="D8060" s="31"/>
      <c r="E8060" s="32"/>
      <c r="F8060" s="42" t="s">
        <v>416</v>
      </c>
      <c r="G8060" s="33" t="str">
        <f t="shared" si="792"/>
        <v/>
      </c>
      <c r="H8060" s="34"/>
      <c r="I8060" s="30"/>
      <c r="J8060" s="152">
        <v>0</v>
      </c>
      <c r="L8060" s="219"/>
      <c r="M8060" s="42"/>
      <c r="N8060" s="33" t="str">
        <f t="shared" si="793"/>
        <v/>
      </c>
      <c r="O8060" s="34"/>
      <c r="P8060" s="36" t="str">
        <f t="shared" si="794"/>
        <v/>
      </c>
      <c r="Q8060" s="216" t="str">
        <f t="shared" si="795"/>
        <v/>
      </c>
      <c r="R8060" s="216" t="str">
        <f t="shared" si="796"/>
        <v/>
      </c>
      <c r="S8060" s="217" t="str">
        <f t="shared" si="797"/>
        <v/>
      </c>
    </row>
    <row r="8061" spans="1:19" ht="26.25" hidden="1" thickBot="1" x14ac:dyDescent="0.3">
      <c r="A8061" s="257"/>
      <c r="B8061" s="260"/>
      <c r="C8061" s="35" t="s">
        <v>8111</v>
      </c>
      <c r="D8061" s="35" t="s">
        <v>213</v>
      </c>
      <c r="E8061" s="36">
        <v>1</v>
      </c>
      <c r="F8061" s="30">
        <v>149.75799999999998</v>
      </c>
      <c r="G8061" s="33">
        <f t="shared" si="792"/>
        <v>149.75799999999998</v>
      </c>
      <c r="H8061" s="38">
        <f>SUM(G8061:G8061)</f>
        <v>149.75799999999998</v>
      </c>
      <c r="I8061" s="39"/>
      <c r="J8061" s="152">
        <v>0</v>
      </c>
      <c r="L8061" s="215">
        <v>1</v>
      </c>
      <c r="M8061" s="30">
        <v>128.192848</v>
      </c>
      <c r="N8061" s="33">
        <f t="shared" si="793"/>
        <v>128.192848</v>
      </c>
      <c r="O8061" s="38">
        <f>SUM(N8061:N8061)</f>
        <v>128.192848</v>
      </c>
      <c r="P8061" s="36" t="str">
        <f t="shared" si="794"/>
        <v/>
      </c>
      <c r="Q8061" s="216">
        <f t="shared" si="795"/>
        <v>0.14399999999999991</v>
      </c>
      <c r="R8061" s="216">
        <f t="shared" si="796"/>
        <v>0.14399999999999991</v>
      </c>
      <c r="S8061" s="217">
        <f t="shared" si="797"/>
        <v>0.14399999999999991</v>
      </c>
    </row>
    <row r="8062" spans="1:19" ht="15.75" hidden="1" thickBot="1" x14ac:dyDescent="0.3">
      <c r="A8062" s="258"/>
      <c r="B8062" s="261"/>
      <c r="C8062" s="54"/>
      <c r="D8062" s="54"/>
      <c r="E8062" s="65"/>
      <c r="F8062" s="66" t="s">
        <v>416</v>
      </c>
      <c r="G8062" s="67" t="str">
        <f t="shared" si="792"/>
        <v/>
      </c>
      <c r="H8062" s="68"/>
      <c r="I8062" s="30"/>
      <c r="J8062" s="152">
        <v>0</v>
      </c>
      <c r="L8062" s="222"/>
      <c r="M8062" s="66"/>
      <c r="N8062" s="67" t="str">
        <f t="shared" si="793"/>
        <v/>
      </c>
      <c r="O8062" s="68"/>
      <c r="P8062" s="36" t="str">
        <f t="shared" si="794"/>
        <v/>
      </c>
      <c r="Q8062" s="216" t="str">
        <f t="shared" si="795"/>
        <v/>
      </c>
      <c r="R8062" s="216" t="str">
        <f t="shared" si="796"/>
        <v/>
      </c>
      <c r="S8062" s="217" t="str">
        <f t="shared" si="797"/>
        <v/>
      </c>
    </row>
    <row r="8063" spans="1:19" ht="15.75" hidden="1" thickBot="1" x14ac:dyDescent="0.3">
      <c r="A8063" s="256" t="s">
        <v>7004</v>
      </c>
      <c r="B8063" s="259" t="str">
        <f>INDEX(Orçamentária!A:B,MATCH(Composições!A8063,Orçamentária!A:A,0),2)</f>
        <v>Cap PVC esgoto ou águas pluviais 150 mm</v>
      </c>
      <c r="C8063" s="40"/>
      <c r="D8063" s="25" t="s">
        <v>16</v>
      </c>
      <c r="E8063" s="26"/>
      <c r="F8063" s="41" t="s">
        <v>416</v>
      </c>
      <c r="G8063" s="27" t="str">
        <f t="shared" si="792"/>
        <v/>
      </c>
      <c r="H8063" s="28"/>
      <c r="I8063" s="29"/>
      <c r="J8063" s="152">
        <v>0</v>
      </c>
      <c r="L8063" s="218"/>
      <c r="M8063" s="41"/>
      <c r="N8063" s="27" t="str">
        <f t="shared" si="793"/>
        <v/>
      </c>
      <c r="O8063" s="28"/>
      <c r="P8063" s="36" t="str">
        <f t="shared" si="794"/>
        <v/>
      </c>
      <c r="Q8063" s="216" t="str">
        <f t="shared" si="795"/>
        <v/>
      </c>
      <c r="R8063" s="216" t="str">
        <f t="shared" si="796"/>
        <v/>
      </c>
      <c r="S8063" s="217" t="str">
        <f t="shared" si="797"/>
        <v/>
      </c>
    </row>
    <row r="8064" spans="1:19" ht="15.75" hidden="1" thickBot="1" x14ac:dyDescent="0.3">
      <c r="A8064" s="257"/>
      <c r="B8064" s="260"/>
      <c r="C8064" s="31"/>
      <c r="D8064" s="31"/>
      <c r="E8064" s="32"/>
      <c r="F8064" s="42" t="s">
        <v>416</v>
      </c>
      <c r="G8064" s="33" t="str">
        <f t="shared" si="792"/>
        <v/>
      </c>
      <c r="H8064" s="34"/>
      <c r="I8064" s="30"/>
      <c r="J8064" s="152">
        <v>0</v>
      </c>
      <c r="L8064" s="219"/>
      <c r="M8064" s="42"/>
      <c r="N8064" s="33" t="str">
        <f t="shared" si="793"/>
        <v/>
      </c>
      <c r="O8064" s="34"/>
      <c r="P8064" s="36" t="str">
        <f t="shared" si="794"/>
        <v/>
      </c>
      <c r="Q8064" s="216" t="str">
        <f t="shared" si="795"/>
        <v/>
      </c>
      <c r="R8064" s="216" t="str">
        <f t="shared" si="796"/>
        <v/>
      </c>
      <c r="S8064" s="217" t="str">
        <f t="shared" si="797"/>
        <v/>
      </c>
    </row>
    <row r="8065" spans="1:19" ht="15.75" hidden="1" thickBot="1" x14ac:dyDescent="0.3">
      <c r="A8065" s="257"/>
      <c r="B8065" s="260"/>
      <c r="C8065" s="35" t="s">
        <v>8047</v>
      </c>
      <c r="D8065" s="35" t="s">
        <v>213</v>
      </c>
      <c r="E8065" s="36">
        <v>1</v>
      </c>
      <c r="F8065" s="30">
        <v>61.901999999999994</v>
      </c>
      <c r="G8065" s="33">
        <f t="shared" si="792"/>
        <v>61.901999999999994</v>
      </c>
      <c r="H8065" s="38">
        <f>SUM(G8065:G8065)</f>
        <v>61.901999999999994</v>
      </c>
      <c r="I8065" s="39"/>
      <c r="J8065" s="152">
        <v>0</v>
      </c>
      <c r="L8065" s="215">
        <v>1</v>
      </c>
      <c r="M8065" s="30">
        <v>52.988111999999994</v>
      </c>
      <c r="N8065" s="33">
        <f t="shared" si="793"/>
        <v>52.988111999999994</v>
      </c>
      <c r="O8065" s="38">
        <f>SUM(N8065:N8065)</f>
        <v>52.988111999999994</v>
      </c>
      <c r="P8065" s="36" t="str">
        <f t="shared" si="794"/>
        <v/>
      </c>
      <c r="Q8065" s="216">
        <f t="shared" si="795"/>
        <v>0.14400000000000002</v>
      </c>
      <c r="R8065" s="216">
        <f t="shared" si="796"/>
        <v>0.14400000000000002</v>
      </c>
      <c r="S8065" s="217">
        <f t="shared" si="797"/>
        <v>0.14400000000000002</v>
      </c>
    </row>
    <row r="8066" spans="1:19" ht="15.75" hidden="1" thickBot="1" x14ac:dyDescent="0.3">
      <c r="A8066" s="258"/>
      <c r="B8066" s="261"/>
      <c r="C8066" s="54"/>
      <c r="D8066" s="54"/>
      <c r="E8066" s="65"/>
      <c r="F8066" s="66" t="s">
        <v>416</v>
      </c>
      <c r="G8066" s="67" t="str">
        <f t="shared" ref="G8066:G8129" si="798">IF(ISNUMBER(F8066),E8066*F8066,"")</f>
        <v/>
      </c>
      <c r="H8066" s="68"/>
      <c r="I8066" s="30"/>
      <c r="J8066" s="152">
        <v>0</v>
      </c>
      <c r="L8066" s="222"/>
      <c r="M8066" s="66"/>
      <c r="N8066" s="67" t="str">
        <f t="shared" ref="N8066:N8129" si="799">IF(ISNUMBER(M8066),L8066*M8066,"")</f>
        <v/>
      </c>
      <c r="O8066" s="68"/>
      <c r="P8066" s="36" t="str">
        <f t="shared" si="794"/>
        <v/>
      </c>
      <c r="Q8066" s="216" t="str">
        <f t="shared" si="795"/>
        <v/>
      </c>
      <c r="R8066" s="216" t="str">
        <f t="shared" si="796"/>
        <v/>
      </c>
      <c r="S8066" s="217" t="str">
        <f t="shared" si="797"/>
        <v/>
      </c>
    </row>
    <row r="8067" spans="1:19" ht="15.75" hidden="1" thickBot="1" x14ac:dyDescent="0.3">
      <c r="A8067" s="256" t="s">
        <v>7005</v>
      </c>
      <c r="B8067" s="259" t="str">
        <f>INDEX(Orçamentária!A:B,MATCH(Composições!A8067,Orçamentária!A:A,0),2)</f>
        <v>Redução PVC esgoto ou águas pluviais 150 mm x 100 mm</v>
      </c>
      <c r="C8067" s="40"/>
      <c r="D8067" s="25" t="s">
        <v>16</v>
      </c>
      <c r="E8067" s="26"/>
      <c r="F8067" s="41" t="s">
        <v>416</v>
      </c>
      <c r="G8067" s="27" t="str">
        <f t="shared" si="798"/>
        <v/>
      </c>
      <c r="H8067" s="28"/>
      <c r="I8067" s="29"/>
      <c r="J8067" s="152">
        <v>0</v>
      </c>
      <c r="L8067" s="218"/>
      <c r="M8067" s="41"/>
      <c r="N8067" s="27" t="str">
        <f t="shared" si="799"/>
        <v/>
      </c>
      <c r="O8067" s="28"/>
      <c r="P8067" s="36" t="str">
        <f t="shared" si="794"/>
        <v/>
      </c>
      <c r="Q8067" s="216" t="str">
        <f t="shared" si="795"/>
        <v/>
      </c>
      <c r="R8067" s="216" t="str">
        <f t="shared" si="796"/>
        <v/>
      </c>
      <c r="S8067" s="217" t="str">
        <f t="shared" si="797"/>
        <v/>
      </c>
    </row>
    <row r="8068" spans="1:19" ht="15.75" hidden="1" thickBot="1" x14ac:dyDescent="0.3">
      <c r="A8068" s="257"/>
      <c r="B8068" s="260"/>
      <c r="C8068" s="31"/>
      <c r="D8068" s="31"/>
      <c r="E8068" s="32"/>
      <c r="F8068" s="42" t="s">
        <v>416</v>
      </c>
      <c r="G8068" s="33" t="str">
        <f t="shared" si="798"/>
        <v/>
      </c>
      <c r="H8068" s="34"/>
      <c r="I8068" s="30"/>
      <c r="J8068" s="152">
        <v>0</v>
      </c>
      <c r="L8068" s="219"/>
      <c r="M8068" s="42"/>
      <c r="N8068" s="33" t="str">
        <f t="shared" si="799"/>
        <v/>
      </c>
      <c r="O8068" s="34"/>
      <c r="P8068" s="36" t="str">
        <f t="shared" si="794"/>
        <v/>
      </c>
      <c r="Q8068" s="216" t="str">
        <f t="shared" si="795"/>
        <v/>
      </c>
      <c r="R8068" s="216" t="str">
        <f t="shared" si="796"/>
        <v/>
      </c>
      <c r="S8068" s="217" t="str">
        <f t="shared" si="797"/>
        <v/>
      </c>
    </row>
    <row r="8069" spans="1:19" ht="26.25" hidden="1" thickBot="1" x14ac:dyDescent="0.3">
      <c r="A8069" s="257"/>
      <c r="B8069" s="260"/>
      <c r="C8069" s="35" t="s">
        <v>1192</v>
      </c>
      <c r="D8069" s="35" t="s">
        <v>213</v>
      </c>
      <c r="E8069" s="36">
        <v>1</v>
      </c>
      <c r="F8069" s="30">
        <v>54.301999999999992</v>
      </c>
      <c r="G8069" s="33">
        <f t="shared" si="798"/>
        <v>54.301999999999992</v>
      </c>
      <c r="H8069" s="38">
        <f>SUM(G8069:G8069)</f>
        <v>54.301999999999992</v>
      </c>
      <c r="I8069" s="39"/>
      <c r="J8069" s="152">
        <v>0</v>
      </c>
      <c r="L8069" s="215">
        <v>1</v>
      </c>
      <c r="M8069" s="30">
        <v>46.482511999999993</v>
      </c>
      <c r="N8069" s="33">
        <f t="shared" si="799"/>
        <v>46.482511999999993</v>
      </c>
      <c r="O8069" s="38">
        <f>SUM(N8069:N8069)</f>
        <v>46.482511999999993</v>
      </c>
      <c r="P8069" s="36" t="str">
        <f t="shared" si="794"/>
        <v/>
      </c>
      <c r="Q8069" s="216">
        <f t="shared" si="795"/>
        <v>0.14400000000000002</v>
      </c>
      <c r="R8069" s="216">
        <f t="shared" si="796"/>
        <v>0.14400000000000002</v>
      </c>
      <c r="S8069" s="217">
        <f t="shared" si="797"/>
        <v>0.14400000000000002</v>
      </c>
    </row>
    <row r="8070" spans="1:19" ht="15.75" hidden="1" thickBot="1" x14ac:dyDescent="0.3">
      <c r="A8070" s="258"/>
      <c r="B8070" s="261"/>
      <c r="C8070" s="54"/>
      <c r="D8070" s="54"/>
      <c r="E8070" s="65"/>
      <c r="F8070" s="66" t="s">
        <v>416</v>
      </c>
      <c r="G8070" s="67" t="str">
        <f t="shared" si="798"/>
        <v/>
      </c>
      <c r="H8070" s="68"/>
      <c r="I8070" s="30"/>
      <c r="J8070" s="152">
        <v>0</v>
      </c>
      <c r="L8070" s="222"/>
      <c r="M8070" s="66"/>
      <c r="N8070" s="67" t="str">
        <f t="shared" si="799"/>
        <v/>
      </c>
      <c r="O8070" s="68"/>
      <c r="P8070" s="36" t="str">
        <f t="shared" si="794"/>
        <v/>
      </c>
      <c r="Q8070" s="216" t="str">
        <f t="shared" si="795"/>
        <v/>
      </c>
      <c r="R8070" s="216" t="str">
        <f t="shared" si="796"/>
        <v/>
      </c>
      <c r="S8070" s="217" t="str">
        <f t="shared" si="797"/>
        <v/>
      </c>
    </row>
    <row r="8071" spans="1:19" ht="15.75" hidden="1" thickBot="1" x14ac:dyDescent="0.3">
      <c r="A8071" s="256" t="s">
        <v>7007</v>
      </c>
      <c r="B8071" s="259" t="str">
        <f>INDEX(Orçamentária!A:B,MATCH(Composições!A8071,Orçamentária!A:A,0),2)</f>
        <v>Joelho 90° cobre 35 mm</v>
      </c>
      <c r="C8071" s="40"/>
      <c r="D8071" s="25" t="s">
        <v>16</v>
      </c>
      <c r="E8071" s="26"/>
      <c r="F8071" s="41" t="s">
        <v>416</v>
      </c>
      <c r="G8071" s="27" t="str">
        <f t="shared" si="798"/>
        <v/>
      </c>
      <c r="H8071" s="28"/>
      <c r="I8071" s="29"/>
      <c r="J8071" s="152">
        <v>0</v>
      </c>
      <c r="L8071" s="218"/>
      <c r="M8071" s="41"/>
      <c r="N8071" s="27" t="str">
        <f t="shared" si="799"/>
        <v/>
      </c>
      <c r="O8071" s="28"/>
      <c r="P8071" s="36" t="str">
        <f t="shared" si="794"/>
        <v/>
      </c>
      <c r="Q8071" s="216" t="str">
        <f t="shared" si="795"/>
        <v/>
      </c>
      <c r="R8071" s="216" t="str">
        <f t="shared" si="796"/>
        <v/>
      </c>
      <c r="S8071" s="217" t="str">
        <f t="shared" si="797"/>
        <v/>
      </c>
    </row>
    <row r="8072" spans="1:19" ht="15.75" hidden="1" thickBot="1" x14ac:dyDescent="0.3">
      <c r="A8072" s="257"/>
      <c r="B8072" s="260"/>
      <c r="C8072" s="31"/>
      <c r="D8072" s="31"/>
      <c r="E8072" s="32"/>
      <c r="F8072" s="42" t="s">
        <v>416</v>
      </c>
      <c r="G8072" s="33" t="str">
        <f t="shared" si="798"/>
        <v/>
      </c>
      <c r="H8072" s="34"/>
      <c r="I8072" s="30"/>
      <c r="J8072" s="152">
        <v>0</v>
      </c>
      <c r="L8072" s="219"/>
      <c r="M8072" s="42"/>
      <c r="N8072" s="33" t="str">
        <f t="shared" si="799"/>
        <v/>
      </c>
      <c r="O8072" s="34"/>
      <c r="P8072" s="36" t="str">
        <f t="shared" ref="P8072:P8135" si="800">IF(ISBLANK(L8072),"",IF($E8072&lt;&gt;L8072,"SIM",""))</f>
        <v/>
      </c>
      <c r="Q8072" s="216" t="str">
        <f t="shared" ref="Q8072:Q8135" si="801">IF(M8072="","",1-M8072/$F8072)</f>
        <v/>
      </c>
      <c r="R8072" s="216" t="str">
        <f t="shared" ref="R8072:R8135" si="802">IF(N8072="","",1-N8072/$G8072)</f>
        <v/>
      </c>
      <c r="S8072" s="217" t="str">
        <f t="shared" ref="S8072:S8135" si="803">IF(O8072="","",1-O8072/$H8072)</f>
        <v/>
      </c>
    </row>
    <row r="8073" spans="1:19" ht="26.25" hidden="1" thickBot="1" x14ac:dyDescent="0.3">
      <c r="A8073" s="257"/>
      <c r="B8073" s="260"/>
      <c r="C8073" s="35" t="s">
        <v>1047</v>
      </c>
      <c r="D8073" s="35" t="s">
        <v>213</v>
      </c>
      <c r="E8073" s="36">
        <v>1</v>
      </c>
      <c r="F8073" s="30">
        <v>41.742999999999995</v>
      </c>
      <c r="G8073" s="33">
        <f t="shared" si="798"/>
        <v>41.742999999999995</v>
      </c>
      <c r="H8073" s="38">
        <f>SUM(G8073:G8073)</f>
        <v>41.742999999999995</v>
      </c>
      <c r="I8073" s="39"/>
      <c r="J8073" s="152">
        <v>0</v>
      </c>
      <c r="L8073" s="215">
        <v>1</v>
      </c>
      <c r="M8073" s="30">
        <v>35.732007999999993</v>
      </c>
      <c r="N8073" s="33">
        <f t="shared" si="799"/>
        <v>35.732007999999993</v>
      </c>
      <c r="O8073" s="38">
        <f>SUM(N8073:N8073)</f>
        <v>35.732007999999993</v>
      </c>
      <c r="P8073" s="36" t="str">
        <f t="shared" si="800"/>
        <v/>
      </c>
      <c r="Q8073" s="216">
        <f t="shared" si="801"/>
        <v>0.14400000000000002</v>
      </c>
      <c r="R8073" s="216">
        <f t="shared" si="802"/>
        <v>0.14400000000000002</v>
      </c>
      <c r="S8073" s="217">
        <f t="shared" si="803"/>
        <v>0.14400000000000002</v>
      </c>
    </row>
    <row r="8074" spans="1:19" ht="15.75" hidden="1" thickBot="1" x14ac:dyDescent="0.3">
      <c r="A8074" s="258"/>
      <c r="B8074" s="261"/>
      <c r="C8074" s="54"/>
      <c r="D8074" s="54"/>
      <c r="E8074" s="65"/>
      <c r="F8074" s="66" t="s">
        <v>416</v>
      </c>
      <c r="G8074" s="67" t="str">
        <f t="shared" si="798"/>
        <v/>
      </c>
      <c r="H8074" s="68"/>
      <c r="I8074" s="30"/>
      <c r="J8074" s="152">
        <v>0</v>
      </c>
      <c r="L8074" s="222"/>
      <c r="M8074" s="66"/>
      <c r="N8074" s="67" t="str">
        <f t="shared" si="799"/>
        <v/>
      </c>
      <c r="O8074" s="68"/>
      <c r="P8074" s="36" t="str">
        <f t="shared" si="800"/>
        <v/>
      </c>
      <c r="Q8074" s="216" t="str">
        <f t="shared" si="801"/>
        <v/>
      </c>
      <c r="R8074" s="216" t="str">
        <f t="shared" si="802"/>
        <v/>
      </c>
      <c r="S8074" s="217" t="str">
        <f t="shared" si="803"/>
        <v/>
      </c>
    </row>
    <row r="8075" spans="1:19" ht="15.75" hidden="1" thickBot="1" x14ac:dyDescent="0.3">
      <c r="A8075" s="256" t="s">
        <v>7008</v>
      </c>
      <c r="B8075" s="259" t="str">
        <f>INDEX(Orçamentária!A:B,MATCH(Composições!A8075,Orçamentária!A:A,0),2)</f>
        <v>Luva cobre 35 mm</v>
      </c>
      <c r="C8075" s="40"/>
      <c r="D8075" s="25" t="s">
        <v>16</v>
      </c>
      <c r="E8075" s="26"/>
      <c r="F8075" s="41" t="s">
        <v>416</v>
      </c>
      <c r="G8075" s="27" t="str">
        <f t="shared" si="798"/>
        <v/>
      </c>
      <c r="H8075" s="28"/>
      <c r="I8075" s="29"/>
      <c r="J8075" s="152">
        <v>0</v>
      </c>
      <c r="L8075" s="218"/>
      <c r="M8075" s="41"/>
      <c r="N8075" s="27" t="str">
        <f t="shared" si="799"/>
        <v/>
      </c>
      <c r="O8075" s="28"/>
      <c r="P8075" s="36" t="str">
        <f t="shared" si="800"/>
        <v/>
      </c>
      <c r="Q8075" s="216" t="str">
        <f t="shared" si="801"/>
        <v/>
      </c>
      <c r="R8075" s="216" t="str">
        <f t="shared" si="802"/>
        <v/>
      </c>
      <c r="S8075" s="217" t="str">
        <f t="shared" si="803"/>
        <v/>
      </c>
    </row>
    <row r="8076" spans="1:19" ht="15.75" hidden="1" thickBot="1" x14ac:dyDescent="0.3">
      <c r="A8076" s="257"/>
      <c r="B8076" s="260"/>
      <c r="C8076" s="31"/>
      <c r="D8076" s="31"/>
      <c r="E8076" s="32"/>
      <c r="F8076" s="42" t="s">
        <v>416</v>
      </c>
      <c r="G8076" s="33" t="str">
        <f t="shared" si="798"/>
        <v/>
      </c>
      <c r="H8076" s="34"/>
      <c r="I8076" s="30"/>
      <c r="J8076" s="152">
        <v>0</v>
      </c>
      <c r="L8076" s="219"/>
      <c r="M8076" s="42"/>
      <c r="N8076" s="33" t="str">
        <f t="shared" si="799"/>
        <v/>
      </c>
      <c r="O8076" s="34"/>
      <c r="P8076" s="36" t="str">
        <f t="shared" si="800"/>
        <v/>
      </c>
      <c r="Q8076" s="216" t="str">
        <f t="shared" si="801"/>
        <v/>
      </c>
      <c r="R8076" s="216" t="str">
        <f t="shared" si="802"/>
        <v/>
      </c>
      <c r="S8076" s="217" t="str">
        <f t="shared" si="803"/>
        <v/>
      </c>
    </row>
    <row r="8077" spans="1:19" ht="26.25" hidden="1" thickBot="1" x14ac:dyDescent="0.3">
      <c r="A8077" s="257"/>
      <c r="B8077" s="260"/>
      <c r="C8077" s="35" t="s">
        <v>1055</v>
      </c>
      <c r="D8077" s="35" t="s">
        <v>213</v>
      </c>
      <c r="E8077" s="36">
        <v>1</v>
      </c>
      <c r="F8077" s="30">
        <v>25.934999999999999</v>
      </c>
      <c r="G8077" s="33">
        <f t="shared" si="798"/>
        <v>25.934999999999999</v>
      </c>
      <c r="H8077" s="38">
        <f>SUM(G8077:G8077)</f>
        <v>25.934999999999999</v>
      </c>
      <c r="I8077" s="39"/>
      <c r="J8077" s="152">
        <v>0</v>
      </c>
      <c r="L8077" s="215">
        <v>1</v>
      </c>
      <c r="M8077" s="30">
        <v>22.20036</v>
      </c>
      <c r="N8077" s="33">
        <f t="shared" si="799"/>
        <v>22.20036</v>
      </c>
      <c r="O8077" s="38">
        <f>SUM(N8077:N8077)</f>
        <v>22.20036</v>
      </c>
      <c r="P8077" s="36" t="str">
        <f t="shared" si="800"/>
        <v/>
      </c>
      <c r="Q8077" s="216">
        <f t="shared" si="801"/>
        <v>0.14400000000000002</v>
      </c>
      <c r="R8077" s="216">
        <f t="shared" si="802"/>
        <v>0.14400000000000002</v>
      </c>
      <c r="S8077" s="217">
        <f t="shared" si="803"/>
        <v>0.14400000000000002</v>
      </c>
    </row>
    <row r="8078" spans="1:19" ht="15.75" hidden="1" thickBot="1" x14ac:dyDescent="0.3">
      <c r="A8078" s="258"/>
      <c r="B8078" s="261"/>
      <c r="C8078" s="54"/>
      <c r="D8078" s="54"/>
      <c r="E8078" s="65"/>
      <c r="F8078" s="66" t="s">
        <v>416</v>
      </c>
      <c r="G8078" s="67" t="str">
        <f t="shared" si="798"/>
        <v/>
      </c>
      <c r="H8078" s="68"/>
      <c r="I8078" s="30"/>
      <c r="J8078" s="152">
        <v>0</v>
      </c>
      <c r="L8078" s="222"/>
      <c r="M8078" s="66"/>
      <c r="N8078" s="67" t="str">
        <f t="shared" si="799"/>
        <v/>
      </c>
      <c r="O8078" s="68"/>
      <c r="P8078" s="36" t="str">
        <f t="shared" si="800"/>
        <v/>
      </c>
      <c r="Q8078" s="216" t="str">
        <f t="shared" si="801"/>
        <v/>
      </c>
      <c r="R8078" s="216" t="str">
        <f t="shared" si="802"/>
        <v/>
      </c>
      <c r="S8078" s="217" t="str">
        <f t="shared" si="803"/>
        <v/>
      </c>
    </row>
    <row r="8079" spans="1:19" ht="15.75" hidden="1" thickBot="1" x14ac:dyDescent="0.3">
      <c r="A8079" s="256" t="s">
        <v>7009</v>
      </c>
      <c r="B8079" s="259" t="str">
        <f>INDEX(Orçamentária!A:B,MATCH(Composições!A8079,Orçamentária!A:A,0),2)</f>
        <v>Tê cobre 35 mm</v>
      </c>
      <c r="C8079" s="40"/>
      <c r="D8079" s="25" t="s">
        <v>16</v>
      </c>
      <c r="E8079" s="26"/>
      <c r="F8079" s="41" t="s">
        <v>416</v>
      </c>
      <c r="G8079" s="27" t="str">
        <f t="shared" si="798"/>
        <v/>
      </c>
      <c r="H8079" s="28"/>
      <c r="I8079" s="29"/>
      <c r="J8079" s="152">
        <v>0</v>
      </c>
      <c r="L8079" s="218"/>
      <c r="M8079" s="41"/>
      <c r="N8079" s="27" t="str">
        <f t="shared" si="799"/>
        <v/>
      </c>
      <c r="O8079" s="28"/>
      <c r="P8079" s="36" t="str">
        <f t="shared" si="800"/>
        <v/>
      </c>
      <c r="Q8079" s="216" t="str">
        <f t="shared" si="801"/>
        <v/>
      </c>
      <c r="R8079" s="216" t="str">
        <f t="shared" si="802"/>
        <v/>
      </c>
      <c r="S8079" s="217" t="str">
        <f t="shared" si="803"/>
        <v/>
      </c>
    </row>
    <row r="8080" spans="1:19" ht="15.75" hidden="1" thickBot="1" x14ac:dyDescent="0.3">
      <c r="A8080" s="257"/>
      <c r="B8080" s="260"/>
      <c r="C8080" s="31"/>
      <c r="D8080" s="31"/>
      <c r="E8080" s="32"/>
      <c r="F8080" s="42" t="s">
        <v>416</v>
      </c>
      <c r="G8080" s="33" t="str">
        <f t="shared" si="798"/>
        <v/>
      </c>
      <c r="H8080" s="34"/>
      <c r="I8080" s="30"/>
      <c r="J8080" s="152">
        <v>0</v>
      </c>
      <c r="L8080" s="219"/>
      <c r="M8080" s="42"/>
      <c r="N8080" s="33" t="str">
        <f t="shared" si="799"/>
        <v/>
      </c>
      <c r="O8080" s="34"/>
      <c r="P8080" s="36" t="str">
        <f t="shared" si="800"/>
        <v/>
      </c>
      <c r="Q8080" s="216" t="str">
        <f t="shared" si="801"/>
        <v/>
      </c>
      <c r="R8080" s="216" t="str">
        <f t="shared" si="802"/>
        <v/>
      </c>
      <c r="S8080" s="217" t="str">
        <f t="shared" si="803"/>
        <v/>
      </c>
    </row>
    <row r="8081" spans="1:19" ht="26.25" hidden="1" thickBot="1" x14ac:dyDescent="0.3">
      <c r="A8081" s="257"/>
      <c r="B8081" s="260"/>
      <c r="C8081" s="35" t="s">
        <v>8396</v>
      </c>
      <c r="D8081" s="35" t="s">
        <v>213</v>
      </c>
      <c r="E8081" s="36">
        <v>1</v>
      </c>
      <c r="F8081" s="30">
        <v>59.716999999999999</v>
      </c>
      <c r="G8081" s="33">
        <f t="shared" si="798"/>
        <v>59.716999999999999</v>
      </c>
      <c r="H8081" s="38">
        <f>SUM(G8081:G8081)</f>
        <v>59.716999999999999</v>
      </c>
      <c r="I8081" s="39"/>
      <c r="J8081" s="152">
        <v>0</v>
      </c>
      <c r="L8081" s="215">
        <v>1</v>
      </c>
      <c r="M8081" s="30">
        <v>51.117751999999996</v>
      </c>
      <c r="N8081" s="33">
        <f t="shared" si="799"/>
        <v>51.117751999999996</v>
      </c>
      <c r="O8081" s="38">
        <f>SUM(N8081:N8081)</f>
        <v>51.117751999999996</v>
      </c>
      <c r="P8081" s="36" t="str">
        <f t="shared" si="800"/>
        <v/>
      </c>
      <c r="Q8081" s="216">
        <f t="shared" si="801"/>
        <v>0.14400000000000002</v>
      </c>
      <c r="R8081" s="216">
        <f t="shared" si="802"/>
        <v>0.14400000000000002</v>
      </c>
      <c r="S8081" s="217">
        <f t="shared" si="803"/>
        <v>0.14400000000000002</v>
      </c>
    </row>
    <row r="8082" spans="1:19" ht="15.75" hidden="1" thickBot="1" x14ac:dyDescent="0.3">
      <c r="A8082" s="258"/>
      <c r="B8082" s="261"/>
      <c r="C8082" s="54"/>
      <c r="D8082" s="54"/>
      <c r="E8082" s="65"/>
      <c r="F8082" s="66" t="s">
        <v>416</v>
      </c>
      <c r="G8082" s="67" t="str">
        <f t="shared" si="798"/>
        <v/>
      </c>
      <c r="H8082" s="68"/>
      <c r="I8082" s="30"/>
      <c r="J8082" s="152">
        <v>0</v>
      </c>
      <c r="L8082" s="222"/>
      <c r="M8082" s="66"/>
      <c r="N8082" s="67" t="str">
        <f t="shared" si="799"/>
        <v/>
      </c>
      <c r="O8082" s="68"/>
      <c r="P8082" s="36" t="str">
        <f t="shared" si="800"/>
        <v/>
      </c>
      <c r="Q8082" s="216" t="str">
        <f t="shared" si="801"/>
        <v/>
      </c>
      <c r="R8082" s="216" t="str">
        <f t="shared" si="802"/>
        <v/>
      </c>
      <c r="S8082" s="217" t="str">
        <f t="shared" si="803"/>
        <v/>
      </c>
    </row>
    <row r="8083" spans="1:19" ht="15.75" hidden="1" thickBot="1" x14ac:dyDescent="0.3">
      <c r="A8083" s="256" t="s">
        <v>7014</v>
      </c>
      <c r="B8083" s="259" t="str">
        <f>INDEX(Orçamentária!A:B,MATCH(Composições!A8083,Orçamentária!A:A,0),2)</f>
        <v>Joelho 90° cobre 42 mm</v>
      </c>
      <c r="C8083" s="40"/>
      <c r="D8083" s="25" t="s">
        <v>16</v>
      </c>
      <c r="E8083" s="26"/>
      <c r="F8083" s="41" t="s">
        <v>416</v>
      </c>
      <c r="G8083" s="27" t="str">
        <f t="shared" si="798"/>
        <v/>
      </c>
      <c r="H8083" s="28"/>
      <c r="I8083" s="29"/>
      <c r="J8083" s="152">
        <v>0</v>
      </c>
      <c r="L8083" s="218"/>
      <c r="M8083" s="41"/>
      <c r="N8083" s="27" t="str">
        <f t="shared" si="799"/>
        <v/>
      </c>
      <c r="O8083" s="28"/>
      <c r="P8083" s="36" t="str">
        <f t="shared" si="800"/>
        <v/>
      </c>
      <c r="Q8083" s="216" t="str">
        <f t="shared" si="801"/>
        <v/>
      </c>
      <c r="R8083" s="216" t="str">
        <f t="shared" si="802"/>
        <v/>
      </c>
      <c r="S8083" s="217" t="str">
        <f t="shared" si="803"/>
        <v/>
      </c>
    </row>
    <row r="8084" spans="1:19" ht="15.75" hidden="1" thickBot="1" x14ac:dyDescent="0.3">
      <c r="A8084" s="257"/>
      <c r="B8084" s="260"/>
      <c r="C8084" s="31"/>
      <c r="D8084" s="31"/>
      <c r="E8084" s="32"/>
      <c r="F8084" s="42" t="s">
        <v>416</v>
      </c>
      <c r="G8084" s="33" t="str">
        <f t="shared" si="798"/>
        <v/>
      </c>
      <c r="H8084" s="34"/>
      <c r="I8084" s="30"/>
      <c r="J8084" s="152">
        <v>0</v>
      </c>
      <c r="L8084" s="219"/>
      <c r="M8084" s="42"/>
      <c r="N8084" s="33" t="str">
        <f t="shared" si="799"/>
        <v/>
      </c>
      <c r="O8084" s="34"/>
      <c r="P8084" s="36" t="str">
        <f t="shared" si="800"/>
        <v/>
      </c>
      <c r="Q8084" s="216" t="str">
        <f t="shared" si="801"/>
        <v/>
      </c>
      <c r="R8084" s="216" t="str">
        <f t="shared" si="802"/>
        <v/>
      </c>
      <c r="S8084" s="217" t="str">
        <f t="shared" si="803"/>
        <v/>
      </c>
    </row>
    <row r="8085" spans="1:19" ht="26.25" hidden="1" thickBot="1" x14ac:dyDescent="0.3">
      <c r="A8085" s="257"/>
      <c r="B8085" s="260"/>
      <c r="C8085" s="35" t="s">
        <v>1051</v>
      </c>
      <c r="D8085" s="35" t="s">
        <v>213</v>
      </c>
      <c r="E8085" s="36">
        <v>1</v>
      </c>
      <c r="F8085" s="30">
        <v>64.067999999999998</v>
      </c>
      <c r="G8085" s="33">
        <f t="shared" si="798"/>
        <v>64.067999999999998</v>
      </c>
      <c r="H8085" s="38">
        <f>SUM(G8085:G8085)</f>
        <v>64.067999999999998</v>
      </c>
      <c r="I8085" s="39"/>
      <c r="J8085" s="152">
        <v>0</v>
      </c>
      <c r="L8085" s="215">
        <v>1</v>
      </c>
      <c r="M8085" s="30">
        <v>54.842207999999999</v>
      </c>
      <c r="N8085" s="33">
        <f t="shared" si="799"/>
        <v>54.842207999999999</v>
      </c>
      <c r="O8085" s="38">
        <f>SUM(N8085:N8085)</f>
        <v>54.842207999999999</v>
      </c>
      <c r="P8085" s="36" t="str">
        <f t="shared" si="800"/>
        <v/>
      </c>
      <c r="Q8085" s="216">
        <f t="shared" si="801"/>
        <v>0.14400000000000002</v>
      </c>
      <c r="R8085" s="216">
        <f t="shared" si="802"/>
        <v>0.14400000000000002</v>
      </c>
      <c r="S8085" s="217">
        <f t="shared" si="803"/>
        <v>0.14400000000000002</v>
      </c>
    </row>
    <row r="8086" spans="1:19" ht="15.75" hidden="1" thickBot="1" x14ac:dyDescent="0.3">
      <c r="A8086" s="258"/>
      <c r="B8086" s="261"/>
      <c r="C8086" s="54"/>
      <c r="D8086" s="54"/>
      <c r="E8086" s="65"/>
      <c r="F8086" s="66" t="s">
        <v>416</v>
      </c>
      <c r="G8086" s="67" t="str">
        <f t="shared" si="798"/>
        <v/>
      </c>
      <c r="H8086" s="68"/>
      <c r="I8086" s="30"/>
      <c r="J8086" s="152">
        <v>0</v>
      </c>
      <c r="L8086" s="222"/>
      <c r="M8086" s="66"/>
      <c r="N8086" s="67" t="str">
        <f t="shared" si="799"/>
        <v/>
      </c>
      <c r="O8086" s="68"/>
      <c r="P8086" s="36" t="str">
        <f t="shared" si="800"/>
        <v/>
      </c>
      <c r="Q8086" s="216" t="str">
        <f t="shared" si="801"/>
        <v/>
      </c>
      <c r="R8086" s="216" t="str">
        <f t="shared" si="802"/>
        <v/>
      </c>
      <c r="S8086" s="217" t="str">
        <f t="shared" si="803"/>
        <v/>
      </c>
    </row>
    <row r="8087" spans="1:19" ht="15.75" hidden="1" thickBot="1" x14ac:dyDescent="0.3">
      <c r="A8087" s="256" t="s">
        <v>7015</v>
      </c>
      <c r="B8087" s="259" t="str">
        <f>INDEX(Orçamentária!A:B,MATCH(Composições!A8087,Orçamentária!A:A,0),2)</f>
        <v>Luva cobre 42 mm</v>
      </c>
      <c r="C8087" s="40"/>
      <c r="D8087" s="25" t="s">
        <v>16</v>
      </c>
      <c r="E8087" s="26"/>
      <c r="F8087" s="41" t="s">
        <v>416</v>
      </c>
      <c r="G8087" s="27" t="str">
        <f t="shared" si="798"/>
        <v/>
      </c>
      <c r="H8087" s="28"/>
      <c r="I8087" s="29"/>
      <c r="J8087" s="152">
        <v>0</v>
      </c>
      <c r="L8087" s="218"/>
      <c r="M8087" s="41"/>
      <c r="N8087" s="27" t="str">
        <f t="shared" si="799"/>
        <v/>
      </c>
      <c r="O8087" s="28"/>
      <c r="P8087" s="36" t="str">
        <f t="shared" si="800"/>
        <v/>
      </c>
      <c r="Q8087" s="216" t="str">
        <f t="shared" si="801"/>
        <v/>
      </c>
      <c r="R8087" s="216" t="str">
        <f t="shared" si="802"/>
        <v/>
      </c>
      <c r="S8087" s="217" t="str">
        <f t="shared" si="803"/>
        <v/>
      </c>
    </row>
    <row r="8088" spans="1:19" ht="15.75" hidden="1" thickBot="1" x14ac:dyDescent="0.3">
      <c r="A8088" s="257"/>
      <c r="B8088" s="260"/>
      <c r="C8088" s="31"/>
      <c r="D8088" s="31"/>
      <c r="E8088" s="32"/>
      <c r="F8088" s="42" t="s">
        <v>416</v>
      </c>
      <c r="G8088" s="33" t="str">
        <f t="shared" si="798"/>
        <v/>
      </c>
      <c r="H8088" s="34"/>
      <c r="I8088" s="30"/>
      <c r="J8088" s="152">
        <v>0</v>
      </c>
      <c r="L8088" s="219"/>
      <c r="M8088" s="42"/>
      <c r="N8088" s="33" t="str">
        <f t="shared" si="799"/>
        <v/>
      </c>
      <c r="O8088" s="34"/>
      <c r="P8088" s="36" t="str">
        <f t="shared" si="800"/>
        <v/>
      </c>
      <c r="Q8088" s="216" t="str">
        <f t="shared" si="801"/>
        <v/>
      </c>
      <c r="R8088" s="216" t="str">
        <f t="shared" si="802"/>
        <v/>
      </c>
      <c r="S8088" s="217" t="str">
        <f t="shared" si="803"/>
        <v/>
      </c>
    </row>
    <row r="8089" spans="1:19" ht="26.25" hidden="1" thickBot="1" x14ac:dyDescent="0.3">
      <c r="A8089" s="257"/>
      <c r="B8089" s="260"/>
      <c r="C8089" s="35" t="s">
        <v>1057</v>
      </c>
      <c r="D8089" s="35" t="s">
        <v>213</v>
      </c>
      <c r="E8089" s="36">
        <v>1</v>
      </c>
      <c r="F8089" s="30">
        <v>32.888999999999996</v>
      </c>
      <c r="G8089" s="33">
        <f t="shared" si="798"/>
        <v>32.888999999999996</v>
      </c>
      <c r="H8089" s="38">
        <f>SUM(G8089:G8089)</f>
        <v>32.888999999999996</v>
      </c>
      <c r="I8089" s="39"/>
      <c r="J8089" s="152">
        <v>0</v>
      </c>
      <c r="L8089" s="215">
        <v>1</v>
      </c>
      <c r="M8089" s="30">
        <v>28.152983999999996</v>
      </c>
      <c r="N8089" s="33">
        <f t="shared" si="799"/>
        <v>28.152983999999996</v>
      </c>
      <c r="O8089" s="38">
        <f>SUM(N8089:N8089)</f>
        <v>28.152983999999996</v>
      </c>
      <c r="P8089" s="36" t="str">
        <f t="shared" si="800"/>
        <v/>
      </c>
      <c r="Q8089" s="216">
        <f t="shared" si="801"/>
        <v>0.14400000000000002</v>
      </c>
      <c r="R8089" s="216">
        <f t="shared" si="802"/>
        <v>0.14400000000000002</v>
      </c>
      <c r="S8089" s="217">
        <f t="shared" si="803"/>
        <v>0.14400000000000002</v>
      </c>
    </row>
    <row r="8090" spans="1:19" ht="15.75" hidden="1" thickBot="1" x14ac:dyDescent="0.3">
      <c r="A8090" s="258"/>
      <c r="B8090" s="261"/>
      <c r="C8090" s="54"/>
      <c r="D8090" s="54"/>
      <c r="E8090" s="65"/>
      <c r="F8090" s="66" t="s">
        <v>416</v>
      </c>
      <c r="G8090" s="67" t="str">
        <f t="shared" si="798"/>
        <v/>
      </c>
      <c r="H8090" s="68"/>
      <c r="I8090" s="30"/>
      <c r="J8090" s="152">
        <v>0</v>
      </c>
      <c r="L8090" s="222"/>
      <c r="M8090" s="66"/>
      <c r="N8090" s="67" t="str">
        <f t="shared" si="799"/>
        <v/>
      </c>
      <c r="O8090" s="68"/>
      <c r="P8090" s="36" t="str">
        <f t="shared" si="800"/>
        <v/>
      </c>
      <c r="Q8090" s="216" t="str">
        <f t="shared" si="801"/>
        <v/>
      </c>
      <c r="R8090" s="216" t="str">
        <f t="shared" si="802"/>
        <v/>
      </c>
      <c r="S8090" s="217" t="str">
        <f t="shared" si="803"/>
        <v/>
      </c>
    </row>
    <row r="8091" spans="1:19" ht="15.75" hidden="1" thickBot="1" x14ac:dyDescent="0.3">
      <c r="A8091" s="256" t="s">
        <v>7016</v>
      </c>
      <c r="B8091" s="259" t="str">
        <f>INDEX(Orçamentária!A:B,MATCH(Composições!A8091,Orçamentária!A:A,0),2)</f>
        <v>Tê cobre 42 mm</v>
      </c>
      <c r="C8091" s="40"/>
      <c r="D8091" s="25" t="s">
        <v>16</v>
      </c>
      <c r="E8091" s="26"/>
      <c r="F8091" s="41" t="s">
        <v>416</v>
      </c>
      <c r="G8091" s="27" t="str">
        <f t="shared" si="798"/>
        <v/>
      </c>
      <c r="H8091" s="28"/>
      <c r="I8091" s="29"/>
      <c r="J8091" s="152">
        <v>0</v>
      </c>
      <c r="L8091" s="218"/>
      <c r="M8091" s="41"/>
      <c r="N8091" s="27" t="str">
        <f t="shared" si="799"/>
        <v/>
      </c>
      <c r="O8091" s="28"/>
      <c r="P8091" s="36" t="str">
        <f t="shared" si="800"/>
        <v/>
      </c>
      <c r="Q8091" s="216" t="str">
        <f t="shared" si="801"/>
        <v/>
      </c>
      <c r="R8091" s="216" t="str">
        <f t="shared" si="802"/>
        <v/>
      </c>
      <c r="S8091" s="217" t="str">
        <f t="shared" si="803"/>
        <v/>
      </c>
    </row>
    <row r="8092" spans="1:19" ht="15.75" hidden="1" thickBot="1" x14ac:dyDescent="0.3">
      <c r="A8092" s="257"/>
      <c r="B8092" s="260"/>
      <c r="C8092" s="31"/>
      <c r="D8092" s="31"/>
      <c r="E8092" s="32"/>
      <c r="F8092" s="42" t="s">
        <v>416</v>
      </c>
      <c r="G8092" s="33" t="str">
        <f t="shared" si="798"/>
        <v/>
      </c>
      <c r="H8092" s="34"/>
      <c r="I8092" s="30"/>
      <c r="J8092" s="152">
        <v>0</v>
      </c>
      <c r="L8092" s="219"/>
      <c r="M8092" s="42"/>
      <c r="N8092" s="33" t="str">
        <f t="shared" si="799"/>
        <v/>
      </c>
      <c r="O8092" s="34"/>
      <c r="P8092" s="36" t="str">
        <f t="shared" si="800"/>
        <v/>
      </c>
      <c r="Q8092" s="216" t="str">
        <f t="shared" si="801"/>
        <v/>
      </c>
      <c r="R8092" s="216" t="str">
        <f t="shared" si="802"/>
        <v/>
      </c>
      <c r="S8092" s="217" t="str">
        <f t="shared" si="803"/>
        <v/>
      </c>
    </row>
    <row r="8093" spans="1:19" ht="26.25" hidden="1" thickBot="1" x14ac:dyDescent="0.3">
      <c r="A8093" s="257"/>
      <c r="B8093" s="260"/>
      <c r="C8093" s="35" t="s">
        <v>8397</v>
      </c>
      <c r="D8093" s="35" t="s">
        <v>213</v>
      </c>
      <c r="E8093" s="36">
        <v>1</v>
      </c>
      <c r="F8093" s="30">
        <v>76.930999999999997</v>
      </c>
      <c r="G8093" s="33">
        <f t="shared" si="798"/>
        <v>76.930999999999997</v>
      </c>
      <c r="H8093" s="38">
        <f>SUM(G8093:G8093)</f>
        <v>76.930999999999997</v>
      </c>
      <c r="I8093" s="39"/>
      <c r="J8093" s="152">
        <v>0</v>
      </c>
      <c r="L8093" s="215">
        <v>1</v>
      </c>
      <c r="M8093" s="30">
        <v>65.852936</v>
      </c>
      <c r="N8093" s="33">
        <f t="shared" si="799"/>
        <v>65.852936</v>
      </c>
      <c r="O8093" s="38">
        <f>SUM(N8093:N8093)</f>
        <v>65.852936</v>
      </c>
      <c r="P8093" s="36" t="str">
        <f t="shared" si="800"/>
        <v/>
      </c>
      <c r="Q8093" s="216">
        <f t="shared" si="801"/>
        <v>0.14400000000000002</v>
      </c>
      <c r="R8093" s="216">
        <f t="shared" si="802"/>
        <v>0.14400000000000002</v>
      </c>
      <c r="S8093" s="217">
        <f t="shared" si="803"/>
        <v>0.14400000000000002</v>
      </c>
    </row>
    <row r="8094" spans="1:19" ht="15.75" hidden="1" thickBot="1" x14ac:dyDescent="0.3">
      <c r="A8094" s="258"/>
      <c r="B8094" s="261"/>
      <c r="C8094" s="54"/>
      <c r="D8094" s="54"/>
      <c r="E8094" s="65"/>
      <c r="F8094" s="66" t="s">
        <v>416</v>
      </c>
      <c r="G8094" s="67" t="str">
        <f t="shared" si="798"/>
        <v/>
      </c>
      <c r="H8094" s="68"/>
      <c r="I8094" s="30"/>
      <c r="J8094" s="152">
        <v>0</v>
      </c>
      <c r="L8094" s="222"/>
      <c r="M8094" s="66"/>
      <c r="N8094" s="67" t="str">
        <f t="shared" si="799"/>
        <v/>
      </c>
      <c r="O8094" s="68"/>
      <c r="P8094" s="36" t="str">
        <f t="shared" si="800"/>
        <v/>
      </c>
      <c r="Q8094" s="216" t="str">
        <f t="shared" si="801"/>
        <v/>
      </c>
      <c r="R8094" s="216" t="str">
        <f t="shared" si="802"/>
        <v/>
      </c>
      <c r="S8094" s="217" t="str">
        <f t="shared" si="803"/>
        <v/>
      </c>
    </row>
    <row r="8095" spans="1:19" ht="15.75" hidden="1" thickBot="1" x14ac:dyDescent="0.3">
      <c r="A8095" s="256" t="s">
        <v>7018</v>
      </c>
      <c r="B8095" s="259" t="str">
        <f>INDEX(Orçamentária!A:B,MATCH(Composições!A8095,Orçamentária!A:A,0),2)</f>
        <v>Redução cobre 42 mm x 35 mm</v>
      </c>
      <c r="C8095" s="40"/>
      <c r="D8095" s="25" t="s">
        <v>16</v>
      </c>
      <c r="E8095" s="26"/>
      <c r="F8095" s="41" t="s">
        <v>416</v>
      </c>
      <c r="G8095" s="27" t="str">
        <f t="shared" si="798"/>
        <v/>
      </c>
      <c r="H8095" s="28"/>
      <c r="I8095" s="29"/>
      <c r="J8095" s="152">
        <v>0</v>
      </c>
      <c r="L8095" s="218"/>
      <c r="M8095" s="41"/>
      <c r="N8095" s="27" t="str">
        <f t="shared" si="799"/>
        <v/>
      </c>
      <c r="O8095" s="28"/>
      <c r="P8095" s="36" t="str">
        <f t="shared" si="800"/>
        <v/>
      </c>
      <c r="Q8095" s="216" t="str">
        <f t="shared" si="801"/>
        <v/>
      </c>
      <c r="R8095" s="216" t="str">
        <f t="shared" si="802"/>
        <v/>
      </c>
      <c r="S8095" s="217" t="str">
        <f t="shared" si="803"/>
        <v/>
      </c>
    </row>
    <row r="8096" spans="1:19" ht="15.75" hidden="1" thickBot="1" x14ac:dyDescent="0.3">
      <c r="A8096" s="257"/>
      <c r="B8096" s="260"/>
      <c r="C8096" s="31"/>
      <c r="D8096" s="31"/>
      <c r="E8096" s="32"/>
      <c r="F8096" s="42" t="s">
        <v>416</v>
      </c>
      <c r="G8096" s="33" t="str">
        <f t="shared" si="798"/>
        <v/>
      </c>
      <c r="H8096" s="34"/>
      <c r="I8096" s="30"/>
      <c r="J8096" s="152">
        <v>0</v>
      </c>
      <c r="L8096" s="219"/>
      <c r="M8096" s="42"/>
      <c r="N8096" s="33" t="str">
        <f t="shared" si="799"/>
        <v/>
      </c>
      <c r="O8096" s="34"/>
      <c r="P8096" s="36" t="str">
        <f t="shared" si="800"/>
        <v/>
      </c>
      <c r="Q8096" s="216" t="str">
        <f t="shared" si="801"/>
        <v/>
      </c>
      <c r="R8096" s="216" t="str">
        <f t="shared" si="802"/>
        <v/>
      </c>
      <c r="S8096" s="217" t="str">
        <f t="shared" si="803"/>
        <v/>
      </c>
    </row>
    <row r="8097" spans="1:19" ht="26.25" hidden="1" thickBot="1" x14ac:dyDescent="0.3">
      <c r="A8097" s="257"/>
      <c r="B8097" s="260"/>
      <c r="C8097" s="35" t="s">
        <v>8012</v>
      </c>
      <c r="D8097" s="35" t="s">
        <v>213</v>
      </c>
      <c r="E8097" s="36">
        <v>1</v>
      </c>
      <c r="F8097" s="30">
        <v>36.898000000000003</v>
      </c>
      <c r="G8097" s="33">
        <f t="shared" si="798"/>
        <v>36.898000000000003</v>
      </c>
      <c r="H8097" s="38">
        <f>SUM(G8097:G8097)</f>
        <v>36.898000000000003</v>
      </c>
      <c r="I8097" s="39"/>
      <c r="J8097" s="152">
        <v>0</v>
      </c>
      <c r="L8097" s="215">
        <v>1</v>
      </c>
      <c r="M8097" s="30">
        <v>31.584688000000003</v>
      </c>
      <c r="N8097" s="33">
        <f t="shared" si="799"/>
        <v>31.584688000000003</v>
      </c>
      <c r="O8097" s="38">
        <f>SUM(N8097:N8097)</f>
        <v>31.584688000000003</v>
      </c>
      <c r="P8097" s="36" t="str">
        <f t="shared" si="800"/>
        <v/>
      </c>
      <c r="Q8097" s="216">
        <f t="shared" si="801"/>
        <v>0.14400000000000002</v>
      </c>
      <c r="R8097" s="216">
        <f t="shared" si="802"/>
        <v>0.14400000000000002</v>
      </c>
      <c r="S8097" s="217">
        <f t="shared" si="803"/>
        <v>0.14400000000000002</v>
      </c>
    </row>
    <row r="8098" spans="1:19" ht="15.75" hidden="1" thickBot="1" x14ac:dyDescent="0.3">
      <c r="A8098" s="258"/>
      <c r="B8098" s="261"/>
      <c r="C8098" s="54"/>
      <c r="D8098" s="54"/>
      <c r="E8098" s="65"/>
      <c r="F8098" s="66" t="s">
        <v>416</v>
      </c>
      <c r="G8098" s="67" t="str">
        <f t="shared" si="798"/>
        <v/>
      </c>
      <c r="H8098" s="68"/>
      <c r="I8098" s="30"/>
      <c r="J8098" s="152">
        <v>0</v>
      </c>
      <c r="L8098" s="222"/>
      <c r="M8098" s="66"/>
      <c r="N8098" s="67" t="str">
        <f t="shared" si="799"/>
        <v/>
      </c>
      <c r="O8098" s="68"/>
      <c r="P8098" s="36" t="str">
        <f t="shared" si="800"/>
        <v/>
      </c>
      <c r="Q8098" s="216" t="str">
        <f t="shared" si="801"/>
        <v/>
      </c>
      <c r="R8098" s="216" t="str">
        <f t="shared" si="802"/>
        <v/>
      </c>
      <c r="S8098" s="217" t="str">
        <f t="shared" si="803"/>
        <v/>
      </c>
    </row>
    <row r="8099" spans="1:19" ht="15.75" hidden="1" thickBot="1" x14ac:dyDescent="0.3">
      <c r="A8099" s="256" t="s">
        <v>7020</v>
      </c>
      <c r="B8099" s="259" t="str">
        <f>INDEX(Orçamentária!A:B,MATCH(Composições!A8099,Orçamentária!A:A,0),2)</f>
        <v>Joelho 90° cobre 54 mm</v>
      </c>
      <c r="C8099" s="40"/>
      <c r="D8099" s="25" t="s">
        <v>16</v>
      </c>
      <c r="E8099" s="26"/>
      <c r="F8099" s="41" t="s">
        <v>416</v>
      </c>
      <c r="G8099" s="27" t="str">
        <f t="shared" si="798"/>
        <v/>
      </c>
      <c r="H8099" s="28"/>
      <c r="I8099" s="29"/>
      <c r="J8099" s="152">
        <v>0</v>
      </c>
      <c r="L8099" s="218"/>
      <c r="M8099" s="41"/>
      <c r="N8099" s="27" t="str">
        <f t="shared" si="799"/>
        <v/>
      </c>
      <c r="O8099" s="28"/>
      <c r="P8099" s="36" t="str">
        <f t="shared" si="800"/>
        <v/>
      </c>
      <c r="Q8099" s="216" t="str">
        <f t="shared" si="801"/>
        <v/>
      </c>
      <c r="R8099" s="216" t="str">
        <f t="shared" si="802"/>
        <v/>
      </c>
      <c r="S8099" s="217" t="str">
        <f t="shared" si="803"/>
        <v/>
      </c>
    </row>
    <row r="8100" spans="1:19" ht="15.75" hidden="1" thickBot="1" x14ac:dyDescent="0.3">
      <c r="A8100" s="257"/>
      <c r="B8100" s="260"/>
      <c r="C8100" s="31"/>
      <c r="D8100" s="31"/>
      <c r="E8100" s="32"/>
      <c r="F8100" s="42" t="s">
        <v>416</v>
      </c>
      <c r="G8100" s="33" t="str">
        <f t="shared" si="798"/>
        <v/>
      </c>
      <c r="H8100" s="34"/>
      <c r="I8100" s="30"/>
      <c r="J8100" s="152">
        <v>0</v>
      </c>
      <c r="L8100" s="219"/>
      <c r="M8100" s="42"/>
      <c r="N8100" s="33" t="str">
        <f t="shared" si="799"/>
        <v/>
      </c>
      <c r="O8100" s="34"/>
      <c r="P8100" s="36" t="str">
        <f t="shared" si="800"/>
        <v/>
      </c>
      <c r="Q8100" s="216" t="str">
        <f t="shared" si="801"/>
        <v/>
      </c>
      <c r="R8100" s="216" t="str">
        <f t="shared" si="802"/>
        <v/>
      </c>
      <c r="S8100" s="217" t="str">
        <f t="shared" si="803"/>
        <v/>
      </c>
    </row>
    <row r="8101" spans="1:19" ht="26.25" hidden="1" thickBot="1" x14ac:dyDescent="0.3">
      <c r="A8101" s="257"/>
      <c r="B8101" s="260"/>
      <c r="C8101" s="35" t="s">
        <v>8098</v>
      </c>
      <c r="D8101" s="35" t="s">
        <v>213</v>
      </c>
      <c r="E8101" s="36">
        <v>1</v>
      </c>
      <c r="F8101" s="30">
        <v>101.69749999999999</v>
      </c>
      <c r="G8101" s="33">
        <f t="shared" si="798"/>
        <v>101.69749999999999</v>
      </c>
      <c r="H8101" s="38">
        <f>SUM(G8101:G8101)</f>
        <v>101.69749999999999</v>
      </c>
      <c r="I8101" s="39"/>
      <c r="J8101" s="152">
        <v>0</v>
      </c>
      <c r="L8101" s="215">
        <v>1</v>
      </c>
      <c r="M8101" s="30">
        <v>87.053059999999988</v>
      </c>
      <c r="N8101" s="33">
        <f t="shared" si="799"/>
        <v>87.053059999999988</v>
      </c>
      <c r="O8101" s="38">
        <f>SUM(N8101:N8101)</f>
        <v>87.053059999999988</v>
      </c>
      <c r="P8101" s="36" t="str">
        <f t="shared" si="800"/>
        <v/>
      </c>
      <c r="Q8101" s="216">
        <f t="shared" si="801"/>
        <v>0.14400000000000002</v>
      </c>
      <c r="R8101" s="216">
        <f t="shared" si="802"/>
        <v>0.14400000000000002</v>
      </c>
      <c r="S8101" s="217">
        <f t="shared" si="803"/>
        <v>0.14400000000000002</v>
      </c>
    </row>
    <row r="8102" spans="1:19" ht="15.75" hidden="1" thickBot="1" x14ac:dyDescent="0.3">
      <c r="A8102" s="258"/>
      <c r="B8102" s="261"/>
      <c r="C8102" s="54"/>
      <c r="D8102" s="54"/>
      <c r="E8102" s="65"/>
      <c r="F8102" s="66" t="s">
        <v>416</v>
      </c>
      <c r="G8102" s="67" t="str">
        <f t="shared" si="798"/>
        <v/>
      </c>
      <c r="H8102" s="68"/>
      <c r="I8102" s="30"/>
      <c r="J8102" s="152">
        <v>0</v>
      </c>
      <c r="L8102" s="222"/>
      <c r="M8102" s="66"/>
      <c r="N8102" s="67" t="str">
        <f t="shared" si="799"/>
        <v/>
      </c>
      <c r="O8102" s="68"/>
      <c r="P8102" s="36" t="str">
        <f t="shared" si="800"/>
        <v/>
      </c>
      <c r="Q8102" s="216" t="str">
        <f t="shared" si="801"/>
        <v/>
      </c>
      <c r="R8102" s="216" t="str">
        <f t="shared" si="802"/>
        <v/>
      </c>
      <c r="S8102" s="217" t="str">
        <f t="shared" si="803"/>
        <v/>
      </c>
    </row>
    <row r="8103" spans="1:19" ht="15.75" hidden="1" thickBot="1" x14ac:dyDescent="0.3">
      <c r="A8103" s="256" t="s">
        <v>7022</v>
      </c>
      <c r="B8103" s="259" t="str">
        <f>INDEX(Orçamentária!A:B,MATCH(Composições!A8103,Orçamentária!A:A,0),2)</f>
        <v>Luva cobre 54 mm</v>
      </c>
      <c r="C8103" s="40"/>
      <c r="D8103" s="25" t="s">
        <v>16</v>
      </c>
      <c r="E8103" s="26"/>
      <c r="F8103" s="41" t="s">
        <v>416</v>
      </c>
      <c r="G8103" s="27" t="str">
        <f t="shared" si="798"/>
        <v/>
      </c>
      <c r="H8103" s="28"/>
      <c r="I8103" s="29"/>
      <c r="J8103" s="152">
        <v>0</v>
      </c>
      <c r="L8103" s="218"/>
      <c r="M8103" s="41"/>
      <c r="N8103" s="27" t="str">
        <f t="shared" si="799"/>
        <v/>
      </c>
      <c r="O8103" s="28"/>
      <c r="P8103" s="36" t="str">
        <f t="shared" si="800"/>
        <v/>
      </c>
      <c r="Q8103" s="216" t="str">
        <f t="shared" si="801"/>
        <v/>
      </c>
      <c r="R8103" s="216" t="str">
        <f t="shared" si="802"/>
        <v/>
      </c>
      <c r="S8103" s="217" t="str">
        <f t="shared" si="803"/>
        <v/>
      </c>
    </row>
    <row r="8104" spans="1:19" ht="15.75" hidden="1" thickBot="1" x14ac:dyDescent="0.3">
      <c r="A8104" s="257"/>
      <c r="B8104" s="260"/>
      <c r="C8104" s="31"/>
      <c r="D8104" s="31"/>
      <c r="E8104" s="32"/>
      <c r="F8104" s="42" t="s">
        <v>416</v>
      </c>
      <c r="G8104" s="33" t="str">
        <f t="shared" si="798"/>
        <v/>
      </c>
      <c r="H8104" s="34"/>
      <c r="I8104" s="30"/>
      <c r="J8104" s="152">
        <v>0</v>
      </c>
      <c r="L8104" s="219"/>
      <c r="M8104" s="42"/>
      <c r="N8104" s="33" t="str">
        <f t="shared" si="799"/>
        <v/>
      </c>
      <c r="O8104" s="34"/>
      <c r="P8104" s="36" t="str">
        <f t="shared" si="800"/>
        <v/>
      </c>
      <c r="Q8104" s="216" t="str">
        <f t="shared" si="801"/>
        <v/>
      </c>
      <c r="R8104" s="216" t="str">
        <f t="shared" si="802"/>
        <v/>
      </c>
      <c r="S8104" s="217" t="str">
        <f t="shared" si="803"/>
        <v/>
      </c>
    </row>
    <row r="8105" spans="1:19" ht="26.25" hidden="1" thickBot="1" x14ac:dyDescent="0.3">
      <c r="A8105" s="257"/>
      <c r="B8105" s="260"/>
      <c r="C8105" s="35" t="s">
        <v>8234</v>
      </c>
      <c r="D8105" s="35" t="s">
        <v>213</v>
      </c>
      <c r="E8105" s="36">
        <v>1</v>
      </c>
      <c r="F8105" s="30">
        <v>53.712999999999994</v>
      </c>
      <c r="G8105" s="33">
        <f t="shared" si="798"/>
        <v>53.712999999999994</v>
      </c>
      <c r="H8105" s="38">
        <f>SUM(G8105:G8105)</f>
        <v>53.712999999999994</v>
      </c>
      <c r="I8105" s="39"/>
      <c r="J8105" s="152">
        <v>0</v>
      </c>
      <c r="L8105" s="215">
        <v>1</v>
      </c>
      <c r="M8105" s="30">
        <v>45.978327999999998</v>
      </c>
      <c r="N8105" s="33">
        <f t="shared" si="799"/>
        <v>45.978327999999998</v>
      </c>
      <c r="O8105" s="38">
        <f>SUM(N8105:N8105)</f>
        <v>45.978327999999998</v>
      </c>
      <c r="P8105" s="36" t="str">
        <f t="shared" si="800"/>
        <v/>
      </c>
      <c r="Q8105" s="216">
        <f t="shared" si="801"/>
        <v>0.14399999999999991</v>
      </c>
      <c r="R8105" s="216">
        <f t="shared" si="802"/>
        <v>0.14399999999999991</v>
      </c>
      <c r="S8105" s="217">
        <f t="shared" si="803"/>
        <v>0.14399999999999991</v>
      </c>
    </row>
    <row r="8106" spans="1:19" ht="15.75" hidden="1" thickBot="1" x14ac:dyDescent="0.3">
      <c r="A8106" s="258"/>
      <c r="B8106" s="261"/>
      <c r="C8106" s="54"/>
      <c r="D8106" s="54"/>
      <c r="E8106" s="65"/>
      <c r="F8106" s="66" t="s">
        <v>416</v>
      </c>
      <c r="G8106" s="67" t="str">
        <f t="shared" si="798"/>
        <v/>
      </c>
      <c r="H8106" s="68"/>
      <c r="I8106" s="30"/>
      <c r="J8106" s="152">
        <v>0</v>
      </c>
      <c r="L8106" s="222"/>
      <c r="M8106" s="66"/>
      <c r="N8106" s="67" t="str">
        <f t="shared" si="799"/>
        <v/>
      </c>
      <c r="O8106" s="68"/>
      <c r="P8106" s="36" t="str">
        <f t="shared" si="800"/>
        <v/>
      </c>
      <c r="Q8106" s="216" t="str">
        <f t="shared" si="801"/>
        <v/>
      </c>
      <c r="R8106" s="216" t="str">
        <f t="shared" si="802"/>
        <v/>
      </c>
      <c r="S8106" s="217" t="str">
        <f t="shared" si="803"/>
        <v/>
      </c>
    </row>
    <row r="8107" spans="1:19" ht="15.75" hidden="1" thickBot="1" x14ac:dyDescent="0.3">
      <c r="A8107" s="256" t="s">
        <v>7023</v>
      </c>
      <c r="B8107" s="259" t="str">
        <f>INDEX(Orçamentária!A:B,MATCH(Composições!A8107,Orçamentária!A:A,0),2)</f>
        <v>Tê cobre 54 mm</v>
      </c>
      <c r="C8107" s="40"/>
      <c r="D8107" s="25" t="s">
        <v>16</v>
      </c>
      <c r="E8107" s="26"/>
      <c r="F8107" s="41" t="s">
        <v>416</v>
      </c>
      <c r="G8107" s="27" t="str">
        <f t="shared" si="798"/>
        <v/>
      </c>
      <c r="H8107" s="28"/>
      <c r="I8107" s="29"/>
      <c r="J8107" s="152">
        <v>0</v>
      </c>
      <c r="L8107" s="218"/>
      <c r="M8107" s="41"/>
      <c r="N8107" s="27" t="str">
        <f t="shared" si="799"/>
        <v/>
      </c>
      <c r="O8107" s="28"/>
      <c r="P8107" s="36" t="str">
        <f t="shared" si="800"/>
        <v/>
      </c>
      <c r="Q8107" s="216" t="str">
        <f t="shared" si="801"/>
        <v/>
      </c>
      <c r="R8107" s="216" t="str">
        <f t="shared" si="802"/>
        <v/>
      </c>
      <c r="S8107" s="217" t="str">
        <f t="shared" si="803"/>
        <v/>
      </c>
    </row>
    <row r="8108" spans="1:19" ht="15.75" hidden="1" thickBot="1" x14ac:dyDescent="0.3">
      <c r="A8108" s="257"/>
      <c r="B8108" s="260"/>
      <c r="C8108" s="31"/>
      <c r="D8108" s="31"/>
      <c r="E8108" s="32"/>
      <c r="F8108" s="42" t="s">
        <v>416</v>
      </c>
      <c r="G8108" s="33" t="str">
        <f t="shared" si="798"/>
        <v/>
      </c>
      <c r="H8108" s="34"/>
      <c r="I8108" s="30"/>
      <c r="J8108" s="152">
        <v>0</v>
      </c>
      <c r="L8108" s="219"/>
      <c r="M8108" s="42"/>
      <c r="N8108" s="33" t="str">
        <f t="shared" si="799"/>
        <v/>
      </c>
      <c r="O8108" s="34"/>
      <c r="P8108" s="36" t="str">
        <f t="shared" si="800"/>
        <v/>
      </c>
      <c r="Q8108" s="216" t="str">
        <f t="shared" si="801"/>
        <v/>
      </c>
      <c r="R8108" s="216" t="str">
        <f t="shared" si="802"/>
        <v/>
      </c>
      <c r="S8108" s="217" t="str">
        <f t="shared" si="803"/>
        <v/>
      </c>
    </row>
    <row r="8109" spans="1:19" ht="26.25" hidden="1" thickBot="1" x14ac:dyDescent="0.3">
      <c r="A8109" s="257"/>
      <c r="B8109" s="260"/>
      <c r="C8109" s="35" t="s">
        <v>8398</v>
      </c>
      <c r="D8109" s="35" t="s">
        <v>213</v>
      </c>
      <c r="E8109" s="36">
        <v>1</v>
      </c>
      <c r="F8109" s="30">
        <v>152.04750000000001</v>
      </c>
      <c r="G8109" s="33">
        <f t="shared" si="798"/>
        <v>152.04750000000001</v>
      </c>
      <c r="H8109" s="38">
        <f>SUM(G8109:G8109)</f>
        <v>152.04750000000001</v>
      </c>
      <c r="I8109" s="39"/>
      <c r="J8109" s="152">
        <v>0</v>
      </c>
      <c r="L8109" s="215">
        <v>1</v>
      </c>
      <c r="M8109" s="30">
        <v>130.15266000000003</v>
      </c>
      <c r="N8109" s="33">
        <f t="shared" si="799"/>
        <v>130.15266000000003</v>
      </c>
      <c r="O8109" s="38">
        <f>SUM(N8109:N8109)</f>
        <v>130.15266000000003</v>
      </c>
      <c r="P8109" s="36" t="str">
        <f t="shared" si="800"/>
        <v/>
      </c>
      <c r="Q8109" s="216">
        <f t="shared" si="801"/>
        <v>0.14399999999999991</v>
      </c>
      <c r="R8109" s="216">
        <f t="shared" si="802"/>
        <v>0.14399999999999991</v>
      </c>
      <c r="S8109" s="217">
        <f t="shared" si="803"/>
        <v>0.14399999999999991</v>
      </c>
    </row>
    <row r="8110" spans="1:19" ht="15.75" hidden="1" thickBot="1" x14ac:dyDescent="0.3">
      <c r="A8110" s="258"/>
      <c r="B8110" s="261"/>
      <c r="C8110" s="54"/>
      <c r="D8110" s="54"/>
      <c r="E8110" s="65"/>
      <c r="F8110" s="66" t="s">
        <v>416</v>
      </c>
      <c r="G8110" s="67" t="str">
        <f t="shared" si="798"/>
        <v/>
      </c>
      <c r="H8110" s="68"/>
      <c r="I8110" s="30"/>
      <c r="J8110" s="152">
        <v>0</v>
      </c>
      <c r="L8110" s="222"/>
      <c r="M8110" s="66"/>
      <c r="N8110" s="67" t="str">
        <f t="shared" si="799"/>
        <v/>
      </c>
      <c r="O8110" s="68"/>
      <c r="P8110" s="36" t="str">
        <f t="shared" si="800"/>
        <v/>
      </c>
      <c r="Q8110" s="216" t="str">
        <f t="shared" si="801"/>
        <v/>
      </c>
      <c r="R8110" s="216" t="str">
        <f t="shared" si="802"/>
        <v/>
      </c>
      <c r="S8110" s="217" t="str">
        <f t="shared" si="803"/>
        <v/>
      </c>
    </row>
    <row r="8111" spans="1:19" ht="15.75" hidden="1" thickBot="1" x14ac:dyDescent="0.3">
      <c r="A8111" s="256" t="s">
        <v>7025</v>
      </c>
      <c r="B8111" s="259" t="str">
        <f>INDEX(Orçamentária!A:B,MATCH(Composições!A8111,Orçamentária!A:A,0),2)</f>
        <v>Redução cobre 54 mm x 42 mm</v>
      </c>
      <c r="C8111" s="40"/>
      <c r="D8111" s="25" t="s">
        <v>16</v>
      </c>
      <c r="E8111" s="26"/>
      <c r="F8111" s="41" t="s">
        <v>416</v>
      </c>
      <c r="G8111" s="27" t="str">
        <f t="shared" si="798"/>
        <v/>
      </c>
      <c r="H8111" s="28"/>
      <c r="I8111" s="29"/>
      <c r="J8111" s="152">
        <v>0</v>
      </c>
      <c r="L8111" s="218"/>
      <c r="M8111" s="41"/>
      <c r="N8111" s="27" t="str">
        <f t="shared" si="799"/>
        <v/>
      </c>
      <c r="O8111" s="28"/>
      <c r="P8111" s="36" t="str">
        <f t="shared" si="800"/>
        <v/>
      </c>
      <c r="Q8111" s="216" t="str">
        <f t="shared" si="801"/>
        <v/>
      </c>
      <c r="R8111" s="216" t="str">
        <f t="shared" si="802"/>
        <v/>
      </c>
      <c r="S8111" s="217" t="str">
        <f t="shared" si="803"/>
        <v/>
      </c>
    </row>
    <row r="8112" spans="1:19" ht="15.75" hidden="1" thickBot="1" x14ac:dyDescent="0.3">
      <c r="A8112" s="257"/>
      <c r="B8112" s="260"/>
      <c r="C8112" s="31"/>
      <c r="D8112" s="31"/>
      <c r="E8112" s="32"/>
      <c r="F8112" s="42" t="s">
        <v>416</v>
      </c>
      <c r="G8112" s="33" t="str">
        <f t="shared" si="798"/>
        <v/>
      </c>
      <c r="H8112" s="34"/>
      <c r="I8112" s="30"/>
      <c r="J8112" s="152">
        <v>0</v>
      </c>
      <c r="L8112" s="219"/>
      <c r="M8112" s="42"/>
      <c r="N8112" s="33" t="str">
        <f t="shared" si="799"/>
        <v/>
      </c>
      <c r="O8112" s="34"/>
      <c r="P8112" s="36" t="str">
        <f t="shared" si="800"/>
        <v/>
      </c>
      <c r="Q8112" s="216" t="str">
        <f t="shared" si="801"/>
        <v/>
      </c>
      <c r="R8112" s="216" t="str">
        <f t="shared" si="802"/>
        <v/>
      </c>
      <c r="S8112" s="217" t="str">
        <f t="shared" si="803"/>
        <v/>
      </c>
    </row>
    <row r="8113" spans="1:19" ht="26.25" hidden="1" thickBot="1" x14ac:dyDescent="0.3">
      <c r="A8113" s="257"/>
      <c r="B8113" s="260"/>
      <c r="C8113" s="35" t="s">
        <v>8013</v>
      </c>
      <c r="D8113" s="35" t="s">
        <v>213</v>
      </c>
      <c r="E8113" s="36">
        <v>1</v>
      </c>
      <c r="F8113" s="30">
        <v>52.021999999999998</v>
      </c>
      <c r="G8113" s="33">
        <f t="shared" si="798"/>
        <v>52.021999999999998</v>
      </c>
      <c r="H8113" s="38">
        <f>SUM(G8113:G8113)</f>
        <v>52.021999999999998</v>
      </c>
      <c r="I8113" s="39"/>
      <c r="J8113" s="152">
        <v>0</v>
      </c>
      <c r="L8113" s="215">
        <v>1</v>
      </c>
      <c r="M8113" s="30">
        <v>44.530831999999997</v>
      </c>
      <c r="N8113" s="33">
        <f t="shared" si="799"/>
        <v>44.530831999999997</v>
      </c>
      <c r="O8113" s="38">
        <f>SUM(N8113:N8113)</f>
        <v>44.530831999999997</v>
      </c>
      <c r="P8113" s="36" t="str">
        <f t="shared" si="800"/>
        <v/>
      </c>
      <c r="Q8113" s="216">
        <f t="shared" si="801"/>
        <v>0.14400000000000002</v>
      </c>
      <c r="R8113" s="216">
        <f t="shared" si="802"/>
        <v>0.14400000000000002</v>
      </c>
      <c r="S8113" s="217">
        <f t="shared" si="803"/>
        <v>0.14400000000000002</v>
      </c>
    </row>
    <row r="8114" spans="1:19" ht="15.75" hidden="1" thickBot="1" x14ac:dyDescent="0.3">
      <c r="A8114" s="258"/>
      <c r="B8114" s="261"/>
      <c r="C8114" s="54"/>
      <c r="D8114" s="54"/>
      <c r="E8114" s="65"/>
      <c r="F8114" s="66" t="s">
        <v>416</v>
      </c>
      <c r="G8114" s="67" t="str">
        <f t="shared" si="798"/>
        <v/>
      </c>
      <c r="H8114" s="68"/>
      <c r="I8114" s="30"/>
      <c r="J8114" s="152">
        <v>0</v>
      </c>
      <c r="L8114" s="222"/>
      <c r="M8114" s="66"/>
      <c r="N8114" s="67" t="str">
        <f t="shared" si="799"/>
        <v/>
      </c>
      <c r="O8114" s="68"/>
      <c r="P8114" s="36" t="str">
        <f t="shared" si="800"/>
        <v/>
      </c>
      <c r="Q8114" s="216" t="str">
        <f t="shared" si="801"/>
        <v/>
      </c>
      <c r="R8114" s="216" t="str">
        <f t="shared" si="802"/>
        <v/>
      </c>
      <c r="S8114" s="217" t="str">
        <f t="shared" si="803"/>
        <v/>
      </c>
    </row>
    <row r="8115" spans="1:19" ht="15.75" hidden="1" thickBot="1" x14ac:dyDescent="0.3">
      <c r="A8115" s="256" t="s">
        <v>7027</v>
      </c>
      <c r="B8115" s="259" t="str">
        <f>INDEX(Orçamentária!A:B,MATCH(Composições!A8115,Orçamentária!A:A,0),2)</f>
        <v>Joelho 90° cobre 66 mm</v>
      </c>
      <c r="C8115" s="40"/>
      <c r="D8115" s="25" t="s">
        <v>16</v>
      </c>
      <c r="E8115" s="26"/>
      <c r="F8115" s="41" t="s">
        <v>416</v>
      </c>
      <c r="G8115" s="27" t="str">
        <f t="shared" si="798"/>
        <v/>
      </c>
      <c r="H8115" s="28"/>
      <c r="I8115" s="29"/>
      <c r="J8115" s="152">
        <v>0</v>
      </c>
      <c r="L8115" s="218"/>
      <c r="M8115" s="41"/>
      <c r="N8115" s="27" t="str">
        <f t="shared" si="799"/>
        <v/>
      </c>
      <c r="O8115" s="28"/>
      <c r="P8115" s="36" t="str">
        <f t="shared" si="800"/>
        <v/>
      </c>
      <c r="Q8115" s="216" t="str">
        <f t="shared" si="801"/>
        <v/>
      </c>
      <c r="R8115" s="216" t="str">
        <f t="shared" si="802"/>
        <v/>
      </c>
      <c r="S8115" s="217" t="str">
        <f t="shared" si="803"/>
        <v/>
      </c>
    </row>
    <row r="8116" spans="1:19" ht="15.75" hidden="1" thickBot="1" x14ac:dyDescent="0.3">
      <c r="A8116" s="257"/>
      <c r="B8116" s="260"/>
      <c r="C8116" s="31"/>
      <c r="D8116" s="31"/>
      <c r="E8116" s="32"/>
      <c r="F8116" s="42" t="s">
        <v>416</v>
      </c>
      <c r="G8116" s="33" t="str">
        <f t="shared" si="798"/>
        <v/>
      </c>
      <c r="H8116" s="34"/>
      <c r="I8116" s="30"/>
      <c r="J8116" s="152">
        <v>0</v>
      </c>
      <c r="L8116" s="219"/>
      <c r="M8116" s="42"/>
      <c r="N8116" s="33" t="str">
        <f t="shared" si="799"/>
        <v/>
      </c>
      <c r="O8116" s="34"/>
      <c r="P8116" s="36" t="str">
        <f t="shared" si="800"/>
        <v/>
      </c>
      <c r="Q8116" s="216" t="str">
        <f t="shared" si="801"/>
        <v/>
      </c>
      <c r="R8116" s="216" t="str">
        <f t="shared" si="802"/>
        <v/>
      </c>
      <c r="S8116" s="217" t="str">
        <f t="shared" si="803"/>
        <v/>
      </c>
    </row>
    <row r="8117" spans="1:19" ht="26.25" hidden="1" thickBot="1" x14ac:dyDescent="0.3">
      <c r="A8117" s="257"/>
      <c r="B8117" s="260"/>
      <c r="C8117" s="35" t="s">
        <v>8099</v>
      </c>
      <c r="D8117" s="35" t="s">
        <v>213</v>
      </c>
      <c r="E8117" s="36">
        <v>1</v>
      </c>
      <c r="F8117" s="30">
        <v>354.12199999999996</v>
      </c>
      <c r="G8117" s="33">
        <f t="shared" si="798"/>
        <v>354.12199999999996</v>
      </c>
      <c r="H8117" s="38">
        <f>SUM(G8117:G8117)</f>
        <v>354.12199999999996</v>
      </c>
      <c r="I8117" s="39"/>
      <c r="J8117" s="152">
        <v>0</v>
      </c>
      <c r="L8117" s="215">
        <v>1</v>
      </c>
      <c r="M8117" s="30">
        <v>303.12843199999998</v>
      </c>
      <c r="N8117" s="33">
        <f t="shared" si="799"/>
        <v>303.12843199999998</v>
      </c>
      <c r="O8117" s="38">
        <f>SUM(N8117:N8117)</f>
        <v>303.12843199999998</v>
      </c>
      <c r="P8117" s="36" t="str">
        <f t="shared" si="800"/>
        <v/>
      </c>
      <c r="Q8117" s="216">
        <f t="shared" si="801"/>
        <v>0.14400000000000002</v>
      </c>
      <c r="R8117" s="216">
        <f t="shared" si="802"/>
        <v>0.14400000000000002</v>
      </c>
      <c r="S8117" s="217">
        <f t="shared" si="803"/>
        <v>0.14400000000000002</v>
      </c>
    </row>
    <row r="8118" spans="1:19" ht="15.75" hidden="1" thickBot="1" x14ac:dyDescent="0.3">
      <c r="A8118" s="258"/>
      <c r="B8118" s="261"/>
      <c r="C8118" s="54"/>
      <c r="D8118" s="54"/>
      <c r="E8118" s="65"/>
      <c r="F8118" s="66" t="s">
        <v>416</v>
      </c>
      <c r="G8118" s="67" t="str">
        <f t="shared" si="798"/>
        <v/>
      </c>
      <c r="H8118" s="68"/>
      <c r="I8118" s="30"/>
      <c r="J8118" s="152">
        <v>0</v>
      </c>
      <c r="L8118" s="222"/>
      <c r="M8118" s="66"/>
      <c r="N8118" s="67" t="str">
        <f t="shared" si="799"/>
        <v/>
      </c>
      <c r="O8118" s="68"/>
      <c r="P8118" s="36" t="str">
        <f t="shared" si="800"/>
        <v/>
      </c>
      <c r="Q8118" s="216" t="str">
        <f t="shared" si="801"/>
        <v/>
      </c>
      <c r="R8118" s="216" t="str">
        <f t="shared" si="802"/>
        <v/>
      </c>
      <c r="S8118" s="217" t="str">
        <f t="shared" si="803"/>
        <v/>
      </c>
    </row>
    <row r="8119" spans="1:19" ht="15.75" hidden="1" thickBot="1" x14ac:dyDescent="0.3">
      <c r="A8119" s="256" t="s">
        <v>7029</v>
      </c>
      <c r="B8119" s="259" t="str">
        <f>INDEX(Orçamentária!A:B,MATCH(Composições!A8119,Orçamentária!A:A,0),2)</f>
        <v>Luva cobre 66 mm</v>
      </c>
      <c r="C8119" s="40"/>
      <c r="D8119" s="25" t="s">
        <v>16</v>
      </c>
      <c r="E8119" s="26"/>
      <c r="F8119" s="41" t="s">
        <v>416</v>
      </c>
      <c r="G8119" s="27" t="str">
        <f t="shared" si="798"/>
        <v/>
      </c>
      <c r="H8119" s="28"/>
      <c r="I8119" s="29"/>
      <c r="J8119" s="152">
        <v>0</v>
      </c>
      <c r="L8119" s="218"/>
      <c r="M8119" s="41"/>
      <c r="N8119" s="27" t="str">
        <f t="shared" si="799"/>
        <v/>
      </c>
      <c r="O8119" s="28"/>
      <c r="P8119" s="36" t="str">
        <f t="shared" si="800"/>
        <v/>
      </c>
      <c r="Q8119" s="216" t="str">
        <f t="shared" si="801"/>
        <v/>
      </c>
      <c r="R8119" s="216" t="str">
        <f t="shared" si="802"/>
        <v/>
      </c>
      <c r="S8119" s="217" t="str">
        <f t="shared" si="803"/>
        <v/>
      </c>
    </row>
    <row r="8120" spans="1:19" ht="15.75" hidden="1" thickBot="1" x14ac:dyDescent="0.3">
      <c r="A8120" s="257"/>
      <c r="B8120" s="260"/>
      <c r="C8120" s="31"/>
      <c r="D8120" s="31"/>
      <c r="E8120" s="32"/>
      <c r="F8120" s="42" t="s">
        <v>416</v>
      </c>
      <c r="G8120" s="33" t="str">
        <f t="shared" si="798"/>
        <v/>
      </c>
      <c r="H8120" s="34"/>
      <c r="I8120" s="30"/>
      <c r="J8120" s="152">
        <v>0</v>
      </c>
      <c r="L8120" s="219"/>
      <c r="M8120" s="42"/>
      <c r="N8120" s="33" t="str">
        <f t="shared" si="799"/>
        <v/>
      </c>
      <c r="O8120" s="34"/>
      <c r="P8120" s="36" t="str">
        <f t="shared" si="800"/>
        <v/>
      </c>
      <c r="Q8120" s="216" t="str">
        <f t="shared" si="801"/>
        <v/>
      </c>
      <c r="R8120" s="216" t="str">
        <f t="shared" si="802"/>
        <v/>
      </c>
      <c r="S8120" s="217" t="str">
        <f t="shared" si="803"/>
        <v/>
      </c>
    </row>
    <row r="8121" spans="1:19" ht="26.25" hidden="1" thickBot="1" x14ac:dyDescent="0.3">
      <c r="A8121" s="257"/>
      <c r="B8121" s="260"/>
      <c r="C8121" s="35" t="s">
        <v>8235</v>
      </c>
      <c r="D8121" s="35" t="s">
        <v>213</v>
      </c>
      <c r="E8121" s="36">
        <v>1</v>
      </c>
      <c r="F8121" s="30">
        <v>176.0635</v>
      </c>
      <c r="G8121" s="33">
        <f t="shared" si="798"/>
        <v>176.0635</v>
      </c>
      <c r="H8121" s="38">
        <f>SUM(G8121:G8121)</f>
        <v>176.0635</v>
      </c>
      <c r="I8121" s="39"/>
      <c r="J8121" s="152">
        <v>0</v>
      </c>
      <c r="L8121" s="215">
        <v>1</v>
      </c>
      <c r="M8121" s="30">
        <v>150.71035599999999</v>
      </c>
      <c r="N8121" s="33">
        <f t="shared" si="799"/>
        <v>150.71035599999999</v>
      </c>
      <c r="O8121" s="38">
        <f>SUM(N8121:N8121)</f>
        <v>150.71035599999999</v>
      </c>
      <c r="P8121" s="36" t="str">
        <f t="shared" si="800"/>
        <v/>
      </c>
      <c r="Q8121" s="216">
        <f t="shared" si="801"/>
        <v>0.14400000000000013</v>
      </c>
      <c r="R8121" s="216">
        <f t="shared" si="802"/>
        <v>0.14400000000000013</v>
      </c>
      <c r="S8121" s="217">
        <f t="shared" si="803"/>
        <v>0.14400000000000013</v>
      </c>
    </row>
    <row r="8122" spans="1:19" ht="15.75" hidden="1" thickBot="1" x14ac:dyDescent="0.3">
      <c r="A8122" s="258"/>
      <c r="B8122" s="261"/>
      <c r="C8122" s="54"/>
      <c r="D8122" s="54"/>
      <c r="E8122" s="65"/>
      <c r="F8122" s="66" t="s">
        <v>416</v>
      </c>
      <c r="G8122" s="67" t="str">
        <f t="shared" si="798"/>
        <v/>
      </c>
      <c r="H8122" s="68"/>
      <c r="I8122" s="30"/>
      <c r="J8122" s="152">
        <v>0</v>
      </c>
      <c r="L8122" s="222"/>
      <c r="M8122" s="66"/>
      <c r="N8122" s="67" t="str">
        <f t="shared" si="799"/>
        <v/>
      </c>
      <c r="O8122" s="68"/>
      <c r="P8122" s="36" t="str">
        <f t="shared" si="800"/>
        <v/>
      </c>
      <c r="Q8122" s="216" t="str">
        <f t="shared" si="801"/>
        <v/>
      </c>
      <c r="R8122" s="216" t="str">
        <f t="shared" si="802"/>
        <v/>
      </c>
      <c r="S8122" s="217" t="str">
        <f t="shared" si="803"/>
        <v/>
      </c>
    </row>
    <row r="8123" spans="1:19" ht="15.75" hidden="1" thickBot="1" x14ac:dyDescent="0.3">
      <c r="A8123" s="256" t="s">
        <v>7030</v>
      </c>
      <c r="B8123" s="259" t="str">
        <f>INDEX(Orçamentária!A:B,MATCH(Composições!A8123,Orçamentária!A:A,0),2)</f>
        <v>Tê cobre 66 mm</v>
      </c>
      <c r="C8123" s="40"/>
      <c r="D8123" s="25" t="s">
        <v>16</v>
      </c>
      <c r="E8123" s="26"/>
      <c r="F8123" s="41" t="s">
        <v>416</v>
      </c>
      <c r="G8123" s="27" t="str">
        <f t="shared" si="798"/>
        <v/>
      </c>
      <c r="H8123" s="28"/>
      <c r="I8123" s="29"/>
      <c r="J8123" s="152">
        <v>0</v>
      </c>
      <c r="L8123" s="218"/>
      <c r="M8123" s="41"/>
      <c r="N8123" s="27" t="str">
        <f t="shared" si="799"/>
        <v/>
      </c>
      <c r="O8123" s="28"/>
      <c r="P8123" s="36" t="str">
        <f t="shared" si="800"/>
        <v/>
      </c>
      <c r="Q8123" s="216" t="str">
        <f t="shared" si="801"/>
        <v/>
      </c>
      <c r="R8123" s="216" t="str">
        <f t="shared" si="802"/>
        <v/>
      </c>
      <c r="S8123" s="217" t="str">
        <f t="shared" si="803"/>
        <v/>
      </c>
    </row>
    <row r="8124" spans="1:19" ht="15.75" hidden="1" thickBot="1" x14ac:dyDescent="0.3">
      <c r="A8124" s="257"/>
      <c r="B8124" s="260"/>
      <c r="C8124" s="31"/>
      <c r="D8124" s="31"/>
      <c r="E8124" s="32"/>
      <c r="F8124" s="42" t="s">
        <v>416</v>
      </c>
      <c r="G8124" s="33" t="str">
        <f t="shared" si="798"/>
        <v/>
      </c>
      <c r="H8124" s="34"/>
      <c r="I8124" s="30"/>
      <c r="J8124" s="152">
        <v>0</v>
      </c>
      <c r="L8124" s="219"/>
      <c r="M8124" s="42"/>
      <c r="N8124" s="33" t="str">
        <f t="shared" si="799"/>
        <v/>
      </c>
      <c r="O8124" s="34"/>
      <c r="P8124" s="36" t="str">
        <f t="shared" si="800"/>
        <v/>
      </c>
      <c r="Q8124" s="216" t="str">
        <f t="shared" si="801"/>
        <v/>
      </c>
      <c r="R8124" s="216" t="str">
        <f t="shared" si="802"/>
        <v/>
      </c>
      <c r="S8124" s="217" t="str">
        <f t="shared" si="803"/>
        <v/>
      </c>
    </row>
    <row r="8125" spans="1:19" ht="26.25" hidden="1" thickBot="1" x14ac:dyDescent="0.3">
      <c r="A8125" s="257"/>
      <c r="B8125" s="260"/>
      <c r="C8125" s="35" t="s">
        <v>8399</v>
      </c>
      <c r="D8125" s="35" t="s">
        <v>213</v>
      </c>
      <c r="E8125" s="36">
        <v>1</v>
      </c>
      <c r="F8125" s="30">
        <v>432.82</v>
      </c>
      <c r="G8125" s="33">
        <f t="shared" si="798"/>
        <v>432.82</v>
      </c>
      <c r="H8125" s="38">
        <f>SUM(G8125:G8125)</f>
        <v>432.82</v>
      </c>
      <c r="I8125" s="39"/>
      <c r="J8125" s="152">
        <v>0</v>
      </c>
      <c r="L8125" s="215">
        <v>1</v>
      </c>
      <c r="M8125" s="30">
        <v>370.49392</v>
      </c>
      <c r="N8125" s="33">
        <f t="shared" si="799"/>
        <v>370.49392</v>
      </c>
      <c r="O8125" s="38">
        <f>SUM(N8125:N8125)</f>
        <v>370.49392</v>
      </c>
      <c r="P8125" s="36" t="str">
        <f t="shared" si="800"/>
        <v/>
      </c>
      <c r="Q8125" s="216">
        <f t="shared" si="801"/>
        <v>0.14400000000000002</v>
      </c>
      <c r="R8125" s="216">
        <f t="shared" si="802"/>
        <v>0.14400000000000002</v>
      </c>
      <c r="S8125" s="217">
        <f t="shared" si="803"/>
        <v>0.14400000000000002</v>
      </c>
    </row>
    <row r="8126" spans="1:19" ht="15.75" hidden="1" thickBot="1" x14ac:dyDescent="0.3">
      <c r="A8126" s="258"/>
      <c r="B8126" s="261"/>
      <c r="C8126" s="54"/>
      <c r="D8126" s="54"/>
      <c r="E8126" s="65"/>
      <c r="F8126" s="66" t="s">
        <v>416</v>
      </c>
      <c r="G8126" s="67" t="str">
        <f t="shared" si="798"/>
        <v/>
      </c>
      <c r="H8126" s="68"/>
      <c r="I8126" s="30"/>
      <c r="J8126" s="152">
        <v>0</v>
      </c>
      <c r="L8126" s="222"/>
      <c r="M8126" s="66"/>
      <c r="N8126" s="67" t="str">
        <f t="shared" si="799"/>
        <v/>
      </c>
      <c r="O8126" s="68"/>
      <c r="P8126" s="36" t="str">
        <f t="shared" si="800"/>
        <v/>
      </c>
      <c r="Q8126" s="216" t="str">
        <f t="shared" si="801"/>
        <v/>
      </c>
      <c r="R8126" s="216" t="str">
        <f t="shared" si="802"/>
        <v/>
      </c>
      <c r="S8126" s="217" t="str">
        <f t="shared" si="803"/>
        <v/>
      </c>
    </row>
    <row r="8127" spans="1:19" ht="15.75" hidden="1" thickBot="1" x14ac:dyDescent="0.3">
      <c r="A8127" s="256" t="s">
        <v>7032</v>
      </c>
      <c r="B8127" s="259" t="str">
        <f>INDEX(Orçamentária!A:B,MATCH(Composições!A8127,Orçamentária!A:A,0),2)</f>
        <v>Redução cobre 66 mm x 54 mm</v>
      </c>
      <c r="C8127" s="40"/>
      <c r="D8127" s="25" t="s">
        <v>16</v>
      </c>
      <c r="E8127" s="26"/>
      <c r="F8127" s="41" t="s">
        <v>416</v>
      </c>
      <c r="G8127" s="27" t="str">
        <f t="shared" si="798"/>
        <v/>
      </c>
      <c r="H8127" s="28"/>
      <c r="I8127" s="29"/>
      <c r="J8127" s="152">
        <v>0</v>
      </c>
      <c r="L8127" s="218"/>
      <c r="M8127" s="41"/>
      <c r="N8127" s="27" t="str">
        <f t="shared" si="799"/>
        <v/>
      </c>
      <c r="O8127" s="28"/>
      <c r="P8127" s="36" t="str">
        <f t="shared" si="800"/>
        <v/>
      </c>
      <c r="Q8127" s="216" t="str">
        <f t="shared" si="801"/>
        <v/>
      </c>
      <c r="R8127" s="216" t="str">
        <f t="shared" si="802"/>
        <v/>
      </c>
      <c r="S8127" s="217" t="str">
        <f t="shared" si="803"/>
        <v/>
      </c>
    </row>
    <row r="8128" spans="1:19" ht="15.75" hidden="1" thickBot="1" x14ac:dyDescent="0.3">
      <c r="A8128" s="257"/>
      <c r="B8128" s="260"/>
      <c r="C8128" s="31"/>
      <c r="D8128" s="31"/>
      <c r="E8128" s="32"/>
      <c r="F8128" s="42" t="s">
        <v>416</v>
      </c>
      <c r="G8128" s="33" t="str">
        <f t="shared" si="798"/>
        <v/>
      </c>
      <c r="H8128" s="34"/>
      <c r="I8128" s="30"/>
      <c r="J8128" s="152">
        <v>0</v>
      </c>
      <c r="L8128" s="219"/>
      <c r="M8128" s="42"/>
      <c r="N8128" s="33" t="str">
        <f t="shared" si="799"/>
        <v/>
      </c>
      <c r="O8128" s="34"/>
      <c r="P8128" s="36" t="str">
        <f t="shared" si="800"/>
        <v/>
      </c>
      <c r="Q8128" s="216" t="str">
        <f t="shared" si="801"/>
        <v/>
      </c>
      <c r="R8128" s="216" t="str">
        <f t="shared" si="802"/>
        <v/>
      </c>
      <c r="S8128" s="217" t="str">
        <f t="shared" si="803"/>
        <v/>
      </c>
    </row>
    <row r="8129" spans="1:19" ht="26.25" hidden="1" thickBot="1" x14ac:dyDescent="0.3">
      <c r="A8129" s="257"/>
      <c r="B8129" s="260"/>
      <c r="C8129" s="35" t="s">
        <v>8014</v>
      </c>
      <c r="D8129" s="35" t="s">
        <v>213</v>
      </c>
      <c r="E8129" s="36">
        <v>1</v>
      </c>
      <c r="F8129" s="30">
        <v>162.15549999999999</v>
      </c>
      <c r="G8129" s="33">
        <f t="shared" si="798"/>
        <v>162.15549999999999</v>
      </c>
      <c r="H8129" s="38">
        <f>SUM(G8129:G8129)</f>
        <v>162.15549999999999</v>
      </c>
      <c r="I8129" s="39"/>
      <c r="J8129" s="152">
        <v>0</v>
      </c>
      <c r="L8129" s="215">
        <v>1</v>
      </c>
      <c r="M8129" s="30">
        <v>138.80510799999999</v>
      </c>
      <c r="N8129" s="33">
        <f t="shared" si="799"/>
        <v>138.80510799999999</v>
      </c>
      <c r="O8129" s="38">
        <f>SUM(N8129:N8129)</f>
        <v>138.80510799999999</v>
      </c>
      <c r="P8129" s="36" t="str">
        <f t="shared" si="800"/>
        <v/>
      </c>
      <c r="Q8129" s="216">
        <f t="shared" si="801"/>
        <v>0.14400000000000002</v>
      </c>
      <c r="R8129" s="216">
        <f t="shared" si="802"/>
        <v>0.14400000000000002</v>
      </c>
      <c r="S8129" s="217">
        <f t="shared" si="803"/>
        <v>0.14400000000000002</v>
      </c>
    </row>
    <row r="8130" spans="1:19" ht="15.75" hidden="1" thickBot="1" x14ac:dyDescent="0.3">
      <c r="A8130" s="258"/>
      <c r="B8130" s="261"/>
      <c r="C8130" s="54"/>
      <c r="D8130" s="54"/>
      <c r="E8130" s="65"/>
      <c r="F8130" s="66" t="s">
        <v>416</v>
      </c>
      <c r="G8130" s="67" t="str">
        <f t="shared" ref="G8130:G8193" si="804">IF(ISNUMBER(F8130),E8130*F8130,"")</f>
        <v/>
      </c>
      <c r="H8130" s="68"/>
      <c r="I8130" s="30"/>
      <c r="J8130" s="152">
        <v>0</v>
      </c>
      <c r="L8130" s="222"/>
      <c r="M8130" s="66"/>
      <c r="N8130" s="67" t="str">
        <f t="shared" ref="N8130:N8193" si="805">IF(ISNUMBER(M8130),L8130*M8130,"")</f>
        <v/>
      </c>
      <c r="O8130" s="68"/>
      <c r="P8130" s="36" t="str">
        <f t="shared" si="800"/>
        <v/>
      </c>
      <c r="Q8130" s="216" t="str">
        <f t="shared" si="801"/>
        <v/>
      </c>
      <c r="R8130" s="216" t="str">
        <f t="shared" si="802"/>
        <v/>
      </c>
      <c r="S8130" s="217" t="str">
        <f t="shared" si="803"/>
        <v/>
      </c>
    </row>
    <row r="8131" spans="1:19" ht="15.75" hidden="1" thickBot="1" x14ac:dyDescent="0.3">
      <c r="A8131" s="256" t="s">
        <v>7034</v>
      </c>
      <c r="B8131" s="259" t="str">
        <f>INDEX(Orçamentária!A:B,MATCH(Composições!A8131,Orçamentária!A:A,0),2)</f>
        <v>Joelho 90° cobre 79 mm</v>
      </c>
      <c r="C8131" s="40"/>
      <c r="D8131" s="25" t="s">
        <v>16</v>
      </c>
      <c r="E8131" s="26"/>
      <c r="F8131" s="41" t="s">
        <v>416</v>
      </c>
      <c r="G8131" s="27" t="str">
        <f t="shared" si="804"/>
        <v/>
      </c>
      <c r="H8131" s="28"/>
      <c r="I8131" s="29"/>
      <c r="J8131" s="152">
        <v>0</v>
      </c>
      <c r="L8131" s="218"/>
      <c r="M8131" s="41"/>
      <c r="N8131" s="27" t="str">
        <f t="shared" si="805"/>
        <v/>
      </c>
      <c r="O8131" s="28"/>
      <c r="P8131" s="36" t="str">
        <f t="shared" si="800"/>
        <v/>
      </c>
      <c r="Q8131" s="216" t="str">
        <f t="shared" si="801"/>
        <v/>
      </c>
      <c r="R8131" s="216" t="str">
        <f t="shared" si="802"/>
        <v/>
      </c>
      <c r="S8131" s="217" t="str">
        <f t="shared" si="803"/>
        <v/>
      </c>
    </row>
    <row r="8132" spans="1:19" ht="15.75" hidden="1" thickBot="1" x14ac:dyDescent="0.3">
      <c r="A8132" s="257"/>
      <c r="B8132" s="260"/>
      <c r="C8132" s="31"/>
      <c r="D8132" s="31"/>
      <c r="E8132" s="32"/>
      <c r="F8132" s="42" t="s">
        <v>416</v>
      </c>
      <c r="G8132" s="33" t="str">
        <f t="shared" si="804"/>
        <v/>
      </c>
      <c r="H8132" s="34"/>
      <c r="I8132" s="30"/>
      <c r="J8132" s="152">
        <v>0</v>
      </c>
      <c r="L8132" s="219"/>
      <c r="M8132" s="42"/>
      <c r="N8132" s="33" t="str">
        <f t="shared" si="805"/>
        <v/>
      </c>
      <c r="O8132" s="34"/>
      <c r="P8132" s="36" t="str">
        <f t="shared" si="800"/>
        <v/>
      </c>
      <c r="Q8132" s="216" t="str">
        <f t="shared" si="801"/>
        <v/>
      </c>
      <c r="R8132" s="216" t="str">
        <f t="shared" si="802"/>
        <v/>
      </c>
      <c r="S8132" s="217" t="str">
        <f t="shared" si="803"/>
        <v/>
      </c>
    </row>
    <row r="8133" spans="1:19" ht="26.25" hidden="1" thickBot="1" x14ac:dyDescent="0.3">
      <c r="A8133" s="257"/>
      <c r="B8133" s="260"/>
      <c r="C8133" s="35" t="s">
        <v>8100</v>
      </c>
      <c r="D8133" s="35" t="s">
        <v>213</v>
      </c>
      <c r="E8133" s="36">
        <v>1</v>
      </c>
      <c r="F8133" s="30">
        <v>339.57749999999999</v>
      </c>
      <c r="G8133" s="33">
        <f t="shared" si="804"/>
        <v>339.57749999999999</v>
      </c>
      <c r="H8133" s="38">
        <f>SUM(G8133:G8133)</f>
        <v>339.57749999999999</v>
      </c>
      <c r="I8133" s="39"/>
      <c r="J8133" s="152">
        <v>0</v>
      </c>
      <c r="L8133" s="215">
        <v>1</v>
      </c>
      <c r="M8133" s="30">
        <v>290.67833999999999</v>
      </c>
      <c r="N8133" s="33">
        <f t="shared" si="805"/>
        <v>290.67833999999999</v>
      </c>
      <c r="O8133" s="38">
        <f>SUM(N8133:N8133)</f>
        <v>290.67833999999999</v>
      </c>
      <c r="P8133" s="36" t="str">
        <f t="shared" si="800"/>
        <v/>
      </c>
      <c r="Q8133" s="216">
        <f t="shared" si="801"/>
        <v>0.14400000000000002</v>
      </c>
      <c r="R8133" s="216">
        <f t="shared" si="802"/>
        <v>0.14400000000000002</v>
      </c>
      <c r="S8133" s="217">
        <f t="shared" si="803"/>
        <v>0.14400000000000002</v>
      </c>
    </row>
    <row r="8134" spans="1:19" ht="15.75" hidden="1" thickBot="1" x14ac:dyDescent="0.3">
      <c r="A8134" s="258"/>
      <c r="B8134" s="261"/>
      <c r="C8134" s="54"/>
      <c r="D8134" s="54"/>
      <c r="E8134" s="65"/>
      <c r="F8134" s="66" t="s">
        <v>416</v>
      </c>
      <c r="G8134" s="67" t="str">
        <f t="shared" si="804"/>
        <v/>
      </c>
      <c r="H8134" s="68"/>
      <c r="I8134" s="30"/>
      <c r="J8134" s="152">
        <v>0</v>
      </c>
      <c r="L8134" s="222"/>
      <c r="M8134" s="66"/>
      <c r="N8134" s="67" t="str">
        <f t="shared" si="805"/>
        <v/>
      </c>
      <c r="O8134" s="68"/>
      <c r="P8134" s="36" t="str">
        <f t="shared" si="800"/>
        <v/>
      </c>
      <c r="Q8134" s="216" t="str">
        <f t="shared" si="801"/>
        <v/>
      </c>
      <c r="R8134" s="216" t="str">
        <f t="shared" si="802"/>
        <v/>
      </c>
      <c r="S8134" s="217" t="str">
        <f t="shared" si="803"/>
        <v/>
      </c>
    </row>
    <row r="8135" spans="1:19" ht="15.75" hidden="1" thickBot="1" x14ac:dyDescent="0.3">
      <c r="A8135" s="256" t="s">
        <v>7036</v>
      </c>
      <c r="B8135" s="259" t="str">
        <f>INDEX(Orçamentária!A:B,MATCH(Composições!A8135,Orçamentária!A:A,0),2)</f>
        <v>Luva cobre 79 mm</v>
      </c>
      <c r="C8135" s="40"/>
      <c r="D8135" s="25" t="s">
        <v>16</v>
      </c>
      <c r="E8135" s="26"/>
      <c r="F8135" s="41" t="s">
        <v>416</v>
      </c>
      <c r="G8135" s="27" t="str">
        <f t="shared" si="804"/>
        <v/>
      </c>
      <c r="H8135" s="28"/>
      <c r="I8135" s="29"/>
      <c r="J8135" s="152">
        <v>0</v>
      </c>
      <c r="L8135" s="218"/>
      <c r="M8135" s="41"/>
      <c r="N8135" s="27" t="str">
        <f t="shared" si="805"/>
        <v/>
      </c>
      <c r="O8135" s="28"/>
      <c r="P8135" s="36" t="str">
        <f t="shared" si="800"/>
        <v/>
      </c>
      <c r="Q8135" s="216" t="str">
        <f t="shared" si="801"/>
        <v/>
      </c>
      <c r="R8135" s="216" t="str">
        <f t="shared" si="802"/>
        <v/>
      </c>
      <c r="S8135" s="217" t="str">
        <f t="shared" si="803"/>
        <v/>
      </c>
    </row>
    <row r="8136" spans="1:19" ht="15.75" hidden="1" thickBot="1" x14ac:dyDescent="0.3">
      <c r="A8136" s="257"/>
      <c r="B8136" s="260"/>
      <c r="C8136" s="31"/>
      <c r="D8136" s="31"/>
      <c r="E8136" s="32"/>
      <c r="F8136" s="42" t="s">
        <v>416</v>
      </c>
      <c r="G8136" s="33" t="str">
        <f t="shared" si="804"/>
        <v/>
      </c>
      <c r="H8136" s="34"/>
      <c r="I8136" s="30"/>
      <c r="J8136" s="152">
        <v>0</v>
      </c>
      <c r="L8136" s="219"/>
      <c r="M8136" s="42"/>
      <c r="N8136" s="33" t="str">
        <f t="shared" si="805"/>
        <v/>
      </c>
      <c r="O8136" s="34"/>
      <c r="P8136" s="36" t="str">
        <f t="shared" ref="P8136:P8199" si="806">IF(ISBLANK(L8136),"",IF($E8136&lt;&gt;L8136,"SIM",""))</f>
        <v/>
      </c>
      <c r="Q8136" s="216" t="str">
        <f t="shared" ref="Q8136:Q8199" si="807">IF(M8136="","",1-M8136/$F8136)</f>
        <v/>
      </c>
      <c r="R8136" s="216" t="str">
        <f t="shared" ref="R8136:R8199" si="808">IF(N8136="","",1-N8136/$G8136)</f>
        <v/>
      </c>
      <c r="S8136" s="217" t="str">
        <f t="shared" ref="S8136:S8199" si="809">IF(O8136="","",1-O8136/$H8136)</f>
        <v/>
      </c>
    </row>
    <row r="8137" spans="1:19" ht="26.25" hidden="1" thickBot="1" x14ac:dyDescent="0.3">
      <c r="A8137" s="257"/>
      <c r="B8137" s="260"/>
      <c r="C8137" s="35" t="s">
        <v>8236</v>
      </c>
      <c r="D8137" s="35" t="s">
        <v>213</v>
      </c>
      <c r="E8137" s="36">
        <v>1</v>
      </c>
      <c r="F8137" s="30">
        <v>269.5625</v>
      </c>
      <c r="G8137" s="33">
        <f t="shared" si="804"/>
        <v>269.5625</v>
      </c>
      <c r="H8137" s="38">
        <f>SUM(G8137:G8137)</f>
        <v>269.5625</v>
      </c>
      <c r="I8137" s="39"/>
      <c r="J8137" s="152">
        <v>0</v>
      </c>
      <c r="L8137" s="215">
        <v>1</v>
      </c>
      <c r="M8137" s="30">
        <v>230.74549999999999</v>
      </c>
      <c r="N8137" s="33">
        <f t="shared" si="805"/>
        <v>230.74549999999999</v>
      </c>
      <c r="O8137" s="38">
        <f>SUM(N8137:N8137)</f>
        <v>230.74549999999999</v>
      </c>
      <c r="P8137" s="36" t="str">
        <f t="shared" si="806"/>
        <v/>
      </c>
      <c r="Q8137" s="216">
        <f t="shared" si="807"/>
        <v>0.14400000000000002</v>
      </c>
      <c r="R8137" s="216">
        <f t="shared" si="808"/>
        <v>0.14400000000000002</v>
      </c>
      <c r="S8137" s="217">
        <f t="shared" si="809"/>
        <v>0.14400000000000002</v>
      </c>
    </row>
    <row r="8138" spans="1:19" ht="15.75" hidden="1" thickBot="1" x14ac:dyDescent="0.3">
      <c r="A8138" s="258"/>
      <c r="B8138" s="261"/>
      <c r="C8138" s="54"/>
      <c r="D8138" s="54"/>
      <c r="E8138" s="65"/>
      <c r="F8138" s="66" t="s">
        <v>416</v>
      </c>
      <c r="G8138" s="67" t="str">
        <f t="shared" si="804"/>
        <v/>
      </c>
      <c r="H8138" s="68"/>
      <c r="I8138" s="30"/>
      <c r="J8138" s="152">
        <v>0</v>
      </c>
      <c r="L8138" s="222"/>
      <c r="M8138" s="66"/>
      <c r="N8138" s="67" t="str">
        <f t="shared" si="805"/>
        <v/>
      </c>
      <c r="O8138" s="68"/>
      <c r="P8138" s="36" t="str">
        <f t="shared" si="806"/>
        <v/>
      </c>
      <c r="Q8138" s="216" t="str">
        <f t="shared" si="807"/>
        <v/>
      </c>
      <c r="R8138" s="216" t="str">
        <f t="shared" si="808"/>
        <v/>
      </c>
      <c r="S8138" s="217" t="str">
        <f t="shared" si="809"/>
        <v/>
      </c>
    </row>
    <row r="8139" spans="1:19" ht="15.75" hidden="1" thickBot="1" x14ac:dyDescent="0.3">
      <c r="A8139" s="256" t="s">
        <v>7037</v>
      </c>
      <c r="B8139" s="259" t="str">
        <f>INDEX(Orçamentária!A:B,MATCH(Composições!A8139,Orçamentária!A:A,0),2)</f>
        <v>Tê cobre 79 mm</v>
      </c>
      <c r="C8139" s="40"/>
      <c r="D8139" s="25" t="s">
        <v>16</v>
      </c>
      <c r="E8139" s="26"/>
      <c r="F8139" s="41" t="s">
        <v>416</v>
      </c>
      <c r="G8139" s="27" t="str">
        <f t="shared" si="804"/>
        <v/>
      </c>
      <c r="H8139" s="28"/>
      <c r="I8139" s="29"/>
      <c r="J8139" s="152">
        <v>0</v>
      </c>
      <c r="L8139" s="218"/>
      <c r="M8139" s="41"/>
      <c r="N8139" s="27" t="str">
        <f t="shared" si="805"/>
        <v/>
      </c>
      <c r="O8139" s="28"/>
      <c r="P8139" s="36" t="str">
        <f t="shared" si="806"/>
        <v/>
      </c>
      <c r="Q8139" s="216" t="str">
        <f t="shared" si="807"/>
        <v/>
      </c>
      <c r="R8139" s="216" t="str">
        <f t="shared" si="808"/>
        <v/>
      </c>
      <c r="S8139" s="217" t="str">
        <f t="shared" si="809"/>
        <v/>
      </c>
    </row>
    <row r="8140" spans="1:19" ht="15.75" hidden="1" thickBot="1" x14ac:dyDescent="0.3">
      <c r="A8140" s="257"/>
      <c r="B8140" s="260"/>
      <c r="C8140" s="31"/>
      <c r="D8140" s="31"/>
      <c r="E8140" s="32"/>
      <c r="F8140" s="42" t="s">
        <v>416</v>
      </c>
      <c r="G8140" s="33" t="str">
        <f t="shared" si="804"/>
        <v/>
      </c>
      <c r="H8140" s="34"/>
      <c r="I8140" s="30"/>
      <c r="J8140" s="152">
        <v>0</v>
      </c>
      <c r="L8140" s="219"/>
      <c r="M8140" s="42"/>
      <c r="N8140" s="33" t="str">
        <f t="shared" si="805"/>
        <v/>
      </c>
      <c r="O8140" s="34"/>
      <c r="P8140" s="36" t="str">
        <f t="shared" si="806"/>
        <v/>
      </c>
      <c r="Q8140" s="216" t="str">
        <f t="shared" si="807"/>
        <v/>
      </c>
      <c r="R8140" s="216" t="str">
        <f t="shared" si="808"/>
        <v/>
      </c>
      <c r="S8140" s="217" t="str">
        <f t="shared" si="809"/>
        <v/>
      </c>
    </row>
    <row r="8141" spans="1:19" ht="26.25" hidden="1" thickBot="1" x14ac:dyDescent="0.3">
      <c r="A8141" s="257"/>
      <c r="B8141" s="260"/>
      <c r="C8141" s="35" t="s">
        <v>8400</v>
      </c>
      <c r="D8141" s="35" t="s">
        <v>213</v>
      </c>
      <c r="E8141" s="36">
        <v>1</v>
      </c>
      <c r="F8141" s="30">
        <v>677.16949999999997</v>
      </c>
      <c r="G8141" s="33">
        <f t="shared" si="804"/>
        <v>677.16949999999997</v>
      </c>
      <c r="H8141" s="38">
        <f>SUM(G8141:G8141)</f>
        <v>677.16949999999997</v>
      </c>
      <c r="I8141" s="39"/>
      <c r="J8141" s="152">
        <v>0</v>
      </c>
      <c r="L8141" s="215">
        <v>1</v>
      </c>
      <c r="M8141" s="30">
        <v>579.65709199999992</v>
      </c>
      <c r="N8141" s="33">
        <f t="shared" si="805"/>
        <v>579.65709199999992</v>
      </c>
      <c r="O8141" s="38">
        <f>SUM(N8141:N8141)</f>
        <v>579.65709199999992</v>
      </c>
      <c r="P8141" s="36" t="str">
        <f t="shared" si="806"/>
        <v/>
      </c>
      <c r="Q8141" s="216">
        <f t="shared" si="807"/>
        <v>0.14400000000000013</v>
      </c>
      <c r="R8141" s="216">
        <f t="shared" si="808"/>
        <v>0.14400000000000013</v>
      </c>
      <c r="S8141" s="217">
        <f t="shared" si="809"/>
        <v>0.14400000000000013</v>
      </c>
    </row>
    <row r="8142" spans="1:19" ht="15.75" hidden="1" thickBot="1" x14ac:dyDescent="0.3">
      <c r="A8142" s="258"/>
      <c r="B8142" s="261"/>
      <c r="C8142" s="54"/>
      <c r="D8142" s="54"/>
      <c r="E8142" s="65"/>
      <c r="F8142" s="66" t="s">
        <v>416</v>
      </c>
      <c r="G8142" s="67" t="str">
        <f t="shared" si="804"/>
        <v/>
      </c>
      <c r="H8142" s="68"/>
      <c r="I8142" s="30"/>
      <c r="J8142" s="152">
        <v>0</v>
      </c>
      <c r="L8142" s="222"/>
      <c r="M8142" s="66"/>
      <c r="N8142" s="67" t="str">
        <f t="shared" si="805"/>
        <v/>
      </c>
      <c r="O8142" s="68"/>
      <c r="P8142" s="36" t="str">
        <f t="shared" si="806"/>
        <v/>
      </c>
      <c r="Q8142" s="216" t="str">
        <f t="shared" si="807"/>
        <v/>
      </c>
      <c r="R8142" s="216" t="str">
        <f t="shared" si="808"/>
        <v/>
      </c>
      <c r="S8142" s="217" t="str">
        <f t="shared" si="809"/>
        <v/>
      </c>
    </row>
    <row r="8143" spans="1:19" ht="15.75" hidden="1" thickBot="1" x14ac:dyDescent="0.3">
      <c r="A8143" s="256" t="s">
        <v>7041</v>
      </c>
      <c r="B8143" s="259" t="str">
        <f>INDEX(Orçamentária!A:B,MATCH(Composições!A8143,Orçamentária!A:A,0),2)</f>
        <v>Torneira metal de jardim com bico 1/2”</v>
      </c>
      <c r="C8143" s="40"/>
      <c r="D8143" s="25" t="s">
        <v>16</v>
      </c>
      <c r="E8143" s="26"/>
      <c r="F8143" s="41" t="s">
        <v>416</v>
      </c>
      <c r="G8143" s="27" t="str">
        <f t="shared" si="804"/>
        <v/>
      </c>
      <c r="H8143" s="28"/>
      <c r="I8143" s="29"/>
      <c r="J8143" s="152">
        <v>0</v>
      </c>
      <c r="L8143" s="218"/>
      <c r="M8143" s="41"/>
      <c r="N8143" s="27" t="str">
        <f t="shared" si="805"/>
        <v/>
      </c>
      <c r="O8143" s="28"/>
      <c r="P8143" s="36" t="str">
        <f t="shared" si="806"/>
        <v/>
      </c>
      <c r="Q8143" s="216" t="str">
        <f t="shared" si="807"/>
        <v/>
      </c>
      <c r="R8143" s="216" t="str">
        <f t="shared" si="808"/>
        <v/>
      </c>
      <c r="S8143" s="217" t="str">
        <f t="shared" si="809"/>
        <v/>
      </c>
    </row>
    <row r="8144" spans="1:19" ht="15.75" hidden="1" thickBot="1" x14ac:dyDescent="0.3">
      <c r="A8144" s="257"/>
      <c r="B8144" s="260"/>
      <c r="C8144" s="31"/>
      <c r="D8144" s="31"/>
      <c r="E8144" s="32"/>
      <c r="F8144" s="42" t="s">
        <v>416</v>
      </c>
      <c r="G8144" s="33" t="str">
        <f t="shared" si="804"/>
        <v/>
      </c>
      <c r="H8144" s="34"/>
      <c r="I8144" s="30"/>
      <c r="J8144" s="152">
        <v>0</v>
      </c>
      <c r="L8144" s="219"/>
      <c r="M8144" s="42"/>
      <c r="N8144" s="33" t="str">
        <f t="shared" si="805"/>
        <v/>
      </c>
      <c r="O8144" s="34"/>
      <c r="P8144" s="36" t="str">
        <f t="shared" si="806"/>
        <v/>
      </c>
      <c r="Q8144" s="216" t="str">
        <f t="shared" si="807"/>
        <v/>
      </c>
      <c r="R8144" s="216" t="str">
        <f t="shared" si="808"/>
        <v/>
      </c>
      <c r="S8144" s="217" t="str">
        <f t="shared" si="809"/>
        <v/>
      </c>
    </row>
    <row r="8145" spans="1:19" ht="39" hidden="1" thickBot="1" x14ac:dyDescent="0.3">
      <c r="A8145" s="257"/>
      <c r="B8145" s="260"/>
      <c r="C8145" s="35" t="s">
        <v>8450</v>
      </c>
      <c r="D8145" s="35" t="s">
        <v>213</v>
      </c>
      <c r="E8145" s="36">
        <v>1</v>
      </c>
      <c r="F8145" s="30">
        <v>45.884999999999998</v>
      </c>
      <c r="G8145" s="33">
        <f t="shared" si="804"/>
        <v>45.884999999999998</v>
      </c>
      <c r="H8145" s="38">
        <f>SUM(G8145:G8145)</f>
        <v>45.884999999999998</v>
      </c>
      <c r="I8145" s="39"/>
      <c r="J8145" s="152">
        <v>0</v>
      </c>
      <c r="L8145" s="215">
        <v>1</v>
      </c>
      <c r="M8145" s="30">
        <v>39.277560000000001</v>
      </c>
      <c r="N8145" s="33">
        <f t="shared" si="805"/>
        <v>39.277560000000001</v>
      </c>
      <c r="O8145" s="38">
        <f>SUM(N8145:N8145)</f>
        <v>39.277560000000001</v>
      </c>
      <c r="P8145" s="36" t="str">
        <f t="shared" si="806"/>
        <v/>
      </c>
      <c r="Q8145" s="216">
        <f t="shared" si="807"/>
        <v>0.14399999999999991</v>
      </c>
      <c r="R8145" s="216">
        <f t="shared" si="808"/>
        <v>0.14399999999999991</v>
      </c>
      <c r="S8145" s="217">
        <f t="shared" si="809"/>
        <v>0.14399999999999991</v>
      </c>
    </row>
    <row r="8146" spans="1:19" ht="15.75" hidden="1" thickBot="1" x14ac:dyDescent="0.3">
      <c r="A8146" s="258"/>
      <c r="B8146" s="261"/>
      <c r="C8146" s="54"/>
      <c r="D8146" s="54"/>
      <c r="E8146" s="65"/>
      <c r="F8146" s="66" t="s">
        <v>416</v>
      </c>
      <c r="G8146" s="67" t="str">
        <f t="shared" si="804"/>
        <v/>
      </c>
      <c r="H8146" s="68"/>
      <c r="I8146" s="30"/>
      <c r="J8146" s="152">
        <v>0</v>
      </c>
      <c r="L8146" s="222"/>
      <c r="M8146" s="66"/>
      <c r="N8146" s="67" t="str">
        <f t="shared" si="805"/>
        <v/>
      </c>
      <c r="O8146" s="68"/>
      <c r="P8146" s="36" t="str">
        <f t="shared" si="806"/>
        <v/>
      </c>
      <c r="Q8146" s="216" t="str">
        <f t="shared" si="807"/>
        <v/>
      </c>
      <c r="R8146" s="216" t="str">
        <f t="shared" si="808"/>
        <v/>
      </c>
      <c r="S8146" s="217" t="str">
        <f t="shared" si="809"/>
        <v/>
      </c>
    </row>
    <row r="8147" spans="1:19" ht="15.75" hidden="1" thickBot="1" x14ac:dyDescent="0.3">
      <c r="A8147" s="256" t="s">
        <v>7043</v>
      </c>
      <c r="B8147" s="259" t="str">
        <f>INDEX(Orçamentária!A:B,MATCH(Composições!A8147,Orçamentária!A:A,0),2)</f>
        <v>Niple de aço-carbono galvanizado 1/2”</v>
      </c>
      <c r="C8147" s="40"/>
      <c r="D8147" s="25" t="s">
        <v>16</v>
      </c>
      <c r="E8147" s="26"/>
      <c r="F8147" s="41" t="s">
        <v>416</v>
      </c>
      <c r="G8147" s="27" t="str">
        <f t="shared" si="804"/>
        <v/>
      </c>
      <c r="H8147" s="28"/>
      <c r="I8147" s="29"/>
      <c r="J8147" s="152">
        <v>0</v>
      </c>
      <c r="L8147" s="218"/>
      <c r="M8147" s="41"/>
      <c r="N8147" s="27" t="str">
        <f t="shared" si="805"/>
        <v/>
      </c>
      <c r="O8147" s="28"/>
      <c r="P8147" s="36" t="str">
        <f t="shared" si="806"/>
        <v/>
      </c>
      <c r="Q8147" s="216" t="str">
        <f t="shared" si="807"/>
        <v/>
      </c>
      <c r="R8147" s="216" t="str">
        <f t="shared" si="808"/>
        <v/>
      </c>
      <c r="S8147" s="217" t="str">
        <f t="shared" si="809"/>
        <v/>
      </c>
    </row>
    <row r="8148" spans="1:19" ht="15.75" hidden="1" thickBot="1" x14ac:dyDescent="0.3">
      <c r="A8148" s="257"/>
      <c r="B8148" s="260"/>
      <c r="C8148" s="31"/>
      <c r="D8148" s="31"/>
      <c r="E8148" s="32"/>
      <c r="F8148" s="42" t="s">
        <v>416</v>
      </c>
      <c r="G8148" s="33" t="str">
        <f t="shared" si="804"/>
        <v/>
      </c>
      <c r="H8148" s="34"/>
      <c r="I8148" s="30"/>
      <c r="J8148" s="152">
        <v>0</v>
      </c>
      <c r="L8148" s="219"/>
      <c r="M8148" s="42"/>
      <c r="N8148" s="33" t="str">
        <f t="shared" si="805"/>
        <v/>
      </c>
      <c r="O8148" s="34"/>
      <c r="P8148" s="36" t="str">
        <f t="shared" si="806"/>
        <v/>
      </c>
      <c r="Q8148" s="216" t="str">
        <f t="shared" si="807"/>
        <v/>
      </c>
      <c r="R8148" s="216" t="str">
        <f t="shared" si="808"/>
        <v/>
      </c>
      <c r="S8148" s="217" t="str">
        <f t="shared" si="809"/>
        <v/>
      </c>
    </row>
    <row r="8149" spans="1:19" ht="26.25" hidden="1" thickBot="1" x14ac:dyDescent="0.3">
      <c r="A8149" s="257"/>
      <c r="B8149" s="260"/>
      <c r="C8149" s="35" t="s">
        <v>8300</v>
      </c>
      <c r="D8149" s="35" t="s">
        <v>213</v>
      </c>
      <c r="E8149" s="36">
        <v>1</v>
      </c>
      <c r="F8149" s="30">
        <v>13.727499999999999</v>
      </c>
      <c r="G8149" s="33">
        <f t="shared" si="804"/>
        <v>13.727499999999999</v>
      </c>
      <c r="H8149" s="38">
        <f>SUM(G8149:G8149)</f>
        <v>13.727499999999999</v>
      </c>
      <c r="I8149" s="39"/>
      <c r="J8149" s="152">
        <v>0</v>
      </c>
      <c r="L8149" s="215">
        <v>1</v>
      </c>
      <c r="M8149" s="30">
        <v>11.75074</v>
      </c>
      <c r="N8149" s="33">
        <f t="shared" si="805"/>
        <v>11.75074</v>
      </c>
      <c r="O8149" s="38">
        <f>SUM(N8149:N8149)</f>
        <v>11.75074</v>
      </c>
      <c r="P8149" s="36" t="str">
        <f t="shared" si="806"/>
        <v/>
      </c>
      <c r="Q8149" s="216">
        <f t="shared" si="807"/>
        <v>0.14399999999999991</v>
      </c>
      <c r="R8149" s="216">
        <f t="shared" si="808"/>
        <v>0.14399999999999991</v>
      </c>
      <c r="S8149" s="217">
        <f t="shared" si="809"/>
        <v>0.14399999999999991</v>
      </c>
    </row>
    <row r="8150" spans="1:19" ht="15.75" hidden="1" thickBot="1" x14ac:dyDescent="0.3">
      <c r="A8150" s="258"/>
      <c r="B8150" s="261"/>
      <c r="C8150" s="54"/>
      <c r="D8150" s="54"/>
      <c r="E8150" s="65"/>
      <c r="F8150" s="66" t="s">
        <v>416</v>
      </c>
      <c r="G8150" s="67" t="str">
        <f t="shared" si="804"/>
        <v/>
      </c>
      <c r="H8150" s="68"/>
      <c r="I8150" s="30"/>
      <c r="J8150" s="152">
        <v>0</v>
      </c>
      <c r="L8150" s="222"/>
      <c r="M8150" s="66"/>
      <c r="N8150" s="67" t="str">
        <f t="shared" si="805"/>
        <v/>
      </c>
      <c r="O8150" s="68"/>
      <c r="P8150" s="36" t="str">
        <f t="shared" si="806"/>
        <v/>
      </c>
      <c r="Q8150" s="216" t="str">
        <f t="shared" si="807"/>
        <v/>
      </c>
      <c r="R8150" s="216" t="str">
        <f t="shared" si="808"/>
        <v/>
      </c>
      <c r="S8150" s="217" t="str">
        <f t="shared" si="809"/>
        <v/>
      </c>
    </row>
    <row r="8151" spans="1:19" ht="15.75" hidden="1" thickBot="1" x14ac:dyDescent="0.3">
      <c r="A8151" s="256" t="s">
        <v>7045</v>
      </c>
      <c r="B8151" s="259" t="str">
        <f>INDEX(Orçamentária!A:B,MATCH(Composições!A8151,Orçamentária!A:A,0),2)</f>
        <v>Niple de aço-carbono galvanizado 3/4”</v>
      </c>
      <c r="C8151" s="40"/>
      <c r="D8151" s="25" t="s">
        <v>16</v>
      </c>
      <c r="E8151" s="26"/>
      <c r="F8151" s="41" t="s">
        <v>416</v>
      </c>
      <c r="G8151" s="27" t="str">
        <f t="shared" si="804"/>
        <v/>
      </c>
      <c r="H8151" s="28"/>
      <c r="I8151" s="29"/>
      <c r="J8151" s="152">
        <v>0</v>
      </c>
      <c r="L8151" s="218"/>
      <c r="M8151" s="41"/>
      <c r="N8151" s="27" t="str">
        <f t="shared" si="805"/>
        <v/>
      </c>
      <c r="O8151" s="28"/>
      <c r="P8151" s="36" t="str">
        <f t="shared" si="806"/>
        <v/>
      </c>
      <c r="Q8151" s="216" t="str">
        <f t="shared" si="807"/>
        <v/>
      </c>
      <c r="R8151" s="216" t="str">
        <f t="shared" si="808"/>
        <v/>
      </c>
      <c r="S8151" s="217" t="str">
        <f t="shared" si="809"/>
        <v/>
      </c>
    </row>
    <row r="8152" spans="1:19" ht="15.75" hidden="1" thickBot="1" x14ac:dyDescent="0.3">
      <c r="A8152" s="257"/>
      <c r="B8152" s="260"/>
      <c r="C8152" s="31"/>
      <c r="D8152" s="31"/>
      <c r="E8152" s="32"/>
      <c r="F8152" s="42" t="s">
        <v>416</v>
      </c>
      <c r="G8152" s="33" t="str">
        <f t="shared" si="804"/>
        <v/>
      </c>
      <c r="H8152" s="34"/>
      <c r="I8152" s="30"/>
      <c r="J8152" s="152">
        <v>0</v>
      </c>
      <c r="L8152" s="219"/>
      <c r="M8152" s="42"/>
      <c r="N8152" s="33" t="str">
        <f t="shared" si="805"/>
        <v/>
      </c>
      <c r="O8152" s="34"/>
      <c r="P8152" s="36" t="str">
        <f t="shared" si="806"/>
        <v/>
      </c>
      <c r="Q8152" s="216" t="str">
        <f t="shared" si="807"/>
        <v/>
      </c>
      <c r="R8152" s="216" t="str">
        <f t="shared" si="808"/>
        <v/>
      </c>
      <c r="S8152" s="217" t="str">
        <f t="shared" si="809"/>
        <v/>
      </c>
    </row>
    <row r="8153" spans="1:19" ht="26.25" hidden="1" thickBot="1" x14ac:dyDescent="0.3">
      <c r="A8153" s="257"/>
      <c r="B8153" s="260"/>
      <c r="C8153" s="35" t="s">
        <v>8301</v>
      </c>
      <c r="D8153" s="35" t="s">
        <v>213</v>
      </c>
      <c r="E8153" s="36">
        <v>1</v>
      </c>
      <c r="F8153" s="30">
        <v>17.736499999999999</v>
      </c>
      <c r="G8153" s="33">
        <f t="shared" si="804"/>
        <v>17.736499999999999</v>
      </c>
      <c r="H8153" s="38">
        <f>SUM(G8153:G8153)</f>
        <v>17.736499999999999</v>
      </c>
      <c r="I8153" s="39"/>
      <c r="J8153" s="152">
        <v>0</v>
      </c>
      <c r="L8153" s="215">
        <v>1</v>
      </c>
      <c r="M8153" s="30">
        <v>15.182444</v>
      </c>
      <c r="N8153" s="33">
        <f t="shared" si="805"/>
        <v>15.182444</v>
      </c>
      <c r="O8153" s="38">
        <f>SUM(N8153:N8153)</f>
        <v>15.182444</v>
      </c>
      <c r="P8153" s="36" t="str">
        <f t="shared" si="806"/>
        <v/>
      </c>
      <c r="Q8153" s="216">
        <f t="shared" si="807"/>
        <v>0.14399999999999991</v>
      </c>
      <c r="R8153" s="216">
        <f t="shared" si="808"/>
        <v>0.14399999999999991</v>
      </c>
      <c r="S8153" s="217">
        <f t="shared" si="809"/>
        <v>0.14399999999999991</v>
      </c>
    </row>
    <row r="8154" spans="1:19" ht="15.75" hidden="1" thickBot="1" x14ac:dyDescent="0.3">
      <c r="A8154" s="258"/>
      <c r="B8154" s="261"/>
      <c r="C8154" s="54"/>
      <c r="D8154" s="54"/>
      <c r="E8154" s="65"/>
      <c r="F8154" s="66" t="s">
        <v>416</v>
      </c>
      <c r="G8154" s="67" t="str">
        <f t="shared" si="804"/>
        <v/>
      </c>
      <c r="H8154" s="68"/>
      <c r="I8154" s="30"/>
      <c r="J8154" s="152">
        <v>0</v>
      </c>
      <c r="L8154" s="222"/>
      <c r="M8154" s="66"/>
      <c r="N8154" s="67" t="str">
        <f t="shared" si="805"/>
        <v/>
      </c>
      <c r="O8154" s="68"/>
      <c r="P8154" s="36" t="str">
        <f t="shared" si="806"/>
        <v/>
      </c>
      <c r="Q8154" s="216" t="str">
        <f t="shared" si="807"/>
        <v/>
      </c>
      <c r="R8154" s="216" t="str">
        <f t="shared" si="808"/>
        <v/>
      </c>
      <c r="S8154" s="217" t="str">
        <f t="shared" si="809"/>
        <v/>
      </c>
    </row>
    <row r="8155" spans="1:19" ht="15.75" hidden="1" thickBot="1" x14ac:dyDescent="0.3">
      <c r="A8155" s="256" t="s">
        <v>7047</v>
      </c>
      <c r="B8155" s="259" t="str">
        <f>INDEX(Orçamentária!A:B,MATCH(Composições!A8155,Orçamentária!A:A,0),2)</f>
        <v>Bucha de redução em ferro galvanizado 3/4” x 1/2”</v>
      </c>
      <c r="C8155" s="40"/>
      <c r="D8155" s="25" t="s">
        <v>16</v>
      </c>
      <c r="E8155" s="26"/>
      <c r="F8155" s="41" t="s">
        <v>416</v>
      </c>
      <c r="G8155" s="27" t="str">
        <f t="shared" si="804"/>
        <v/>
      </c>
      <c r="H8155" s="28"/>
      <c r="I8155" s="29"/>
      <c r="J8155" s="152">
        <v>0</v>
      </c>
      <c r="L8155" s="218"/>
      <c r="M8155" s="41"/>
      <c r="N8155" s="27" t="str">
        <f t="shared" si="805"/>
        <v/>
      </c>
      <c r="O8155" s="28"/>
      <c r="P8155" s="36" t="str">
        <f t="shared" si="806"/>
        <v/>
      </c>
      <c r="Q8155" s="216" t="str">
        <f t="shared" si="807"/>
        <v/>
      </c>
      <c r="R8155" s="216" t="str">
        <f t="shared" si="808"/>
        <v/>
      </c>
      <c r="S8155" s="217" t="str">
        <f t="shared" si="809"/>
        <v/>
      </c>
    </row>
    <row r="8156" spans="1:19" ht="15.75" hidden="1" thickBot="1" x14ac:dyDescent="0.3">
      <c r="A8156" s="257"/>
      <c r="B8156" s="260"/>
      <c r="C8156" s="31"/>
      <c r="D8156" s="31"/>
      <c r="E8156" s="32"/>
      <c r="F8156" s="42" t="s">
        <v>416</v>
      </c>
      <c r="G8156" s="33" t="str">
        <f t="shared" si="804"/>
        <v/>
      </c>
      <c r="H8156" s="34"/>
      <c r="I8156" s="30"/>
      <c r="J8156" s="152">
        <v>0</v>
      </c>
      <c r="L8156" s="219"/>
      <c r="M8156" s="42"/>
      <c r="N8156" s="33" t="str">
        <f t="shared" si="805"/>
        <v/>
      </c>
      <c r="O8156" s="34"/>
      <c r="P8156" s="36" t="str">
        <f t="shared" si="806"/>
        <v/>
      </c>
      <c r="Q8156" s="216" t="str">
        <f t="shared" si="807"/>
        <v/>
      </c>
      <c r="R8156" s="216" t="str">
        <f t="shared" si="808"/>
        <v/>
      </c>
      <c r="S8156" s="217" t="str">
        <f t="shared" si="809"/>
        <v/>
      </c>
    </row>
    <row r="8157" spans="1:19" ht="26.25" hidden="1" thickBot="1" x14ac:dyDescent="0.3">
      <c r="A8157" s="257"/>
      <c r="B8157" s="260"/>
      <c r="C8157" s="35" t="s">
        <v>8015</v>
      </c>
      <c r="D8157" s="35" t="s">
        <v>213</v>
      </c>
      <c r="E8157" s="36">
        <v>1</v>
      </c>
      <c r="F8157" s="30">
        <v>6.8780000000000001</v>
      </c>
      <c r="G8157" s="33">
        <f t="shared" si="804"/>
        <v>6.8780000000000001</v>
      </c>
      <c r="H8157" s="38">
        <f>SUM(G8157:G8157)</f>
        <v>6.8780000000000001</v>
      </c>
      <c r="I8157" s="39"/>
      <c r="J8157" s="152">
        <v>0</v>
      </c>
      <c r="L8157" s="215">
        <v>1</v>
      </c>
      <c r="M8157" s="30">
        <v>5.8875679999999999</v>
      </c>
      <c r="N8157" s="33">
        <f t="shared" si="805"/>
        <v>5.8875679999999999</v>
      </c>
      <c r="O8157" s="38">
        <f>SUM(N8157:N8157)</f>
        <v>5.8875679999999999</v>
      </c>
      <c r="P8157" s="36" t="str">
        <f t="shared" si="806"/>
        <v/>
      </c>
      <c r="Q8157" s="216">
        <f t="shared" si="807"/>
        <v>0.14400000000000002</v>
      </c>
      <c r="R8157" s="216">
        <f t="shared" si="808"/>
        <v>0.14400000000000002</v>
      </c>
      <c r="S8157" s="217">
        <f t="shared" si="809"/>
        <v>0.14400000000000002</v>
      </c>
    </row>
    <row r="8158" spans="1:19" ht="15.75" hidden="1" thickBot="1" x14ac:dyDescent="0.3">
      <c r="A8158" s="258"/>
      <c r="B8158" s="261"/>
      <c r="C8158" s="54"/>
      <c r="D8158" s="54"/>
      <c r="E8158" s="65"/>
      <c r="F8158" s="66" t="s">
        <v>416</v>
      </c>
      <c r="G8158" s="67" t="str">
        <f t="shared" si="804"/>
        <v/>
      </c>
      <c r="H8158" s="68"/>
      <c r="I8158" s="30"/>
      <c r="J8158" s="152">
        <v>0</v>
      </c>
      <c r="L8158" s="222"/>
      <c r="M8158" s="66"/>
      <c r="N8158" s="67" t="str">
        <f t="shared" si="805"/>
        <v/>
      </c>
      <c r="O8158" s="68"/>
      <c r="P8158" s="36" t="str">
        <f t="shared" si="806"/>
        <v/>
      </c>
      <c r="Q8158" s="216" t="str">
        <f t="shared" si="807"/>
        <v/>
      </c>
      <c r="R8158" s="216" t="str">
        <f t="shared" si="808"/>
        <v/>
      </c>
      <c r="S8158" s="217" t="str">
        <f t="shared" si="809"/>
        <v/>
      </c>
    </row>
    <row r="8159" spans="1:19" ht="15.75" hidden="1" thickBot="1" x14ac:dyDescent="0.3">
      <c r="A8159" s="256" t="s">
        <v>7048</v>
      </c>
      <c r="B8159" s="259" t="str">
        <f>INDEX(Orçamentária!A:B,MATCH(Composições!A8159,Orçamentária!A:A,0),2)</f>
        <v>Bucha de redução PVC roscável 3/4” x 1/2”</v>
      </c>
      <c r="C8159" s="40"/>
      <c r="D8159" s="25" t="s">
        <v>16</v>
      </c>
      <c r="E8159" s="26"/>
      <c r="F8159" s="41" t="s">
        <v>416</v>
      </c>
      <c r="G8159" s="27" t="str">
        <f t="shared" si="804"/>
        <v/>
      </c>
      <c r="H8159" s="28"/>
      <c r="I8159" s="29"/>
      <c r="J8159" s="152">
        <v>0</v>
      </c>
      <c r="L8159" s="218"/>
      <c r="M8159" s="41"/>
      <c r="N8159" s="27" t="str">
        <f t="shared" si="805"/>
        <v/>
      </c>
      <c r="O8159" s="28"/>
      <c r="P8159" s="36" t="str">
        <f t="shared" si="806"/>
        <v/>
      </c>
      <c r="Q8159" s="216" t="str">
        <f t="shared" si="807"/>
        <v/>
      </c>
      <c r="R8159" s="216" t="str">
        <f t="shared" si="808"/>
        <v/>
      </c>
      <c r="S8159" s="217" t="str">
        <f t="shared" si="809"/>
        <v/>
      </c>
    </row>
    <row r="8160" spans="1:19" ht="15.75" hidden="1" thickBot="1" x14ac:dyDescent="0.3">
      <c r="A8160" s="257"/>
      <c r="B8160" s="260"/>
      <c r="C8160" s="31"/>
      <c r="D8160" s="31"/>
      <c r="E8160" s="32"/>
      <c r="F8160" s="42" t="s">
        <v>416</v>
      </c>
      <c r="G8160" s="33" t="str">
        <f t="shared" si="804"/>
        <v/>
      </c>
      <c r="H8160" s="34"/>
      <c r="I8160" s="30"/>
      <c r="J8160" s="152">
        <v>0</v>
      </c>
      <c r="L8160" s="219"/>
      <c r="M8160" s="42"/>
      <c r="N8160" s="33" t="str">
        <f t="shared" si="805"/>
        <v/>
      </c>
      <c r="O8160" s="34"/>
      <c r="P8160" s="36" t="str">
        <f t="shared" si="806"/>
        <v/>
      </c>
      <c r="Q8160" s="216" t="str">
        <f t="shared" si="807"/>
        <v/>
      </c>
      <c r="R8160" s="216" t="str">
        <f t="shared" si="808"/>
        <v/>
      </c>
      <c r="S8160" s="217" t="str">
        <f t="shared" si="809"/>
        <v/>
      </c>
    </row>
    <row r="8161" spans="1:19" ht="15.75" hidden="1" thickBot="1" x14ac:dyDescent="0.3">
      <c r="A8161" s="257"/>
      <c r="B8161" s="260"/>
      <c r="C8161" s="35" t="s">
        <v>8022</v>
      </c>
      <c r="D8161" s="35" t="s">
        <v>213</v>
      </c>
      <c r="E8161" s="36">
        <v>1</v>
      </c>
      <c r="F8161" s="30">
        <v>1.159</v>
      </c>
      <c r="G8161" s="33">
        <f t="shared" si="804"/>
        <v>1.159</v>
      </c>
      <c r="H8161" s="38">
        <f>SUM(G8161:G8161)</f>
        <v>1.159</v>
      </c>
      <c r="I8161" s="39"/>
      <c r="J8161" s="152">
        <v>0</v>
      </c>
      <c r="L8161" s="215">
        <v>1</v>
      </c>
      <c r="M8161" s="30">
        <v>0.9921040000000001</v>
      </c>
      <c r="N8161" s="33">
        <f t="shared" si="805"/>
        <v>0.9921040000000001</v>
      </c>
      <c r="O8161" s="38">
        <f>SUM(N8161:N8161)</f>
        <v>0.9921040000000001</v>
      </c>
      <c r="P8161" s="36" t="str">
        <f t="shared" si="806"/>
        <v/>
      </c>
      <c r="Q8161" s="216">
        <f t="shared" si="807"/>
        <v>0.14399999999999991</v>
      </c>
      <c r="R8161" s="216">
        <f t="shared" si="808"/>
        <v>0.14399999999999991</v>
      </c>
      <c r="S8161" s="217">
        <f t="shared" si="809"/>
        <v>0.14399999999999991</v>
      </c>
    </row>
    <row r="8162" spans="1:19" ht="15.75" hidden="1" thickBot="1" x14ac:dyDescent="0.3">
      <c r="A8162" s="258"/>
      <c r="B8162" s="261"/>
      <c r="C8162" s="54"/>
      <c r="D8162" s="54"/>
      <c r="E8162" s="65"/>
      <c r="F8162" s="66" t="s">
        <v>416</v>
      </c>
      <c r="G8162" s="67" t="str">
        <f t="shared" si="804"/>
        <v/>
      </c>
      <c r="H8162" s="68"/>
      <c r="I8162" s="30"/>
      <c r="J8162" s="152">
        <v>0</v>
      </c>
      <c r="L8162" s="222"/>
      <c r="M8162" s="66"/>
      <c r="N8162" s="67" t="str">
        <f t="shared" si="805"/>
        <v/>
      </c>
      <c r="O8162" s="68"/>
      <c r="P8162" s="36" t="str">
        <f t="shared" si="806"/>
        <v/>
      </c>
      <c r="Q8162" s="216" t="str">
        <f t="shared" si="807"/>
        <v/>
      </c>
      <c r="R8162" s="216" t="str">
        <f t="shared" si="808"/>
        <v/>
      </c>
      <c r="S8162" s="217" t="str">
        <f t="shared" si="809"/>
        <v/>
      </c>
    </row>
    <row r="8163" spans="1:19" ht="15.75" hidden="1" thickBot="1" x14ac:dyDescent="0.3">
      <c r="A8163" s="256" t="s">
        <v>7049</v>
      </c>
      <c r="B8163" s="259" t="str">
        <f>INDEX(Orçamentária!A:B,MATCH(Composições!A8163,Orçamentária!A:A,0),2)</f>
        <v>Luva de correr PVC roscável 3/4”</v>
      </c>
      <c r="C8163" s="40"/>
      <c r="D8163" s="25" t="s">
        <v>16</v>
      </c>
      <c r="E8163" s="26"/>
      <c r="F8163" s="41" t="s">
        <v>416</v>
      </c>
      <c r="G8163" s="27" t="str">
        <f t="shared" si="804"/>
        <v/>
      </c>
      <c r="H8163" s="28"/>
      <c r="I8163" s="29"/>
      <c r="J8163" s="152">
        <v>0</v>
      </c>
      <c r="L8163" s="218"/>
      <c r="M8163" s="41"/>
      <c r="N8163" s="27" t="str">
        <f t="shared" si="805"/>
        <v/>
      </c>
      <c r="O8163" s="28"/>
      <c r="P8163" s="36" t="str">
        <f t="shared" si="806"/>
        <v/>
      </c>
      <c r="Q8163" s="216" t="str">
        <f t="shared" si="807"/>
        <v/>
      </c>
      <c r="R8163" s="216" t="str">
        <f t="shared" si="808"/>
        <v/>
      </c>
      <c r="S8163" s="217" t="str">
        <f t="shared" si="809"/>
        <v/>
      </c>
    </row>
    <row r="8164" spans="1:19" ht="15.75" hidden="1" thickBot="1" x14ac:dyDescent="0.3">
      <c r="A8164" s="257"/>
      <c r="B8164" s="260"/>
      <c r="C8164" s="31"/>
      <c r="D8164" s="31"/>
      <c r="E8164" s="32"/>
      <c r="F8164" s="42" t="s">
        <v>416</v>
      </c>
      <c r="G8164" s="33" t="str">
        <f t="shared" si="804"/>
        <v/>
      </c>
      <c r="H8164" s="34"/>
      <c r="I8164" s="30"/>
      <c r="J8164" s="152">
        <v>0</v>
      </c>
      <c r="L8164" s="219"/>
      <c r="M8164" s="42"/>
      <c r="N8164" s="33" t="str">
        <f t="shared" si="805"/>
        <v/>
      </c>
      <c r="O8164" s="34"/>
      <c r="P8164" s="36" t="str">
        <f t="shared" si="806"/>
        <v/>
      </c>
      <c r="Q8164" s="216" t="str">
        <f t="shared" si="807"/>
        <v/>
      </c>
      <c r="R8164" s="216" t="str">
        <f t="shared" si="808"/>
        <v/>
      </c>
      <c r="S8164" s="217" t="str">
        <f t="shared" si="809"/>
        <v/>
      </c>
    </row>
    <row r="8165" spans="1:19" ht="26.25" hidden="1" thickBot="1" x14ac:dyDescent="0.3">
      <c r="A8165" s="257"/>
      <c r="B8165" s="260"/>
      <c r="C8165" s="35" t="s">
        <v>8238</v>
      </c>
      <c r="D8165" s="35" t="s">
        <v>213</v>
      </c>
      <c r="E8165" s="36">
        <v>1</v>
      </c>
      <c r="F8165" s="30">
        <v>18.3825</v>
      </c>
      <c r="G8165" s="33">
        <f t="shared" si="804"/>
        <v>18.3825</v>
      </c>
      <c r="H8165" s="38">
        <f>SUM(G8165:G8165)</f>
        <v>18.3825</v>
      </c>
      <c r="I8165" s="39"/>
      <c r="J8165" s="152">
        <v>0</v>
      </c>
      <c r="L8165" s="215">
        <v>1</v>
      </c>
      <c r="M8165" s="30">
        <v>15.735420000000001</v>
      </c>
      <c r="N8165" s="33">
        <f t="shared" si="805"/>
        <v>15.735420000000001</v>
      </c>
      <c r="O8165" s="38">
        <f>SUM(N8165:N8165)</f>
        <v>15.735420000000001</v>
      </c>
      <c r="P8165" s="36" t="str">
        <f t="shared" si="806"/>
        <v/>
      </c>
      <c r="Q8165" s="216">
        <f t="shared" si="807"/>
        <v>0.14399999999999991</v>
      </c>
      <c r="R8165" s="216">
        <f t="shared" si="808"/>
        <v>0.14399999999999991</v>
      </c>
      <c r="S8165" s="217">
        <f t="shared" si="809"/>
        <v>0.14399999999999991</v>
      </c>
    </row>
    <row r="8166" spans="1:19" ht="15.75" hidden="1" thickBot="1" x14ac:dyDescent="0.3">
      <c r="A8166" s="258"/>
      <c r="B8166" s="261"/>
      <c r="C8166" s="54"/>
      <c r="D8166" s="54"/>
      <c r="E8166" s="65"/>
      <c r="F8166" s="66" t="s">
        <v>416</v>
      </c>
      <c r="G8166" s="67" t="str">
        <f t="shared" si="804"/>
        <v/>
      </c>
      <c r="H8166" s="68"/>
      <c r="I8166" s="30"/>
      <c r="J8166" s="152">
        <v>0</v>
      </c>
      <c r="L8166" s="222"/>
      <c r="M8166" s="66"/>
      <c r="N8166" s="67" t="str">
        <f t="shared" si="805"/>
        <v/>
      </c>
      <c r="O8166" s="68"/>
      <c r="P8166" s="36" t="str">
        <f t="shared" si="806"/>
        <v/>
      </c>
      <c r="Q8166" s="216" t="str">
        <f t="shared" si="807"/>
        <v/>
      </c>
      <c r="R8166" s="216" t="str">
        <f t="shared" si="808"/>
        <v/>
      </c>
      <c r="S8166" s="217" t="str">
        <f t="shared" si="809"/>
        <v/>
      </c>
    </row>
    <row r="8167" spans="1:19" ht="15.75" hidden="1" thickBot="1" x14ac:dyDescent="0.3">
      <c r="A8167" s="256" t="s">
        <v>7051</v>
      </c>
      <c r="B8167" s="259" t="str">
        <f>INDEX(Orçamentária!A:B,MATCH(Composições!A8167,Orçamentária!A:A,0),2)</f>
        <v>Luva de correr PVC roscável 1 1/2”</v>
      </c>
      <c r="C8167" s="40"/>
      <c r="D8167" s="25" t="s">
        <v>16</v>
      </c>
      <c r="E8167" s="26"/>
      <c r="F8167" s="41" t="s">
        <v>416</v>
      </c>
      <c r="G8167" s="27" t="str">
        <f t="shared" si="804"/>
        <v/>
      </c>
      <c r="H8167" s="28"/>
      <c r="I8167" s="29"/>
      <c r="J8167" s="152">
        <v>0</v>
      </c>
      <c r="L8167" s="218"/>
      <c r="M8167" s="41"/>
      <c r="N8167" s="27" t="str">
        <f t="shared" si="805"/>
        <v/>
      </c>
      <c r="O8167" s="28"/>
      <c r="P8167" s="36" t="str">
        <f t="shared" si="806"/>
        <v/>
      </c>
      <c r="Q8167" s="216" t="str">
        <f t="shared" si="807"/>
        <v/>
      </c>
      <c r="R8167" s="216" t="str">
        <f t="shared" si="808"/>
        <v/>
      </c>
      <c r="S8167" s="217" t="str">
        <f t="shared" si="809"/>
        <v/>
      </c>
    </row>
    <row r="8168" spans="1:19" ht="15.75" hidden="1" thickBot="1" x14ac:dyDescent="0.3">
      <c r="A8168" s="257"/>
      <c r="B8168" s="260"/>
      <c r="C8168" s="31"/>
      <c r="D8168" s="31"/>
      <c r="E8168" s="32"/>
      <c r="F8168" s="42" t="s">
        <v>416</v>
      </c>
      <c r="G8168" s="33" t="str">
        <f t="shared" si="804"/>
        <v/>
      </c>
      <c r="H8168" s="34"/>
      <c r="I8168" s="30"/>
      <c r="J8168" s="152">
        <v>0</v>
      </c>
      <c r="L8168" s="219"/>
      <c r="M8168" s="42"/>
      <c r="N8168" s="33" t="str">
        <f t="shared" si="805"/>
        <v/>
      </c>
      <c r="O8168" s="34"/>
      <c r="P8168" s="36" t="str">
        <f t="shared" si="806"/>
        <v/>
      </c>
      <c r="Q8168" s="216" t="str">
        <f t="shared" si="807"/>
        <v/>
      </c>
      <c r="R8168" s="216" t="str">
        <f t="shared" si="808"/>
        <v/>
      </c>
      <c r="S8168" s="217" t="str">
        <f t="shared" si="809"/>
        <v/>
      </c>
    </row>
    <row r="8169" spans="1:19" ht="26.25" hidden="1" thickBot="1" x14ac:dyDescent="0.3">
      <c r="A8169" s="257"/>
      <c r="B8169" s="260"/>
      <c r="C8169" s="35" t="s">
        <v>8237</v>
      </c>
      <c r="D8169" s="35" t="s">
        <v>213</v>
      </c>
      <c r="E8169" s="36">
        <v>1</v>
      </c>
      <c r="F8169" s="30">
        <v>46.074999999999996</v>
      </c>
      <c r="G8169" s="33">
        <f t="shared" si="804"/>
        <v>46.074999999999996</v>
      </c>
      <c r="H8169" s="38">
        <f>SUM(G8169:G8169)</f>
        <v>46.074999999999996</v>
      </c>
      <c r="I8169" s="39"/>
      <c r="J8169" s="152">
        <v>0</v>
      </c>
      <c r="L8169" s="215">
        <v>1</v>
      </c>
      <c r="M8169" s="30">
        <v>39.440199999999997</v>
      </c>
      <c r="N8169" s="33">
        <f t="shared" si="805"/>
        <v>39.440199999999997</v>
      </c>
      <c r="O8169" s="38">
        <f>SUM(N8169:N8169)</f>
        <v>39.440199999999997</v>
      </c>
      <c r="P8169" s="36" t="str">
        <f t="shared" si="806"/>
        <v/>
      </c>
      <c r="Q8169" s="216">
        <f t="shared" si="807"/>
        <v>0.14400000000000002</v>
      </c>
      <c r="R8169" s="216">
        <f t="shared" si="808"/>
        <v>0.14400000000000002</v>
      </c>
      <c r="S8169" s="217">
        <f t="shared" si="809"/>
        <v>0.14400000000000002</v>
      </c>
    </row>
    <row r="8170" spans="1:19" ht="15.75" hidden="1" thickBot="1" x14ac:dyDescent="0.3">
      <c r="A8170" s="258"/>
      <c r="B8170" s="261"/>
      <c r="C8170" s="54"/>
      <c r="D8170" s="54"/>
      <c r="E8170" s="65"/>
      <c r="F8170" s="66" t="s">
        <v>416</v>
      </c>
      <c r="G8170" s="67" t="str">
        <f t="shared" si="804"/>
        <v/>
      </c>
      <c r="H8170" s="68"/>
      <c r="I8170" s="30"/>
      <c r="J8170" s="152">
        <v>0</v>
      </c>
      <c r="L8170" s="222"/>
      <c r="M8170" s="66"/>
      <c r="N8170" s="67" t="str">
        <f t="shared" si="805"/>
        <v/>
      </c>
      <c r="O8170" s="68"/>
      <c r="P8170" s="36" t="str">
        <f t="shared" si="806"/>
        <v/>
      </c>
      <c r="Q8170" s="216" t="str">
        <f t="shared" si="807"/>
        <v/>
      </c>
      <c r="R8170" s="216" t="str">
        <f t="shared" si="808"/>
        <v/>
      </c>
      <c r="S8170" s="217" t="str">
        <f t="shared" si="809"/>
        <v/>
      </c>
    </row>
    <row r="8171" spans="1:19" ht="15.75" hidden="1" thickBot="1" x14ac:dyDescent="0.3">
      <c r="A8171" s="256" t="s">
        <v>7055</v>
      </c>
      <c r="B8171" s="259" t="str">
        <f>INDEX(Orçamentária!A:B,MATCH(Composições!A8171,Orçamentária!A:A,0),2)</f>
        <v>Luva de correr CPVC 22 mm – Linha Residencial</v>
      </c>
      <c r="C8171" s="40"/>
      <c r="D8171" s="25" t="s">
        <v>16</v>
      </c>
      <c r="E8171" s="26"/>
      <c r="F8171" s="41" t="s">
        <v>416</v>
      </c>
      <c r="G8171" s="27" t="str">
        <f t="shared" si="804"/>
        <v/>
      </c>
      <c r="H8171" s="28"/>
      <c r="I8171" s="29"/>
      <c r="J8171" s="152">
        <v>0</v>
      </c>
      <c r="L8171" s="218"/>
      <c r="M8171" s="41"/>
      <c r="N8171" s="27" t="str">
        <f t="shared" si="805"/>
        <v/>
      </c>
      <c r="O8171" s="28"/>
      <c r="P8171" s="36" t="str">
        <f t="shared" si="806"/>
        <v/>
      </c>
      <c r="Q8171" s="216" t="str">
        <f t="shared" si="807"/>
        <v/>
      </c>
      <c r="R8171" s="216" t="str">
        <f t="shared" si="808"/>
        <v/>
      </c>
      <c r="S8171" s="217" t="str">
        <f t="shared" si="809"/>
        <v/>
      </c>
    </row>
    <row r="8172" spans="1:19" ht="15.75" hidden="1" thickBot="1" x14ac:dyDescent="0.3">
      <c r="A8172" s="257"/>
      <c r="B8172" s="260"/>
      <c r="C8172" s="31"/>
      <c r="D8172" s="31"/>
      <c r="E8172" s="32"/>
      <c r="F8172" s="42" t="s">
        <v>416</v>
      </c>
      <c r="G8172" s="33" t="str">
        <f t="shared" si="804"/>
        <v/>
      </c>
      <c r="H8172" s="34"/>
      <c r="I8172" s="30"/>
      <c r="J8172" s="152">
        <v>0</v>
      </c>
      <c r="L8172" s="219"/>
      <c r="M8172" s="42"/>
      <c r="N8172" s="33" t="str">
        <f t="shared" si="805"/>
        <v/>
      </c>
      <c r="O8172" s="34"/>
      <c r="P8172" s="36" t="str">
        <f t="shared" si="806"/>
        <v/>
      </c>
      <c r="Q8172" s="216" t="str">
        <f t="shared" si="807"/>
        <v/>
      </c>
      <c r="R8172" s="216" t="str">
        <f t="shared" si="808"/>
        <v/>
      </c>
      <c r="S8172" s="217" t="str">
        <f t="shared" si="809"/>
        <v/>
      </c>
    </row>
    <row r="8173" spans="1:19" ht="26.25" hidden="1" thickBot="1" x14ac:dyDescent="0.3">
      <c r="A8173" s="257"/>
      <c r="B8173" s="260"/>
      <c r="C8173" s="35" t="s">
        <v>8244</v>
      </c>
      <c r="D8173" s="35" t="s">
        <v>213</v>
      </c>
      <c r="E8173" s="36">
        <v>1</v>
      </c>
      <c r="F8173" s="30">
        <v>6.9349999999999996</v>
      </c>
      <c r="G8173" s="33">
        <f t="shared" si="804"/>
        <v>6.9349999999999996</v>
      </c>
      <c r="H8173" s="38">
        <f>SUM(G8173:G8173)</f>
        <v>6.9349999999999996</v>
      </c>
      <c r="I8173" s="39"/>
      <c r="J8173" s="152">
        <v>0</v>
      </c>
      <c r="L8173" s="215">
        <v>1</v>
      </c>
      <c r="M8173" s="30">
        <v>5.9363599999999996</v>
      </c>
      <c r="N8173" s="33">
        <f t="shared" si="805"/>
        <v>5.9363599999999996</v>
      </c>
      <c r="O8173" s="38">
        <f>SUM(N8173:N8173)</f>
        <v>5.9363599999999996</v>
      </c>
      <c r="P8173" s="36" t="str">
        <f t="shared" si="806"/>
        <v/>
      </c>
      <c r="Q8173" s="216">
        <f t="shared" si="807"/>
        <v>0.14400000000000002</v>
      </c>
      <c r="R8173" s="216">
        <f t="shared" si="808"/>
        <v>0.14400000000000002</v>
      </c>
      <c r="S8173" s="217">
        <f t="shared" si="809"/>
        <v>0.14400000000000002</v>
      </c>
    </row>
    <row r="8174" spans="1:19" ht="15.75" hidden="1" thickBot="1" x14ac:dyDescent="0.3">
      <c r="A8174" s="258"/>
      <c r="B8174" s="261"/>
      <c r="C8174" s="54"/>
      <c r="D8174" s="54"/>
      <c r="E8174" s="65"/>
      <c r="F8174" s="66" t="s">
        <v>416</v>
      </c>
      <c r="G8174" s="67" t="str">
        <f t="shared" si="804"/>
        <v/>
      </c>
      <c r="H8174" s="68"/>
      <c r="I8174" s="30"/>
      <c r="J8174" s="152">
        <v>0</v>
      </c>
      <c r="L8174" s="222"/>
      <c r="M8174" s="66"/>
      <c r="N8174" s="67" t="str">
        <f t="shared" si="805"/>
        <v/>
      </c>
      <c r="O8174" s="68"/>
      <c r="P8174" s="36" t="str">
        <f t="shared" si="806"/>
        <v/>
      </c>
      <c r="Q8174" s="216" t="str">
        <f t="shared" si="807"/>
        <v/>
      </c>
      <c r="R8174" s="216" t="str">
        <f t="shared" si="808"/>
        <v/>
      </c>
      <c r="S8174" s="217" t="str">
        <f t="shared" si="809"/>
        <v/>
      </c>
    </row>
    <row r="8175" spans="1:19" ht="15.75" hidden="1" thickBot="1" x14ac:dyDescent="0.3">
      <c r="A8175" s="256" t="s">
        <v>7056</v>
      </c>
      <c r="B8175" s="259" t="str">
        <f>INDEX(Orçamentária!A:B,MATCH(Composições!A8175,Orçamentária!A:A,0),2)</f>
        <v>Luva de correr CPVC 28 mm – Linha Residencial</v>
      </c>
      <c r="C8175" s="40"/>
      <c r="D8175" s="25" t="s">
        <v>16</v>
      </c>
      <c r="E8175" s="26"/>
      <c r="F8175" s="41" t="s">
        <v>416</v>
      </c>
      <c r="G8175" s="27" t="str">
        <f t="shared" si="804"/>
        <v/>
      </c>
      <c r="H8175" s="28"/>
      <c r="I8175" s="29"/>
      <c r="J8175" s="152">
        <v>0</v>
      </c>
      <c r="L8175" s="218"/>
      <c r="M8175" s="41"/>
      <c r="N8175" s="27" t="str">
        <f t="shared" si="805"/>
        <v/>
      </c>
      <c r="O8175" s="28"/>
      <c r="P8175" s="36" t="str">
        <f t="shared" si="806"/>
        <v/>
      </c>
      <c r="Q8175" s="216" t="str">
        <f t="shared" si="807"/>
        <v/>
      </c>
      <c r="R8175" s="216" t="str">
        <f t="shared" si="808"/>
        <v/>
      </c>
      <c r="S8175" s="217" t="str">
        <f t="shared" si="809"/>
        <v/>
      </c>
    </row>
    <row r="8176" spans="1:19" ht="15.75" hidden="1" thickBot="1" x14ac:dyDescent="0.3">
      <c r="A8176" s="257"/>
      <c r="B8176" s="260"/>
      <c r="C8176" s="31"/>
      <c r="D8176" s="31"/>
      <c r="E8176" s="32"/>
      <c r="F8176" s="42" t="s">
        <v>416</v>
      </c>
      <c r="G8176" s="33" t="str">
        <f t="shared" si="804"/>
        <v/>
      </c>
      <c r="H8176" s="34"/>
      <c r="I8176" s="30"/>
      <c r="J8176" s="152">
        <v>0</v>
      </c>
      <c r="L8176" s="219"/>
      <c r="M8176" s="42"/>
      <c r="N8176" s="33" t="str">
        <f t="shared" si="805"/>
        <v/>
      </c>
      <c r="O8176" s="34"/>
      <c r="P8176" s="36" t="str">
        <f t="shared" si="806"/>
        <v/>
      </c>
      <c r="Q8176" s="216" t="str">
        <f t="shared" si="807"/>
        <v/>
      </c>
      <c r="R8176" s="216" t="str">
        <f t="shared" si="808"/>
        <v/>
      </c>
      <c r="S8176" s="217" t="str">
        <f t="shared" si="809"/>
        <v/>
      </c>
    </row>
    <row r="8177" spans="1:19" ht="26.25" hidden="1" thickBot="1" x14ac:dyDescent="0.3">
      <c r="A8177" s="257"/>
      <c r="B8177" s="260"/>
      <c r="C8177" s="35" t="s">
        <v>8245</v>
      </c>
      <c r="D8177" s="35" t="s">
        <v>213</v>
      </c>
      <c r="E8177" s="36">
        <v>1</v>
      </c>
      <c r="F8177" s="30">
        <v>10.250499999999999</v>
      </c>
      <c r="G8177" s="33">
        <f t="shared" si="804"/>
        <v>10.250499999999999</v>
      </c>
      <c r="H8177" s="38">
        <f>SUM(G8177:G8177)</f>
        <v>10.250499999999999</v>
      </c>
      <c r="I8177" s="39"/>
      <c r="J8177" s="152">
        <v>0</v>
      </c>
      <c r="L8177" s="215">
        <v>1</v>
      </c>
      <c r="M8177" s="30">
        <v>8.7744279999999986</v>
      </c>
      <c r="N8177" s="33">
        <f t="shared" si="805"/>
        <v>8.7744279999999986</v>
      </c>
      <c r="O8177" s="38">
        <f>SUM(N8177:N8177)</f>
        <v>8.7744279999999986</v>
      </c>
      <c r="P8177" s="36" t="str">
        <f t="shared" si="806"/>
        <v/>
      </c>
      <c r="Q8177" s="216">
        <f t="shared" si="807"/>
        <v>0.14400000000000002</v>
      </c>
      <c r="R8177" s="216">
        <f t="shared" si="808"/>
        <v>0.14400000000000002</v>
      </c>
      <c r="S8177" s="217">
        <f t="shared" si="809"/>
        <v>0.14400000000000002</v>
      </c>
    </row>
    <row r="8178" spans="1:19" ht="15.75" hidden="1" thickBot="1" x14ac:dyDescent="0.3">
      <c r="A8178" s="258"/>
      <c r="B8178" s="261"/>
      <c r="C8178" s="54"/>
      <c r="D8178" s="54"/>
      <c r="E8178" s="65"/>
      <c r="F8178" s="66" t="s">
        <v>416</v>
      </c>
      <c r="G8178" s="67" t="str">
        <f t="shared" si="804"/>
        <v/>
      </c>
      <c r="H8178" s="68"/>
      <c r="I8178" s="30"/>
      <c r="J8178" s="152">
        <v>0</v>
      </c>
      <c r="L8178" s="222"/>
      <c r="M8178" s="66"/>
      <c r="N8178" s="67" t="str">
        <f t="shared" si="805"/>
        <v/>
      </c>
      <c r="O8178" s="68"/>
      <c r="P8178" s="36" t="str">
        <f t="shared" si="806"/>
        <v/>
      </c>
      <c r="Q8178" s="216" t="str">
        <f t="shared" si="807"/>
        <v/>
      </c>
      <c r="R8178" s="216" t="str">
        <f t="shared" si="808"/>
        <v/>
      </c>
      <c r="S8178" s="217" t="str">
        <f t="shared" si="809"/>
        <v/>
      </c>
    </row>
    <row r="8179" spans="1:19" ht="15.75" hidden="1" thickBot="1" x14ac:dyDescent="0.3">
      <c r="A8179" s="256" t="s">
        <v>7069</v>
      </c>
      <c r="B8179" s="259" t="str">
        <f>INDEX(Orçamentária!A:B,MATCH(Composições!A8179,Orçamentária!A:A,0),2)</f>
        <v>Vidro temperado incolor com 6 mm de espessura</v>
      </c>
      <c r="C8179" s="40"/>
      <c r="D8179" s="25" t="s">
        <v>70</v>
      </c>
      <c r="E8179" s="26"/>
      <c r="F8179" s="41" t="s">
        <v>416</v>
      </c>
      <c r="G8179" s="27" t="str">
        <f t="shared" si="804"/>
        <v/>
      </c>
      <c r="H8179" s="28"/>
      <c r="I8179" s="29"/>
      <c r="J8179" s="152">
        <v>0</v>
      </c>
      <c r="L8179" s="218"/>
      <c r="M8179" s="41"/>
      <c r="N8179" s="27" t="str">
        <f t="shared" si="805"/>
        <v/>
      </c>
      <c r="O8179" s="28"/>
      <c r="P8179" s="36" t="str">
        <f t="shared" si="806"/>
        <v/>
      </c>
      <c r="Q8179" s="216" t="str">
        <f t="shared" si="807"/>
        <v/>
      </c>
      <c r="R8179" s="216" t="str">
        <f t="shared" si="808"/>
        <v/>
      </c>
      <c r="S8179" s="217" t="str">
        <f t="shared" si="809"/>
        <v/>
      </c>
    </row>
    <row r="8180" spans="1:19" ht="15.75" hidden="1" thickBot="1" x14ac:dyDescent="0.3">
      <c r="A8180" s="257"/>
      <c r="B8180" s="260"/>
      <c r="C8180" s="31"/>
      <c r="D8180" s="31"/>
      <c r="E8180" s="32"/>
      <c r="F8180" s="42" t="s">
        <v>416</v>
      </c>
      <c r="G8180" s="33" t="str">
        <f t="shared" si="804"/>
        <v/>
      </c>
      <c r="H8180" s="34"/>
      <c r="I8180" s="30"/>
      <c r="J8180" s="152">
        <v>0</v>
      </c>
      <c r="L8180" s="219"/>
      <c r="M8180" s="42"/>
      <c r="N8180" s="33" t="str">
        <f t="shared" si="805"/>
        <v/>
      </c>
      <c r="O8180" s="34"/>
      <c r="P8180" s="36" t="str">
        <f t="shared" si="806"/>
        <v/>
      </c>
      <c r="Q8180" s="216" t="str">
        <f t="shared" si="807"/>
        <v/>
      </c>
      <c r="R8180" s="216" t="str">
        <f t="shared" si="808"/>
        <v/>
      </c>
      <c r="S8180" s="217" t="str">
        <f t="shared" si="809"/>
        <v/>
      </c>
    </row>
    <row r="8181" spans="1:19" ht="15.75" hidden="1" thickBot="1" x14ac:dyDescent="0.3">
      <c r="A8181" s="257"/>
      <c r="B8181" s="260"/>
      <c r="C8181" s="35" t="s">
        <v>8506</v>
      </c>
      <c r="D8181" s="35" t="s">
        <v>861</v>
      </c>
      <c r="E8181" s="36">
        <v>1</v>
      </c>
      <c r="F8181" s="30">
        <v>121.78999999999998</v>
      </c>
      <c r="G8181" s="33">
        <f t="shared" si="804"/>
        <v>121.78999999999998</v>
      </c>
      <c r="H8181" s="38">
        <f>SUM(G8181:G8187)</f>
        <v>248.84394999999998</v>
      </c>
      <c r="I8181" s="39"/>
      <c r="J8181" s="152">
        <v>0</v>
      </c>
      <c r="L8181" s="215">
        <v>1</v>
      </c>
      <c r="M8181" s="30">
        <v>104.25223999999999</v>
      </c>
      <c r="N8181" s="33">
        <f t="shared" si="805"/>
        <v>104.25223999999999</v>
      </c>
      <c r="O8181" s="38">
        <f>SUM(N8181:N8187)</f>
        <v>213.01042119999994</v>
      </c>
      <c r="P8181" s="36" t="str">
        <f t="shared" si="806"/>
        <v/>
      </c>
      <c r="Q8181" s="216">
        <f t="shared" si="807"/>
        <v>0.14399999999999991</v>
      </c>
      <c r="R8181" s="216">
        <f t="shared" si="808"/>
        <v>0.14399999999999991</v>
      </c>
      <c r="S8181" s="217">
        <f t="shared" si="809"/>
        <v>0.14400000000000013</v>
      </c>
    </row>
    <row r="8182" spans="1:19" ht="39" hidden="1" thickBot="1" x14ac:dyDescent="0.3">
      <c r="A8182" s="257"/>
      <c r="B8182" s="260"/>
      <c r="C8182" s="35" t="s">
        <v>8010</v>
      </c>
      <c r="D8182" s="35" t="s">
        <v>213</v>
      </c>
      <c r="E8182" s="36">
        <v>2.1960000000000002</v>
      </c>
      <c r="F8182" s="30">
        <v>0.3705</v>
      </c>
      <c r="G8182" s="33">
        <f t="shared" si="804"/>
        <v>0.81361800000000006</v>
      </c>
      <c r="H8182" s="34"/>
      <c r="I8182" s="39"/>
      <c r="J8182" s="152">
        <v>0</v>
      </c>
      <c r="L8182" s="215">
        <v>2.1960000000000002</v>
      </c>
      <c r="M8182" s="30">
        <v>0.31714799999999999</v>
      </c>
      <c r="N8182" s="33">
        <f t="shared" si="805"/>
        <v>0.69645700799999999</v>
      </c>
      <c r="O8182" s="34"/>
      <c r="P8182" s="36" t="str">
        <f t="shared" si="806"/>
        <v/>
      </c>
      <c r="Q8182" s="216">
        <f t="shared" si="807"/>
        <v>0.14400000000000002</v>
      </c>
      <c r="R8182" s="216">
        <f t="shared" si="808"/>
        <v>0.14400000000000013</v>
      </c>
      <c r="S8182" s="217" t="str">
        <f t="shared" si="809"/>
        <v/>
      </c>
    </row>
    <row r="8183" spans="1:19" ht="15.75" hidden="1" thickBot="1" x14ac:dyDescent="0.3">
      <c r="A8183" s="257"/>
      <c r="B8183" s="260"/>
      <c r="C8183" s="35" t="s">
        <v>709</v>
      </c>
      <c r="D8183" s="35" t="s">
        <v>773</v>
      </c>
      <c r="E8183" s="36">
        <v>0.96399999999999997</v>
      </c>
      <c r="F8183" s="30">
        <v>39.063999999999993</v>
      </c>
      <c r="G8183" s="33">
        <f t="shared" si="804"/>
        <v>37.657695999999994</v>
      </c>
      <c r="H8183" s="34"/>
      <c r="I8183" s="39"/>
      <c r="J8183" s="152">
        <v>0</v>
      </c>
      <c r="L8183" s="215">
        <v>0.96399999999999997</v>
      </c>
      <c r="M8183" s="30">
        <v>33.438783999999998</v>
      </c>
      <c r="N8183" s="33">
        <f t="shared" si="805"/>
        <v>32.234987775999997</v>
      </c>
      <c r="O8183" s="34"/>
      <c r="P8183" s="36" t="str">
        <f t="shared" si="806"/>
        <v/>
      </c>
      <c r="Q8183" s="216">
        <f t="shared" si="807"/>
        <v>0.14399999999999991</v>
      </c>
      <c r="R8183" s="216">
        <f t="shared" si="808"/>
        <v>0.14399999999999991</v>
      </c>
      <c r="S8183" s="217" t="str">
        <f t="shared" si="809"/>
        <v/>
      </c>
    </row>
    <row r="8184" spans="1:19" ht="26.25" hidden="1" thickBot="1" x14ac:dyDescent="0.3">
      <c r="A8184" s="257"/>
      <c r="B8184" s="260"/>
      <c r="C8184" s="35" t="s">
        <v>8168</v>
      </c>
      <c r="D8184" s="35" t="s">
        <v>385</v>
      </c>
      <c r="E8184" s="36">
        <v>2.992</v>
      </c>
      <c r="F8184" s="30">
        <v>2.4319999999999999</v>
      </c>
      <c r="G8184" s="33">
        <f t="shared" si="804"/>
        <v>7.2765439999999995</v>
      </c>
      <c r="H8184" s="34"/>
      <c r="I8184" s="39"/>
      <c r="J8184" s="152">
        <v>0</v>
      </c>
      <c r="L8184" s="215">
        <v>2.992</v>
      </c>
      <c r="M8184" s="30">
        <v>2.0817920000000001</v>
      </c>
      <c r="N8184" s="33">
        <f t="shared" si="805"/>
        <v>6.228721664</v>
      </c>
      <c r="O8184" s="34"/>
      <c r="P8184" s="36" t="str">
        <f t="shared" si="806"/>
        <v/>
      </c>
      <c r="Q8184" s="216">
        <f t="shared" si="807"/>
        <v>0.14399999999999991</v>
      </c>
      <c r="R8184" s="216">
        <f t="shared" si="808"/>
        <v>0.14399999999999991</v>
      </c>
      <c r="S8184" s="217" t="str">
        <f t="shared" si="809"/>
        <v/>
      </c>
    </row>
    <row r="8185" spans="1:19" ht="15.75" hidden="1" thickBot="1" x14ac:dyDescent="0.3">
      <c r="A8185" s="257"/>
      <c r="B8185" s="260"/>
      <c r="C8185" s="35" t="s">
        <v>8373</v>
      </c>
      <c r="D8185" s="35" t="s">
        <v>213</v>
      </c>
      <c r="E8185" s="36">
        <v>0.39700000000000002</v>
      </c>
      <c r="F8185" s="30">
        <v>26.125</v>
      </c>
      <c r="G8185" s="33">
        <f t="shared" si="804"/>
        <v>10.371625</v>
      </c>
      <c r="H8185" s="34"/>
      <c r="I8185" s="39"/>
      <c r="J8185" s="152">
        <v>0</v>
      </c>
      <c r="L8185" s="215">
        <v>0.39700000000000002</v>
      </c>
      <c r="M8185" s="30">
        <v>22.363</v>
      </c>
      <c r="N8185" s="33">
        <f t="shared" si="805"/>
        <v>8.8781110000000005</v>
      </c>
      <c r="O8185" s="34"/>
      <c r="P8185" s="36" t="str">
        <f t="shared" si="806"/>
        <v/>
      </c>
      <c r="Q8185" s="216">
        <f t="shared" si="807"/>
        <v>0.14400000000000002</v>
      </c>
      <c r="R8185" s="216">
        <f t="shared" si="808"/>
        <v>0.14399999999999991</v>
      </c>
      <c r="S8185" s="217" t="str">
        <f t="shared" si="809"/>
        <v/>
      </c>
    </row>
    <row r="8186" spans="1:19" ht="15.75" hidden="1" thickBot="1" x14ac:dyDescent="0.3">
      <c r="A8186" s="257"/>
      <c r="B8186" s="260"/>
      <c r="C8186" s="35" t="s">
        <v>584</v>
      </c>
      <c r="D8186" s="35" t="s">
        <v>583</v>
      </c>
      <c r="E8186" s="36">
        <v>1.542</v>
      </c>
      <c r="F8186" s="30">
        <v>20.225499999999997</v>
      </c>
      <c r="G8186" s="33">
        <f t="shared" si="804"/>
        <v>31.187720999999996</v>
      </c>
      <c r="H8186" s="34"/>
      <c r="I8186" s="39"/>
      <c r="J8186" s="152">
        <v>0</v>
      </c>
      <c r="L8186" s="215">
        <v>1.542</v>
      </c>
      <c r="M8186" s="30">
        <v>17.313027999999996</v>
      </c>
      <c r="N8186" s="33">
        <f t="shared" si="805"/>
        <v>26.696689175999992</v>
      </c>
      <c r="O8186" s="34"/>
      <c r="P8186" s="36" t="str">
        <f t="shared" si="806"/>
        <v/>
      </c>
      <c r="Q8186" s="216">
        <f t="shared" si="807"/>
        <v>0.14400000000000013</v>
      </c>
      <c r="R8186" s="216">
        <f t="shared" si="808"/>
        <v>0.14400000000000013</v>
      </c>
      <c r="S8186" s="217" t="str">
        <f t="shared" si="809"/>
        <v/>
      </c>
    </row>
    <row r="8187" spans="1:19" ht="15.75" hidden="1" thickBot="1" x14ac:dyDescent="0.3">
      <c r="A8187" s="257"/>
      <c r="B8187" s="260"/>
      <c r="C8187" s="35" t="s">
        <v>2909</v>
      </c>
      <c r="D8187" s="35" t="s">
        <v>583</v>
      </c>
      <c r="E8187" s="36">
        <v>1.5860000000000001</v>
      </c>
      <c r="F8187" s="30">
        <v>25.060999999999996</v>
      </c>
      <c r="G8187" s="33">
        <f t="shared" si="804"/>
        <v>39.746745999999995</v>
      </c>
      <c r="H8187" s="34"/>
      <c r="I8187" s="39"/>
      <c r="J8187" s="152">
        <v>0</v>
      </c>
      <c r="L8187" s="215">
        <v>1.5860000000000001</v>
      </c>
      <c r="M8187" s="30">
        <v>21.452215999999996</v>
      </c>
      <c r="N8187" s="33">
        <f t="shared" si="805"/>
        <v>34.023214575999994</v>
      </c>
      <c r="O8187" s="34"/>
      <c r="P8187" s="36" t="str">
        <f t="shared" si="806"/>
        <v/>
      </c>
      <c r="Q8187" s="216">
        <f t="shared" si="807"/>
        <v>0.14400000000000002</v>
      </c>
      <c r="R8187" s="216">
        <f t="shared" si="808"/>
        <v>0.14400000000000002</v>
      </c>
      <c r="S8187" s="217" t="str">
        <f t="shared" si="809"/>
        <v/>
      </c>
    </row>
    <row r="8188" spans="1:19" ht="15.75" hidden="1" thickBot="1" x14ac:dyDescent="0.3">
      <c r="A8188" s="258"/>
      <c r="B8188" s="261"/>
      <c r="C8188" s="54"/>
      <c r="D8188" s="54"/>
      <c r="E8188" s="65"/>
      <c r="F8188" s="66" t="s">
        <v>416</v>
      </c>
      <c r="G8188" s="67" t="str">
        <f t="shared" si="804"/>
        <v/>
      </c>
      <c r="H8188" s="68"/>
      <c r="I8188" s="30"/>
      <c r="J8188" s="152">
        <v>0</v>
      </c>
      <c r="L8188" s="222"/>
      <c r="M8188" s="66"/>
      <c r="N8188" s="67" t="str">
        <f t="shared" si="805"/>
        <v/>
      </c>
      <c r="O8188" s="68"/>
      <c r="P8188" s="36" t="str">
        <f t="shared" si="806"/>
        <v/>
      </c>
      <c r="Q8188" s="216" t="str">
        <f t="shared" si="807"/>
        <v/>
      </c>
      <c r="R8188" s="216" t="str">
        <f t="shared" si="808"/>
        <v/>
      </c>
      <c r="S8188" s="217" t="str">
        <f t="shared" si="809"/>
        <v/>
      </c>
    </row>
    <row r="8189" spans="1:19" ht="15.75" hidden="1" thickBot="1" x14ac:dyDescent="0.3">
      <c r="A8189" s="256" t="s">
        <v>7070</v>
      </c>
      <c r="B8189" s="259" t="str">
        <f>INDEX(Orçamentária!A:B,MATCH(Composições!A8189,Orçamentária!A:A,0),2)</f>
        <v>Vidro temperado incolor com 6 mm de espessura, tipo JUMBO</v>
      </c>
      <c r="C8189" s="40"/>
      <c r="D8189" s="25" t="s">
        <v>70</v>
      </c>
      <c r="E8189" s="26"/>
      <c r="F8189" s="41" t="s">
        <v>416</v>
      </c>
      <c r="G8189" s="27" t="str">
        <f t="shared" si="804"/>
        <v/>
      </c>
      <c r="H8189" s="28"/>
      <c r="I8189" s="29"/>
      <c r="J8189" s="152">
        <v>0</v>
      </c>
      <c r="L8189" s="218"/>
      <c r="M8189" s="41"/>
      <c r="N8189" s="27" t="str">
        <f t="shared" si="805"/>
        <v/>
      </c>
      <c r="O8189" s="28"/>
      <c r="P8189" s="36" t="str">
        <f t="shared" si="806"/>
        <v/>
      </c>
      <c r="Q8189" s="216" t="str">
        <f t="shared" si="807"/>
        <v/>
      </c>
      <c r="R8189" s="216" t="str">
        <f t="shared" si="808"/>
        <v/>
      </c>
      <c r="S8189" s="217" t="str">
        <f t="shared" si="809"/>
        <v/>
      </c>
    </row>
    <row r="8190" spans="1:19" ht="15.75" hidden="1" thickBot="1" x14ac:dyDescent="0.3">
      <c r="A8190" s="257"/>
      <c r="B8190" s="260"/>
      <c r="C8190" s="31"/>
      <c r="D8190" s="31"/>
      <c r="E8190" s="32"/>
      <c r="F8190" s="42" t="s">
        <v>416</v>
      </c>
      <c r="G8190" s="33" t="str">
        <f t="shared" si="804"/>
        <v/>
      </c>
      <c r="H8190" s="34"/>
      <c r="I8190" s="30"/>
      <c r="J8190" s="152">
        <v>0</v>
      </c>
      <c r="L8190" s="219"/>
      <c r="M8190" s="42"/>
      <c r="N8190" s="33" t="str">
        <f t="shared" si="805"/>
        <v/>
      </c>
      <c r="O8190" s="34"/>
      <c r="P8190" s="36" t="str">
        <f t="shared" si="806"/>
        <v/>
      </c>
      <c r="Q8190" s="216" t="str">
        <f t="shared" si="807"/>
        <v/>
      </c>
      <c r="R8190" s="216" t="str">
        <f t="shared" si="808"/>
        <v/>
      </c>
      <c r="S8190" s="217" t="str">
        <f t="shared" si="809"/>
        <v/>
      </c>
    </row>
    <row r="8191" spans="1:19" ht="15.75" hidden="1" thickBot="1" x14ac:dyDescent="0.3">
      <c r="A8191" s="257"/>
      <c r="B8191" s="260"/>
      <c r="C8191" s="35" t="s">
        <v>8506</v>
      </c>
      <c r="D8191" s="35" t="s">
        <v>861</v>
      </c>
      <c r="E8191" s="36">
        <v>1</v>
      </c>
      <c r="F8191" s="30">
        <v>121.78999999999998</v>
      </c>
      <c r="G8191" s="33">
        <f t="shared" si="804"/>
        <v>121.78999999999998</v>
      </c>
      <c r="H8191" s="38">
        <f>SUM(G8191:G8197)</f>
        <v>248.84394999999998</v>
      </c>
      <c r="I8191" s="39"/>
      <c r="J8191" s="152">
        <v>0</v>
      </c>
      <c r="L8191" s="215">
        <v>1</v>
      </c>
      <c r="M8191" s="30">
        <v>104.25223999999999</v>
      </c>
      <c r="N8191" s="33">
        <f t="shared" si="805"/>
        <v>104.25223999999999</v>
      </c>
      <c r="O8191" s="38">
        <f>SUM(N8191:N8197)</f>
        <v>213.01042119999994</v>
      </c>
      <c r="P8191" s="36" t="str">
        <f t="shared" si="806"/>
        <v/>
      </c>
      <c r="Q8191" s="216">
        <f t="shared" si="807"/>
        <v>0.14399999999999991</v>
      </c>
      <c r="R8191" s="216">
        <f t="shared" si="808"/>
        <v>0.14399999999999991</v>
      </c>
      <c r="S8191" s="217">
        <f t="shared" si="809"/>
        <v>0.14400000000000013</v>
      </c>
    </row>
    <row r="8192" spans="1:19" ht="39" hidden="1" thickBot="1" x14ac:dyDescent="0.3">
      <c r="A8192" s="257"/>
      <c r="B8192" s="260"/>
      <c r="C8192" s="35" t="s">
        <v>8010</v>
      </c>
      <c r="D8192" s="35" t="s">
        <v>213</v>
      </c>
      <c r="E8192" s="36">
        <v>2.1960000000000002</v>
      </c>
      <c r="F8192" s="30">
        <v>0.3705</v>
      </c>
      <c r="G8192" s="33">
        <f t="shared" si="804"/>
        <v>0.81361800000000006</v>
      </c>
      <c r="H8192" s="34"/>
      <c r="I8192" s="39"/>
      <c r="J8192" s="152">
        <v>0</v>
      </c>
      <c r="L8192" s="215">
        <v>2.1960000000000002</v>
      </c>
      <c r="M8192" s="30">
        <v>0.31714799999999999</v>
      </c>
      <c r="N8192" s="33">
        <f t="shared" si="805"/>
        <v>0.69645700799999999</v>
      </c>
      <c r="O8192" s="34"/>
      <c r="P8192" s="36" t="str">
        <f t="shared" si="806"/>
        <v/>
      </c>
      <c r="Q8192" s="216">
        <f t="shared" si="807"/>
        <v>0.14400000000000002</v>
      </c>
      <c r="R8192" s="216">
        <f t="shared" si="808"/>
        <v>0.14400000000000013</v>
      </c>
      <c r="S8192" s="217" t="str">
        <f t="shared" si="809"/>
        <v/>
      </c>
    </row>
    <row r="8193" spans="1:19" ht="15.75" hidden="1" thickBot="1" x14ac:dyDescent="0.3">
      <c r="A8193" s="257"/>
      <c r="B8193" s="260"/>
      <c r="C8193" s="35" t="s">
        <v>709</v>
      </c>
      <c r="D8193" s="35" t="s">
        <v>773</v>
      </c>
      <c r="E8193" s="36">
        <v>0.96399999999999997</v>
      </c>
      <c r="F8193" s="30">
        <v>39.063999999999993</v>
      </c>
      <c r="G8193" s="33">
        <f t="shared" si="804"/>
        <v>37.657695999999994</v>
      </c>
      <c r="H8193" s="34"/>
      <c r="I8193" s="39"/>
      <c r="J8193" s="152">
        <v>0</v>
      </c>
      <c r="L8193" s="215">
        <v>0.96399999999999997</v>
      </c>
      <c r="M8193" s="30">
        <v>33.438783999999998</v>
      </c>
      <c r="N8193" s="33">
        <f t="shared" si="805"/>
        <v>32.234987775999997</v>
      </c>
      <c r="O8193" s="34"/>
      <c r="P8193" s="36" t="str">
        <f t="shared" si="806"/>
        <v/>
      </c>
      <c r="Q8193" s="216">
        <f t="shared" si="807"/>
        <v>0.14399999999999991</v>
      </c>
      <c r="R8193" s="216">
        <f t="shared" si="808"/>
        <v>0.14399999999999991</v>
      </c>
      <c r="S8193" s="217" t="str">
        <f t="shared" si="809"/>
        <v/>
      </c>
    </row>
    <row r="8194" spans="1:19" ht="26.25" hidden="1" thickBot="1" x14ac:dyDescent="0.3">
      <c r="A8194" s="257"/>
      <c r="B8194" s="260"/>
      <c r="C8194" s="35" t="s">
        <v>8168</v>
      </c>
      <c r="D8194" s="35" t="s">
        <v>385</v>
      </c>
      <c r="E8194" s="36">
        <v>2.992</v>
      </c>
      <c r="F8194" s="30">
        <v>2.4319999999999999</v>
      </c>
      <c r="G8194" s="33">
        <f t="shared" ref="G8194:G8237" si="810">IF(ISNUMBER(F8194),E8194*F8194,"")</f>
        <v>7.2765439999999995</v>
      </c>
      <c r="H8194" s="34"/>
      <c r="I8194" s="39"/>
      <c r="J8194" s="152">
        <v>0</v>
      </c>
      <c r="L8194" s="215">
        <v>2.992</v>
      </c>
      <c r="M8194" s="30">
        <v>2.0817920000000001</v>
      </c>
      <c r="N8194" s="33">
        <f t="shared" ref="N8194:N8237" si="811">IF(ISNUMBER(M8194),L8194*M8194,"")</f>
        <v>6.228721664</v>
      </c>
      <c r="O8194" s="34"/>
      <c r="P8194" s="36" t="str">
        <f t="shared" si="806"/>
        <v/>
      </c>
      <c r="Q8194" s="216">
        <f t="shared" si="807"/>
        <v>0.14399999999999991</v>
      </c>
      <c r="R8194" s="216">
        <f t="shared" si="808"/>
        <v>0.14399999999999991</v>
      </c>
      <c r="S8194" s="217" t="str">
        <f t="shared" si="809"/>
        <v/>
      </c>
    </row>
    <row r="8195" spans="1:19" ht="15.75" hidden="1" thickBot="1" x14ac:dyDescent="0.3">
      <c r="A8195" s="257"/>
      <c r="B8195" s="260"/>
      <c r="C8195" s="35" t="s">
        <v>8373</v>
      </c>
      <c r="D8195" s="35" t="s">
        <v>213</v>
      </c>
      <c r="E8195" s="36">
        <v>0.39700000000000002</v>
      </c>
      <c r="F8195" s="30">
        <v>26.125</v>
      </c>
      <c r="G8195" s="33">
        <f t="shared" si="810"/>
        <v>10.371625</v>
      </c>
      <c r="H8195" s="34"/>
      <c r="I8195" s="39"/>
      <c r="J8195" s="152">
        <v>0</v>
      </c>
      <c r="L8195" s="215">
        <v>0.39700000000000002</v>
      </c>
      <c r="M8195" s="30">
        <v>22.363</v>
      </c>
      <c r="N8195" s="33">
        <f t="shared" si="811"/>
        <v>8.8781110000000005</v>
      </c>
      <c r="O8195" s="34"/>
      <c r="P8195" s="36" t="str">
        <f t="shared" si="806"/>
        <v/>
      </c>
      <c r="Q8195" s="216">
        <f t="shared" si="807"/>
        <v>0.14400000000000002</v>
      </c>
      <c r="R8195" s="216">
        <f t="shared" si="808"/>
        <v>0.14399999999999991</v>
      </c>
      <c r="S8195" s="217" t="str">
        <f t="shared" si="809"/>
        <v/>
      </c>
    </row>
    <row r="8196" spans="1:19" ht="15.75" hidden="1" thickBot="1" x14ac:dyDescent="0.3">
      <c r="A8196" s="257"/>
      <c r="B8196" s="260"/>
      <c r="C8196" s="35" t="s">
        <v>584</v>
      </c>
      <c r="D8196" s="35" t="s">
        <v>583</v>
      </c>
      <c r="E8196" s="36">
        <v>1.542</v>
      </c>
      <c r="F8196" s="30">
        <v>20.225499999999997</v>
      </c>
      <c r="G8196" s="33">
        <f t="shared" si="810"/>
        <v>31.187720999999996</v>
      </c>
      <c r="H8196" s="34"/>
      <c r="I8196" s="39"/>
      <c r="J8196" s="152">
        <v>0</v>
      </c>
      <c r="L8196" s="215">
        <v>1.542</v>
      </c>
      <c r="M8196" s="30">
        <v>17.313027999999996</v>
      </c>
      <c r="N8196" s="33">
        <f t="shared" si="811"/>
        <v>26.696689175999992</v>
      </c>
      <c r="O8196" s="34"/>
      <c r="P8196" s="36" t="str">
        <f t="shared" si="806"/>
        <v/>
      </c>
      <c r="Q8196" s="216">
        <f t="shared" si="807"/>
        <v>0.14400000000000013</v>
      </c>
      <c r="R8196" s="216">
        <f t="shared" si="808"/>
        <v>0.14400000000000013</v>
      </c>
      <c r="S8196" s="217" t="str">
        <f t="shared" si="809"/>
        <v/>
      </c>
    </row>
    <row r="8197" spans="1:19" ht="15.75" hidden="1" thickBot="1" x14ac:dyDescent="0.3">
      <c r="A8197" s="257"/>
      <c r="B8197" s="260"/>
      <c r="C8197" s="35" t="s">
        <v>2909</v>
      </c>
      <c r="D8197" s="35" t="s">
        <v>583</v>
      </c>
      <c r="E8197" s="36">
        <v>1.5860000000000001</v>
      </c>
      <c r="F8197" s="30">
        <v>25.060999999999996</v>
      </c>
      <c r="G8197" s="33">
        <f t="shared" si="810"/>
        <v>39.746745999999995</v>
      </c>
      <c r="H8197" s="34"/>
      <c r="I8197" s="39"/>
      <c r="J8197" s="152">
        <v>0</v>
      </c>
      <c r="L8197" s="215">
        <v>1.5860000000000001</v>
      </c>
      <c r="M8197" s="30">
        <v>21.452215999999996</v>
      </c>
      <c r="N8197" s="33">
        <f t="shared" si="811"/>
        <v>34.023214575999994</v>
      </c>
      <c r="O8197" s="34"/>
      <c r="P8197" s="36" t="str">
        <f t="shared" si="806"/>
        <v/>
      </c>
      <c r="Q8197" s="216">
        <f t="shared" si="807"/>
        <v>0.14400000000000002</v>
      </c>
      <c r="R8197" s="216">
        <f t="shared" si="808"/>
        <v>0.14400000000000002</v>
      </c>
      <c r="S8197" s="217" t="str">
        <f t="shared" si="809"/>
        <v/>
      </c>
    </row>
    <row r="8198" spans="1:19" ht="15.75" hidden="1" thickBot="1" x14ac:dyDescent="0.3">
      <c r="A8198" s="258"/>
      <c r="B8198" s="261"/>
      <c r="C8198" s="54"/>
      <c r="D8198" s="54"/>
      <c r="E8198" s="65"/>
      <c r="F8198" s="66" t="s">
        <v>416</v>
      </c>
      <c r="G8198" s="67" t="str">
        <f t="shared" si="810"/>
        <v/>
      </c>
      <c r="H8198" s="68"/>
      <c r="I8198" s="30"/>
      <c r="J8198" s="152">
        <v>0</v>
      </c>
      <c r="L8198" s="222"/>
      <c r="M8198" s="66"/>
      <c r="N8198" s="67" t="str">
        <f t="shared" si="811"/>
        <v/>
      </c>
      <c r="O8198" s="68"/>
      <c r="P8198" s="36" t="str">
        <f t="shared" si="806"/>
        <v/>
      </c>
      <c r="Q8198" s="216" t="str">
        <f t="shared" si="807"/>
        <v/>
      </c>
      <c r="R8198" s="216" t="str">
        <f t="shared" si="808"/>
        <v/>
      </c>
      <c r="S8198" s="217" t="str">
        <f t="shared" si="809"/>
        <v/>
      </c>
    </row>
    <row r="8199" spans="1:19" ht="15.75" hidden="1" thickBot="1" x14ac:dyDescent="0.3">
      <c r="A8199" s="256" t="s">
        <v>7073</v>
      </c>
      <c r="B8199" s="259" t="str">
        <f>INDEX(Orçamentária!A:B,MATCH(Composições!A8199,Orçamentária!A:A,0),2)</f>
        <v>Tapume em telha metálica</v>
      </c>
      <c r="C8199" s="40"/>
      <c r="D8199" s="25" t="s">
        <v>70</v>
      </c>
      <c r="E8199" s="26"/>
      <c r="F8199" s="41" t="s">
        <v>416</v>
      </c>
      <c r="G8199" s="27" t="str">
        <f t="shared" si="810"/>
        <v/>
      </c>
      <c r="H8199" s="28"/>
      <c r="I8199" s="29"/>
      <c r="J8199" s="152">
        <v>0</v>
      </c>
      <c r="L8199" s="218"/>
      <c r="M8199" s="41"/>
      <c r="N8199" s="27" t="str">
        <f t="shared" si="811"/>
        <v/>
      </c>
      <c r="O8199" s="28"/>
      <c r="P8199" s="36" t="str">
        <f t="shared" si="806"/>
        <v/>
      </c>
      <c r="Q8199" s="216" t="str">
        <f t="shared" si="807"/>
        <v/>
      </c>
      <c r="R8199" s="216" t="str">
        <f t="shared" si="808"/>
        <v/>
      </c>
      <c r="S8199" s="217" t="str">
        <f t="shared" si="809"/>
        <v/>
      </c>
    </row>
    <row r="8200" spans="1:19" ht="15.75" hidden="1" thickBot="1" x14ac:dyDescent="0.3">
      <c r="A8200" s="257"/>
      <c r="B8200" s="260"/>
      <c r="C8200" s="31"/>
      <c r="D8200" s="31"/>
      <c r="E8200" s="32"/>
      <c r="F8200" s="42" t="s">
        <v>416</v>
      </c>
      <c r="G8200" s="33" t="str">
        <f t="shared" si="810"/>
        <v/>
      </c>
      <c r="H8200" s="34"/>
      <c r="I8200" s="30"/>
      <c r="J8200" s="152">
        <v>0</v>
      </c>
      <c r="L8200" s="219"/>
      <c r="M8200" s="42"/>
      <c r="N8200" s="33" t="str">
        <f t="shared" si="811"/>
        <v/>
      </c>
      <c r="O8200" s="34"/>
      <c r="P8200" s="36" t="str">
        <f t="shared" ref="P8200:P8237" si="812">IF(ISBLANK(L8200),"",IF($E8200&lt;&gt;L8200,"SIM",""))</f>
        <v/>
      </c>
      <c r="Q8200" s="216" t="str">
        <f t="shared" ref="Q8200:Q8237" si="813">IF(M8200="","",1-M8200/$F8200)</f>
        <v/>
      </c>
      <c r="R8200" s="216" t="str">
        <f t="shared" ref="R8200:R8237" si="814">IF(N8200="","",1-N8200/$G8200)</f>
        <v/>
      </c>
      <c r="S8200" s="217" t="str">
        <f t="shared" ref="S8200:S8237" si="815">IF(O8200="","",1-O8200/$H8200)</f>
        <v/>
      </c>
    </row>
    <row r="8201" spans="1:19" ht="26.25" hidden="1" thickBot="1" x14ac:dyDescent="0.3">
      <c r="A8201" s="257"/>
      <c r="B8201" s="260"/>
      <c r="C8201" s="35" t="s">
        <v>8380</v>
      </c>
      <c r="D8201" s="35" t="s">
        <v>385</v>
      </c>
      <c r="E8201" s="36">
        <v>1</v>
      </c>
      <c r="F8201" s="30">
        <v>38.417999999999999</v>
      </c>
      <c r="G8201" s="33">
        <f t="shared" si="810"/>
        <v>38.417999999999999</v>
      </c>
      <c r="H8201" s="38">
        <f>SUM(G8201:G8209)</f>
        <v>133.75771362031705</v>
      </c>
      <c r="I8201" s="39"/>
      <c r="J8201" s="152">
        <v>0</v>
      </c>
      <c r="L8201" s="215">
        <v>1</v>
      </c>
      <c r="M8201" s="30">
        <v>32.885807999999997</v>
      </c>
      <c r="N8201" s="33">
        <f t="shared" si="811"/>
        <v>32.885807999999997</v>
      </c>
      <c r="O8201" s="38">
        <f>SUM(N8201:N8209)</f>
        <v>114.49660285899141</v>
      </c>
      <c r="P8201" s="36" t="str">
        <f t="shared" si="812"/>
        <v/>
      </c>
      <c r="Q8201" s="216">
        <f t="shared" si="813"/>
        <v>0.14400000000000002</v>
      </c>
      <c r="R8201" s="216">
        <f t="shared" si="814"/>
        <v>0.14400000000000002</v>
      </c>
      <c r="S8201" s="217">
        <f t="shared" si="815"/>
        <v>0.14399999999999991</v>
      </c>
    </row>
    <row r="8202" spans="1:19" ht="26.25" hidden="1" thickBot="1" x14ac:dyDescent="0.3">
      <c r="A8202" s="257"/>
      <c r="B8202" s="260"/>
      <c r="C8202" s="35" t="s">
        <v>8030</v>
      </c>
      <c r="D8202" s="35" t="s">
        <v>385</v>
      </c>
      <c r="E8202" s="36">
        <v>1.2273000000000001</v>
      </c>
      <c r="F8202" s="30">
        <v>32.375999999999998</v>
      </c>
      <c r="G8202" s="33">
        <f t="shared" si="810"/>
        <v>39.735064799999996</v>
      </c>
      <c r="H8202" s="34"/>
      <c r="I8202" s="39"/>
      <c r="J8202" s="152">
        <v>0</v>
      </c>
      <c r="L8202" s="215">
        <v>1.2273000000000001</v>
      </c>
      <c r="M8202" s="30">
        <v>27.713856</v>
      </c>
      <c r="N8202" s="33">
        <f t="shared" si="811"/>
        <v>34.013215468799999</v>
      </c>
      <c r="O8202" s="34"/>
      <c r="P8202" s="36" t="str">
        <f t="shared" si="812"/>
        <v/>
      </c>
      <c r="Q8202" s="216">
        <f t="shared" si="813"/>
        <v>0.14399999999999991</v>
      </c>
      <c r="R8202" s="216">
        <f t="shared" si="814"/>
        <v>0.14399999999999991</v>
      </c>
      <c r="S8202" s="217" t="str">
        <f t="shared" si="815"/>
        <v/>
      </c>
    </row>
    <row r="8203" spans="1:19" ht="15.75" hidden="1" thickBot="1" x14ac:dyDescent="0.3">
      <c r="A8203" s="257"/>
      <c r="B8203" s="260"/>
      <c r="C8203" s="35" t="s">
        <v>8339</v>
      </c>
      <c r="D8203" s="35" t="s">
        <v>773</v>
      </c>
      <c r="E8203" s="36">
        <v>4.2799999999999998E-2</v>
      </c>
      <c r="F8203" s="30">
        <v>21.232500000000002</v>
      </c>
      <c r="G8203" s="33">
        <f t="shared" si="810"/>
        <v>0.90875099999999998</v>
      </c>
      <c r="H8203" s="34"/>
      <c r="I8203" s="39"/>
      <c r="J8203" s="152">
        <v>0</v>
      </c>
      <c r="L8203" s="215">
        <v>4.2799999999999998E-2</v>
      </c>
      <c r="M8203" s="30">
        <v>18.175020000000004</v>
      </c>
      <c r="N8203" s="33">
        <f t="shared" si="811"/>
        <v>0.77789085600000007</v>
      </c>
      <c r="O8203" s="34"/>
      <c r="P8203" s="36" t="str">
        <f t="shared" si="812"/>
        <v/>
      </c>
      <c r="Q8203" s="216">
        <f t="shared" si="813"/>
        <v>0.14399999999999991</v>
      </c>
      <c r="R8203" s="216">
        <f t="shared" si="814"/>
        <v>0.14399999999999991</v>
      </c>
      <c r="S8203" s="217" t="str">
        <f t="shared" si="815"/>
        <v/>
      </c>
    </row>
    <row r="8204" spans="1:19" ht="39" hidden="1" thickBot="1" x14ac:dyDescent="0.3">
      <c r="A8204" s="257"/>
      <c r="B8204" s="260"/>
      <c r="C8204" s="35" t="s">
        <v>2946</v>
      </c>
      <c r="D8204" s="35" t="s">
        <v>861</v>
      </c>
      <c r="E8204" s="36">
        <v>0.58530000000000004</v>
      </c>
      <c r="F8204" s="30">
        <v>58.320499999999996</v>
      </c>
      <c r="G8204" s="33">
        <f t="shared" si="810"/>
        <v>34.134988649999997</v>
      </c>
      <c r="H8204" s="34"/>
      <c r="I8204" s="39"/>
      <c r="J8204" s="152">
        <v>0</v>
      </c>
      <c r="L8204" s="215">
        <v>0.58530000000000004</v>
      </c>
      <c r="M8204" s="30">
        <v>49.922348</v>
      </c>
      <c r="N8204" s="33">
        <f t="shared" si="811"/>
        <v>29.2195502844</v>
      </c>
      <c r="O8204" s="34"/>
      <c r="P8204" s="36" t="str">
        <f t="shared" si="812"/>
        <v/>
      </c>
      <c r="Q8204" s="216">
        <f t="shared" si="813"/>
        <v>0.14399999999999991</v>
      </c>
      <c r="R8204" s="216">
        <f t="shared" si="814"/>
        <v>0.14399999999999991</v>
      </c>
      <c r="S8204" s="217" t="str">
        <f t="shared" si="815"/>
        <v/>
      </c>
    </row>
    <row r="8205" spans="1:19" ht="15.75" hidden="1" thickBot="1" x14ac:dyDescent="0.3">
      <c r="A8205" s="257"/>
      <c r="B8205" s="260"/>
      <c r="C8205" s="35" t="s">
        <v>660</v>
      </c>
      <c r="D8205" s="35" t="s">
        <v>583</v>
      </c>
      <c r="E8205" s="36">
        <v>0.18970000000000001</v>
      </c>
      <c r="F8205" s="30">
        <v>21.337</v>
      </c>
      <c r="G8205" s="33">
        <f t="shared" si="810"/>
        <v>4.0476289000000003</v>
      </c>
      <c r="H8205" s="34"/>
      <c r="I8205" s="39"/>
      <c r="J8205" s="152">
        <v>0</v>
      </c>
      <c r="L8205" s="215">
        <v>0.18970000000000001</v>
      </c>
      <c r="M8205" s="30">
        <v>18.264472000000001</v>
      </c>
      <c r="N8205" s="33">
        <f t="shared" si="811"/>
        <v>3.4647703384000006</v>
      </c>
      <c r="O8205" s="34"/>
      <c r="P8205" s="36" t="str">
        <f t="shared" si="812"/>
        <v/>
      </c>
      <c r="Q8205" s="216">
        <f t="shared" si="813"/>
        <v>0.14399999999999991</v>
      </c>
      <c r="R8205" s="216">
        <f t="shared" si="814"/>
        <v>0.14399999999999991</v>
      </c>
      <c r="S8205" s="217" t="str">
        <f t="shared" si="815"/>
        <v/>
      </c>
    </row>
    <row r="8206" spans="1:19" ht="15.75" hidden="1" thickBot="1" x14ac:dyDescent="0.3">
      <c r="A8206" s="257"/>
      <c r="B8206" s="260"/>
      <c r="C8206" s="35" t="s">
        <v>862</v>
      </c>
      <c r="D8206" s="35" t="s">
        <v>583</v>
      </c>
      <c r="E8206" s="36">
        <v>0.56910000000000005</v>
      </c>
      <c r="F8206" s="30">
        <v>26.799499999999998</v>
      </c>
      <c r="G8206" s="33">
        <f t="shared" si="810"/>
        <v>15.25159545</v>
      </c>
      <c r="H8206" s="34"/>
      <c r="I8206" s="39"/>
      <c r="J8206" s="152">
        <v>0</v>
      </c>
      <c r="L8206" s="215">
        <v>0.56910000000000005</v>
      </c>
      <c r="M8206" s="30">
        <v>22.940372</v>
      </c>
      <c r="N8206" s="33">
        <f t="shared" si="811"/>
        <v>13.055365705200002</v>
      </c>
      <c r="O8206" s="34"/>
      <c r="P8206" s="36" t="str">
        <f t="shared" si="812"/>
        <v/>
      </c>
      <c r="Q8206" s="216">
        <f t="shared" si="813"/>
        <v>0.14399999999999991</v>
      </c>
      <c r="R8206" s="216">
        <f t="shared" si="814"/>
        <v>0.14399999999999991</v>
      </c>
      <c r="S8206" s="217" t="str">
        <f t="shared" si="815"/>
        <v/>
      </c>
    </row>
    <row r="8207" spans="1:19" ht="26.25" hidden="1" thickBot="1" x14ac:dyDescent="0.3">
      <c r="A8207" s="257"/>
      <c r="B8207" s="260"/>
      <c r="C8207" s="35" t="s">
        <v>1013</v>
      </c>
      <c r="D8207" s="35" t="s">
        <v>813</v>
      </c>
      <c r="E8207" s="36">
        <v>4.4000000000000003E-3</v>
      </c>
      <c r="F8207" s="30">
        <v>22.210999999999999</v>
      </c>
      <c r="G8207" s="33">
        <f t="shared" si="810"/>
        <v>9.7728399999999993E-2</v>
      </c>
      <c r="H8207" s="34"/>
      <c r="I8207" s="39"/>
      <c r="J8207" s="152">
        <v>0</v>
      </c>
      <c r="L8207" s="215">
        <v>4.4000000000000003E-3</v>
      </c>
      <c r="M8207" s="30">
        <v>19.012615999999998</v>
      </c>
      <c r="N8207" s="33">
        <f t="shared" si="811"/>
        <v>8.3655510399999994E-2</v>
      </c>
      <c r="O8207" s="34"/>
      <c r="P8207" s="36" t="str">
        <f t="shared" si="812"/>
        <v/>
      </c>
      <c r="Q8207" s="216">
        <f t="shared" si="813"/>
        <v>0.14400000000000002</v>
      </c>
      <c r="R8207" s="216">
        <f t="shared" si="814"/>
        <v>0.14400000000000002</v>
      </c>
      <c r="S8207" s="217" t="str">
        <f t="shared" si="815"/>
        <v/>
      </c>
    </row>
    <row r="8208" spans="1:19" ht="26.25" hidden="1" thickBot="1" x14ac:dyDescent="0.3">
      <c r="A8208" s="257"/>
      <c r="B8208" s="260"/>
      <c r="C8208" s="35" t="s">
        <v>1014</v>
      </c>
      <c r="D8208" s="35" t="s">
        <v>815</v>
      </c>
      <c r="E8208" s="36">
        <v>1.9099999999999999E-2</v>
      </c>
      <c r="F8208" s="30">
        <v>21.2895</v>
      </c>
      <c r="G8208" s="33">
        <f t="shared" si="810"/>
        <v>0.40662945</v>
      </c>
      <c r="H8208" s="34"/>
      <c r="I8208" s="39"/>
      <c r="J8208" s="152">
        <v>0</v>
      </c>
      <c r="L8208" s="215">
        <v>1.9099999999999999E-2</v>
      </c>
      <c r="M8208" s="30">
        <v>18.223812000000002</v>
      </c>
      <c r="N8208" s="33">
        <f t="shared" si="811"/>
        <v>0.3480748092</v>
      </c>
      <c r="O8208" s="34"/>
      <c r="P8208" s="36" t="str">
        <f t="shared" si="812"/>
        <v/>
      </c>
      <c r="Q8208" s="216">
        <f t="shared" si="813"/>
        <v>0.14399999999999991</v>
      </c>
      <c r="R8208" s="216">
        <f t="shared" si="814"/>
        <v>0.14400000000000002</v>
      </c>
      <c r="S8208" s="217" t="str">
        <f t="shared" si="815"/>
        <v/>
      </c>
    </row>
    <row r="8209" spans="1:19" ht="39" hidden="1" thickBot="1" x14ac:dyDescent="0.3">
      <c r="A8209" s="257"/>
      <c r="B8209" s="260"/>
      <c r="C8209" s="35" t="s">
        <v>5740</v>
      </c>
      <c r="D8209" s="35" t="s">
        <v>87</v>
      </c>
      <c r="E8209" s="36">
        <v>1.1999999999999999E-3</v>
      </c>
      <c r="F8209" s="30">
        <v>631.10580859755498</v>
      </c>
      <c r="G8209" s="33">
        <f t="shared" si="810"/>
        <v>0.75732697031706586</v>
      </c>
      <c r="H8209" s="34"/>
      <c r="I8209" s="39"/>
      <c r="J8209" s="152">
        <v>0</v>
      </c>
      <c r="L8209" s="215">
        <v>1.1999999999999999E-3</v>
      </c>
      <c r="M8209" s="30">
        <v>540.2265721595071</v>
      </c>
      <c r="N8209" s="33">
        <f t="shared" si="811"/>
        <v>0.64827188659140844</v>
      </c>
      <c r="O8209" s="34"/>
      <c r="P8209" s="36" t="str">
        <f t="shared" si="812"/>
        <v/>
      </c>
      <c r="Q8209" s="216">
        <f t="shared" si="813"/>
        <v>0.14399999999999991</v>
      </c>
      <c r="R8209" s="216">
        <f t="shared" si="814"/>
        <v>0.14399999999999991</v>
      </c>
      <c r="S8209" s="217" t="str">
        <f t="shared" si="815"/>
        <v/>
      </c>
    </row>
    <row r="8210" spans="1:19" ht="15.75" hidden="1" thickBot="1" x14ac:dyDescent="0.3">
      <c r="A8210" s="258"/>
      <c r="B8210" s="261"/>
      <c r="C8210" s="54"/>
      <c r="D8210" s="54"/>
      <c r="E8210" s="65"/>
      <c r="F8210" s="66" t="s">
        <v>416</v>
      </c>
      <c r="G8210" s="67" t="str">
        <f t="shared" si="810"/>
        <v/>
      </c>
      <c r="H8210" s="68"/>
      <c r="I8210" s="30"/>
      <c r="J8210" s="152">
        <v>0</v>
      </c>
      <c r="L8210" s="222"/>
      <c r="M8210" s="66"/>
      <c r="N8210" s="67" t="str">
        <f t="shared" si="811"/>
        <v/>
      </c>
      <c r="O8210" s="68"/>
      <c r="P8210" s="36" t="str">
        <f t="shared" si="812"/>
        <v/>
      </c>
      <c r="Q8210" s="216" t="str">
        <f t="shared" si="813"/>
        <v/>
      </c>
      <c r="R8210" s="216" t="str">
        <f t="shared" si="814"/>
        <v/>
      </c>
      <c r="S8210" s="217" t="str">
        <f t="shared" si="815"/>
        <v/>
      </c>
    </row>
    <row r="8211" spans="1:19" ht="15.75" hidden="1" thickBot="1" x14ac:dyDescent="0.3">
      <c r="A8211" s="256" t="s">
        <v>7075</v>
      </c>
      <c r="B8211" s="259" t="str">
        <f>INDEX(Orçamentária!A:B,MATCH(Composições!A8211,Orçamentária!A:A,0),2)</f>
        <v>Solo para aterro (com transporte)</v>
      </c>
      <c r="C8211" s="40"/>
      <c r="D8211" s="25" t="s">
        <v>80</v>
      </c>
      <c r="E8211" s="26"/>
      <c r="F8211" s="41" t="s">
        <v>416</v>
      </c>
      <c r="G8211" s="27" t="str">
        <f t="shared" si="810"/>
        <v/>
      </c>
      <c r="H8211" s="28"/>
      <c r="I8211" s="29"/>
      <c r="J8211" s="152">
        <v>0</v>
      </c>
      <c r="L8211" s="218"/>
      <c r="M8211" s="41"/>
      <c r="N8211" s="27" t="str">
        <f t="shared" si="811"/>
        <v/>
      </c>
      <c r="O8211" s="28"/>
      <c r="P8211" s="36" t="str">
        <f t="shared" si="812"/>
        <v/>
      </c>
      <c r="Q8211" s="216" t="str">
        <f t="shared" si="813"/>
        <v/>
      </c>
      <c r="R8211" s="216" t="str">
        <f t="shared" si="814"/>
        <v/>
      </c>
      <c r="S8211" s="217" t="str">
        <f t="shared" si="815"/>
        <v/>
      </c>
    </row>
    <row r="8212" spans="1:19" ht="15.75" hidden="1" thickBot="1" x14ac:dyDescent="0.3">
      <c r="A8212" s="257"/>
      <c r="B8212" s="260"/>
      <c r="C8212" s="31"/>
      <c r="D8212" s="31"/>
      <c r="E8212" s="32"/>
      <c r="F8212" s="42" t="s">
        <v>416</v>
      </c>
      <c r="G8212" s="33" t="str">
        <f t="shared" si="810"/>
        <v/>
      </c>
      <c r="H8212" s="34"/>
      <c r="I8212" s="30"/>
      <c r="J8212" s="152">
        <v>0</v>
      </c>
      <c r="L8212" s="219"/>
      <c r="M8212" s="42"/>
      <c r="N8212" s="33" t="str">
        <f t="shared" si="811"/>
        <v/>
      </c>
      <c r="O8212" s="34"/>
      <c r="P8212" s="36" t="str">
        <f t="shared" si="812"/>
        <v/>
      </c>
      <c r="Q8212" s="216" t="str">
        <f t="shared" si="813"/>
        <v/>
      </c>
      <c r="R8212" s="216" t="str">
        <f t="shared" si="814"/>
        <v/>
      </c>
      <c r="S8212" s="217" t="str">
        <f t="shared" si="815"/>
        <v/>
      </c>
    </row>
    <row r="8213" spans="1:19" ht="26.25" hidden="1" thickBot="1" x14ac:dyDescent="0.3">
      <c r="A8213" s="257"/>
      <c r="B8213" s="260"/>
      <c r="C8213" s="35" t="s">
        <v>7992</v>
      </c>
      <c r="D8213" s="35" t="s">
        <v>87</v>
      </c>
      <c r="E8213" s="36">
        <v>1</v>
      </c>
      <c r="F8213" s="30">
        <v>127.01499999999999</v>
      </c>
      <c r="G8213" s="33">
        <f t="shared" si="810"/>
        <v>127.01499999999999</v>
      </c>
      <c r="H8213" s="38">
        <f>SUM(G8213:G8213)</f>
        <v>127.01499999999999</v>
      </c>
      <c r="I8213" s="39"/>
      <c r="J8213" s="152">
        <v>0</v>
      </c>
      <c r="L8213" s="215">
        <v>1</v>
      </c>
      <c r="M8213" s="30">
        <v>108.72483999999999</v>
      </c>
      <c r="N8213" s="33">
        <f t="shared" si="811"/>
        <v>108.72483999999999</v>
      </c>
      <c r="O8213" s="38">
        <f>SUM(N8213:N8213)</f>
        <v>108.72483999999999</v>
      </c>
      <c r="P8213" s="36" t="str">
        <f t="shared" si="812"/>
        <v/>
      </c>
      <c r="Q8213" s="216">
        <f t="shared" si="813"/>
        <v>0.14400000000000002</v>
      </c>
      <c r="R8213" s="216">
        <f t="shared" si="814"/>
        <v>0.14400000000000002</v>
      </c>
      <c r="S8213" s="217">
        <f t="shared" si="815"/>
        <v>0.14400000000000002</v>
      </c>
    </row>
    <row r="8214" spans="1:19" ht="15.75" hidden="1" thickBot="1" x14ac:dyDescent="0.3">
      <c r="A8214" s="258"/>
      <c r="B8214" s="261"/>
      <c r="C8214" s="54"/>
      <c r="D8214" s="54"/>
      <c r="E8214" s="65"/>
      <c r="F8214" s="66" t="s">
        <v>416</v>
      </c>
      <c r="G8214" s="67" t="str">
        <f t="shared" si="810"/>
        <v/>
      </c>
      <c r="H8214" s="68"/>
      <c r="I8214" s="30"/>
      <c r="J8214" s="152">
        <v>0</v>
      </c>
      <c r="L8214" s="222"/>
      <c r="M8214" s="66"/>
      <c r="N8214" s="67" t="str">
        <f t="shared" si="811"/>
        <v/>
      </c>
      <c r="O8214" s="68"/>
      <c r="P8214" s="36" t="str">
        <f t="shared" si="812"/>
        <v/>
      </c>
      <c r="Q8214" s="216" t="str">
        <f t="shared" si="813"/>
        <v/>
      </c>
      <c r="R8214" s="216" t="str">
        <f t="shared" si="814"/>
        <v/>
      </c>
      <c r="S8214" s="217" t="str">
        <f t="shared" si="815"/>
        <v/>
      </c>
    </row>
    <row r="8215" spans="1:19" ht="15.75" hidden="1" thickBot="1" x14ac:dyDescent="0.3">
      <c r="A8215" s="256" t="s">
        <v>7077</v>
      </c>
      <c r="B8215" s="259" t="str">
        <f>INDEX(Orçamentária!A:B,MATCH(Composições!A8215,Orçamentária!A:A,0),2)</f>
        <v>Rejunte resinado acrílico - Aplicação/Substituição</v>
      </c>
      <c r="C8215" s="40"/>
      <c r="D8215" s="25" t="s">
        <v>28</v>
      </c>
      <c r="E8215" s="26"/>
      <c r="F8215" s="48" t="s">
        <v>416</v>
      </c>
      <c r="G8215" s="27" t="str">
        <f t="shared" si="810"/>
        <v/>
      </c>
      <c r="H8215" s="28"/>
      <c r="I8215" s="29"/>
      <c r="J8215" s="152">
        <v>0</v>
      </c>
      <c r="L8215" s="218"/>
      <c r="M8215" s="48"/>
      <c r="N8215" s="27" t="str">
        <f t="shared" si="811"/>
        <v/>
      </c>
      <c r="O8215" s="28"/>
      <c r="P8215" s="36" t="str">
        <f t="shared" si="812"/>
        <v/>
      </c>
      <c r="Q8215" s="216" t="str">
        <f t="shared" si="813"/>
        <v/>
      </c>
      <c r="R8215" s="216" t="str">
        <f t="shared" si="814"/>
        <v/>
      </c>
      <c r="S8215" s="217" t="str">
        <f t="shared" si="815"/>
        <v/>
      </c>
    </row>
    <row r="8216" spans="1:19" ht="15.75" hidden="1" thickBot="1" x14ac:dyDescent="0.3">
      <c r="A8216" s="257"/>
      <c r="B8216" s="260"/>
      <c r="C8216" s="31"/>
      <c r="D8216" s="31"/>
      <c r="E8216" s="32"/>
      <c r="F8216" s="53" t="s">
        <v>416</v>
      </c>
      <c r="G8216" s="53" t="str">
        <f t="shared" si="810"/>
        <v/>
      </c>
      <c r="H8216" s="72"/>
      <c r="I8216" s="73"/>
      <c r="J8216" s="152">
        <v>0</v>
      </c>
      <c r="L8216" s="219"/>
      <c r="M8216" s="53"/>
      <c r="N8216" s="53" t="str">
        <f t="shared" si="811"/>
        <v/>
      </c>
      <c r="O8216" s="72"/>
      <c r="P8216" s="36" t="str">
        <f t="shared" si="812"/>
        <v/>
      </c>
      <c r="Q8216" s="216" t="str">
        <f t="shared" si="813"/>
        <v/>
      </c>
      <c r="R8216" s="216" t="str">
        <f t="shared" si="814"/>
        <v/>
      </c>
      <c r="S8216" s="217" t="str">
        <f t="shared" si="815"/>
        <v/>
      </c>
    </row>
    <row r="8217" spans="1:19" ht="15.75" hidden="1" thickBot="1" x14ac:dyDescent="0.3">
      <c r="A8217" s="257"/>
      <c r="B8217" s="260"/>
      <c r="C8217" s="35" t="s">
        <v>8513</v>
      </c>
      <c r="D8217" s="35" t="s">
        <v>773</v>
      </c>
      <c r="E8217" s="36">
        <v>1</v>
      </c>
      <c r="F8217" s="53" t="s">
        <v>416</v>
      </c>
      <c r="G8217" s="53" t="str">
        <f t="shared" si="810"/>
        <v/>
      </c>
      <c r="H8217" s="38">
        <f>SUM(G8217:G8218)</f>
        <v>19.116729678638936</v>
      </c>
      <c r="I8217" s="39"/>
      <c r="J8217" s="152">
        <v>0</v>
      </c>
      <c r="L8217" s="215">
        <v>1</v>
      </c>
      <c r="M8217" s="53"/>
      <c r="N8217" s="53" t="str">
        <f t="shared" si="811"/>
        <v/>
      </c>
      <c r="O8217" s="38">
        <f>SUM(N8217:N8218)</f>
        <v>16.363920604914927</v>
      </c>
      <c r="P8217" s="36" t="str">
        <f t="shared" si="812"/>
        <v/>
      </c>
      <c r="Q8217" s="216" t="str">
        <f t="shared" si="813"/>
        <v/>
      </c>
      <c r="R8217" s="216" t="str">
        <f t="shared" si="814"/>
        <v/>
      </c>
      <c r="S8217" s="217">
        <f t="shared" si="815"/>
        <v>0.14400000000000013</v>
      </c>
    </row>
    <row r="8218" spans="1:19" ht="15.75" hidden="1" thickBot="1" x14ac:dyDescent="0.3">
      <c r="A8218" s="257"/>
      <c r="B8218" s="260"/>
      <c r="C8218" s="35" t="s">
        <v>584</v>
      </c>
      <c r="D8218" s="35" t="s">
        <v>583</v>
      </c>
      <c r="E8218" s="36">
        <f>0.5/0.529</f>
        <v>0.94517958412098291</v>
      </c>
      <c r="F8218" s="53">
        <v>20.225499999999997</v>
      </c>
      <c r="G8218" s="53">
        <f t="shared" si="810"/>
        <v>19.116729678638936</v>
      </c>
      <c r="H8218" s="72"/>
      <c r="I8218" s="73"/>
      <c r="J8218" s="152">
        <v>0</v>
      </c>
      <c r="L8218" s="215">
        <v>0.94517958412098291</v>
      </c>
      <c r="M8218" s="53">
        <v>17.313027999999996</v>
      </c>
      <c r="N8218" s="53">
        <f t="shared" si="811"/>
        <v>16.363920604914927</v>
      </c>
      <c r="O8218" s="72"/>
      <c r="P8218" s="36" t="str">
        <f t="shared" si="812"/>
        <v/>
      </c>
      <c r="Q8218" s="216">
        <f t="shared" si="813"/>
        <v>0.14400000000000013</v>
      </c>
      <c r="R8218" s="216">
        <f t="shared" si="814"/>
        <v>0.14400000000000013</v>
      </c>
      <c r="S8218" s="217" t="str">
        <f t="shared" si="815"/>
        <v/>
      </c>
    </row>
    <row r="8219" spans="1:19" ht="15.75" hidden="1" thickBot="1" x14ac:dyDescent="0.3">
      <c r="A8219" s="258"/>
      <c r="B8219" s="261"/>
      <c r="C8219" s="35"/>
      <c r="D8219" s="35"/>
      <c r="E8219" s="36"/>
      <c r="F8219" s="53" t="s">
        <v>416</v>
      </c>
      <c r="G8219" s="53" t="str">
        <f t="shared" si="810"/>
        <v/>
      </c>
      <c r="H8219" s="72"/>
      <c r="I8219" s="73"/>
      <c r="J8219" s="152">
        <v>0</v>
      </c>
      <c r="L8219" s="215"/>
      <c r="M8219" s="53"/>
      <c r="N8219" s="53" t="str">
        <f t="shared" si="811"/>
        <v/>
      </c>
      <c r="O8219" s="72"/>
      <c r="P8219" s="36" t="str">
        <f t="shared" si="812"/>
        <v/>
      </c>
      <c r="Q8219" s="216" t="str">
        <f t="shared" si="813"/>
        <v/>
      </c>
      <c r="R8219" s="216" t="str">
        <f t="shared" si="814"/>
        <v/>
      </c>
      <c r="S8219" s="217" t="str">
        <f t="shared" si="815"/>
        <v/>
      </c>
    </row>
    <row r="8220" spans="1:19" ht="15.75" thickBot="1" x14ac:dyDescent="0.3">
      <c r="A8220" s="256" t="s">
        <v>7078</v>
      </c>
      <c r="B8220" s="259" t="str">
        <f>INDEX(Orçamentária!A:B,MATCH(Composições!A8220,Orçamentária!A:A,0),2)</f>
        <v>Remoção de splitão/fan-coil</v>
      </c>
      <c r="C8220" s="40"/>
      <c r="D8220" s="25" t="s">
        <v>16</v>
      </c>
      <c r="E8220" s="26"/>
      <c r="F8220" s="41" t="s">
        <v>416</v>
      </c>
      <c r="G8220" s="27" t="str">
        <f t="shared" si="810"/>
        <v/>
      </c>
      <c r="H8220" s="28"/>
      <c r="I8220" s="29"/>
      <c r="J8220" s="152">
        <v>2</v>
      </c>
      <c r="L8220" s="218"/>
      <c r="M8220" s="41"/>
      <c r="N8220" s="27" t="str">
        <f t="shared" si="811"/>
        <v/>
      </c>
      <c r="O8220" s="28"/>
      <c r="P8220" s="36" t="str">
        <f t="shared" si="812"/>
        <v/>
      </c>
      <c r="Q8220" s="216" t="str">
        <f t="shared" si="813"/>
        <v/>
      </c>
      <c r="R8220" s="216" t="str">
        <f t="shared" si="814"/>
        <v/>
      </c>
      <c r="S8220" s="217" t="str">
        <f t="shared" si="815"/>
        <v/>
      </c>
    </row>
    <row r="8221" spans="1:19" x14ac:dyDescent="0.25">
      <c r="A8221" s="257"/>
      <c r="B8221" s="260"/>
      <c r="C8221" s="31"/>
      <c r="D8221" s="31"/>
      <c r="E8221" s="32"/>
      <c r="F8221" s="42" t="s">
        <v>416</v>
      </c>
      <c r="G8221" s="33" t="str">
        <f t="shared" si="810"/>
        <v/>
      </c>
      <c r="H8221" s="34"/>
      <c r="I8221" s="30"/>
      <c r="J8221" s="152">
        <v>2</v>
      </c>
      <c r="L8221" s="219"/>
      <c r="M8221" s="42"/>
      <c r="N8221" s="33" t="str">
        <f t="shared" si="811"/>
        <v/>
      </c>
      <c r="O8221" s="34"/>
      <c r="P8221" s="36" t="str">
        <f t="shared" si="812"/>
        <v/>
      </c>
      <c r="Q8221" s="216" t="str">
        <f t="shared" si="813"/>
        <v/>
      </c>
      <c r="R8221" s="216" t="str">
        <f t="shared" si="814"/>
        <v/>
      </c>
      <c r="S8221" s="217" t="str">
        <f t="shared" si="815"/>
        <v/>
      </c>
    </row>
    <row r="8222" spans="1:19" x14ac:dyDescent="0.25">
      <c r="A8222" s="257"/>
      <c r="B8222" s="260"/>
      <c r="C8222" s="35" t="s">
        <v>584</v>
      </c>
      <c r="D8222" s="35" t="s">
        <v>583</v>
      </c>
      <c r="E8222" s="36">
        <v>19.401</v>
      </c>
      <c r="F8222" s="30">
        <v>20.225499999999997</v>
      </c>
      <c r="G8222" s="33">
        <f t="shared" si="810"/>
        <v>392.39492549999994</v>
      </c>
      <c r="H8222" s="38">
        <f>SUM(G8222:G8223)</f>
        <v>531.36692949999997</v>
      </c>
      <c r="I8222" s="39"/>
      <c r="J8222" s="152">
        <v>2</v>
      </c>
      <c r="L8222" s="215">
        <v>19.401</v>
      </c>
      <c r="M8222" s="30">
        <v>17.313027999999996</v>
      </c>
      <c r="N8222" s="33">
        <f t="shared" si="811"/>
        <v>335.89005622799993</v>
      </c>
      <c r="O8222" s="38">
        <f>SUM(N8222:N8223)</f>
        <v>454.85009165199995</v>
      </c>
      <c r="P8222" s="36" t="str">
        <f t="shared" si="812"/>
        <v/>
      </c>
      <c r="Q8222" s="216">
        <f t="shared" si="813"/>
        <v>0.14400000000000013</v>
      </c>
      <c r="R8222" s="216">
        <f t="shared" si="814"/>
        <v>0.14400000000000002</v>
      </c>
      <c r="S8222" s="217">
        <f t="shared" si="815"/>
        <v>0.14400000000000002</v>
      </c>
    </row>
    <row r="8223" spans="1:19" ht="25.5" x14ac:dyDescent="0.25">
      <c r="A8223" s="257"/>
      <c r="B8223" s="260"/>
      <c r="C8223" s="35" t="s">
        <v>2907</v>
      </c>
      <c r="D8223" s="35" t="s">
        <v>583</v>
      </c>
      <c r="E8223" s="36">
        <v>4.9039999999999999</v>
      </c>
      <c r="F8223" s="30">
        <v>28.338499999999996</v>
      </c>
      <c r="G8223" s="33">
        <f t="shared" si="810"/>
        <v>138.97200399999997</v>
      </c>
      <c r="H8223" s="34"/>
      <c r="I8223" s="39"/>
      <c r="J8223" s="152">
        <v>2</v>
      </c>
      <c r="L8223" s="215">
        <v>4.9039999999999999</v>
      </c>
      <c r="M8223" s="30">
        <v>24.257755999999997</v>
      </c>
      <c r="N8223" s="33">
        <f t="shared" si="811"/>
        <v>118.96003542399998</v>
      </c>
      <c r="O8223" s="34"/>
      <c r="P8223" s="36" t="str">
        <f t="shared" si="812"/>
        <v/>
      </c>
      <c r="Q8223" s="216">
        <f t="shared" si="813"/>
        <v>0.14400000000000002</v>
      </c>
      <c r="R8223" s="216">
        <f t="shared" si="814"/>
        <v>0.14399999999999991</v>
      </c>
      <c r="S8223" s="217" t="str">
        <f t="shared" si="815"/>
        <v/>
      </c>
    </row>
    <row r="8224" spans="1:19" ht="15.75" thickBot="1" x14ac:dyDescent="0.3">
      <c r="A8224" s="258"/>
      <c r="B8224" s="261"/>
      <c r="C8224" s="54"/>
      <c r="D8224" s="54"/>
      <c r="E8224" s="65"/>
      <c r="F8224" s="66" t="s">
        <v>416</v>
      </c>
      <c r="G8224" s="67" t="str">
        <f t="shared" si="810"/>
        <v/>
      </c>
      <c r="H8224" s="68"/>
      <c r="I8224" s="30"/>
      <c r="J8224" s="152">
        <v>2</v>
      </c>
      <c r="L8224" s="222"/>
      <c r="M8224" s="66"/>
      <c r="N8224" s="67" t="str">
        <f t="shared" si="811"/>
        <v/>
      </c>
      <c r="O8224" s="68"/>
      <c r="P8224" s="36" t="str">
        <f t="shared" si="812"/>
        <v/>
      </c>
      <c r="Q8224" s="216" t="str">
        <f t="shared" si="813"/>
        <v/>
      </c>
      <c r="R8224" s="216" t="str">
        <f t="shared" si="814"/>
        <v/>
      </c>
      <c r="S8224" s="217" t="str">
        <f t="shared" si="815"/>
        <v/>
      </c>
    </row>
    <row r="8225" spans="1:19" ht="15.75" thickBot="1" x14ac:dyDescent="0.3">
      <c r="A8225" s="256" t="s">
        <v>7080</v>
      </c>
      <c r="B8225" s="259" t="str">
        <f>INDEX(Orçamentária!A:B,MATCH(Composições!A8225,Orçamentária!A:A,0),2)</f>
        <v>Projeto executivo de engenharia elétrica – Climatização do Bloco 17 por split</v>
      </c>
      <c r="C8225" s="40"/>
      <c r="D8225" s="25" t="s">
        <v>16</v>
      </c>
      <c r="E8225" s="26"/>
      <c r="F8225" s="41" t="s">
        <v>416</v>
      </c>
      <c r="G8225" s="27" t="str">
        <f t="shared" si="810"/>
        <v/>
      </c>
      <c r="H8225" s="28"/>
      <c r="I8225" s="29"/>
      <c r="J8225" s="152">
        <v>1</v>
      </c>
      <c r="L8225" s="218"/>
      <c r="M8225" s="41"/>
      <c r="N8225" s="27" t="str">
        <f t="shared" si="811"/>
        <v/>
      </c>
      <c r="O8225" s="28"/>
      <c r="P8225" s="36" t="str">
        <f t="shared" si="812"/>
        <v/>
      </c>
      <c r="Q8225" s="216" t="str">
        <f t="shared" si="813"/>
        <v/>
      </c>
      <c r="R8225" s="216" t="str">
        <f t="shared" si="814"/>
        <v/>
      </c>
      <c r="S8225" s="217" t="str">
        <f t="shared" si="815"/>
        <v/>
      </c>
    </row>
    <row r="8226" spans="1:19" x14ac:dyDescent="0.25">
      <c r="A8226" s="257"/>
      <c r="B8226" s="260"/>
      <c r="C8226" s="31"/>
      <c r="D8226" s="31"/>
      <c r="E8226" s="32"/>
      <c r="F8226" s="42" t="s">
        <v>416</v>
      </c>
      <c r="G8226" s="33" t="str">
        <f t="shared" si="810"/>
        <v/>
      </c>
      <c r="H8226" s="34"/>
      <c r="I8226" s="30"/>
      <c r="J8226" s="152">
        <v>1</v>
      </c>
      <c r="L8226" s="219"/>
      <c r="M8226" s="42"/>
      <c r="N8226" s="33" t="str">
        <f t="shared" si="811"/>
        <v/>
      </c>
      <c r="O8226" s="34"/>
      <c r="P8226" s="36" t="str">
        <f t="shared" si="812"/>
        <v/>
      </c>
      <c r="Q8226" s="216" t="str">
        <f t="shared" si="813"/>
        <v/>
      </c>
      <c r="R8226" s="216" t="str">
        <f t="shared" si="814"/>
        <v/>
      </c>
      <c r="S8226" s="217" t="str">
        <f t="shared" si="815"/>
        <v/>
      </c>
    </row>
    <row r="8227" spans="1:19" x14ac:dyDescent="0.25">
      <c r="A8227" s="257"/>
      <c r="B8227" s="260"/>
      <c r="C8227" s="35" t="s">
        <v>2917</v>
      </c>
      <c r="D8227" s="35" t="s">
        <v>583</v>
      </c>
      <c r="E8227" s="36">
        <v>40</v>
      </c>
      <c r="F8227" s="30">
        <v>124.203</v>
      </c>
      <c r="G8227" s="33">
        <f t="shared" si="810"/>
        <v>4968.12</v>
      </c>
      <c r="H8227" s="38">
        <f>SUM(G8227:G8229)</f>
        <v>5540.96</v>
      </c>
      <c r="I8227" s="39"/>
      <c r="J8227" s="152">
        <v>1</v>
      </c>
      <c r="L8227" s="215">
        <v>40</v>
      </c>
      <c r="M8227" s="30">
        <v>106.317768</v>
      </c>
      <c r="N8227" s="33">
        <f t="shared" si="811"/>
        <v>4252.71072</v>
      </c>
      <c r="O8227" s="38">
        <f>SUM(N8227:N8229)</f>
        <v>4743.0617599999996</v>
      </c>
      <c r="P8227" s="36" t="str">
        <f t="shared" si="812"/>
        <v/>
      </c>
      <c r="Q8227" s="216">
        <f t="shared" si="813"/>
        <v>0.14400000000000002</v>
      </c>
      <c r="R8227" s="216">
        <f t="shared" si="814"/>
        <v>0.14400000000000002</v>
      </c>
      <c r="S8227" s="217">
        <f t="shared" si="815"/>
        <v>0.14400000000000013</v>
      </c>
    </row>
    <row r="8228" spans="1:19" x14ac:dyDescent="0.25">
      <c r="A8228" s="257"/>
      <c r="B8228" s="260"/>
      <c r="C8228" s="35" t="s">
        <v>2912</v>
      </c>
      <c r="D8228" s="35" t="s">
        <v>583</v>
      </c>
      <c r="E8228" s="36">
        <v>20</v>
      </c>
      <c r="F8228" s="30">
        <v>15.9125</v>
      </c>
      <c r="G8228" s="33">
        <f t="shared" si="810"/>
        <v>318.25</v>
      </c>
      <c r="H8228" s="34"/>
      <c r="I8228" s="39"/>
      <c r="J8228" s="152">
        <v>1</v>
      </c>
      <c r="L8228" s="215">
        <v>20</v>
      </c>
      <c r="M8228" s="30">
        <v>13.6211</v>
      </c>
      <c r="N8228" s="33">
        <f t="shared" si="811"/>
        <v>272.42200000000003</v>
      </c>
      <c r="O8228" s="34"/>
      <c r="P8228" s="36" t="str">
        <f t="shared" si="812"/>
        <v/>
      </c>
      <c r="Q8228" s="216">
        <f t="shared" si="813"/>
        <v>0.14400000000000002</v>
      </c>
      <c r="R8228" s="216">
        <f t="shared" si="814"/>
        <v>0.14399999999999991</v>
      </c>
      <c r="S8228" s="217" t="str">
        <f t="shared" si="815"/>
        <v/>
      </c>
    </row>
    <row r="8229" spans="1:19" x14ac:dyDescent="0.25">
      <c r="A8229" s="257"/>
      <c r="B8229" s="260"/>
      <c r="C8229" s="35" t="s">
        <v>15</v>
      </c>
      <c r="D8229" s="35" t="s">
        <v>16</v>
      </c>
      <c r="E8229" s="36">
        <v>1</v>
      </c>
      <c r="F8229" s="33">
        <v>254.59</v>
      </c>
      <c r="G8229" s="33">
        <f t="shared" si="810"/>
        <v>254.59</v>
      </c>
      <c r="H8229" s="34"/>
      <c r="I8229" s="39"/>
      <c r="J8229" s="152">
        <v>1</v>
      </c>
      <c r="L8229" s="215">
        <v>1</v>
      </c>
      <c r="M8229" s="33">
        <v>217.92904000000001</v>
      </c>
      <c r="N8229" s="33">
        <f t="shared" si="811"/>
        <v>217.92904000000001</v>
      </c>
      <c r="O8229" s="34"/>
      <c r="P8229" s="36" t="str">
        <f t="shared" si="812"/>
        <v/>
      </c>
      <c r="Q8229" s="216">
        <f t="shared" si="813"/>
        <v>0.14399999999999991</v>
      </c>
      <c r="R8229" s="216">
        <f t="shared" si="814"/>
        <v>0.14399999999999991</v>
      </c>
      <c r="S8229" s="217" t="str">
        <f t="shared" si="815"/>
        <v/>
      </c>
    </row>
    <row r="8230" spans="1:19" ht="15.75" thickBot="1" x14ac:dyDescent="0.3">
      <c r="A8230" s="258"/>
      <c r="B8230" s="261"/>
      <c r="C8230" s="54"/>
      <c r="D8230" s="54"/>
      <c r="E8230" s="65"/>
      <c r="F8230" s="66" t="s">
        <v>416</v>
      </c>
      <c r="G8230" s="67" t="str">
        <f t="shared" si="810"/>
        <v/>
      </c>
      <c r="H8230" s="68"/>
      <c r="I8230" s="30"/>
      <c r="J8230" s="152">
        <v>1</v>
      </c>
      <c r="L8230" s="222"/>
      <c r="M8230" s="66"/>
      <c r="N8230" s="67" t="str">
        <f t="shared" si="811"/>
        <v/>
      </c>
      <c r="O8230" s="68"/>
      <c r="P8230" s="36" t="str">
        <f t="shared" si="812"/>
        <v/>
      </c>
      <c r="Q8230" s="216" t="str">
        <f t="shared" si="813"/>
        <v/>
      </c>
      <c r="R8230" s="216" t="str">
        <f t="shared" si="814"/>
        <v/>
      </c>
      <c r="S8230" s="217" t="str">
        <f t="shared" si="815"/>
        <v/>
      </c>
    </row>
    <row r="8231" spans="1:19" ht="15.75" thickBot="1" x14ac:dyDescent="0.3">
      <c r="A8231" s="256" t="s">
        <v>7081</v>
      </c>
      <c r="B8231" s="259" t="str">
        <f>INDEX(Orçamentária!A:B,MATCH(Composições!A8231,Orçamentária!A:A,0),2)</f>
        <v>Quadro elétrico TTA - Sistema de climatização do Bloco 17 por split</v>
      </c>
      <c r="C8231" s="40"/>
      <c r="D8231" s="25" t="s">
        <v>16</v>
      </c>
      <c r="E8231" s="26"/>
      <c r="F8231" s="41" t="s">
        <v>416</v>
      </c>
      <c r="G8231" s="27" t="str">
        <f t="shared" si="810"/>
        <v/>
      </c>
      <c r="H8231" s="28"/>
      <c r="I8231" s="29"/>
      <c r="J8231" s="152">
        <v>1</v>
      </c>
      <c r="L8231" s="218"/>
      <c r="M8231" s="41"/>
      <c r="N8231" s="27" t="str">
        <f t="shared" si="811"/>
        <v/>
      </c>
      <c r="O8231" s="28"/>
      <c r="P8231" s="36" t="str">
        <f t="shared" si="812"/>
        <v/>
      </c>
      <c r="Q8231" s="216" t="str">
        <f t="shared" si="813"/>
        <v/>
      </c>
      <c r="R8231" s="216" t="str">
        <f t="shared" si="814"/>
        <v/>
      </c>
      <c r="S8231" s="217" t="str">
        <f t="shared" si="815"/>
        <v/>
      </c>
    </row>
    <row r="8232" spans="1:19" x14ac:dyDescent="0.25">
      <c r="A8232" s="262"/>
      <c r="B8232" s="260"/>
      <c r="C8232" s="31"/>
      <c r="D8232" s="31"/>
      <c r="E8232" s="32"/>
      <c r="F8232" s="42" t="s">
        <v>416</v>
      </c>
      <c r="G8232" s="30" t="str">
        <f t="shared" si="810"/>
        <v/>
      </c>
      <c r="H8232" s="34"/>
      <c r="I8232" s="30"/>
      <c r="J8232" s="152">
        <v>1</v>
      </c>
      <c r="L8232" s="219"/>
      <c r="M8232" s="42"/>
      <c r="N8232" s="30" t="str">
        <f t="shared" si="811"/>
        <v/>
      </c>
      <c r="O8232" s="34"/>
      <c r="P8232" s="36" t="str">
        <f t="shared" si="812"/>
        <v/>
      </c>
      <c r="Q8232" s="216" t="str">
        <f t="shared" si="813"/>
        <v/>
      </c>
      <c r="R8232" s="216" t="str">
        <f t="shared" si="814"/>
        <v/>
      </c>
      <c r="S8232" s="217" t="str">
        <f t="shared" si="815"/>
        <v/>
      </c>
    </row>
    <row r="8233" spans="1:19" ht="38.25" x14ac:dyDescent="0.25">
      <c r="A8233" s="262"/>
      <c r="B8233" s="260"/>
      <c r="C8233" s="35" t="s">
        <v>8512</v>
      </c>
      <c r="D8233" s="46" t="s">
        <v>16</v>
      </c>
      <c r="E8233" s="36">
        <v>1</v>
      </c>
      <c r="F8233" s="33">
        <v>25487.3</v>
      </c>
      <c r="G8233" s="30">
        <f t="shared" si="810"/>
        <v>25487.3</v>
      </c>
      <c r="H8233" s="38">
        <f>SUM(G8233:G8236)</f>
        <v>25534.717608440253</v>
      </c>
      <c r="I8233" s="39"/>
      <c r="J8233" s="152">
        <v>1</v>
      </c>
      <c r="L8233" s="215">
        <v>1</v>
      </c>
      <c r="M8233" s="33">
        <v>21817.128799999999</v>
      </c>
      <c r="N8233" s="30">
        <f t="shared" si="811"/>
        <v>21817.128799999999</v>
      </c>
      <c r="O8233" s="38">
        <f>SUM(N8233:N8236)</f>
        <v>21857.718272824852</v>
      </c>
      <c r="P8233" s="36" t="str">
        <f t="shared" si="812"/>
        <v/>
      </c>
      <c r="Q8233" s="216">
        <f t="shared" si="813"/>
        <v>0.14400000000000002</v>
      </c>
      <c r="R8233" s="216">
        <f t="shared" si="814"/>
        <v>0.14400000000000002</v>
      </c>
      <c r="S8233" s="217">
        <f t="shared" si="815"/>
        <v>0.14400000000000013</v>
      </c>
    </row>
    <row r="8234" spans="1:19" ht="38.25" x14ac:dyDescent="0.25">
      <c r="A8234" s="262"/>
      <c r="B8234" s="260"/>
      <c r="C8234" s="35" t="s">
        <v>2897</v>
      </c>
      <c r="D8234" s="46" t="s">
        <v>87</v>
      </c>
      <c r="E8234" s="36">
        <v>1.9199999999999998E-2</v>
      </c>
      <c r="F8234" s="30">
        <v>838.58271563799997</v>
      </c>
      <c r="G8234" s="30">
        <f t="shared" si="810"/>
        <v>16.100788140249598</v>
      </c>
      <c r="H8234" s="34"/>
      <c r="I8234" s="30"/>
      <c r="J8234" s="152">
        <v>1</v>
      </c>
      <c r="L8234" s="215">
        <v>1.9199999999999998E-2</v>
      </c>
      <c r="M8234" s="30">
        <v>717.82680458612799</v>
      </c>
      <c r="N8234" s="30">
        <f t="shared" si="811"/>
        <v>13.782274648053656</v>
      </c>
      <c r="O8234" s="34"/>
      <c r="P8234" s="36" t="str">
        <f t="shared" si="812"/>
        <v/>
      </c>
      <c r="Q8234" s="216">
        <f t="shared" si="813"/>
        <v>0.14400000000000002</v>
      </c>
      <c r="R8234" s="216">
        <f t="shared" si="814"/>
        <v>0.14400000000000002</v>
      </c>
      <c r="S8234" s="217" t="str">
        <f t="shared" si="815"/>
        <v/>
      </c>
    </row>
    <row r="8235" spans="1:19" x14ac:dyDescent="0.25">
      <c r="A8235" s="262"/>
      <c r="B8235" s="260"/>
      <c r="C8235" s="35" t="s">
        <v>1017</v>
      </c>
      <c r="D8235" s="35" t="s">
        <v>583</v>
      </c>
      <c r="E8235" s="36">
        <v>0.63370000000000004</v>
      </c>
      <c r="F8235" s="30">
        <v>21.584</v>
      </c>
      <c r="G8235" s="30">
        <f t="shared" si="810"/>
        <v>13.677780800000001</v>
      </c>
      <c r="H8235" s="34"/>
      <c r="I8235" s="30"/>
      <c r="J8235" s="152">
        <v>1</v>
      </c>
      <c r="L8235" s="215">
        <v>0.63370000000000004</v>
      </c>
      <c r="M8235" s="30">
        <v>18.475904</v>
      </c>
      <c r="N8235" s="30">
        <f t="shared" si="811"/>
        <v>11.7081803648</v>
      </c>
      <c r="O8235" s="34"/>
      <c r="P8235" s="36" t="str">
        <f t="shared" si="812"/>
        <v/>
      </c>
      <c r="Q8235" s="216">
        <f t="shared" si="813"/>
        <v>0.14400000000000002</v>
      </c>
      <c r="R8235" s="216">
        <f t="shared" si="814"/>
        <v>0.14400000000000002</v>
      </c>
      <c r="S8235" s="217" t="str">
        <f t="shared" si="815"/>
        <v/>
      </c>
    </row>
    <row r="8236" spans="1:19" x14ac:dyDescent="0.25">
      <c r="A8236" s="262"/>
      <c r="B8236" s="260"/>
      <c r="C8236" s="35" t="s">
        <v>1018</v>
      </c>
      <c r="D8236" s="35" t="s">
        <v>583</v>
      </c>
      <c r="E8236" s="36">
        <v>0.63370000000000004</v>
      </c>
      <c r="F8236" s="30">
        <v>27.835000000000001</v>
      </c>
      <c r="G8236" s="33">
        <f t="shared" si="810"/>
        <v>17.639039500000003</v>
      </c>
      <c r="H8236" s="34"/>
      <c r="I8236" s="30"/>
      <c r="J8236" s="152">
        <v>1</v>
      </c>
      <c r="L8236" s="215">
        <v>0.63370000000000004</v>
      </c>
      <c r="M8236" s="30">
        <v>23.82676</v>
      </c>
      <c r="N8236" s="33">
        <f t="shared" si="811"/>
        <v>15.099017812000001</v>
      </c>
      <c r="O8236" s="34"/>
      <c r="P8236" s="36" t="str">
        <f t="shared" si="812"/>
        <v/>
      </c>
      <c r="Q8236" s="216">
        <f t="shared" si="813"/>
        <v>0.14400000000000002</v>
      </c>
      <c r="R8236" s="216">
        <f t="shared" si="814"/>
        <v>0.14400000000000002</v>
      </c>
      <c r="S8236" s="217" t="str">
        <f t="shared" si="815"/>
        <v/>
      </c>
    </row>
    <row r="8237" spans="1:19" ht="15.75" thickBot="1" x14ac:dyDescent="0.3">
      <c r="A8237" s="263"/>
      <c r="B8237" s="261"/>
      <c r="C8237" s="54"/>
      <c r="D8237" s="54"/>
      <c r="E8237" s="65"/>
      <c r="F8237" s="66" t="s">
        <v>416</v>
      </c>
      <c r="G8237" s="66" t="str">
        <f t="shared" si="810"/>
        <v/>
      </c>
      <c r="H8237" s="68"/>
      <c r="I8237" s="30"/>
      <c r="J8237" s="152">
        <v>1</v>
      </c>
      <c r="L8237" s="222"/>
      <c r="M8237" s="66" t="s">
        <v>416</v>
      </c>
      <c r="N8237" s="66" t="str">
        <f t="shared" si="811"/>
        <v/>
      </c>
      <c r="O8237" s="68"/>
      <c r="P8237" s="65" t="str">
        <f t="shared" si="812"/>
        <v/>
      </c>
      <c r="Q8237" s="224" t="str">
        <f t="shared" si="813"/>
        <v/>
      </c>
      <c r="R8237" s="224" t="str">
        <f t="shared" si="814"/>
        <v/>
      </c>
      <c r="S8237" s="225" t="str">
        <f t="shared" si="815"/>
        <v/>
      </c>
    </row>
  </sheetData>
  <protectedRanges>
    <protectedRange sqref="C3261 C3256" name="COTACOES_92_6"/>
    <protectedRange sqref="C422 C401" name="COTACOES_92_13_1"/>
    <protectedRange sqref="C1230" name="COTACOES_91_1_2_1"/>
    <protectedRange sqref="C1224" name="COTACOES_91_1_3_1"/>
    <protectedRange sqref="C1391:C1392" name="COTACOES_68_1_1"/>
    <protectedRange sqref="F1525 F1537 F1519 F1513 F1531" name="COTACOES_27_1_2_1_8_1"/>
    <protectedRange sqref="C1525 C1537 C1519 C1513 C1531" name="COTACOES_5_1_8_1"/>
    <protectedRange sqref="C1410:C1412 C1425:C1427 C1440:C1442 C1455:C1457 C1470:C1472 C1485:C1487 C1500:C1502 C1414 C1429 C1444 C1459 C1474 C1489 C1504" name="COTACOES_32_1_1"/>
    <protectedRange sqref="F1575 F1578 F1581" name="COTACOES_27_1_2_1_17_1"/>
    <protectedRange sqref="C1574:C1576 C1581:C1582 C1578:C1579" name="COTACOES_5_1_17_1"/>
    <protectedRange sqref="C5085" name="COTACOES_15_1_1"/>
    <protectedRange sqref="C1728 C1739 C1730 C1741" name="COTACOES_8_1_1"/>
    <protectedRange sqref="C1706 C4944:C4945 C4959 C4966 C1717 C1708 C1719" name="COTACOES_9_1_1_3"/>
    <protectedRange sqref="C1692" name="COTACOES_10_1_1"/>
    <protectedRange sqref="C1766" name="COTACOES_42_1_3"/>
    <protectedRange sqref="C1780" name="COTACOES_42_1_1_1"/>
    <protectedRange sqref="C1794" name="COTACOES_42_1_2_1"/>
    <protectedRange sqref="F1752" name="COTACOES_27_1_1_3_1"/>
    <protectedRange sqref="F1759" name="COTACOES_27_1_1_4_1"/>
    <protectedRange sqref="C1818" name="COTACOES_37_1_1"/>
    <protectedRange sqref="C1824" name="COTACOES_82_1_1"/>
    <protectedRange sqref="C1837" name="COTACOES_58_1_1"/>
    <protectedRange sqref="C1843" name="COTACOES_61_1_1"/>
    <protectedRange sqref="C1849" name="COTACOES_40_1_1"/>
    <protectedRange sqref="C1855" name="COTACOES_36_1_2"/>
    <protectedRange sqref="C1891" name="COTACOES_41_1_2"/>
    <protectedRange sqref="C1867 C1885" name="COTACOES_41_1_1_1"/>
    <protectedRange sqref="C1861" name="COTACOES_36_1_1_1"/>
    <protectedRange sqref="C1873 C1879" name="COTACOES_44_1_1"/>
    <protectedRange sqref="C1897" name="COTACOES_51_1_1"/>
    <protectedRange sqref="F1897" name="COTACOES_54_1_1"/>
    <protectedRange sqref="C1903 C2393 C3085 C3211" name="COTACOES_55_1_3"/>
    <protectedRange sqref="F1903" name="COTACOES_57_1_1"/>
    <protectedRange sqref="C1947" name="COTACOES_75_1_2"/>
    <protectedRange sqref="C1953" name="COTACOES_75_1_1_1"/>
    <protectedRange sqref="C1983 C1975" name="COTACOES_78_1_1"/>
    <protectedRange sqref="C1966" name="COTACOES_80_1_2"/>
    <protectedRange sqref="C1959" name="COTACOES_80_1_1_1"/>
    <protectedRange sqref="C2324" name="COTACOES_62_1_1"/>
    <protectedRange sqref="C3357" name="COTACOES_92_2_3_2"/>
    <protectedRange sqref="C3365" name="COTACOES_92_2_5_1"/>
    <protectedRange sqref="C3673:C3675" name="COTACOES_55_1_1_1_1"/>
    <protectedRange sqref="C3693:C3695 C3708" name="COTACOES_55_1_1_2_1"/>
    <protectedRange sqref="C3827 C3767 C3706:C3707 C3709 C3773 C3779 C3785 C3791 C3797 C3803 C3809 C3815 C3821" name="COTACOES_55_1_1_4_1"/>
    <protectedRange sqref="C3950" name="COTACOES_9_1_1_1_1"/>
    <protectedRange sqref="C4149 C4197" name="COTACOES_55_1_7_1_2"/>
    <protectedRange sqref="C2575:C2576 C2583:C2584 C2591:C2592 C7294 C2609 C7298 C7302 C7306 C7253 C7805 C7845 C7857 C7893 C7941" name="COTACOES_92_5_2"/>
    <protectedRange sqref="C4105:C4106 C4111" name="COTACOES_55_1_7_1_1_1_1"/>
    <protectedRange sqref="C4364" name="COTACOES_92_17_1_1_1"/>
    <protectedRange sqref="C2658:C2659 C2664:C2665 C2670:C2671 C2676:C2677 C2682:C2683 C2688:C2689 C2700:C2701 C2706:C2707 C2712:C2713 C2694:C2695 C7149:C7150 C7155:C7156 C7161:C7162 C7167:C7168 C7173:C7174" name="COTACOES_92_3_2_1"/>
    <protectedRange sqref="C1729" name="COTACOES_9_1_1_3_1"/>
    <protectedRange sqref="C1740" name="COTACOES_9_1_1_3_2"/>
    <protectedRange sqref="C1707 C1718" name="COTACOES_9_1_1_3_3"/>
    <protectedRange sqref="C5394 C5396 C5453 C5447 C5472" name="COTACOES_8_1_1_1"/>
    <protectedRange sqref="C5395" name="COTACOES_9_1_1_3_4"/>
    <protectedRange sqref="C6388 C6395" name="COTACOES_8_1_1_2"/>
    <protectedRange sqref="C6469" name="COTACOES_9_1_1_3_5_2"/>
    <protectedRange sqref="C7226" name="COTACOES_51_1_1_1"/>
    <protectedRange sqref="F7226" name="COTACOES_54_1_1_1"/>
    <protectedRange sqref="F7398 F7404 F7410 F7416" name="COTACOES_27_1_2_1_8_1_1"/>
    <protectedRange sqref="C7404 C7410 C7416 C7398" name="COTACOES_5_1_8_1_1"/>
  </protectedRanges>
  <autoFilter ref="A5:J8237">
    <filterColumn colId="9">
      <filters>
        <filter val="1,00"/>
        <filter val="1,50"/>
        <filter val="10,00"/>
        <filter val="105,00"/>
        <filter val="107,00"/>
        <filter val="11,00"/>
        <filter val="110,00"/>
        <filter val="118,00"/>
        <filter val="12,00"/>
        <filter val="120,00"/>
        <filter val="122,00"/>
        <filter val="15,00"/>
        <filter val="17,00"/>
        <filter val="2,00"/>
        <filter val="21,00"/>
        <filter val="2200,00"/>
        <filter val="222,00"/>
        <filter val="24,00"/>
        <filter val="271,00"/>
        <filter val="28,00"/>
        <filter val="30,00"/>
        <filter val="31,00"/>
        <filter val="32,00"/>
        <filter val="356,00"/>
        <filter val="388,00"/>
        <filter val="4,00"/>
        <filter val="40,00"/>
        <filter val="480,00"/>
        <filter val="500,00"/>
        <filter val="504,00"/>
        <filter val="6,00"/>
        <filter val="60,00"/>
        <filter val="71,00"/>
        <filter val="76,00"/>
        <filter val="890,00"/>
      </filters>
    </filterColumn>
  </autoFilter>
  <mergeCells count="2792">
    <mergeCell ref="A7074:A7077"/>
    <mergeCell ref="B7074:B7077"/>
    <mergeCell ref="A7078:A7081"/>
    <mergeCell ref="B7078:B7081"/>
    <mergeCell ref="A7082:A7085"/>
    <mergeCell ref="B7082:B7085"/>
    <mergeCell ref="A4732:A4735"/>
    <mergeCell ref="B4732:B4735"/>
    <mergeCell ref="A4736:A4739"/>
    <mergeCell ref="B4736:B4739"/>
    <mergeCell ref="A7296:A7299"/>
    <mergeCell ref="B7296:B7299"/>
    <mergeCell ref="A7110:A7113"/>
    <mergeCell ref="B7110:B7113"/>
    <mergeCell ref="A7126:A7129"/>
    <mergeCell ref="B7126:B7129"/>
    <mergeCell ref="A7200:A7205"/>
    <mergeCell ref="B7200:B7205"/>
    <mergeCell ref="A7182:A7187"/>
    <mergeCell ref="B7182:B7187"/>
    <mergeCell ref="A7214:A7217"/>
    <mergeCell ref="B7214:B7217"/>
    <mergeCell ref="A7122:A7125"/>
    <mergeCell ref="B7122:B7125"/>
    <mergeCell ref="A6914:A6917"/>
    <mergeCell ref="B6914:B6917"/>
    <mergeCell ref="A7086:A7089"/>
    <mergeCell ref="B7086:B7089"/>
    <mergeCell ref="A7090:A7093"/>
    <mergeCell ref="B7090:B7093"/>
    <mergeCell ref="A7018:A7021"/>
    <mergeCell ref="B7018:B7021"/>
    <mergeCell ref="A7300:A7303"/>
    <mergeCell ref="B7300:B7303"/>
    <mergeCell ref="A7304:A7307"/>
    <mergeCell ref="B7304:B7307"/>
    <mergeCell ref="A7222:A7227"/>
    <mergeCell ref="B7222:B7227"/>
    <mergeCell ref="A7228:A7233"/>
    <mergeCell ref="B7228:B7233"/>
    <mergeCell ref="A4752:A4755"/>
    <mergeCell ref="B4752:B4755"/>
    <mergeCell ref="A7234:A7240"/>
    <mergeCell ref="B7234:B7240"/>
    <mergeCell ref="A6862:A6865"/>
    <mergeCell ref="B6862:B6865"/>
    <mergeCell ref="A6846:A6849"/>
    <mergeCell ref="B6846:B6849"/>
    <mergeCell ref="A6886:A6889"/>
    <mergeCell ref="B6886:B6889"/>
    <mergeCell ref="A7130:A7133"/>
    <mergeCell ref="B7130:B7133"/>
    <mergeCell ref="A7134:A7137"/>
    <mergeCell ref="B7134:B7137"/>
    <mergeCell ref="A7138:A7141"/>
    <mergeCell ref="B7138:B7141"/>
    <mergeCell ref="A7142:A7145"/>
    <mergeCell ref="B7142:B7145"/>
    <mergeCell ref="A7114:A7117"/>
    <mergeCell ref="B7114:B7117"/>
    <mergeCell ref="A7118:A7121"/>
    <mergeCell ref="B7118:B7121"/>
    <mergeCell ref="A7106:A7109"/>
    <mergeCell ref="B7106:B7109"/>
    <mergeCell ref="A2715:A2718"/>
    <mergeCell ref="B2715:B2718"/>
    <mergeCell ref="A2719:A2722"/>
    <mergeCell ref="B2719:B2722"/>
    <mergeCell ref="A2723:A2726"/>
    <mergeCell ref="B2723:B2726"/>
    <mergeCell ref="A2743:A2746"/>
    <mergeCell ref="B2743:B2746"/>
    <mergeCell ref="A2755:A2758"/>
    <mergeCell ref="B2755:B2758"/>
    <mergeCell ref="A3462:A3472"/>
    <mergeCell ref="B3462:B3472"/>
    <mergeCell ref="A3533:A3541"/>
    <mergeCell ref="B3533:B3541"/>
    <mergeCell ref="A2812:A2816"/>
    <mergeCell ref="B2812:B2816"/>
    <mergeCell ref="A2817:A2821"/>
    <mergeCell ref="B2817:B2821"/>
    <mergeCell ref="A2822:A2826"/>
    <mergeCell ref="B2822:B2826"/>
    <mergeCell ref="A2776:A2785"/>
    <mergeCell ref="B2776:B2785"/>
    <mergeCell ref="A2786:A2791"/>
    <mergeCell ref="B2786:B2791"/>
    <mergeCell ref="A2797:A2801"/>
    <mergeCell ref="B2797:B2801"/>
    <mergeCell ref="A2912:A2919"/>
    <mergeCell ref="B2912:B2919"/>
    <mergeCell ref="A2920:A2927"/>
    <mergeCell ref="B2920:B2927"/>
    <mergeCell ref="A2928:A2935"/>
    <mergeCell ref="B2928:B2935"/>
    <mergeCell ref="A7006:A7009"/>
    <mergeCell ref="B7006:B7009"/>
    <mergeCell ref="A7022:A7025"/>
    <mergeCell ref="B7022:B7025"/>
    <mergeCell ref="A2802:A2811"/>
    <mergeCell ref="B2802:B2811"/>
    <mergeCell ref="A2792:A2796"/>
    <mergeCell ref="B2792:B2796"/>
    <mergeCell ref="A2739:A2742"/>
    <mergeCell ref="B2739:B2742"/>
    <mergeCell ref="A2747:A2750"/>
    <mergeCell ref="B2747:B2750"/>
    <mergeCell ref="A2751:A2754"/>
    <mergeCell ref="B2751:B2754"/>
    <mergeCell ref="A2966:A2970"/>
    <mergeCell ref="B2966:B2970"/>
    <mergeCell ref="A2971:A2975"/>
    <mergeCell ref="B2971:B2975"/>
    <mergeCell ref="A2976:A2980"/>
    <mergeCell ref="B2976:B2980"/>
    <mergeCell ref="A2951:A2955"/>
    <mergeCell ref="B2951:B2955"/>
    <mergeCell ref="A2956:A2960"/>
    <mergeCell ref="B2956:B2960"/>
    <mergeCell ref="A7014:A7017"/>
    <mergeCell ref="B7014:B7017"/>
    <mergeCell ref="A7002:A7005"/>
    <mergeCell ref="B7002:B7005"/>
    <mergeCell ref="A6998:A7001"/>
    <mergeCell ref="B6998:B7001"/>
    <mergeCell ref="A6850:A6853"/>
    <mergeCell ref="B6850:B6853"/>
    <mergeCell ref="A7218:A7221"/>
    <mergeCell ref="B7218:B7221"/>
    <mergeCell ref="A7206:A7209"/>
    <mergeCell ref="B7206:B7209"/>
    <mergeCell ref="A7210:A7213"/>
    <mergeCell ref="B7210:B7213"/>
    <mergeCell ref="A7146:A7151"/>
    <mergeCell ref="B7146:B7151"/>
    <mergeCell ref="A7152:A7157"/>
    <mergeCell ref="B7152:B7157"/>
    <mergeCell ref="A7158:A7163"/>
    <mergeCell ref="B7158:B7163"/>
    <mergeCell ref="A7164:A7169"/>
    <mergeCell ref="B7164:B7169"/>
    <mergeCell ref="A7170:A7175"/>
    <mergeCell ref="B7170:B7175"/>
    <mergeCell ref="A7176:A7181"/>
    <mergeCell ref="B7176:B7181"/>
    <mergeCell ref="A7188:A7193"/>
    <mergeCell ref="B7188:B7193"/>
    <mergeCell ref="A7194:A7199"/>
    <mergeCell ref="B7194:B7199"/>
    <mergeCell ref="A7026:A7029"/>
    <mergeCell ref="B7026:B7029"/>
    <mergeCell ref="A7030:A7033"/>
    <mergeCell ref="B7030:B7033"/>
    <mergeCell ref="A7034:A7037"/>
    <mergeCell ref="B7034:B7037"/>
    <mergeCell ref="A7050:A7053"/>
    <mergeCell ref="B7050:B7053"/>
    <mergeCell ref="A7094:A7097"/>
    <mergeCell ref="B7094:B7097"/>
    <mergeCell ref="A7098:A7101"/>
    <mergeCell ref="B7098:B7101"/>
    <mergeCell ref="A7102:A7105"/>
    <mergeCell ref="B7102:B7105"/>
    <mergeCell ref="A7010:A7013"/>
    <mergeCell ref="B7010:B7013"/>
    <mergeCell ref="A7038:A7041"/>
    <mergeCell ref="B7038:B7041"/>
    <mergeCell ref="A7042:A7045"/>
    <mergeCell ref="B7042:B7045"/>
    <mergeCell ref="A7046:A7049"/>
    <mergeCell ref="B7046:B7049"/>
    <mergeCell ref="A7054:A7057"/>
    <mergeCell ref="B7054:B7057"/>
    <mergeCell ref="A7058:A7061"/>
    <mergeCell ref="B7058:B7061"/>
    <mergeCell ref="A7062:A7065"/>
    <mergeCell ref="B7062:B7065"/>
    <mergeCell ref="A7066:A7069"/>
    <mergeCell ref="B7066:B7069"/>
    <mergeCell ref="A7070:A7073"/>
    <mergeCell ref="B7070:B7073"/>
    <mergeCell ref="A6902:A6905"/>
    <mergeCell ref="B6902:B6905"/>
    <mergeCell ref="A6906:A6909"/>
    <mergeCell ref="B6906:B6909"/>
    <mergeCell ref="A6918:A6921"/>
    <mergeCell ref="B6918:B6921"/>
    <mergeCell ref="A6922:A6925"/>
    <mergeCell ref="B6922:B6925"/>
    <mergeCell ref="A6958:A6961"/>
    <mergeCell ref="B6958:B6961"/>
    <mergeCell ref="A6890:A6893"/>
    <mergeCell ref="B6890:B6893"/>
    <mergeCell ref="A6870:A6873"/>
    <mergeCell ref="B6870:B6873"/>
    <mergeCell ref="A6874:A6877"/>
    <mergeCell ref="B6874:B6877"/>
    <mergeCell ref="A6878:A6881"/>
    <mergeCell ref="B6878:B6881"/>
    <mergeCell ref="A6882:A6885"/>
    <mergeCell ref="B6882:B6885"/>
    <mergeCell ref="A6986:A6989"/>
    <mergeCell ref="B6986:B6989"/>
    <mergeCell ref="A6990:A6993"/>
    <mergeCell ref="B6990:B6993"/>
    <mergeCell ref="A6854:A6857"/>
    <mergeCell ref="B6854:B6857"/>
    <mergeCell ref="A6910:A6913"/>
    <mergeCell ref="B6910:B6913"/>
    <mergeCell ref="A6934:A6937"/>
    <mergeCell ref="B6934:B6937"/>
    <mergeCell ref="A6938:A6941"/>
    <mergeCell ref="B6938:B6941"/>
    <mergeCell ref="A6942:A6945"/>
    <mergeCell ref="B6942:B6945"/>
    <mergeCell ref="A6946:A6949"/>
    <mergeCell ref="B6946:B6949"/>
    <mergeCell ref="A6950:A6953"/>
    <mergeCell ref="B6950:B6953"/>
    <mergeCell ref="A6954:A6957"/>
    <mergeCell ref="B6954:B6957"/>
    <mergeCell ref="A6962:A6965"/>
    <mergeCell ref="B6962:B6965"/>
    <mergeCell ref="A6970:A6973"/>
    <mergeCell ref="B6970:B6973"/>
    <mergeCell ref="A6926:A6929"/>
    <mergeCell ref="B6926:B6929"/>
    <mergeCell ref="A6966:A6969"/>
    <mergeCell ref="B6966:B6969"/>
    <mergeCell ref="A6866:A6869"/>
    <mergeCell ref="B6866:B6869"/>
    <mergeCell ref="A6930:A6933"/>
    <mergeCell ref="B6930:B6933"/>
    <mergeCell ref="A6994:A6997"/>
    <mergeCell ref="B6994:B6997"/>
    <mergeCell ref="A6974:A6977"/>
    <mergeCell ref="B6974:B6977"/>
    <mergeCell ref="A6978:A6981"/>
    <mergeCell ref="B6978:B6981"/>
    <mergeCell ref="A6982:A6985"/>
    <mergeCell ref="B6982:B6985"/>
    <mergeCell ref="A6818:A6821"/>
    <mergeCell ref="B6818:B6821"/>
    <mergeCell ref="A6822:A6825"/>
    <mergeCell ref="B6822:B6825"/>
    <mergeCell ref="A6826:A6829"/>
    <mergeCell ref="B6826:B6829"/>
    <mergeCell ref="A6830:A6833"/>
    <mergeCell ref="B6830:B6833"/>
    <mergeCell ref="A6810:A6813"/>
    <mergeCell ref="B6810:B6813"/>
    <mergeCell ref="A6814:A6817"/>
    <mergeCell ref="B6814:B6817"/>
    <mergeCell ref="A6898:A6901"/>
    <mergeCell ref="B6898:B6901"/>
    <mergeCell ref="A6834:A6837"/>
    <mergeCell ref="B6834:B6837"/>
    <mergeCell ref="A6838:A6841"/>
    <mergeCell ref="B6838:B6841"/>
    <mergeCell ref="A6842:A6845"/>
    <mergeCell ref="B6842:B6845"/>
    <mergeCell ref="A6858:A6861"/>
    <mergeCell ref="B6858:B6861"/>
    <mergeCell ref="A6894:A6897"/>
    <mergeCell ref="B6894:B6897"/>
    <mergeCell ref="A6794:A6797"/>
    <mergeCell ref="B6794:B6797"/>
    <mergeCell ref="A6798:A6801"/>
    <mergeCell ref="B6798:B6801"/>
    <mergeCell ref="A6802:A6805"/>
    <mergeCell ref="B6802:B6805"/>
    <mergeCell ref="A6722:A6725"/>
    <mergeCell ref="B6722:B6725"/>
    <mergeCell ref="A6750:A6753"/>
    <mergeCell ref="B6750:B6753"/>
    <mergeCell ref="A6754:A6757"/>
    <mergeCell ref="B6754:B6757"/>
    <mergeCell ref="A6758:A6761"/>
    <mergeCell ref="B6758:B6761"/>
    <mergeCell ref="A6762:A6765"/>
    <mergeCell ref="B6762:B6765"/>
    <mergeCell ref="A6766:A6769"/>
    <mergeCell ref="B6766:B6769"/>
    <mergeCell ref="A6726:A6729"/>
    <mergeCell ref="B6726:B6729"/>
    <mergeCell ref="A6730:A6733"/>
    <mergeCell ref="B6730:B6733"/>
    <mergeCell ref="A6734:A6737"/>
    <mergeCell ref="B6734:B6737"/>
    <mergeCell ref="A6770:A6773"/>
    <mergeCell ref="B6770:B6773"/>
    <mergeCell ref="A6774:A6777"/>
    <mergeCell ref="B6774:B6777"/>
    <mergeCell ref="A6778:A6781"/>
    <mergeCell ref="B6778:B6781"/>
    <mergeCell ref="A4740:A4743"/>
    <mergeCell ref="B4740:B4743"/>
    <mergeCell ref="A2874:A2880"/>
    <mergeCell ref="B2874:B2880"/>
    <mergeCell ref="A2881:A2885"/>
    <mergeCell ref="B2881:B2885"/>
    <mergeCell ref="A2886:A2890"/>
    <mergeCell ref="B2886:B2890"/>
    <mergeCell ref="A6638:A6641"/>
    <mergeCell ref="B6638:B6641"/>
    <mergeCell ref="A6642:A6645"/>
    <mergeCell ref="B6642:B6645"/>
    <mergeCell ref="A6646:A6649"/>
    <mergeCell ref="B6646:B6649"/>
    <mergeCell ref="A6566:A6569"/>
    <mergeCell ref="B6566:B6569"/>
    <mergeCell ref="A6570:A6573"/>
    <mergeCell ref="B6570:B6573"/>
    <mergeCell ref="A6574:A6577"/>
    <mergeCell ref="B6574:B6577"/>
    <mergeCell ref="A6578:A6581"/>
    <mergeCell ref="B6578:B6581"/>
    <mergeCell ref="A6041:A6044"/>
    <mergeCell ref="B6041:B6044"/>
    <mergeCell ref="A6057:A6060"/>
    <mergeCell ref="B6057:B6060"/>
    <mergeCell ref="A6125:A6128"/>
    <mergeCell ref="B6125:B6128"/>
    <mergeCell ref="A4744:A4747"/>
    <mergeCell ref="B4744:B4747"/>
    <mergeCell ref="A4748:A4751"/>
    <mergeCell ref="B4748:B4751"/>
    <mergeCell ref="B2891:B2895"/>
    <mergeCell ref="A2896:A2903"/>
    <mergeCell ref="B2896:B2903"/>
    <mergeCell ref="A2904:A2911"/>
    <mergeCell ref="B2904:B2911"/>
    <mergeCell ref="A3810:A3815"/>
    <mergeCell ref="B3810:B3815"/>
    <mergeCell ref="A2961:A2965"/>
    <mergeCell ref="B2961:B2965"/>
    <mergeCell ref="A2936:A2940"/>
    <mergeCell ref="B2936:B2940"/>
    <mergeCell ref="A2941:A2945"/>
    <mergeCell ref="B2941:B2945"/>
    <mergeCell ref="A2946:A2950"/>
    <mergeCell ref="B2946:B2950"/>
    <mergeCell ref="A3016:A3020"/>
    <mergeCell ref="B3016:B3020"/>
    <mergeCell ref="A3021:A3025"/>
    <mergeCell ref="B3021:B3025"/>
    <mergeCell ref="A3026:A3030"/>
    <mergeCell ref="B3026:B3030"/>
    <mergeCell ref="A3001:A3005"/>
    <mergeCell ref="B3001:B3005"/>
    <mergeCell ref="A3006:A3010"/>
    <mergeCell ref="B3006:B3010"/>
    <mergeCell ref="A3011:A3015"/>
    <mergeCell ref="B3011:B3015"/>
    <mergeCell ref="A2981:A2985"/>
    <mergeCell ref="B2981:B2985"/>
    <mergeCell ref="A2986:A2995"/>
    <mergeCell ref="B2986:B2995"/>
    <mergeCell ref="A3102:A3106"/>
    <mergeCell ref="A6706:A6709"/>
    <mergeCell ref="B6706:B6709"/>
    <mergeCell ref="A6710:A6713"/>
    <mergeCell ref="B6710:B6713"/>
    <mergeCell ref="A6782:A6785"/>
    <mergeCell ref="B6782:B6785"/>
    <mergeCell ref="A6714:A6717"/>
    <mergeCell ref="B6714:B6717"/>
    <mergeCell ref="A6718:A6721"/>
    <mergeCell ref="B6718:B6721"/>
    <mergeCell ref="A6738:A6741"/>
    <mergeCell ref="B6738:B6741"/>
    <mergeCell ref="A6742:A6745"/>
    <mergeCell ref="B6742:B6745"/>
    <mergeCell ref="A6746:A6749"/>
    <mergeCell ref="B6746:B6749"/>
    <mergeCell ref="A4756:A4759"/>
    <mergeCell ref="B4756:B4759"/>
    <mergeCell ref="A6618:A6621"/>
    <mergeCell ref="B6618:B6621"/>
    <mergeCell ref="A6622:A6625"/>
    <mergeCell ref="B6622:B6625"/>
    <mergeCell ref="A6634:A6637"/>
    <mergeCell ref="B6634:B6637"/>
    <mergeCell ref="A6650:A6653"/>
    <mergeCell ref="B6650:B6653"/>
    <mergeCell ref="A6654:A6657"/>
    <mergeCell ref="B6654:B6657"/>
    <mergeCell ref="A6674:A6677"/>
    <mergeCell ref="B6674:B6677"/>
    <mergeCell ref="A6666:A6669"/>
    <mergeCell ref="B6666:B6669"/>
    <mergeCell ref="A6806:A6809"/>
    <mergeCell ref="B6806:B6809"/>
    <mergeCell ref="A6678:A6681"/>
    <mergeCell ref="B6678:B6681"/>
    <mergeCell ref="A6662:A6665"/>
    <mergeCell ref="B6662:B6665"/>
    <mergeCell ref="A6630:A6633"/>
    <mergeCell ref="B6630:B6633"/>
    <mergeCell ref="A6786:A6789"/>
    <mergeCell ref="B6786:B6789"/>
    <mergeCell ref="A6790:A6793"/>
    <mergeCell ref="B6790:B6793"/>
    <mergeCell ref="A6582:A6585"/>
    <mergeCell ref="B6582:B6585"/>
    <mergeCell ref="A6590:A6593"/>
    <mergeCell ref="B6590:B6593"/>
    <mergeCell ref="A6594:A6597"/>
    <mergeCell ref="B6594:B6597"/>
    <mergeCell ref="A6586:A6589"/>
    <mergeCell ref="B6586:B6589"/>
    <mergeCell ref="A6682:A6685"/>
    <mergeCell ref="B6682:B6685"/>
    <mergeCell ref="A6686:A6689"/>
    <mergeCell ref="B6686:B6689"/>
    <mergeCell ref="A6690:A6693"/>
    <mergeCell ref="B6690:B6693"/>
    <mergeCell ref="A6694:A6697"/>
    <mergeCell ref="B6694:B6697"/>
    <mergeCell ref="A6698:A6701"/>
    <mergeCell ref="B6698:B6701"/>
    <mergeCell ref="A6702:A6705"/>
    <mergeCell ref="B6702:B6705"/>
    <mergeCell ref="A6670:A6673"/>
    <mergeCell ref="B6670:B6673"/>
    <mergeCell ref="A6598:A6601"/>
    <mergeCell ref="B6598:B6601"/>
    <mergeCell ref="A6610:A6613"/>
    <mergeCell ref="B6610:B6613"/>
    <mergeCell ref="A6614:A6617"/>
    <mergeCell ref="B6614:B6617"/>
    <mergeCell ref="A6526:A6529"/>
    <mergeCell ref="B6526:B6529"/>
    <mergeCell ref="A6530:A6533"/>
    <mergeCell ref="B6530:B6533"/>
    <mergeCell ref="A6534:A6537"/>
    <mergeCell ref="B6534:B6537"/>
    <mergeCell ref="A6542:A6545"/>
    <mergeCell ref="B6542:B6545"/>
    <mergeCell ref="A6546:A6549"/>
    <mergeCell ref="B6546:B6549"/>
    <mergeCell ref="A6550:A6553"/>
    <mergeCell ref="B6550:B6553"/>
    <mergeCell ref="A6554:A6557"/>
    <mergeCell ref="B6554:B6557"/>
    <mergeCell ref="A6538:A6541"/>
    <mergeCell ref="B6538:B6541"/>
    <mergeCell ref="A6658:A6661"/>
    <mergeCell ref="B6658:B6661"/>
    <mergeCell ref="A6626:A6629"/>
    <mergeCell ref="B6626:B6629"/>
    <mergeCell ref="A6562:A6565"/>
    <mergeCell ref="B6562:B6565"/>
    <mergeCell ref="A6602:A6605"/>
    <mergeCell ref="B6602:B6605"/>
    <mergeCell ref="A5621:A5624"/>
    <mergeCell ref="B5621:B5624"/>
    <mergeCell ref="A5625:A5628"/>
    <mergeCell ref="B5625:B5628"/>
    <mergeCell ref="A5629:A5632"/>
    <mergeCell ref="B5629:B5632"/>
    <mergeCell ref="A6445:A6449"/>
    <mergeCell ref="B6445:B6449"/>
    <mergeCell ref="A6450:A6458"/>
    <mergeCell ref="B6450:B6458"/>
    <mergeCell ref="A6399:A6405"/>
    <mergeCell ref="B6399:B6405"/>
    <mergeCell ref="A6406:A6409"/>
    <mergeCell ref="B6406:B6409"/>
    <mergeCell ref="A6410:A6414"/>
    <mergeCell ref="B6410:B6414"/>
    <mergeCell ref="A6494:A6497"/>
    <mergeCell ref="B6494:B6497"/>
    <mergeCell ref="A6129:A6132"/>
    <mergeCell ref="B6129:B6132"/>
    <mergeCell ref="A6133:A6136"/>
    <mergeCell ref="B6133:B6136"/>
    <mergeCell ref="A5633:A5636"/>
    <mergeCell ref="B5633:B5636"/>
    <mergeCell ref="A5637:A5640"/>
    <mergeCell ref="B5637:B5640"/>
    <mergeCell ref="A5641:A5644"/>
    <mergeCell ref="B5641:B5644"/>
    <mergeCell ref="A5645:A5648"/>
    <mergeCell ref="B5645:B5648"/>
    <mergeCell ref="A5649:A5652"/>
    <mergeCell ref="B5649:B5652"/>
    <mergeCell ref="A5310:A5315"/>
    <mergeCell ref="B5310:B5315"/>
    <mergeCell ref="A5347:A5353"/>
    <mergeCell ref="B5347:B5353"/>
    <mergeCell ref="A5354:A5360"/>
    <mergeCell ref="B5354:B5360"/>
    <mergeCell ref="A5361:A5366"/>
    <mergeCell ref="B5361:B5366"/>
    <mergeCell ref="A5367:A5372"/>
    <mergeCell ref="B5367:B5372"/>
    <mergeCell ref="A5373:A5379"/>
    <mergeCell ref="B5373:B5379"/>
    <mergeCell ref="A5380:A5385"/>
    <mergeCell ref="B5380:B5385"/>
    <mergeCell ref="A5386:A5391"/>
    <mergeCell ref="B5386:B5391"/>
    <mergeCell ref="A5392:A5399"/>
    <mergeCell ref="B5392:B5399"/>
    <mergeCell ref="A5322:A5327"/>
    <mergeCell ref="B5322:B5327"/>
    <mergeCell ref="A5316:A5321"/>
    <mergeCell ref="B5316:B5321"/>
    <mergeCell ref="A5328:A5333"/>
    <mergeCell ref="B5328:B5333"/>
    <mergeCell ref="A5334:A5339"/>
    <mergeCell ref="B5334:B5339"/>
    <mergeCell ref="A5340:A5346"/>
    <mergeCell ref="B5340:B5346"/>
    <mergeCell ref="A5400:A5407"/>
    <mergeCell ref="B5400:B5407"/>
    <mergeCell ref="A5252:A5257"/>
    <mergeCell ref="B5252:B5257"/>
    <mergeCell ref="A5258:A5264"/>
    <mergeCell ref="B5258:B5264"/>
    <mergeCell ref="A5265:A5276"/>
    <mergeCell ref="B5265:B5276"/>
    <mergeCell ref="A5285:A5290"/>
    <mergeCell ref="B5285:B5290"/>
    <mergeCell ref="A5291:A5297"/>
    <mergeCell ref="B5291:B5297"/>
    <mergeCell ref="A5298:A5303"/>
    <mergeCell ref="B5298:B5303"/>
    <mergeCell ref="A5304:A5309"/>
    <mergeCell ref="B5304:B5309"/>
    <mergeCell ref="A5178:A5185"/>
    <mergeCell ref="B5178:B5185"/>
    <mergeCell ref="A5186:A5193"/>
    <mergeCell ref="B5186:B5193"/>
    <mergeCell ref="A5194:A5201"/>
    <mergeCell ref="B5194:B5201"/>
    <mergeCell ref="A5202:A5216"/>
    <mergeCell ref="B5202:B5216"/>
    <mergeCell ref="A5217:A5231"/>
    <mergeCell ref="B5217:B5231"/>
    <mergeCell ref="A5232:A5238"/>
    <mergeCell ref="B5232:B5238"/>
    <mergeCell ref="A5239:A5245"/>
    <mergeCell ref="B5239:B5245"/>
    <mergeCell ref="A5246:A5251"/>
    <mergeCell ref="B5246:B5251"/>
    <mergeCell ref="A5277:A5284"/>
    <mergeCell ref="B5277:B5284"/>
    <mergeCell ref="A5142:A5149"/>
    <mergeCell ref="B5142:B5149"/>
    <mergeCell ref="A5150:A5157"/>
    <mergeCell ref="B5150:B5157"/>
    <mergeCell ref="A5158:A5163"/>
    <mergeCell ref="B5158:B5163"/>
    <mergeCell ref="A5164:A5171"/>
    <mergeCell ref="B5164:B5171"/>
    <mergeCell ref="A5172:A5177"/>
    <mergeCell ref="B5172:B5177"/>
    <mergeCell ref="B136:B139"/>
    <mergeCell ref="A184:A190"/>
    <mergeCell ref="B184:B190"/>
    <mergeCell ref="A191:A197"/>
    <mergeCell ref="B191:B197"/>
    <mergeCell ref="A198:A201"/>
    <mergeCell ref="B198:B201"/>
    <mergeCell ref="A215:A219"/>
    <mergeCell ref="B215:B219"/>
    <mergeCell ref="A220:A224"/>
    <mergeCell ref="B220:B224"/>
    <mergeCell ref="A225:A228"/>
    <mergeCell ref="B225:B228"/>
    <mergeCell ref="A202:A205"/>
    <mergeCell ref="B202:B205"/>
    <mergeCell ref="A206:A210"/>
    <mergeCell ref="B162:B166"/>
    <mergeCell ref="A167:A171"/>
    <mergeCell ref="B167:B171"/>
    <mergeCell ref="A237:A240"/>
    <mergeCell ref="A269:A276"/>
    <mergeCell ref="A98:A102"/>
    <mergeCell ref="B98:B102"/>
    <mergeCell ref="A103:A106"/>
    <mergeCell ref="B103:B106"/>
    <mergeCell ref="A107:A111"/>
    <mergeCell ref="B107:B111"/>
    <mergeCell ref="B70:B77"/>
    <mergeCell ref="A78:A82"/>
    <mergeCell ref="B78:B82"/>
    <mergeCell ref="A88:A92"/>
    <mergeCell ref="B88:B92"/>
    <mergeCell ref="A93:A97"/>
    <mergeCell ref="B93:B97"/>
    <mergeCell ref="A5120:A5125"/>
    <mergeCell ref="B5120:B5125"/>
    <mergeCell ref="A127:A131"/>
    <mergeCell ref="B127:B131"/>
    <mergeCell ref="A132:A135"/>
    <mergeCell ref="B132:B135"/>
    <mergeCell ref="A136:A139"/>
    <mergeCell ref="A112:A116"/>
    <mergeCell ref="B112:B116"/>
    <mergeCell ref="A117:A121"/>
    <mergeCell ref="B117:B121"/>
    <mergeCell ref="A122:A126"/>
    <mergeCell ref="B122:B126"/>
    <mergeCell ref="B249:B263"/>
    <mergeCell ref="A264:A268"/>
    <mergeCell ref="B264:B268"/>
    <mergeCell ref="A291:A305"/>
    <mergeCell ref="A2891:A2895"/>
    <mergeCell ref="B291:B305"/>
    <mergeCell ref="A306:A320"/>
    <mergeCell ref="A5126:A5133"/>
    <mergeCell ref="B5126:B5133"/>
    <mergeCell ref="A140:A144"/>
    <mergeCell ref="B140:B144"/>
    <mergeCell ref="A145:A149"/>
    <mergeCell ref="B145:B149"/>
    <mergeCell ref="A150:A154"/>
    <mergeCell ref="B150:B154"/>
    <mergeCell ref="A172:A175"/>
    <mergeCell ref="B172:B175"/>
    <mergeCell ref="A176:A179"/>
    <mergeCell ref="B176:B179"/>
    <mergeCell ref="A180:A183"/>
    <mergeCell ref="B180:B183"/>
    <mergeCell ref="A155:A161"/>
    <mergeCell ref="B155:B161"/>
    <mergeCell ref="A162:A166"/>
    <mergeCell ref="B206:B210"/>
    <mergeCell ref="A211:A214"/>
    <mergeCell ref="B211:B214"/>
    <mergeCell ref="A229:A232"/>
    <mergeCell ref="B229:B232"/>
    <mergeCell ref="A233:A236"/>
    <mergeCell ref="B233:B236"/>
    <mergeCell ref="B269:B276"/>
    <mergeCell ref="A277:A283"/>
    <mergeCell ref="B277:B283"/>
    <mergeCell ref="A284:A290"/>
    <mergeCell ref="B284:B290"/>
    <mergeCell ref="A241:A248"/>
    <mergeCell ref="B241:B248"/>
    <mergeCell ref="A249:A263"/>
    <mergeCell ref="A6:A9"/>
    <mergeCell ref="B6:B9"/>
    <mergeCell ref="A10:A13"/>
    <mergeCell ref="B10:B13"/>
    <mergeCell ref="A14:A17"/>
    <mergeCell ref="B14:B17"/>
    <mergeCell ref="A48:A52"/>
    <mergeCell ref="B48:B52"/>
    <mergeCell ref="A53:A59"/>
    <mergeCell ref="B53:B59"/>
    <mergeCell ref="A60:A64"/>
    <mergeCell ref="B60:B64"/>
    <mergeCell ref="A33:A37"/>
    <mergeCell ref="B33:B37"/>
    <mergeCell ref="A38:A42"/>
    <mergeCell ref="A83:A87"/>
    <mergeCell ref="B83:B87"/>
    <mergeCell ref="A65:A69"/>
    <mergeCell ref="B65:B69"/>
    <mergeCell ref="A70:A77"/>
    <mergeCell ref="B38:B42"/>
    <mergeCell ref="A43:A47"/>
    <mergeCell ref="B43:B47"/>
    <mergeCell ref="A18:A22"/>
    <mergeCell ref="B18:B22"/>
    <mergeCell ref="A23:A27"/>
    <mergeCell ref="B23:B27"/>
    <mergeCell ref="A28:A32"/>
    <mergeCell ref="B28:B32"/>
    <mergeCell ref="B237:B240"/>
    <mergeCell ref="B306:B320"/>
    <mergeCell ref="A321:A326"/>
    <mergeCell ref="B321:B326"/>
    <mergeCell ref="A366:A371"/>
    <mergeCell ref="B366:B371"/>
    <mergeCell ref="A372:A380"/>
    <mergeCell ref="B372:B380"/>
    <mergeCell ref="A381:A394"/>
    <mergeCell ref="B381:B394"/>
    <mergeCell ref="A327:A341"/>
    <mergeCell ref="B327:B341"/>
    <mergeCell ref="A342:A351"/>
    <mergeCell ref="B342:B351"/>
    <mergeCell ref="A352:A365"/>
    <mergeCell ref="B352:B365"/>
    <mergeCell ref="A395:A401"/>
    <mergeCell ref="B395:B401"/>
    <mergeCell ref="A402:A415"/>
    <mergeCell ref="B402:B415"/>
    <mergeCell ref="A416:A422"/>
    <mergeCell ref="B416:B422"/>
    <mergeCell ref="A607:A615"/>
    <mergeCell ref="B607:B615"/>
    <mergeCell ref="A562:A569"/>
    <mergeCell ref="B562:B569"/>
    <mergeCell ref="A570:A579"/>
    <mergeCell ref="B570:B579"/>
    <mergeCell ref="A447:A454"/>
    <mergeCell ref="B447:B454"/>
    <mergeCell ref="A455:A464"/>
    <mergeCell ref="B455:B464"/>
    <mergeCell ref="A465:A471"/>
    <mergeCell ref="B465:B471"/>
    <mergeCell ref="A423:A434"/>
    <mergeCell ref="B423:B434"/>
    <mergeCell ref="A435:A440"/>
    <mergeCell ref="B435:B440"/>
    <mergeCell ref="A441:A446"/>
    <mergeCell ref="B441:B446"/>
    <mergeCell ref="A472:A483"/>
    <mergeCell ref="B472:B483"/>
    <mergeCell ref="A484:A489"/>
    <mergeCell ref="B484:B489"/>
    <mergeCell ref="A490:A497"/>
    <mergeCell ref="B490:B497"/>
    <mergeCell ref="A638:A644"/>
    <mergeCell ref="B638:B644"/>
    <mergeCell ref="A645:A648"/>
    <mergeCell ref="B645:B648"/>
    <mergeCell ref="A649:A652"/>
    <mergeCell ref="B649:B652"/>
    <mergeCell ref="A518:A524"/>
    <mergeCell ref="B518:B524"/>
    <mergeCell ref="A525:A531"/>
    <mergeCell ref="B525:B531"/>
    <mergeCell ref="A532:A537"/>
    <mergeCell ref="B532:B537"/>
    <mergeCell ref="A498:A504"/>
    <mergeCell ref="B498:B504"/>
    <mergeCell ref="A505:A511"/>
    <mergeCell ref="B505:B511"/>
    <mergeCell ref="A512:A517"/>
    <mergeCell ref="B512:B517"/>
    <mergeCell ref="A616:A621"/>
    <mergeCell ref="B616:B621"/>
    <mergeCell ref="A622:A629"/>
    <mergeCell ref="B622:B629"/>
    <mergeCell ref="A538:A545"/>
    <mergeCell ref="B538:B545"/>
    <mergeCell ref="A546:A553"/>
    <mergeCell ref="B546:B553"/>
    <mergeCell ref="A554:A561"/>
    <mergeCell ref="B554:B561"/>
    <mergeCell ref="A589:A596"/>
    <mergeCell ref="B589:B596"/>
    <mergeCell ref="A597:A606"/>
    <mergeCell ref="B597:B606"/>
    <mergeCell ref="A737:A744"/>
    <mergeCell ref="B737:B744"/>
    <mergeCell ref="A745:A748"/>
    <mergeCell ref="B745:B748"/>
    <mergeCell ref="A749:A755"/>
    <mergeCell ref="B749:B755"/>
    <mergeCell ref="A580:A588"/>
    <mergeCell ref="B580:B588"/>
    <mergeCell ref="A724:A730"/>
    <mergeCell ref="B724:B730"/>
    <mergeCell ref="A731:A736"/>
    <mergeCell ref="B731:B736"/>
    <mergeCell ref="A687:A696"/>
    <mergeCell ref="B687:B696"/>
    <mergeCell ref="A697:A704"/>
    <mergeCell ref="B697:B704"/>
    <mergeCell ref="A705:A714"/>
    <mergeCell ref="B705:B714"/>
    <mergeCell ref="A665:A668"/>
    <mergeCell ref="B665:B668"/>
    <mergeCell ref="A669:A676"/>
    <mergeCell ref="B669:B676"/>
    <mergeCell ref="A677:A686"/>
    <mergeCell ref="B677:B686"/>
    <mergeCell ref="A630:A637"/>
    <mergeCell ref="B630:B637"/>
    <mergeCell ref="A653:A656"/>
    <mergeCell ref="B653:B656"/>
    <mergeCell ref="A657:A660"/>
    <mergeCell ref="B657:B660"/>
    <mergeCell ref="A661:A664"/>
    <mergeCell ref="B661:B664"/>
    <mergeCell ref="A715:A723"/>
    <mergeCell ref="B715:B723"/>
    <mergeCell ref="A846:A850"/>
    <mergeCell ref="B846:B850"/>
    <mergeCell ref="A851:A856"/>
    <mergeCell ref="B851:B856"/>
    <mergeCell ref="A857:A862"/>
    <mergeCell ref="B857:B862"/>
    <mergeCell ref="A828:A832"/>
    <mergeCell ref="B828:B832"/>
    <mergeCell ref="A833:A839"/>
    <mergeCell ref="B833:B839"/>
    <mergeCell ref="A840:A845"/>
    <mergeCell ref="B840:B845"/>
    <mergeCell ref="A815:A818"/>
    <mergeCell ref="B815:B818"/>
    <mergeCell ref="A819:A823"/>
    <mergeCell ref="B819:B823"/>
    <mergeCell ref="A824:A827"/>
    <mergeCell ref="B824:B827"/>
    <mergeCell ref="A784:A790"/>
    <mergeCell ref="B784:B790"/>
    <mergeCell ref="A791:A804"/>
    <mergeCell ref="B791:B804"/>
    <mergeCell ref="A805:A814"/>
    <mergeCell ref="B805:B814"/>
    <mergeCell ref="A756:A766"/>
    <mergeCell ref="B756:B766"/>
    <mergeCell ref="A767:A772"/>
    <mergeCell ref="B767:B772"/>
    <mergeCell ref="A773:A783"/>
    <mergeCell ref="B773:B783"/>
    <mergeCell ref="A904:A907"/>
    <mergeCell ref="B904:B907"/>
    <mergeCell ref="A908:A913"/>
    <mergeCell ref="B908:B913"/>
    <mergeCell ref="A914:A922"/>
    <mergeCell ref="B914:B922"/>
    <mergeCell ref="A884:A891"/>
    <mergeCell ref="B884:B891"/>
    <mergeCell ref="A892:A896"/>
    <mergeCell ref="B892:B896"/>
    <mergeCell ref="A897:A903"/>
    <mergeCell ref="B897:B903"/>
    <mergeCell ref="A863:A867"/>
    <mergeCell ref="B863:B867"/>
    <mergeCell ref="A868:A875"/>
    <mergeCell ref="B868:B875"/>
    <mergeCell ref="A876:A883"/>
    <mergeCell ref="B876:B883"/>
    <mergeCell ref="A967:A973"/>
    <mergeCell ref="B967:B973"/>
    <mergeCell ref="A974:A980"/>
    <mergeCell ref="B974:B980"/>
    <mergeCell ref="A981:A991"/>
    <mergeCell ref="B981:B991"/>
    <mergeCell ref="A948:A953"/>
    <mergeCell ref="B948:B953"/>
    <mergeCell ref="A954:A959"/>
    <mergeCell ref="B954:B959"/>
    <mergeCell ref="A960:A966"/>
    <mergeCell ref="B960:B966"/>
    <mergeCell ref="A923:A929"/>
    <mergeCell ref="B923:B929"/>
    <mergeCell ref="A930:A938"/>
    <mergeCell ref="B930:B938"/>
    <mergeCell ref="A939:A947"/>
    <mergeCell ref="B939:B947"/>
    <mergeCell ref="A1037:A1045"/>
    <mergeCell ref="B1037:B1045"/>
    <mergeCell ref="A1046:A1052"/>
    <mergeCell ref="B1046:B1052"/>
    <mergeCell ref="A1053:A1059"/>
    <mergeCell ref="B1053:B1059"/>
    <mergeCell ref="A1013:A1021"/>
    <mergeCell ref="B1013:B1021"/>
    <mergeCell ref="A1022:A1026"/>
    <mergeCell ref="B1022:B1026"/>
    <mergeCell ref="A1027:A1036"/>
    <mergeCell ref="B1027:B1036"/>
    <mergeCell ref="A992:A1002"/>
    <mergeCell ref="B992:B1002"/>
    <mergeCell ref="A1003:A1007"/>
    <mergeCell ref="B1003:B1007"/>
    <mergeCell ref="A1008:A1012"/>
    <mergeCell ref="B1008:B1012"/>
    <mergeCell ref="A1109:A1116"/>
    <mergeCell ref="B1109:B1116"/>
    <mergeCell ref="A1117:A1121"/>
    <mergeCell ref="B1117:B1121"/>
    <mergeCell ref="A1122:A1126"/>
    <mergeCell ref="B1122:B1126"/>
    <mergeCell ref="A1083:A1090"/>
    <mergeCell ref="B1083:B1090"/>
    <mergeCell ref="A1091:A1098"/>
    <mergeCell ref="B1091:B1098"/>
    <mergeCell ref="A1099:A1108"/>
    <mergeCell ref="B1099:B1108"/>
    <mergeCell ref="A1060:A1066"/>
    <mergeCell ref="B1060:B1066"/>
    <mergeCell ref="A1067:A1073"/>
    <mergeCell ref="B1067:B1073"/>
    <mergeCell ref="A1074:A1082"/>
    <mergeCell ref="B1074:B1082"/>
    <mergeCell ref="A1166:A1172"/>
    <mergeCell ref="B1166:B1172"/>
    <mergeCell ref="A1173:A1179"/>
    <mergeCell ref="B1173:B1179"/>
    <mergeCell ref="A1180:A1186"/>
    <mergeCell ref="B1180:B1186"/>
    <mergeCell ref="A1145:A1151"/>
    <mergeCell ref="B1145:B1151"/>
    <mergeCell ref="A1152:A1158"/>
    <mergeCell ref="B1152:B1158"/>
    <mergeCell ref="A1159:A1165"/>
    <mergeCell ref="B1159:B1165"/>
    <mergeCell ref="A1127:A1132"/>
    <mergeCell ref="B1127:B1132"/>
    <mergeCell ref="A1133:A1137"/>
    <mergeCell ref="B1133:B1137"/>
    <mergeCell ref="A1138:A1144"/>
    <mergeCell ref="B1138:B1144"/>
    <mergeCell ref="A1228:A1233"/>
    <mergeCell ref="B1228:B1233"/>
    <mergeCell ref="A1234:A1239"/>
    <mergeCell ref="B1234:B1239"/>
    <mergeCell ref="A1240:A1245"/>
    <mergeCell ref="B1240:B1245"/>
    <mergeCell ref="A1208:A1214"/>
    <mergeCell ref="B1208:B1214"/>
    <mergeCell ref="A1215:A1221"/>
    <mergeCell ref="B1215:B1221"/>
    <mergeCell ref="A1222:A1227"/>
    <mergeCell ref="B1222:B1227"/>
    <mergeCell ref="A1187:A1193"/>
    <mergeCell ref="B1187:B1193"/>
    <mergeCell ref="A1194:A1200"/>
    <mergeCell ref="B1194:B1200"/>
    <mergeCell ref="A1201:A1207"/>
    <mergeCell ref="B1201:B1207"/>
    <mergeCell ref="A1287:A1293"/>
    <mergeCell ref="B1287:B1293"/>
    <mergeCell ref="A1294:A1300"/>
    <mergeCell ref="B1294:B1300"/>
    <mergeCell ref="A1301:A1308"/>
    <mergeCell ref="B1301:B1308"/>
    <mergeCell ref="A1267:A1272"/>
    <mergeCell ref="B1267:B1272"/>
    <mergeCell ref="A1273:A1279"/>
    <mergeCell ref="B1273:B1279"/>
    <mergeCell ref="A1280:A1286"/>
    <mergeCell ref="B1280:B1286"/>
    <mergeCell ref="A1246:A1252"/>
    <mergeCell ref="B1246:B1252"/>
    <mergeCell ref="A1253:A1259"/>
    <mergeCell ref="B1253:B1259"/>
    <mergeCell ref="A1260:A1266"/>
    <mergeCell ref="B1260:B1266"/>
    <mergeCell ref="A1349:A1354"/>
    <mergeCell ref="B1349:B1354"/>
    <mergeCell ref="A1355:A1361"/>
    <mergeCell ref="B1355:B1361"/>
    <mergeCell ref="A1362:A1367"/>
    <mergeCell ref="B1362:B1367"/>
    <mergeCell ref="A1330:A1335"/>
    <mergeCell ref="B1330:B1335"/>
    <mergeCell ref="A1336:A1341"/>
    <mergeCell ref="B1336:B1341"/>
    <mergeCell ref="A1342:A1348"/>
    <mergeCell ref="B1342:B1348"/>
    <mergeCell ref="A1309:A1317"/>
    <mergeCell ref="B1309:B1317"/>
    <mergeCell ref="A1318:A1323"/>
    <mergeCell ref="B1318:B1323"/>
    <mergeCell ref="A1324:A1329"/>
    <mergeCell ref="B1324:B1329"/>
    <mergeCell ref="A1406:A1420"/>
    <mergeCell ref="B1406:B1420"/>
    <mergeCell ref="A1421:A1435"/>
    <mergeCell ref="B1421:B1435"/>
    <mergeCell ref="A1436:A1450"/>
    <mergeCell ref="B1436:B1450"/>
    <mergeCell ref="A1387:A1392"/>
    <mergeCell ref="B1387:B1392"/>
    <mergeCell ref="A1393:A1398"/>
    <mergeCell ref="B1393:B1398"/>
    <mergeCell ref="A1399:A1405"/>
    <mergeCell ref="B1399:B1405"/>
    <mergeCell ref="A1368:A1373"/>
    <mergeCell ref="B1368:B1373"/>
    <mergeCell ref="A1374:A1380"/>
    <mergeCell ref="B1374:B1380"/>
    <mergeCell ref="A1381:A1386"/>
    <mergeCell ref="B1381:B1386"/>
    <mergeCell ref="A1523:A1528"/>
    <mergeCell ref="B1523:B1528"/>
    <mergeCell ref="A1529:A1534"/>
    <mergeCell ref="B1529:B1534"/>
    <mergeCell ref="A1535:A1540"/>
    <mergeCell ref="B1535:B1540"/>
    <mergeCell ref="A1496:A1510"/>
    <mergeCell ref="B1496:B1510"/>
    <mergeCell ref="A1511:A1516"/>
    <mergeCell ref="B1511:B1516"/>
    <mergeCell ref="A1517:A1522"/>
    <mergeCell ref="B1517:B1522"/>
    <mergeCell ref="A1451:A1465"/>
    <mergeCell ref="B1451:B1465"/>
    <mergeCell ref="A1466:A1480"/>
    <mergeCell ref="B1466:B1480"/>
    <mergeCell ref="A1481:A1495"/>
    <mergeCell ref="B1481:B1495"/>
    <mergeCell ref="A1590:A1595"/>
    <mergeCell ref="B1590:B1595"/>
    <mergeCell ref="A1596:A1601"/>
    <mergeCell ref="B1596:B1601"/>
    <mergeCell ref="A1602:A1608"/>
    <mergeCell ref="B1602:B1608"/>
    <mergeCell ref="A1562:A1568"/>
    <mergeCell ref="B1562:B1568"/>
    <mergeCell ref="A1569:A1583"/>
    <mergeCell ref="B1569:B1583"/>
    <mergeCell ref="A1584:A1589"/>
    <mergeCell ref="B1584:B1589"/>
    <mergeCell ref="A1541:A1547"/>
    <mergeCell ref="B1541:B1547"/>
    <mergeCell ref="A1548:A1554"/>
    <mergeCell ref="B1548:B1554"/>
    <mergeCell ref="A1555:A1561"/>
    <mergeCell ref="B1555:B1561"/>
    <mergeCell ref="A1643:A1648"/>
    <mergeCell ref="B1643:B1648"/>
    <mergeCell ref="A1649:A1654"/>
    <mergeCell ref="B1649:B1654"/>
    <mergeCell ref="A1655:A1659"/>
    <mergeCell ref="B1655:B1659"/>
    <mergeCell ref="A1626:A1630"/>
    <mergeCell ref="B1626:B1630"/>
    <mergeCell ref="A1631:A1636"/>
    <mergeCell ref="B1631:B1636"/>
    <mergeCell ref="A1637:A1642"/>
    <mergeCell ref="B1637:B1642"/>
    <mergeCell ref="A1609:A1613"/>
    <mergeCell ref="B1609:B1613"/>
    <mergeCell ref="A1614:A1619"/>
    <mergeCell ref="B1614:B1619"/>
    <mergeCell ref="A1620:A1625"/>
    <mergeCell ref="B1620:B1625"/>
    <mergeCell ref="A1696:A1703"/>
    <mergeCell ref="B1696:B1703"/>
    <mergeCell ref="A1704:A1714"/>
    <mergeCell ref="B1704:B1714"/>
    <mergeCell ref="A1715:A1725"/>
    <mergeCell ref="B1715:B1725"/>
    <mergeCell ref="A1676:A1682"/>
    <mergeCell ref="B1676:B1682"/>
    <mergeCell ref="A1683:A1689"/>
    <mergeCell ref="B1683:B1689"/>
    <mergeCell ref="A1690:A1695"/>
    <mergeCell ref="B1690:B1695"/>
    <mergeCell ref="A1660:A1664"/>
    <mergeCell ref="B1660:B1664"/>
    <mergeCell ref="A1665:A1669"/>
    <mergeCell ref="B1665:B1669"/>
    <mergeCell ref="A1670:A1675"/>
    <mergeCell ref="B1670:B1675"/>
    <mergeCell ref="A1776:A1782"/>
    <mergeCell ref="B1776:B1782"/>
    <mergeCell ref="A1783:A1789"/>
    <mergeCell ref="B1783:B1789"/>
    <mergeCell ref="A1790:A1796"/>
    <mergeCell ref="B1790:B1796"/>
    <mergeCell ref="A1755:A1761"/>
    <mergeCell ref="B1755:B1761"/>
    <mergeCell ref="A1762:A1768"/>
    <mergeCell ref="B1762:B1768"/>
    <mergeCell ref="A1769:A1775"/>
    <mergeCell ref="B1769:B1775"/>
    <mergeCell ref="A1726:A1736"/>
    <mergeCell ref="B1726:B1736"/>
    <mergeCell ref="A1737:A1747"/>
    <mergeCell ref="B1737:B1747"/>
    <mergeCell ref="A1748:A1754"/>
    <mergeCell ref="B1748:B1754"/>
    <mergeCell ref="A1833:A1838"/>
    <mergeCell ref="B1833:B1838"/>
    <mergeCell ref="A1839:A1844"/>
    <mergeCell ref="B1839:B1844"/>
    <mergeCell ref="A1845:A1850"/>
    <mergeCell ref="B1845:B1850"/>
    <mergeCell ref="A1814:A1819"/>
    <mergeCell ref="B1814:B1819"/>
    <mergeCell ref="A1820:A1825"/>
    <mergeCell ref="B1820:B1825"/>
    <mergeCell ref="A1826:A1832"/>
    <mergeCell ref="B1826:B1832"/>
    <mergeCell ref="A1797:A1803"/>
    <mergeCell ref="B1797:B1803"/>
    <mergeCell ref="A1804:A1808"/>
    <mergeCell ref="B1804:B1808"/>
    <mergeCell ref="A1809:A1813"/>
    <mergeCell ref="B1809:B1813"/>
    <mergeCell ref="A1887:A1892"/>
    <mergeCell ref="B1887:B1892"/>
    <mergeCell ref="A1893:A1898"/>
    <mergeCell ref="B1893:B1898"/>
    <mergeCell ref="A1899:A1904"/>
    <mergeCell ref="B1899:B1904"/>
    <mergeCell ref="A1869:A1874"/>
    <mergeCell ref="B1869:B1874"/>
    <mergeCell ref="A1875:A1880"/>
    <mergeCell ref="B1875:B1880"/>
    <mergeCell ref="A1881:A1886"/>
    <mergeCell ref="B1881:B1886"/>
    <mergeCell ref="A1851:A1856"/>
    <mergeCell ref="B1851:B1856"/>
    <mergeCell ref="A1857:A1862"/>
    <mergeCell ref="B1857:B1862"/>
    <mergeCell ref="A1863:A1868"/>
    <mergeCell ref="B1863:B1868"/>
    <mergeCell ref="A1936:A1942"/>
    <mergeCell ref="B1936:B1942"/>
    <mergeCell ref="A1943:A1948"/>
    <mergeCell ref="B1943:B1948"/>
    <mergeCell ref="A1949:A1954"/>
    <mergeCell ref="B1949:B1954"/>
    <mergeCell ref="A1920:A1925"/>
    <mergeCell ref="B1920:B1925"/>
    <mergeCell ref="A1926:A1930"/>
    <mergeCell ref="B1926:B1930"/>
    <mergeCell ref="A1931:A1935"/>
    <mergeCell ref="B1931:B1935"/>
    <mergeCell ref="A1905:A1909"/>
    <mergeCell ref="B1905:B1909"/>
    <mergeCell ref="A1910:A1914"/>
    <mergeCell ref="B1910:B1914"/>
    <mergeCell ref="A1915:A1919"/>
    <mergeCell ref="B1915:B1919"/>
    <mergeCell ref="A1999:A2005"/>
    <mergeCell ref="B1999:B2005"/>
    <mergeCell ref="A2006:A2012"/>
    <mergeCell ref="B2006:B2012"/>
    <mergeCell ref="A2013:A2018"/>
    <mergeCell ref="B2013:B2018"/>
    <mergeCell ref="A1977:A1984"/>
    <mergeCell ref="B1977:B1984"/>
    <mergeCell ref="A1985:A1991"/>
    <mergeCell ref="B1985:B1991"/>
    <mergeCell ref="A1992:A1998"/>
    <mergeCell ref="B1992:B1998"/>
    <mergeCell ref="A1955:A1961"/>
    <mergeCell ref="B1955:B1961"/>
    <mergeCell ref="A1962:A1968"/>
    <mergeCell ref="B1962:B1968"/>
    <mergeCell ref="A1969:A1976"/>
    <mergeCell ref="B1969:B1976"/>
    <mergeCell ref="A2067:A2074"/>
    <mergeCell ref="B2067:B2074"/>
    <mergeCell ref="A2075:A2082"/>
    <mergeCell ref="B2075:B2082"/>
    <mergeCell ref="A2083:A2090"/>
    <mergeCell ref="B2083:B2090"/>
    <mergeCell ref="A2043:A2050"/>
    <mergeCell ref="B2043:B2050"/>
    <mergeCell ref="A2051:A2058"/>
    <mergeCell ref="B2051:B2058"/>
    <mergeCell ref="A2059:A2066"/>
    <mergeCell ref="B2059:B2066"/>
    <mergeCell ref="A2019:A2026"/>
    <mergeCell ref="B2019:B2026"/>
    <mergeCell ref="A2027:A2034"/>
    <mergeCell ref="B2027:B2034"/>
    <mergeCell ref="A2035:A2042"/>
    <mergeCell ref="B2035:B2042"/>
    <mergeCell ref="A2131:A2136"/>
    <mergeCell ref="B2131:B2136"/>
    <mergeCell ref="A2137:A2144"/>
    <mergeCell ref="B2137:B2144"/>
    <mergeCell ref="A2145:A2152"/>
    <mergeCell ref="B2145:B2152"/>
    <mergeCell ref="A2113:A2118"/>
    <mergeCell ref="B2113:B2118"/>
    <mergeCell ref="A2119:A2124"/>
    <mergeCell ref="B2119:B2124"/>
    <mergeCell ref="A2125:A2130"/>
    <mergeCell ref="B2125:B2130"/>
    <mergeCell ref="A2091:A2098"/>
    <mergeCell ref="B2091:B2098"/>
    <mergeCell ref="A2099:A2106"/>
    <mergeCell ref="B2099:B2106"/>
    <mergeCell ref="A2107:A2112"/>
    <mergeCell ref="B2107:B2112"/>
    <mergeCell ref="A2201:A2205"/>
    <mergeCell ref="B2201:B2205"/>
    <mergeCell ref="A2206:A2212"/>
    <mergeCell ref="B2206:B2212"/>
    <mergeCell ref="A2213:A2219"/>
    <mergeCell ref="B2213:B2219"/>
    <mergeCell ref="A2177:A2184"/>
    <mergeCell ref="B2177:B2184"/>
    <mergeCell ref="A2185:A2192"/>
    <mergeCell ref="B2185:B2192"/>
    <mergeCell ref="A2193:A2200"/>
    <mergeCell ref="B2193:B2200"/>
    <mergeCell ref="A2153:A2160"/>
    <mergeCell ref="B2153:B2160"/>
    <mergeCell ref="A2161:A2168"/>
    <mergeCell ref="B2161:B2168"/>
    <mergeCell ref="A2169:A2176"/>
    <mergeCell ref="B2169:B2176"/>
    <mergeCell ref="A2272:A2281"/>
    <mergeCell ref="B2272:B2281"/>
    <mergeCell ref="A2282:A2291"/>
    <mergeCell ref="B2282:B2291"/>
    <mergeCell ref="A2292:A2301"/>
    <mergeCell ref="B2292:B2301"/>
    <mergeCell ref="A2246:A2251"/>
    <mergeCell ref="B2246:B2251"/>
    <mergeCell ref="A2252:A2261"/>
    <mergeCell ref="B2252:B2261"/>
    <mergeCell ref="A2262:A2271"/>
    <mergeCell ref="B2262:B2271"/>
    <mergeCell ref="A2220:A2225"/>
    <mergeCell ref="B2220:B2225"/>
    <mergeCell ref="A2226:A2231"/>
    <mergeCell ref="B2226:B2231"/>
    <mergeCell ref="A2232:A2245"/>
    <mergeCell ref="B2232:B2245"/>
    <mergeCell ref="A2340:A2344"/>
    <mergeCell ref="B2340:B2344"/>
    <mergeCell ref="A2345:A2349"/>
    <mergeCell ref="B2345:B2349"/>
    <mergeCell ref="A2350:A2354"/>
    <mergeCell ref="B2350:B2354"/>
    <mergeCell ref="A2322:A2327"/>
    <mergeCell ref="B2322:B2327"/>
    <mergeCell ref="A2328:A2333"/>
    <mergeCell ref="B2328:B2333"/>
    <mergeCell ref="A2334:A2339"/>
    <mergeCell ref="B2334:B2339"/>
    <mergeCell ref="A2302:A2308"/>
    <mergeCell ref="B2302:B2308"/>
    <mergeCell ref="A2309:A2315"/>
    <mergeCell ref="B2309:B2315"/>
    <mergeCell ref="A2316:A2321"/>
    <mergeCell ref="B2316:B2321"/>
    <mergeCell ref="A2376:A2381"/>
    <mergeCell ref="B2376:B2381"/>
    <mergeCell ref="A2382:A2388"/>
    <mergeCell ref="B2382:B2388"/>
    <mergeCell ref="A2389:A2394"/>
    <mergeCell ref="B2389:B2394"/>
    <mergeCell ref="A2355:A2360"/>
    <mergeCell ref="B2355:B2360"/>
    <mergeCell ref="A2361:A2368"/>
    <mergeCell ref="B2361:B2368"/>
    <mergeCell ref="A2369:A2375"/>
    <mergeCell ref="B2369:B2375"/>
    <mergeCell ref="A2395:A2398"/>
    <mergeCell ref="B2395:B2398"/>
    <mergeCell ref="A2399:A2402"/>
    <mergeCell ref="B2399:B2402"/>
    <mergeCell ref="A2403:A2406"/>
    <mergeCell ref="B2403:B2406"/>
    <mergeCell ref="A2431:A2434"/>
    <mergeCell ref="B2431:B2434"/>
    <mergeCell ref="A2551:A2554"/>
    <mergeCell ref="B2551:B2554"/>
    <mergeCell ref="A2407:A2410"/>
    <mergeCell ref="B2407:B2410"/>
    <mergeCell ref="A2411:A2414"/>
    <mergeCell ref="B2411:B2414"/>
    <mergeCell ref="A2415:A2418"/>
    <mergeCell ref="B2415:B2418"/>
    <mergeCell ref="A2419:A2422"/>
    <mergeCell ref="B2419:B2422"/>
    <mergeCell ref="A2423:A2426"/>
    <mergeCell ref="B2423:B2426"/>
    <mergeCell ref="A2427:A2430"/>
    <mergeCell ref="B2427:B2430"/>
    <mergeCell ref="A2435:A2438"/>
    <mergeCell ref="B2435:B2438"/>
    <mergeCell ref="A2479:A2482"/>
    <mergeCell ref="B2479:B2482"/>
    <mergeCell ref="A2535:A2538"/>
    <mergeCell ref="B2535:B2538"/>
    <mergeCell ref="A2539:A2542"/>
    <mergeCell ref="B2539:B2542"/>
    <mergeCell ref="A2443:A2446"/>
    <mergeCell ref="B2443:B2446"/>
    <mergeCell ref="A2447:A2450"/>
    <mergeCell ref="B2447:B2450"/>
    <mergeCell ref="A2439:A2442"/>
    <mergeCell ref="B2439:B2442"/>
    <mergeCell ref="A2451:A2454"/>
    <mergeCell ref="B2451:B2454"/>
    <mergeCell ref="A2611:A2614"/>
    <mergeCell ref="B2611:B2614"/>
    <mergeCell ref="A2587:A2594"/>
    <mergeCell ref="B2587:B2594"/>
    <mergeCell ref="A2595:A2598"/>
    <mergeCell ref="B2595:B2598"/>
    <mergeCell ref="A2599:A2602"/>
    <mergeCell ref="B2599:B2602"/>
    <mergeCell ref="A2567:A2570"/>
    <mergeCell ref="B2567:B2570"/>
    <mergeCell ref="A2571:A2578"/>
    <mergeCell ref="B2571:B2578"/>
    <mergeCell ref="A2579:A2586"/>
    <mergeCell ref="B2579:B2586"/>
    <mergeCell ref="A2555:A2558"/>
    <mergeCell ref="B2555:B2558"/>
    <mergeCell ref="A2559:A2562"/>
    <mergeCell ref="B2559:B2562"/>
    <mergeCell ref="A2563:A2566"/>
    <mergeCell ref="B2563:B2566"/>
    <mergeCell ref="A2685:A2690"/>
    <mergeCell ref="B2685:B2690"/>
    <mergeCell ref="A2691:A2696"/>
    <mergeCell ref="B2691:B2696"/>
    <mergeCell ref="A2697:A2702"/>
    <mergeCell ref="B2697:B2702"/>
    <mergeCell ref="A2667:A2672"/>
    <mergeCell ref="B2667:B2672"/>
    <mergeCell ref="A2673:A2678"/>
    <mergeCell ref="B2673:B2678"/>
    <mergeCell ref="A2679:A2684"/>
    <mergeCell ref="B2679:B2684"/>
    <mergeCell ref="A2647:A2650"/>
    <mergeCell ref="B2647:B2650"/>
    <mergeCell ref="A2655:A2660"/>
    <mergeCell ref="B2655:B2660"/>
    <mergeCell ref="A2661:A2666"/>
    <mergeCell ref="B2661:B2666"/>
    <mergeCell ref="A2651:A2654"/>
    <mergeCell ref="B2651:B2654"/>
    <mergeCell ref="A2703:A2708"/>
    <mergeCell ref="B2703:B2708"/>
    <mergeCell ref="A2709:A2714"/>
    <mergeCell ref="B2709:B2714"/>
    <mergeCell ref="A2771:A2775"/>
    <mergeCell ref="B2771:B2775"/>
    <mergeCell ref="A2763:A2766"/>
    <mergeCell ref="B2763:B2766"/>
    <mergeCell ref="A2859:A2863"/>
    <mergeCell ref="B2859:B2863"/>
    <mergeCell ref="A2864:A2868"/>
    <mergeCell ref="B2864:B2868"/>
    <mergeCell ref="A2869:A2873"/>
    <mergeCell ref="B2869:B2873"/>
    <mergeCell ref="A2844:A2848"/>
    <mergeCell ref="B2844:B2848"/>
    <mergeCell ref="A2849:A2853"/>
    <mergeCell ref="B2849:B2853"/>
    <mergeCell ref="A2854:A2858"/>
    <mergeCell ref="B2854:B2858"/>
    <mergeCell ref="A2827:A2833"/>
    <mergeCell ref="B2827:B2833"/>
    <mergeCell ref="A2834:A2838"/>
    <mergeCell ref="B2834:B2838"/>
    <mergeCell ref="A2839:A2843"/>
    <mergeCell ref="B2839:B2843"/>
    <mergeCell ref="A2727:A2730"/>
    <mergeCell ref="B2727:B2730"/>
    <mergeCell ref="A2731:A2734"/>
    <mergeCell ref="B2731:B2734"/>
    <mergeCell ref="A2735:A2738"/>
    <mergeCell ref="B2735:B2738"/>
    <mergeCell ref="B3102:B3106"/>
    <mergeCell ref="A3107:A3111"/>
    <mergeCell ref="B3107:B3111"/>
    <mergeCell ref="A3112:A3116"/>
    <mergeCell ref="B3112:B3116"/>
    <mergeCell ref="A3087:A3091"/>
    <mergeCell ref="B3087:B3091"/>
    <mergeCell ref="A3092:A3096"/>
    <mergeCell ref="B3092:B3096"/>
    <mergeCell ref="A3097:A3101"/>
    <mergeCell ref="B3097:B3101"/>
    <mergeCell ref="A2996:A3000"/>
    <mergeCell ref="B2996:B3000"/>
    <mergeCell ref="A3066:A3073"/>
    <mergeCell ref="B3066:B3073"/>
    <mergeCell ref="A3074:A3078"/>
    <mergeCell ref="B3074:B3078"/>
    <mergeCell ref="A3079:A3086"/>
    <mergeCell ref="B3079:B3086"/>
    <mergeCell ref="A3049:A3053"/>
    <mergeCell ref="B3049:B3053"/>
    <mergeCell ref="A3054:A3061"/>
    <mergeCell ref="B3054:B3061"/>
    <mergeCell ref="A3062:A3065"/>
    <mergeCell ref="B3062:B3065"/>
    <mergeCell ref="A3031:A3035"/>
    <mergeCell ref="B3031:B3035"/>
    <mergeCell ref="A3036:A3040"/>
    <mergeCell ref="B3036:B3040"/>
    <mergeCell ref="A3041:A3048"/>
    <mergeCell ref="B3041:B3048"/>
    <mergeCell ref="A3150:A3155"/>
    <mergeCell ref="B3150:B3155"/>
    <mergeCell ref="A3156:A3160"/>
    <mergeCell ref="B3156:B3160"/>
    <mergeCell ref="A3161:A3166"/>
    <mergeCell ref="B3161:B3166"/>
    <mergeCell ref="A3132:A3137"/>
    <mergeCell ref="B3132:B3137"/>
    <mergeCell ref="A3138:A3143"/>
    <mergeCell ref="B3138:B3143"/>
    <mergeCell ref="A3144:A3149"/>
    <mergeCell ref="B3144:B3149"/>
    <mergeCell ref="A3117:A3121"/>
    <mergeCell ref="B3117:B3121"/>
    <mergeCell ref="A3122:A3126"/>
    <mergeCell ref="B3122:B3126"/>
    <mergeCell ref="A3127:A3131"/>
    <mergeCell ref="B3127:B3131"/>
    <mergeCell ref="A3206:A3212"/>
    <mergeCell ref="B3206:B3212"/>
    <mergeCell ref="A3213:A3225"/>
    <mergeCell ref="B3213:B3225"/>
    <mergeCell ref="A3226:A3231"/>
    <mergeCell ref="B3226:B3231"/>
    <mergeCell ref="A3189:A3196"/>
    <mergeCell ref="B3189:B3196"/>
    <mergeCell ref="A3197:A3201"/>
    <mergeCell ref="B3197:B3201"/>
    <mergeCell ref="A3202:A3205"/>
    <mergeCell ref="B3202:B3205"/>
    <mergeCell ref="A3167:A3171"/>
    <mergeCell ref="B3167:B3171"/>
    <mergeCell ref="A3172:A3180"/>
    <mergeCell ref="B3172:B3180"/>
    <mergeCell ref="A3181:A3188"/>
    <mergeCell ref="B3181:B3188"/>
    <mergeCell ref="A3273:A3279"/>
    <mergeCell ref="B3273:B3279"/>
    <mergeCell ref="A3280:A3286"/>
    <mergeCell ref="B3280:B3286"/>
    <mergeCell ref="A3287:A3293"/>
    <mergeCell ref="B3287:B3293"/>
    <mergeCell ref="A3254:A3258"/>
    <mergeCell ref="B3254:B3258"/>
    <mergeCell ref="A3259:A3265"/>
    <mergeCell ref="B3259:B3265"/>
    <mergeCell ref="A3266:A3272"/>
    <mergeCell ref="B3266:B3272"/>
    <mergeCell ref="A3232:A3237"/>
    <mergeCell ref="B3232:B3237"/>
    <mergeCell ref="A3238:A3243"/>
    <mergeCell ref="B3238:B3243"/>
    <mergeCell ref="A3244:A3253"/>
    <mergeCell ref="B3244:B3253"/>
    <mergeCell ref="A3335:A3340"/>
    <mergeCell ref="B3335:B3340"/>
    <mergeCell ref="A3341:A3349"/>
    <mergeCell ref="B3341:B3349"/>
    <mergeCell ref="A3350:A3354"/>
    <mergeCell ref="B3350:B3354"/>
    <mergeCell ref="A3315:A3321"/>
    <mergeCell ref="B3315:B3321"/>
    <mergeCell ref="A3322:A3328"/>
    <mergeCell ref="B3322:B3328"/>
    <mergeCell ref="A3329:A3334"/>
    <mergeCell ref="B3329:B3334"/>
    <mergeCell ref="A3294:A3300"/>
    <mergeCell ref="B3294:B3300"/>
    <mergeCell ref="A3301:A3307"/>
    <mergeCell ref="B3301:B3307"/>
    <mergeCell ref="A3308:A3314"/>
    <mergeCell ref="B3308:B3314"/>
    <mergeCell ref="A3389:A3392"/>
    <mergeCell ref="B3389:B3392"/>
    <mergeCell ref="A3393:A3396"/>
    <mergeCell ref="B3393:B3396"/>
    <mergeCell ref="A3397:A3403"/>
    <mergeCell ref="B3397:B3403"/>
    <mergeCell ref="A3376:A3379"/>
    <mergeCell ref="B3376:B3379"/>
    <mergeCell ref="A3380:A3383"/>
    <mergeCell ref="B3380:B3383"/>
    <mergeCell ref="A3384:A3388"/>
    <mergeCell ref="B3384:B3388"/>
    <mergeCell ref="A3355:A3361"/>
    <mergeCell ref="B3355:B3361"/>
    <mergeCell ref="A3362:A3368"/>
    <mergeCell ref="B3362:B3368"/>
    <mergeCell ref="A3369:A3375"/>
    <mergeCell ref="B3369:B3375"/>
    <mergeCell ref="A3437:A3440"/>
    <mergeCell ref="B3437:B3440"/>
    <mergeCell ref="A3441:A3450"/>
    <mergeCell ref="B3441:B3450"/>
    <mergeCell ref="A3451:A3461"/>
    <mergeCell ref="B3451:B3461"/>
    <mergeCell ref="A3423:A3427"/>
    <mergeCell ref="B3423:B3427"/>
    <mergeCell ref="A3428:A3432"/>
    <mergeCell ref="B3428:B3432"/>
    <mergeCell ref="A3433:A3436"/>
    <mergeCell ref="B3433:B3436"/>
    <mergeCell ref="A3404:A3410"/>
    <mergeCell ref="B3404:B3410"/>
    <mergeCell ref="A3411:A3417"/>
    <mergeCell ref="B3411:B3417"/>
    <mergeCell ref="A3418:A3422"/>
    <mergeCell ref="B3418:B3422"/>
    <mergeCell ref="A3549:A3564"/>
    <mergeCell ref="B3549:B3564"/>
    <mergeCell ref="A3565:A3570"/>
    <mergeCell ref="B3565:B3570"/>
    <mergeCell ref="A3571:A3576"/>
    <mergeCell ref="B3571:B3576"/>
    <mergeCell ref="A3506:A3522"/>
    <mergeCell ref="B3506:B3522"/>
    <mergeCell ref="A3523:A3532"/>
    <mergeCell ref="B3523:B3532"/>
    <mergeCell ref="A3542:A3548"/>
    <mergeCell ref="B3542:B3548"/>
    <mergeCell ref="A3473:A3480"/>
    <mergeCell ref="B3473:B3480"/>
    <mergeCell ref="A3481:A3497"/>
    <mergeCell ref="B3481:B3497"/>
    <mergeCell ref="A3498:A3505"/>
    <mergeCell ref="B3498:B3505"/>
    <mergeCell ref="A3577:A3584"/>
    <mergeCell ref="B3577:B3584"/>
    <mergeCell ref="A3585:A3591"/>
    <mergeCell ref="B3585:B3591"/>
    <mergeCell ref="A3592:A3596"/>
    <mergeCell ref="B3592:B3596"/>
    <mergeCell ref="A3639:A3643"/>
    <mergeCell ref="B3639:B3643"/>
    <mergeCell ref="A3644:A3651"/>
    <mergeCell ref="B3644:B3651"/>
    <mergeCell ref="A3652:A3655"/>
    <mergeCell ref="B3652:B3655"/>
    <mergeCell ref="A3618:A3623"/>
    <mergeCell ref="B3618:B3623"/>
    <mergeCell ref="A3624:A3633"/>
    <mergeCell ref="B3624:B3633"/>
    <mergeCell ref="A3634:A3638"/>
    <mergeCell ref="B3634:B3638"/>
    <mergeCell ref="A3597:A3604"/>
    <mergeCell ref="B3597:B3604"/>
    <mergeCell ref="A3605:A3610"/>
    <mergeCell ref="B3605:B3610"/>
    <mergeCell ref="A3611:A3617"/>
    <mergeCell ref="B3611:B3617"/>
    <mergeCell ref="A3656:A3661"/>
    <mergeCell ref="B3656:B3661"/>
    <mergeCell ref="A3662:A3676"/>
    <mergeCell ref="B3662:B3676"/>
    <mergeCell ref="A3677:A3684"/>
    <mergeCell ref="B3677:B3684"/>
    <mergeCell ref="A3822:A3827"/>
    <mergeCell ref="B3822:B3827"/>
    <mergeCell ref="A3804:A3809"/>
    <mergeCell ref="B3804:B3809"/>
    <mergeCell ref="A3828:A3832"/>
    <mergeCell ref="B3828:B3832"/>
    <mergeCell ref="A3833:A3843"/>
    <mergeCell ref="B3833:B3843"/>
    <mergeCell ref="A3816:A3821"/>
    <mergeCell ref="B3816:B3821"/>
    <mergeCell ref="A3721:A3724"/>
    <mergeCell ref="B3721:B3724"/>
    <mergeCell ref="A3725:A3734"/>
    <mergeCell ref="B3725:B3734"/>
    <mergeCell ref="A3735:A3739"/>
    <mergeCell ref="B3735:B3739"/>
    <mergeCell ref="A3685:A3696"/>
    <mergeCell ref="B3685:B3696"/>
    <mergeCell ref="A3697:A3709"/>
    <mergeCell ref="B3697:B3709"/>
    <mergeCell ref="A3710:A3720"/>
    <mergeCell ref="B3710:B3720"/>
    <mergeCell ref="A3764:A3767"/>
    <mergeCell ref="B3764:B3767"/>
    <mergeCell ref="A3844:A3853"/>
    <mergeCell ref="B3844:B3853"/>
    <mergeCell ref="A3740:A3748"/>
    <mergeCell ref="B3740:B3748"/>
    <mergeCell ref="A3749:A3755"/>
    <mergeCell ref="B3749:B3755"/>
    <mergeCell ref="A3756:A3759"/>
    <mergeCell ref="B3756:B3759"/>
    <mergeCell ref="A3768:A3773"/>
    <mergeCell ref="B3768:B3773"/>
    <mergeCell ref="A3774:A3779"/>
    <mergeCell ref="B3774:B3779"/>
    <mergeCell ref="A3780:A3785"/>
    <mergeCell ref="B3780:B3785"/>
    <mergeCell ref="A3786:A3791"/>
    <mergeCell ref="B3786:B3791"/>
    <mergeCell ref="A3792:A3797"/>
    <mergeCell ref="B3792:B3797"/>
    <mergeCell ref="A3798:A3803"/>
    <mergeCell ref="B3798:B3803"/>
    <mergeCell ref="A3760:A3763"/>
    <mergeCell ref="B3760:B3763"/>
    <mergeCell ref="A3957:A3964"/>
    <mergeCell ref="B3957:B3964"/>
    <mergeCell ref="A3990:A4002"/>
    <mergeCell ref="B3990:B4002"/>
    <mergeCell ref="A4003:A4015"/>
    <mergeCell ref="B4003:B4015"/>
    <mergeCell ref="A4016:A4020"/>
    <mergeCell ref="B4016:B4020"/>
    <mergeCell ref="A3965:A3974"/>
    <mergeCell ref="B3965:B3974"/>
    <mergeCell ref="A3883:A3897"/>
    <mergeCell ref="B3883:B3897"/>
    <mergeCell ref="A3898:A3904"/>
    <mergeCell ref="B3898:B3904"/>
    <mergeCell ref="A3905:A3922"/>
    <mergeCell ref="B3905:B3922"/>
    <mergeCell ref="A3854:A3862"/>
    <mergeCell ref="B3854:B3862"/>
    <mergeCell ref="A3863:A3870"/>
    <mergeCell ref="B3863:B3870"/>
    <mergeCell ref="A3871:A3882"/>
    <mergeCell ref="B3871:B3882"/>
    <mergeCell ref="A3923:A3928"/>
    <mergeCell ref="B3923:B3928"/>
    <mergeCell ref="A3929:A3934"/>
    <mergeCell ref="B3929:B3934"/>
    <mergeCell ref="A4112:A4118"/>
    <mergeCell ref="B4112:B4118"/>
    <mergeCell ref="A4119:A4126"/>
    <mergeCell ref="B4119:B4126"/>
    <mergeCell ref="A4089:A4094"/>
    <mergeCell ref="B4089:B4094"/>
    <mergeCell ref="A4095:A4101"/>
    <mergeCell ref="B4095:B4101"/>
    <mergeCell ref="A4102:A4107"/>
    <mergeCell ref="B4102:B4107"/>
    <mergeCell ref="A3935:A3940"/>
    <mergeCell ref="B3935:B3940"/>
    <mergeCell ref="A4038:A4046"/>
    <mergeCell ref="B4038:B4046"/>
    <mergeCell ref="A4047:A4055"/>
    <mergeCell ref="B4047:B4055"/>
    <mergeCell ref="A4056:A4064"/>
    <mergeCell ref="B4056:B4064"/>
    <mergeCell ref="A4021:A4024"/>
    <mergeCell ref="B4021:B4024"/>
    <mergeCell ref="A4025:A4028"/>
    <mergeCell ref="B4025:B4028"/>
    <mergeCell ref="A4029:A4037"/>
    <mergeCell ref="B4029:B4037"/>
    <mergeCell ref="A3975:A3981"/>
    <mergeCell ref="B3975:B3981"/>
    <mergeCell ref="A3982:A3989"/>
    <mergeCell ref="B3982:B3989"/>
    <mergeCell ref="A3941:A3947"/>
    <mergeCell ref="B3941:B3947"/>
    <mergeCell ref="A3948:A3956"/>
    <mergeCell ref="B3948:B3956"/>
    <mergeCell ref="A4065:A4073"/>
    <mergeCell ref="B4065:B4073"/>
    <mergeCell ref="A4074:A4082"/>
    <mergeCell ref="B4074:B4082"/>
    <mergeCell ref="A4083:A4088"/>
    <mergeCell ref="B4083:B4088"/>
    <mergeCell ref="A4195:A4200"/>
    <mergeCell ref="B4195:B4200"/>
    <mergeCell ref="A4201:A4206"/>
    <mergeCell ref="B4201:B4206"/>
    <mergeCell ref="A4207:A4212"/>
    <mergeCell ref="B4207:B4212"/>
    <mergeCell ref="A4177:A4180"/>
    <mergeCell ref="B4177:B4180"/>
    <mergeCell ref="A4181:A4187"/>
    <mergeCell ref="B4181:B4187"/>
    <mergeCell ref="A4188:A4194"/>
    <mergeCell ref="B4188:B4194"/>
    <mergeCell ref="A4147:A4154"/>
    <mergeCell ref="B4147:B4154"/>
    <mergeCell ref="A4155:A4165"/>
    <mergeCell ref="B4155:B4165"/>
    <mergeCell ref="A4166:A4176"/>
    <mergeCell ref="B4166:B4176"/>
    <mergeCell ref="A4127:A4134"/>
    <mergeCell ref="B4127:B4134"/>
    <mergeCell ref="A4135:A4142"/>
    <mergeCell ref="B4135:B4142"/>
    <mergeCell ref="A4143:A4146"/>
    <mergeCell ref="B4143:B4146"/>
    <mergeCell ref="A4108:A4111"/>
    <mergeCell ref="B4108:B4111"/>
    <mergeCell ref="A4274:A4282"/>
    <mergeCell ref="B4274:B4282"/>
    <mergeCell ref="A4283:A4298"/>
    <mergeCell ref="B4283:B4298"/>
    <mergeCell ref="A4299:A4325"/>
    <mergeCell ref="B4299:B4325"/>
    <mergeCell ref="A4254:A4260"/>
    <mergeCell ref="B4254:B4260"/>
    <mergeCell ref="A4261:A4265"/>
    <mergeCell ref="B4261:B4265"/>
    <mergeCell ref="A4266:A4273"/>
    <mergeCell ref="B4266:B4273"/>
    <mergeCell ref="A4237:A4244"/>
    <mergeCell ref="B4237:B4244"/>
    <mergeCell ref="A4245:A4253"/>
    <mergeCell ref="B4245:B4253"/>
    <mergeCell ref="A4213:A4222"/>
    <mergeCell ref="B4213:B4222"/>
    <mergeCell ref="A4223:A4228"/>
    <mergeCell ref="B4223:B4228"/>
    <mergeCell ref="A4229:A4236"/>
    <mergeCell ref="B4229:B4236"/>
    <mergeCell ref="A4380:A4389"/>
    <mergeCell ref="B4380:B4389"/>
    <mergeCell ref="A4390:A4397"/>
    <mergeCell ref="B4390:B4397"/>
    <mergeCell ref="A4398:A4405"/>
    <mergeCell ref="B4398:B4405"/>
    <mergeCell ref="A4353:A4361"/>
    <mergeCell ref="B4353:B4361"/>
    <mergeCell ref="A4362:A4370"/>
    <mergeCell ref="B4362:B4370"/>
    <mergeCell ref="A4371:A4379"/>
    <mergeCell ref="B4371:B4379"/>
    <mergeCell ref="A4326:A4332"/>
    <mergeCell ref="B4326:B4332"/>
    <mergeCell ref="A4333:A4343"/>
    <mergeCell ref="B4333:B4343"/>
    <mergeCell ref="A4344:A4352"/>
    <mergeCell ref="B4344:B4352"/>
    <mergeCell ref="A4468:A4473"/>
    <mergeCell ref="B4468:B4473"/>
    <mergeCell ref="A4474:A4493"/>
    <mergeCell ref="B4474:B4493"/>
    <mergeCell ref="A4494:A4501"/>
    <mergeCell ref="B4494:B4501"/>
    <mergeCell ref="A4436:A4443"/>
    <mergeCell ref="B4436:B4443"/>
    <mergeCell ref="A4444:A4455"/>
    <mergeCell ref="B4444:B4455"/>
    <mergeCell ref="A4456:A4467"/>
    <mergeCell ref="B4456:B4467"/>
    <mergeCell ref="A4406:A4415"/>
    <mergeCell ref="B4406:B4415"/>
    <mergeCell ref="A4416:A4425"/>
    <mergeCell ref="B4416:B4425"/>
    <mergeCell ref="A4426:A4435"/>
    <mergeCell ref="B4426:B4435"/>
    <mergeCell ref="A4542:A4546"/>
    <mergeCell ref="B4542:B4546"/>
    <mergeCell ref="A4547:A4552"/>
    <mergeCell ref="B4547:B4552"/>
    <mergeCell ref="A4553:A4564"/>
    <mergeCell ref="B4553:B4564"/>
    <mergeCell ref="A4521:A4525"/>
    <mergeCell ref="B4521:B4525"/>
    <mergeCell ref="A4526:A4533"/>
    <mergeCell ref="B4526:B4533"/>
    <mergeCell ref="A4534:A4541"/>
    <mergeCell ref="B4534:B4541"/>
    <mergeCell ref="A4502:A4509"/>
    <mergeCell ref="B4502:B4509"/>
    <mergeCell ref="A4510:A4515"/>
    <mergeCell ref="B4510:B4515"/>
    <mergeCell ref="A4516:A4520"/>
    <mergeCell ref="B4516:B4520"/>
    <mergeCell ref="A4627:A4638"/>
    <mergeCell ref="B4627:B4638"/>
    <mergeCell ref="A4639:A4646"/>
    <mergeCell ref="B4639:B4646"/>
    <mergeCell ref="A4647:A4652"/>
    <mergeCell ref="B4647:B4652"/>
    <mergeCell ref="A4604:A4612"/>
    <mergeCell ref="B4604:B4612"/>
    <mergeCell ref="A4613:A4620"/>
    <mergeCell ref="B4613:B4620"/>
    <mergeCell ref="A4621:A4626"/>
    <mergeCell ref="B4621:B4626"/>
    <mergeCell ref="A4565:A4576"/>
    <mergeCell ref="B4565:B4576"/>
    <mergeCell ref="A4577:A4595"/>
    <mergeCell ref="B4577:B4595"/>
    <mergeCell ref="A4596:A4603"/>
    <mergeCell ref="B4596:B4603"/>
    <mergeCell ref="A4702:A4713"/>
    <mergeCell ref="B4702:B4713"/>
    <mergeCell ref="A4718:A4723"/>
    <mergeCell ref="B4718:B4723"/>
    <mergeCell ref="A4724:A4731"/>
    <mergeCell ref="B4724:B4731"/>
    <mergeCell ref="A4679:A4684"/>
    <mergeCell ref="B4679:B4684"/>
    <mergeCell ref="A4685:A4692"/>
    <mergeCell ref="B4685:B4692"/>
    <mergeCell ref="A4693:A4701"/>
    <mergeCell ref="B4693:B4701"/>
    <mergeCell ref="A4653:A4660"/>
    <mergeCell ref="B4653:B4660"/>
    <mergeCell ref="A4661:A4668"/>
    <mergeCell ref="B4661:B4668"/>
    <mergeCell ref="A4669:A4678"/>
    <mergeCell ref="B4669:B4678"/>
    <mergeCell ref="A4714:A4717"/>
    <mergeCell ref="B4714:B4717"/>
    <mergeCell ref="A4784:A4793"/>
    <mergeCell ref="B4784:B4793"/>
    <mergeCell ref="A4794:A4803"/>
    <mergeCell ref="B4794:B4803"/>
    <mergeCell ref="A4804:A4808"/>
    <mergeCell ref="B4804:B4808"/>
    <mergeCell ref="A4809:A4813"/>
    <mergeCell ref="B4809:B4813"/>
    <mergeCell ref="A4814:A4818"/>
    <mergeCell ref="B4814:B4818"/>
    <mergeCell ref="A4827:A4834"/>
    <mergeCell ref="B4827:B4834"/>
    <mergeCell ref="A4835:A4842"/>
    <mergeCell ref="B4835:B4842"/>
    <mergeCell ref="A4843:A4850"/>
    <mergeCell ref="B4843:B4850"/>
    <mergeCell ref="A4768:A4778"/>
    <mergeCell ref="B4768:B4778"/>
    <mergeCell ref="A4779:A4783"/>
    <mergeCell ref="B4779:B4783"/>
    <mergeCell ref="A4851:A4858"/>
    <mergeCell ref="B4851:B4858"/>
    <mergeCell ref="A4859:A4866"/>
    <mergeCell ref="B4859:B4866"/>
    <mergeCell ref="A4867:A4874"/>
    <mergeCell ref="B4867:B4874"/>
    <mergeCell ref="A4875:A4882"/>
    <mergeCell ref="B4875:B4882"/>
    <mergeCell ref="A4819:A4826"/>
    <mergeCell ref="B4819:B4826"/>
    <mergeCell ref="A4883:A4892"/>
    <mergeCell ref="B4883:B4892"/>
    <mergeCell ref="A4893:A4901"/>
    <mergeCell ref="B4893:B4901"/>
    <mergeCell ref="A4902:A4908"/>
    <mergeCell ref="B4902:B4908"/>
    <mergeCell ref="A4909:A4915"/>
    <mergeCell ref="B4909:B4915"/>
    <mergeCell ref="A4916:A4922"/>
    <mergeCell ref="B4916:B4922"/>
    <mergeCell ref="A4923:A4929"/>
    <mergeCell ref="B4923:B4929"/>
    <mergeCell ref="A4930:A4936"/>
    <mergeCell ref="B4930:B4936"/>
    <mergeCell ref="A4937:A4941"/>
    <mergeCell ref="B4937:B4941"/>
    <mergeCell ref="A4942:A4948"/>
    <mergeCell ref="B4942:B4948"/>
    <mergeCell ref="B4949:B4955"/>
    <mergeCell ref="A4949:A4955"/>
    <mergeCell ref="A4956:A4962"/>
    <mergeCell ref="B4956:B4962"/>
    <mergeCell ref="A4963:A4969"/>
    <mergeCell ref="B4963:B4969"/>
    <mergeCell ref="A4970:A4974"/>
    <mergeCell ref="B4970:B4974"/>
    <mergeCell ref="A5063:A5070"/>
    <mergeCell ref="B5063:B5070"/>
    <mergeCell ref="A5071:A5076"/>
    <mergeCell ref="B5071:B5076"/>
    <mergeCell ref="A5077:A5082"/>
    <mergeCell ref="B5077:B5082"/>
    <mergeCell ref="A5083:A5088"/>
    <mergeCell ref="B5083:B5088"/>
    <mergeCell ref="A4975:A4980"/>
    <mergeCell ref="B4975:B4980"/>
    <mergeCell ref="A4981:A4986"/>
    <mergeCell ref="B4981:B4986"/>
    <mergeCell ref="A4987:A4992"/>
    <mergeCell ref="B4987:B4992"/>
    <mergeCell ref="A4993:A4998"/>
    <mergeCell ref="B4993:B4998"/>
    <mergeCell ref="A4999:A5005"/>
    <mergeCell ref="B4999:B5005"/>
    <mergeCell ref="A5006:A5010"/>
    <mergeCell ref="B5006:B5010"/>
    <mergeCell ref="A5011:A5018"/>
    <mergeCell ref="B5011:B5018"/>
    <mergeCell ref="A5019:A5024"/>
    <mergeCell ref="B5019:B5024"/>
    <mergeCell ref="A5025:A5028"/>
    <mergeCell ref="B5025:B5028"/>
    <mergeCell ref="A2531:A2534"/>
    <mergeCell ref="B2531:B2534"/>
    <mergeCell ref="A2547:A2550"/>
    <mergeCell ref="B2547:B2550"/>
    <mergeCell ref="A2615:A2618"/>
    <mergeCell ref="B2615:B2618"/>
    <mergeCell ref="A2619:A2622"/>
    <mergeCell ref="B2619:B2622"/>
    <mergeCell ref="A2623:A2626"/>
    <mergeCell ref="B2623:B2626"/>
    <mergeCell ref="A2603:A2606"/>
    <mergeCell ref="B2603:B2606"/>
    <mergeCell ref="A2607:A2610"/>
    <mergeCell ref="B2607:B2610"/>
    <mergeCell ref="A5102:A5108"/>
    <mergeCell ref="B5102:B5108"/>
    <mergeCell ref="A5109:A5119"/>
    <mergeCell ref="B5109:B5119"/>
    <mergeCell ref="A5089:A5094"/>
    <mergeCell ref="B5089:B5094"/>
    <mergeCell ref="A5095:A5101"/>
    <mergeCell ref="B5095:B5101"/>
    <mergeCell ref="A5029:A5034"/>
    <mergeCell ref="B5029:B5034"/>
    <mergeCell ref="A5035:A5040"/>
    <mergeCell ref="B5035:B5040"/>
    <mergeCell ref="A5041:A5048"/>
    <mergeCell ref="B5041:B5048"/>
    <mergeCell ref="A5049:A5055"/>
    <mergeCell ref="B5049:B5055"/>
    <mergeCell ref="A5056:A5062"/>
    <mergeCell ref="B5056:B5062"/>
    <mergeCell ref="A2635:A2638"/>
    <mergeCell ref="B2635:B2638"/>
    <mergeCell ref="A2483:A2486"/>
    <mergeCell ref="B2483:B2486"/>
    <mergeCell ref="A2487:A2490"/>
    <mergeCell ref="B2487:B2490"/>
    <mergeCell ref="A2491:A2494"/>
    <mergeCell ref="B2491:B2494"/>
    <mergeCell ref="A2495:A2498"/>
    <mergeCell ref="B2495:B2498"/>
    <mergeCell ref="A2499:A2502"/>
    <mergeCell ref="B2499:B2502"/>
    <mergeCell ref="A2503:A2506"/>
    <mergeCell ref="B2503:B2506"/>
    <mergeCell ref="A2543:A2546"/>
    <mergeCell ref="B2543:B2546"/>
    <mergeCell ref="A5134:A5141"/>
    <mergeCell ref="B5134:B5141"/>
    <mergeCell ref="A2643:A2646"/>
    <mergeCell ref="B2643:B2646"/>
    <mergeCell ref="A2507:A2510"/>
    <mergeCell ref="B2507:B2510"/>
    <mergeCell ref="A2511:A2514"/>
    <mergeCell ref="B2511:B2514"/>
    <mergeCell ref="A2515:A2518"/>
    <mergeCell ref="B2515:B2518"/>
    <mergeCell ref="A2519:A2522"/>
    <mergeCell ref="B2519:B2522"/>
    <mergeCell ref="A2523:A2526"/>
    <mergeCell ref="B2523:B2526"/>
    <mergeCell ref="A2527:A2530"/>
    <mergeCell ref="B2527:B2530"/>
    <mergeCell ref="A5464:A5469"/>
    <mergeCell ref="B5464:B5469"/>
    <mergeCell ref="A5470:A5475"/>
    <mergeCell ref="B5470:B5475"/>
    <mergeCell ref="A5476:A5481"/>
    <mergeCell ref="B5476:B5481"/>
    <mergeCell ref="A5482:A5485"/>
    <mergeCell ref="B5482:B5485"/>
    <mergeCell ref="A5493:A5496"/>
    <mergeCell ref="B5493:B5496"/>
    <mergeCell ref="A5486:A5492"/>
    <mergeCell ref="B5486:B5492"/>
    <mergeCell ref="A5617:A5620"/>
    <mergeCell ref="B5617:B5620"/>
    <mergeCell ref="A2455:A2458"/>
    <mergeCell ref="B2455:B2458"/>
    <mergeCell ref="A2459:A2462"/>
    <mergeCell ref="B2459:B2462"/>
    <mergeCell ref="A2463:A2466"/>
    <mergeCell ref="B2463:B2466"/>
    <mergeCell ref="A2467:A2470"/>
    <mergeCell ref="B2467:B2470"/>
    <mergeCell ref="A2471:A2474"/>
    <mergeCell ref="B2471:B2474"/>
    <mergeCell ref="A2475:A2478"/>
    <mergeCell ref="B2475:B2478"/>
    <mergeCell ref="A2627:A2630"/>
    <mergeCell ref="B2627:B2630"/>
    <mergeCell ref="A2631:A2634"/>
    <mergeCell ref="B2631:B2634"/>
    <mergeCell ref="A5457:A5463"/>
    <mergeCell ref="B5457:B5463"/>
    <mergeCell ref="A5653:A5656"/>
    <mergeCell ref="B5653:B5656"/>
    <mergeCell ref="A5657:A5660"/>
    <mergeCell ref="B5657:B5660"/>
    <mergeCell ref="A5661:A5664"/>
    <mergeCell ref="B5661:B5664"/>
    <mergeCell ref="A5665:A5668"/>
    <mergeCell ref="B5665:B5668"/>
    <mergeCell ref="A5669:A5672"/>
    <mergeCell ref="B5669:B5672"/>
    <mergeCell ref="A5673:A5676"/>
    <mergeCell ref="B5673:B5676"/>
    <mergeCell ref="A5677:A5680"/>
    <mergeCell ref="B5677:B5680"/>
    <mergeCell ref="A5681:A5684"/>
    <mergeCell ref="B5681:B5684"/>
    <mergeCell ref="A5685:A5688"/>
    <mergeCell ref="B5685:B5688"/>
    <mergeCell ref="A5689:A5692"/>
    <mergeCell ref="B5689:B5692"/>
    <mergeCell ref="A5693:A5696"/>
    <mergeCell ref="B5693:B5696"/>
    <mergeCell ref="A5697:A5700"/>
    <mergeCell ref="B5697:B5700"/>
    <mergeCell ref="A5701:A5704"/>
    <mergeCell ref="B5701:B5704"/>
    <mergeCell ref="A5705:A5708"/>
    <mergeCell ref="B5705:B5708"/>
    <mergeCell ref="A5709:A5712"/>
    <mergeCell ref="B5709:B5712"/>
    <mergeCell ref="A5713:A5716"/>
    <mergeCell ref="B5713:B5716"/>
    <mergeCell ref="A5717:A5720"/>
    <mergeCell ref="B5717:B5720"/>
    <mergeCell ref="A5721:A5724"/>
    <mergeCell ref="B5721:B5724"/>
    <mergeCell ref="A5725:A5728"/>
    <mergeCell ref="B5725:B5728"/>
    <mergeCell ref="A5729:A5732"/>
    <mergeCell ref="B5729:B5732"/>
    <mergeCell ref="A5733:A5736"/>
    <mergeCell ref="B5733:B5736"/>
    <mergeCell ref="A5737:A5740"/>
    <mergeCell ref="B5737:B5740"/>
    <mergeCell ref="A5741:A5744"/>
    <mergeCell ref="B5741:B5744"/>
    <mergeCell ref="A5745:A5748"/>
    <mergeCell ref="B5745:B5748"/>
    <mergeCell ref="A5749:A5752"/>
    <mergeCell ref="B5749:B5752"/>
    <mergeCell ref="A5753:A5756"/>
    <mergeCell ref="B5753:B5756"/>
    <mergeCell ref="A5757:A5760"/>
    <mergeCell ref="B5757:B5760"/>
    <mergeCell ref="A5761:A5764"/>
    <mergeCell ref="B5761:B5764"/>
    <mergeCell ref="A5765:A5768"/>
    <mergeCell ref="B5765:B5768"/>
    <mergeCell ref="A5769:A5772"/>
    <mergeCell ref="B5769:B5772"/>
    <mergeCell ref="A5773:A5776"/>
    <mergeCell ref="B5773:B5776"/>
    <mergeCell ref="A5777:A5780"/>
    <mergeCell ref="B5777:B5780"/>
    <mergeCell ref="A5781:A5784"/>
    <mergeCell ref="B5781:B5784"/>
    <mergeCell ref="A5785:A5788"/>
    <mergeCell ref="B5785:B5788"/>
    <mergeCell ref="A5789:A5792"/>
    <mergeCell ref="B5789:B5792"/>
    <mergeCell ref="A5793:A5796"/>
    <mergeCell ref="B5793:B5796"/>
    <mergeCell ref="A5797:A5800"/>
    <mergeCell ref="B5797:B5800"/>
    <mergeCell ref="A5801:A5804"/>
    <mergeCell ref="B5801:B5804"/>
    <mergeCell ref="A5805:A5808"/>
    <mergeCell ref="B5805:B5808"/>
    <mergeCell ref="A5809:A5812"/>
    <mergeCell ref="B5809:B5812"/>
    <mergeCell ref="A5813:A5816"/>
    <mergeCell ref="B5813:B5816"/>
    <mergeCell ref="A5817:A5820"/>
    <mergeCell ref="B5817:B5820"/>
    <mergeCell ref="A5821:A5824"/>
    <mergeCell ref="B5821:B5824"/>
    <mergeCell ref="A5825:A5828"/>
    <mergeCell ref="B5825:B5828"/>
    <mergeCell ref="A5829:A5832"/>
    <mergeCell ref="B5829:B5832"/>
    <mergeCell ref="A5833:A5836"/>
    <mergeCell ref="B5833:B5836"/>
    <mergeCell ref="A5837:A5840"/>
    <mergeCell ref="B5837:B5840"/>
    <mergeCell ref="A5841:A5844"/>
    <mergeCell ref="B5841:B5844"/>
    <mergeCell ref="A5845:A5848"/>
    <mergeCell ref="B5845:B5848"/>
    <mergeCell ref="A5849:A5852"/>
    <mergeCell ref="B5849:B5852"/>
    <mergeCell ref="A5853:A5856"/>
    <mergeCell ref="B5853:B5856"/>
    <mergeCell ref="A5857:A5860"/>
    <mergeCell ref="B5857:B5860"/>
    <mergeCell ref="A5929:A5932"/>
    <mergeCell ref="B5929:B5932"/>
    <mergeCell ref="A5933:A5936"/>
    <mergeCell ref="B5933:B5936"/>
    <mergeCell ref="A5937:A5940"/>
    <mergeCell ref="B5937:B5940"/>
    <mergeCell ref="A5941:A5944"/>
    <mergeCell ref="B5941:B5944"/>
    <mergeCell ref="A5945:A5948"/>
    <mergeCell ref="B5945:B5948"/>
    <mergeCell ref="A5985:A5988"/>
    <mergeCell ref="B5985:B5988"/>
    <mergeCell ref="A5949:A5952"/>
    <mergeCell ref="B5949:B5952"/>
    <mergeCell ref="A5861:A5864"/>
    <mergeCell ref="B5861:B5864"/>
    <mergeCell ref="A5865:A5868"/>
    <mergeCell ref="B5865:B5868"/>
    <mergeCell ref="A5869:A5872"/>
    <mergeCell ref="B5869:B5872"/>
    <mergeCell ref="A5873:A5876"/>
    <mergeCell ref="B5873:B5876"/>
    <mergeCell ref="A5877:A5880"/>
    <mergeCell ref="B5877:B5880"/>
    <mergeCell ref="A5881:A5884"/>
    <mergeCell ref="B5881:B5884"/>
    <mergeCell ref="A5885:A5888"/>
    <mergeCell ref="B5885:B5888"/>
    <mergeCell ref="A5889:A5892"/>
    <mergeCell ref="B5889:B5892"/>
    <mergeCell ref="A5893:A5896"/>
    <mergeCell ref="B5893:B5896"/>
    <mergeCell ref="A6089:A6092"/>
    <mergeCell ref="B6089:B6092"/>
    <mergeCell ref="A6093:A6096"/>
    <mergeCell ref="B6093:B6096"/>
    <mergeCell ref="A6097:A6100"/>
    <mergeCell ref="B6097:B6100"/>
    <mergeCell ref="A6101:A6104"/>
    <mergeCell ref="B6101:B6104"/>
    <mergeCell ref="A6105:A6108"/>
    <mergeCell ref="B6105:B6108"/>
    <mergeCell ref="A6029:A6032"/>
    <mergeCell ref="B6029:B6032"/>
    <mergeCell ref="A6033:A6036"/>
    <mergeCell ref="B6033:B6036"/>
    <mergeCell ref="A5897:A5900"/>
    <mergeCell ref="B5897:B5900"/>
    <mergeCell ref="A5901:A5904"/>
    <mergeCell ref="B5901:B5904"/>
    <mergeCell ref="A5905:A5908"/>
    <mergeCell ref="B5905:B5908"/>
    <mergeCell ref="A5909:A5912"/>
    <mergeCell ref="B5909:B5912"/>
    <mergeCell ref="A5913:A5916"/>
    <mergeCell ref="B5913:B5916"/>
    <mergeCell ref="A5917:A5920"/>
    <mergeCell ref="B5917:B5920"/>
    <mergeCell ref="A5989:A5992"/>
    <mergeCell ref="B5989:B5992"/>
    <mergeCell ref="A5921:A5924"/>
    <mergeCell ref="B5921:B5924"/>
    <mergeCell ref="A5925:A5928"/>
    <mergeCell ref="B5925:B5928"/>
    <mergeCell ref="A6149:A6152"/>
    <mergeCell ref="B6149:B6152"/>
    <mergeCell ref="A2767:A2770"/>
    <mergeCell ref="B2767:B2770"/>
    <mergeCell ref="B5993:B5996"/>
    <mergeCell ref="B5997:B6000"/>
    <mergeCell ref="A5581:A5586"/>
    <mergeCell ref="B5581:B5586"/>
    <mergeCell ref="A5587:A5592"/>
    <mergeCell ref="B5587:B5592"/>
    <mergeCell ref="A5593:A5598"/>
    <mergeCell ref="B5593:B5598"/>
    <mergeCell ref="A5599:A5604"/>
    <mergeCell ref="B5599:B5604"/>
    <mergeCell ref="A5605:A5610"/>
    <mergeCell ref="B5605:B5610"/>
    <mergeCell ref="A5611:A5616"/>
    <mergeCell ref="B5611:B5616"/>
    <mergeCell ref="A6073:A6076"/>
    <mergeCell ref="B6073:B6076"/>
    <mergeCell ref="A6077:A6080"/>
    <mergeCell ref="B6077:B6080"/>
    <mergeCell ref="A6081:A6084"/>
    <mergeCell ref="B6081:B6084"/>
    <mergeCell ref="A6085:A6088"/>
    <mergeCell ref="B6085:B6088"/>
    <mergeCell ref="A6117:A6120"/>
    <mergeCell ref="B6117:B6120"/>
    <mergeCell ref="A5953:A5956"/>
    <mergeCell ref="B5953:B5956"/>
    <mergeCell ref="A5993:A5996"/>
    <mergeCell ref="A5997:A6000"/>
    <mergeCell ref="A6061:A6064"/>
    <mergeCell ref="B6061:B6064"/>
    <mergeCell ref="A5545:A5550"/>
    <mergeCell ref="B5545:B5550"/>
    <mergeCell ref="A5551:A5556"/>
    <mergeCell ref="B5551:B5556"/>
    <mergeCell ref="A5557:A5562"/>
    <mergeCell ref="B5557:B5562"/>
    <mergeCell ref="A5563:A5568"/>
    <mergeCell ref="B5563:B5568"/>
    <mergeCell ref="A5569:A5574"/>
    <mergeCell ref="B5569:B5574"/>
    <mergeCell ref="A5575:A5580"/>
    <mergeCell ref="B5575:B5580"/>
    <mergeCell ref="A6137:A6144"/>
    <mergeCell ref="B6137:B6144"/>
    <mergeCell ref="A6145:A6148"/>
    <mergeCell ref="B6145:B6148"/>
    <mergeCell ref="A6001:A6004"/>
    <mergeCell ref="B6001:B6004"/>
    <mergeCell ref="A6005:A6008"/>
    <mergeCell ref="B6005:B6008"/>
    <mergeCell ref="A6009:A6012"/>
    <mergeCell ref="B6009:B6012"/>
    <mergeCell ref="A6013:A6016"/>
    <mergeCell ref="B6013:B6016"/>
    <mergeCell ref="A6017:A6020"/>
    <mergeCell ref="B6017:B6020"/>
    <mergeCell ref="A6021:A6024"/>
    <mergeCell ref="B6021:B6024"/>
    <mergeCell ref="A6121:A6124"/>
    <mergeCell ref="B6121:B6124"/>
    <mergeCell ref="A6109:A6112"/>
    <mergeCell ref="B6109:B6112"/>
    <mergeCell ref="A6113:A6116"/>
    <mergeCell ref="B6113:B6116"/>
    <mergeCell ref="A6025:A6028"/>
    <mergeCell ref="B6025:B6028"/>
    <mergeCell ref="A5957:A5960"/>
    <mergeCell ref="B5957:B5960"/>
    <mergeCell ref="A5961:A5964"/>
    <mergeCell ref="B5961:B5964"/>
    <mergeCell ref="A5965:A5968"/>
    <mergeCell ref="B5965:B5968"/>
    <mergeCell ref="A5969:A5972"/>
    <mergeCell ref="B5969:B5972"/>
    <mergeCell ref="A5973:A5976"/>
    <mergeCell ref="B5973:B5976"/>
    <mergeCell ref="A5977:A5980"/>
    <mergeCell ref="B5977:B5980"/>
    <mergeCell ref="A5981:A5984"/>
    <mergeCell ref="B5981:B5984"/>
    <mergeCell ref="A6037:A6040"/>
    <mergeCell ref="B6037:B6040"/>
    <mergeCell ref="A6045:A6048"/>
    <mergeCell ref="B6045:B6048"/>
    <mergeCell ref="A6049:A6052"/>
    <mergeCell ref="B6049:B6052"/>
    <mergeCell ref="A6053:A6056"/>
    <mergeCell ref="B6053:B6056"/>
    <mergeCell ref="A6065:A6068"/>
    <mergeCell ref="B6065:B6068"/>
    <mergeCell ref="A6069:A6072"/>
    <mergeCell ref="B6069:B6072"/>
    <mergeCell ref="A6153:A6156"/>
    <mergeCell ref="B6153:B6156"/>
    <mergeCell ref="A2759:A2762"/>
    <mergeCell ref="B2759:B2762"/>
    <mergeCell ref="A5497:A5502"/>
    <mergeCell ref="B5497:B5502"/>
    <mergeCell ref="A5503:A5508"/>
    <mergeCell ref="B5503:B5508"/>
    <mergeCell ref="A5509:A5514"/>
    <mergeCell ref="B5509:B5514"/>
    <mergeCell ref="A5515:A5520"/>
    <mergeCell ref="B5515:B5520"/>
    <mergeCell ref="A5521:A5526"/>
    <mergeCell ref="B5521:B5526"/>
    <mergeCell ref="A5527:A5532"/>
    <mergeCell ref="B5527:B5532"/>
    <mergeCell ref="A5533:A5538"/>
    <mergeCell ref="B5533:B5538"/>
    <mergeCell ref="A5539:A5544"/>
    <mergeCell ref="B5539:B5544"/>
    <mergeCell ref="A5408:A5415"/>
    <mergeCell ref="B5408:B5415"/>
    <mergeCell ref="A5416:A5422"/>
    <mergeCell ref="B5416:B5422"/>
    <mergeCell ref="A5423:A5432"/>
    <mergeCell ref="B5423:B5432"/>
    <mergeCell ref="A5433:A5444"/>
    <mergeCell ref="B5433:B5444"/>
    <mergeCell ref="A5445:A5450"/>
    <mergeCell ref="B5445:B5450"/>
    <mergeCell ref="A5451:A5456"/>
    <mergeCell ref="B5451:B5456"/>
    <mergeCell ref="A6228:A6233"/>
    <mergeCell ref="B6228:B6233"/>
    <mergeCell ref="A6186:A6190"/>
    <mergeCell ref="B6186:B6190"/>
    <mergeCell ref="A6191:A6195"/>
    <mergeCell ref="B6191:B6195"/>
    <mergeCell ref="A6204:A6211"/>
    <mergeCell ref="B6204:B6211"/>
    <mergeCell ref="A6196:A6203"/>
    <mergeCell ref="B6196:B6203"/>
    <mergeCell ref="A6212:A6220"/>
    <mergeCell ref="B6212:B6220"/>
    <mergeCell ref="A6221:A6227"/>
    <mergeCell ref="B6221:B6227"/>
    <mergeCell ref="A6234:A6240"/>
    <mergeCell ref="B6234:B6240"/>
    <mergeCell ref="A6241:A6246"/>
    <mergeCell ref="B6241:B6246"/>
    <mergeCell ref="A6558:A6561"/>
    <mergeCell ref="B6558:B6561"/>
    <mergeCell ref="A6518:A6521"/>
    <mergeCell ref="B6518:B6521"/>
    <mergeCell ref="A6522:A6525"/>
    <mergeCell ref="B6522:B6525"/>
    <mergeCell ref="A6428:A6432"/>
    <mergeCell ref="B6428:B6432"/>
    <mergeCell ref="A6371:A6385"/>
    <mergeCell ref="B6371:B6385"/>
    <mergeCell ref="A6386:A6392"/>
    <mergeCell ref="B6386:B6392"/>
    <mergeCell ref="A6393:A6398"/>
    <mergeCell ref="B6393:B6398"/>
    <mergeCell ref="A6498:A6501"/>
    <mergeCell ref="B6498:B6501"/>
    <mergeCell ref="A6473:A6479"/>
    <mergeCell ref="B6473:B6479"/>
    <mergeCell ref="A7246:A7250"/>
    <mergeCell ref="B7246:B7250"/>
    <mergeCell ref="A7251:A7255"/>
    <mergeCell ref="B7251:B7255"/>
    <mergeCell ref="A6423:A6427"/>
    <mergeCell ref="B6423:B6427"/>
    <mergeCell ref="A6438:A6444"/>
    <mergeCell ref="B6438:B6444"/>
    <mergeCell ref="A6179:A6185"/>
    <mergeCell ref="B6179:B6185"/>
    <mergeCell ref="A6333:A6342"/>
    <mergeCell ref="B6333:B6342"/>
    <mergeCell ref="A6343:A6351"/>
    <mergeCell ref="B6343:B6351"/>
    <mergeCell ref="A7256:A7259"/>
    <mergeCell ref="B7256:B7259"/>
    <mergeCell ref="A6606:A6609"/>
    <mergeCell ref="B6606:B6609"/>
    <mergeCell ref="A6253:A6261"/>
    <mergeCell ref="B6253:B6261"/>
    <mergeCell ref="A6262:A6272"/>
    <mergeCell ref="B6262:B6272"/>
    <mergeCell ref="A6273:A6280"/>
    <mergeCell ref="B6273:B6280"/>
    <mergeCell ref="A6281:A6288"/>
    <mergeCell ref="B6281:B6288"/>
    <mergeCell ref="A6289:A6297"/>
    <mergeCell ref="B6289:B6297"/>
    <mergeCell ref="A6298:A6308"/>
    <mergeCell ref="B6298:B6308"/>
    <mergeCell ref="A6309:A6332"/>
    <mergeCell ref="B6309:B6332"/>
    <mergeCell ref="A2639:A2642"/>
    <mergeCell ref="B2639:B2642"/>
    <mergeCell ref="A4760:A4763"/>
    <mergeCell ref="B4760:B4763"/>
    <mergeCell ref="A4764:A4767"/>
    <mergeCell ref="B4764:B4767"/>
    <mergeCell ref="A7288:A7291"/>
    <mergeCell ref="B7288:B7291"/>
    <mergeCell ref="A7280:A7283"/>
    <mergeCell ref="B7280:B7283"/>
    <mergeCell ref="A7284:A7287"/>
    <mergeCell ref="B7284:B7287"/>
    <mergeCell ref="A6433:A6437"/>
    <mergeCell ref="B6433:B6437"/>
    <mergeCell ref="A6459:A6465"/>
    <mergeCell ref="B6459:B6465"/>
    <mergeCell ref="A6466:A6472"/>
    <mergeCell ref="B6466:B6472"/>
    <mergeCell ref="A6247:A6252"/>
    <mergeCell ref="B6247:B6252"/>
    <mergeCell ref="A6415:A6418"/>
    <mergeCell ref="B6415:B6418"/>
    <mergeCell ref="A6419:A6422"/>
    <mergeCell ref="B6419:B6422"/>
    <mergeCell ref="A6157:A6167"/>
    <mergeCell ref="B6157:B6167"/>
    <mergeCell ref="A6168:A6178"/>
    <mergeCell ref="B6168:B6178"/>
    <mergeCell ref="A7276:A7279"/>
    <mergeCell ref="B7276:B7279"/>
    <mergeCell ref="A7268:A7271"/>
    <mergeCell ref="B7268:B7271"/>
    <mergeCell ref="A7260:A7263"/>
    <mergeCell ref="B7260:B7263"/>
    <mergeCell ref="A7264:A7267"/>
    <mergeCell ref="B7264:B7267"/>
    <mergeCell ref="A7241:A7245"/>
    <mergeCell ref="B7241:B7245"/>
    <mergeCell ref="A6352:A6356"/>
    <mergeCell ref="B6352:B6356"/>
    <mergeCell ref="A6357:A6370"/>
    <mergeCell ref="B6357:B6370"/>
    <mergeCell ref="A7329:A7336"/>
    <mergeCell ref="B7329:B7336"/>
    <mergeCell ref="A7337:A7344"/>
    <mergeCell ref="B7337:B7344"/>
    <mergeCell ref="A7345:A7350"/>
    <mergeCell ref="B7345:B7350"/>
    <mergeCell ref="A6502:A6505"/>
    <mergeCell ref="B6502:B6505"/>
    <mergeCell ref="A6506:A6509"/>
    <mergeCell ref="B6506:B6509"/>
    <mergeCell ref="A6510:A6513"/>
    <mergeCell ref="B6510:B6513"/>
    <mergeCell ref="A6514:A6517"/>
    <mergeCell ref="B6514:B6517"/>
    <mergeCell ref="A6480:A6486"/>
    <mergeCell ref="B6480:B6486"/>
    <mergeCell ref="A6487:A6493"/>
    <mergeCell ref="B6487:B6493"/>
    <mergeCell ref="A7292:A7295"/>
    <mergeCell ref="B7292:B7295"/>
    <mergeCell ref="A7272:A7275"/>
    <mergeCell ref="B7272:B7275"/>
    <mergeCell ref="A7351:A7355"/>
    <mergeCell ref="B7351:B7355"/>
    <mergeCell ref="A7356:A7360"/>
    <mergeCell ref="B7356:B7360"/>
    <mergeCell ref="A7361:A7367"/>
    <mergeCell ref="B7361:B7367"/>
    <mergeCell ref="A7389:A7395"/>
    <mergeCell ref="B7389:B7395"/>
    <mergeCell ref="A7368:A7374"/>
    <mergeCell ref="B7368:B7374"/>
    <mergeCell ref="A7308:A7311"/>
    <mergeCell ref="B7308:B7311"/>
    <mergeCell ref="A7312:A7315"/>
    <mergeCell ref="B7312:B7315"/>
    <mergeCell ref="A7446:A7452"/>
    <mergeCell ref="B7446:B7452"/>
    <mergeCell ref="A7453:A7459"/>
    <mergeCell ref="B7453:B7459"/>
    <mergeCell ref="A7425:A7432"/>
    <mergeCell ref="B7425:B7432"/>
    <mergeCell ref="A7433:A7438"/>
    <mergeCell ref="B7433:B7438"/>
    <mergeCell ref="A7439:A7445"/>
    <mergeCell ref="B7439:B7445"/>
    <mergeCell ref="A7323:A7328"/>
    <mergeCell ref="B7323:B7328"/>
    <mergeCell ref="A7316:A7322"/>
    <mergeCell ref="B7316:B7322"/>
    <mergeCell ref="A7547:A7550"/>
    <mergeCell ref="B7547:B7550"/>
    <mergeCell ref="A7551:A7554"/>
    <mergeCell ref="B7551:B7554"/>
    <mergeCell ref="A7460:A7466"/>
    <mergeCell ref="B7460:B7466"/>
    <mergeCell ref="A7467:A7474"/>
    <mergeCell ref="B7467:B7474"/>
    <mergeCell ref="A7475:A7482"/>
    <mergeCell ref="B7475:B7482"/>
    <mergeCell ref="A7483:A7490"/>
    <mergeCell ref="B7483:B7490"/>
    <mergeCell ref="A7420:A7424"/>
    <mergeCell ref="B7420:B7424"/>
    <mergeCell ref="A7375:A7382"/>
    <mergeCell ref="B7375:B7382"/>
    <mergeCell ref="A7383:A7388"/>
    <mergeCell ref="B7383:B7388"/>
    <mergeCell ref="A7396:A7401"/>
    <mergeCell ref="B7396:B7401"/>
    <mergeCell ref="A7402:A7407"/>
    <mergeCell ref="B7402:B7407"/>
    <mergeCell ref="A7408:A7413"/>
    <mergeCell ref="B7408:B7413"/>
    <mergeCell ref="A7414:A7419"/>
    <mergeCell ref="B7414:B7419"/>
    <mergeCell ref="A7559:A7562"/>
    <mergeCell ref="B7559:B7562"/>
    <mergeCell ref="A7563:A7566"/>
    <mergeCell ref="B7563:B7566"/>
    <mergeCell ref="A7567:A7570"/>
    <mergeCell ref="B7567:B7570"/>
    <mergeCell ref="A7571:A7574"/>
    <mergeCell ref="B7571:B7574"/>
    <mergeCell ref="A7575:A7578"/>
    <mergeCell ref="B7575:B7578"/>
    <mergeCell ref="A7579:A7582"/>
    <mergeCell ref="B7579:B7582"/>
    <mergeCell ref="A7583:A7586"/>
    <mergeCell ref="B7583:B7586"/>
    <mergeCell ref="A7587:A7590"/>
    <mergeCell ref="B7587:B7590"/>
    <mergeCell ref="A7555:A7558"/>
    <mergeCell ref="B7555:B7558"/>
    <mergeCell ref="A7655:A7658"/>
    <mergeCell ref="B7655:B7658"/>
    <mergeCell ref="A7659:A7662"/>
    <mergeCell ref="B7659:B7662"/>
    <mergeCell ref="A7591:A7594"/>
    <mergeCell ref="B7591:B7594"/>
    <mergeCell ref="A7595:A7598"/>
    <mergeCell ref="B7595:B7598"/>
    <mergeCell ref="A7599:A7602"/>
    <mergeCell ref="B7599:B7602"/>
    <mergeCell ref="A7603:A7606"/>
    <mergeCell ref="B7603:B7606"/>
    <mergeCell ref="A7607:A7610"/>
    <mergeCell ref="B7607:B7610"/>
    <mergeCell ref="A7611:A7614"/>
    <mergeCell ref="B7611:B7614"/>
    <mergeCell ref="A7615:A7618"/>
    <mergeCell ref="B7615:B7618"/>
    <mergeCell ref="A7619:A7622"/>
    <mergeCell ref="B7619:B7622"/>
    <mergeCell ref="A7623:A7626"/>
    <mergeCell ref="B7623:B7626"/>
    <mergeCell ref="A7663:A7666"/>
    <mergeCell ref="B7663:B7666"/>
    <mergeCell ref="A7667:A7670"/>
    <mergeCell ref="B7667:B7670"/>
    <mergeCell ref="A7491:A7499"/>
    <mergeCell ref="B7491:B7499"/>
    <mergeCell ref="A7500:A7505"/>
    <mergeCell ref="B7500:B7505"/>
    <mergeCell ref="A7506:A7511"/>
    <mergeCell ref="B7506:B7511"/>
    <mergeCell ref="A7540:A7546"/>
    <mergeCell ref="B7540:B7546"/>
    <mergeCell ref="A7512:A7525"/>
    <mergeCell ref="B7512:B7525"/>
    <mergeCell ref="A7526:A7539"/>
    <mergeCell ref="B7526:B7539"/>
    <mergeCell ref="A7671:A7674"/>
    <mergeCell ref="B7671:B7674"/>
    <mergeCell ref="A7627:A7630"/>
    <mergeCell ref="B7627:B7630"/>
    <mergeCell ref="A7631:A7634"/>
    <mergeCell ref="B7631:B7634"/>
    <mergeCell ref="A7635:A7638"/>
    <mergeCell ref="B7635:B7638"/>
    <mergeCell ref="A7639:A7642"/>
    <mergeCell ref="B7639:B7642"/>
    <mergeCell ref="A7643:A7646"/>
    <mergeCell ref="B7643:B7646"/>
    <mergeCell ref="A7647:A7650"/>
    <mergeCell ref="B7647:B7650"/>
    <mergeCell ref="A7651:A7654"/>
    <mergeCell ref="B7651:B7654"/>
    <mergeCell ref="A7675:A7678"/>
    <mergeCell ref="B7675:B7678"/>
    <mergeCell ref="A7679:A7682"/>
    <mergeCell ref="B7679:B7682"/>
    <mergeCell ref="A7683:A7686"/>
    <mergeCell ref="B7683:B7686"/>
    <mergeCell ref="A7687:A7690"/>
    <mergeCell ref="B7687:B7690"/>
    <mergeCell ref="A7691:A7694"/>
    <mergeCell ref="B7691:B7694"/>
    <mergeCell ref="A7695:A7698"/>
    <mergeCell ref="B7695:B7698"/>
    <mergeCell ref="A7699:A7702"/>
    <mergeCell ref="B7699:B7702"/>
    <mergeCell ref="A7703:A7706"/>
    <mergeCell ref="B7703:B7706"/>
    <mergeCell ref="A7707:A7710"/>
    <mergeCell ref="B7707:B7710"/>
    <mergeCell ref="A7711:A7714"/>
    <mergeCell ref="B7711:B7714"/>
    <mergeCell ref="A7715:A7718"/>
    <mergeCell ref="B7715:B7718"/>
    <mergeCell ref="A7719:A7722"/>
    <mergeCell ref="B7719:B7722"/>
    <mergeCell ref="A7723:A7726"/>
    <mergeCell ref="B7723:B7726"/>
    <mergeCell ref="A7727:A7730"/>
    <mergeCell ref="B7727:B7730"/>
    <mergeCell ref="A7731:A7734"/>
    <mergeCell ref="B7731:B7734"/>
    <mergeCell ref="A7735:A7738"/>
    <mergeCell ref="B7735:B7738"/>
    <mergeCell ref="A7739:A7742"/>
    <mergeCell ref="B7739:B7742"/>
    <mergeCell ref="A7743:A7746"/>
    <mergeCell ref="B7743:B7746"/>
    <mergeCell ref="A7747:A7750"/>
    <mergeCell ref="B7747:B7750"/>
    <mergeCell ref="A7751:A7754"/>
    <mergeCell ref="B7751:B7754"/>
    <mergeCell ref="A7755:A7758"/>
    <mergeCell ref="B7755:B7758"/>
    <mergeCell ref="A7759:A7762"/>
    <mergeCell ref="B7759:B7762"/>
    <mergeCell ref="A7763:A7766"/>
    <mergeCell ref="B7763:B7766"/>
    <mergeCell ref="A7767:A7770"/>
    <mergeCell ref="B7767:B7770"/>
    <mergeCell ref="A7771:A7774"/>
    <mergeCell ref="B7771:B7774"/>
    <mergeCell ref="A7775:A7778"/>
    <mergeCell ref="B7775:B7778"/>
    <mergeCell ref="A7779:A7782"/>
    <mergeCell ref="B7779:B7782"/>
    <mergeCell ref="A7819:A7822"/>
    <mergeCell ref="B7819:B7822"/>
    <mergeCell ref="A7783:A7786"/>
    <mergeCell ref="B7783:B7786"/>
    <mergeCell ref="A7787:A7790"/>
    <mergeCell ref="B7787:B7790"/>
    <mergeCell ref="A7791:A7794"/>
    <mergeCell ref="B7791:B7794"/>
    <mergeCell ref="A7795:A7798"/>
    <mergeCell ref="B7795:B7798"/>
    <mergeCell ref="A7799:A7802"/>
    <mergeCell ref="B7799:B7802"/>
    <mergeCell ref="A7803:A7806"/>
    <mergeCell ref="B7803:B7806"/>
    <mergeCell ref="A7807:A7810"/>
    <mergeCell ref="B7807:B7810"/>
    <mergeCell ref="A7811:A7814"/>
    <mergeCell ref="B7811:B7814"/>
    <mergeCell ref="A7815:A7818"/>
    <mergeCell ref="B7815:B7818"/>
    <mergeCell ref="A7823:A7826"/>
    <mergeCell ref="B7823:B7826"/>
    <mergeCell ref="A7827:A7830"/>
    <mergeCell ref="B7827:B7830"/>
    <mergeCell ref="A7831:A7834"/>
    <mergeCell ref="B7831:B7834"/>
    <mergeCell ref="A7835:A7838"/>
    <mergeCell ref="B7835:B7838"/>
    <mergeCell ref="A7839:A7842"/>
    <mergeCell ref="B7839:B7842"/>
    <mergeCell ref="A7843:A7846"/>
    <mergeCell ref="B7843:B7846"/>
    <mergeCell ref="A7847:A7850"/>
    <mergeCell ref="B7847:B7850"/>
    <mergeCell ref="A7851:A7854"/>
    <mergeCell ref="B7851:B7854"/>
    <mergeCell ref="A7855:A7858"/>
    <mergeCell ref="B7855:B7858"/>
    <mergeCell ref="A7859:A7862"/>
    <mergeCell ref="B7859:B7862"/>
    <mergeCell ref="A7863:A7866"/>
    <mergeCell ref="B7863:B7866"/>
    <mergeCell ref="A7867:A7870"/>
    <mergeCell ref="B7867:B7870"/>
    <mergeCell ref="A7871:A7874"/>
    <mergeCell ref="B7871:B7874"/>
    <mergeCell ref="A7875:A7878"/>
    <mergeCell ref="B7875:B7878"/>
    <mergeCell ref="A7879:A7882"/>
    <mergeCell ref="B7879:B7882"/>
    <mergeCell ref="A7883:A7886"/>
    <mergeCell ref="B7883:B7886"/>
    <mergeCell ref="A7887:A7890"/>
    <mergeCell ref="B7887:B7890"/>
    <mergeCell ref="A7891:A7894"/>
    <mergeCell ref="B7891:B7894"/>
    <mergeCell ref="A7895:A7898"/>
    <mergeCell ref="B7895:B7898"/>
    <mergeCell ref="A7899:A7902"/>
    <mergeCell ref="B7899:B7902"/>
    <mergeCell ref="A7903:A7906"/>
    <mergeCell ref="B7903:B7906"/>
    <mergeCell ref="A7907:A7910"/>
    <mergeCell ref="B7907:B7910"/>
    <mergeCell ref="A7911:A7914"/>
    <mergeCell ref="B7911:B7914"/>
    <mergeCell ref="A7915:A7918"/>
    <mergeCell ref="B7915:B7918"/>
    <mergeCell ref="A7919:A7922"/>
    <mergeCell ref="B7919:B7922"/>
    <mergeCell ref="A7923:A7926"/>
    <mergeCell ref="B7923:B7926"/>
    <mergeCell ref="A7927:A7930"/>
    <mergeCell ref="B7927:B7930"/>
    <mergeCell ref="A7931:A7934"/>
    <mergeCell ref="B7931:B7934"/>
    <mergeCell ref="A7935:A7938"/>
    <mergeCell ref="B7935:B7938"/>
    <mergeCell ref="A7939:A7942"/>
    <mergeCell ref="B7939:B7942"/>
    <mergeCell ref="A7943:A7946"/>
    <mergeCell ref="B7943:B7946"/>
    <mergeCell ref="A7947:A7950"/>
    <mergeCell ref="B7947:B7950"/>
    <mergeCell ref="A7951:A7954"/>
    <mergeCell ref="B7951:B7954"/>
    <mergeCell ref="A7955:A7958"/>
    <mergeCell ref="B7955:B7958"/>
    <mergeCell ref="A7959:A7962"/>
    <mergeCell ref="B7959:B7962"/>
    <mergeCell ref="A7963:A7966"/>
    <mergeCell ref="B7963:B7966"/>
    <mergeCell ref="A8035:A8038"/>
    <mergeCell ref="B8035:B8038"/>
    <mergeCell ref="A7967:A7970"/>
    <mergeCell ref="B7967:B7970"/>
    <mergeCell ref="A7971:A7974"/>
    <mergeCell ref="B7971:B7974"/>
    <mergeCell ref="A7975:A7978"/>
    <mergeCell ref="B7975:B7978"/>
    <mergeCell ref="A7979:A7982"/>
    <mergeCell ref="B7979:B7982"/>
    <mergeCell ref="A7983:A7986"/>
    <mergeCell ref="B7983:B7986"/>
    <mergeCell ref="A7987:A7990"/>
    <mergeCell ref="B7987:B7990"/>
    <mergeCell ref="A7991:A7994"/>
    <mergeCell ref="B7991:B7994"/>
    <mergeCell ref="A7995:A7998"/>
    <mergeCell ref="B7995:B7998"/>
    <mergeCell ref="A7999:A8002"/>
    <mergeCell ref="B7999:B8002"/>
    <mergeCell ref="A8039:A8042"/>
    <mergeCell ref="B8039:B8042"/>
    <mergeCell ref="A8043:A8046"/>
    <mergeCell ref="B8043:B8046"/>
    <mergeCell ref="A8047:A8050"/>
    <mergeCell ref="B8047:B8050"/>
    <mergeCell ref="A8051:A8054"/>
    <mergeCell ref="B8051:B8054"/>
    <mergeCell ref="A8055:A8058"/>
    <mergeCell ref="B8055:B8058"/>
    <mergeCell ref="A8059:A8062"/>
    <mergeCell ref="B8059:B8062"/>
    <mergeCell ref="A8063:A8066"/>
    <mergeCell ref="B8063:B8066"/>
    <mergeCell ref="A8067:A8070"/>
    <mergeCell ref="B8067:B8070"/>
    <mergeCell ref="A8003:A8006"/>
    <mergeCell ref="B8003:B8006"/>
    <mergeCell ref="A8007:A8010"/>
    <mergeCell ref="B8007:B8010"/>
    <mergeCell ref="A8011:A8014"/>
    <mergeCell ref="B8011:B8014"/>
    <mergeCell ref="A8015:A8018"/>
    <mergeCell ref="B8015:B8018"/>
    <mergeCell ref="A8019:A8022"/>
    <mergeCell ref="B8019:B8022"/>
    <mergeCell ref="A8023:A8026"/>
    <mergeCell ref="B8023:B8026"/>
    <mergeCell ref="A8027:A8030"/>
    <mergeCell ref="B8027:B8030"/>
    <mergeCell ref="A8031:A8034"/>
    <mergeCell ref="B8031:B8034"/>
    <mergeCell ref="A8091:A8094"/>
    <mergeCell ref="B8091:B8094"/>
    <mergeCell ref="A8095:A8098"/>
    <mergeCell ref="B8095:B8098"/>
    <mergeCell ref="A8099:A8102"/>
    <mergeCell ref="B8099:B8102"/>
    <mergeCell ref="A8103:A8106"/>
    <mergeCell ref="B8103:B8106"/>
    <mergeCell ref="A8107:A8110"/>
    <mergeCell ref="B8107:B8110"/>
    <mergeCell ref="A8071:A8074"/>
    <mergeCell ref="B8071:B8074"/>
    <mergeCell ref="A8075:A8078"/>
    <mergeCell ref="B8075:B8078"/>
    <mergeCell ref="A8079:A8082"/>
    <mergeCell ref="B8079:B8082"/>
    <mergeCell ref="A8083:A8086"/>
    <mergeCell ref="B8083:B8086"/>
    <mergeCell ref="A8087:A8090"/>
    <mergeCell ref="B8087:B8090"/>
    <mergeCell ref="A8131:A8134"/>
    <mergeCell ref="B8131:B8134"/>
    <mergeCell ref="A8135:A8138"/>
    <mergeCell ref="B8135:B8138"/>
    <mergeCell ref="A8139:A8142"/>
    <mergeCell ref="B8139:B8142"/>
    <mergeCell ref="A8143:A8146"/>
    <mergeCell ref="B8143:B8146"/>
    <mergeCell ref="A8147:A8150"/>
    <mergeCell ref="B8147:B8150"/>
    <mergeCell ref="A8111:A8114"/>
    <mergeCell ref="B8111:B8114"/>
    <mergeCell ref="A8115:A8118"/>
    <mergeCell ref="B8115:B8118"/>
    <mergeCell ref="A8119:A8122"/>
    <mergeCell ref="B8119:B8122"/>
    <mergeCell ref="A8123:A8126"/>
    <mergeCell ref="B8123:B8126"/>
    <mergeCell ref="A8127:A8130"/>
    <mergeCell ref="B8127:B8130"/>
    <mergeCell ref="L1:S1"/>
    <mergeCell ref="L2:S2"/>
    <mergeCell ref="A8220:A8224"/>
    <mergeCell ref="B8220:B8224"/>
    <mergeCell ref="A8231:A8237"/>
    <mergeCell ref="B8231:B8237"/>
    <mergeCell ref="A8215:A8219"/>
    <mergeCell ref="B8215:B8219"/>
    <mergeCell ref="A8179:A8188"/>
    <mergeCell ref="B8179:B8188"/>
    <mergeCell ref="A8189:A8198"/>
    <mergeCell ref="B8189:B8198"/>
    <mergeCell ref="A8211:A8214"/>
    <mergeCell ref="B8211:B8214"/>
    <mergeCell ref="A8199:A8210"/>
    <mergeCell ref="B8199:B8210"/>
    <mergeCell ref="A8151:A8154"/>
    <mergeCell ref="B8151:B8154"/>
    <mergeCell ref="A8155:A8158"/>
    <mergeCell ref="B8155:B8158"/>
    <mergeCell ref="A8159:A8162"/>
    <mergeCell ref="B8159:B8162"/>
    <mergeCell ref="A8163:A8166"/>
    <mergeCell ref="B8163:B8166"/>
    <mergeCell ref="A8167:A8170"/>
    <mergeCell ref="B8167:B8170"/>
    <mergeCell ref="A8171:A8174"/>
    <mergeCell ref="B8171:B8174"/>
    <mergeCell ref="A8175:A8178"/>
    <mergeCell ref="B8175:B8178"/>
    <mergeCell ref="A8225:A8230"/>
    <mergeCell ref="B8225:B8230"/>
  </mergeCells>
  <conditionalFormatting sqref="D233 D237 D241 D395 D649 D653 D657 D661 D665 D705 D773 D784 D908 D1529 D1643 D1931 D1936 D2083 D2137 D2193 D2252 D2262 D2302 D2551 D2555 D2559 D2563 D2567 D2571 D2579 D2587 D2595 D2599 D2603 D2607 D2611 D2615 D2619 D2623 D2627 D2631 D2635 D2647 D2655 D2661 D2667 D2673 D2679 D2685 D2691 D2697 D2703 D2709 D2771 D2776 D2786 D2802 D2812 D2817 D2822 D2827 D2834 D2839 D2844 D2849 D2854 D2859 D2864 D2869 D2874 D2881 D2886 D2891 D2896 D2904 D2912 D2920 D2928 D2936 D2941 D2946 D2951 D2956 D2961 D2966 D2971 D2976 D2981 D2986 D2996 D3001 D3006 D3011 D3016 D3021 D3026 D3031 D3036 D3041 D3049 D3054 D3062 D3066 D3074 D3079 D3087 D3092 D3097 D3102 D3107 D3112 D3117 D3122 D3127 D3132 D3138 D3144 D3150 D3156 D3161 D3167 D3172 D3181 D3189 D3197 D3202 D3206 D3213 D3226 D3232 D3238 D3244 D3254 D3259 D3266 D3273 D3280 D3287 D3294 D3301 D3308 D3315 D3322 D3329 D3335 D3341 D3350 D3355 D3362 D3369 D3376 D3380 D3389 D3393 D3397 D3404 D3411 D3418 D3423 D3428 D3433 D3437 D3441 D3451 D3473 D3481 D3498 D3506 D3523 D3542 D3549 D3565 D3571 D3577 D3585 D3592 D3597 D3605 D3611 D3618 D3624 D3634 D3639 D3644 D3652 D3656 D3662 D3677 D3685 D3697 D3710 D3721 D3725 D3735 D3740 D3749 D3756 D3760 D3764 D3822 D3828 D3833 D3844 D3854 D3863 D3871 D3883 D3898 D3905 D3923 D3929 D3935 D3941 D3948 D3957 D3965 D3975 D3982 D3990 D4003 D4016 D4021 D4025 D4029 D4038 D4047 D4056 D4065 D4074 D4083 D4089 D4095 D4102 D4108 D4112 D4119 D4127 D4135 D4143 D4147 D4155 D4166 D4177 D4181 D4188 D4195 D4201 D4207 D4213 D4223 D4229 D4237 D4245 D4254 D4261 D4266 D4274 D4283 D4299 D4326 D4333 D4344 D4353 D4362 D4371 D4380 D4390 D4398 D4406 D4416 D4426 D4436 D4444 D4456 D4468 D4474 D4494 D4502 D4510 D4516 D4521 D4526 D4534 D4542 D4547 D4553 D4565 D4577 D4596 D4604 D4613 D4621 D4627 D4639 D4647 D4653 D4661 D4669 D4679 D4685 D4693 D4702 D4718 D4724 D4768 D4779">
    <cfRule type="containsText" dxfId="1265" priority="10246" operator="containsText" text="Pesquisa de Preços">
      <formula>NOT(ISERROR(SEARCH("Pesquisa de Preços",D233)))</formula>
    </cfRule>
  </conditionalFormatting>
  <conditionalFormatting sqref="D306:D307">
    <cfRule type="containsText" dxfId="1264" priority="10176" operator="containsText" text="Pesquisa de Preços">
      <formula>NOT(ISERROR(SEARCH("Pesquisa de Preços",D306)))</formula>
    </cfRule>
  </conditionalFormatting>
  <conditionalFormatting sqref="D1108:D1109">
    <cfRule type="containsText" dxfId="1263" priority="10077" operator="containsText" text="Pesquisa de Preços">
      <formula>NOT(ISERROR(SEARCH("Pesquisa de Preços",D1108)))</formula>
    </cfRule>
  </conditionalFormatting>
  <conditionalFormatting sqref="D1450:D1451">
    <cfRule type="containsText" dxfId="1262" priority="10002" operator="containsText" text="Pesquisa de Preços">
      <formula>NOT(ISERROR(SEARCH("Pesquisa de Preços",D1450)))</formula>
    </cfRule>
  </conditionalFormatting>
  <conditionalFormatting sqref="D1460">
    <cfRule type="containsText" dxfId="1261" priority="9669" operator="containsText" text="Pesquisa de Preços">
      <formula>NOT(ISERROR(SEARCH("Pesquisa de Preços",D1460)))</formula>
    </cfRule>
  </conditionalFormatting>
  <conditionalFormatting sqref="D1480:D1481">
    <cfRule type="containsText" dxfId="1260" priority="10000" operator="containsText" text="Pesquisa de Preços">
      <formula>NOT(ISERROR(SEARCH("Pesquisa de Preços",D1480)))</formula>
    </cfRule>
  </conditionalFormatting>
  <conditionalFormatting sqref="D1510:D1512">
    <cfRule type="containsText" dxfId="1259" priority="9670" operator="containsText" text="Pesquisa de Preços">
      <formula>NOT(ISERROR(SEARCH("Pesquisa de Preços",D1510)))</formula>
    </cfRule>
  </conditionalFormatting>
  <conditionalFormatting sqref="D2395">
    <cfRule type="containsText" dxfId="1258" priority="7818" operator="containsText" text="Pesquisa de Preços">
      <formula>NOT(ISERROR(SEARCH("Pesquisa de Preços",D2395)))</formula>
    </cfRule>
  </conditionalFormatting>
  <conditionalFormatting sqref="D2435">
    <cfRule type="containsText" dxfId="1257" priority="7778" operator="containsText" text="Pesquisa de Preços">
      <formula>NOT(ISERROR(SEARCH("Pesquisa de Preços",D2435)))</formula>
    </cfRule>
  </conditionalFormatting>
  <conditionalFormatting sqref="D2439">
    <cfRule type="containsText" dxfId="1256" priority="7774" operator="containsText" text="Pesquisa de Preços">
      <formula>NOT(ISERROR(SEARCH("Pesquisa de Preços",D2439)))</formula>
    </cfRule>
  </conditionalFormatting>
  <conditionalFormatting sqref="D2443">
    <cfRule type="containsText" dxfId="1255" priority="7658" operator="containsText" text="Pesquisa de Preços">
      <formula>NOT(ISERROR(SEARCH("Pesquisa de Preços",D2443)))</formula>
    </cfRule>
  </conditionalFormatting>
  <conditionalFormatting sqref="D2447">
    <cfRule type="containsText" dxfId="1254" priority="7654" operator="containsText" text="Pesquisa de Preços">
      <formula>NOT(ISERROR(SEARCH("Pesquisa de Preços",D2447)))</formula>
    </cfRule>
  </conditionalFormatting>
  <conditionalFormatting sqref="D2451">
    <cfRule type="containsText" dxfId="1253" priority="7770" operator="containsText" text="Pesquisa de Preços">
      <formula>NOT(ISERROR(SEARCH("Pesquisa de Preços",D2451)))</formula>
    </cfRule>
  </conditionalFormatting>
  <conditionalFormatting sqref="D2455">
    <cfRule type="containsText" dxfId="1252" priority="7766" operator="containsText" text="Pesquisa de Preços">
      <formula>NOT(ISERROR(SEARCH("Pesquisa de Preços",D2455)))</formula>
    </cfRule>
  </conditionalFormatting>
  <conditionalFormatting sqref="D2459">
    <cfRule type="containsText" dxfId="1251" priority="7762" operator="containsText" text="Pesquisa de Preços">
      <formula>NOT(ISERROR(SEARCH("Pesquisa de Preços",D2459)))</formula>
    </cfRule>
  </conditionalFormatting>
  <conditionalFormatting sqref="D2463">
    <cfRule type="containsText" dxfId="1250" priority="7758" operator="containsText" text="Pesquisa de Preços">
      <formula>NOT(ISERROR(SEARCH("Pesquisa de Preços",D2463)))</formula>
    </cfRule>
  </conditionalFormatting>
  <conditionalFormatting sqref="D2467">
    <cfRule type="containsText" dxfId="1249" priority="7754" operator="containsText" text="Pesquisa de Preços">
      <formula>NOT(ISERROR(SEARCH("Pesquisa de Preços",D2467)))</formula>
    </cfRule>
  </conditionalFormatting>
  <conditionalFormatting sqref="D2471">
    <cfRule type="containsText" dxfId="1248" priority="7750" operator="containsText" text="Pesquisa de Preços">
      <formula>NOT(ISERROR(SEARCH("Pesquisa de Preços",D2471)))</formula>
    </cfRule>
  </conditionalFormatting>
  <conditionalFormatting sqref="D2475">
    <cfRule type="containsText" dxfId="1247" priority="7746" operator="containsText" text="Pesquisa de Preços">
      <formula>NOT(ISERROR(SEARCH("Pesquisa de Preços",D2475)))</formula>
    </cfRule>
  </conditionalFormatting>
  <conditionalFormatting sqref="D2479">
    <cfRule type="containsText" dxfId="1246" priority="7742" operator="containsText" text="Pesquisa de Preços">
      <formula>NOT(ISERROR(SEARCH("Pesquisa de Preços",D2479)))</formula>
    </cfRule>
  </conditionalFormatting>
  <conditionalFormatting sqref="D2483">
    <cfRule type="containsText" dxfId="1245" priority="7738" operator="containsText" text="Pesquisa de Preços">
      <formula>NOT(ISERROR(SEARCH("Pesquisa de Preços",D2483)))</formula>
    </cfRule>
  </conditionalFormatting>
  <conditionalFormatting sqref="D2487">
    <cfRule type="containsText" dxfId="1244" priority="7734" operator="containsText" text="Pesquisa de Preços">
      <formula>NOT(ISERROR(SEARCH("Pesquisa de Preços",D2487)))</formula>
    </cfRule>
  </conditionalFormatting>
  <conditionalFormatting sqref="D2491">
    <cfRule type="containsText" dxfId="1243" priority="7730" operator="containsText" text="Pesquisa de Preços">
      <formula>NOT(ISERROR(SEARCH("Pesquisa de Preços",D2491)))</formula>
    </cfRule>
  </conditionalFormatting>
  <conditionalFormatting sqref="D2495">
    <cfRule type="containsText" dxfId="1242" priority="7724" operator="containsText" text="Pesquisa de Preços">
      <formula>NOT(ISERROR(SEARCH("Pesquisa de Preços",D2495)))</formula>
    </cfRule>
  </conditionalFormatting>
  <conditionalFormatting sqref="D2499">
    <cfRule type="containsText" dxfId="1241" priority="7720" operator="containsText" text="Pesquisa de Preços">
      <formula>NOT(ISERROR(SEARCH("Pesquisa de Preços",D2499)))</formula>
    </cfRule>
  </conditionalFormatting>
  <conditionalFormatting sqref="D2503">
    <cfRule type="containsText" dxfId="1240" priority="7716" operator="containsText" text="Pesquisa de Preços">
      <formula>NOT(ISERROR(SEARCH("Pesquisa de Preços",D2503)))</formula>
    </cfRule>
  </conditionalFormatting>
  <conditionalFormatting sqref="D2507">
    <cfRule type="containsText" dxfId="1239" priority="7712" operator="containsText" text="Pesquisa de Preços">
      <formula>NOT(ISERROR(SEARCH("Pesquisa de Preços",D2507)))</formula>
    </cfRule>
  </conditionalFormatting>
  <conditionalFormatting sqref="D2511">
    <cfRule type="containsText" dxfId="1238" priority="7708" operator="containsText" text="Pesquisa de Preços">
      <formula>NOT(ISERROR(SEARCH("Pesquisa de Preços",D2511)))</formula>
    </cfRule>
  </conditionalFormatting>
  <conditionalFormatting sqref="D2515">
    <cfRule type="containsText" dxfId="1237" priority="7704" operator="containsText" text="Pesquisa de Preços">
      <formula>NOT(ISERROR(SEARCH("Pesquisa de Preços",D2515)))</formula>
    </cfRule>
  </conditionalFormatting>
  <conditionalFormatting sqref="D2519">
    <cfRule type="containsText" dxfId="1236" priority="7700" operator="containsText" text="Pesquisa de Preços">
      <formula>NOT(ISERROR(SEARCH("Pesquisa de Preços",D2519)))</formula>
    </cfRule>
  </conditionalFormatting>
  <conditionalFormatting sqref="D2523">
    <cfRule type="containsText" dxfId="1235" priority="7696" operator="containsText" text="Pesquisa de Preços">
      <formula>NOT(ISERROR(SEARCH("Pesquisa de Preços",D2523)))</formula>
    </cfRule>
  </conditionalFormatting>
  <conditionalFormatting sqref="D2527">
    <cfRule type="containsText" dxfId="1234" priority="7692" operator="containsText" text="Pesquisa de Preços">
      <formula>NOT(ISERROR(SEARCH("Pesquisa de Preços",D2527)))</formula>
    </cfRule>
  </conditionalFormatting>
  <conditionalFormatting sqref="D2531">
    <cfRule type="containsText" dxfId="1233" priority="7688" operator="containsText" text="Pesquisa de Preços">
      <formula>NOT(ISERROR(SEARCH("Pesquisa de Preços",D2531)))</formula>
    </cfRule>
  </conditionalFormatting>
  <conditionalFormatting sqref="D2535">
    <cfRule type="containsText" dxfId="1232" priority="7684" operator="containsText" text="Pesquisa de Preços">
      <formula>NOT(ISERROR(SEARCH("Pesquisa de Preços",D2535)))</formula>
    </cfRule>
  </conditionalFormatting>
  <conditionalFormatting sqref="D2539">
    <cfRule type="containsText" dxfId="1231" priority="7680" operator="containsText" text="Pesquisa de Preços">
      <formula>NOT(ISERROR(SEARCH("Pesquisa de Preços",D2539)))</formula>
    </cfRule>
  </conditionalFormatting>
  <conditionalFormatting sqref="D2543">
    <cfRule type="containsText" dxfId="1230" priority="7668" operator="containsText" text="Pesquisa de Preços">
      <formula>NOT(ISERROR(SEARCH("Pesquisa de Preços",D2543)))</formula>
    </cfRule>
  </conditionalFormatting>
  <conditionalFormatting sqref="D2547">
    <cfRule type="containsText" dxfId="1229" priority="7672" operator="containsText" text="Pesquisa de Preços">
      <formula>NOT(ISERROR(SEARCH("Pesquisa de Preços",D2547)))</formula>
    </cfRule>
  </conditionalFormatting>
  <conditionalFormatting sqref="D2639">
    <cfRule type="containsText" dxfId="1228" priority="4277" operator="containsText" text="Pesquisa de Preços">
      <formula>NOT(ISERROR(SEARCH("Pesquisa de Preços",D2639)))</formula>
    </cfRule>
  </conditionalFormatting>
  <conditionalFormatting sqref="D2643">
    <cfRule type="containsText" dxfId="1227" priority="7666" operator="containsText" text="Pesquisa de Preços">
      <formula>NOT(ISERROR(SEARCH("Pesquisa de Preços",D2643)))</formula>
    </cfRule>
  </conditionalFormatting>
  <conditionalFormatting sqref="D2651">
    <cfRule type="containsText" dxfId="1226" priority="7662" operator="containsText" text="Pesquisa de Preços">
      <formula>NOT(ISERROR(SEARCH("Pesquisa de Preços",D2651)))</formula>
    </cfRule>
  </conditionalFormatting>
  <conditionalFormatting sqref="D2715">
    <cfRule type="containsText" dxfId="1225" priority="4453" operator="containsText" text="Pesquisa de Preços">
      <formula>NOT(ISERROR(SEARCH("Pesquisa de Preços",D2715)))</formula>
    </cfRule>
  </conditionalFormatting>
  <conditionalFormatting sqref="D2719">
    <cfRule type="containsText" dxfId="1224" priority="4446" operator="containsText" text="Pesquisa de Preços">
      <formula>NOT(ISERROR(SEARCH("Pesquisa de Preços",D2719)))</formula>
    </cfRule>
  </conditionalFormatting>
  <conditionalFormatting sqref="D2723">
    <cfRule type="containsText" dxfId="1223" priority="4439" operator="containsText" text="Pesquisa de Preços">
      <formula>NOT(ISERROR(SEARCH("Pesquisa de Preços",D2723)))</formula>
    </cfRule>
  </conditionalFormatting>
  <conditionalFormatting sqref="D2727">
    <cfRule type="containsText" dxfId="1222" priority="4871" operator="containsText" text="Pesquisa de Preços">
      <formula>NOT(ISERROR(SEARCH("Pesquisa de Preços",D2727)))</formula>
    </cfRule>
  </conditionalFormatting>
  <conditionalFormatting sqref="D2731">
    <cfRule type="containsText" dxfId="1221" priority="4874" operator="containsText" text="Pesquisa de Preços">
      <formula>NOT(ISERROR(SEARCH("Pesquisa de Preços",D2731)))</formula>
    </cfRule>
  </conditionalFormatting>
  <conditionalFormatting sqref="D2735">
    <cfRule type="containsText" dxfId="1220" priority="4858" operator="containsText" text="Pesquisa de Preços">
      <formula>NOT(ISERROR(SEARCH("Pesquisa de Preços",D2735)))</formula>
    </cfRule>
  </conditionalFormatting>
  <conditionalFormatting sqref="D2739">
    <cfRule type="containsText" dxfId="1219" priority="4861" operator="containsText" text="Pesquisa de Preços">
      <formula>NOT(ISERROR(SEARCH("Pesquisa de Preços",D2739)))</formula>
    </cfRule>
  </conditionalFormatting>
  <conditionalFormatting sqref="D2743">
    <cfRule type="containsText" dxfId="1218" priority="4433" operator="containsText" text="Pesquisa de Preços">
      <formula>NOT(ISERROR(SEARCH("Pesquisa de Preços",D2743)))</formula>
    </cfRule>
  </conditionalFormatting>
  <conditionalFormatting sqref="D2747">
    <cfRule type="containsText" dxfId="1217" priority="4845" operator="containsText" text="Pesquisa de Preços">
      <formula>NOT(ISERROR(SEARCH("Pesquisa de Preços",D2747)))</formula>
    </cfRule>
  </conditionalFormatting>
  <conditionalFormatting sqref="D2751">
    <cfRule type="containsText" dxfId="1216" priority="4848" operator="containsText" text="Pesquisa de Preços">
      <formula>NOT(ISERROR(SEARCH("Pesquisa de Preços",D2751)))</formula>
    </cfRule>
  </conditionalFormatting>
  <conditionalFormatting sqref="D2755">
    <cfRule type="containsText" dxfId="1215" priority="4423" operator="containsText" text="Pesquisa de Preços">
      <formula>NOT(ISERROR(SEARCH("Pesquisa de Preços",D2755)))</formula>
    </cfRule>
  </conditionalFormatting>
  <conditionalFormatting sqref="D2759">
    <cfRule type="containsText" dxfId="1214" priority="7087" operator="containsText" text="Pesquisa de Preços">
      <formula>NOT(ISERROR(SEARCH("Pesquisa de Preços",D2759)))</formula>
    </cfRule>
  </conditionalFormatting>
  <conditionalFormatting sqref="D2763">
    <cfRule type="containsText" dxfId="1213" priority="7540" operator="containsText" text="Pesquisa de Preços">
      <formula>NOT(ISERROR(SEARCH("Pesquisa de Preços",D2763)))</formula>
    </cfRule>
  </conditionalFormatting>
  <conditionalFormatting sqref="D2767">
    <cfRule type="containsText" dxfId="1212" priority="7097" operator="containsText" text="Pesquisa de Preços">
      <formula>NOT(ISERROR(SEARCH("Pesquisa de Preços",D2767)))</formula>
    </cfRule>
  </conditionalFormatting>
  <conditionalFormatting sqref="D2792">
    <cfRule type="containsText" dxfId="1211" priority="8763" operator="containsText" text="Pesquisa de Preços">
      <formula>NOT(ISERROR(SEARCH("Pesquisa de Preços",D2792)))</formula>
    </cfRule>
  </conditionalFormatting>
  <conditionalFormatting sqref="D2797">
    <cfRule type="containsText" dxfId="1210" priority="8759" operator="containsText" text="Pesquisa de Preços">
      <formula>NOT(ISERROR(SEARCH("Pesquisa de Preços",D2797)))</formula>
    </cfRule>
  </conditionalFormatting>
  <conditionalFormatting sqref="D3462">
    <cfRule type="containsText" dxfId="1209" priority="4420" operator="containsText" text="Pesquisa de Preços">
      <formula>NOT(ISERROR(SEARCH("Pesquisa de Preços",D3462)))</formula>
    </cfRule>
  </conditionalFormatting>
  <conditionalFormatting sqref="D3533">
    <cfRule type="containsText" dxfId="1208" priority="4416" operator="containsText" text="Pesquisa de Preços">
      <formula>NOT(ISERROR(SEARCH("Pesquisa de Preços",D3533)))</formula>
    </cfRule>
  </conditionalFormatting>
  <conditionalFormatting sqref="D3768">
    <cfRule type="containsText" dxfId="1207" priority="4495" operator="containsText" text="Pesquisa de Preços">
      <formula>NOT(ISERROR(SEARCH("Pesquisa de Preços",D3768)))</formula>
    </cfRule>
  </conditionalFormatting>
  <conditionalFormatting sqref="D3774">
    <cfRule type="containsText" dxfId="1206" priority="4491" operator="containsText" text="Pesquisa de Preços">
      <formula>NOT(ISERROR(SEARCH("Pesquisa de Preços",D3774)))</formula>
    </cfRule>
  </conditionalFormatting>
  <conditionalFormatting sqref="D3780">
    <cfRule type="containsText" dxfId="1205" priority="4487" operator="containsText" text="Pesquisa de Preços">
      <formula>NOT(ISERROR(SEARCH("Pesquisa de Preços",D3780)))</formula>
    </cfRule>
  </conditionalFormatting>
  <conditionalFormatting sqref="D3786">
    <cfRule type="containsText" dxfId="1204" priority="4483" operator="containsText" text="Pesquisa de Preços">
      <formula>NOT(ISERROR(SEARCH("Pesquisa de Preços",D3786)))</formula>
    </cfRule>
  </conditionalFormatting>
  <conditionalFormatting sqref="D3792">
    <cfRule type="containsText" dxfId="1203" priority="4479" operator="containsText" text="Pesquisa de Preços">
      <formula>NOT(ISERROR(SEARCH("Pesquisa de Preços",D3792)))</formula>
    </cfRule>
  </conditionalFormatting>
  <conditionalFormatting sqref="D3798">
    <cfRule type="containsText" dxfId="1202" priority="4475" operator="containsText" text="Pesquisa de Preços">
      <formula>NOT(ISERROR(SEARCH("Pesquisa de Preços",D3798)))</formula>
    </cfRule>
  </conditionalFormatting>
  <conditionalFormatting sqref="D3804">
    <cfRule type="containsText" dxfId="1201" priority="4471" operator="containsText" text="Pesquisa de Preços">
      <formula>NOT(ISERROR(SEARCH("Pesquisa de Preços",D3804)))</formula>
    </cfRule>
  </conditionalFormatting>
  <conditionalFormatting sqref="D3810">
    <cfRule type="containsText" dxfId="1200" priority="4467" operator="containsText" text="Pesquisa de Preços">
      <formula>NOT(ISERROR(SEARCH("Pesquisa de Preços",D3810)))</formula>
    </cfRule>
  </conditionalFormatting>
  <conditionalFormatting sqref="D3816">
    <cfRule type="containsText" dxfId="1199" priority="4463" operator="containsText" text="Pesquisa de Preços">
      <formula>NOT(ISERROR(SEARCH("Pesquisa de Preços",D3816)))</formula>
    </cfRule>
  </conditionalFormatting>
  <conditionalFormatting sqref="D4714">
    <cfRule type="containsText" dxfId="1198" priority="4233" operator="containsText" text="Pesquisa de Preços">
      <formula>NOT(ISERROR(SEARCH("Pesquisa de Preços",D4714)))</formula>
    </cfRule>
  </conditionalFormatting>
  <conditionalFormatting sqref="D4732">
    <cfRule type="containsText" dxfId="1197" priority="4125" operator="containsText" text="Pesquisa de Preços">
      <formula>NOT(ISERROR(SEARCH("Pesquisa de Preços",D4732)))</formula>
    </cfRule>
  </conditionalFormatting>
  <conditionalFormatting sqref="D4736">
    <cfRule type="containsText" dxfId="1196" priority="4128" operator="containsText" text="Pesquisa de Preços">
      <formula>NOT(ISERROR(SEARCH("Pesquisa de Preços",D4736)))</formula>
    </cfRule>
  </conditionalFormatting>
  <conditionalFormatting sqref="D4740">
    <cfRule type="containsText" dxfId="1195" priority="4410" operator="containsText" text="Pesquisa de Preços">
      <formula>NOT(ISERROR(SEARCH("Pesquisa de Preços",D4740)))</formula>
    </cfRule>
  </conditionalFormatting>
  <conditionalFormatting sqref="D4744">
    <cfRule type="containsText" dxfId="1194" priority="4838" operator="containsText" text="Pesquisa de Preços">
      <formula>NOT(ISERROR(SEARCH("Pesquisa de Preços",D4744)))</formula>
    </cfRule>
  </conditionalFormatting>
  <conditionalFormatting sqref="D4748">
    <cfRule type="containsText" dxfId="1193" priority="4834" operator="containsText" text="Pesquisa de Preços">
      <formula>NOT(ISERROR(SEARCH("Pesquisa de Preços",D4748)))</formula>
    </cfRule>
  </conditionalFormatting>
  <conditionalFormatting sqref="D4752">
    <cfRule type="containsText" dxfId="1192" priority="4406" operator="containsText" text="Pesquisa de Preços">
      <formula>NOT(ISERROR(SEARCH("Pesquisa de Preços",D4752)))</formula>
    </cfRule>
  </conditionalFormatting>
  <conditionalFormatting sqref="D4756">
    <cfRule type="containsText" dxfId="1191" priority="4826" operator="containsText" text="Pesquisa de Preços">
      <formula>NOT(ISERROR(SEARCH("Pesquisa de Preços",D4756)))</formula>
    </cfRule>
  </conditionalFormatting>
  <conditionalFormatting sqref="D4760">
    <cfRule type="containsText" dxfId="1190" priority="4269" operator="containsText" text="Pesquisa de Preços">
      <formula>NOT(ISERROR(SEARCH("Pesquisa de Preços",D4760)))</formula>
    </cfRule>
  </conditionalFormatting>
  <conditionalFormatting sqref="D4764">
    <cfRule type="containsText" dxfId="1189" priority="4263" operator="containsText" text="Pesquisa de Preços">
      <formula>NOT(ISERROR(SEARCH("Pesquisa de Preços",D4764)))</formula>
    </cfRule>
  </conditionalFormatting>
  <conditionalFormatting sqref="D4784">
    <cfRule type="containsText" dxfId="1188" priority="8737" operator="containsText" text="Pesquisa de Preços">
      <formula>NOT(ISERROR(SEARCH("Pesquisa de Preços",D4784)))</formula>
    </cfRule>
  </conditionalFormatting>
  <conditionalFormatting sqref="D4794">
    <cfRule type="containsText" dxfId="1187" priority="8729" operator="containsText" text="Pesquisa de Preços">
      <formula>NOT(ISERROR(SEARCH("Pesquisa de Preços",D4794)))</formula>
    </cfRule>
  </conditionalFormatting>
  <conditionalFormatting sqref="D4804">
    <cfRule type="containsText" dxfId="1186" priority="8713" operator="containsText" text="Pesquisa de Preços">
      <formula>NOT(ISERROR(SEARCH("Pesquisa de Preços",D4804)))</formula>
    </cfRule>
  </conditionalFormatting>
  <conditionalFormatting sqref="D4809">
    <cfRule type="containsText" dxfId="1185" priority="8683" operator="containsText" text="Pesquisa de Preços">
      <formula>NOT(ISERROR(SEARCH("Pesquisa de Preços",D4809)))</formula>
    </cfRule>
  </conditionalFormatting>
  <conditionalFormatting sqref="D4814">
    <cfRule type="containsText" dxfId="1184" priority="8679" operator="containsText" text="Pesquisa de Preços">
      <formula>NOT(ISERROR(SEARCH("Pesquisa de Preços",D4814)))</formula>
    </cfRule>
  </conditionalFormatting>
  <conditionalFormatting sqref="D4819">
    <cfRule type="containsText" dxfId="1183" priority="8675" operator="containsText" text="Pesquisa de Preços">
      <formula>NOT(ISERROR(SEARCH("Pesquisa de Preços",D4819)))</formula>
    </cfRule>
  </conditionalFormatting>
  <conditionalFormatting sqref="D4827">
    <cfRule type="containsText" dxfId="1182" priority="8671" operator="containsText" text="Pesquisa de Preços">
      <formula>NOT(ISERROR(SEARCH("Pesquisa de Preços",D4827)))</formula>
    </cfRule>
  </conditionalFormatting>
  <conditionalFormatting sqref="D4835">
    <cfRule type="containsText" dxfId="1181" priority="8667" operator="containsText" text="Pesquisa de Preços">
      <formula>NOT(ISERROR(SEARCH("Pesquisa de Preços",D4835)))</formula>
    </cfRule>
  </conditionalFormatting>
  <conditionalFormatting sqref="D4843">
    <cfRule type="containsText" dxfId="1180" priority="8663" operator="containsText" text="Pesquisa de Preços">
      <formula>NOT(ISERROR(SEARCH("Pesquisa de Preços",D4843)))</formula>
    </cfRule>
  </conditionalFormatting>
  <conditionalFormatting sqref="D4851">
    <cfRule type="containsText" dxfId="1179" priority="8659" operator="containsText" text="Pesquisa de Preços">
      <formula>NOT(ISERROR(SEARCH("Pesquisa de Preços",D4851)))</formula>
    </cfRule>
  </conditionalFormatting>
  <conditionalFormatting sqref="D4859">
    <cfRule type="containsText" dxfId="1178" priority="8655" operator="containsText" text="Pesquisa de Preços">
      <formula>NOT(ISERROR(SEARCH("Pesquisa de Preços",D4859)))</formula>
    </cfRule>
  </conditionalFormatting>
  <conditionalFormatting sqref="D4867">
    <cfRule type="containsText" dxfId="1177" priority="8651" operator="containsText" text="Pesquisa de Preços">
      <formula>NOT(ISERROR(SEARCH("Pesquisa de Preços",D4867)))</formula>
    </cfRule>
  </conditionalFormatting>
  <conditionalFormatting sqref="D4875">
    <cfRule type="containsText" dxfId="1176" priority="8647" operator="containsText" text="Pesquisa de Preços">
      <formula>NOT(ISERROR(SEARCH("Pesquisa de Preços",D4875)))</formula>
    </cfRule>
  </conditionalFormatting>
  <conditionalFormatting sqref="D4909">
    <cfRule type="containsText" dxfId="1175" priority="8602" operator="containsText" text="Pesquisa de Preços">
      <formula>NOT(ISERROR(SEARCH("Pesquisa de Preços",D4909)))</formula>
    </cfRule>
  </conditionalFormatting>
  <conditionalFormatting sqref="D4916">
    <cfRule type="containsText" dxfId="1174" priority="8598" operator="containsText" text="Pesquisa de Preços">
      <formula>NOT(ISERROR(SEARCH("Pesquisa de Preços",D4916)))</formula>
    </cfRule>
  </conditionalFormatting>
  <conditionalFormatting sqref="D4923">
    <cfRule type="containsText" dxfId="1173" priority="8594" operator="containsText" text="Pesquisa de Preços">
      <formula>NOT(ISERROR(SEARCH("Pesquisa de Preços",D4923)))</formula>
    </cfRule>
  </conditionalFormatting>
  <conditionalFormatting sqref="D4930">
    <cfRule type="containsText" dxfId="1172" priority="8590" operator="containsText" text="Pesquisa de Preços">
      <formula>NOT(ISERROR(SEARCH("Pesquisa de Preços",D4930)))</formula>
    </cfRule>
  </conditionalFormatting>
  <conditionalFormatting sqref="D4937">
    <cfRule type="containsText" dxfId="1171" priority="8586" operator="containsText" text="Pesquisa de Preços">
      <formula>NOT(ISERROR(SEARCH("Pesquisa de Preços",D4937)))</formula>
    </cfRule>
  </conditionalFormatting>
  <conditionalFormatting sqref="D4975 D4981">
    <cfRule type="containsText" dxfId="1170" priority="8536" operator="containsText" text="Pesquisa de Preços">
      <formula>NOT(ISERROR(SEARCH("Pesquisa de Preços",D4975)))</formula>
    </cfRule>
  </conditionalFormatting>
  <conditionalFormatting sqref="D5063">
    <cfRule type="containsText" dxfId="1169" priority="8408" operator="containsText" text="Pesquisa de Preços">
      <formula>NOT(ISERROR(SEARCH("Pesquisa de Preços",D5063)))</formula>
    </cfRule>
  </conditionalFormatting>
  <conditionalFormatting sqref="D5119:D5120">
    <cfRule type="containsText" dxfId="1168" priority="8226" operator="containsText" text="Pesquisa de Preços">
      <formula>NOT(ISERROR(SEARCH("Pesquisa de Preços",D5119)))</formula>
    </cfRule>
  </conditionalFormatting>
  <conditionalFormatting sqref="D5126">
    <cfRule type="containsText" dxfId="1167" priority="8214" operator="containsText" text="Pesquisa de Preços">
      <formula>NOT(ISERROR(SEARCH("Pesquisa de Preços",D5126)))</formula>
    </cfRule>
  </conditionalFormatting>
  <conditionalFormatting sqref="D5134">
    <cfRule type="containsText" dxfId="1166" priority="8200" operator="containsText" text="Pesquisa de Preços">
      <formula>NOT(ISERROR(SEARCH("Pesquisa de Preços",D5134)))</formula>
    </cfRule>
  </conditionalFormatting>
  <conditionalFormatting sqref="D5142">
    <cfRule type="containsText" dxfId="1165" priority="8188" operator="containsText" text="Pesquisa de Preços">
      <formula>NOT(ISERROR(SEARCH("Pesquisa de Preços",D5142)))</formula>
    </cfRule>
  </conditionalFormatting>
  <conditionalFormatting sqref="D5150">
    <cfRule type="containsText" dxfId="1164" priority="8164" operator="containsText" text="Pesquisa de Preços">
      <formula>NOT(ISERROR(SEARCH("Pesquisa de Preços",D5150)))</formula>
    </cfRule>
  </conditionalFormatting>
  <conditionalFormatting sqref="D5158">
    <cfRule type="containsText" dxfId="1163" priority="8152" operator="containsText" text="Pesquisa de Preços">
      <formula>NOT(ISERROR(SEARCH("Pesquisa de Preços",D5158)))</formula>
    </cfRule>
  </conditionalFormatting>
  <conditionalFormatting sqref="D5164">
    <cfRule type="containsText" dxfId="1162" priority="8137" operator="containsText" text="Pesquisa de Preços">
      <formula>NOT(ISERROR(SEARCH("Pesquisa de Preços",D5164)))</formula>
    </cfRule>
  </conditionalFormatting>
  <conditionalFormatting sqref="D5172">
    <cfRule type="containsText" dxfId="1161" priority="8125" operator="containsText" text="Pesquisa de Preços">
      <formula>NOT(ISERROR(SEARCH("Pesquisa de Preços",D5172)))</formula>
    </cfRule>
  </conditionalFormatting>
  <conditionalFormatting sqref="D5178">
    <cfRule type="containsText" dxfId="1160" priority="8115" operator="containsText" text="Pesquisa de Preços">
      <formula>NOT(ISERROR(SEARCH("Pesquisa de Preços",D5178)))</formula>
    </cfRule>
  </conditionalFormatting>
  <conditionalFormatting sqref="D5186">
    <cfRule type="containsText" dxfId="1159" priority="8101" operator="containsText" text="Pesquisa de Preços">
      <formula>NOT(ISERROR(SEARCH("Pesquisa de Preços",D5186)))</formula>
    </cfRule>
  </conditionalFormatting>
  <conditionalFormatting sqref="D5194">
    <cfRule type="containsText" dxfId="1158" priority="8089" operator="containsText" text="Pesquisa de Preços">
      <formula>NOT(ISERROR(SEARCH("Pesquisa de Preços",D5194)))</formula>
    </cfRule>
  </conditionalFormatting>
  <conditionalFormatting sqref="D5202">
    <cfRule type="containsText" dxfId="1157" priority="8077" operator="containsText" text="Pesquisa de Preços">
      <formula>NOT(ISERROR(SEARCH("Pesquisa de Preços",D5202)))</formula>
    </cfRule>
  </conditionalFormatting>
  <conditionalFormatting sqref="D5217">
    <cfRule type="containsText" dxfId="1156" priority="8062" operator="containsText" text="Pesquisa de Preços">
      <formula>NOT(ISERROR(SEARCH("Pesquisa de Preços",D5217)))</formula>
    </cfRule>
  </conditionalFormatting>
  <conditionalFormatting sqref="D5232">
    <cfRule type="containsText" dxfId="1155" priority="8047" operator="containsText" text="Pesquisa de Preços">
      <formula>NOT(ISERROR(SEARCH("Pesquisa de Preços",D5232)))</formula>
    </cfRule>
  </conditionalFormatting>
  <conditionalFormatting sqref="D5239">
    <cfRule type="containsText" dxfId="1154" priority="8034" operator="containsText" text="Pesquisa de Preços">
      <formula>NOT(ISERROR(SEARCH("Pesquisa de Preços",D5239)))</formula>
    </cfRule>
  </conditionalFormatting>
  <conditionalFormatting sqref="D5246">
    <cfRule type="containsText" dxfId="1153" priority="8012" operator="containsText" text="Pesquisa de Preços">
      <formula>NOT(ISERROR(SEARCH("Pesquisa de Preços",D5246)))</formula>
    </cfRule>
  </conditionalFormatting>
  <conditionalFormatting sqref="D5252">
    <cfRule type="containsText" dxfId="1152" priority="7998" operator="containsText" text="Pesquisa de Preços">
      <formula>NOT(ISERROR(SEARCH("Pesquisa de Preços",D5252)))</formula>
    </cfRule>
  </conditionalFormatting>
  <conditionalFormatting sqref="D5298">
    <cfRule type="containsText" dxfId="1151" priority="7826" operator="containsText" text="Pesquisa de Preços">
      <formula>NOT(ISERROR(SEARCH("Pesquisa de Preços",D5298)))</formula>
    </cfRule>
  </conditionalFormatting>
  <conditionalFormatting sqref="D5304">
    <cfRule type="containsText" dxfId="1150" priority="7825" operator="containsText" text="Pesquisa de Preços">
      <formula>NOT(ISERROR(SEARCH("Pesquisa de Preços",D5304)))</formula>
    </cfRule>
  </conditionalFormatting>
  <conditionalFormatting sqref="D5310">
    <cfRule type="containsText" dxfId="1149" priority="6665" operator="containsText" text="Pesquisa de Preços">
      <formula>NOT(ISERROR(SEARCH("Pesquisa de Preços",D5310)))</formula>
    </cfRule>
  </conditionalFormatting>
  <conditionalFormatting sqref="D5316">
    <cfRule type="containsText" dxfId="1148" priority="6710" operator="containsText" text="Pesquisa de Preços">
      <formula>NOT(ISERROR(SEARCH("Pesquisa de Preços",D5316)))</formula>
    </cfRule>
  </conditionalFormatting>
  <conditionalFormatting sqref="D5322">
    <cfRule type="containsText" dxfId="1147" priority="6721" operator="containsText" text="Pesquisa de Preços">
      <formula>NOT(ISERROR(SEARCH("Pesquisa de Preços",D5322)))</formula>
    </cfRule>
  </conditionalFormatting>
  <conditionalFormatting sqref="D5328">
    <cfRule type="containsText" dxfId="1146" priority="6688" operator="containsText" text="Pesquisa de Preços">
      <formula>NOT(ISERROR(SEARCH("Pesquisa de Preços",D5328)))</formula>
    </cfRule>
  </conditionalFormatting>
  <conditionalFormatting sqref="D5334">
    <cfRule type="containsText" dxfId="1145" priority="6699" operator="containsText" text="Pesquisa de Preços">
      <formula>NOT(ISERROR(SEARCH("Pesquisa de Preços",D5334)))</formula>
    </cfRule>
  </conditionalFormatting>
  <conditionalFormatting sqref="D5361">
    <cfRule type="containsText" dxfId="1144" priority="6622" operator="containsText" text="Pesquisa de Preços">
      <formula>NOT(ISERROR(SEARCH("Pesquisa de Preços",D5361)))</formula>
    </cfRule>
  </conditionalFormatting>
  <conditionalFormatting sqref="D5503">
    <cfRule type="containsText" dxfId="1143" priority="6959" operator="containsText" text="Pesquisa de Preços">
      <formula>NOT(ISERROR(SEARCH("Pesquisa de Preços",D5503)))</formula>
    </cfRule>
  </conditionalFormatting>
  <conditionalFormatting sqref="D5509">
    <cfRule type="containsText" dxfId="1142" priority="6958" operator="containsText" text="Pesquisa de Preços">
      <formula>NOT(ISERROR(SEARCH("Pesquisa de Preços",D5509)))</formula>
    </cfRule>
  </conditionalFormatting>
  <conditionalFormatting sqref="D5515">
    <cfRule type="containsText" dxfId="1141" priority="6957" operator="containsText" text="Pesquisa de Preços">
      <formula>NOT(ISERROR(SEARCH("Pesquisa de Preços",D5515)))</formula>
    </cfRule>
  </conditionalFormatting>
  <conditionalFormatting sqref="D5521">
    <cfRule type="containsText" dxfId="1140" priority="6956" operator="containsText" text="Pesquisa de Preços">
      <formula>NOT(ISERROR(SEARCH("Pesquisa de Preços",D5521)))</formula>
    </cfRule>
  </conditionalFormatting>
  <conditionalFormatting sqref="D5527">
    <cfRule type="containsText" dxfId="1139" priority="6955" operator="containsText" text="Pesquisa de Preços">
      <formula>NOT(ISERROR(SEARCH("Pesquisa de Preços",D5527)))</formula>
    </cfRule>
  </conditionalFormatting>
  <conditionalFormatting sqref="D5533">
    <cfRule type="containsText" dxfId="1138" priority="6953" operator="containsText" text="Pesquisa de Preços">
      <formula>NOT(ISERROR(SEARCH("Pesquisa de Preços",D5533)))</formula>
    </cfRule>
  </conditionalFormatting>
  <conditionalFormatting sqref="D5539">
    <cfRule type="containsText" dxfId="1137" priority="6952" operator="containsText" text="Pesquisa de Preços">
      <formula>NOT(ISERROR(SEARCH("Pesquisa de Preços",D5539)))</formula>
    </cfRule>
  </conditionalFormatting>
  <conditionalFormatting sqref="D5545">
    <cfRule type="containsText" dxfId="1136" priority="6951" operator="containsText" text="Pesquisa de Preços">
      <formula>NOT(ISERROR(SEARCH("Pesquisa de Preços",D5545)))</formula>
    </cfRule>
  </conditionalFormatting>
  <conditionalFormatting sqref="D5551">
    <cfRule type="containsText" dxfId="1135" priority="6950" operator="containsText" text="Pesquisa de Preços">
      <formula>NOT(ISERROR(SEARCH("Pesquisa de Preços",D5551)))</formula>
    </cfRule>
  </conditionalFormatting>
  <conditionalFormatting sqref="D5557">
    <cfRule type="containsText" dxfId="1134" priority="6949" operator="containsText" text="Pesquisa de Preços">
      <formula>NOT(ISERROR(SEARCH("Pesquisa de Preços",D5557)))</formula>
    </cfRule>
  </conditionalFormatting>
  <conditionalFormatting sqref="D5563">
    <cfRule type="containsText" dxfId="1133" priority="6948" operator="containsText" text="Pesquisa de Preços">
      <formula>NOT(ISERROR(SEARCH("Pesquisa de Preços",D5563)))</formula>
    </cfRule>
  </conditionalFormatting>
  <conditionalFormatting sqref="D5569">
    <cfRule type="containsText" dxfId="1132" priority="6947" operator="containsText" text="Pesquisa de Preços">
      <formula>NOT(ISERROR(SEARCH("Pesquisa de Preços",D5569)))</formula>
    </cfRule>
  </conditionalFormatting>
  <conditionalFormatting sqref="D5575 D5581">
    <cfRule type="containsText" dxfId="1131" priority="6945" operator="containsText" text="Pesquisa de Preços">
      <formula>NOT(ISERROR(SEARCH("Pesquisa de Preços",D5575)))</formula>
    </cfRule>
  </conditionalFormatting>
  <conditionalFormatting sqref="D5587">
    <cfRule type="containsText" dxfId="1130" priority="6944" operator="containsText" text="Pesquisa de Preços">
      <formula>NOT(ISERROR(SEARCH("Pesquisa de Preços",D5587)))</formula>
    </cfRule>
  </conditionalFormatting>
  <conditionalFormatting sqref="D5593">
    <cfRule type="containsText" dxfId="1129" priority="6943" operator="containsText" text="Pesquisa de Preços">
      <formula>NOT(ISERROR(SEARCH("Pesquisa de Preços",D5593)))</formula>
    </cfRule>
  </conditionalFormatting>
  <conditionalFormatting sqref="D5599">
    <cfRule type="containsText" dxfId="1128" priority="6942" operator="containsText" text="Pesquisa de Preços">
      <formula>NOT(ISERROR(SEARCH("Pesquisa de Preços",D5599)))</formula>
    </cfRule>
  </conditionalFormatting>
  <conditionalFormatting sqref="D5605">
    <cfRule type="containsText" dxfId="1127" priority="6941" operator="containsText" text="Pesquisa de Preços">
      <formula>NOT(ISERROR(SEARCH("Pesquisa de Preços",D5605)))</formula>
    </cfRule>
  </conditionalFormatting>
  <conditionalFormatting sqref="D5611">
    <cfRule type="containsText" dxfId="1126" priority="6940" operator="containsText" text="Pesquisa de Preços">
      <formula>NOT(ISERROR(SEARCH("Pesquisa de Preços",D5611)))</formula>
    </cfRule>
  </conditionalFormatting>
  <conditionalFormatting sqref="D5617">
    <cfRule type="containsText" dxfId="1125" priority="7368" operator="containsText" text="Pesquisa de Preços">
      <formula>NOT(ISERROR(SEARCH("Pesquisa de Preços",D5617)))</formula>
    </cfRule>
  </conditionalFormatting>
  <conditionalFormatting sqref="D5621">
    <cfRule type="containsText" dxfId="1124" priority="6939" operator="containsText" text="Pesquisa de Preços">
      <formula>NOT(ISERROR(SEARCH("Pesquisa de Preços",D5621)))</formula>
    </cfRule>
  </conditionalFormatting>
  <conditionalFormatting sqref="D5625">
    <cfRule type="containsText" dxfId="1123" priority="6938" operator="containsText" text="Pesquisa de Preços">
      <formula>NOT(ISERROR(SEARCH("Pesquisa de Preços",D5625)))</formula>
    </cfRule>
  </conditionalFormatting>
  <conditionalFormatting sqref="D5629">
    <cfRule type="containsText" dxfId="1122" priority="6937" operator="containsText" text="Pesquisa de Preços">
      <formula>NOT(ISERROR(SEARCH("Pesquisa de Preços",D5629)))</formula>
    </cfRule>
  </conditionalFormatting>
  <conditionalFormatting sqref="D5633">
    <cfRule type="containsText" dxfId="1121" priority="6936" operator="containsText" text="Pesquisa de Preços">
      <formula>NOT(ISERROR(SEARCH("Pesquisa de Preços",D5633)))</formula>
    </cfRule>
  </conditionalFormatting>
  <conditionalFormatting sqref="D5637">
    <cfRule type="containsText" dxfId="1120" priority="6935" operator="containsText" text="Pesquisa de Preços">
      <formula>NOT(ISERROR(SEARCH("Pesquisa de Preços",D5637)))</formula>
    </cfRule>
  </conditionalFormatting>
  <conditionalFormatting sqref="D5641">
    <cfRule type="containsText" dxfId="1119" priority="6934" operator="containsText" text="Pesquisa de Preços">
      <formula>NOT(ISERROR(SEARCH("Pesquisa de Preços",D5641)))</formula>
    </cfRule>
  </conditionalFormatting>
  <conditionalFormatting sqref="D5645">
    <cfRule type="containsText" dxfId="1118" priority="6933" operator="containsText" text="Pesquisa de Preços">
      <formula>NOT(ISERROR(SEARCH("Pesquisa de Preços",D5645)))</formula>
    </cfRule>
  </conditionalFormatting>
  <conditionalFormatting sqref="D5649">
    <cfRule type="containsText" dxfId="1117" priority="6932" operator="containsText" text="Pesquisa de Preços">
      <formula>NOT(ISERROR(SEARCH("Pesquisa de Preços",D5649)))</formula>
    </cfRule>
  </conditionalFormatting>
  <conditionalFormatting sqref="D5653">
    <cfRule type="containsText" dxfId="1116" priority="6931" operator="containsText" text="Pesquisa de Preços">
      <formula>NOT(ISERROR(SEARCH("Pesquisa de Preços",D5653)))</formula>
    </cfRule>
  </conditionalFormatting>
  <conditionalFormatting sqref="D5657">
    <cfRule type="containsText" dxfId="1115" priority="6930" operator="containsText" text="Pesquisa de Preços">
      <formula>NOT(ISERROR(SEARCH("Pesquisa de Preços",D5657)))</formula>
    </cfRule>
  </conditionalFormatting>
  <conditionalFormatting sqref="D5661">
    <cfRule type="containsText" dxfId="1114" priority="6929" operator="containsText" text="Pesquisa de Preços">
      <formula>NOT(ISERROR(SEARCH("Pesquisa de Preços",D5661)))</formula>
    </cfRule>
  </conditionalFormatting>
  <conditionalFormatting sqref="D5665">
    <cfRule type="containsText" dxfId="1113" priority="6928" operator="containsText" text="Pesquisa de Preços">
      <formula>NOT(ISERROR(SEARCH("Pesquisa de Preços",D5665)))</formula>
    </cfRule>
  </conditionalFormatting>
  <conditionalFormatting sqref="D5669">
    <cfRule type="containsText" dxfId="1112" priority="6927" operator="containsText" text="Pesquisa de Preços">
      <formula>NOT(ISERROR(SEARCH("Pesquisa de Preços",D5669)))</formula>
    </cfRule>
  </conditionalFormatting>
  <conditionalFormatting sqref="D5673">
    <cfRule type="containsText" dxfId="1111" priority="6926" operator="containsText" text="Pesquisa de Preços">
      <formula>NOT(ISERROR(SEARCH("Pesquisa de Preços",D5673)))</formula>
    </cfRule>
  </conditionalFormatting>
  <conditionalFormatting sqref="D5677">
    <cfRule type="containsText" dxfId="1110" priority="6925" operator="containsText" text="Pesquisa de Preços">
      <formula>NOT(ISERROR(SEARCH("Pesquisa de Preços",D5677)))</formula>
    </cfRule>
  </conditionalFormatting>
  <conditionalFormatting sqref="D5681">
    <cfRule type="containsText" dxfId="1109" priority="6924" operator="containsText" text="Pesquisa de Preços">
      <formula>NOT(ISERROR(SEARCH("Pesquisa de Preços",D5681)))</formula>
    </cfRule>
  </conditionalFormatting>
  <conditionalFormatting sqref="D5685 D5689">
    <cfRule type="containsText" dxfId="1108" priority="6922" operator="containsText" text="Pesquisa de Preços">
      <formula>NOT(ISERROR(SEARCH("Pesquisa de Preços",D5685)))</formula>
    </cfRule>
  </conditionalFormatting>
  <conditionalFormatting sqref="D5693">
    <cfRule type="containsText" dxfId="1107" priority="6921" operator="containsText" text="Pesquisa de Preços">
      <formula>NOT(ISERROR(SEARCH("Pesquisa de Preços",D5693)))</formula>
    </cfRule>
  </conditionalFormatting>
  <conditionalFormatting sqref="D5697">
    <cfRule type="containsText" dxfId="1106" priority="6920" operator="containsText" text="Pesquisa de Preços">
      <formula>NOT(ISERROR(SEARCH("Pesquisa de Preços",D5697)))</formula>
    </cfRule>
  </conditionalFormatting>
  <conditionalFormatting sqref="D5701">
    <cfRule type="containsText" dxfId="1105" priority="6919" operator="containsText" text="Pesquisa de Preços">
      <formula>NOT(ISERROR(SEARCH("Pesquisa de Preços",D5701)))</formula>
    </cfRule>
  </conditionalFormatting>
  <conditionalFormatting sqref="D5705">
    <cfRule type="containsText" dxfId="1104" priority="6918" operator="containsText" text="Pesquisa de Preços">
      <formula>NOT(ISERROR(SEARCH("Pesquisa de Preços",D5705)))</formula>
    </cfRule>
  </conditionalFormatting>
  <conditionalFormatting sqref="D5709">
    <cfRule type="containsText" dxfId="1103" priority="6917" operator="containsText" text="Pesquisa de Preços">
      <formula>NOT(ISERROR(SEARCH("Pesquisa de Preços",D5709)))</formula>
    </cfRule>
  </conditionalFormatting>
  <conditionalFormatting sqref="D5713">
    <cfRule type="containsText" dxfId="1102" priority="6916" operator="containsText" text="Pesquisa de Preços">
      <formula>NOT(ISERROR(SEARCH("Pesquisa de Preços",D5713)))</formula>
    </cfRule>
  </conditionalFormatting>
  <conditionalFormatting sqref="D5717">
    <cfRule type="containsText" dxfId="1101" priority="6915" operator="containsText" text="Pesquisa de Preços">
      <formula>NOT(ISERROR(SEARCH("Pesquisa de Preços",D5717)))</formula>
    </cfRule>
  </conditionalFormatting>
  <conditionalFormatting sqref="D5719">
    <cfRule type="containsText" dxfId="1100" priority="7359" operator="containsText" text="Pesquisa de Preços">
      <formula>NOT(ISERROR(SEARCH("Pesquisa de Preços",D5719)))</formula>
    </cfRule>
  </conditionalFormatting>
  <conditionalFormatting sqref="D5721">
    <cfRule type="containsText" dxfId="1099" priority="6914" operator="containsText" text="Pesquisa de Preços">
      <formula>NOT(ISERROR(SEARCH("Pesquisa de Preços",D5721)))</formula>
    </cfRule>
  </conditionalFormatting>
  <conditionalFormatting sqref="D5723">
    <cfRule type="containsText" dxfId="1098" priority="7355" operator="containsText" text="Pesquisa de Preços">
      <formula>NOT(ISERROR(SEARCH("Pesquisa de Preços",D5723)))</formula>
    </cfRule>
  </conditionalFormatting>
  <conditionalFormatting sqref="D5725">
    <cfRule type="containsText" dxfId="1097" priority="6913" operator="containsText" text="Pesquisa de Preços">
      <formula>NOT(ISERROR(SEARCH("Pesquisa de Preços",D5725)))</formula>
    </cfRule>
  </conditionalFormatting>
  <conditionalFormatting sqref="D5727">
    <cfRule type="containsText" dxfId="1096" priority="7351" operator="containsText" text="Pesquisa de Preços">
      <formula>NOT(ISERROR(SEARCH("Pesquisa de Preços",D5727)))</formula>
    </cfRule>
  </conditionalFormatting>
  <conditionalFormatting sqref="D5729">
    <cfRule type="containsText" dxfId="1095" priority="6912" operator="containsText" text="Pesquisa de Preços">
      <formula>NOT(ISERROR(SEARCH("Pesquisa de Preços",D5729)))</formula>
    </cfRule>
  </conditionalFormatting>
  <conditionalFormatting sqref="D5731">
    <cfRule type="containsText" dxfId="1094" priority="7347" operator="containsText" text="Pesquisa de Preços">
      <formula>NOT(ISERROR(SEARCH("Pesquisa de Preços",D5731)))</formula>
    </cfRule>
  </conditionalFormatting>
  <conditionalFormatting sqref="D5733">
    <cfRule type="containsText" dxfId="1093" priority="6911" operator="containsText" text="Pesquisa de Preços">
      <formula>NOT(ISERROR(SEARCH("Pesquisa de Preços",D5733)))</formula>
    </cfRule>
  </conditionalFormatting>
  <conditionalFormatting sqref="D5735">
    <cfRule type="containsText" dxfId="1092" priority="7343" operator="containsText" text="Pesquisa de Preços">
      <formula>NOT(ISERROR(SEARCH("Pesquisa de Preços",D5735)))</formula>
    </cfRule>
  </conditionalFormatting>
  <conditionalFormatting sqref="D5737">
    <cfRule type="containsText" dxfId="1091" priority="6910" operator="containsText" text="Pesquisa de Preços">
      <formula>NOT(ISERROR(SEARCH("Pesquisa de Preços",D5737)))</formula>
    </cfRule>
  </conditionalFormatting>
  <conditionalFormatting sqref="D5739">
    <cfRule type="containsText" dxfId="1090" priority="7339" operator="containsText" text="Pesquisa de Preços">
      <formula>NOT(ISERROR(SEARCH("Pesquisa de Preços",D5739)))</formula>
    </cfRule>
  </conditionalFormatting>
  <conditionalFormatting sqref="D5741">
    <cfRule type="containsText" dxfId="1089" priority="6909" operator="containsText" text="Pesquisa de Preços">
      <formula>NOT(ISERROR(SEARCH("Pesquisa de Preços",D5741)))</formula>
    </cfRule>
  </conditionalFormatting>
  <conditionalFormatting sqref="D5743">
    <cfRule type="containsText" dxfId="1088" priority="7246" operator="containsText" text="Pesquisa de Preços">
      <formula>NOT(ISERROR(SEARCH("Pesquisa de Preços",D5743)))</formula>
    </cfRule>
  </conditionalFormatting>
  <conditionalFormatting sqref="D5745">
    <cfRule type="containsText" dxfId="1087" priority="6908" operator="containsText" text="Pesquisa de Preços">
      <formula>NOT(ISERROR(SEARCH("Pesquisa de Preços",D5745)))</formula>
    </cfRule>
  </conditionalFormatting>
  <conditionalFormatting sqref="D5747">
    <cfRule type="containsText" dxfId="1086" priority="7247" operator="containsText" text="Pesquisa de Preços">
      <formula>NOT(ISERROR(SEARCH("Pesquisa de Preços",D5747)))</formula>
    </cfRule>
  </conditionalFormatting>
  <conditionalFormatting sqref="D5749">
    <cfRule type="containsText" dxfId="1085" priority="6907" operator="containsText" text="Pesquisa de Preços">
      <formula>NOT(ISERROR(SEARCH("Pesquisa de Preços",D5749)))</formula>
    </cfRule>
  </conditionalFormatting>
  <conditionalFormatting sqref="D5753">
    <cfRule type="containsText" dxfId="1084" priority="6906" operator="containsText" text="Pesquisa de Preços">
      <formula>NOT(ISERROR(SEARCH("Pesquisa de Preços",D5753)))</formula>
    </cfRule>
  </conditionalFormatting>
  <conditionalFormatting sqref="D5757">
    <cfRule type="containsText" dxfId="1083" priority="6905" operator="containsText" text="Pesquisa de Preços">
      <formula>NOT(ISERROR(SEARCH("Pesquisa de Preços",D5757)))</formula>
    </cfRule>
  </conditionalFormatting>
  <conditionalFormatting sqref="D5761 D5765">
    <cfRule type="containsText" dxfId="1082" priority="6903" operator="containsText" text="Pesquisa de Preços">
      <formula>NOT(ISERROR(SEARCH("Pesquisa de Preços",D5761)))</formula>
    </cfRule>
  </conditionalFormatting>
  <conditionalFormatting sqref="D5769">
    <cfRule type="containsText" dxfId="1081" priority="6902" operator="containsText" text="Pesquisa de Preços">
      <formula>NOT(ISERROR(SEARCH("Pesquisa de Preços",D5769)))</formula>
    </cfRule>
  </conditionalFormatting>
  <conditionalFormatting sqref="D5773">
    <cfRule type="containsText" dxfId="1080" priority="6901" operator="containsText" text="Pesquisa de Preços">
      <formula>NOT(ISERROR(SEARCH("Pesquisa de Preços",D5773)))</formula>
    </cfRule>
  </conditionalFormatting>
  <conditionalFormatting sqref="D5777">
    <cfRule type="containsText" dxfId="1079" priority="6900" operator="containsText" text="Pesquisa de Preços">
      <formula>NOT(ISERROR(SEARCH("Pesquisa de Preços",D5777)))</formula>
    </cfRule>
  </conditionalFormatting>
  <conditionalFormatting sqref="D5781">
    <cfRule type="containsText" dxfId="1078" priority="6899" operator="containsText" text="Pesquisa de Preços">
      <formula>NOT(ISERROR(SEARCH("Pesquisa de Preços",D5781)))</formula>
    </cfRule>
  </conditionalFormatting>
  <conditionalFormatting sqref="D5785">
    <cfRule type="containsText" dxfId="1077" priority="6898" operator="containsText" text="Pesquisa de Preços">
      <formula>NOT(ISERROR(SEARCH("Pesquisa de Preços",D5785)))</formula>
    </cfRule>
  </conditionalFormatting>
  <conditionalFormatting sqref="D5789">
    <cfRule type="containsText" dxfId="1076" priority="6897" operator="containsText" text="Pesquisa de Preços">
      <formula>NOT(ISERROR(SEARCH("Pesquisa de Preços",D5789)))</formula>
    </cfRule>
  </conditionalFormatting>
  <conditionalFormatting sqref="D5793">
    <cfRule type="containsText" dxfId="1075" priority="6896" operator="containsText" text="Pesquisa de Preços">
      <formula>NOT(ISERROR(SEARCH("Pesquisa de Preços",D5793)))</formula>
    </cfRule>
  </conditionalFormatting>
  <conditionalFormatting sqref="D5797">
    <cfRule type="containsText" dxfId="1074" priority="6895" operator="containsText" text="Pesquisa de Preços">
      <formula>NOT(ISERROR(SEARCH("Pesquisa de Preços",D5797)))</formula>
    </cfRule>
  </conditionalFormatting>
  <conditionalFormatting sqref="D5801">
    <cfRule type="containsText" dxfId="1073" priority="6894" operator="containsText" text="Pesquisa de Preços">
      <formula>NOT(ISERROR(SEARCH("Pesquisa de Preços",D5801)))</formula>
    </cfRule>
  </conditionalFormatting>
  <conditionalFormatting sqref="D5805">
    <cfRule type="containsText" dxfId="1072" priority="6893" operator="containsText" text="Pesquisa de Preços">
      <formula>NOT(ISERROR(SEARCH("Pesquisa de Preços",D5805)))</formula>
    </cfRule>
  </conditionalFormatting>
  <conditionalFormatting sqref="D5809">
    <cfRule type="containsText" dxfId="1071" priority="6892" operator="containsText" text="Pesquisa de Preços">
      <formula>NOT(ISERROR(SEARCH("Pesquisa de Preços",D5809)))</formula>
    </cfRule>
  </conditionalFormatting>
  <conditionalFormatting sqref="D5813">
    <cfRule type="containsText" dxfId="1070" priority="6891" operator="containsText" text="Pesquisa de Preços">
      <formula>NOT(ISERROR(SEARCH("Pesquisa de Preços",D5813)))</formula>
    </cfRule>
  </conditionalFormatting>
  <conditionalFormatting sqref="D5817">
    <cfRule type="containsText" dxfId="1069" priority="6890" operator="containsText" text="Pesquisa de Preços">
      <formula>NOT(ISERROR(SEARCH("Pesquisa de Preços",D5817)))</formula>
    </cfRule>
  </conditionalFormatting>
  <conditionalFormatting sqref="D5821">
    <cfRule type="containsText" dxfId="1068" priority="6889" operator="containsText" text="Pesquisa de Preços">
      <formula>NOT(ISERROR(SEARCH("Pesquisa de Preços",D5821)))</formula>
    </cfRule>
  </conditionalFormatting>
  <conditionalFormatting sqref="D5825">
    <cfRule type="containsText" dxfId="1067" priority="6888" operator="containsText" text="Pesquisa de Preços">
      <formula>NOT(ISERROR(SEARCH("Pesquisa de Preços",D5825)))</formula>
    </cfRule>
  </conditionalFormatting>
  <conditionalFormatting sqref="D5829">
    <cfRule type="containsText" dxfId="1066" priority="6887" operator="containsText" text="Pesquisa de Preços">
      <formula>NOT(ISERROR(SEARCH("Pesquisa de Preços",D5829)))</formula>
    </cfRule>
  </conditionalFormatting>
  <conditionalFormatting sqref="D5833">
    <cfRule type="containsText" dxfId="1065" priority="6886" operator="containsText" text="Pesquisa de Preços">
      <formula>NOT(ISERROR(SEARCH("Pesquisa de Preços",D5833)))</formula>
    </cfRule>
  </conditionalFormatting>
  <conditionalFormatting sqref="D5837">
    <cfRule type="containsText" dxfId="1064" priority="6885" operator="containsText" text="Pesquisa de Preços">
      <formula>NOT(ISERROR(SEARCH("Pesquisa de Preços",D5837)))</formula>
    </cfRule>
  </conditionalFormatting>
  <conditionalFormatting sqref="D5841">
    <cfRule type="containsText" dxfId="1063" priority="6884" operator="containsText" text="Pesquisa de Preços">
      <formula>NOT(ISERROR(SEARCH("Pesquisa de Preços",D5841)))</formula>
    </cfRule>
  </conditionalFormatting>
  <conditionalFormatting sqref="D5845">
    <cfRule type="containsText" dxfId="1062" priority="6883" operator="containsText" text="Pesquisa de Preços">
      <formula>NOT(ISERROR(SEARCH("Pesquisa de Preços",D5845)))</formula>
    </cfRule>
  </conditionalFormatting>
  <conditionalFormatting sqref="D5849">
    <cfRule type="containsText" dxfId="1061" priority="6882" operator="containsText" text="Pesquisa de Preços">
      <formula>NOT(ISERROR(SEARCH("Pesquisa de Preços",D5849)))</formula>
    </cfRule>
  </conditionalFormatting>
  <conditionalFormatting sqref="D5853">
    <cfRule type="containsText" dxfId="1060" priority="6881" operator="containsText" text="Pesquisa de Preços">
      <formula>NOT(ISERROR(SEARCH("Pesquisa de Preços",D5853)))</formula>
    </cfRule>
  </conditionalFormatting>
  <conditionalFormatting sqref="D5857">
    <cfRule type="containsText" dxfId="1059" priority="6880" operator="containsText" text="Pesquisa de Preços">
      <formula>NOT(ISERROR(SEARCH("Pesquisa de Preços",D5857)))</formula>
    </cfRule>
  </conditionalFormatting>
  <conditionalFormatting sqref="D5861">
    <cfRule type="containsText" dxfId="1058" priority="6879" operator="containsText" text="Pesquisa de Preços">
      <formula>NOT(ISERROR(SEARCH("Pesquisa de Preços",D5861)))</formula>
    </cfRule>
  </conditionalFormatting>
  <conditionalFormatting sqref="D5865">
    <cfRule type="containsText" dxfId="1057" priority="6878" operator="containsText" text="Pesquisa de Preços">
      <formula>NOT(ISERROR(SEARCH("Pesquisa de Preços",D5865)))</formula>
    </cfRule>
  </conditionalFormatting>
  <conditionalFormatting sqref="D5869">
    <cfRule type="containsText" dxfId="1056" priority="6877" operator="containsText" text="Pesquisa de Preços">
      <formula>NOT(ISERROR(SEARCH("Pesquisa de Preços",D5869)))</formula>
    </cfRule>
  </conditionalFormatting>
  <conditionalFormatting sqref="D5873">
    <cfRule type="containsText" dxfId="1055" priority="6876" operator="containsText" text="Pesquisa de Preços">
      <formula>NOT(ISERROR(SEARCH("Pesquisa de Preços",D5873)))</formula>
    </cfRule>
  </conditionalFormatting>
  <conditionalFormatting sqref="D5877">
    <cfRule type="containsText" dxfId="1054" priority="6875" operator="containsText" text="Pesquisa de Preços">
      <formula>NOT(ISERROR(SEARCH("Pesquisa de Preços",D5877)))</formula>
    </cfRule>
  </conditionalFormatting>
  <conditionalFormatting sqref="D5881">
    <cfRule type="containsText" dxfId="1053" priority="6874" operator="containsText" text="Pesquisa de Preços">
      <formula>NOT(ISERROR(SEARCH("Pesquisa de Preços",D5881)))</formula>
    </cfRule>
  </conditionalFormatting>
  <conditionalFormatting sqref="D5885">
    <cfRule type="containsText" dxfId="1052" priority="6873" operator="containsText" text="Pesquisa de Preços">
      <formula>NOT(ISERROR(SEARCH("Pesquisa de Preços",D5885)))</formula>
    </cfRule>
  </conditionalFormatting>
  <conditionalFormatting sqref="D5889">
    <cfRule type="containsText" dxfId="1051" priority="6872" operator="containsText" text="Pesquisa de Preços">
      <formula>NOT(ISERROR(SEARCH("Pesquisa de Preços",D5889)))</formula>
    </cfRule>
  </conditionalFormatting>
  <conditionalFormatting sqref="D5893">
    <cfRule type="containsText" dxfId="1050" priority="6871" operator="containsText" text="Pesquisa de Preços">
      <formula>NOT(ISERROR(SEARCH("Pesquisa de Preços",D5893)))</formula>
    </cfRule>
  </conditionalFormatting>
  <conditionalFormatting sqref="D5897">
    <cfRule type="containsText" dxfId="1049" priority="6870" operator="containsText" text="Pesquisa de Preços">
      <formula>NOT(ISERROR(SEARCH("Pesquisa de Preços",D5897)))</formula>
    </cfRule>
  </conditionalFormatting>
  <conditionalFormatting sqref="D5901">
    <cfRule type="containsText" dxfId="1048" priority="6869" operator="containsText" text="Pesquisa de Preços">
      <formula>NOT(ISERROR(SEARCH("Pesquisa de Preços",D5901)))</formula>
    </cfRule>
  </conditionalFormatting>
  <conditionalFormatting sqref="D5905">
    <cfRule type="containsText" dxfId="1047" priority="6868" operator="containsText" text="Pesquisa de Preços">
      <formula>NOT(ISERROR(SEARCH("Pesquisa de Preços",D5905)))</formula>
    </cfRule>
  </conditionalFormatting>
  <conditionalFormatting sqref="D5909">
    <cfRule type="containsText" dxfId="1046" priority="6867" operator="containsText" text="Pesquisa de Preços">
      <formula>NOT(ISERROR(SEARCH("Pesquisa de Preços",D5909)))</formula>
    </cfRule>
  </conditionalFormatting>
  <conditionalFormatting sqref="D5913">
    <cfRule type="containsText" dxfId="1045" priority="6866" operator="containsText" text="Pesquisa de Preços">
      <formula>NOT(ISERROR(SEARCH("Pesquisa de Preços",D5913)))</formula>
    </cfRule>
  </conditionalFormatting>
  <conditionalFormatting sqref="D5917">
    <cfRule type="containsText" dxfId="1044" priority="6865" operator="containsText" text="Pesquisa de Preços">
      <formula>NOT(ISERROR(SEARCH("Pesquisa de Preços",D5917)))</formula>
    </cfRule>
  </conditionalFormatting>
  <conditionalFormatting sqref="D5921">
    <cfRule type="containsText" dxfId="1043" priority="6864" operator="containsText" text="Pesquisa de Preços">
      <formula>NOT(ISERROR(SEARCH("Pesquisa de Preços",D5921)))</formula>
    </cfRule>
  </conditionalFormatting>
  <conditionalFormatting sqref="D5925">
    <cfRule type="containsText" dxfId="1042" priority="6863" operator="containsText" text="Pesquisa de Preços">
      <formula>NOT(ISERROR(SEARCH("Pesquisa de Preços",D5925)))</formula>
    </cfRule>
  </conditionalFormatting>
  <conditionalFormatting sqref="D5929">
    <cfRule type="containsText" dxfId="1041" priority="6862" operator="containsText" text="Pesquisa de Preços">
      <formula>NOT(ISERROR(SEARCH("Pesquisa de Preços",D5929)))</formula>
    </cfRule>
  </conditionalFormatting>
  <conditionalFormatting sqref="D5933">
    <cfRule type="containsText" dxfId="1040" priority="6861" operator="containsText" text="Pesquisa de Preços">
      <formula>NOT(ISERROR(SEARCH("Pesquisa de Preços",D5933)))</formula>
    </cfRule>
  </conditionalFormatting>
  <conditionalFormatting sqref="D5937">
    <cfRule type="containsText" dxfId="1039" priority="6860" operator="containsText" text="Pesquisa de Preços">
      <formula>NOT(ISERROR(SEARCH("Pesquisa de Preços",D5937)))</formula>
    </cfRule>
  </conditionalFormatting>
  <conditionalFormatting sqref="D5941">
    <cfRule type="containsText" dxfId="1038" priority="6859" operator="containsText" text="Pesquisa de Preços">
      <formula>NOT(ISERROR(SEARCH("Pesquisa de Preços",D5941)))</formula>
    </cfRule>
  </conditionalFormatting>
  <conditionalFormatting sqref="D5945 D5949">
    <cfRule type="containsText" dxfId="1037" priority="6857" operator="containsText" text="Pesquisa de Preços">
      <formula>NOT(ISERROR(SEARCH("Pesquisa de Preços",D5945)))</formula>
    </cfRule>
  </conditionalFormatting>
  <conditionalFormatting sqref="D5953">
    <cfRule type="containsText" dxfId="1036" priority="6856" operator="containsText" text="Pesquisa de Preços">
      <formula>NOT(ISERROR(SEARCH("Pesquisa de Preços",D5953)))</formula>
    </cfRule>
  </conditionalFormatting>
  <conditionalFormatting sqref="D5957 D5961 D5965">
    <cfRule type="containsText" dxfId="1035" priority="6853" operator="containsText" text="Pesquisa de Preços">
      <formula>NOT(ISERROR(SEARCH("Pesquisa de Preços",D5957)))</formula>
    </cfRule>
  </conditionalFormatting>
  <conditionalFormatting sqref="D5969">
    <cfRule type="containsText" dxfId="1034" priority="6852" operator="containsText" text="Pesquisa de Preços">
      <formula>NOT(ISERROR(SEARCH("Pesquisa de Preços",D5969)))</formula>
    </cfRule>
  </conditionalFormatting>
  <conditionalFormatting sqref="D5973">
    <cfRule type="containsText" dxfId="1033" priority="6851" operator="containsText" text="Pesquisa de Preços">
      <formula>NOT(ISERROR(SEARCH("Pesquisa de Preços",D5973)))</formula>
    </cfRule>
  </conditionalFormatting>
  <conditionalFormatting sqref="D5977">
    <cfRule type="containsText" dxfId="1032" priority="6850" operator="containsText" text="Pesquisa de Preços">
      <formula>NOT(ISERROR(SEARCH("Pesquisa de Preços",D5977)))</formula>
    </cfRule>
  </conditionalFormatting>
  <conditionalFormatting sqref="D5981">
    <cfRule type="containsText" dxfId="1031" priority="6849" operator="containsText" text="Pesquisa de Preços">
      <formula>NOT(ISERROR(SEARCH("Pesquisa de Preços",D5981)))</formula>
    </cfRule>
  </conditionalFormatting>
  <conditionalFormatting sqref="D5985 D5989">
    <cfRule type="containsText" dxfId="1030" priority="6847" operator="containsText" text="Pesquisa de Preços">
      <formula>NOT(ISERROR(SEARCH("Pesquisa de Preços",D5985)))</formula>
    </cfRule>
  </conditionalFormatting>
  <conditionalFormatting sqref="D5993">
    <cfRule type="containsText" dxfId="1029" priority="6846" operator="containsText" text="Pesquisa de Preços">
      <formula>NOT(ISERROR(SEARCH("Pesquisa de Preços",D5993)))</formula>
    </cfRule>
  </conditionalFormatting>
  <conditionalFormatting sqref="D5997">
    <cfRule type="containsText" dxfId="1028" priority="6845" operator="containsText" text="Pesquisa de Preços">
      <formula>NOT(ISERROR(SEARCH("Pesquisa de Preços",D5997)))</formula>
    </cfRule>
  </conditionalFormatting>
  <conditionalFormatting sqref="D6001">
    <cfRule type="containsText" dxfId="1027" priority="6844" operator="containsText" text="Pesquisa de Preços">
      <formula>NOT(ISERROR(SEARCH("Pesquisa de Preços",D6001)))</formula>
    </cfRule>
  </conditionalFormatting>
  <conditionalFormatting sqref="D6005">
    <cfRule type="containsText" dxfId="1026" priority="6843" operator="containsText" text="Pesquisa de Preços">
      <formula>NOT(ISERROR(SEARCH("Pesquisa de Preços",D6005)))</formula>
    </cfRule>
  </conditionalFormatting>
  <conditionalFormatting sqref="D6007">
    <cfRule type="containsText" dxfId="1025" priority="7195" operator="containsText" text="Pesquisa de Preços">
      <formula>NOT(ISERROR(SEARCH("Pesquisa de Preços",D6007)))</formula>
    </cfRule>
  </conditionalFormatting>
  <conditionalFormatting sqref="D6009">
    <cfRule type="containsText" dxfId="1024" priority="6842" operator="containsText" text="Pesquisa de Preços">
      <formula>NOT(ISERROR(SEARCH("Pesquisa de Preços",D6009)))</formula>
    </cfRule>
  </conditionalFormatting>
  <conditionalFormatting sqref="D6011">
    <cfRule type="containsText" dxfId="1023" priority="7191" operator="containsText" text="Pesquisa de Preços">
      <formula>NOT(ISERROR(SEARCH("Pesquisa de Preços",D6011)))</formula>
    </cfRule>
  </conditionalFormatting>
  <conditionalFormatting sqref="D6013">
    <cfRule type="containsText" dxfId="1022" priority="6841" operator="containsText" text="Pesquisa de Preços">
      <formula>NOT(ISERROR(SEARCH("Pesquisa de Preços",D6013)))</formula>
    </cfRule>
  </conditionalFormatting>
  <conditionalFormatting sqref="D6015">
    <cfRule type="containsText" dxfId="1021" priority="7187" operator="containsText" text="Pesquisa de Preços">
      <formula>NOT(ISERROR(SEARCH("Pesquisa de Preços",D6015)))</formula>
    </cfRule>
  </conditionalFormatting>
  <conditionalFormatting sqref="D6017">
    <cfRule type="containsText" dxfId="1020" priority="6840" operator="containsText" text="Pesquisa de Preços">
      <formula>NOT(ISERROR(SEARCH("Pesquisa de Preços",D6017)))</formula>
    </cfRule>
  </conditionalFormatting>
  <conditionalFormatting sqref="D6019">
    <cfRule type="containsText" dxfId="1019" priority="7183" operator="containsText" text="Pesquisa de Preços">
      <formula>NOT(ISERROR(SEARCH("Pesquisa de Preços",D6019)))</formula>
    </cfRule>
  </conditionalFormatting>
  <conditionalFormatting sqref="D6021">
    <cfRule type="containsText" dxfId="1018" priority="6839" operator="containsText" text="Pesquisa de Preços">
      <formula>NOT(ISERROR(SEARCH("Pesquisa de Preços",D6021)))</formula>
    </cfRule>
  </conditionalFormatting>
  <conditionalFormatting sqref="D6023">
    <cfRule type="containsText" dxfId="1017" priority="7179" operator="containsText" text="Pesquisa de Preços">
      <formula>NOT(ISERROR(SEARCH("Pesquisa de Preços",D6023)))</formula>
    </cfRule>
  </conditionalFormatting>
  <conditionalFormatting sqref="D6025">
    <cfRule type="containsText" dxfId="1016" priority="6838" operator="containsText" text="Pesquisa de Preços">
      <formula>NOT(ISERROR(SEARCH("Pesquisa de Preços",D6025)))</formula>
    </cfRule>
  </conditionalFormatting>
  <conditionalFormatting sqref="D6027">
    <cfRule type="containsText" dxfId="1015" priority="7175" operator="containsText" text="Pesquisa de Preços">
      <formula>NOT(ISERROR(SEARCH("Pesquisa de Preços",D6027)))</formula>
    </cfRule>
  </conditionalFormatting>
  <conditionalFormatting sqref="D6029">
    <cfRule type="containsText" dxfId="1014" priority="6837" operator="containsText" text="Pesquisa de Preços">
      <formula>NOT(ISERROR(SEARCH("Pesquisa de Preços",D6029)))</formula>
    </cfRule>
  </conditionalFormatting>
  <conditionalFormatting sqref="D6031">
    <cfRule type="containsText" dxfId="1013" priority="7171" operator="containsText" text="Pesquisa de Preços">
      <formula>NOT(ISERROR(SEARCH("Pesquisa de Preços",D6031)))</formula>
    </cfRule>
  </conditionalFormatting>
  <conditionalFormatting sqref="D6033">
    <cfRule type="containsText" dxfId="1012" priority="6836" operator="containsText" text="Pesquisa de Preços">
      <formula>NOT(ISERROR(SEARCH("Pesquisa de Preços",D6033)))</formula>
    </cfRule>
  </conditionalFormatting>
  <conditionalFormatting sqref="D6035">
    <cfRule type="containsText" dxfId="1011" priority="7167" operator="containsText" text="Pesquisa de Preços">
      <formula>NOT(ISERROR(SEARCH("Pesquisa de Preços",D6035)))</formula>
    </cfRule>
  </conditionalFormatting>
  <conditionalFormatting sqref="D6037">
    <cfRule type="containsText" dxfId="1010" priority="6835" operator="containsText" text="Pesquisa de Preços">
      <formula>NOT(ISERROR(SEARCH("Pesquisa de Preços",D6037)))</formula>
    </cfRule>
  </conditionalFormatting>
  <conditionalFormatting sqref="D6041">
    <cfRule type="containsText" dxfId="1009" priority="4397" operator="containsText" text="Pesquisa de Preços">
      <formula>NOT(ISERROR(SEARCH("Pesquisa de Preços",D6041)))</formula>
    </cfRule>
  </conditionalFormatting>
  <conditionalFormatting sqref="D6045">
    <cfRule type="containsText" dxfId="1008" priority="6833" operator="containsText" text="Pesquisa de Preços">
      <formula>NOT(ISERROR(SEARCH("Pesquisa de Preços",D6045)))</formula>
    </cfRule>
  </conditionalFormatting>
  <conditionalFormatting sqref="D6049">
    <cfRule type="containsText" dxfId="1007" priority="6832" operator="containsText" text="Pesquisa de Preços">
      <formula>NOT(ISERROR(SEARCH("Pesquisa de Preços",D6049)))</formula>
    </cfRule>
  </conditionalFormatting>
  <conditionalFormatting sqref="D6053">
    <cfRule type="containsText" dxfId="1006" priority="6831" operator="containsText" text="Pesquisa de Preços">
      <formula>NOT(ISERROR(SEARCH("Pesquisa de Preços",D6053)))</formula>
    </cfRule>
  </conditionalFormatting>
  <conditionalFormatting sqref="D6057">
    <cfRule type="containsText" dxfId="1005" priority="4387" operator="containsText" text="Pesquisa de Preços">
      <formula>NOT(ISERROR(SEARCH("Pesquisa de Preços",D6057)))</formula>
    </cfRule>
  </conditionalFormatting>
  <conditionalFormatting sqref="D6061">
    <cfRule type="containsText" dxfId="1004" priority="4386" operator="containsText" text="Pesquisa de Preços">
      <formula>NOT(ISERROR(SEARCH("Pesquisa de Preços",D6061)))</formula>
    </cfRule>
  </conditionalFormatting>
  <conditionalFormatting sqref="D6065">
    <cfRule type="containsText" dxfId="1003" priority="6830" operator="containsText" text="Pesquisa de Preços">
      <formula>NOT(ISERROR(SEARCH("Pesquisa de Preços",D6065)))</formula>
    </cfRule>
  </conditionalFormatting>
  <conditionalFormatting sqref="D6069">
    <cfRule type="containsText" dxfId="1002" priority="6829" operator="containsText" text="Pesquisa de Preços">
      <formula>NOT(ISERROR(SEARCH("Pesquisa de Preços",D6069)))</formula>
    </cfRule>
  </conditionalFormatting>
  <conditionalFormatting sqref="D6073">
    <cfRule type="containsText" dxfId="1001" priority="6828" operator="containsText" text="Pesquisa de Preços">
      <formula>NOT(ISERROR(SEARCH("Pesquisa de Preços",D6073)))</formula>
    </cfRule>
  </conditionalFormatting>
  <conditionalFormatting sqref="D6075">
    <cfRule type="containsText" dxfId="1000" priority="7127" operator="containsText" text="Pesquisa de Preços">
      <formula>NOT(ISERROR(SEARCH("Pesquisa de Preços",D6075)))</formula>
    </cfRule>
  </conditionalFormatting>
  <conditionalFormatting sqref="D6077">
    <cfRule type="containsText" dxfId="999" priority="6827" operator="containsText" text="Pesquisa de Preços">
      <formula>NOT(ISERROR(SEARCH("Pesquisa de Preços",D6077)))</formula>
    </cfRule>
  </conditionalFormatting>
  <conditionalFormatting sqref="D6081">
    <cfRule type="containsText" dxfId="998" priority="6826" operator="containsText" text="Pesquisa de Preços">
      <formula>NOT(ISERROR(SEARCH("Pesquisa de Preços",D6081)))</formula>
    </cfRule>
  </conditionalFormatting>
  <conditionalFormatting sqref="D6083">
    <cfRule type="containsText" dxfId="997" priority="7119" operator="containsText" text="Pesquisa de Preços">
      <formula>NOT(ISERROR(SEARCH("Pesquisa de Preços",D6083)))</formula>
    </cfRule>
  </conditionalFormatting>
  <conditionalFormatting sqref="D6085">
    <cfRule type="containsText" dxfId="996" priority="6825" operator="containsText" text="Pesquisa de Preços">
      <formula>NOT(ISERROR(SEARCH("Pesquisa de Preços",D6085)))</formula>
    </cfRule>
  </conditionalFormatting>
  <conditionalFormatting sqref="D6089">
    <cfRule type="containsText" dxfId="995" priority="6824" operator="containsText" text="Pesquisa de Preços">
      <formula>NOT(ISERROR(SEARCH("Pesquisa de Preços",D6089)))</formula>
    </cfRule>
  </conditionalFormatting>
  <conditionalFormatting sqref="D6093">
    <cfRule type="containsText" dxfId="994" priority="6823" operator="containsText" text="Pesquisa de Preços">
      <formula>NOT(ISERROR(SEARCH("Pesquisa de Preços",D6093)))</formula>
    </cfRule>
  </conditionalFormatting>
  <conditionalFormatting sqref="D6097">
    <cfRule type="containsText" dxfId="993" priority="6822" operator="containsText" text="Pesquisa de Preços">
      <formula>NOT(ISERROR(SEARCH("Pesquisa de Preços",D6097)))</formula>
    </cfRule>
  </conditionalFormatting>
  <conditionalFormatting sqref="D6101">
    <cfRule type="containsText" dxfId="992" priority="6821" operator="containsText" text="Pesquisa de Preços">
      <formula>NOT(ISERROR(SEARCH("Pesquisa de Preços",D6101)))</formula>
    </cfRule>
  </conditionalFormatting>
  <conditionalFormatting sqref="D6105">
    <cfRule type="containsText" dxfId="991" priority="6820" operator="containsText" text="Pesquisa de Preços">
      <formula>NOT(ISERROR(SEARCH("Pesquisa de Preços",D6105)))</formula>
    </cfRule>
  </conditionalFormatting>
  <conditionalFormatting sqref="D6109">
    <cfRule type="containsText" dxfId="990" priority="6819" operator="containsText" text="Pesquisa de Preços">
      <formula>NOT(ISERROR(SEARCH("Pesquisa de Preços",D6109)))</formula>
    </cfRule>
  </conditionalFormatting>
  <conditionalFormatting sqref="D6113">
    <cfRule type="containsText" dxfId="989" priority="6818" operator="containsText" text="Pesquisa de Preços">
      <formula>NOT(ISERROR(SEARCH("Pesquisa de Preços",D6113)))</formula>
    </cfRule>
  </conditionalFormatting>
  <conditionalFormatting sqref="D6117">
    <cfRule type="containsText" dxfId="988" priority="6817" operator="containsText" text="Pesquisa de Preços">
      <formula>NOT(ISERROR(SEARCH("Pesquisa de Preços",D6117)))</formula>
    </cfRule>
  </conditionalFormatting>
  <conditionalFormatting sqref="D6121">
    <cfRule type="containsText" dxfId="987" priority="6816" operator="containsText" text="Pesquisa de Preços">
      <formula>NOT(ISERROR(SEARCH("Pesquisa de Preços",D6121)))</formula>
    </cfRule>
  </conditionalFormatting>
  <conditionalFormatting sqref="D6125">
    <cfRule type="containsText" dxfId="986" priority="4379" operator="containsText" text="Pesquisa de Preços">
      <formula>NOT(ISERROR(SEARCH("Pesquisa de Preços",D6125)))</formula>
    </cfRule>
  </conditionalFormatting>
  <conditionalFormatting sqref="D6129">
    <cfRule type="containsText" dxfId="985" priority="4372" operator="containsText" text="Pesquisa de Preços">
      <formula>NOT(ISERROR(SEARCH("Pesquisa de Preços",D6129)))</formula>
    </cfRule>
  </conditionalFormatting>
  <conditionalFormatting sqref="D6133">
    <cfRule type="containsText" dxfId="984" priority="4365" operator="containsText" text="Pesquisa de Preços">
      <formula>NOT(ISERROR(SEARCH("Pesquisa de Preços",D6133)))</formula>
    </cfRule>
  </conditionalFormatting>
  <conditionalFormatting sqref="D6137">
    <cfRule type="containsText" dxfId="983" priority="6815" operator="containsText" text="Pesquisa de Preços">
      <formula>NOT(ISERROR(SEARCH("Pesquisa de Preços",D6137)))</formula>
    </cfRule>
  </conditionalFormatting>
  <conditionalFormatting sqref="D6149">
    <cfRule type="containsText" dxfId="982" priority="6813" operator="containsText" text="Pesquisa de Preços">
      <formula>NOT(ISERROR(SEARCH("Pesquisa de Preços",D6149)))</formula>
    </cfRule>
  </conditionalFormatting>
  <conditionalFormatting sqref="D6153">
    <cfRule type="containsText" dxfId="981" priority="6812" operator="containsText" text="Pesquisa de Preços">
      <formula>NOT(ISERROR(SEARCH("Pesquisa de Preços",D6153)))</formula>
    </cfRule>
  </conditionalFormatting>
  <conditionalFormatting sqref="D6178:D6179">
    <cfRule type="containsText" dxfId="980" priority="6152" operator="containsText" text="Pesquisa de Preços">
      <formula>NOT(ISERROR(SEARCH("Pesquisa de Preços",D6178)))</formula>
    </cfRule>
  </conditionalFormatting>
  <conditionalFormatting sqref="D6438">
    <cfRule type="containsText" dxfId="979" priority="4298" operator="containsText" text="Pesquisa de Preços">
      <formula>NOT(ISERROR(SEARCH("Pesquisa de Preços",D6438)))</formula>
    </cfRule>
  </conditionalFormatting>
  <conditionalFormatting sqref="D6487">
    <cfRule type="containsText" dxfId="978" priority="3917" operator="containsText" text="Pesquisa de Preços">
      <formula>NOT(ISERROR(SEARCH("Pesquisa de Preços",D6487)))</formula>
    </cfRule>
  </conditionalFormatting>
  <conditionalFormatting sqref="D7152">
    <cfRule type="containsText" dxfId="977" priority="4570" operator="containsText" text="Pesquisa de Preços">
      <formula>NOT(ISERROR(SEARCH("Pesquisa de Preços",D7152)))</formula>
    </cfRule>
  </conditionalFormatting>
  <conditionalFormatting sqref="D7158">
    <cfRule type="containsText" dxfId="976" priority="4566" operator="containsText" text="Pesquisa de Preços">
      <formula>NOT(ISERROR(SEARCH("Pesquisa de Preços",D7158)))</formula>
    </cfRule>
  </conditionalFormatting>
  <conditionalFormatting sqref="D7164">
    <cfRule type="containsText" dxfId="975" priority="4562" operator="containsText" text="Pesquisa de Preços">
      <formula>NOT(ISERROR(SEARCH("Pesquisa de Preços",D7164)))</formula>
    </cfRule>
  </conditionalFormatting>
  <conditionalFormatting sqref="D7170">
    <cfRule type="containsText" dxfId="974" priority="4558" operator="containsText" text="Pesquisa de Preços">
      <formula>NOT(ISERROR(SEARCH("Pesquisa de Preços",D7170)))</formula>
    </cfRule>
  </conditionalFormatting>
  <conditionalFormatting sqref="D7176">
    <cfRule type="containsText" dxfId="973" priority="4554" operator="containsText" text="Pesquisa de Preços">
      <formula>NOT(ISERROR(SEARCH("Pesquisa de Preços",D7176)))</formula>
    </cfRule>
  </conditionalFormatting>
  <conditionalFormatting sqref="D7182">
    <cfRule type="containsText" dxfId="972" priority="4550" operator="containsText" text="Pesquisa de Preços">
      <formula>NOT(ISERROR(SEARCH("Pesquisa de Preços",D7182)))</formula>
    </cfRule>
  </conditionalFormatting>
  <conditionalFormatting sqref="D7188">
    <cfRule type="containsText" dxfId="971" priority="4546" operator="containsText" text="Pesquisa de Preços">
      <formula>NOT(ISERROR(SEARCH("Pesquisa de Preços",D7188)))</formula>
    </cfRule>
  </conditionalFormatting>
  <conditionalFormatting sqref="D7194">
    <cfRule type="containsText" dxfId="970" priority="4542" operator="containsText" text="Pesquisa de Preços">
      <formula>NOT(ISERROR(SEARCH("Pesquisa de Preços",D7194)))</formula>
    </cfRule>
  </conditionalFormatting>
  <conditionalFormatting sqref="D7200">
    <cfRule type="containsText" dxfId="969" priority="4538" operator="containsText" text="Pesquisa de Preços">
      <formula>NOT(ISERROR(SEARCH("Pesquisa de Preços",D7200)))</formula>
    </cfRule>
  </conditionalFormatting>
  <conditionalFormatting sqref="D7245:D7247">
    <cfRule type="containsText" dxfId="968" priority="4088" operator="containsText" text="Pesquisa de Preços">
      <formula>NOT(ISERROR(SEARCH("Pesquisa de Preços",D7245)))</formula>
    </cfRule>
  </conditionalFormatting>
  <conditionalFormatting sqref="D7250:D7251">
    <cfRule type="containsText" dxfId="967" priority="4084" operator="containsText" text="Pesquisa de Preços">
      <formula>NOT(ISERROR(SEARCH("Pesquisa de Preços",D7250)))</formula>
    </cfRule>
  </conditionalFormatting>
  <conditionalFormatting sqref="D7280">
    <cfRule type="containsText" dxfId="966" priority="4253" operator="containsText" text="Pesquisa de Preços">
      <formula>NOT(ISERROR(SEARCH("Pesquisa de Preços",D7280)))</formula>
    </cfRule>
  </conditionalFormatting>
  <conditionalFormatting sqref="D7284">
    <cfRule type="containsText" dxfId="965" priority="4249" operator="containsText" text="Pesquisa de Preços">
      <formula>NOT(ISERROR(SEARCH("Pesquisa de Preços",D7284)))</formula>
    </cfRule>
  </conditionalFormatting>
  <conditionalFormatting sqref="D7288">
    <cfRule type="containsText" dxfId="964" priority="4257" operator="containsText" text="Pesquisa de Preços">
      <formula>NOT(ISERROR(SEARCH("Pesquisa de Preços",D7288)))</formula>
    </cfRule>
  </conditionalFormatting>
  <conditionalFormatting sqref="D7292">
    <cfRule type="containsText" dxfId="963" priority="4237" operator="containsText" text="Pesquisa de Preços">
      <formula>NOT(ISERROR(SEARCH("Pesquisa de Preços",D7292)))</formula>
    </cfRule>
  </conditionalFormatting>
  <conditionalFormatting sqref="D7296 D7300 D7304">
    <cfRule type="containsText" dxfId="962" priority="4164" operator="containsText" text="Pesquisa de Preços">
      <formula>NOT(ISERROR(SEARCH("Pesquisa de Preços",D7296)))</formula>
    </cfRule>
  </conditionalFormatting>
  <conditionalFormatting sqref="D7308 D7312">
    <cfRule type="containsText" dxfId="961" priority="4189" operator="containsText" text="Pesquisa de Preços">
      <formula>NOT(ISERROR(SEARCH("Pesquisa de Preços",D7308)))</formula>
    </cfRule>
  </conditionalFormatting>
  <conditionalFormatting sqref="D7316">
    <cfRule type="containsText" dxfId="960" priority="4038" operator="containsText" text="Pesquisa de Preços">
      <formula>NOT(ISERROR(SEARCH("Pesquisa de Preços",D7316)))</formula>
    </cfRule>
  </conditionalFormatting>
  <conditionalFormatting sqref="D7323">
    <cfRule type="containsText" dxfId="959" priority="4052" operator="containsText" text="Pesquisa de Preços">
      <formula>NOT(ISERROR(SEARCH("Pesquisa de Preços",D7323)))</formula>
    </cfRule>
  </conditionalFormatting>
  <conditionalFormatting sqref="D7329">
    <cfRule type="containsText" dxfId="958" priority="4024" operator="containsText" text="Pesquisa de Preços">
      <formula>NOT(ISERROR(SEARCH("Pesquisa de Preços",D7329)))</formula>
    </cfRule>
  </conditionalFormatting>
  <conditionalFormatting sqref="D7337">
    <cfRule type="containsText" dxfId="957" priority="3999" operator="containsText" text="Pesquisa de Preços">
      <formula>NOT(ISERROR(SEARCH("Pesquisa de Preços",D7337)))</formula>
    </cfRule>
  </conditionalFormatting>
  <conditionalFormatting sqref="D7345">
    <cfRule type="containsText" dxfId="956" priority="3975" operator="containsText" text="Pesquisa de Preços">
      <formula>NOT(ISERROR(SEARCH("Pesquisa de Preços",D7345)))</formula>
    </cfRule>
  </conditionalFormatting>
  <conditionalFormatting sqref="D7351">
    <cfRule type="containsText" dxfId="955" priority="3962" operator="containsText" text="Pesquisa de Preços">
      <formula>NOT(ISERROR(SEARCH("Pesquisa de Preços",D7351)))</formula>
    </cfRule>
  </conditionalFormatting>
  <conditionalFormatting sqref="D7356">
    <cfRule type="containsText" dxfId="954" priority="3945" operator="containsText" text="Pesquisa de Preços">
      <formula>NOT(ISERROR(SEARCH("Pesquisa de Preços",D7356)))</formula>
    </cfRule>
  </conditionalFormatting>
  <conditionalFormatting sqref="D7375">
    <cfRule type="containsText" dxfId="953" priority="3905" operator="containsText" text="Pesquisa de Preços">
      <formula>NOT(ISERROR(SEARCH("Pesquisa de Preços",D7375)))</formula>
    </cfRule>
  </conditionalFormatting>
  <conditionalFormatting sqref="D7383">
    <cfRule type="containsText" dxfId="952" priority="3893" operator="containsText" text="Pesquisa de Preços">
      <formula>NOT(ISERROR(SEARCH("Pesquisa de Preços",D7383)))</formula>
    </cfRule>
  </conditionalFormatting>
  <conditionalFormatting sqref="D7425">
    <cfRule type="containsText" dxfId="951" priority="3828" operator="containsText" text="Pesquisa de Preços">
      <formula>NOT(ISERROR(SEARCH("Pesquisa de Preços",D7425)))</formula>
    </cfRule>
  </conditionalFormatting>
  <conditionalFormatting sqref="D7433">
    <cfRule type="containsText" dxfId="950" priority="3760" operator="containsText" text="Pesquisa de Preços">
      <formula>NOT(ISERROR(SEARCH("Pesquisa de Preços",D7433)))</formula>
    </cfRule>
  </conditionalFormatting>
  <conditionalFormatting sqref="D7439">
    <cfRule type="containsText" dxfId="949" priority="3801" operator="containsText" text="Pesquisa de Preços">
      <formula>NOT(ISERROR(SEARCH("Pesquisa de Preços",D7439)))</formula>
    </cfRule>
  </conditionalFormatting>
  <conditionalFormatting sqref="D7446">
    <cfRule type="containsText" dxfId="948" priority="3686" operator="containsText" text="Pesquisa de Preços">
      <formula>NOT(ISERROR(SEARCH("Pesquisa de Preços",D7446)))</formula>
    </cfRule>
  </conditionalFormatting>
  <conditionalFormatting sqref="D7453">
    <cfRule type="containsText" dxfId="947" priority="3709" operator="containsText" text="Pesquisa de Preços">
      <formula>NOT(ISERROR(SEARCH("Pesquisa de Preços",D7453)))</formula>
    </cfRule>
  </conditionalFormatting>
  <conditionalFormatting sqref="D7460">
    <cfRule type="containsText" dxfId="946" priority="3697" operator="containsText" text="Pesquisa de Preços">
      <formula>NOT(ISERROR(SEARCH("Pesquisa de Preços",D7460)))</formula>
    </cfRule>
  </conditionalFormatting>
  <conditionalFormatting sqref="D7467">
    <cfRule type="containsText" dxfId="945" priority="3471" operator="containsText" text="Pesquisa de Preços">
      <formula>NOT(ISERROR(SEARCH("Pesquisa de Preços",D7467)))</formula>
    </cfRule>
  </conditionalFormatting>
  <conditionalFormatting sqref="D7475">
    <cfRule type="containsText" dxfId="944" priority="3470" operator="containsText" text="Pesquisa de Preços">
      <formula>NOT(ISERROR(SEARCH("Pesquisa de Preços",D7475)))</formula>
    </cfRule>
  </conditionalFormatting>
  <conditionalFormatting sqref="D7483">
    <cfRule type="containsText" dxfId="943" priority="3469" operator="containsText" text="Pesquisa de Preços">
      <formula>NOT(ISERROR(SEARCH("Pesquisa de Preços",D7483)))</formula>
    </cfRule>
  </conditionalFormatting>
  <conditionalFormatting sqref="D7491">
    <cfRule type="containsText" dxfId="942" priority="3468" operator="containsText" text="Pesquisa de Preços">
      <formula>NOT(ISERROR(SEARCH("Pesquisa de Preços",D7491)))</formula>
    </cfRule>
  </conditionalFormatting>
  <conditionalFormatting sqref="D7500">
    <cfRule type="containsText" dxfId="941" priority="3467" operator="containsText" text="Pesquisa de Preços">
      <formula>NOT(ISERROR(SEARCH("Pesquisa de Preços",D7500)))</formula>
    </cfRule>
  </conditionalFormatting>
  <conditionalFormatting sqref="D7506">
    <cfRule type="containsText" dxfId="940" priority="3466" operator="containsText" text="Pesquisa de Preços">
      <formula>NOT(ISERROR(SEARCH("Pesquisa de Preços",D7506)))</formula>
    </cfRule>
  </conditionalFormatting>
  <conditionalFormatting sqref="D7512">
    <cfRule type="containsText" dxfId="939" priority="3465" operator="containsText" text="Pesquisa de Preços">
      <formula>NOT(ISERROR(SEARCH("Pesquisa de Preços",D7512)))</formula>
    </cfRule>
  </conditionalFormatting>
  <conditionalFormatting sqref="D7526">
    <cfRule type="containsText" dxfId="938" priority="3464" operator="containsText" text="Pesquisa de Preços">
      <formula>NOT(ISERROR(SEARCH("Pesquisa de Preços",D7526)))</formula>
    </cfRule>
  </conditionalFormatting>
  <conditionalFormatting sqref="D7540">
    <cfRule type="containsText" dxfId="937" priority="3463" operator="containsText" text="Pesquisa de Preços">
      <formula>NOT(ISERROR(SEARCH("Pesquisa de Preços",D7540)))</formula>
    </cfRule>
  </conditionalFormatting>
  <conditionalFormatting sqref="D7547">
    <cfRule type="containsText" dxfId="936" priority="3662" operator="containsText" text="Pesquisa de Preços">
      <formula>NOT(ISERROR(SEARCH("Pesquisa de Preços",D7547)))</formula>
    </cfRule>
  </conditionalFormatting>
  <conditionalFormatting sqref="D7551 D7555 D7559 D7563 D7567 D7571 D7575 D7579 D7583 D7587 D7591 D7595 D7599 D7603 D7607 D7611 D7615 D7619 D7623 D7627 D7631 D7635 D7639 D7643 D7647 D7651 D7655 D7659 D7663 D7667 D7671 D7675 D7679 D7683 D7687 D7691 D7695 D7699 D7703 D7707 D7711 D7715 D7719 D7723 D7727 D7731 D7735 D7739 D7743 D7747 D7751 D7755 D7759 D7763 D7767 D7771 D7775 D7779 D7783 D7787 D7791 D7795 D7799 D7803 D7807 D7811 D7815 D7819 D7823 D7827 D7831 D7835 D7839 D7843 D7847 D7851 D7855 D7859 D7863 D7867 D7871 D7875 D7879 D7883 D7887 D7891 D7895 D7899 D7903 D7907 D7911 D7915 D7919 D7923 D7927 D7931 D7935 D7939 D7943 D7947 D7951 D7955 D7959 D7963 D7967 D7971 D7975 D7979 D7983 D7987 D7991 D7995 D7999 D8003 D8007 D8011 D8015 D8019 D8023 D8027 D8031 D8035 D8039 D8043 D8047 D8051 D8055 D8059 D8063 D8067 D8071 D8075 D8079 D8083 D8087 D8091 D8095 D8099 D8103 D8107 D8111 D8115 D8119 D8123 D8127 D8131 D8135 D8139 D8143 D8147 D8151 D8155 D8159 D8163 D8167 D8171 D8175">
    <cfRule type="containsText" dxfId="935" priority="2698" operator="containsText" text="Pesquisa de Preços">
      <formula>NOT(ISERROR(SEARCH("Pesquisa de Preços",D7551)))</formula>
    </cfRule>
  </conditionalFormatting>
  <conditionalFormatting sqref="D8179">
    <cfRule type="containsText" dxfId="934" priority="2690" operator="containsText" text="Pesquisa de Preços">
      <formula>NOT(ISERROR(SEARCH("Pesquisa de Preços",D8179)))</formula>
    </cfRule>
  </conditionalFormatting>
  <conditionalFormatting sqref="D8189">
    <cfRule type="containsText" dxfId="933" priority="2677" operator="containsText" text="Pesquisa de Preços">
      <formula>NOT(ISERROR(SEARCH("Pesquisa de Preços",D8189)))</formula>
    </cfRule>
  </conditionalFormatting>
  <conditionalFormatting sqref="D8191:D8197">
    <cfRule type="containsText" dxfId="932" priority="2673" operator="containsText" text="Pesquisa de Preços">
      <formula>NOT(ISERROR(SEARCH("Pesquisa de Preços",D8191)))</formula>
    </cfRule>
  </conditionalFormatting>
  <conditionalFormatting sqref="D8199">
    <cfRule type="containsText" dxfId="931" priority="2660" operator="containsText" text="Pesquisa de Preços">
      <formula>NOT(ISERROR(SEARCH("Pesquisa de Preços",D8199)))</formula>
    </cfRule>
  </conditionalFormatting>
  <conditionalFormatting sqref="D8201:D8209">
    <cfRule type="containsText" dxfId="930" priority="2652" operator="containsText" text="Pesquisa de Preços">
      <formula>NOT(ISERROR(SEARCH("Pesquisa de Preços",D8201)))</formula>
    </cfRule>
  </conditionalFormatting>
  <conditionalFormatting sqref="D8211">
    <cfRule type="containsText" dxfId="929" priority="2667" operator="containsText" text="Pesquisa de Preços">
      <formula>NOT(ISERROR(SEARCH("Pesquisa de Preços",D8211)))</formula>
    </cfRule>
  </conditionalFormatting>
  <conditionalFormatting sqref="D8213">
    <cfRule type="containsText" dxfId="928" priority="2666" operator="containsText" text="Pesquisa de Preços">
      <formula>NOT(ISERROR(SEARCH("Pesquisa de Preços",D8213)))</formula>
    </cfRule>
  </conditionalFormatting>
  <conditionalFormatting sqref="D8215">
    <cfRule type="containsText" dxfId="927" priority="2624" operator="containsText" text="Pesquisa de Preços">
      <formula>NOT(ISERROR(SEARCH("Pesquisa de Preços",D8215)))</formula>
    </cfRule>
  </conditionalFormatting>
  <conditionalFormatting sqref="D8217:D8218">
    <cfRule type="containsText" dxfId="926" priority="2621" operator="containsText" text="Pesquisa de Preços">
      <formula>NOT(ISERROR(SEARCH("Pesquisa de Preços",D8217)))</formula>
    </cfRule>
  </conditionalFormatting>
  <conditionalFormatting sqref="D8220">
    <cfRule type="containsText" dxfId="925" priority="2646" operator="containsText" text="Pesquisa de Preços">
      <formula>NOT(ISERROR(SEARCH("Pesquisa de Preços",D8220)))</formula>
    </cfRule>
  </conditionalFormatting>
  <conditionalFormatting sqref="D8222:D8223">
    <cfRule type="containsText" dxfId="924" priority="2642" operator="containsText" text="Pesquisa de Preços">
      <formula>NOT(ISERROR(SEARCH("Pesquisa de Preços",D8222)))</formula>
    </cfRule>
  </conditionalFormatting>
  <conditionalFormatting sqref="D8225">
    <cfRule type="containsText" dxfId="923" priority="2615" operator="containsText" text="Pesquisa de Preços">
      <formula>NOT(ISERROR(SEARCH("Pesquisa de Preços",D8225)))</formula>
    </cfRule>
  </conditionalFormatting>
  <conditionalFormatting sqref="D8227:D8228">
    <cfRule type="containsText" dxfId="922" priority="2608" operator="containsText" text="Pesquisa de Preços">
      <formula>NOT(ISERROR(SEARCH("Pesquisa de Preços",D8227)))</formula>
    </cfRule>
  </conditionalFormatting>
  <conditionalFormatting sqref="D8231">
    <cfRule type="containsText" dxfId="921" priority="2636" operator="containsText" text="Pesquisa de Preços">
      <formula>NOT(ISERROR(SEARCH("Pesquisa de Preços",D8231)))</formula>
    </cfRule>
  </conditionalFormatting>
  <conditionalFormatting sqref="D8235:D8236">
    <cfRule type="containsText" dxfId="920" priority="2631" operator="containsText" text="Pesquisa de Preços">
      <formula>NOT(ISERROR(SEARCH("Pesquisa de Preços",D8235)))</formula>
    </cfRule>
  </conditionalFormatting>
  <conditionalFormatting sqref="D6:E16 D20 D23:E26 D28:E31 D33:E36 D38:E41 D43:E46 D48:E51 D53:E58 D60:E63 D65:E68 D70:E86 D88:D91 D93:E96 D98:E101 D103:E105 D107:E110 D112:E115 D117:E120 D122:E125 D127:E130 D132:E134 D136:E138 D140:E143 D145:E148 D150:E153 D155:E158 D162:E165 D167:E170 D172:E174 D176:E178 D180:E182 D184:E189 D191:D196 D198:E200 D202:E209 D211:E213 D215:E218 D220:E223 D225:D229 D231 D235 D239 D243:D267 D269:D292 D294:D300 D309:D315 D321:D325 D327:E340 D342:D348 D352:D360 D366:D393 D397 D399:D400 D402:E414 D416:D430 D432:D433 D435:D452 D454:D475 D477 D483:D487 D489:D492 D494:D519 D521 D524:D527 D531:D576 D580:D603 D606:D612 D615:D645 D647 D651 D655 D659 D663 D667 D669:D675 D677:D680 D682:D685 D687:D697 D700:D703 D707:D708 D710:D713 D715:D722 D724:D729 D731:D735 D737:D743 D749:E765 D767:D771 D775 D777:D782 D786:D787 D791:D803 D805:D813 D815:E817 D819:D831 D833:D861 D863:D873 D876:E895 D897:D906 D910:D911 D914:E921 D923:D937 D939:E946 D948:D952 D954:D965 D967:E972 D974:E1006 D1008:E1011 D1013:E1025 D1027:E1029 D1031:D1058 D1060:D1079 D1082:D1105 D1112:D1115 D1117:E1120 D1122:E1125 D1127:D1136 D1138:D1278 D1280:D1312 D1314:D1322 D1324:E1328 D1330:E1334 D1336:E1340 D1342:D1409 D1413 D1420:D1424 D1428 D1435:D1439 D1443 D1453:D1454 D1458 D1465:D1469 D1473 D1483:D1484 D1488 D1495:D1499 D1503 D1514:D1517 D1520:D1524 D1526:D1527 D1532:D1536 D1538:D1545 D1548:D1553 D1555:D1579 D1581:D1596 D1599:D1641 D1645:D1647 D1649:D1657 D1660:D1662 D1665:D1701 D1712:D1717 D1723:D1729 D1734:E1739 D1745:D1797 D1801:D1802 D1804:D1807 D1809:D1812 D1814:D1908 D1910:E1913 D1915:D1926 D1928 D1933 D1938:D1940 D1943:E1949 D1951:D1973 D1975:E1981 D1983:D2019 D2022:D2028 D2030:D2036 D2038:D2044 D2046:D2052 D2054:D2060 D2062:D2068 D2070:D2075 D2078:D2079 D2086:D2091 D2094:D2099 D2102:D2110 D2113:D2117 D2119:D2123 D2125:D2129 D2131:E2135 D2139:D2153 D2155:D2169 D2171:D2177 D2180:D2185 D2188:D2189 D2196:D2197 D2201:D2204 D2206:D2211 D2215:D2218 D2220:D2240 D2242 D2245:E2250 D2254:D2256 D2258 D2264:D2266 D2268 D2272:D2276 D2278 D2281:E2286 D2288 D2292:D2296 D2298 D2304:D2314 D2316:D2343 D2345:D2363 D2366:D2367 D2369:D2373 D2375:D2380 D2385:D2389 D2391:D2392 D2397:D2399 D2401:D2403 D2405:D2407 D2409:D2411 D2413:D2415 D2417:D2419 D2421:D2423 D2425:D2427 D2429:D2431 D2433 D2437 D2441 D2445 D2449 D2453 D2457 D2461 D2465 D2469 D2473 D2477 D2481 D2485 D2489 D2493 D2497 D2501 D2505 D2509 D2513 D2517 D2521 D2525 D2529 D2533 D2537 D2541 D2545 D2549 D2553 D2557 D2561 D2565 D2569 D2573 D2581 D2589 D2597 D2601 D2605 D2613 D2617 D2621 D2625 D2629 D2633 D2637 D2641 D2645 D2649 D2653 D2657 D2663 D2669 D2675 D2681 D2687 D2693 D2699 D2705 D2711 D2717 D2721 D2725 D2729 D2733 D2737 D2741 D2745 D2749 D2753 D2757 D2761 D2765 D2769 D2773:D2774 D2778:D2784 D2788:D2790 D2794:D2795 D2799:D2800 D2804:D2810 D2814 D2819 D2824 D2829 D2836 D2841 D2846 D2851 D2856 D2861 D2866 D2871 D2876:D2877 D2883 D2888 D2893 D2898:D2899 D2906:D2907 D2914:D2915 D2922:D2923 D2930:D2931 D2938 D2943 D2948 D2953 D2958 D2963 D2968 D2973 D2978 D2983 D2988:D2994 D2998 D3003 D3008 D3013 D3018 D3023 D3028 D3033 D3038 D3043:D3044 D3051 D3056:D3057 D3064 D3068:D3071 D3076 D3081:D3084 D3089 D3094 D3099 D3104 D3109 D3114 D3119 D3124 D3129 D3134 D3140:D3142 D3146:D3148 D3152:D3154 D3158:D3159 D3164:D3165 D3169:D3170 D3174:D3176 D3183:D3186 D3191:D3194 D3199:D3200 D3204 D3208:D3210 D3215:D3220 D3228:D3230 D3234:D3236 D3240:D3242 D3246:D3251 D3257 D3262:D3264 D3269:D3271 D3276:D3278 D3283:D3285 D3290:D3292 D3297:D3299 D3304:D3306 D3311:D3313 D3318:D3320 D3325:D3327 D3331:D3332 D3337:D3338 D3343:D3346 D3352:D3353 D3358:D3360 D3364 D3366:D3367 D3371 D3373:D3374 D3378 D3382:D3384 D3386:D3387 D3391 D3395 D3399:D3402 D3406 D3408:D3409 D3413 D3415:D3416 D3420:D3421 D3425:D3426 D3430:D3431 D3435 D3439 D3443:D3444 D3453:D3454 D3464:D3465 D3476:D3479 D3484:D3489 D3501:D3504 D3509:D3514 D3526:D3527 D3535:D3536 D3544:D3547 D3551:D3556 D3567:D3568 D3573:D3574 D3580:D3583 D3587 D3590 D3594:D3595 D3599:D3600 D3603 D3607:D3609 D3613:D3616 D3620:D3621 D3626:D3632 D3636:D3637 D3641:D3642 D3646:D3650 D3654 D3658:D3660 D3664:D3671 D3679:D3681 D3687:D3690 D3699:D3704 D3712:D3713 D3723 D3727:D3732 D3737:D3738 D3743:D3744 D3751:D3754 D3758 D3762 D3766 D3770 D3776 D3782 D3788 D3794 D3800 D3806 D3812 D3818 D3824 D3830 D3835:D3836 D3839:D3840 D3846:D3847 D3849:D3852 D3856:D3861 D3865:D3869 D3873:D3877 D3885:D3895 D3900 D3902:D3903 D3907:D3919 D3925:D3927 D3932:D3933 D3938:D3939 D3944:D3946 D3954:D3955 D3959:D3963 D3967 D3969:D3973 D3977 D3979:D3980 D3985:D3988 D3992:D3997 D4005:D4014 D4018 D4023 D4027 D4031:D4036 D4040:D4045 D4049:D4054 D4058:D4063 D4067:D4072 D4076:D4081 D4085:D4087 D4091:D4093 D4097:D4100 D4104 D4110 D4114:D4116 D4121:D4124 D4129:D4132 D4137:D4141 D4145 D4151:D4153 D4157:D4159 D4161 D4168:D4169 D4183:D4186 D4190:D4193 D4198:D4199 D4204:D4205 D4210:D4211 D4215:D4221 D4225:D4227 D4231:D4233 D4239:D4243 D4247:D4252 D4258:D4259 D4264 D4268:D4272 D4276 D4281 D4285:D4293 D4301:D4314 D4316:D4320 D4328 D4335:D4342 D4346:D4351 D4355 D4357:D4360 D4365:D4369 D4373 D4375:D4378 D4382:D4383 D4392:D4393 D4400:D4401 D4408:D4414 D4418:D4424 D4428:D4434 D4438:D4439 D4446:D4450 D4452:D4454 D4458:D4462 D4464:D4465 D4470 D4476:D4490 D4496:D4498 D4504:D4505 D4507:D4508 D4512:D4513 D4518:D4519 D4523:D4524 D4528:D4531 D4536 D4538:D4540 D4545 D4549 D4551 D4555:D4563 D4567:D4575 D4579:D4583 D4585:D4590 D4598:D4602 D4606:D4611 D4615:D4616 D4623:D4624 D4629:D4633 D4641:D4642 D4649:D4651 D4655:D4659 D4663 D4665:D4667 D4671:D4672 D4681:D4683 D4688 D4695:D4700 D4704:D4706 D4708:D4709 D4720 D4726 D4734 D4738 D4742 D4746 D4750 D4754 D4758 D4762 D4766 D4770:D4771 D4774:D4776 D4781:D4782 D4786:D4792 D4796:D4802 D4806 D4811 D4816 D4821:D4822 D4829:D4830 D4837:D4838 D4845:D4846 D4853:D4854 D4861:D4862 D4869:D4870 D4877:D4878 D4887:D4902 D4905:D4907 D4911 D4913:D4914 D4918 D4920:D4921 D4925 D4927:D4928 D4932 D4934:D4935 D4939 D4946:D4958 D4960:D4965 D4967:D4970 D4972:D4973 D4977:D4979 D4983:D4985 D4987:D4997 D4999:D5011 D5014:D5017 D5019:D5056 D5059:D5061 D5065:D5069 D5071:E5075 D5077:E5081 D5083:D5114 D5116 D5122:D5123 D5128:D5132 D5136:D5140 D5144:D5148 D5152:D5156 D5160:D5162 D5166:D5170 D5174:D5176 D5180:D5184 D5188:D5192 D5196:D5200 D5204:D5210 D5219:D5225 D5234:D5237 D5241:D5244 D5248:D5250 D5254:D5256 D5258:D5277 D5279:D5282 D5284:D5291 D5293:D5296 D5300:D5302 D5306:D5308 D5312:D5314 D5318:D5320 D5324:D5326 D5330:D5332 D5336:D5338 D5340:E5360 D5363:D5365 D5367:D5394 D5397:D5497 D5499 D5505 D5511 D5517 D5523 D5529 D5535 D5541 D5547 D5553 D5559 D5565 D5571 D5577 D5583 D5589 D5595 D5601 D5607 D5613 D5619 D5623 D5627 D5631 D5635 D5639 D5643 D5647 D5651 D5655 D5659 D5663 D5667 D5671 D5675 D5679 D5683 D5687 D5691 D5695 D5699 D5703 D5707 D5711 D5715 D5751 D5755 D5759 D5763 D5767 D5771 D5775 D5779 D5783 D5787 D5791 D5795 D5799 D5803 D5807 D5811 D5815 D5819 D5823 D5827 D5831 D5835 D5839 D5843 D5847 D5851 D5855 D5859 D5863 D5867 D5871 D5875 D5879 D5883 D5887 D5891 D5895 D5899 D5903 D5907 D5911 D5915 D5919 D5923 D5927 D5931 D5935 D5939 D5943 D5947 D5951 D5955 D5959 D5963 D5967 D5971 D5975 D5979 D5983 D5987 D5991 D5995 D5999 D6003 D6039 D6043 D6047 D6051 D6055 D6059 D6063 D6067 D6071 D6079 D6087 D6091 D6095 D6099 D6103 D6107 D6111 D6115 D6119 D6123 D6127 D6131 D6135 D6139:D6145 D6147 D6151 D6155 D6157:D6160 D6163:D6165 D6167:D6171 D6174:D6176 D6181:D6186 D6188:D6191 D6193:D6196 D6198:D6204 D6206:D6212 D6214:D6221 D6223:D6228 D6230:D6234 D6236:D6241 D6243:D6247 D6249:D6253 D6255:D6262 D6264:D6273 D6275:D6281 D6283:D6289 D6291:D6298 D6300:D6309 D6311:D6333 D6335:D6343 D6345:D6352 D6354:D6357 D6359:D6371 D6373:D6381 D6383:D6433 D6435:D6436 D6440:D6443 D6445:D6468 D6470:D6474 D6477:D6480 D6484:D6485 D6491:D6492 D6494:D6803 D6805:D6811 D6813:D6955 D6957:D7131 D7133:D7146 D7148 D7154 D7160 D7166 D7172 D7178 D7184 D7190 D7196 D7202 D7206:D7228 D7231:D7234 D7236:D7239 D7256:D7264 D7266 D7268:D7276 D7278 D7282 D7286 D7290 D7310 D7314 D7318:D7321 D7325:D7327 D7331:D7335 D7339:D7343 D7348:D7349 D7353:E7354 D7358:E7359 D7361:D7368 D7372:D7373 D7377:D7381 D7385:D7387 D7389:D7397 D7399:D7403 D7405:D7409 D7411:D7415 D7417:D7420 D7422:D7423 D7427:D7431 D7436:D7437 D7441:D7444 D7450:D7451 D7455:D7458 D7462:D7465 D7470:D7473 D7478:D7481 D7486:D7489 D7493:D7494 D7502:D7503 D7508:D7509 D7514:D7518 D7528:D7532 D7544:D7545 D7549 D7553 D7557 D7561 D7565 D7569 D7573 D7577 D7581 D7585 D7589 D7593 D7597 D7601 D7605 D7609 D7613 D7617 D7621 D7625 D7629 D7633 D7637 D7641 D7645 D7649 D7653 D7657 D7661 D7665 D7669 D7673 D7677 D7681 D7685 D7689 D7693 D7697 D7701 D7705 D7709 D7713 D7717 D7721 D7725 D7729 D7733 D7737 D7741 D7745 D7749 D7753 D7757 D7761 D7765 D7769 D7773 D7777 D7781 D7785 D7789 D7793 D7797 D7801 D7809 D7813 D7817 D7821 D7825 D7829 D7833 D7837 D7841 D7849 D7853 D7861 D7865 D7869 D7873 D7877 D7881 D7885 D7889 D7897 D7901 D7905 D7909 D7913 D7917 D7921 D7925 D7929 D7933 D7937 D7945 D7949 D7953 D7957 D7961 D7965 D7969 D7973 D7977 D7981 D7985 D7989 D7993 D7997 D8001 D8005 D8009 D8013 D8017 D8021 D8025 D8029 D8033 D8037 D8041 D8045 D8049 D8053 D8057 D8061 D8065 D8069 D8073 D8077 D8081 D8085 D8089 D8093 D8097 D8101 D8105 D8109 D8113 D8117 D8121 D8125 D8129 D8133 D8137 D8141 D8145 D8149 D8153 D8157 D8161 D8165 D8169 D8173 D8177 D8181:D8187">
    <cfRule type="containsText" dxfId="919" priority="2683" operator="containsText" text="Pesquisa de Preços">
      <formula>NOT(ISERROR(SEARCH("Pesquisa de Preços",D6)))</formula>
    </cfRule>
  </conditionalFormatting>
  <conditionalFormatting sqref="D18:E18 E2406 E3383">
    <cfRule type="containsText" dxfId="918" priority="9603" operator="containsText" text="Pesquisa de Preços">
      <formula>NOT(ISERROR(SEARCH("Pesquisa de Preços",D18)))</formula>
    </cfRule>
  </conditionalFormatting>
  <conditionalFormatting sqref="D745:E747">
    <cfRule type="containsText" dxfId="917" priority="9391" operator="containsText" text="Pesquisa de Preços">
      <formula>NOT(ISERROR(SEARCH("Pesquisa de Preços",D745)))</formula>
    </cfRule>
  </conditionalFormatting>
  <conditionalFormatting sqref="D862:E862">
    <cfRule type="containsText" dxfId="916" priority="10249" operator="containsText" text="Pesquisa de Preços">
      <formula>NOT(ISERROR(SEARCH("Pesquisa de Preços",D862)))</formula>
    </cfRule>
  </conditionalFormatting>
  <conditionalFormatting sqref="D1704:E1706">
    <cfRule type="containsText" dxfId="915" priority="9133" operator="containsText" text="Pesquisa de Preços">
      <formula>NOT(ISERROR(SEARCH("Pesquisa de Preços",D1704)))</formula>
    </cfRule>
  </conditionalFormatting>
  <conditionalFormatting sqref="D2213:E2213">
    <cfRule type="containsText" dxfId="914" priority="9021" operator="containsText" text="Pesquisa de Preços">
      <formula>NOT(ISERROR(SEARCH("Pesquisa de Preços",D2213)))</formula>
    </cfRule>
  </conditionalFormatting>
  <conditionalFormatting sqref="D2382:E2383">
    <cfRule type="containsText" dxfId="913" priority="8952" operator="containsText" text="Pesquisa de Preços">
      <formula>NOT(ISERROR(SEARCH("Pesquisa de Preços",D2382)))</formula>
    </cfRule>
  </conditionalFormatting>
  <conditionalFormatting sqref="D4883:E4885">
    <cfRule type="containsText" dxfId="912" priority="8623" operator="containsText" text="Pesquisa de Preços">
      <formula>NOT(ISERROR(SEARCH("Pesquisa de Preços",D4883)))</formula>
    </cfRule>
  </conditionalFormatting>
  <conditionalFormatting sqref="D4942:E4944">
    <cfRule type="containsText" dxfId="911" priority="8577" operator="containsText" text="Pesquisa de Preços">
      <formula>NOT(ISERROR(SEARCH("Pesquisa de Preços",D4942)))</formula>
    </cfRule>
  </conditionalFormatting>
  <conditionalFormatting sqref="D7241:E7242">
    <cfRule type="containsText" dxfId="910" priority="4092" operator="containsText" text="Pesquisa de Preços">
      <formula>NOT(ISERROR(SEARCH("Pesquisa de Preços",D7241)))</formula>
    </cfRule>
  </conditionalFormatting>
  <conditionalFormatting sqref="E88:E89">
    <cfRule type="containsText" dxfId="909" priority="9579" operator="containsText" text="Pesquisa de Preços">
      <formula>NOT(ISERROR(SEARCH("Pesquisa de Preços",E88)))</formula>
    </cfRule>
  </conditionalFormatting>
  <conditionalFormatting sqref="E191:E194">
    <cfRule type="containsText" dxfId="908" priority="9517" operator="containsText" text="Pesquisa de Preços">
      <formula>NOT(ISERROR(SEARCH("Pesquisa de Preços",E191)))</formula>
    </cfRule>
  </conditionalFormatting>
  <conditionalFormatting sqref="E196">
    <cfRule type="containsText" dxfId="907" priority="8806" operator="containsText" text="Pesquisa de Preços">
      <formula>NOT(ISERROR(SEARCH("Pesquisa de Preços",E196)))</formula>
    </cfRule>
  </conditionalFormatting>
  <conditionalFormatting sqref="E225:E228">
    <cfRule type="containsText" dxfId="906" priority="8907" operator="containsText" text="Pesquisa de Preços">
      <formula>NOT(ISERROR(SEARCH("Pesquisa de Preços",E225)))</formula>
    </cfRule>
  </conditionalFormatting>
  <conditionalFormatting sqref="E248:E267">
    <cfRule type="containsText" dxfId="905" priority="7892" operator="containsText" text="Pesquisa de Preços">
      <formula>NOT(ISERROR(SEARCH("Pesquisa de Preços",E248)))</formula>
    </cfRule>
  </conditionalFormatting>
  <conditionalFormatting sqref="E269:E293">
    <cfRule type="containsText" dxfId="904" priority="9476" operator="containsText" text="Pesquisa de Preços">
      <formula>NOT(ISERROR(SEARCH("Pesquisa de Preços",E269)))</formula>
    </cfRule>
  </conditionalFormatting>
  <conditionalFormatting sqref="E298:E300">
    <cfRule type="containsText" dxfId="903" priority="8892" operator="containsText" text="Pesquisa de Preços">
      <formula>NOT(ISERROR(SEARCH("Pesquisa de Preços",E298)))</formula>
    </cfRule>
  </conditionalFormatting>
  <conditionalFormatting sqref="E306:E308">
    <cfRule type="containsText" dxfId="902" priority="4352" operator="containsText" text="Pesquisa de Preços">
      <formula>NOT(ISERROR(SEARCH("Pesquisa de Preços",E306)))</formula>
    </cfRule>
  </conditionalFormatting>
  <conditionalFormatting sqref="E312:E315">
    <cfRule type="containsText" dxfId="901" priority="8893" operator="containsText" text="Pesquisa de Preços">
      <formula>NOT(ISERROR(SEARCH("Pesquisa de Preços",E312)))</formula>
    </cfRule>
  </conditionalFormatting>
  <conditionalFormatting sqref="E321:E323">
    <cfRule type="containsText" dxfId="900" priority="8812" operator="containsText" text="Pesquisa de Preços">
      <formula>NOT(ISERROR(SEARCH("Pesquisa de Preços",E321)))</formula>
    </cfRule>
  </conditionalFormatting>
  <conditionalFormatting sqref="E342:E344">
    <cfRule type="containsText" dxfId="899" priority="9481" operator="containsText" text="Pesquisa de Preços">
      <formula>NOT(ISERROR(SEARCH("Pesquisa de Preços",E342)))</formula>
    </cfRule>
  </conditionalFormatting>
  <conditionalFormatting sqref="E352:E353">
    <cfRule type="containsText" dxfId="898" priority="9479" operator="containsText" text="Pesquisa de Preços">
      <formula>NOT(ISERROR(SEARCH("Pesquisa de Preços",E352)))</formula>
    </cfRule>
  </conditionalFormatting>
  <conditionalFormatting sqref="E356:E359">
    <cfRule type="containsText" dxfId="897" priority="9478" operator="containsText" text="Pesquisa de Preços">
      <formula>NOT(ISERROR(SEARCH("Pesquisa de Preços",E356)))</formula>
    </cfRule>
  </conditionalFormatting>
  <conditionalFormatting sqref="E366:E382">
    <cfRule type="containsText" dxfId="896" priority="8871" operator="containsText" text="Pesquisa de Preços">
      <formula>NOT(ISERROR(SEARCH("Pesquisa de Preços",E366)))</formula>
    </cfRule>
  </conditionalFormatting>
  <conditionalFormatting sqref="E416:E417">
    <cfRule type="containsText" dxfId="895" priority="9462" operator="containsText" text="Pesquisa de Preços">
      <formula>NOT(ISERROR(SEARCH("Pesquisa de Preços",E416)))</formula>
    </cfRule>
  </conditionalFormatting>
  <conditionalFormatting sqref="E422:E428">
    <cfRule type="containsText" dxfId="894" priority="8915" operator="containsText" text="Pesquisa de Preços">
      <formula>NOT(ISERROR(SEARCH("Pesquisa de Preços",E422)))</formula>
    </cfRule>
  </conditionalFormatting>
  <conditionalFormatting sqref="E435:E448">
    <cfRule type="containsText" dxfId="893" priority="9446" operator="containsText" text="Pesquisa de Preços">
      <formula>NOT(ISERROR(SEARCH("Pesquisa de Preços",E435)))</formula>
    </cfRule>
  </conditionalFormatting>
  <conditionalFormatting sqref="E452">
    <cfRule type="containsText" dxfId="892" priority="9447" operator="containsText" text="Pesquisa de Preços">
      <formula>NOT(ISERROR(SEARCH("Pesquisa de Preços",E452)))</formula>
    </cfRule>
  </conditionalFormatting>
  <conditionalFormatting sqref="E454:E473">
    <cfRule type="containsText" dxfId="891" priority="8890" operator="containsText" text="Pesquisa de Preços">
      <formula>NOT(ISERROR(SEARCH("Pesquisa de Preços",E454)))</formula>
    </cfRule>
  </conditionalFormatting>
  <conditionalFormatting sqref="E483:E519">
    <cfRule type="containsText" dxfId="890" priority="8888" operator="containsText" text="Pesquisa de Preços">
      <formula>NOT(ISERROR(SEARCH("Pesquisa de Preços",E483)))</formula>
    </cfRule>
  </conditionalFormatting>
  <conditionalFormatting sqref="E524:E572">
    <cfRule type="containsText" dxfId="889" priority="9411" operator="containsText" text="Pesquisa de Preços">
      <formula>NOT(ISERROR(SEARCH("Pesquisa de Preços",E524)))</formula>
    </cfRule>
  </conditionalFormatting>
  <conditionalFormatting sqref="E580:E596">
    <cfRule type="containsText" dxfId="888" priority="8873" operator="containsText" text="Pesquisa de Preços">
      <formula>NOT(ISERROR(SEARCH("Pesquisa de Preços",E580)))</formula>
    </cfRule>
  </conditionalFormatting>
  <conditionalFormatting sqref="E606">
    <cfRule type="containsText" dxfId="887" priority="8870" operator="containsText" text="Pesquisa de Preços">
      <formula>NOT(ISERROR(SEARCH("Pesquisa de Preços",E606)))</formula>
    </cfRule>
  </conditionalFormatting>
  <conditionalFormatting sqref="E615:E644">
    <cfRule type="containsText" dxfId="886" priority="7905" operator="containsText" text="Pesquisa de Preços">
      <formula>NOT(ISERROR(SEARCH("Pesquisa de Preços",E615)))</formula>
    </cfRule>
  </conditionalFormatting>
  <conditionalFormatting sqref="E669:E670">
    <cfRule type="containsText" dxfId="885" priority="9402" operator="containsText" text="Pesquisa de Preços">
      <formula>NOT(ISERROR(SEARCH("Pesquisa de Preços",E669)))</formula>
    </cfRule>
  </conditionalFormatting>
  <conditionalFormatting sqref="E677:E678">
    <cfRule type="containsText" dxfId="884" priority="9404" operator="containsText" text="Pesquisa de Preços">
      <formula>NOT(ISERROR(SEARCH("Pesquisa de Preços",E677)))</formula>
    </cfRule>
  </conditionalFormatting>
  <conditionalFormatting sqref="E687:E696">
    <cfRule type="containsText" dxfId="883" priority="6800" operator="containsText" text="Pesquisa de Preços">
      <formula>NOT(ISERROR(SEARCH("Pesquisa de Preços",E687)))</formula>
    </cfRule>
  </conditionalFormatting>
  <conditionalFormatting sqref="E715:E716">
    <cfRule type="containsText" dxfId="882" priority="9397" operator="containsText" text="Pesquisa de Preços">
      <formula>NOT(ISERROR(SEARCH("Pesquisa de Preços",E715)))</formula>
    </cfRule>
  </conditionalFormatting>
  <conditionalFormatting sqref="E724:E725">
    <cfRule type="containsText" dxfId="881" priority="9393" operator="containsText" text="Pesquisa de Preços">
      <formula>NOT(ISERROR(SEARCH("Pesquisa de Preços",E724)))</formula>
    </cfRule>
  </conditionalFormatting>
  <conditionalFormatting sqref="E731:E732">
    <cfRule type="containsText" dxfId="880" priority="9395" operator="containsText" text="Pesquisa de Preços">
      <formula>NOT(ISERROR(SEARCH("Pesquisa de Preços",E731)))</formula>
    </cfRule>
  </conditionalFormatting>
  <conditionalFormatting sqref="E737:E738">
    <cfRule type="containsText" dxfId="879" priority="8867" operator="containsText" text="Pesquisa de Preços">
      <formula>NOT(ISERROR(SEARCH("Pesquisa de Preços",E737)))</formula>
    </cfRule>
  </conditionalFormatting>
  <conditionalFormatting sqref="E767:E770">
    <cfRule type="containsText" dxfId="878" priority="8799" operator="containsText" text="Pesquisa de Preços">
      <formula>NOT(ISERROR(SEARCH("Pesquisa de Preços",E767)))</formula>
    </cfRule>
  </conditionalFormatting>
  <conditionalFormatting sqref="E791:E792">
    <cfRule type="containsText" dxfId="877" priority="9389" operator="containsText" text="Pesquisa de Preços">
      <formula>NOT(ISERROR(SEARCH("Pesquisa de Preços",E791)))</formula>
    </cfRule>
  </conditionalFormatting>
  <conditionalFormatting sqref="E794:E803">
    <cfRule type="containsText" dxfId="876" priority="8838" operator="containsText" text="Pesquisa de Preços">
      <formula>NOT(ISERROR(SEARCH("Pesquisa de Preços",E794)))</formula>
    </cfRule>
  </conditionalFormatting>
  <conditionalFormatting sqref="E805:E806">
    <cfRule type="containsText" dxfId="875" priority="9373" operator="containsText" text="Pesquisa de Preços">
      <formula>NOT(ISERROR(SEARCH("Pesquisa de Preços",E805)))</formula>
    </cfRule>
  </conditionalFormatting>
  <conditionalFormatting sqref="E813">
    <cfRule type="containsText" dxfId="874" priority="8801" operator="containsText" text="Pesquisa de Preços">
      <formula>NOT(ISERROR(SEARCH("Pesquisa de Preços",E813)))</formula>
    </cfRule>
  </conditionalFormatting>
  <conditionalFormatting sqref="E819:E820">
    <cfRule type="containsText" dxfId="873" priority="9371" operator="containsText" text="Pesquisa de Preços">
      <formula>NOT(ISERROR(SEARCH("Pesquisa de Preços",E819)))</formula>
    </cfRule>
  </conditionalFormatting>
  <conditionalFormatting sqref="E823:E825">
    <cfRule type="containsText" dxfId="872" priority="9372" operator="containsText" text="Pesquisa de Preços">
      <formula>NOT(ISERROR(SEARCH("Pesquisa de Preços",E823)))</formula>
    </cfRule>
  </conditionalFormatting>
  <conditionalFormatting sqref="E827:E831">
    <cfRule type="containsText" dxfId="871" priority="8853" operator="containsText" text="Pesquisa de Preços">
      <formula>NOT(ISERROR(SEARCH("Pesquisa de Preços",E827)))</formula>
    </cfRule>
  </conditionalFormatting>
  <conditionalFormatting sqref="E833:E853">
    <cfRule type="containsText" dxfId="870" priority="8798" operator="containsText" text="Pesquisa de Preços">
      <formula>NOT(ISERROR(SEARCH("Pesquisa de Preços",E833)))</formula>
    </cfRule>
  </conditionalFormatting>
  <conditionalFormatting sqref="E855:E861">
    <cfRule type="containsText" dxfId="869" priority="6796" operator="containsText" text="Pesquisa de Preços">
      <formula>NOT(ISERROR(SEARCH("Pesquisa de Preços",E855)))</formula>
    </cfRule>
  </conditionalFormatting>
  <conditionalFormatting sqref="E863:E870">
    <cfRule type="containsText" dxfId="868" priority="6794" operator="containsText" text="Pesquisa de Preços">
      <formula>NOT(ISERROR(SEARCH("Pesquisa de Preços",E863)))</formula>
    </cfRule>
  </conditionalFormatting>
  <conditionalFormatting sqref="E872:E873">
    <cfRule type="containsText" dxfId="867" priority="8797" operator="containsText" text="Pesquisa de Preços">
      <formula>NOT(ISERROR(SEARCH("Pesquisa de Preços",E872)))</formula>
    </cfRule>
  </conditionalFormatting>
  <conditionalFormatting sqref="E897:E899">
    <cfRule type="containsText" dxfId="866" priority="8982" operator="containsText" text="Pesquisa de Preços">
      <formula>NOT(ISERROR(SEARCH("Pesquisa de Preços",E897)))</formula>
    </cfRule>
  </conditionalFormatting>
  <conditionalFormatting sqref="E901:E906">
    <cfRule type="containsText" dxfId="865" priority="8961" operator="containsText" text="Pesquisa de Preços">
      <formula>NOT(ISERROR(SEARCH("Pesquisa de Preços",E901)))</formula>
    </cfRule>
  </conditionalFormatting>
  <conditionalFormatting sqref="E923:E924">
    <cfRule type="containsText" dxfId="864" priority="9355" operator="containsText" text="Pesquisa de Preços">
      <formula>NOT(ISERROR(SEARCH("Pesquisa de Preços",E923)))</formula>
    </cfRule>
  </conditionalFormatting>
  <conditionalFormatting sqref="E929:E931">
    <cfRule type="containsText" dxfId="863" priority="9356" operator="containsText" text="Pesquisa de Preços">
      <formula>NOT(ISERROR(SEARCH("Pesquisa de Preços",E929)))</formula>
    </cfRule>
  </conditionalFormatting>
  <conditionalFormatting sqref="E948:E949">
    <cfRule type="containsText" dxfId="862" priority="9346" operator="containsText" text="Pesquisa de Preços">
      <formula>NOT(ISERROR(SEARCH("Pesquisa de Preços",E948)))</formula>
    </cfRule>
  </conditionalFormatting>
  <conditionalFormatting sqref="E954:E955">
    <cfRule type="containsText" dxfId="861" priority="9348" operator="containsText" text="Pesquisa de Preços">
      <formula>NOT(ISERROR(SEARCH("Pesquisa de Preços",E954)))</formula>
    </cfRule>
  </conditionalFormatting>
  <conditionalFormatting sqref="E959:E961">
    <cfRule type="containsText" dxfId="860" priority="9349" operator="containsText" text="Pesquisa de Preços">
      <formula>NOT(ISERROR(SEARCH("Pesquisa de Preços",E959)))</formula>
    </cfRule>
  </conditionalFormatting>
  <conditionalFormatting sqref="E1031:E1034">
    <cfRule type="containsText" dxfId="859" priority="9327" operator="containsText" text="Pesquisa de Preços">
      <formula>NOT(ISERROR(SEARCH("Pesquisa de Preços",E1031)))</formula>
    </cfRule>
  </conditionalFormatting>
  <conditionalFormatting sqref="E1036:E1039">
    <cfRule type="containsText" dxfId="858" priority="9325" operator="containsText" text="Pesquisa de Preços">
      <formula>NOT(ISERROR(SEARCH("Pesquisa de Preços",E1036)))</formula>
    </cfRule>
  </conditionalFormatting>
  <conditionalFormatting sqref="E1042:E1043">
    <cfRule type="containsText" dxfId="857" priority="8608" operator="containsText" text="Pesquisa de Preços">
      <formula>NOT(ISERROR(SEARCH("Pesquisa de Preços",E1042)))</formula>
    </cfRule>
  </conditionalFormatting>
  <conditionalFormatting sqref="E1045:E1058">
    <cfRule type="containsText" dxfId="856" priority="9309" operator="containsText" text="Pesquisa de Preços">
      <formula>NOT(ISERROR(SEARCH("Pesquisa de Preços",E1045)))</formula>
    </cfRule>
  </conditionalFormatting>
  <conditionalFormatting sqref="E1060:E1062">
    <cfRule type="containsText" dxfId="855" priority="9315" operator="containsText" text="Pesquisa de Preços">
      <formula>NOT(ISERROR(SEARCH("Pesquisa de Preços",E1060)))</formula>
    </cfRule>
  </conditionalFormatting>
  <conditionalFormatting sqref="E1064:E1068">
    <cfRule type="containsText" dxfId="854" priority="7932" operator="containsText" text="Pesquisa de Preços">
      <formula>NOT(ISERROR(SEARCH("Pesquisa de Preços",E1064)))</formula>
    </cfRule>
  </conditionalFormatting>
  <conditionalFormatting sqref="E1072:E1075">
    <cfRule type="containsText" dxfId="853" priority="8794" operator="containsText" text="Pesquisa de Preços">
      <formula>NOT(ISERROR(SEARCH("Pesquisa de Preços",E1072)))</formula>
    </cfRule>
  </conditionalFormatting>
  <conditionalFormatting sqref="E1082:E1096">
    <cfRule type="containsText" dxfId="852" priority="8793" operator="containsText" text="Pesquisa de Preços">
      <formula>NOT(ISERROR(SEARCH("Pesquisa de Preços",E1082)))</formula>
    </cfRule>
  </conditionalFormatting>
  <conditionalFormatting sqref="E1098:E1101">
    <cfRule type="containsText" dxfId="851" priority="9314" operator="containsText" text="Pesquisa de Preços">
      <formula>NOT(ISERROR(SEARCH("Pesquisa de Preços",E1098)))</formula>
    </cfRule>
  </conditionalFormatting>
  <conditionalFormatting sqref="E1127:E1212">
    <cfRule type="containsText" dxfId="850" priority="7922" operator="containsText" text="Pesquisa de Preços">
      <formula>NOT(ISERROR(SEARCH("Pesquisa de Preços",E1127)))</formula>
    </cfRule>
  </conditionalFormatting>
  <conditionalFormatting sqref="E1214:E1224">
    <cfRule type="containsText" dxfId="849" priority="8855" operator="containsText" text="Pesquisa de Preços">
      <formula>NOT(ISERROR(SEARCH("Pesquisa de Preços",E1214)))</formula>
    </cfRule>
  </conditionalFormatting>
  <conditionalFormatting sqref="E1227:E1230">
    <cfRule type="containsText" dxfId="848" priority="9291" operator="containsText" text="Pesquisa de Preços">
      <formula>NOT(ISERROR(SEARCH("Pesquisa de Preços",E1227)))</formula>
    </cfRule>
  </conditionalFormatting>
  <conditionalFormatting sqref="E1233:E1236">
    <cfRule type="containsText" dxfId="847" priority="5974" operator="containsText" text="Pesquisa de Preços">
      <formula>NOT(ISERROR(SEARCH("Pesquisa de Preços",E1233)))</formula>
    </cfRule>
  </conditionalFormatting>
  <conditionalFormatting sqref="E1239:E1242">
    <cfRule type="containsText" dxfId="846" priority="5970" operator="containsText" text="Pesquisa de Preços">
      <formula>NOT(ISERROR(SEARCH("Pesquisa de Preços",E1239)))</formula>
    </cfRule>
  </conditionalFormatting>
  <conditionalFormatting sqref="E1245:E1261">
    <cfRule type="containsText" dxfId="845" priority="8860" operator="containsText" text="Pesquisa de Preços">
      <formula>NOT(ISERROR(SEARCH("Pesquisa de Preços",E1245)))</formula>
    </cfRule>
  </conditionalFormatting>
  <conditionalFormatting sqref="E1266:E1278">
    <cfRule type="containsText" dxfId="844" priority="9240" operator="containsText" text="Pesquisa de Preços">
      <formula>NOT(ISERROR(SEARCH("Pesquisa de Preços",E1266)))</formula>
    </cfRule>
  </conditionalFormatting>
  <conditionalFormatting sqref="E1280:E1282">
    <cfRule type="containsText" dxfId="843" priority="9238" operator="containsText" text="Pesquisa de Preços">
      <formula>NOT(ISERROR(SEARCH("Pesquisa de Preços",E1280)))</formula>
    </cfRule>
  </conditionalFormatting>
  <conditionalFormatting sqref="E1286:E1289">
    <cfRule type="containsText" dxfId="842" priority="9236" operator="containsText" text="Pesquisa de Preços">
      <formula>NOT(ISERROR(SEARCH("Pesquisa de Preços",E1286)))</formula>
    </cfRule>
  </conditionalFormatting>
  <conditionalFormatting sqref="E1293:E1295">
    <cfRule type="containsText" dxfId="841" priority="9234" operator="containsText" text="Pesquisa de Preços">
      <formula>NOT(ISERROR(SEARCH("Pesquisa de Preços",E1293)))</formula>
    </cfRule>
  </conditionalFormatting>
  <conditionalFormatting sqref="E1298 E1300:E1310">
    <cfRule type="containsText" dxfId="840" priority="9235" operator="containsText" text="Pesquisa de Preços">
      <formula>NOT(ISERROR(SEARCH("Pesquisa de Preços",E1298)))</formula>
    </cfRule>
  </conditionalFormatting>
  <conditionalFormatting sqref="E1316:E1322">
    <cfRule type="containsText" dxfId="839" priority="5954" operator="containsText" text="Pesquisa de Preços">
      <formula>NOT(ISERROR(SEARCH("Pesquisa de Preços",E1316)))</formula>
    </cfRule>
  </conditionalFormatting>
  <conditionalFormatting sqref="E1342:E1351">
    <cfRule type="containsText" dxfId="838" priority="8792" operator="containsText" text="Pesquisa de Preços">
      <formula>NOT(ISERROR(SEARCH("Pesquisa de Preços",E1342)))</formula>
    </cfRule>
  </conditionalFormatting>
  <conditionalFormatting sqref="E1353:E1363">
    <cfRule type="containsText" dxfId="837" priority="9216" operator="containsText" text="Pesquisa de Preços">
      <formula>NOT(ISERROR(SEARCH("Pesquisa de Preços",E1353)))</formula>
    </cfRule>
  </conditionalFormatting>
  <conditionalFormatting sqref="E1366:E1370">
    <cfRule type="containsText" dxfId="836" priority="9211" operator="containsText" text="Pesquisa de Preços">
      <formula>NOT(ISERROR(SEARCH("Pesquisa de Preços",E1366)))</formula>
    </cfRule>
  </conditionalFormatting>
  <conditionalFormatting sqref="E1372:E1373">
    <cfRule type="containsText" dxfId="835" priority="9212" operator="containsText" text="Pesquisa de Preços">
      <formula>NOT(ISERROR(SEARCH("Pesquisa de Preços",E1372)))</formula>
    </cfRule>
  </conditionalFormatting>
  <conditionalFormatting sqref="E1380">
    <cfRule type="containsText" dxfId="834" priority="9210" operator="containsText" text="Pesquisa de Preços">
      <formula>NOT(ISERROR(SEARCH("Pesquisa de Preços",E1380)))</formula>
    </cfRule>
  </conditionalFormatting>
  <conditionalFormatting sqref="E1386">
    <cfRule type="containsText" dxfId="833" priority="9209" operator="containsText" text="Pesquisa de Preços">
      <formula>NOT(ISERROR(SEARCH("Pesquisa de Preços",E1386)))</formula>
    </cfRule>
  </conditionalFormatting>
  <conditionalFormatting sqref="E1393:E1407">
    <cfRule type="containsText" dxfId="832" priority="9173" operator="containsText" text="Pesquisa de Preços">
      <formula>NOT(ISERROR(SEARCH("Pesquisa de Preços",E1393)))</formula>
    </cfRule>
  </conditionalFormatting>
  <conditionalFormatting sqref="E1420:E1422">
    <cfRule type="containsText" dxfId="831" priority="9183" operator="containsText" text="Pesquisa de Preços">
      <formula>NOT(ISERROR(SEARCH("Pesquisa de Preços",E1420)))</formula>
    </cfRule>
  </conditionalFormatting>
  <conditionalFormatting sqref="E1435:E1437">
    <cfRule type="containsText" dxfId="830" priority="9184" operator="containsText" text="Pesquisa de Preços">
      <formula>NOT(ISERROR(SEARCH("Pesquisa de Preços",E1435)))</formula>
    </cfRule>
  </conditionalFormatting>
  <conditionalFormatting sqref="E1450">
    <cfRule type="containsText" dxfId="829" priority="9186" operator="containsText" text="Pesquisa de Preços">
      <formula>NOT(ISERROR(SEARCH("Pesquisa de Preços",E1450)))</formula>
    </cfRule>
  </conditionalFormatting>
  <conditionalFormatting sqref="E1465:E1467">
    <cfRule type="containsText" dxfId="828" priority="9180" operator="containsText" text="Pesquisa de Preços">
      <formula>NOT(ISERROR(SEARCH("Pesquisa de Preços",E1465)))</formula>
    </cfRule>
  </conditionalFormatting>
  <conditionalFormatting sqref="E1480">
    <cfRule type="containsText" dxfId="827" priority="9182" operator="containsText" text="Pesquisa de Preços">
      <formula>NOT(ISERROR(SEARCH("Pesquisa de Preços",E1480)))</formula>
    </cfRule>
  </conditionalFormatting>
  <conditionalFormatting sqref="E1483">
    <cfRule type="containsText" dxfId="826" priority="8790" operator="containsText" text="Pesquisa de Preços">
      <formula>NOT(ISERROR(SEARCH("Pesquisa de Preços",E1483)))</formula>
    </cfRule>
  </conditionalFormatting>
  <conditionalFormatting sqref="E1495:E1497">
    <cfRule type="containsText" dxfId="825" priority="9179" operator="containsText" text="Pesquisa de Preços">
      <formula>NOT(ISERROR(SEARCH("Pesquisa de Preços",E1495)))</formula>
    </cfRule>
  </conditionalFormatting>
  <conditionalFormatting sqref="E1500">
    <cfRule type="containsText" dxfId="824" priority="8882" operator="containsText" text="Pesquisa de Preços">
      <formula>NOT(ISERROR(SEARCH("Pesquisa de Preços",E1500)))</formula>
    </cfRule>
  </conditionalFormatting>
  <conditionalFormatting sqref="E1510">
    <cfRule type="containsText" dxfId="823" priority="9190" operator="containsText" text="Pesquisa de Preços">
      <formula>NOT(ISERROR(SEARCH("Pesquisa de Preços",E1510)))</formula>
    </cfRule>
  </conditionalFormatting>
  <conditionalFormatting sqref="E1512">
    <cfRule type="containsText" dxfId="822" priority="8791" operator="containsText" text="Pesquisa de Preços">
      <formula>NOT(ISERROR(SEARCH("Pesquisa de Preços",E1512)))</formula>
    </cfRule>
  </conditionalFormatting>
  <conditionalFormatting sqref="E1516">
    <cfRule type="containsText" dxfId="821" priority="9198" operator="containsText" text="Pesquisa de Preços">
      <formula>NOT(ISERROR(SEARCH("Pesquisa de Preços",E1516)))</formula>
    </cfRule>
  </conditionalFormatting>
  <conditionalFormatting sqref="E1522:E1524">
    <cfRule type="containsText" dxfId="820" priority="9199" operator="containsText" text="Pesquisa de Preços">
      <formula>NOT(ISERROR(SEARCH("Pesquisa de Preços",E1522)))</formula>
    </cfRule>
  </conditionalFormatting>
  <conditionalFormatting sqref="E1534:E1536">
    <cfRule type="containsText" dxfId="819" priority="9197" operator="containsText" text="Pesquisa de Preços">
      <formula>NOT(ISERROR(SEARCH("Pesquisa de Preços",E1534)))</formula>
    </cfRule>
  </conditionalFormatting>
  <conditionalFormatting sqref="E1540:E1543">
    <cfRule type="containsText" dxfId="818" priority="9203" operator="containsText" text="Pesquisa de Preços">
      <formula>NOT(ISERROR(SEARCH("Pesquisa de Preços",E1540)))</formula>
    </cfRule>
  </conditionalFormatting>
  <conditionalFormatting sqref="E1548:E1551 E1553">
    <cfRule type="containsText" dxfId="817" priority="9206" operator="containsText" text="Pesquisa de Preços">
      <formula>NOT(ISERROR(SEARCH("Pesquisa de Preços",E1548)))</formula>
    </cfRule>
  </conditionalFormatting>
  <conditionalFormatting sqref="E1555:E1564">
    <cfRule type="containsText" dxfId="816" priority="9191" operator="containsText" text="Pesquisa de Preços">
      <formula>NOT(ISERROR(SEARCH("Pesquisa de Preços",E1555)))</formula>
    </cfRule>
  </conditionalFormatting>
  <conditionalFormatting sqref="E1566:E1585">
    <cfRule type="containsText" dxfId="815" priority="9171" operator="containsText" text="Pesquisa de Preços">
      <formula>NOT(ISERROR(SEARCH("Pesquisa de Preços",E1566)))</formula>
    </cfRule>
  </conditionalFormatting>
  <conditionalFormatting sqref="E1589:E1591">
    <cfRule type="containsText" dxfId="814" priority="9169" operator="containsText" text="Pesquisa de Preços">
      <formula>NOT(ISERROR(SEARCH("Pesquisa de Preços",E1589)))</formula>
    </cfRule>
  </conditionalFormatting>
  <conditionalFormatting sqref="E1595">
    <cfRule type="containsText" dxfId="813" priority="9170" operator="containsText" text="Pesquisa de Preços">
      <formula>NOT(ISERROR(SEARCH("Pesquisa de Preços",E1595)))</formula>
    </cfRule>
  </conditionalFormatting>
  <conditionalFormatting sqref="E1601:E1604">
    <cfRule type="containsText" dxfId="812" priority="8842" operator="containsText" text="Pesquisa de Preços">
      <formula>NOT(ISERROR(SEARCH("Pesquisa de Preços",E1601)))</formula>
    </cfRule>
  </conditionalFormatting>
  <conditionalFormatting sqref="E1606:E1641">
    <cfRule type="containsText" dxfId="811" priority="8813" operator="containsText" text="Pesquisa de Preços">
      <formula>NOT(ISERROR(SEARCH("Pesquisa de Preços",E1606)))</formula>
    </cfRule>
  </conditionalFormatting>
  <conditionalFormatting sqref="E1649:E1651">
    <cfRule type="containsText" dxfId="810" priority="8832" operator="containsText" text="Pesquisa de Preços">
      <formula>NOT(ISERROR(SEARCH("Pesquisa de Preços",E1649)))</formula>
    </cfRule>
  </conditionalFormatting>
  <conditionalFormatting sqref="E1653:E1656">
    <cfRule type="containsText" dxfId="809" priority="9140" operator="containsText" text="Pesquisa de Preços">
      <formula>NOT(ISERROR(SEARCH("Pesquisa de Preços",E1653)))</formula>
    </cfRule>
  </conditionalFormatting>
  <conditionalFormatting sqref="E1660:E1661">
    <cfRule type="containsText" dxfId="808" priority="9141" operator="containsText" text="Pesquisa de Preços">
      <formula>NOT(ISERROR(SEARCH("Pesquisa de Preços",E1660)))</formula>
    </cfRule>
  </conditionalFormatting>
  <conditionalFormatting sqref="E1665:E1666">
    <cfRule type="containsText" dxfId="807" priority="9145" operator="containsText" text="Pesquisa de Preços">
      <formula>NOT(ISERROR(SEARCH("Pesquisa de Preços",E1665)))</formula>
    </cfRule>
  </conditionalFormatting>
  <conditionalFormatting sqref="E1668:E1671">
    <cfRule type="containsText" dxfId="806" priority="9146" operator="containsText" text="Pesquisa de Preços">
      <formula>NOT(ISERROR(SEARCH("Pesquisa de Preços",E1668)))</formula>
    </cfRule>
  </conditionalFormatting>
  <conditionalFormatting sqref="E1674:E1678">
    <cfRule type="containsText" dxfId="805" priority="8843" operator="containsText" text="Pesquisa de Preços">
      <formula>NOT(ISERROR(SEARCH("Pesquisa de Preços",E1674)))</formula>
    </cfRule>
  </conditionalFormatting>
  <conditionalFormatting sqref="E1680:E1687">
    <cfRule type="containsText" dxfId="804" priority="8833" operator="containsText" text="Pesquisa de Preços">
      <formula>NOT(ISERROR(SEARCH("Pesquisa de Preços",E1680)))</formula>
    </cfRule>
  </conditionalFormatting>
  <conditionalFormatting sqref="E1689:E1692">
    <cfRule type="containsText" dxfId="803" priority="9129" operator="containsText" text="Pesquisa de Preços">
      <formula>NOT(ISERROR(SEARCH("Pesquisa de Preços",E1689)))</formula>
    </cfRule>
  </conditionalFormatting>
  <conditionalFormatting sqref="E1694:E1697">
    <cfRule type="containsText" dxfId="802" priority="9127" operator="containsText" text="Pesquisa de Preços">
      <formula>NOT(ISERROR(SEARCH("Pesquisa de Preços",E1694)))</formula>
    </cfRule>
  </conditionalFormatting>
  <conditionalFormatting sqref="E1700:E1701">
    <cfRule type="containsText" dxfId="801" priority="9126" operator="containsText" text="Pesquisa de Preços">
      <formula>NOT(ISERROR(SEARCH("Pesquisa de Preços",E1700)))</formula>
    </cfRule>
  </conditionalFormatting>
  <conditionalFormatting sqref="E1714:E1717">
    <cfRule type="containsText" dxfId="800" priority="9131" operator="containsText" text="Pesquisa de Preços">
      <formula>NOT(ISERROR(SEARCH("Pesquisa de Preços",E1714)))</formula>
    </cfRule>
  </conditionalFormatting>
  <conditionalFormatting sqref="E1725:E1729">
    <cfRule type="containsText" dxfId="799" priority="9132" operator="containsText" text="Pesquisa de Preços">
      <formula>NOT(ISERROR(SEARCH("Pesquisa de Preços",E1725)))</formula>
    </cfRule>
  </conditionalFormatting>
  <conditionalFormatting sqref="E1747:E1770">
    <cfRule type="containsText" dxfId="798" priority="8933" operator="containsText" text="Pesquisa de Preços">
      <formula>NOT(ISERROR(SEARCH("Pesquisa de Preços",E1747)))</formula>
    </cfRule>
  </conditionalFormatting>
  <conditionalFormatting sqref="E1775:E1782">
    <cfRule type="containsText" dxfId="797" priority="8934" operator="containsText" text="Pesquisa de Preços">
      <formula>NOT(ISERROR(SEARCH("Pesquisa de Preços",E1775)))</formula>
    </cfRule>
  </conditionalFormatting>
  <conditionalFormatting sqref="E1789:E1796">
    <cfRule type="containsText" dxfId="796" priority="8932" operator="containsText" text="Pesquisa de Preços">
      <formula>NOT(ISERROR(SEARCH("Pesquisa de Preços",E1789)))</formula>
    </cfRule>
  </conditionalFormatting>
  <conditionalFormatting sqref="E1804:E1805">
    <cfRule type="containsText" dxfId="795" priority="9122" operator="containsText" text="Pesquisa de Preços">
      <formula>NOT(ISERROR(SEARCH("Pesquisa de Preços",E1804)))</formula>
    </cfRule>
  </conditionalFormatting>
  <conditionalFormatting sqref="E1809:E1810">
    <cfRule type="containsText" dxfId="794" priority="9124" operator="containsText" text="Pesquisa de Preços">
      <formula>NOT(ISERROR(SEARCH("Pesquisa de Preços",E1809)))</formula>
    </cfRule>
  </conditionalFormatting>
  <conditionalFormatting sqref="E1814:E1819">
    <cfRule type="containsText" dxfId="793" priority="8828" operator="containsText" text="Pesquisa de Preços">
      <formula>NOT(ISERROR(SEARCH("Pesquisa de Preços",E1814)))</formula>
    </cfRule>
  </conditionalFormatting>
  <conditionalFormatting sqref="E1825:E1850">
    <cfRule type="containsText" dxfId="792" priority="8825" operator="containsText" text="Pesquisa de Preços">
      <formula>NOT(ISERROR(SEARCH("Pesquisa de Preços",E1825)))</formula>
    </cfRule>
  </conditionalFormatting>
  <conditionalFormatting sqref="E1856">
    <cfRule type="containsText" dxfId="791" priority="9106" operator="containsText" text="Pesquisa de Preços">
      <formula>NOT(ISERROR(SEARCH("Pesquisa de Preços",E1856)))</formula>
    </cfRule>
  </conditionalFormatting>
  <conditionalFormatting sqref="E1862">
    <cfRule type="containsText" dxfId="790" priority="9102" operator="containsText" text="Pesquisa de Preços">
      <formula>NOT(ISERROR(SEARCH("Pesquisa de Preços",E1862)))</formula>
    </cfRule>
  </conditionalFormatting>
  <conditionalFormatting sqref="E1868">
    <cfRule type="containsText" dxfId="789" priority="9104" operator="containsText" text="Pesquisa de Preços">
      <formula>NOT(ISERROR(SEARCH("Pesquisa de Preços",E1868)))</formula>
    </cfRule>
  </conditionalFormatting>
  <conditionalFormatting sqref="E1874">
    <cfRule type="containsText" dxfId="788" priority="9101" operator="containsText" text="Pesquisa de Preços">
      <formula>NOT(ISERROR(SEARCH("Pesquisa de Preços",E1874)))</formula>
    </cfRule>
  </conditionalFormatting>
  <conditionalFormatting sqref="E1880">
    <cfRule type="containsText" dxfId="787" priority="9100" operator="containsText" text="Pesquisa de Preços">
      <formula>NOT(ISERROR(SEARCH("Pesquisa de Preços",E1880)))</formula>
    </cfRule>
  </conditionalFormatting>
  <conditionalFormatting sqref="E1886">
    <cfRule type="containsText" dxfId="786" priority="9103" operator="containsText" text="Pesquisa de Preços">
      <formula>NOT(ISERROR(SEARCH("Pesquisa de Preços",E1886)))</formula>
    </cfRule>
  </conditionalFormatting>
  <conditionalFormatting sqref="E1892:E1904">
    <cfRule type="containsText" dxfId="785" priority="9094" operator="containsText" text="Pesquisa de Preços">
      <formula>NOT(ISERROR(SEARCH("Pesquisa de Preços",E1892)))</formula>
    </cfRule>
  </conditionalFormatting>
  <conditionalFormatting sqref="E1915:E1917">
    <cfRule type="containsText" dxfId="784" priority="9092" operator="containsText" text="Pesquisa de Preços">
      <formula>NOT(ISERROR(SEARCH("Pesquisa de Preços",E1915)))</formula>
    </cfRule>
  </conditionalFormatting>
  <conditionalFormatting sqref="E1919:E1925">
    <cfRule type="containsText" dxfId="783" priority="8802" operator="containsText" text="Pesquisa de Preços">
      <formula>NOT(ISERROR(SEARCH("Pesquisa de Preços",E1919)))</formula>
    </cfRule>
  </conditionalFormatting>
  <conditionalFormatting sqref="E1939:E1940">
    <cfRule type="containsText" dxfId="782" priority="5787" operator="containsText" text="Pesquisa de Preços">
      <formula>NOT(ISERROR(SEARCH("Pesquisa de Preços",E1939)))</formula>
    </cfRule>
  </conditionalFormatting>
  <conditionalFormatting sqref="E1952:E1973">
    <cfRule type="containsText" dxfId="781" priority="5966" operator="containsText" text="Pesquisa de Preços">
      <formula>NOT(ISERROR(SEARCH("Pesquisa de Preços",E1952)))</formula>
    </cfRule>
  </conditionalFormatting>
  <conditionalFormatting sqref="E1983:E2018">
    <cfRule type="containsText" dxfId="780" priority="5960" operator="containsText" text="Pesquisa de Preços">
      <formula>NOT(ISERROR(SEARCH("Pesquisa de Preços",E1983)))</formula>
    </cfRule>
  </conditionalFormatting>
  <conditionalFormatting sqref="E2024:E2028">
    <cfRule type="containsText" dxfId="779" priority="8922" operator="containsText" text="Pesquisa de Preços">
      <formula>NOT(ISERROR(SEARCH("Pesquisa de Preços",E2024)))</formula>
    </cfRule>
  </conditionalFormatting>
  <conditionalFormatting sqref="E2032:E2036">
    <cfRule type="containsText" dxfId="778" priority="9043" operator="containsText" text="Pesquisa de Preços">
      <formula>NOT(ISERROR(SEARCH("Pesquisa de Preços",E2032)))</formula>
    </cfRule>
  </conditionalFormatting>
  <conditionalFormatting sqref="E2040:E2044">
    <cfRule type="containsText" dxfId="777" priority="9038" operator="containsText" text="Pesquisa de Preços">
      <formula>NOT(ISERROR(SEARCH("Pesquisa de Preços",E2040)))</formula>
    </cfRule>
  </conditionalFormatting>
  <conditionalFormatting sqref="E2048:E2052">
    <cfRule type="containsText" dxfId="776" priority="9039" operator="containsText" text="Pesquisa de Preços">
      <formula>NOT(ISERROR(SEARCH("Pesquisa de Preços",E2048)))</formula>
    </cfRule>
  </conditionalFormatting>
  <conditionalFormatting sqref="E2056:E2060">
    <cfRule type="containsText" dxfId="775" priority="9040" operator="containsText" text="Pesquisa de Preços">
      <formula>NOT(ISERROR(SEARCH("Pesquisa de Preços",E2056)))</formula>
    </cfRule>
  </conditionalFormatting>
  <conditionalFormatting sqref="E2064:E2068">
    <cfRule type="containsText" dxfId="774" priority="9036" operator="containsText" text="Pesquisa de Preços">
      <formula>NOT(ISERROR(SEARCH("Pesquisa de Preços",E2064)))</formula>
    </cfRule>
  </conditionalFormatting>
  <conditionalFormatting sqref="E2072:E2074">
    <cfRule type="containsText" dxfId="773" priority="9037" operator="containsText" text="Pesquisa de Preços">
      <formula>NOT(ISERROR(SEARCH("Pesquisa de Preços",E2072)))</formula>
    </cfRule>
  </conditionalFormatting>
  <conditionalFormatting sqref="E2088:E2090">
    <cfRule type="containsText" dxfId="772" priority="8923" operator="containsText" text="Pesquisa de Preços">
      <formula>NOT(ISERROR(SEARCH("Pesquisa de Preços",E2088)))</formula>
    </cfRule>
  </conditionalFormatting>
  <conditionalFormatting sqref="E2096:E2098">
    <cfRule type="containsText" dxfId="771" priority="9033" operator="containsText" text="Pesquisa de Preços">
      <formula>NOT(ISERROR(SEARCH("Pesquisa de Preços",E2096)))</formula>
    </cfRule>
  </conditionalFormatting>
  <conditionalFormatting sqref="E2104:E2108">
    <cfRule type="containsText" dxfId="770" priority="9027" operator="containsText" text="Pesquisa de Preços">
      <formula>NOT(ISERROR(SEARCH("Pesquisa de Preços",E2104)))</formula>
    </cfRule>
  </conditionalFormatting>
  <conditionalFormatting sqref="E2119:E2121">
    <cfRule type="containsText" dxfId="769" priority="9058" operator="containsText" text="Pesquisa de Preços">
      <formula>NOT(ISERROR(SEARCH("Pesquisa de Preços",E2119)))</formula>
    </cfRule>
  </conditionalFormatting>
  <conditionalFormatting sqref="E2123">
    <cfRule type="containsText" dxfId="768" priority="7888" operator="containsText" text="Pesquisa de Preços">
      <formula>NOT(ISERROR(SEARCH("Pesquisa de Preços",E2123)))</formula>
    </cfRule>
  </conditionalFormatting>
  <conditionalFormatting sqref="E2126:E2127">
    <cfRule type="containsText" dxfId="767" priority="8787" operator="containsText" text="Pesquisa de Preços">
      <formula>NOT(ISERROR(SEARCH("Pesquisa de Preços",E2126)))</formula>
    </cfRule>
  </conditionalFormatting>
  <conditionalFormatting sqref="E2142:E2146">
    <cfRule type="containsText" dxfId="766" priority="9051" operator="containsText" text="Pesquisa de Preços">
      <formula>NOT(ISERROR(SEARCH("Pesquisa de Preços",E2142)))</formula>
    </cfRule>
  </conditionalFormatting>
  <conditionalFormatting sqref="E2149:E2153">
    <cfRule type="containsText" dxfId="765" priority="8786" operator="containsText" text="Pesquisa de Preços">
      <formula>NOT(ISERROR(SEARCH("Pesquisa de Preços",E2149)))</formula>
    </cfRule>
  </conditionalFormatting>
  <conditionalFormatting sqref="E2158:E2162">
    <cfRule type="containsText" dxfId="764" priority="9049" operator="containsText" text="Pesquisa de Preços">
      <formula>NOT(ISERROR(SEARCH("Pesquisa de Preços",E2158)))</formula>
    </cfRule>
  </conditionalFormatting>
  <conditionalFormatting sqref="E2166:E2168">
    <cfRule type="containsText" dxfId="763" priority="9053" operator="containsText" text="Pesquisa de Preços">
      <formula>NOT(ISERROR(SEARCH("Pesquisa de Preços",E2166)))</formula>
    </cfRule>
  </conditionalFormatting>
  <conditionalFormatting sqref="E2174:E2176">
    <cfRule type="containsText" dxfId="762" priority="9050" operator="containsText" text="Pesquisa de Preços">
      <formula>NOT(ISERROR(SEARCH("Pesquisa de Preços",E2174)))</formula>
    </cfRule>
  </conditionalFormatting>
  <conditionalFormatting sqref="E2182:E2184">
    <cfRule type="containsText" dxfId="761" priority="9048" operator="containsText" text="Pesquisa de Preços">
      <formula>NOT(ISERROR(SEARCH("Pesquisa de Preços",E2182)))</formula>
    </cfRule>
  </conditionalFormatting>
  <conditionalFormatting sqref="E2201:E2203">
    <cfRule type="containsText" dxfId="760" priority="9025" operator="containsText" text="Pesquisa de Preços">
      <formula>NOT(ISERROR(SEARCH("Pesquisa de Preços",E2201)))</formula>
    </cfRule>
  </conditionalFormatting>
  <conditionalFormatting sqref="E2206:E2208">
    <cfRule type="containsText" dxfId="759" priority="9023" operator="containsText" text="Pesquisa de Preços">
      <formula>NOT(ISERROR(SEARCH("Pesquisa de Preços",E2206)))</formula>
    </cfRule>
  </conditionalFormatting>
  <conditionalFormatting sqref="E2210:E2211">
    <cfRule type="containsText" dxfId="758" priority="9022" operator="containsText" text="Pesquisa de Preços">
      <formula>NOT(ISERROR(SEARCH("Pesquisa de Preços",E2210)))</formula>
    </cfRule>
  </conditionalFormatting>
  <conditionalFormatting sqref="E2220:E2221">
    <cfRule type="containsText" dxfId="757" priority="9017" operator="containsText" text="Pesquisa de Preços">
      <formula>NOT(ISERROR(SEARCH("Pesquisa de Preços",E2220)))</formula>
    </cfRule>
  </conditionalFormatting>
  <conditionalFormatting sqref="E2224:E2227">
    <cfRule type="containsText" dxfId="756" priority="5781" operator="containsText" text="Pesquisa de Preços">
      <formula>NOT(ISERROR(SEARCH("Pesquisa de Preços",E2224)))</formula>
    </cfRule>
  </conditionalFormatting>
  <conditionalFormatting sqref="E2230:E2240">
    <cfRule type="containsText" dxfId="755" priority="8272" operator="containsText" text="Pesquisa de Preços">
      <formula>NOT(ISERROR(SEARCH("Pesquisa de Preços",E2230)))</formula>
    </cfRule>
  </conditionalFormatting>
  <conditionalFormatting sqref="E2272:E2273">
    <cfRule type="containsText" dxfId="754" priority="9007" operator="containsText" text="Pesquisa de Preços">
      <formula>NOT(ISERROR(SEARCH("Pesquisa de Preços",E2272)))</formula>
    </cfRule>
  </conditionalFormatting>
  <conditionalFormatting sqref="E2292:E2293">
    <cfRule type="containsText" dxfId="753" priority="9012" operator="containsText" text="Pesquisa de Preços">
      <formula>NOT(ISERROR(SEARCH("Pesquisa de Preços",E2292)))</formula>
    </cfRule>
  </conditionalFormatting>
  <conditionalFormatting sqref="E2308:E2311">
    <cfRule type="containsText" dxfId="752" priority="9000" operator="containsText" text="Pesquisa de Preços">
      <formula>NOT(ISERROR(SEARCH("Pesquisa de Preços",E2308)))</formula>
    </cfRule>
  </conditionalFormatting>
  <conditionalFormatting sqref="E2314">
    <cfRule type="containsText" dxfId="751" priority="9001" operator="containsText" text="Pesquisa de Preços">
      <formula>NOT(ISERROR(SEARCH("Pesquisa de Preços",E2314)))</formula>
    </cfRule>
  </conditionalFormatting>
  <conditionalFormatting sqref="E2316:E2317">
    <cfRule type="containsText" dxfId="750" priority="8989" operator="containsText" text="Pesquisa de Preços">
      <formula>NOT(ISERROR(SEARCH("Pesquisa de Preços",E2316)))</formula>
    </cfRule>
  </conditionalFormatting>
  <conditionalFormatting sqref="E2319:E2324">
    <cfRule type="containsText" dxfId="749" priority="8988" operator="containsText" text="Pesquisa de Preços">
      <formula>NOT(ISERROR(SEARCH("Pesquisa de Preços",E2319)))</formula>
    </cfRule>
  </conditionalFormatting>
  <conditionalFormatting sqref="E2327:E2330">
    <cfRule type="containsText" dxfId="748" priority="8995" operator="containsText" text="Pesquisa de Preços">
      <formula>NOT(ISERROR(SEARCH("Pesquisa de Preços",E2327)))</formula>
    </cfRule>
  </conditionalFormatting>
  <conditionalFormatting sqref="E2333:E2342">
    <cfRule type="containsText" dxfId="747" priority="8821" operator="containsText" text="Pesquisa de Preços">
      <formula>NOT(ISERROR(SEARCH("Pesquisa de Preços",E2333)))</formula>
    </cfRule>
  </conditionalFormatting>
  <conditionalFormatting sqref="E2345:E2351">
    <cfRule type="containsText" dxfId="746" priority="8984" operator="containsText" text="Pesquisa de Preços">
      <formula>NOT(ISERROR(SEARCH("Pesquisa de Preços",E2345)))</formula>
    </cfRule>
  </conditionalFormatting>
  <conditionalFormatting sqref="E2353:E2363">
    <cfRule type="containsText" dxfId="745" priority="8954" operator="containsText" text="Pesquisa de Preços">
      <formula>NOT(ISERROR(SEARCH("Pesquisa de Preços",E2353)))</formula>
    </cfRule>
  </conditionalFormatting>
  <conditionalFormatting sqref="E2369:E2371">
    <cfRule type="containsText" dxfId="744" priority="8817" operator="containsText" text="Pesquisa de Preços">
      <formula>NOT(ISERROR(SEARCH("Pesquisa de Preços",E2369)))</formula>
    </cfRule>
  </conditionalFormatting>
  <conditionalFormatting sqref="E2373">
    <cfRule type="containsText" dxfId="743" priority="8958" operator="containsText" text="Pesquisa de Preços">
      <formula>NOT(ISERROR(SEARCH("Pesquisa de Preços",E2373)))</formula>
    </cfRule>
  </conditionalFormatting>
  <conditionalFormatting sqref="E2375:E2378">
    <cfRule type="containsText" dxfId="742" priority="8820" operator="containsText" text="Pesquisa de Preços">
      <formula>NOT(ISERROR(SEARCH("Pesquisa de Preços",E2375)))</formula>
    </cfRule>
  </conditionalFormatting>
  <conditionalFormatting sqref="E2388">
    <cfRule type="containsText" dxfId="741" priority="8953" operator="containsText" text="Pesquisa de Preços">
      <formula>NOT(ISERROR(SEARCH("Pesquisa de Preços",E2388)))</formula>
    </cfRule>
  </conditionalFormatting>
  <conditionalFormatting sqref="E2398">
    <cfRule type="containsText" dxfId="740" priority="7817" operator="containsText" text="Pesquisa de Preços">
      <formula>NOT(ISERROR(SEARCH("Pesquisa de Preços",E2398)))</formula>
    </cfRule>
  </conditionalFormatting>
  <conditionalFormatting sqref="E2402">
    <cfRule type="containsText" dxfId="739" priority="7812" operator="containsText" text="Pesquisa de Preços">
      <formula>NOT(ISERROR(SEARCH("Pesquisa de Preços",E2402)))</formula>
    </cfRule>
  </conditionalFormatting>
  <conditionalFormatting sqref="E2410">
    <cfRule type="containsText" dxfId="738" priority="7807" operator="containsText" text="Pesquisa de Preços">
      <formula>NOT(ISERROR(SEARCH("Pesquisa de Preços",E2410)))</formula>
    </cfRule>
  </conditionalFormatting>
  <conditionalFormatting sqref="E2414">
    <cfRule type="containsText" dxfId="737" priority="7802" operator="containsText" text="Pesquisa de Preços">
      <formula>NOT(ISERROR(SEARCH("Pesquisa de Preços",E2414)))</formula>
    </cfRule>
  </conditionalFormatting>
  <conditionalFormatting sqref="E2418">
    <cfRule type="containsText" dxfId="736" priority="7797" operator="containsText" text="Pesquisa de Preços">
      <formula>NOT(ISERROR(SEARCH("Pesquisa de Preços",E2418)))</formula>
    </cfRule>
  </conditionalFormatting>
  <conditionalFormatting sqref="E2422">
    <cfRule type="containsText" dxfId="735" priority="7792" operator="containsText" text="Pesquisa de Preços">
      <formula>NOT(ISERROR(SEARCH("Pesquisa de Preços",E2422)))</formula>
    </cfRule>
  </conditionalFormatting>
  <conditionalFormatting sqref="E2426">
    <cfRule type="containsText" dxfId="734" priority="7787" operator="containsText" text="Pesquisa de Preços">
      <formula>NOT(ISERROR(SEARCH("Pesquisa de Preços",E2426)))</formula>
    </cfRule>
  </conditionalFormatting>
  <conditionalFormatting sqref="E2430">
    <cfRule type="containsText" dxfId="733" priority="7782" operator="containsText" text="Pesquisa de Preços">
      <formula>NOT(ISERROR(SEARCH("Pesquisa de Preços",E2430)))</formula>
    </cfRule>
  </conditionalFormatting>
  <conditionalFormatting sqref="E4887:E4890">
    <cfRule type="containsText" dxfId="732" priority="8622" operator="containsText" text="Pesquisa de Preços">
      <formula>NOT(ISERROR(SEARCH("Pesquisa de Preços",E4887)))</formula>
    </cfRule>
  </conditionalFormatting>
  <conditionalFormatting sqref="E4892:E4899">
    <cfRule type="containsText" dxfId="731" priority="5915" operator="containsText" text="Pesquisa de Preços">
      <formula>NOT(ISERROR(SEARCH("Pesquisa de Preços",E4892)))</formula>
    </cfRule>
  </conditionalFormatting>
  <conditionalFormatting sqref="E4901">
    <cfRule type="containsText" dxfId="730" priority="8615" operator="containsText" text="Pesquisa de Preços">
      <formula>NOT(ISERROR(SEARCH("Pesquisa de Preços",E4901)))</formula>
    </cfRule>
  </conditionalFormatting>
  <conditionalFormatting sqref="E4948:E4951">
    <cfRule type="containsText" dxfId="729" priority="8570" operator="containsText" text="Pesquisa de Preços">
      <formula>NOT(ISERROR(SEARCH("Pesquisa de Preços",E4948)))</formula>
    </cfRule>
  </conditionalFormatting>
  <conditionalFormatting sqref="E4955:E4958">
    <cfRule type="containsText" dxfId="728" priority="8563" operator="containsText" text="Pesquisa de Preços">
      <formula>NOT(ISERROR(SEARCH("Pesquisa de Preços",E4955)))</formula>
    </cfRule>
  </conditionalFormatting>
  <conditionalFormatting sqref="E4962:E4965">
    <cfRule type="containsText" dxfId="727" priority="5912" operator="containsText" text="Pesquisa de Preços">
      <formula>NOT(ISERROR(SEARCH("Pesquisa de Preços",E4962)))</formula>
    </cfRule>
  </conditionalFormatting>
  <conditionalFormatting sqref="E4969">
    <cfRule type="containsText" dxfId="726" priority="8557" operator="containsText" text="Pesquisa de Preços">
      <formula>NOT(ISERROR(SEARCH("Pesquisa de Preços",E4969)))</formula>
    </cfRule>
  </conditionalFormatting>
  <conditionalFormatting sqref="E4972">
    <cfRule type="containsText" dxfId="725" priority="8540" operator="containsText" text="Pesquisa de Preços">
      <formula>NOT(ISERROR(SEARCH("Pesquisa de Preços",E4972)))</formula>
    </cfRule>
  </conditionalFormatting>
  <conditionalFormatting sqref="E4987:E4988">
    <cfRule type="containsText" dxfId="724" priority="8528" operator="containsText" text="Pesquisa de Preços">
      <formula>NOT(ISERROR(SEARCH("Pesquisa de Preços",E4987)))</formula>
    </cfRule>
  </conditionalFormatting>
  <conditionalFormatting sqref="E4992:E4997">
    <cfRule type="containsText" dxfId="723" priority="8319" operator="containsText" text="Pesquisa de Preços">
      <formula>NOT(ISERROR(SEARCH("Pesquisa de Preços",E4992)))</formula>
    </cfRule>
  </conditionalFormatting>
  <conditionalFormatting sqref="E4999:E5000">
    <cfRule type="containsText" dxfId="722" priority="8519" operator="containsText" text="Pesquisa de Preços">
      <formula>NOT(ISERROR(SEARCH("Pesquisa de Preços",E4999)))</formula>
    </cfRule>
  </conditionalFormatting>
  <conditionalFormatting sqref="E5005:E5008">
    <cfRule type="containsText" dxfId="721" priority="8510" operator="containsText" text="Pesquisa de Preços">
      <formula>NOT(ISERROR(SEARCH("Pesquisa de Preços",E5005)))</formula>
    </cfRule>
  </conditionalFormatting>
  <conditionalFormatting sqref="E5010">
    <cfRule type="containsText" dxfId="720" priority="8511" operator="containsText" text="Pesquisa de Preços">
      <formula>NOT(ISERROR(SEARCH("Pesquisa de Preços",E5010)))</formula>
    </cfRule>
  </conditionalFormatting>
  <conditionalFormatting sqref="E5019:E5021">
    <cfRule type="containsText" dxfId="719" priority="8492" operator="containsText" text="Pesquisa de Preços">
      <formula>NOT(ISERROR(SEARCH("Pesquisa de Preços",E5019)))</formula>
    </cfRule>
  </conditionalFormatting>
  <conditionalFormatting sqref="E5024:E5031">
    <cfRule type="containsText" dxfId="718" priority="8463" operator="containsText" text="Pesquisa de Preços">
      <formula>NOT(ISERROR(SEARCH("Pesquisa de Preços",E5024)))</formula>
    </cfRule>
  </conditionalFormatting>
  <conditionalFormatting sqref="E5034:E5037">
    <cfRule type="containsText" dxfId="717" priority="8441" operator="containsText" text="Pesquisa de Preços">
      <formula>NOT(ISERROR(SEARCH("Pesquisa de Preços",E5034)))</formula>
    </cfRule>
  </conditionalFormatting>
  <conditionalFormatting sqref="E5040:E5050">
    <cfRule type="containsText" dxfId="716" priority="5906" operator="containsText" text="Pesquisa de Preços">
      <formula>NOT(ISERROR(SEARCH("Pesquisa de Preços",E5040)))</formula>
    </cfRule>
  </conditionalFormatting>
  <conditionalFormatting sqref="E5053:E5055">
    <cfRule type="containsText" dxfId="715" priority="8414" operator="containsText" text="Pesquisa de Preços">
      <formula>NOT(ISERROR(SEARCH("Pesquisa de Preços",E5053)))</formula>
    </cfRule>
  </conditionalFormatting>
  <conditionalFormatting sqref="E5083:E5097">
    <cfRule type="containsText" dxfId="714" priority="8329" operator="containsText" text="Pesquisa de Preços">
      <formula>NOT(ISERROR(SEARCH("Pesquisa de Preços",E5083)))</formula>
    </cfRule>
  </conditionalFormatting>
  <conditionalFormatting sqref="E5101:E5103">
    <cfRule type="containsText" dxfId="713" priority="8250" operator="containsText" text="Pesquisa de Preços">
      <formula>NOT(ISERROR(SEARCH("Pesquisa de Preços",E5101)))</formula>
    </cfRule>
  </conditionalFormatting>
  <conditionalFormatting sqref="E5108:E5110">
    <cfRule type="containsText" dxfId="712" priority="8240" operator="containsText" text="Pesquisa de Preços">
      <formula>NOT(ISERROR(SEARCH("Pesquisa de Preços",E5108)))</formula>
    </cfRule>
  </conditionalFormatting>
  <conditionalFormatting sqref="E5119">
    <cfRule type="containsText" dxfId="711" priority="8241" operator="containsText" text="Pesquisa de Preços">
      <formula>NOT(ISERROR(SEARCH("Pesquisa de Preços",E5119)))</formula>
    </cfRule>
  </conditionalFormatting>
  <conditionalFormatting sqref="E5264">
    <cfRule type="containsText" dxfId="710" priority="7968" operator="containsText" text="Pesquisa de Preços">
      <formula>NOT(ISERROR(SEARCH("Pesquisa de Preços",E5264)))</formula>
    </cfRule>
  </conditionalFormatting>
  <conditionalFormatting sqref="E5276:E5277">
    <cfRule type="containsText" dxfId="709" priority="7868" operator="containsText" text="Pesquisa de Preços">
      <formula>NOT(ISERROR(SEARCH("Pesquisa de Preços",E5276)))</formula>
    </cfRule>
  </conditionalFormatting>
  <conditionalFormatting sqref="E5284">
    <cfRule type="containsText" dxfId="708" priority="7872" operator="containsText" text="Pesquisa de Preços">
      <formula>NOT(ISERROR(SEARCH("Pesquisa de Preços",E5284)))</formula>
    </cfRule>
  </conditionalFormatting>
  <conditionalFormatting sqref="E5290">
    <cfRule type="containsText" dxfId="707" priority="7952" operator="containsText" text="Pesquisa de Preços">
      <formula>NOT(ISERROR(SEARCH("Pesquisa de Preços",E5290)))</formula>
    </cfRule>
  </conditionalFormatting>
  <conditionalFormatting sqref="E5363">
    <cfRule type="containsText" dxfId="706" priority="6611" operator="containsText" text="Pesquisa de Preços">
      <formula>NOT(ISERROR(SEARCH("Pesquisa de Preços",E5363)))</formula>
    </cfRule>
  </conditionalFormatting>
  <conditionalFormatting sqref="E5372:E5375">
    <cfRule type="containsText" dxfId="705" priority="6594" operator="containsText" text="Pesquisa de Preços">
      <formula>NOT(ISERROR(SEARCH("Pesquisa de Preços",E5372)))</formula>
    </cfRule>
  </conditionalFormatting>
  <conditionalFormatting sqref="E5377:E5382">
    <cfRule type="containsText" dxfId="704" priority="6584" operator="containsText" text="Pesquisa de Preços">
      <formula>NOT(ISERROR(SEARCH("Pesquisa de Preços",E5377)))</formula>
    </cfRule>
  </conditionalFormatting>
  <conditionalFormatting sqref="E5385:E5388">
    <cfRule type="containsText" dxfId="703" priority="6575" operator="containsText" text="Pesquisa de Preços">
      <formula>NOT(ISERROR(SEARCH("Pesquisa de Preços",E5385)))</formula>
    </cfRule>
  </conditionalFormatting>
  <conditionalFormatting sqref="E5391:E5394">
    <cfRule type="containsText" dxfId="702" priority="6568" operator="containsText" text="Pesquisa de Preços">
      <formula>NOT(ISERROR(SEARCH("Pesquisa de Preços",E5391)))</formula>
    </cfRule>
  </conditionalFormatting>
  <conditionalFormatting sqref="E5399:E5402">
    <cfRule type="containsText" dxfId="701" priority="6561" operator="containsText" text="Pesquisa de Preços">
      <formula>NOT(ISERROR(SEARCH("Pesquisa de Preços",E5399)))</formula>
    </cfRule>
  </conditionalFormatting>
  <conditionalFormatting sqref="E5407:E5410">
    <cfRule type="containsText" dxfId="700" priority="6554" operator="containsText" text="Pesquisa de Preços">
      <formula>NOT(ISERROR(SEARCH("Pesquisa de Preços",E5407)))</formula>
    </cfRule>
  </conditionalFormatting>
  <conditionalFormatting sqref="E5415:E5418">
    <cfRule type="containsText" dxfId="699" priority="6549" operator="containsText" text="Pesquisa de Preços">
      <formula>NOT(ISERROR(SEARCH("Pesquisa de Preços",E5415)))</formula>
    </cfRule>
  </conditionalFormatting>
  <conditionalFormatting sqref="E5422">
    <cfRule type="containsText" dxfId="698" priority="6551" operator="containsText" text="Pesquisa de Preços">
      <formula>NOT(ISERROR(SEARCH("Pesquisa de Preços",E5422)))</formula>
    </cfRule>
  </conditionalFormatting>
  <conditionalFormatting sqref="E5432">
    <cfRule type="containsText" dxfId="697" priority="6541" operator="containsText" text="Pesquisa de Preços">
      <formula>NOT(ISERROR(SEARCH("Pesquisa de Preços",E5432)))</formula>
    </cfRule>
  </conditionalFormatting>
  <conditionalFormatting sqref="E5444:E5447">
    <cfRule type="containsText" dxfId="696" priority="6497" operator="containsText" text="Pesquisa de Preços">
      <formula>NOT(ISERROR(SEARCH("Pesquisa de Preços",E5444)))</formula>
    </cfRule>
  </conditionalFormatting>
  <conditionalFormatting sqref="E5450:E5453">
    <cfRule type="containsText" dxfId="695" priority="6489" operator="containsText" text="Pesquisa de Preços">
      <formula>NOT(ISERROR(SEARCH("Pesquisa de Preços",E5450)))</formula>
    </cfRule>
  </conditionalFormatting>
  <conditionalFormatting sqref="E5456:E5459">
    <cfRule type="containsText" dxfId="694" priority="6481" operator="containsText" text="Pesquisa de Preços">
      <formula>NOT(ISERROR(SEARCH("Pesquisa de Preços",E5456)))</formula>
    </cfRule>
  </conditionalFormatting>
  <conditionalFormatting sqref="E5461:E5466">
    <cfRule type="containsText" dxfId="693" priority="6470" operator="containsText" text="Pesquisa de Preços">
      <formula>NOT(ISERROR(SEARCH("Pesquisa de Preços",E5461)))</formula>
    </cfRule>
  </conditionalFormatting>
  <conditionalFormatting sqref="E5469:E5472">
    <cfRule type="containsText" dxfId="692" priority="6461" operator="containsText" text="Pesquisa de Preços">
      <formula>NOT(ISERROR(SEARCH("Pesquisa de Preços",E5469)))</formula>
    </cfRule>
  </conditionalFormatting>
  <conditionalFormatting sqref="E5475:E5479">
    <cfRule type="containsText" dxfId="691" priority="6448" operator="containsText" text="Pesquisa de Preços">
      <formula>NOT(ISERROR(SEARCH("Pesquisa de Preços",E5475)))</formula>
    </cfRule>
  </conditionalFormatting>
  <conditionalFormatting sqref="E5481:E5490">
    <cfRule type="containsText" dxfId="690" priority="6411" operator="containsText" text="Pesquisa de Preços">
      <formula>NOT(ISERROR(SEARCH("Pesquisa de Preços",E5481)))</formula>
    </cfRule>
  </conditionalFormatting>
  <conditionalFormatting sqref="E5492:E5496">
    <cfRule type="containsText" dxfId="689" priority="6423" operator="containsText" text="Pesquisa de Preços">
      <formula>NOT(ISERROR(SEARCH("Pesquisa de Preços",E5492)))</formula>
    </cfRule>
  </conditionalFormatting>
  <conditionalFormatting sqref="E6167">
    <cfRule type="containsText" dxfId="688" priority="6172" operator="containsText" text="Pesquisa de Preços">
      <formula>NOT(ISERROR(SEARCH("Pesquisa de Preços",E6167)))</formula>
    </cfRule>
  </conditionalFormatting>
  <conditionalFormatting sqref="E6178">
    <cfRule type="containsText" dxfId="687" priority="6145" operator="containsText" text="Pesquisa de Preços">
      <formula>NOT(ISERROR(SEARCH("Pesquisa de Preços",E6178)))</formula>
    </cfRule>
  </conditionalFormatting>
  <conditionalFormatting sqref="E6381:E6382">
    <cfRule type="containsText" dxfId="686" priority="6195" operator="containsText" text="Pesquisa de Preços">
      <formula>NOT(ISERROR(SEARCH("Pesquisa de Preços",E6381)))</formula>
    </cfRule>
  </conditionalFormatting>
  <conditionalFormatting sqref="E6386:E6388">
    <cfRule type="containsText" dxfId="685" priority="6212" operator="containsText" text="Pesquisa de Preços">
      <formula>NOT(ISERROR(SEARCH("Pesquisa de Preços",E6386)))</formula>
    </cfRule>
  </conditionalFormatting>
  <conditionalFormatting sqref="E6392:E6395">
    <cfRule type="containsText" dxfId="684" priority="6206" operator="containsText" text="Pesquisa de Preços">
      <formula>NOT(ISERROR(SEARCH("Pesquisa de Preços",E6392)))</formula>
    </cfRule>
  </conditionalFormatting>
  <conditionalFormatting sqref="E6398:E6401">
    <cfRule type="containsText" dxfId="683" priority="5860" operator="containsText" text="Pesquisa de Preços">
      <formula>NOT(ISERROR(SEARCH("Pesquisa de Preços",E6398)))</formula>
    </cfRule>
  </conditionalFormatting>
  <conditionalFormatting sqref="E6405:E6407">
    <cfRule type="containsText" dxfId="682" priority="5848" operator="containsText" text="Pesquisa de Preços">
      <formula>NOT(ISERROR(SEARCH("Pesquisa de Preços",E6405)))</formula>
    </cfRule>
  </conditionalFormatting>
  <conditionalFormatting sqref="E6409:E6411">
    <cfRule type="containsText" dxfId="681" priority="5834" operator="containsText" text="Pesquisa de Preços">
      <formula>NOT(ISERROR(SEARCH("Pesquisa de Preços",E6409)))</formula>
    </cfRule>
  </conditionalFormatting>
  <conditionalFormatting sqref="E6414:E6416">
    <cfRule type="containsText" dxfId="680" priority="5815" operator="containsText" text="Pesquisa de Preços">
      <formula>NOT(ISERROR(SEARCH("Pesquisa de Preços",E6414)))</formula>
    </cfRule>
  </conditionalFormatting>
  <conditionalFormatting sqref="E6418:E6420">
    <cfRule type="containsText" dxfId="679" priority="5805" operator="containsText" text="Pesquisa de Preços">
      <formula>NOT(ISERROR(SEARCH("Pesquisa de Preços",E6418)))</formula>
    </cfRule>
  </conditionalFormatting>
  <conditionalFormatting sqref="E6422:E6424">
    <cfRule type="containsText" dxfId="678" priority="5806" operator="containsText" text="Pesquisa de Preços">
      <formula>NOT(ISERROR(SEARCH("Pesquisa de Preços",E6422)))</formula>
    </cfRule>
  </conditionalFormatting>
  <conditionalFormatting sqref="E6427:E6430">
    <cfRule type="containsText" dxfId="677" priority="5877" operator="containsText" text="Pesquisa de Preços">
      <formula>NOT(ISERROR(SEARCH("Pesquisa de Preços",E6427)))</formula>
    </cfRule>
  </conditionalFormatting>
  <conditionalFormatting sqref="E6432">
    <cfRule type="containsText" dxfId="676" priority="5879" operator="containsText" text="Pesquisa de Preços">
      <formula>NOT(ISERROR(SEARCH("Pesquisa de Preços",E6432)))</formula>
    </cfRule>
  </conditionalFormatting>
  <conditionalFormatting sqref="E6445:E6446">
    <cfRule type="containsText" dxfId="675" priority="5768" operator="containsText" text="Pesquisa de Preços">
      <formula>NOT(ISERROR(SEARCH("Pesquisa de Preços",E6445)))</formula>
    </cfRule>
  </conditionalFormatting>
  <conditionalFormatting sqref="E6449:E6452">
    <cfRule type="containsText" dxfId="674" priority="5756" operator="containsText" text="Pesquisa de Preços">
      <formula>NOT(ISERROR(SEARCH("Pesquisa de Preços",E6449)))</formula>
    </cfRule>
  </conditionalFormatting>
  <conditionalFormatting sqref="E6458:E6461">
    <cfRule type="containsText" dxfId="673" priority="5733" operator="containsText" text="Pesquisa de Preços">
      <formula>NOT(ISERROR(SEARCH("Pesquisa de Preços",E6458)))</formula>
    </cfRule>
  </conditionalFormatting>
  <conditionalFormatting sqref="E6465:E6468">
    <cfRule type="containsText" dxfId="672" priority="5699" operator="containsText" text="Pesquisa de Preços">
      <formula>NOT(ISERROR(SEARCH("Pesquisa de Preços",E6465)))</formula>
    </cfRule>
  </conditionalFormatting>
  <conditionalFormatting sqref="E6472:E6474">
    <cfRule type="containsText" dxfId="671" priority="5707" operator="containsText" text="Pesquisa de Preços">
      <formula>NOT(ISERROR(SEARCH("Pesquisa de Preços",E6472)))</formula>
    </cfRule>
  </conditionalFormatting>
  <conditionalFormatting sqref="E6479">
    <cfRule type="containsText" dxfId="670" priority="5687" operator="containsText" text="Pesquisa de Preços">
      <formula>NOT(ISERROR(SEARCH("Pesquisa de Preços",E6479)))</formula>
    </cfRule>
  </conditionalFormatting>
  <conditionalFormatting sqref="E6494:E6495">
    <cfRule type="containsText" dxfId="669" priority="4806" operator="containsText" text="Pesquisa de Preços">
      <formula>NOT(ISERROR(SEARCH("Pesquisa de Preços",E6494)))</formula>
    </cfRule>
  </conditionalFormatting>
  <conditionalFormatting sqref="E6497:E6499">
    <cfRule type="containsText" dxfId="668" priority="4807" operator="containsText" text="Pesquisa de Preços">
      <formula>NOT(ISERROR(SEARCH("Pesquisa de Preços",E6497)))</formula>
    </cfRule>
  </conditionalFormatting>
  <conditionalFormatting sqref="E6501:E6503">
    <cfRule type="containsText" dxfId="667" priority="5655" operator="containsText" text="Pesquisa de Preços">
      <formula>NOT(ISERROR(SEARCH("Pesquisa de Preços",E6501)))</formula>
    </cfRule>
  </conditionalFormatting>
  <conditionalFormatting sqref="E6505:E6507">
    <cfRule type="containsText" dxfId="666" priority="5645" operator="containsText" text="Pesquisa de Preços">
      <formula>NOT(ISERROR(SEARCH("Pesquisa de Preços",E6505)))</formula>
    </cfRule>
  </conditionalFormatting>
  <conditionalFormatting sqref="E6509:E6511">
    <cfRule type="containsText" dxfId="665" priority="5615" operator="containsText" text="Pesquisa de Preços">
      <formula>NOT(ISERROR(SEARCH("Pesquisa de Preços",E6509)))</formula>
    </cfRule>
  </conditionalFormatting>
  <conditionalFormatting sqref="E6513:E6515">
    <cfRule type="containsText" dxfId="664" priority="5605" operator="containsText" text="Pesquisa de Preços">
      <formula>NOT(ISERROR(SEARCH("Pesquisa de Preços",E6513)))</formula>
    </cfRule>
  </conditionalFormatting>
  <conditionalFormatting sqref="E6517:E6519">
    <cfRule type="containsText" dxfId="663" priority="5595" operator="containsText" text="Pesquisa de Preços">
      <formula>NOT(ISERROR(SEARCH("Pesquisa de Preços",E6517)))</formula>
    </cfRule>
  </conditionalFormatting>
  <conditionalFormatting sqref="E6521:E6523">
    <cfRule type="containsText" dxfId="662" priority="5585" operator="containsText" text="Pesquisa de Preços">
      <formula>NOT(ISERROR(SEARCH("Pesquisa de Preços",E6521)))</formula>
    </cfRule>
  </conditionalFormatting>
  <conditionalFormatting sqref="E6525:E6527">
    <cfRule type="containsText" dxfId="661" priority="5575" operator="containsText" text="Pesquisa de Preços">
      <formula>NOT(ISERROR(SEARCH("Pesquisa de Preços",E6525)))</formula>
    </cfRule>
  </conditionalFormatting>
  <conditionalFormatting sqref="E6529:E6531">
    <cfRule type="containsText" dxfId="660" priority="5555" operator="containsText" text="Pesquisa de Preços">
      <formula>NOT(ISERROR(SEARCH("Pesquisa de Preços",E6529)))</formula>
    </cfRule>
  </conditionalFormatting>
  <conditionalFormatting sqref="E6533:E6535">
    <cfRule type="containsText" dxfId="659" priority="5545" operator="containsText" text="Pesquisa de Preços">
      <formula>NOT(ISERROR(SEARCH("Pesquisa de Preços",E6533)))</formula>
    </cfRule>
  </conditionalFormatting>
  <conditionalFormatting sqref="E6537:E6539">
    <cfRule type="containsText" dxfId="658" priority="4800" operator="containsText" text="Pesquisa de Preços">
      <formula>NOT(ISERROR(SEARCH("Pesquisa de Preços",E6537)))</formula>
    </cfRule>
  </conditionalFormatting>
  <conditionalFormatting sqref="E6541:E6543">
    <cfRule type="containsText" dxfId="657" priority="4801" operator="containsText" text="Pesquisa de Preços">
      <formula>NOT(ISERROR(SEARCH("Pesquisa de Preços",E6541)))</formula>
    </cfRule>
  </conditionalFormatting>
  <conditionalFormatting sqref="E6545:E6547">
    <cfRule type="containsText" dxfId="656" priority="5525" operator="containsText" text="Pesquisa de Preços">
      <formula>NOT(ISERROR(SEARCH("Pesquisa de Preços",E6545)))</formula>
    </cfRule>
  </conditionalFormatting>
  <conditionalFormatting sqref="E6549:E6551">
    <cfRule type="containsText" dxfId="655" priority="5515" operator="containsText" text="Pesquisa de Preços">
      <formula>NOT(ISERROR(SEARCH("Pesquisa de Preços",E6549)))</formula>
    </cfRule>
  </conditionalFormatting>
  <conditionalFormatting sqref="E6553:E6555">
    <cfRule type="containsText" dxfId="654" priority="5495" operator="containsText" text="Pesquisa de Preços">
      <formula>NOT(ISERROR(SEARCH("Pesquisa de Preços",E6553)))</formula>
    </cfRule>
  </conditionalFormatting>
  <conditionalFormatting sqref="E6557:E6559">
    <cfRule type="containsText" dxfId="653" priority="4638" operator="containsText" text="Pesquisa de Preços">
      <formula>NOT(ISERROR(SEARCH("Pesquisa de Preços",E6557)))</formula>
    </cfRule>
  </conditionalFormatting>
  <conditionalFormatting sqref="E6561:E6563">
    <cfRule type="containsText" dxfId="652" priority="4639" operator="containsText" text="Pesquisa de Preços">
      <formula>NOT(ISERROR(SEARCH("Pesquisa de Preços",E6561)))</formula>
    </cfRule>
  </conditionalFormatting>
  <conditionalFormatting sqref="E6565:E6567">
    <cfRule type="containsText" dxfId="651" priority="5375" operator="containsText" text="Pesquisa de Preços">
      <formula>NOT(ISERROR(SEARCH("Pesquisa de Preços",E6565)))</formula>
    </cfRule>
  </conditionalFormatting>
  <conditionalFormatting sqref="E6569:E6571">
    <cfRule type="containsText" dxfId="650" priority="5365" operator="containsText" text="Pesquisa de Preços">
      <formula>NOT(ISERROR(SEARCH("Pesquisa de Preços",E6569)))</formula>
    </cfRule>
  </conditionalFormatting>
  <conditionalFormatting sqref="E6573:E6575">
    <cfRule type="containsText" dxfId="649" priority="5355" operator="containsText" text="Pesquisa de Preços">
      <formula>NOT(ISERROR(SEARCH("Pesquisa de Preços",E6573)))</formula>
    </cfRule>
  </conditionalFormatting>
  <conditionalFormatting sqref="E6577:E6579">
    <cfRule type="containsText" dxfId="648" priority="5345" operator="containsText" text="Pesquisa de Preços">
      <formula>NOT(ISERROR(SEARCH("Pesquisa de Preços",E6577)))</formula>
    </cfRule>
  </conditionalFormatting>
  <conditionalFormatting sqref="E6581:E6583">
    <cfRule type="containsText" dxfId="647" priority="5335" operator="containsText" text="Pesquisa de Preços">
      <formula>NOT(ISERROR(SEARCH("Pesquisa de Preços",E6581)))</formula>
    </cfRule>
  </conditionalFormatting>
  <conditionalFormatting sqref="E6585:E6587">
    <cfRule type="containsText" dxfId="646" priority="4792" operator="containsText" text="Pesquisa de Preços">
      <formula>NOT(ISERROR(SEARCH("Pesquisa de Preços",E6585)))</formula>
    </cfRule>
  </conditionalFormatting>
  <conditionalFormatting sqref="E6589:E6591">
    <cfRule type="containsText" dxfId="645" priority="4793" operator="containsText" text="Pesquisa de Preços">
      <formula>NOT(ISERROR(SEARCH("Pesquisa de Preços",E6589)))</formula>
    </cfRule>
  </conditionalFormatting>
  <conditionalFormatting sqref="E6593:E6595">
    <cfRule type="containsText" dxfId="644" priority="5315" operator="containsText" text="Pesquisa de Preços">
      <formula>NOT(ISERROR(SEARCH("Pesquisa de Preços",E6593)))</formula>
    </cfRule>
  </conditionalFormatting>
  <conditionalFormatting sqref="E6597:E6599">
    <cfRule type="containsText" dxfId="643" priority="5305" operator="containsText" text="Pesquisa de Preços">
      <formula>NOT(ISERROR(SEARCH("Pesquisa de Preços",E6597)))</formula>
    </cfRule>
  </conditionalFormatting>
  <conditionalFormatting sqref="E6601:E6603">
    <cfRule type="containsText" dxfId="642" priority="5295" operator="containsText" text="Pesquisa de Preços">
      <formula>NOT(ISERROR(SEARCH("Pesquisa de Preços",E6601)))</formula>
    </cfRule>
  </conditionalFormatting>
  <conditionalFormatting sqref="E6605:E6607">
    <cfRule type="containsText" dxfId="641" priority="5285" operator="containsText" text="Pesquisa de Preços">
      <formula>NOT(ISERROR(SEARCH("Pesquisa de Preços",E6605)))</formula>
    </cfRule>
  </conditionalFormatting>
  <conditionalFormatting sqref="E6609:E6611">
    <cfRule type="containsText" dxfId="640" priority="5275" operator="containsText" text="Pesquisa de Preços">
      <formula>NOT(ISERROR(SEARCH("Pesquisa de Preços",E6609)))</formula>
    </cfRule>
  </conditionalFormatting>
  <conditionalFormatting sqref="E6613:E6615">
    <cfRule type="containsText" dxfId="639" priority="5265" operator="containsText" text="Pesquisa de Preços">
      <formula>NOT(ISERROR(SEARCH("Pesquisa de Preços",E6613)))</formula>
    </cfRule>
  </conditionalFormatting>
  <conditionalFormatting sqref="E6617:E6619">
    <cfRule type="containsText" dxfId="638" priority="5255" operator="containsText" text="Pesquisa de Preços">
      <formula>NOT(ISERROR(SEARCH("Pesquisa de Preços",E6617)))</formula>
    </cfRule>
  </conditionalFormatting>
  <conditionalFormatting sqref="E6621:E6623">
    <cfRule type="containsText" dxfId="637" priority="5245" operator="containsText" text="Pesquisa de Preços">
      <formula>NOT(ISERROR(SEARCH("Pesquisa de Preços",E6621)))</formula>
    </cfRule>
  </conditionalFormatting>
  <conditionalFormatting sqref="E6625:E6627">
    <cfRule type="containsText" dxfId="636" priority="4750" operator="containsText" text="Pesquisa de Preços">
      <formula>NOT(ISERROR(SEARCH("Pesquisa de Preços",E6625)))</formula>
    </cfRule>
  </conditionalFormatting>
  <conditionalFormatting sqref="E6629:E6631">
    <cfRule type="containsText" dxfId="635" priority="4751" operator="containsText" text="Pesquisa de Preços">
      <formula>NOT(ISERROR(SEARCH("Pesquisa de Preços",E6629)))</formula>
    </cfRule>
  </conditionalFormatting>
  <conditionalFormatting sqref="E6633:E6635">
    <cfRule type="containsText" dxfId="634" priority="4761" operator="containsText" text="Pesquisa de Preços">
      <formula>NOT(ISERROR(SEARCH("Pesquisa de Preços",E6633)))</formula>
    </cfRule>
  </conditionalFormatting>
  <conditionalFormatting sqref="E6637:E6639">
    <cfRule type="containsText" dxfId="633" priority="4817" operator="containsText" text="Pesquisa de Preços">
      <formula>NOT(ISERROR(SEARCH("Pesquisa de Preços",E6637)))</formula>
    </cfRule>
  </conditionalFormatting>
  <conditionalFormatting sqref="E6641:E6643">
    <cfRule type="containsText" dxfId="632" priority="5205" operator="containsText" text="Pesquisa de Preços">
      <formula>NOT(ISERROR(SEARCH("Pesquisa de Preços",E6641)))</formula>
    </cfRule>
  </conditionalFormatting>
  <conditionalFormatting sqref="E6645:E6647">
    <cfRule type="containsText" dxfId="631" priority="5195" operator="containsText" text="Pesquisa de Preços">
      <formula>NOT(ISERROR(SEARCH("Pesquisa de Preços",E6645)))</formula>
    </cfRule>
  </conditionalFormatting>
  <conditionalFormatting sqref="E6649:E6651">
    <cfRule type="containsText" dxfId="630" priority="4782" operator="containsText" text="Pesquisa de Preços">
      <formula>NOT(ISERROR(SEARCH("Pesquisa de Preços",E6649)))</formula>
    </cfRule>
  </conditionalFormatting>
  <conditionalFormatting sqref="E6653:E6655">
    <cfRule type="containsText" dxfId="629" priority="4776" operator="containsText" text="Pesquisa de Preços">
      <formula>NOT(ISERROR(SEARCH("Pesquisa de Preços",E6653)))</formula>
    </cfRule>
  </conditionalFormatting>
  <conditionalFormatting sqref="E6657:E6659">
    <cfRule type="containsText" dxfId="628" priority="4770" operator="containsText" text="Pesquisa de Preços">
      <formula>NOT(ISERROR(SEARCH("Pesquisa de Preços",E6657)))</formula>
    </cfRule>
  </conditionalFormatting>
  <conditionalFormatting sqref="E6661:E6663">
    <cfRule type="containsText" dxfId="627" priority="4771" operator="containsText" text="Pesquisa de Preços">
      <formula>NOT(ISERROR(SEARCH("Pesquisa de Preços",E6661)))</formula>
    </cfRule>
  </conditionalFormatting>
  <conditionalFormatting sqref="E6665:E6667">
    <cfRule type="containsText" dxfId="626" priority="5145" operator="containsText" text="Pesquisa de Preços">
      <formula>NOT(ISERROR(SEARCH("Pesquisa de Preços",E6665)))</formula>
    </cfRule>
  </conditionalFormatting>
  <conditionalFormatting sqref="E6669:E6671">
    <cfRule type="containsText" dxfId="625" priority="5135" operator="containsText" text="Pesquisa de Preços">
      <formula>NOT(ISERROR(SEARCH("Pesquisa de Preços",E6669)))</formula>
    </cfRule>
  </conditionalFormatting>
  <conditionalFormatting sqref="E6673:E6675">
    <cfRule type="containsText" dxfId="624" priority="5125" operator="containsText" text="Pesquisa de Preços">
      <formula>NOT(ISERROR(SEARCH("Pesquisa de Preços",E6673)))</formula>
    </cfRule>
  </conditionalFormatting>
  <conditionalFormatting sqref="E6677:E6679">
    <cfRule type="containsText" dxfId="623" priority="5115" operator="containsText" text="Pesquisa de Preços">
      <formula>NOT(ISERROR(SEARCH("Pesquisa de Preços",E6677)))</formula>
    </cfRule>
  </conditionalFormatting>
  <conditionalFormatting sqref="E6681:E6683 E6685:E6687 E6689:E6691 E6693:E6695 E6697:E6699 E6701:E6703 E6705:E6707 E6709:E6711 E6713:E6715 E6717:E6719 E6729:E6731 E6733:E6735 E6737:E6739 E6741:E6743 E6745:E6747 E6749:E6751 E6753:E6755 E6757:E6759 E6761:E6763 E6765:E6767 E6769:E6771 E6773:E6775 E6777:E6779 E6781:E6783 E6785:E6787 E6789:E6791 E6793:E6795 E6797:E6799 E6801:E6803 E6805:E6807 E6809:E6811 E6813:E6815 E6817:E6819 E6821:E6823 E6825:E6827 E6829:E6831 E6833:E6835 E6837:E6839 E6841:E6843 E6861:E6863">
    <cfRule type="containsText" dxfId="622" priority="4742" operator="containsText" text="Pesquisa de Preços">
      <formula>NOT(ISERROR(SEARCH("Pesquisa de Preços",E6681)))</formula>
    </cfRule>
  </conditionalFormatting>
  <conditionalFormatting sqref="E6721:E6723">
    <cfRule type="containsText" dxfId="621" priority="4648" operator="containsText" text="Pesquisa de Preços">
      <formula>NOT(ISERROR(SEARCH("Pesquisa de Preços",E6721)))</formula>
    </cfRule>
  </conditionalFormatting>
  <conditionalFormatting sqref="E6725:E6727">
    <cfRule type="containsText" dxfId="620" priority="4649" operator="containsText" text="Pesquisa de Preços">
      <formula>NOT(ISERROR(SEARCH("Pesquisa de Preços",E6725)))</formula>
    </cfRule>
  </conditionalFormatting>
  <conditionalFormatting sqref="E6845:E6847">
    <cfRule type="containsText" dxfId="619" priority="4656" operator="containsText" text="Pesquisa de Preços">
      <formula>NOT(ISERROR(SEARCH("Pesquisa de Preços",E6845)))</formula>
    </cfRule>
  </conditionalFormatting>
  <conditionalFormatting sqref="E6849:E6851 E6853:E6855">
    <cfRule type="containsText" dxfId="618" priority="4602" operator="containsText" text="Pesquisa de Preços">
      <formula>NOT(ISERROR(SEARCH("Pesquisa de Preços",E6849)))</formula>
    </cfRule>
  </conditionalFormatting>
  <conditionalFormatting sqref="E6857:E6859">
    <cfRule type="containsText" dxfId="617" priority="4603" operator="containsText" text="Pesquisa de Preços">
      <formula>NOT(ISERROR(SEARCH("Pesquisa de Preços",E6857)))</formula>
    </cfRule>
  </conditionalFormatting>
  <conditionalFormatting sqref="E6865:E6867">
    <cfRule type="containsText" dxfId="616" priority="4743" operator="containsText" text="Pesquisa de Preços">
      <formula>NOT(ISERROR(SEARCH("Pesquisa de Preços",E6865)))</formula>
    </cfRule>
  </conditionalFormatting>
  <conditionalFormatting sqref="E6869:E6871">
    <cfRule type="containsText" dxfId="615" priority="5035" operator="containsText" text="Pesquisa de Preços">
      <formula>NOT(ISERROR(SEARCH("Pesquisa de Preços",E6869)))</formula>
    </cfRule>
  </conditionalFormatting>
  <conditionalFormatting sqref="E6873:E6875">
    <cfRule type="containsText" dxfId="614" priority="5025" operator="containsText" text="Pesquisa de Preços">
      <formula>NOT(ISERROR(SEARCH("Pesquisa de Preços",E6873)))</formula>
    </cfRule>
  </conditionalFormatting>
  <conditionalFormatting sqref="E6877:E6879">
    <cfRule type="containsText" dxfId="613" priority="5015" operator="containsText" text="Pesquisa de Preços">
      <formula>NOT(ISERROR(SEARCH("Pesquisa de Preços",E6877)))</formula>
    </cfRule>
  </conditionalFormatting>
  <conditionalFormatting sqref="E6881:E6883">
    <cfRule type="containsText" dxfId="612" priority="5005" operator="containsText" text="Pesquisa de Preços">
      <formula>NOT(ISERROR(SEARCH("Pesquisa de Preços",E6881)))</formula>
    </cfRule>
  </conditionalFormatting>
  <conditionalFormatting sqref="E6885:E6887">
    <cfRule type="containsText" dxfId="611" priority="4995" operator="containsText" text="Pesquisa de Preços">
      <formula>NOT(ISERROR(SEARCH("Pesquisa de Preços",E6885)))</formula>
    </cfRule>
  </conditionalFormatting>
  <conditionalFormatting sqref="E6889:E6891">
    <cfRule type="containsText" dxfId="610" priority="4630" operator="containsText" text="Pesquisa de Preços">
      <formula>NOT(ISERROR(SEARCH("Pesquisa de Preços",E6889)))</formula>
    </cfRule>
  </conditionalFormatting>
  <conditionalFormatting sqref="E6893:E6895">
    <cfRule type="containsText" dxfId="609" priority="4624" operator="containsText" text="Pesquisa de Preços">
      <formula>NOT(ISERROR(SEARCH("Pesquisa de Preços",E6893)))</formula>
    </cfRule>
  </conditionalFormatting>
  <conditionalFormatting sqref="E6897:E6899">
    <cfRule type="containsText" dxfId="608" priority="4975" operator="containsText" text="Pesquisa de Preços">
      <formula>NOT(ISERROR(SEARCH("Pesquisa de Preços",E6897)))</formula>
    </cfRule>
  </conditionalFormatting>
  <conditionalFormatting sqref="E6901:E6903">
    <cfRule type="containsText" dxfId="607" priority="4728" operator="containsText" text="Pesquisa de Preços">
      <formula>NOT(ISERROR(SEARCH("Pesquisa de Preços",E6901)))</formula>
    </cfRule>
  </conditionalFormatting>
  <conditionalFormatting sqref="E6905:E6907">
    <cfRule type="containsText" dxfId="606" priority="4720" operator="containsText" text="Pesquisa de Preços">
      <formula>NOT(ISERROR(SEARCH("Pesquisa de Preços",E6905)))</formula>
    </cfRule>
  </conditionalFormatting>
  <conditionalFormatting sqref="E6909:E6911">
    <cfRule type="containsText" dxfId="605" priority="4530" operator="containsText" text="Pesquisa de Preços">
      <formula>NOT(ISERROR(SEARCH("Pesquisa de Preços",E6909)))</formula>
    </cfRule>
  </conditionalFormatting>
  <conditionalFormatting sqref="E6913:E6915">
    <cfRule type="containsText" dxfId="604" priority="4531" operator="containsText" text="Pesquisa de Preços">
      <formula>NOT(ISERROR(SEARCH("Pesquisa de Preços",E6913)))</formula>
    </cfRule>
  </conditionalFormatting>
  <conditionalFormatting sqref="E6917:E6919">
    <cfRule type="containsText" dxfId="603" priority="4704" operator="containsText" text="Pesquisa de Preços">
      <formula>NOT(ISERROR(SEARCH("Pesquisa de Preços",E6917)))</formula>
    </cfRule>
  </conditionalFormatting>
  <conditionalFormatting sqref="E6921:E6923">
    <cfRule type="containsText" dxfId="602" priority="4705" operator="containsText" text="Pesquisa de Preços">
      <formula>NOT(ISERROR(SEARCH("Pesquisa de Preços",E6921)))</formula>
    </cfRule>
  </conditionalFormatting>
  <conditionalFormatting sqref="E6925:E6927">
    <cfRule type="containsText" dxfId="601" priority="4713" operator="containsText" text="Pesquisa de Preços">
      <formula>NOT(ISERROR(SEARCH("Pesquisa de Preços",E6925)))</formula>
    </cfRule>
  </conditionalFormatting>
  <conditionalFormatting sqref="E6929:E6931">
    <cfRule type="containsText" dxfId="600" priority="4945" operator="containsText" text="Pesquisa de Preços">
      <formula>NOT(ISERROR(SEARCH("Pesquisa de Preços",E6929)))</formula>
    </cfRule>
  </conditionalFormatting>
  <conditionalFormatting sqref="E6933:E6935">
    <cfRule type="containsText" dxfId="599" priority="4935" operator="containsText" text="Pesquisa de Preços">
      <formula>NOT(ISERROR(SEARCH("Pesquisa de Preços",E6933)))</formula>
    </cfRule>
  </conditionalFormatting>
  <conditionalFormatting sqref="E6937:E6939">
    <cfRule type="containsText" dxfId="598" priority="4925" operator="containsText" text="Pesquisa de Preços">
      <formula>NOT(ISERROR(SEARCH("Pesquisa de Preços",E6937)))</formula>
    </cfRule>
  </conditionalFormatting>
  <conditionalFormatting sqref="E6941:E6943">
    <cfRule type="containsText" dxfId="597" priority="4915" operator="containsText" text="Pesquisa de Preços">
      <formula>NOT(ISERROR(SEARCH("Pesquisa de Preços",E6941)))</formula>
    </cfRule>
  </conditionalFormatting>
  <conditionalFormatting sqref="E6945:E6947">
    <cfRule type="containsText" dxfId="596" priority="4905" operator="containsText" text="Pesquisa de Preços">
      <formula>NOT(ISERROR(SEARCH("Pesquisa de Preços",E6945)))</formula>
    </cfRule>
  </conditionalFormatting>
  <conditionalFormatting sqref="E6949:E6951">
    <cfRule type="containsText" dxfId="595" priority="4895" operator="containsText" text="Pesquisa de Preços">
      <formula>NOT(ISERROR(SEARCH("Pesquisa de Preços",E6949)))</formula>
    </cfRule>
  </conditionalFormatting>
  <conditionalFormatting sqref="E6953:E6955">
    <cfRule type="containsText" dxfId="594" priority="4885" operator="containsText" text="Pesquisa de Preços">
      <formula>NOT(ISERROR(SEARCH("Pesquisa de Preços",E6953)))</formula>
    </cfRule>
  </conditionalFormatting>
  <conditionalFormatting sqref="E6957:E6959 E6961:E6963 E6973:E6975 E6977:E6979 E6981:E6983 E6985:E6987 E6989:E6991 E6993:E6995 E6997:E6999 E7001:E7003 E7005:E7007 E7017:E7019 E7021:E7023 E7025:E7027 E7029:E7031 E7033:E7035">
    <cfRule type="containsText" dxfId="593" priority="4696" operator="containsText" text="Pesquisa de Preços">
      <formula>NOT(ISERROR(SEARCH("Pesquisa de Preços",E6957)))</formula>
    </cfRule>
  </conditionalFormatting>
  <conditionalFormatting sqref="E6965:E6967">
    <cfRule type="containsText" dxfId="592" priority="4357" operator="containsText" text="Pesquisa de Preços">
      <formula>NOT(ISERROR(SEARCH("Pesquisa de Preços",E6965)))</formula>
    </cfRule>
  </conditionalFormatting>
  <conditionalFormatting sqref="E6969:E6971">
    <cfRule type="containsText" dxfId="591" priority="4358" operator="containsText" text="Pesquisa de Preços">
      <formula>NOT(ISERROR(SEARCH("Pesquisa de Preços",E6969)))</formula>
    </cfRule>
  </conditionalFormatting>
  <conditionalFormatting sqref="E7009:E7011">
    <cfRule type="containsText" dxfId="590" priority="4618" operator="containsText" text="Pesquisa de Preços">
      <formula>NOT(ISERROR(SEARCH("Pesquisa de Preços",E7009)))</formula>
    </cfRule>
  </conditionalFormatting>
  <conditionalFormatting sqref="E7013:E7015">
    <cfRule type="containsText" dxfId="589" priority="4619" operator="containsText" text="Pesquisa de Preços">
      <formula>NOT(ISERROR(SEARCH("Pesquisa de Preços",E7013)))</formula>
    </cfRule>
  </conditionalFormatting>
  <conditionalFormatting sqref="E7037:E7039">
    <cfRule type="containsText" dxfId="588" priority="4680" operator="containsText" text="Pesquisa de Preços">
      <formula>NOT(ISERROR(SEARCH("Pesquisa de Preços",E7037)))</formula>
    </cfRule>
  </conditionalFormatting>
  <conditionalFormatting sqref="E7041:E7043">
    <cfRule type="containsText" dxfId="587" priority="4672" operator="containsText" text="Pesquisa de Preços">
      <formula>NOT(ISERROR(SEARCH("Pesquisa de Preços",E7041)))</formula>
    </cfRule>
  </conditionalFormatting>
  <conditionalFormatting sqref="E7045:E7047">
    <cfRule type="containsText" dxfId="586" priority="4664" operator="containsText" text="Pesquisa de Preços">
      <formula>NOT(ISERROR(SEARCH("Pesquisa de Preços",E7045)))</formula>
    </cfRule>
  </conditionalFormatting>
  <conditionalFormatting sqref="E7049:E7051">
    <cfRule type="containsText" dxfId="585" priority="4665" operator="containsText" text="Pesquisa de Preços">
      <formula>NOT(ISERROR(SEARCH("Pesquisa de Preços",E7049)))</formula>
    </cfRule>
  </conditionalFormatting>
  <conditionalFormatting sqref="E7053:E7055 E7057:E7059 E7061:E7063 E7065:E7067 E7069:E7071 E7073:E7075 E7077:E7079 E7081:E7083 E7085:E7087 E7089:E7091 E7093:E7095 E7097:E7099 E7101:E7103 E7105:E7107 E7109:E7111 E7113:E7115 E7117:E7119 E7121:E7123 E7125:E7127 E7129:E7131 E7133:E7135 E7137:E7139 E7141:E7143">
    <cfRule type="containsText" dxfId="584" priority="4688" operator="containsText" text="Pesquisa de Preços">
      <formula>NOT(ISERROR(SEARCH("Pesquisa de Preços",E7053)))</formula>
    </cfRule>
  </conditionalFormatting>
  <conditionalFormatting sqref="E7145">
    <cfRule type="containsText" dxfId="583" priority="4689" operator="containsText" text="Pesquisa de Preços">
      <formula>NOT(ISERROR(SEARCH("Pesquisa de Preços",E7145)))</formula>
    </cfRule>
  </conditionalFormatting>
  <conditionalFormatting sqref="E7206:E7207">
    <cfRule type="containsText" dxfId="582" priority="4586" operator="containsText" text="Pesquisa de Preços">
      <formula>NOT(ISERROR(SEARCH("Pesquisa de Preços",E7206)))</formula>
    </cfRule>
  </conditionalFormatting>
  <conditionalFormatting sqref="E7209:E7211">
    <cfRule type="containsText" dxfId="581" priority="4578" operator="containsText" text="Pesquisa de Preços">
      <formula>NOT(ISERROR(SEARCH("Pesquisa de Preços",E7209)))</formula>
    </cfRule>
  </conditionalFormatting>
  <conditionalFormatting sqref="E7213:E7215">
    <cfRule type="containsText" dxfId="580" priority="4579" operator="containsText" text="Pesquisa de Preços">
      <formula>NOT(ISERROR(SEARCH("Pesquisa de Preços",E7213)))</formula>
    </cfRule>
  </conditionalFormatting>
  <conditionalFormatting sqref="E7217:E7219">
    <cfRule type="containsText" dxfId="579" priority="4594" operator="containsText" text="Pesquisa de Preços">
      <formula>NOT(ISERROR(SEARCH("Pesquisa de Preços",E7217)))</formula>
    </cfRule>
  </conditionalFormatting>
  <conditionalFormatting sqref="E7221:E7227">
    <cfRule type="containsText" dxfId="578" priority="4318" operator="containsText" text="Pesquisa de Preços">
      <formula>NOT(ISERROR(SEARCH("Pesquisa de Preços",E7221)))</formula>
    </cfRule>
  </conditionalFormatting>
  <conditionalFormatting sqref="E7237:E7239">
    <cfRule type="containsText" dxfId="577" priority="4306" operator="containsText" text="Pesquisa de Preços">
      <formula>NOT(ISERROR(SEARCH("Pesquisa de Preços",E7237)))</formula>
    </cfRule>
  </conditionalFormatting>
  <conditionalFormatting sqref="E7245:E7250">
    <cfRule type="containsText" dxfId="576" priority="4058" operator="containsText" text="Pesquisa de Preços">
      <formula>NOT(ISERROR(SEARCH("Pesquisa de Preços",E7245)))</formula>
    </cfRule>
  </conditionalFormatting>
  <conditionalFormatting sqref="E7253:E7254">
    <cfRule type="containsText" dxfId="575" priority="4057" operator="containsText" text="Pesquisa de Preços">
      <formula>NOT(ISERROR(SEARCH("Pesquisa de Preços",E7253)))</formula>
    </cfRule>
  </conditionalFormatting>
  <conditionalFormatting sqref="E7256:E7257">
    <cfRule type="containsText" dxfId="574" priority="4117" operator="containsText" text="Pesquisa de Preços">
      <formula>NOT(ISERROR(SEARCH("Pesquisa de Preços",E7256)))</formula>
    </cfRule>
  </conditionalFormatting>
  <conditionalFormatting sqref="E7259:E7261">
    <cfRule type="containsText" dxfId="573" priority="4111" operator="containsText" text="Pesquisa de Preços">
      <formula>NOT(ISERROR(SEARCH("Pesquisa de Preços",E7259)))</formula>
    </cfRule>
  </conditionalFormatting>
  <conditionalFormatting sqref="E7263">
    <cfRule type="containsText" dxfId="572" priority="4112" operator="containsText" text="Pesquisa de Preços">
      <formula>NOT(ISERROR(SEARCH("Pesquisa de Preços",E7263)))</formula>
    </cfRule>
  </conditionalFormatting>
  <conditionalFormatting sqref="E7268:E7269">
    <cfRule type="containsText" dxfId="571" priority="4289" operator="containsText" text="Pesquisa de Preços">
      <formula>NOT(ISERROR(SEARCH("Pesquisa de Preços",E7268)))</formula>
    </cfRule>
  </conditionalFormatting>
  <conditionalFormatting sqref="E7271:E7273">
    <cfRule type="containsText" dxfId="570" priority="4281" operator="containsText" text="Pesquisa de Preços">
      <formula>NOT(ISERROR(SEARCH("Pesquisa de Preços",E7271)))</formula>
    </cfRule>
  </conditionalFormatting>
  <conditionalFormatting sqref="E7275">
    <cfRule type="containsText" dxfId="569" priority="4282" operator="containsText" text="Pesquisa de Preços">
      <formula>NOT(ISERROR(SEARCH("Pesquisa de Preços",E7275)))</formula>
    </cfRule>
  </conditionalFormatting>
  <conditionalFormatting sqref="E7319:E7321">
    <cfRule type="containsText" dxfId="568" priority="4033" operator="containsText" text="Pesquisa de Preços">
      <formula>NOT(ISERROR(SEARCH("Pesquisa de Preços",E7319)))</formula>
    </cfRule>
  </conditionalFormatting>
  <conditionalFormatting sqref="E7326:E7327">
    <cfRule type="containsText" dxfId="567" priority="4048" operator="containsText" text="Pesquisa de Preços">
      <formula>NOT(ISERROR(SEARCH("Pesquisa de Preços",E7326)))</formula>
    </cfRule>
  </conditionalFormatting>
  <conditionalFormatting sqref="E7332:E7335">
    <cfRule type="containsText" dxfId="566" priority="4004" operator="containsText" text="Pesquisa de Preços">
      <formula>NOT(ISERROR(SEARCH("Pesquisa de Preços",E7332)))</formula>
    </cfRule>
  </conditionalFormatting>
  <conditionalFormatting sqref="E7340:E7343">
    <cfRule type="containsText" dxfId="565" priority="3980" operator="containsText" text="Pesquisa de Preços">
      <formula>NOT(ISERROR(SEARCH("Pesquisa de Preços",E7340)))</formula>
    </cfRule>
  </conditionalFormatting>
  <conditionalFormatting sqref="E7347:E7349">
    <cfRule type="containsText" dxfId="564" priority="3966" operator="containsText" text="Pesquisa de Preços">
      <formula>NOT(ISERROR(SEARCH("Pesquisa de Preços",E7347)))</formula>
    </cfRule>
  </conditionalFormatting>
  <conditionalFormatting sqref="E7361:E7362">
    <cfRule type="containsText" dxfId="563" priority="3927" operator="containsText" text="Pesquisa de Preços">
      <formula>NOT(ISERROR(SEARCH("Pesquisa de Preços",E7361)))</formula>
    </cfRule>
  </conditionalFormatting>
  <conditionalFormatting sqref="E7367">
    <cfRule type="containsText" dxfId="562" priority="3928" operator="containsText" text="Pesquisa de Preços">
      <formula>NOT(ISERROR(SEARCH("Pesquisa de Preços",E7367)))</formula>
    </cfRule>
  </conditionalFormatting>
  <conditionalFormatting sqref="E7386:E7387">
    <cfRule type="containsText" dxfId="561" priority="3889" operator="containsText" text="Pesquisa de Preços">
      <formula>NOT(ISERROR(SEARCH("Pesquisa de Preços",E7386)))</formula>
    </cfRule>
  </conditionalFormatting>
  <conditionalFormatting sqref="E7389:E7390">
    <cfRule type="containsText" dxfId="560" priority="3832" operator="containsText" text="Pesquisa de Preços">
      <formula>NOT(ISERROR(SEARCH("Pesquisa de Preços",E7389)))</formula>
    </cfRule>
  </conditionalFormatting>
  <conditionalFormatting sqref="E7395">
    <cfRule type="containsText" dxfId="559" priority="3833" operator="containsText" text="Pesquisa de Preços">
      <formula>NOT(ISERROR(SEARCH("Pesquisa de Preços",E7395)))</formula>
    </cfRule>
  </conditionalFormatting>
  <conditionalFormatting sqref="E7397">
    <cfRule type="containsText" dxfId="558" priority="3746" operator="containsText" text="Pesquisa de Preços">
      <formula>NOT(ISERROR(SEARCH("Pesquisa de Preços",E7397)))</formula>
    </cfRule>
  </conditionalFormatting>
  <conditionalFormatting sqref="E7401">
    <cfRule type="containsText" dxfId="557" priority="3747" operator="containsText" text="Pesquisa de Preços">
      <formula>NOT(ISERROR(SEARCH("Pesquisa de Preços",E7401)))</formula>
    </cfRule>
  </conditionalFormatting>
  <conditionalFormatting sqref="E7403">
    <cfRule type="containsText" dxfId="556" priority="3741" operator="containsText" text="Pesquisa de Preços">
      <formula>NOT(ISERROR(SEARCH("Pesquisa de Preços",E7403)))</formula>
    </cfRule>
  </conditionalFormatting>
  <conditionalFormatting sqref="E7407">
    <cfRule type="containsText" dxfId="555" priority="3742" operator="containsText" text="Pesquisa de Preços">
      <formula>NOT(ISERROR(SEARCH("Pesquisa de Preços",E7407)))</formula>
    </cfRule>
  </conditionalFormatting>
  <conditionalFormatting sqref="E7409">
    <cfRule type="containsText" dxfId="554" priority="3736" operator="containsText" text="Pesquisa de Preços">
      <formula>NOT(ISERROR(SEARCH("Pesquisa de Preços",E7409)))</formula>
    </cfRule>
  </conditionalFormatting>
  <conditionalFormatting sqref="E7413">
    <cfRule type="containsText" dxfId="553" priority="3737" operator="containsText" text="Pesquisa de Preços">
      <formula>NOT(ISERROR(SEARCH("Pesquisa de Preços",E7413)))</formula>
    </cfRule>
  </conditionalFormatting>
  <conditionalFormatting sqref="E7415">
    <cfRule type="containsText" dxfId="552" priority="3729" operator="containsText" text="Pesquisa de Preços">
      <formula>NOT(ISERROR(SEARCH("Pesquisa de Preços",E7415)))</formula>
    </cfRule>
  </conditionalFormatting>
  <conditionalFormatting sqref="E7419">
    <cfRule type="containsText" dxfId="551" priority="3730" operator="containsText" text="Pesquisa de Preços">
      <formula>NOT(ISERROR(SEARCH("Pesquisa de Preços",E7419)))</formula>
    </cfRule>
  </conditionalFormatting>
  <conditionalFormatting sqref="E7435:E7437">
    <cfRule type="containsText" dxfId="550" priority="3753" operator="containsText" text="Pesquisa de Preços">
      <formula>NOT(ISERROR(SEARCH("Pesquisa de Preços",E7435)))</formula>
    </cfRule>
  </conditionalFormatting>
  <conditionalFormatting sqref="E7456:E7458">
    <cfRule type="containsText" dxfId="549" priority="3704" operator="containsText" text="Pesquisa de Preços">
      <formula>NOT(ISERROR(SEARCH("Pesquisa de Preços",E7456)))</formula>
    </cfRule>
  </conditionalFormatting>
  <conditionalFormatting sqref="E7463:E7465">
    <cfRule type="containsText" dxfId="548" priority="3692" operator="containsText" text="Pesquisa de Preços">
      <formula>NOT(ISERROR(SEARCH("Pesquisa de Preços",E7463)))</formula>
    </cfRule>
  </conditionalFormatting>
  <conditionalFormatting sqref="G2946">
    <cfRule type="notContainsText" dxfId="547" priority="9666" operator="notContains" text="Sinapi">
      <formula>ISERROR(SEARCH("Sinapi",G2946))</formula>
    </cfRule>
  </conditionalFormatting>
  <conditionalFormatting sqref="G2951">
    <cfRule type="notContainsText" dxfId="546" priority="9665" operator="notContains" text="Sinapi">
      <formula>ISERROR(SEARCH("Sinapi",G2951))</formula>
    </cfRule>
  </conditionalFormatting>
  <conditionalFormatting sqref="G2956">
    <cfRule type="notContainsText" dxfId="545" priority="9664" operator="notContains" text="Sinapi">
      <formula>ISERROR(SEARCH("Sinapi",G2956))</formula>
    </cfRule>
  </conditionalFormatting>
  <conditionalFormatting sqref="G2961">
    <cfRule type="notContainsText" dxfId="544" priority="9663" operator="notContains" text="Sinapi">
      <formula>ISERROR(SEARCH("Sinapi",G2961))</formula>
    </cfRule>
  </conditionalFormatting>
  <conditionalFormatting sqref="G2966">
    <cfRule type="notContainsText" dxfId="543" priority="9662" operator="notContains" text="Sinapi">
      <formula>ISERROR(SEARCH("Sinapi",G2966))</formula>
    </cfRule>
  </conditionalFormatting>
  <conditionalFormatting sqref="G2971">
    <cfRule type="notContainsText" dxfId="542" priority="9661" operator="notContains" text="Sinapi">
      <formula>ISERROR(SEARCH("Sinapi",G2971))</formula>
    </cfRule>
  </conditionalFormatting>
  <conditionalFormatting sqref="G2976">
    <cfRule type="notContainsText" dxfId="541" priority="9660" operator="notContains" text="Sinapi">
      <formula>ISERROR(SEARCH("Sinapi",G2976))</formula>
    </cfRule>
  </conditionalFormatting>
  <conditionalFormatting sqref="G2981">
    <cfRule type="notContainsText" dxfId="540" priority="9659" operator="notContains" text="Sinapi">
      <formula>ISERROR(SEARCH("Sinapi",G2981))</formula>
    </cfRule>
  </conditionalFormatting>
  <conditionalFormatting sqref="G2996">
    <cfRule type="notContainsText" dxfId="539" priority="9658" operator="notContains" text="Sinapi">
      <formula>ISERROR(SEARCH("Sinapi",G2996))</formula>
    </cfRule>
  </conditionalFormatting>
  <conditionalFormatting sqref="G3001">
    <cfRule type="notContainsText" dxfId="538" priority="9657" operator="notContains" text="Sinapi">
      <formula>ISERROR(SEARCH("Sinapi",G3001))</formula>
    </cfRule>
  </conditionalFormatting>
  <conditionalFormatting sqref="G3006">
    <cfRule type="notContainsText" dxfId="537" priority="9656" operator="notContains" text="Sinapi">
      <formula>ISERROR(SEARCH("Sinapi",G3006))</formula>
    </cfRule>
  </conditionalFormatting>
  <conditionalFormatting sqref="G3011">
    <cfRule type="notContainsText" dxfId="536" priority="9655" operator="notContains" text="Sinapi">
      <formula>ISERROR(SEARCH("Sinapi",G3011))</formula>
    </cfRule>
  </conditionalFormatting>
  <conditionalFormatting sqref="G3016">
    <cfRule type="notContainsText" dxfId="535" priority="9654" operator="notContains" text="Sinapi">
      <formula>ISERROR(SEARCH("Sinapi",G3016))</formula>
    </cfRule>
  </conditionalFormatting>
  <conditionalFormatting sqref="G3021">
    <cfRule type="notContainsText" dxfId="534" priority="9653" operator="notContains" text="Sinapi">
      <formula>ISERROR(SEARCH("Sinapi",G3021))</formula>
    </cfRule>
  </conditionalFormatting>
  <conditionalFormatting sqref="G3026">
    <cfRule type="notContainsText" dxfId="533" priority="9652" operator="notContains" text="Sinapi">
      <formula>ISERROR(SEARCH("Sinapi",G3026))</formula>
    </cfRule>
  </conditionalFormatting>
  <conditionalFormatting sqref="G3031">
    <cfRule type="notContainsText" dxfId="532" priority="9651" operator="notContains" text="Sinapi">
      <formula>ISERROR(SEARCH("Sinapi",G3031))</formula>
    </cfRule>
  </conditionalFormatting>
  <conditionalFormatting sqref="G3036">
    <cfRule type="notContainsText" dxfId="531" priority="9650" operator="notContains" text="Sinapi">
      <formula>ISERROR(SEARCH("Sinapi",G3036))</formula>
    </cfRule>
  </conditionalFormatting>
  <conditionalFormatting sqref="G3049">
    <cfRule type="notContainsText" dxfId="530" priority="9649" operator="notContains" text="Sinapi">
      <formula>ISERROR(SEARCH("Sinapi",G3049))</formula>
    </cfRule>
  </conditionalFormatting>
  <conditionalFormatting sqref="G3062">
    <cfRule type="notContainsText" dxfId="529" priority="9612" operator="notContains" text="Sinapi">
      <formula>ISERROR(SEARCH("Sinapi",G3062))</formula>
    </cfRule>
  </conditionalFormatting>
  <conditionalFormatting sqref="G3074">
    <cfRule type="notContainsText" dxfId="528" priority="9648" operator="notContains" text="Sinapi">
      <formula>ISERROR(SEARCH("Sinapi",G3074))</formula>
    </cfRule>
  </conditionalFormatting>
  <conditionalFormatting sqref="G3087">
    <cfRule type="notContainsText" dxfId="527" priority="9647" operator="notContains" text="Sinapi">
      <formula>ISERROR(SEARCH("Sinapi",G3087))</formula>
    </cfRule>
  </conditionalFormatting>
  <conditionalFormatting sqref="G3092">
    <cfRule type="notContainsText" dxfId="526" priority="9646" operator="notContains" text="Sinapi">
      <formula>ISERROR(SEARCH("Sinapi",G3092))</formula>
    </cfRule>
  </conditionalFormatting>
  <conditionalFormatting sqref="G3097">
    <cfRule type="notContainsText" dxfId="525" priority="9645" operator="notContains" text="Sinapi">
      <formula>ISERROR(SEARCH("Sinapi",G3097))</formula>
    </cfRule>
  </conditionalFormatting>
  <conditionalFormatting sqref="G3102">
    <cfRule type="notContainsText" dxfId="524" priority="9644" operator="notContains" text="Sinapi">
      <formula>ISERROR(SEARCH("Sinapi",G3102))</formula>
    </cfRule>
  </conditionalFormatting>
  <conditionalFormatting sqref="G3107">
    <cfRule type="notContainsText" dxfId="523" priority="9643" operator="notContains" text="Sinapi">
      <formula>ISERROR(SEARCH("Sinapi",G3107))</formula>
    </cfRule>
  </conditionalFormatting>
  <conditionalFormatting sqref="G3112">
    <cfRule type="notContainsText" dxfId="522" priority="9642" operator="notContains" text="Sinapi">
      <formula>ISERROR(SEARCH("Sinapi",G3112))</formula>
    </cfRule>
  </conditionalFormatting>
  <conditionalFormatting sqref="G3117">
    <cfRule type="notContainsText" dxfId="521" priority="9641" operator="notContains" text="Sinapi">
      <formula>ISERROR(SEARCH("Sinapi",G3117))</formula>
    </cfRule>
  </conditionalFormatting>
  <conditionalFormatting sqref="G3122">
    <cfRule type="notContainsText" dxfId="520" priority="9640" operator="notContains" text="Sinapi">
      <formula>ISERROR(SEARCH("Sinapi",G3122))</formula>
    </cfRule>
  </conditionalFormatting>
  <conditionalFormatting sqref="G3127">
    <cfRule type="notContainsText" dxfId="519" priority="9639" operator="notContains" text="Sinapi">
      <formula>ISERROR(SEARCH("Sinapi",G3127))</formula>
    </cfRule>
  </conditionalFormatting>
  <conditionalFormatting sqref="G3167">
    <cfRule type="notContainsText" dxfId="518" priority="9638" operator="notContains" text="Sinapi">
      <formula>ISERROR(SEARCH("Sinapi",G3167))</formula>
    </cfRule>
  </conditionalFormatting>
  <conditionalFormatting sqref="G3350">
    <cfRule type="notContainsText" dxfId="517" priority="9637" operator="notContains" text="Sinapi">
      <formula>ISERROR(SEARCH("Sinapi",G3350))</formula>
    </cfRule>
  </conditionalFormatting>
  <conditionalFormatting sqref="G3369">
    <cfRule type="notContainsText" dxfId="516" priority="9636" operator="notContains" text="Sinapi">
      <formula>ISERROR(SEARCH("Sinapi",G3369))</formula>
    </cfRule>
  </conditionalFormatting>
  <conditionalFormatting sqref="G3380">
    <cfRule type="notContainsText" dxfId="515" priority="9635" operator="notContains" text="Sinapi">
      <formula>ISERROR(SEARCH("Sinapi",G3380))</formula>
    </cfRule>
  </conditionalFormatting>
  <conditionalFormatting sqref="G3384">
    <cfRule type="notContainsText" dxfId="514" priority="9634" operator="notContains" text="Sinapi">
      <formula>ISERROR(SEARCH("Sinapi",G3384))</formula>
    </cfRule>
  </conditionalFormatting>
  <conditionalFormatting sqref="L6:L16">
    <cfRule type="containsText" dxfId="513" priority="1269" operator="containsText" text="Pesquisa de Preços">
      <formula>NOT(ISERROR(SEARCH("Pesquisa de Preços",L6)))</formula>
    </cfRule>
  </conditionalFormatting>
  <conditionalFormatting sqref="L18 L2406 L3383">
    <cfRule type="containsText" dxfId="512" priority="1280" operator="containsText" text="Pesquisa de Preços">
      <formula>NOT(ISERROR(SEARCH("Pesquisa de Preços",L18)))</formula>
    </cfRule>
  </conditionalFormatting>
  <conditionalFormatting sqref="L23:L26">
    <cfRule type="containsText" dxfId="511" priority="592" operator="containsText" text="Pesquisa de Preços">
      <formula>NOT(ISERROR(SEARCH("Pesquisa de Preços",L23)))</formula>
    </cfRule>
  </conditionalFormatting>
  <conditionalFormatting sqref="L28:L31">
    <cfRule type="containsText" dxfId="510" priority="593" operator="containsText" text="Pesquisa de Preços">
      <formula>NOT(ISERROR(SEARCH("Pesquisa de Preços",L28)))</formula>
    </cfRule>
  </conditionalFormatting>
  <conditionalFormatting sqref="L33:L36">
    <cfRule type="containsText" dxfId="509" priority="7" operator="containsText" text="Pesquisa de Preços">
      <formula>NOT(ISERROR(SEARCH("Pesquisa de Preços",L33)))</formula>
    </cfRule>
  </conditionalFormatting>
  <conditionalFormatting sqref="L38:L41">
    <cfRule type="containsText" dxfId="508" priority="1236" operator="containsText" text="Pesquisa de Preços">
      <formula>NOT(ISERROR(SEARCH("Pesquisa de Preços",L38)))</formula>
    </cfRule>
  </conditionalFormatting>
  <conditionalFormatting sqref="L43:L46">
    <cfRule type="containsText" dxfId="507" priority="585" operator="containsText" text="Pesquisa de Preços">
      <formula>NOT(ISERROR(SEARCH("Pesquisa de Preços",L43)))</formula>
    </cfRule>
  </conditionalFormatting>
  <conditionalFormatting sqref="L48:L51">
    <cfRule type="containsText" dxfId="506" priority="1197" operator="containsText" text="Pesquisa de Preços">
      <formula>NOT(ISERROR(SEARCH("Pesquisa de Preços",L48)))</formula>
    </cfRule>
  </conditionalFormatting>
  <conditionalFormatting sqref="L53:L58">
    <cfRule type="containsText" dxfId="505" priority="594" operator="containsText" text="Pesquisa de Preços">
      <formula>NOT(ISERROR(SEARCH("Pesquisa de Preços",L53)))</formula>
    </cfRule>
  </conditionalFormatting>
  <conditionalFormatting sqref="L60:L63">
    <cfRule type="containsText" dxfId="504" priority="586" operator="containsText" text="Pesquisa de Preços">
      <formula>NOT(ISERROR(SEARCH("Pesquisa de Preços",L60)))</formula>
    </cfRule>
  </conditionalFormatting>
  <conditionalFormatting sqref="L65:L68">
    <cfRule type="containsText" dxfId="503" priority="1180" operator="containsText" text="Pesquisa de Preços">
      <formula>NOT(ISERROR(SEARCH("Pesquisa de Preços",L65)))</formula>
    </cfRule>
  </conditionalFormatting>
  <conditionalFormatting sqref="L70:L86">
    <cfRule type="containsText" dxfId="502" priority="510" operator="containsText" text="Pesquisa de Preços">
      <formula>NOT(ISERROR(SEARCH("Pesquisa de Preços",L70)))</formula>
    </cfRule>
  </conditionalFormatting>
  <conditionalFormatting sqref="L88:L89">
    <cfRule type="containsText" dxfId="501" priority="1256" operator="containsText" text="Pesquisa de Preços">
      <formula>NOT(ISERROR(SEARCH("Pesquisa de Preços",L88)))</formula>
    </cfRule>
  </conditionalFormatting>
  <conditionalFormatting sqref="L93:L96">
    <cfRule type="containsText" dxfId="500" priority="545" operator="containsText" text="Pesquisa de Preços">
      <formula>NOT(ISERROR(SEARCH("Pesquisa de Preços",L93)))</formula>
    </cfRule>
  </conditionalFormatting>
  <conditionalFormatting sqref="L98:L101">
    <cfRule type="containsText" dxfId="499" priority="1245" operator="containsText" text="Pesquisa de Preços">
      <formula>NOT(ISERROR(SEARCH("Pesquisa de Preços",L98)))</formula>
    </cfRule>
  </conditionalFormatting>
  <conditionalFormatting sqref="L103:L105">
    <cfRule type="containsText" dxfId="498" priority="609" operator="containsText" text="Pesquisa de Preços">
      <formula>NOT(ISERROR(SEARCH("Pesquisa de Preços",L103)))</formula>
    </cfRule>
  </conditionalFormatting>
  <conditionalFormatting sqref="L107:L110">
    <cfRule type="containsText" dxfId="497" priority="1185" operator="containsText" text="Pesquisa de Preços">
      <formula>NOT(ISERROR(SEARCH("Pesquisa de Preços",L107)))</formula>
    </cfRule>
  </conditionalFormatting>
  <conditionalFormatting sqref="L112:L115">
    <cfRule type="containsText" dxfId="496" priority="531" operator="containsText" text="Pesquisa de Preços">
      <formula>NOT(ISERROR(SEARCH("Pesquisa de Preços",L112)))</formula>
    </cfRule>
  </conditionalFormatting>
  <conditionalFormatting sqref="L117:L120">
    <cfRule type="containsText" dxfId="495" priority="378" operator="containsText" text="Pesquisa de Preços">
      <formula>NOT(ISERROR(SEARCH("Pesquisa de Preços",L117)))</formula>
    </cfRule>
  </conditionalFormatting>
  <conditionalFormatting sqref="L122:L125">
    <cfRule type="containsText" dxfId="494" priority="1188" operator="containsText" text="Pesquisa de Preços">
      <formula>NOT(ISERROR(SEARCH("Pesquisa de Preços",L122)))</formula>
    </cfRule>
  </conditionalFormatting>
  <conditionalFormatting sqref="L127:L130">
    <cfRule type="containsText" dxfId="493" priority="590" operator="containsText" text="Pesquisa de Preços">
      <formula>NOT(ISERROR(SEARCH("Pesquisa de Preços",L127)))</formula>
    </cfRule>
  </conditionalFormatting>
  <conditionalFormatting sqref="L132:L134">
    <cfRule type="containsText" dxfId="492" priority="515" operator="containsText" text="Pesquisa de Preços">
      <formula>NOT(ISERROR(SEARCH("Pesquisa de Preços",L132)))</formula>
    </cfRule>
  </conditionalFormatting>
  <conditionalFormatting sqref="L136:L138">
    <cfRule type="containsText" dxfId="491" priority="1206" operator="containsText" text="Pesquisa de Preços">
      <formula>NOT(ISERROR(SEARCH("Pesquisa de Preços",L136)))</formula>
    </cfRule>
  </conditionalFormatting>
  <conditionalFormatting sqref="L140:L143">
    <cfRule type="containsText" dxfId="490" priority="536" operator="containsText" text="Pesquisa de Preços">
      <formula>NOT(ISERROR(SEARCH("Pesquisa de Preços",L140)))</formula>
    </cfRule>
  </conditionalFormatting>
  <conditionalFormatting sqref="L145:L148">
    <cfRule type="containsText" dxfId="489" priority="1242" operator="containsText" text="Pesquisa de Preços">
      <formula>NOT(ISERROR(SEARCH("Pesquisa de Preços",L145)))</formula>
    </cfRule>
  </conditionalFormatting>
  <conditionalFormatting sqref="L150:L153">
    <cfRule type="containsText" dxfId="488" priority="597" operator="containsText" text="Pesquisa de Preços">
      <formula>NOT(ISERROR(SEARCH("Pesquisa de Preços",L150)))</formula>
    </cfRule>
  </conditionalFormatting>
  <conditionalFormatting sqref="L155:L158">
    <cfRule type="containsText" dxfId="487" priority="1202" operator="containsText" text="Pesquisa de Preços">
      <formula>NOT(ISERROR(SEARCH("Pesquisa de Preços",L155)))</formula>
    </cfRule>
  </conditionalFormatting>
  <conditionalFormatting sqref="L162:L165">
    <cfRule type="containsText" dxfId="486" priority="596" operator="containsText" text="Pesquisa de Preços">
      <formula>NOT(ISERROR(SEARCH("Pesquisa de Preços",L162)))</formula>
    </cfRule>
  </conditionalFormatting>
  <conditionalFormatting sqref="L167:L170">
    <cfRule type="containsText" dxfId="485" priority="1222" operator="containsText" text="Pesquisa de Preços">
      <formula>NOT(ISERROR(SEARCH("Pesquisa de Preços",L167)))</formula>
    </cfRule>
  </conditionalFormatting>
  <conditionalFormatting sqref="L172:L174">
    <cfRule type="containsText" dxfId="484" priority="483" operator="containsText" text="Pesquisa de Preços">
      <formula>NOT(ISERROR(SEARCH("Pesquisa de Preços",L172)))</formula>
    </cfRule>
  </conditionalFormatting>
  <conditionalFormatting sqref="L176:L178">
    <cfRule type="containsText" dxfId="483" priority="1230" operator="containsText" text="Pesquisa de Preços">
      <formula>NOT(ISERROR(SEARCH("Pesquisa de Preços",L176)))</formula>
    </cfRule>
  </conditionalFormatting>
  <conditionalFormatting sqref="L180:L182">
    <cfRule type="containsText" dxfId="482" priority="591" operator="containsText" text="Pesquisa de Preços">
      <formula>NOT(ISERROR(SEARCH("Pesquisa de Preços",L180)))</formula>
    </cfRule>
  </conditionalFormatting>
  <conditionalFormatting sqref="L184:L189">
    <cfRule type="containsText" dxfId="481" priority="1044" operator="containsText" text="Pesquisa de Preços">
      <formula>NOT(ISERROR(SEARCH("Pesquisa de Preços",L184)))</formula>
    </cfRule>
  </conditionalFormatting>
  <conditionalFormatting sqref="L191:L194">
    <cfRule type="containsText" dxfId="480" priority="1194" operator="containsText" text="Pesquisa de Preços">
      <formula>NOT(ISERROR(SEARCH("Pesquisa de Preços",L191)))</formula>
    </cfRule>
  </conditionalFormatting>
  <conditionalFormatting sqref="L196">
    <cfRule type="containsText" dxfId="479" priority="505" operator="containsText" text="Pesquisa de Preços">
      <formula>NOT(ISERROR(SEARCH("Pesquisa de Preços",L196)))</formula>
    </cfRule>
  </conditionalFormatting>
  <conditionalFormatting sqref="L198:L200">
    <cfRule type="containsText" dxfId="478" priority="1211" operator="containsText" text="Pesquisa de Preços">
      <formula>NOT(ISERROR(SEARCH("Pesquisa de Preços",L198)))</formula>
    </cfRule>
  </conditionalFormatting>
  <conditionalFormatting sqref="L202:L209">
    <cfRule type="containsText" dxfId="477" priority="543" operator="containsText" text="Pesquisa de Preços">
      <formula>NOT(ISERROR(SEARCH("Pesquisa de Preços",L202)))</formula>
    </cfRule>
  </conditionalFormatting>
  <conditionalFormatting sqref="L211:L213">
    <cfRule type="containsText" dxfId="476" priority="1216" operator="containsText" text="Pesquisa de Preços">
      <formula>NOT(ISERROR(SEARCH("Pesquisa de Preços",L211)))</formula>
    </cfRule>
  </conditionalFormatting>
  <conditionalFormatting sqref="L215:L218">
    <cfRule type="containsText" dxfId="475" priority="1191" operator="containsText" text="Pesquisa de Preços">
      <formula>NOT(ISERROR(SEARCH("Pesquisa de Preços",L215)))</formula>
    </cfRule>
  </conditionalFormatting>
  <conditionalFormatting sqref="L220:L223">
    <cfRule type="containsText" dxfId="474" priority="1227" operator="containsText" text="Pesquisa de Preços">
      <formula>NOT(ISERROR(SEARCH("Pesquisa de Preços",L220)))</formula>
    </cfRule>
  </conditionalFormatting>
  <conditionalFormatting sqref="L225:L228">
    <cfRule type="containsText" dxfId="473" priority="598" operator="containsText" text="Pesquisa de Preços">
      <formula>NOT(ISERROR(SEARCH("Pesquisa de Preços",L225)))</formula>
    </cfRule>
  </conditionalFormatting>
  <conditionalFormatting sqref="L248:L267">
    <cfRule type="containsText" dxfId="472" priority="391" operator="containsText" text="Pesquisa de Preços">
      <formula>NOT(ISERROR(SEARCH("Pesquisa de Preços",L248)))</formula>
    </cfRule>
  </conditionalFormatting>
  <conditionalFormatting sqref="L269:L293">
    <cfRule type="containsText" dxfId="471" priority="1153" operator="containsText" text="Pesquisa de Preços">
      <formula>NOT(ISERROR(SEARCH("Pesquisa de Preços",L269)))</formula>
    </cfRule>
  </conditionalFormatting>
  <conditionalFormatting sqref="L298:L300">
    <cfRule type="containsText" dxfId="470" priority="583" operator="containsText" text="Pesquisa de Preços">
      <formula>NOT(ISERROR(SEARCH("Pesquisa de Preços",L298)))</formula>
    </cfRule>
  </conditionalFormatting>
  <conditionalFormatting sqref="L306:L308">
    <cfRule type="containsText" dxfId="469" priority="69" operator="containsText" text="Pesquisa de Preços">
      <formula>NOT(ISERROR(SEARCH("Pesquisa de Preços",L306)))</formula>
    </cfRule>
  </conditionalFormatting>
  <conditionalFormatting sqref="L312:L315">
    <cfRule type="containsText" dxfId="468" priority="584" operator="containsText" text="Pesquisa de Preços">
      <formula>NOT(ISERROR(SEARCH("Pesquisa de Preços",L312)))</formula>
    </cfRule>
  </conditionalFormatting>
  <conditionalFormatting sqref="L321:L323">
    <cfRule type="containsText" dxfId="467" priority="511" operator="containsText" text="Pesquisa de Preços">
      <formula>NOT(ISERROR(SEARCH("Pesquisa de Preços",L321)))</formula>
    </cfRule>
  </conditionalFormatting>
  <conditionalFormatting sqref="L327:L340">
    <cfRule type="containsText" dxfId="466" priority="1149" operator="containsText" text="Pesquisa de Preços">
      <formula>NOT(ISERROR(SEARCH("Pesquisa de Preços",L327)))</formula>
    </cfRule>
  </conditionalFormatting>
  <conditionalFormatting sqref="L342:L344">
    <cfRule type="containsText" dxfId="465" priority="1158" operator="containsText" text="Pesquisa de Preços">
      <formula>NOT(ISERROR(SEARCH("Pesquisa de Preços",L342)))</formula>
    </cfRule>
  </conditionalFormatting>
  <conditionalFormatting sqref="L352:L353">
    <cfRule type="containsText" dxfId="464" priority="1156" operator="containsText" text="Pesquisa de Preços">
      <formula>NOT(ISERROR(SEARCH("Pesquisa de Preços",L352)))</formula>
    </cfRule>
  </conditionalFormatting>
  <conditionalFormatting sqref="L356:L359">
    <cfRule type="containsText" dxfId="463" priority="1155" operator="containsText" text="Pesquisa de Preços">
      <formula>NOT(ISERROR(SEARCH("Pesquisa de Preços",L356)))</formula>
    </cfRule>
  </conditionalFormatting>
  <conditionalFormatting sqref="L366:L382">
    <cfRule type="containsText" dxfId="462" priority="565" operator="containsText" text="Pesquisa de Preços">
      <formula>NOT(ISERROR(SEARCH("Pesquisa de Preços",L366)))</formula>
    </cfRule>
  </conditionalFormatting>
  <conditionalFormatting sqref="L402:L414">
    <cfRule type="containsText" dxfId="461" priority="506" operator="containsText" text="Pesquisa de Preços">
      <formula>NOT(ISERROR(SEARCH("Pesquisa de Preços",L402)))</formula>
    </cfRule>
  </conditionalFormatting>
  <conditionalFormatting sqref="L416:L417">
    <cfRule type="containsText" dxfId="460" priority="1139" operator="containsText" text="Pesquisa de Preços">
      <formula>NOT(ISERROR(SEARCH("Pesquisa de Preços",L416)))</formula>
    </cfRule>
  </conditionalFormatting>
  <conditionalFormatting sqref="L422:L428">
    <cfRule type="containsText" dxfId="459" priority="606" operator="containsText" text="Pesquisa de Preços">
      <formula>NOT(ISERROR(SEARCH("Pesquisa de Preços",L422)))</formula>
    </cfRule>
  </conditionalFormatting>
  <conditionalFormatting sqref="L435:L448">
    <cfRule type="containsText" dxfId="458" priority="1123" operator="containsText" text="Pesquisa de Preços">
      <formula>NOT(ISERROR(SEARCH("Pesquisa de Preços",L435)))</formula>
    </cfRule>
  </conditionalFormatting>
  <conditionalFormatting sqref="L452">
    <cfRule type="containsText" dxfId="457" priority="1124" operator="containsText" text="Pesquisa de Preços">
      <formula>NOT(ISERROR(SEARCH("Pesquisa de Preços",L452)))</formula>
    </cfRule>
  </conditionalFormatting>
  <conditionalFormatting sqref="L454:L473">
    <cfRule type="containsText" dxfId="456" priority="581" operator="containsText" text="Pesquisa de Preços">
      <formula>NOT(ISERROR(SEARCH("Pesquisa de Preços",L454)))</formula>
    </cfRule>
  </conditionalFormatting>
  <conditionalFormatting sqref="L483:L519">
    <cfRule type="containsText" dxfId="455" priority="579" operator="containsText" text="Pesquisa de Preços">
      <formula>NOT(ISERROR(SEARCH("Pesquisa de Preços",L483)))</formula>
    </cfRule>
  </conditionalFormatting>
  <conditionalFormatting sqref="L524:L572">
    <cfRule type="containsText" dxfId="454" priority="1089" operator="containsText" text="Pesquisa de Preços">
      <formula>NOT(ISERROR(SEARCH("Pesquisa de Preços",L524)))</formula>
    </cfRule>
  </conditionalFormatting>
  <conditionalFormatting sqref="L580:L596">
    <cfRule type="containsText" dxfId="453" priority="567" operator="containsText" text="Pesquisa de Preços">
      <formula>NOT(ISERROR(SEARCH("Pesquisa de Preços",L580)))</formula>
    </cfRule>
  </conditionalFormatting>
  <conditionalFormatting sqref="L606">
    <cfRule type="containsText" dxfId="452" priority="564" operator="containsText" text="Pesquisa de Preços">
      <formula>NOT(ISERROR(SEARCH("Pesquisa de Preços",L606)))</formula>
    </cfRule>
  </conditionalFormatting>
  <conditionalFormatting sqref="L615:L644">
    <cfRule type="containsText" dxfId="451" priority="392" operator="containsText" text="Pesquisa de Preços">
      <formula>NOT(ISERROR(SEARCH("Pesquisa de Preços",L615)))</formula>
    </cfRule>
  </conditionalFormatting>
  <conditionalFormatting sqref="L669:L670">
    <cfRule type="containsText" dxfId="450" priority="1080" operator="containsText" text="Pesquisa de Preços">
      <formula>NOT(ISERROR(SEARCH("Pesquisa de Preços",L669)))</formula>
    </cfRule>
  </conditionalFormatting>
  <conditionalFormatting sqref="L677:L678">
    <cfRule type="containsText" dxfId="449" priority="1082" operator="containsText" text="Pesquisa de Preços">
      <formula>NOT(ISERROR(SEARCH("Pesquisa de Preços",L677)))</formula>
    </cfRule>
  </conditionalFormatting>
  <conditionalFormatting sqref="L687:L696">
    <cfRule type="containsText" dxfId="448" priority="377" operator="containsText" text="Pesquisa de Preços">
      <formula>NOT(ISERROR(SEARCH("Pesquisa de Preços",L687)))</formula>
    </cfRule>
  </conditionalFormatting>
  <conditionalFormatting sqref="L715:L716">
    <cfRule type="containsText" dxfId="447" priority="1075" operator="containsText" text="Pesquisa de Preços">
      <formula>NOT(ISERROR(SEARCH("Pesquisa de Preços",L715)))</formula>
    </cfRule>
  </conditionalFormatting>
  <conditionalFormatting sqref="L724:L725">
    <cfRule type="containsText" dxfId="446" priority="1071" operator="containsText" text="Pesquisa de Preços">
      <formula>NOT(ISERROR(SEARCH("Pesquisa de Preços",L724)))</formula>
    </cfRule>
  </conditionalFormatting>
  <conditionalFormatting sqref="L731:L732">
    <cfRule type="containsText" dxfId="445" priority="1073" operator="containsText" text="Pesquisa de Preços">
      <formula>NOT(ISERROR(SEARCH("Pesquisa de Preços",L731)))</formula>
    </cfRule>
  </conditionalFormatting>
  <conditionalFormatting sqref="L737:L738">
    <cfRule type="containsText" dxfId="444" priority="561" operator="containsText" text="Pesquisa de Preços">
      <formula>NOT(ISERROR(SEARCH("Pesquisa de Preços",L737)))</formula>
    </cfRule>
  </conditionalFormatting>
  <conditionalFormatting sqref="L745:L747">
    <cfRule type="containsText" dxfId="443" priority="1069" operator="containsText" text="Pesquisa de Preços">
      <formula>NOT(ISERROR(SEARCH("Pesquisa de Preços",L745)))</formula>
    </cfRule>
  </conditionalFormatting>
  <conditionalFormatting sqref="L749:L765">
    <cfRule type="containsText" dxfId="442" priority="1057" operator="containsText" text="Pesquisa de Preços">
      <formula>NOT(ISERROR(SEARCH("Pesquisa de Preços",L749)))</formula>
    </cfRule>
  </conditionalFormatting>
  <conditionalFormatting sqref="L767:L770">
    <cfRule type="containsText" dxfId="441" priority="498" operator="containsText" text="Pesquisa de Preços">
      <formula>NOT(ISERROR(SEARCH("Pesquisa de Preços",L767)))</formula>
    </cfRule>
  </conditionalFormatting>
  <conditionalFormatting sqref="L791:L792">
    <cfRule type="containsText" dxfId="440" priority="1067" operator="containsText" text="Pesquisa de Preços">
      <formula>NOT(ISERROR(SEARCH("Pesquisa de Preços",L791)))</formula>
    </cfRule>
  </conditionalFormatting>
  <conditionalFormatting sqref="L794:L803">
    <cfRule type="containsText" dxfId="439" priority="535" operator="containsText" text="Pesquisa de Preços">
      <formula>NOT(ISERROR(SEARCH("Pesquisa de Preços",L794)))</formula>
    </cfRule>
  </conditionalFormatting>
  <conditionalFormatting sqref="L805:L806">
    <cfRule type="containsText" dxfId="438" priority="1051" operator="containsText" text="Pesquisa de Preços">
      <formula>NOT(ISERROR(SEARCH("Pesquisa de Preços",L805)))</formula>
    </cfRule>
  </conditionalFormatting>
  <conditionalFormatting sqref="L813">
    <cfRule type="containsText" dxfId="437" priority="500" operator="containsText" text="Pesquisa de Preços">
      <formula>NOT(ISERROR(SEARCH("Pesquisa de Preços",L813)))</formula>
    </cfRule>
  </conditionalFormatting>
  <conditionalFormatting sqref="L815:L817">
    <cfRule type="containsText" dxfId="436" priority="1063" operator="containsText" text="Pesquisa de Preços">
      <formula>NOT(ISERROR(SEARCH("Pesquisa de Preços",L815)))</formula>
    </cfRule>
  </conditionalFormatting>
  <conditionalFormatting sqref="L819:L820">
    <cfRule type="containsText" dxfId="435" priority="1049" operator="containsText" text="Pesquisa de Preços">
      <formula>NOT(ISERROR(SEARCH("Pesquisa de Preços",L819)))</formula>
    </cfRule>
  </conditionalFormatting>
  <conditionalFormatting sqref="L823:L825">
    <cfRule type="containsText" dxfId="434" priority="1050" operator="containsText" text="Pesquisa de Preços">
      <formula>NOT(ISERROR(SEARCH("Pesquisa de Preços",L823)))</formula>
    </cfRule>
  </conditionalFormatting>
  <conditionalFormatting sqref="L827:L831">
    <cfRule type="containsText" dxfId="433" priority="547" operator="containsText" text="Pesquisa de Preços">
      <formula>NOT(ISERROR(SEARCH("Pesquisa de Preços",L827)))</formula>
    </cfRule>
  </conditionalFormatting>
  <conditionalFormatting sqref="L833:L853">
    <cfRule type="containsText" dxfId="432" priority="497" operator="containsText" text="Pesquisa de Preços">
      <formula>NOT(ISERROR(SEARCH("Pesquisa de Preços",L833)))</formula>
    </cfRule>
  </conditionalFormatting>
  <conditionalFormatting sqref="L855:L870">
    <cfRule type="containsText" dxfId="431" priority="375" operator="containsText" text="Pesquisa de Preços">
      <formula>NOT(ISERROR(SEARCH("Pesquisa de Preços",L855)))</formula>
    </cfRule>
  </conditionalFormatting>
  <conditionalFormatting sqref="L872:L873">
    <cfRule type="containsText" dxfId="430" priority="496" operator="containsText" text="Pesquisa de Preços">
      <formula>NOT(ISERROR(SEARCH("Pesquisa de Preços",L872)))</formula>
    </cfRule>
  </conditionalFormatting>
  <conditionalFormatting sqref="L876:L895">
    <cfRule type="containsText" dxfId="429" priority="272" operator="containsText" text="Pesquisa de Preços">
      <formula>NOT(ISERROR(SEARCH("Pesquisa de Preços",L876)))</formula>
    </cfRule>
  </conditionalFormatting>
  <conditionalFormatting sqref="L897:L899">
    <cfRule type="containsText" dxfId="428" priority="668" operator="containsText" text="Pesquisa de Preços">
      <formula>NOT(ISERROR(SEARCH("Pesquisa de Preços",L897)))</formula>
    </cfRule>
  </conditionalFormatting>
  <conditionalFormatting sqref="L901:L906">
    <cfRule type="containsText" dxfId="427" priority="650" operator="containsText" text="Pesquisa de Preços">
      <formula>NOT(ISERROR(SEARCH("Pesquisa de Preços",L901)))</formula>
    </cfRule>
  </conditionalFormatting>
  <conditionalFormatting sqref="L914:L921">
    <cfRule type="containsText" dxfId="426" priority="1039" operator="containsText" text="Pesquisa de Preços">
      <formula>NOT(ISERROR(SEARCH("Pesquisa de Preços",L914)))</formula>
    </cfRule>
  </conditionalFormatting>
  <conditionalFormatting sqref="L923:L924">
    <cfRule type="containsText" dxfId="425" priority="1033" operator="containsText" text="Pesquisa de Preços">
      <formula>NOT(ISERROR(SEARCH("Pesquisa de Preços",L923)))</formula>
    </cfRule>
  </conditionalFormatting>
  <conditionalFormatting sqref="L929:L931">
    <cfRule type="containsText" dxfId="424" priority="1034" operator="containsText" text="Pesquisa de Preços">
      <formula>NOT(ISERROR(SEARCH("Pesquisa de Preços",L929)))</formula>
    </cfRule>
  </conditionalFormatting>
  <conditionalFormatting sqref="L939:L946">
    <cfRule type="containsText" dxfId="423" priority="1037" operator="containsText" text="Pesquisa de Preços">
      <formula>NOT(ISERROR(SEARCH("Pesquisa de Preços",L939)))</formula>
    </cfRule>
  </conditionalFormatting>
  <conditionalFormatting sqref="L948:L949">
    <cfRule type="containsText" dxfId="422" priority="1024" operator="containsText" text="Pesquisa de Preços">
      <formula>NOT(ISERROR(SEARCH("Pesquisa de Preços",L948)))</formula>
    </cfRule>
  </conditionalFormatting>
  <conditionalFormatting sqref="L954:L955">
    <cfRule type="containsText" dxfId="421" priority="1026" operator="containsText" text="Pesquisa de Preços">
      <formula>NOT(ISERROR(SEARCH("Pesquisa de Preços",L954)))</formula>
    </cfRule>
  </conditionalFormatting>
  <conditionalFormatting sqref="L959:L961">
    <cfRule type="containsText" dxfId="420" priority="1027" operator="containsText" text="Pesquisa de Preços">
      <formula>NOT(ISERROR(SEARCH("Pesquisa de Preços",L959)))</formula>
    </cfRule>
  </conditionalFormatting>
  <conditionalFormatting sqref="L967:L972">
    <cfRule type="containsText" dxfId="419" priority="1030" operator="containsText" text="Pesquisa de Preços">
      <formula>NOT(ISERROR(SEARCH("Pesquisa de Preços",L967)))</formula>
    </cfRule>
  </conditionalFormatting>
  <conditionalFormatting sqref="L974:L1006">
    <cfRule type="containsText" dxfId="418" priority="534" operator="containsText" text="Pesquisa de Preços">
      <formula>NOT(ISERROR(SEARCH("Pesquisa de Preços",L974)))</formula>
    </cfRule>
  </conditionalFormatting>
  <conditionalFormatting sqref="L1008:L1011">
    <cfRule type="containsText" dxfId="417" priority="533" operator="containsText" text="Pesquisa de Preços">
      <formula>NOT(ISERROR(SEARCH("Pesquisa de Preços",L1008)))</formula>
    </cfRule>
  </conditionalFormatting>
  <conditionalFormatting sqref="L1013:L1025">
    <cfRule type="containsText" dxfId="416" priority="1000" operator="containsText" text="Pesquisa de Preços">
      <formula>NOT(ISERROR(SEARCH("Pesquisa de Preços",L1013)))</formula>
    </cfRule>
  </conditionalFormatting>
  <conditionalFormatting sqref="L1027:L1029">
    <cfRule type="containsText" dxfId="415" priority="1006" operator="containsText" text="Pesquisa de Preços">
      <formula>NOT(ISERROR(SEARCH("Pesquisa de Preços",L1027)))</formula>
    </cfRule>
  </conditionalFormatting>
  <conditionalFormatting sqref="L1031:L1034">
    <cfRule type="containsText" dxfId="414" priority="1005" operator="containsText" text="Pesquisa de Preços">
      <formula>NOT(ISERROR(SEARCH("Pesquisa de Preços",L1031)))</formula>
    </cfRule>
  </conditionalFormatting>
  <conditionalFormatting sqref="L1036:L1039">
    <cfRule type="containsText" dxfId="413" priority="1003" operator="containsText" text="Pesquisa de Preços">
      <formula>NOT(ISERROR(SEARCH("Pesquisa de Preços",L1036)))</formula>
    </cfRule>
  </conditionalFormatting>
  <conditionalFormatting sqref="L1042:L1043">
    <cfRule type="containsText" dxfId="412" priority="475" operator="containsText" text="Pesquisa de Preços">
      <formula>NOT(ISERROR(SEARCH("Pesquisa de Preços",L1042)))</formula>
    </cfRule>
  </conditionalFormatting>
  <conditionalFormatting sqref="L1045:L1058">
    <cfRule type="containsText" dxfId="411" priority="987" operator="containsText" text="Pesquisa de Preços">
      <formula>NOT(ISERROR(SEARCH("Pesquisa de Preços",L1045)))</formula>
    </cfRule>
  </conditionalFormatting>
  <conditionalFormatting sqref="L1060:L1062">
    <cfRule type="containsText" dxfId="410" priority="993" operator="containsText" text="Pesquisa de Preços">
      <formula>NOT(ISERROR(SEARCH("Pesquisa de Preços",L1060)))</formula>
    </cfRule>
  </conditionalFormatting>
  <conditionalFormatting sqref="L1064:L1068">
    <cfRule type="containsText" dxfId="409" priority="404" operator="containsText" text="Pesquisa de Preços">
      <formula>NOT(ISERROR(SEARCH("Pesquisa de Preços",L1064)))</formula>
    </cfRule>
  </conditionalFormatting>
  <conditionalFormatting sqref="L1072:L1075">
    <cfRule type="containsText" dxfId="408" priority="493" operator="containsText" text="Pesquisa de Preços">
      <formula>NOT(ISERROR(SEARCH("Pesquisa de Preços",L1072)))</formula>
    </cfRule>
  </conditionalFormatting>
  <conditionalFormatting sqref="L1082:L1096">
    <cfRule type="containsText" dxfId="407" priority="492" operator="containsText" text="Pesquisa de Preços">
      <formula>NOT(ISERROR(SEARCH("Pesquisa de Preços",L1082)))</formula>
    </cfRule>
  </conditionalFormatting>
  <conditionalFormatting sqref="L1098:L1101">
    <cfRule type="containsText" dxfId="406" priority="992" operator="containsText" text="Pesquisa de Preços">
      <formula>NOT(ISERROR(SEARCH("Pesquisa de Preços",L1098)))</formula>
    </cfRule>
  </conditionalFormatting>
  <conditionalFormatting sqref="L1117:L1120">
    <cfRule type="containsText" dxfId="405" priority="514" operator="containsText" text="Pesquisa de Preços">
      <formula>NOT(ISERROR(SEARCH("Pesquisa de Preços",L1117)))</formula>
    </cfRule>
  </conditionalFormatting>
  <conditionalFormatting sqref="L1122:L1125">
    <cfRule type="containsText" dxfId="404" priority="978" operator="containsText" text="Pesquisa de Preços">
      <formula>NOT(ISERROR(SEARCH("Pesquisa de Preços",L1122)))</formula>
    </cfRule>
  </conditionalFormatting>
  <conditionalFormatting sqref="L1127:L1212">
    <cfRule type="containsText" dxfId="403" priority="394" operator="containsText" text="Pesquisa de Preços">
      <formula>NOT(ISERROR(SEARCH("Pesquisa de Preços",L1127)))</formula>
    </cfRule>
  </conditionalFormatting>
  <conditionalFormatting sqref="L1214:L1224">
    <cfRule type="containsText" dxfId="402" priority="549" operator="containsText" text="Pesquisa de Preços">
      <formula>NOT(ISERROR(SEARCH("Pesquisa de Preços",L1214)))</formula>
    </cfRule>
  </conditionalFormatting>
  <conditionalFormatting sqref="L1227:L1230">
    <cfRule type="containsText" dxfId="401" priority="971" operator="containsText" text="Pesquisa de Preços">
      <formula>NOT(ISERROR(SEARCH("Pesquisa de Preços",L1227)))</formula>
    </cfRule>
  </conditionalFormatting>
  <conditionalFormatting sqref="L1233:L1236">
    <cfRule type="containsText" dxfId="400" priority="291" operator="containsText" text="Pesquisa de Preços">
      <formula>NOT(ISERROR(SEARCH("Pesquisa de Preços",L1233)))</formula>
    </cfRule>
  </conditionalFormatting>
  <conditionalFormatting sqref="L1239:L1242">
    <cfRule type="containsText" dxfId="399" priority="289" operator="containsText" text="Pesquisa de Preços">
      <formula>NOT(ISERROR(SEARCH("Pesquisa de Preços",L1239)))</formula>
    </cfRule>
  </conditionalFormatting>
  <conditionalFormatting sqref="L1245:L1261">
    <cfRule type="containsText" dxfId="398" priority="554" operator="containsText" text="Pesquisa de Preços">
      <formula>NOT(ISERROR(SEARCH("Pesquisa de Preços",L1245)))</formula>
    </cfRule>
  </conditionalFormatting>
  <conditionalFormatting sqref="L1266:L1278">
    <cfRule type="containsText" dxfId="397" priority="923" operator="containsText" text="Pesquisa de Preços">
      <formula>NOT(ISERROR(SEARCH("Pesquisa de Preços",L1266)))</formula>
    </cfRule>
  </conditionalFormatting>
  <conditionalFormatting sqref="L1280:L1282">
    <cfRule type="containsText" dxfId="396" priority="921" operator="containsText" text="Pesquisa de Preços">
      <formula>NOT(ISERROR(SEARCH("Pesquisa de Preços",L1280)))</formula>
    </cfRule>
  </conditionalFormatting>
  <conditionalFormatting sqref="L1286:L1289">
    <cfRule type="containsText" dxfId="395" priority="919" operator="containsText" text="Pesquisa de Preços">
      <formula>NOT(ISERROR(SEARCH("Pesquisa de Preços",L1286)))</formula>
    </cfRule>
  </conditionalFormatting>
  <conditionalFormatting sqref="L1293:L1295">
    <cfRule type="containsText" dxfId="394" priority="917" operator="containsText" text="Pesquisa de Preços">
      <formula>NOT(ISERROR(SEARCH("Pesquisa de Preços",L1293)))</formula>
    </cfRule>
  </conditionalFormatting>
  <conditionalFormatting sqref="L1298 L1300:L1310">
    <cfRule type="containsText" dxfId="393" priority="918" operator="containsText" text="Pesquisa de Preços">
      <formula>NOT(ISERROR(SEARCH("Pesquisa de Preços",L1298)))</formula>
    </cfRule>
  </conditionalFormatting>
  <conditionalFormatting sqref="L1316:L1322">
    <cfRule type="containsText" dxfId="392" priority="278" operator="containsText" text="Pesquisa de Preços">
      <formula>NOT(ISERROR(SEARCH("Pesquisa de Preços",L1316)))</formula>
    </cfRule>
  </conditionalFormatting>
  <conditionalFormatting sqref="L1324:L1328">
    <cfRule type="containsText" dxfId="391" priority="439" operator="containsText" text="Pesquisa de Preços">
      <formula>NOT(ISERROR(SEARCH("Pesquisa de Preços",L1324)))</formula>
    </cfRule>
  </conditionalFormatting>
  <conditionalFormatting sqref="L1330:L1334">
    <cfRule type="containsText" dxfId="390" priority="437" operator="containsText" text="Pesquisa de Preços">
      <formula>NOT(ISERROR(SEARCH("Pesquisa de Preços",L1330)))</formula>
    </cfRule>
  </conditionalFormatting>
  <conditionalFormatting sqref="L1336:L1340">
    <cfRule type="containsText" dxfId="389" priority="435" operator="containsText" text="Pesquisa de Preços">
      <formula>NOT(ISERROR(SEARCH("Pesquisa de Preços",L1336)))</formula>
    </cfRule>
  </conditionalFormatting>
  <conditionalFormatting sqref="L1342:L1351">
    <cfRule type="containsText" dxfId="388" priority="491" operator="containsText" text="Pesquisa de Preços">
      <formula>NOT(ISERROR(SEARCH("Pesquisa de Preços",L1342)))</formula>
    </cfRule>
  </conditionalFormatting>
  <conditionalFormatting sqref="L1353:L1363">
    <cfRule type="containsText" dxfId="387" priority="899" operator="containsText" text="Pesquisa de Preços">
      <formula>NOT(ISERROR(SEARCH("Pesquisa de Preços",L1353)))</formula>
    </cfRule>
  </conditionalFormatting>
  <conditionalFormatting sqref="L1366:L1370">
    <cfRule type="containsText" dxfId="386" priority="894" operator="containsText" text="Pesquisa de Preços">
      <formula>NOT(ISERROR(SEARCH("Pesquisa de Preços",L1366)))</formula>
    </cfRule>
  </conditionalFormatting>
  <conditionalFormatting sqref="L1372:L1373">
    <cfRule type="containsText" dxfId="385" priority="895" operator="containsText" text="Pesquisa de Preços">
      <formula>NOT(ISERROR(SEARCH("Pesquisa de Preços",L1372)))</formula>
    </cfRule>
  </conditionalFormatting>
  <conditionalFormatting sqref="L1380">
    <cfRule type="containsText" dxfId="384" priority="893" operator="containsText" text="Pesquisa de Preços">
      <formula>NOT(ISERROR(SEARCH("Pesquisa de Preços",L1380)))</formula>
    </cfRule>
  </conditionalFormatting>
  <conditionalFormatting sqref="L1386">
    <cfRule type="containsText" dxfId="383" priority="892" operator="containsText" text="Pesquisa de Preços">
      <formula>NOT(ISERROR(SEARCH("Pesquisa de Preços",L1386)))</formula>
    </cfRule>
  </conditionalFormatting>
  <conditionalFormatting sqref="L1393:L1407">
    <cfRule type="containsText" dxfId="382" priority="856" operator="containsText" text="Pesquisa de Preços">
      <formula>NOT(ISERROR(SEARCH("Pesquisa de Preços",L1393)))</formula>
    </cfRule>
  </conditionalFormatting>
  <conditionalFormatting sqref="L1420:L1422">
    <cfRule type="containsText" dxfId="381" priority="866" operator="containsText" text="Pesquisa de Preços">
      <formula>NOT(ISERROR(SEARCH("Pesquisa de Preços",L1420)))</formula>
    </cfRule>
  </conditionalFormatting>
  <conditionalFormatting sqref="L1435:L1437">
    <cfRule type="containsText" dxfId="380" priority="867" operator="containsText" text="Pesquisa de Preços">
      <formula>NOT(ISERROR(SEARCH("Pesquisa de Preços",L1435)))</formula>
    </cfRule>
  </conditionalFormatting>
  <conditionalFormatting sqref="L1450">
    <cfRule type="containsText" dxfId="379" priority="869" operator="containsText" text="Pesquisa de Preços">
      <formula>NOT(ISERROR(SEARCH("Pesquisa de Preços",L1450)))</formula>
    </cfRule>
  </conditionalFormatting>
  <conditionalFormatting sqref="L1465:L1467">
    <cfRule type="containsText" dxfId="378" priority="863" operator="containsText" text="Pesquisa de Preços">
      <formula>NOT(ISERROR(SEARCH("Pesquisa de Preços",L1465)))</formula>
    </cfRule>
  </conditionalFormatting>
  <conditionalFormatting sqref="L1480">
    <cfRule type="containsText" dxfId="377" priority="865" operator="containsText" text="Pesquisa de Preços">
      <formula>NOT(ISERROR(SEARCH("Pesquisa de Preços",L1480)))</formula>
    </cfRule>
  </conditionalFormatting>
  <conditionalFormatting sqref="L1483">
    <cfRule type="containsText" dxfId="376" priority="489" operator="containsText" text="Pesquisa de Preços">
      <formula>NOT(ISERROR(SEARCH("Pesquisa de Preços",L1483)))</formula>
    </cfRule>
  </conditionalFormatting>
  <conditionalFormatting sqref="L1495:L1497">
    <cfRule type="containsText" dxfId="375" priority="862" operator="containsText" text="Pesquisa de Preços">
      <formula>NOT(ISERROR(SEARCH("Pesquisa de Preços",L1495)))</formula>
    </cfRule>
  </conditionalFormatting>
  <conditionalFormatting sqref="L1500">
    <cfRule type="containsText" dxfId="374" priority="575" operator="containsText" text="Pesquisa de Preços">
      <formula>NOT(ISERROR(SEARCH("Pesquisa de Preços",L1500)))</formula>
    </cfRule>
  </conditionalFormatting>
  <conditionalFormatting sqref="L1510">
    <cfRule type="containsText" dxfId="373" priority="873" operator="containsText" text="Pesquisa de Preços">
      <formula>NOT(ISERROR(SEARCH("Pesquisa de Preços",L1510)))</formula>
    </cfRule>
  </conditionalFormatting>
  <conditionalFormatting sqref="L1512">
    <cfRule type="containsText" dxfId="372" priority="490" operator="containsText" text="Pesquisa de Preços">
      <formula>NOT(ISERROR(SEARCH("Pesquisa de Preços",L1512)))</formula>
    </cfRule>
  </conditionalFormatting>
  <conditionalFormatting sqref="L1516">
    <cfRule type="containsText" dxfId="371" priority="881" operator="containsText" text="Pesquisa de Preços">
      <formula>NOT(ISERROR(SEARCH("Pesquisa de Preços",L1516)))</formula>
    </cfRule>
  </conditionalFormatting>
  <conditionalFormatting sqref="L1522:L1524">
    <cfRule type="containsText" dxfId="370" priority="882" operator="containsText" text="Pesquisa de Preços">
      <formula>NOT(ISERROR(SEARCH("Pesquisa de Preços",L1522)))</formula>
    </cfRule>
  </conditionalFormatting>
  <conditionalFormatting sqref="L1534:L1536">
    <cfRule type="containsText" dxfId="369" priority="880" operator="containsText" text="Pesquisa de Preços">
      <formula>NOT(ISERROR(SEARCH("Pesquisa de Preços",L1534)))</formula>
    </cfRule>
  </conditionalFormatting>
  <conditionalFormatting sqref="L1540:L1543">
    <cfRule type="containsText" dxfId="368" priority="886" operator="containsText" text="Pesquisa de Preços">
      <formula>NOT(ISERROR(SEARCH("Pesquisa de Preços",L1540)))</formula>
    </cfRule>
  </conditionalFormatting>
  <conditionalFormatting sqref="L1548:L1551 L1553">
    <cfRule type="containsText" dxfId="367" priority="889" operator="containsText" text="Pesquisa de Preços">
      <formula>NOT(ISERROR(SEARCH("Pesquisa de Preços",L1548)))</formula>
    </cfRule>
  </conditionalFormatting>
  <conditionalFormatting sqref="L1555:L1564">
    <cfRule type="containsText" dxfId="366" priority="874" operator="containsText" text="Pesquisa de Preços">
      <formula>NOT(ISERROR(SEARCH("Pesquisa de Preços",L1555)))</formula>
    </cfRule>
  </conditionalFormatting>
  <conditionalFormatting sqref="L1566:L1585">
    <cfRule type="containsText" dxfId="365" priority="854" operator="containsText" text="Pesquisa de Preços">
      <formula>NOT(ISERROR(SEARCH("Pesquisa de Preços",L1566)))</formula>
    </cfRule>
  </conditionalFormatting>
  <conditionalFormatting sqref="L1589:L1591">
    <cfRule type="containsText" dxfId="364" priority="852" operator="containsText" text="Pesquisa de Preços">
      <formula>NOT(ISERROR(SEARCH("Pesquisa de Preços",L1589)))</formula>
    </cfRule>
  </conditionalFormatting>
  <conditionalFormatting sqref="L1595">
    <cfRule type="containsText" dxfId="363" priority="853" operator="containsText" text="Pesquisa de Preços">
      <formula>NOT(ISERROR(SEARCH("Pesquisa de Preços",L1595)))</formula>
    </cfRule>
  </conditionalFormatting>
  <conditionalFormatting sqref="L1601:L1604">
    <cfRule type="containsText" dxfId="362" priority="539" operator="containsText" text="Pesquisa de Preços">
      <formula>NOT(ISERROR(SEARCH("Pesquisa de Preços",L1601)))</formula>
    </cfRule>
  </conditionalFormatting>
  <conditionalFormatting sqref="L1606:L1641">
    <cfRule type="containsText" dxfId="361" priority="512" operator="containsText" text="Pesquisa de Preços">
      <formula>NOT(ISERROR(SEARCH("Pesquisa de Preços",L1606)))</formula>
    </cfRule>
  </conditionalFormatting>
  <conditionalFormatting sqref="L1649:L1651">
    <cfRule type="containsText" dxfId="360" priority="529" operator="containsText" text="Pesquisa de Preços">
      <formula>NOT(ISERROR(SEARCH("Pesquisa de Preços",L1649)))</formula>
    </cfRule>
  </conditionalFormatting>
  <conditionalFormatting sqref="L1653:L1656">
    <cfRule type="containsText" dxfId="359" priority="823" operator="containsText" text="Pesquisa de Preços">
      <formula>NOT(ISERROR(SEARCH("Pesquisa de Preços",L1653)))</formula>
    </cfRule>
  </conditionalFormatting>
  <conditionalFormatting sqref="L1660:L1661">
    <cfRule type="containsText" dxfId="358" priority="824" operator="containsText" text="Pesquisa de Preços">
      <formula>NOT(ISERROR(SEARCH("Pesquisa de Preços",L1660)))</formula>
    </cfRule>
  </conditionalFormatting>
  <conditionalFormatting sqref="L1665:L1666">
    <cfRule type="containsText" dxfId="357" priority="828" operator="containsText" text="Pesquisa de Preços">
      <formula>NOT(ISERROR(SEARCH("Pesquisa de Preços",L1665)))</formula>
    </cfRule>
  </conditionalFormatting>
  <conditionalFormatting sqref="L1668:L1671">
    <cfRule type="containsText" dxfId="356" priority="829" operator="containsText" text="Pesquisa de Preços">
      <formula>NOT(ISERROR(SEARCH("Pesquisa de Preços",L1668)))</formula>
    </cfRule>
  </conditionalFormatting>
  <conditionalFormatting sqref="L1674:L1678">
    <cfRule type="containsText" dxfId="355" priority="540" operator="containsText" text="Pesquisa de Preços">
      <formula>NOT(ISERROR(SEARCH("Pesquisa de Preços",L1674)))</formula>
    </cfRule>
  </conditionalFormatting>
  <conditionalFormatting sqref="L1680:L1687">
    <cfRule type="containsText" dxfId="354" priority="530" operator="containsText" text="Pesquisa de Preços">
      <formula>NOT(ISERROR(SEARCH("Pesquisa de Preços",L1680)))</formula>
    </cfRule>
  </conditionalFormatting>
  <conditionalFormatting sqref="L1689:L1692">
    <cfRule type="containsText" dxfId="353" priority="812" operator="containsText" text="Pesquisa de Preços">
      <formula>NOT(ISERROR(SEARCH("Pesquisa de Preços",L1689)))</formula>
    </cfRule>
  </conditionalFormatting>
  <conditionalFormatting sqref="L1694:L1697">
    <cfRule type="containsText" dxfId="352" priority="810" operator="containsText" text="Pesquisa de Preços">
      <formula>NOT(ISERROR(SEARCH("Pesquisa de Preços",L1694)))</formula>
    </cfRule>
  </conditionalFormatting>
  <conditionalFormatting sqref="L1700:L1701">
    <cfRule type="containsText" dxfId="351" priority="809" operator="containsText" text="Pesquisa de Preços">
      <formula>NOT(ISERROR(SEARCH("Pesquisa de Preços",L1700)))</formula>
    </cfRule>
  </conditionalFormatting>
  <conditionalFormatting sqref="L1704:L1706">
    <cfRule type="containsText" dxfId="350" priority="816" operator="containsText" text="Pesquisa de Preços">
      <formula>NOT(ISERROR(SEARCH("Pesquisa de Preços",L1704)))</formula>
    </cfRule>
  </conditionalFormatting>
  <conditionalFormatting sqref="L1714:L1717">
    <cfRule type="containsText" dxfId="349" priority="814" operator="containsText" text="Pesquisa de Preços">
      <formula>NOT(ISERROR(SEARCH("Pesquisa de Preços",L1714)))</formula>
    </cfRule>
  </conditionalFormatting>
  <conditionalFormatting sqref="L1725:L1729">
    <cfRule type="containsText" dxfId="348" priority="815" operator="containsText" text="Pesquisa de Preços">
      <formula>NOT(ISERROR(SEARCH("Pesquisa de Preços",L1725)))</formula>
    </cfRule>
  </conditionalFormatting>
  <conditionalFormatting sqref="L1734:L1739">
    <cfRule type="containsText" dxfId="347" priority="528" operator="containsText" text="Pesquisa de Preços">
      <formula>NOT(ISERROR(SEARCH("Pesquisa de Preços",L1734)))</formula>
    </cfRule>
  </conditionalFormatting>
  <conditionalFormatting sqref="L1747:L1770">
    <cfRule type="containsText" dxfId="346" priority="622" operator="containsText" text="Pesquisa de Preços">
      <formula>NOT(ISERROR(SEARCH("Pesquisa de Preços",L1747)))</formula>
    </cfRule>
  </conditionalFormatting>
  <conditionalFormatting sqref="L1775:L1782">
    <cfRule type="containsText" dxfId="345" priority="623" operator="containsText" text="Pesquisa de Preços">
      <formula>NOT(ISERROR(SEARCH("Pesquisa de Preços",L1775)))</formula>
    </cfRule>
  </conditionalFormatting>
  <conditionalFormatting sqref="L1789:L1796">
    <cfRule type="containsText" dxfId="344" priority="621" operator="containsText" text="Pesquisa de Preços">
      <formula>NOT(ISERROR(SEARCH("Pesquisa de Preços",L1789)))</formula>
    </cfRule>
  </conditionalFormatting>
  <conditionalFormatting sqref="L1804:L1805">
    <cfRule type="containsText" dxfId="343" priority="805" operator="containsText" text="Pesquisa de Preços">
      <formula>NOT(ISERROR(SEARCH("Pesquisa de Preços",L1804)))</formula>
    </cfRule>
  </conditionalFormatting>
  <conditionalFormatting sqref="L1809:L1810">
    <cfRule type="containsText" dxfId="342" priority="807" operator="containsText" text="Pesquisa de Preços">
      <formula>NOT(ISERROR(SEARCH("Pesquisa de Preços",L1809)))</formula>
    </cfRule>
  </conditionalFormatting>
  <conditionalFormatting sqref="L1814:L1819">
    <cfRule type="containsText" dxfId="341" priority="527" operator="containsText" text="Pesquisa de Preços">
      <formula>NOT(ISERROR(SEARCH("Pesquisa de Preços",L1814)))</formula>
    </cfRule>
  </conditionalFormatting>
  <conditionalFormatting sqref="L1825:L1850">
    <cfRule type="containsText" dxfId="340" priority="524" operator="containsText" text="Pesquisa de Preços">
      <formula>NOT(ISERROR(SEARCH("Pesquisa de Preços",L1825)))</formula>
    </cfRule>
  </conditionalFormatting>
  <conditionalFormatting sqref="L1856">
    <cfRule type="containsText" dxfId="339" priority="789" operator="containsText" text="Pesquisa de Preços">
      <formula>NOT(ISERROR(SEARCH("Pesquisa de Preços",L1856)))</formula>
    </cfRule>
  </conditionalFormatting>
  <conditionalFormatting sqref="L1862">
    <cfRule type="containsText" dxfId="338" priority="785" operator="containsText" text="Pesquisa de Preços">
      <formula>NOT(ISERROR(SEARCH("Pesquisa de Preços",L1862)))</formula>
    </cfRule>
  </conditionalFormatting>
  <conditionalFormatting sqref="L1868">
    <cfRule type="containsText" dxfId="337" priority="787" operator="containsText" text="Pesquisa de Preços">
      <formula>NOT(ISERROR(SEARCH("Pesquisa de Preços",L1868)))</formula>
    </cfRule>
  </conditionalFormatting>
  <conditionalFormatting sqref="L1874">
    <cfRule type="containsText" dxfId="336" priority="784" operator="containsText" text="Pesquisa de Preços">
      <formula>NOT(ISERROR(SEARCH("Pesquisa de Preços",L1874)))</formula>
    </cfRule>
  </conditionalFormatting>
  <conditionalFormatting sqref="L1880">
    <cfRule type="containsText" dxfId="335" priority="783" operator="containsText" text="Pesquisa de Preços">
      <formula>NOT(ISERROR(SEARCH("Pesquisa de Preços",L1880)))</formula>
    </cfRule>
  </conditionalFormatting>
  <conditionalFormatting sqref="L1886">
    <cfRule type="containsText" dxfId="334" priority="786" operator="containsText" text="Pesquisa de Preços">
      <formula>NOT(ISERROR(SEARCH("Pesquisa de Preços",L1886)))</formula>
    </cfRule>
  </conditionalFormatting>
  <conditionalFormatting sqref="L1892:L1904">
    <cfRule type="containsText" dxfId="333" priority="777" operator="containsText" text="Pesquisa de Preços">
      <formula>NOT(ISERROR(SEARCH("Pesquisa de Preços",L1892)))</formula>
    </cfRule>
  </conditionalFormatting>
  <conditionalFormatting sqref="L1910:L1913">
    <cfRule type="containsText" dxfId="332" priority="522" operator="containsText" text="Pesquisa de Preços">
      <formula>NOT(ISERROR(SEARCH("Pesquisa de Preços",L1910)))</formula>
    </cfRule>
  </conditionalFormatting>
  <conditionalFormatting sqref="L1915:L1917">
    <cfRule type="containsText" dxfId="331" priority="775" operator="containsText" text="Pesquisa de Preços">
      <formula>NOT(ISERROR(SEARCH("Pesquisa de Preços",L1915)))</formula>
    </cfRule>
  </conditionalFormatting>
  <conditionalFormatting sqref="L1919:L1925">
    <cfRule type="containsText" dxfId="330" priority="501" operator="containsText" text="Pesquisa de Preços">
      <formula>NOT(ISERROR(SEARCH("Pesquisa de Preços",L1919)))</formula>
    </cfRule>
  </conditionalFormatting>
  <conditionalFormatting sqref="L1939:L1940">
    <cfRule type="containsText" dxfId="329" priority="254" operator="containsText" text="Pesquisa de Preços">
      <formula>NOT(ISERROR(SEARCH("Pesquisa de Preços",L1939)))</formula>
    </cfRule>
  </conditionalFormatting>
  <conditionalFormatting sqref="L1943:L1949">
    <cfRule type="containsText" dxfId="328" priority="488" operator="containsText" text="Pesquisa de Preços">
      <formula>NOT(ISERROR(SEARCH("Pesquisa de Preços",L1943)))</formula>
    </cfRule>
  </conditionalFormatting>
  <conditionalFormatting sqref="L1952:L1973">
    <cfRule type="containsText" dxfId="327" priority="286" operator="containsText" text="Pesquisa de Preços">
      <formula>NOT(ISERROR(SEARCH("Pesquisa de Preços",L1952)))</formula>
    </cfRule>
  </conditionalFormatting>
  <conditionalFormatting sqref="L1975:L1981">
    <cfRule type="containsText" dxfId="326" priority="283" operator="containsText" text="Pesquisa de Preços">
      <formula>NOT(ISERROR(SEARCH("Pesquisa de Preços",L1975)))</formula>
    </cfRule>
  </conditionalFormatting>
  <conditionalFormatting sqref="L1983:L2018">
    <cfRule type="containsText" dxfId="325" priority="280" operator="containsText" text="Pesquisa de Preços">
      <formula>NOT(ISERROR(SEARCH("Pesquisa de Preços",L1983)))</formula>
    </cfRule>
  </conditionalFormatting>
  <conditionalFormatting sqref="L2024:L2028">
    <cfRule type="containsText" dxfId="324" priority="613" operator="containsText" text="Pesquisa de Preços">
      <formula>NOT(ISERROR(SEARCH("Pesquisa de Preços",L2024)))</formula>
    </cfRule>
  </conditionalFormatting>
  <conditionalFormatting sqref="L2032:L2036">
    <cfRule type="containsText" dxfId="323" priority="728" operator="containsText" text="Pesquisa de Preços">
      <formula>NOT(ISERROR(SEARCH("Pesquisa de Preços",L2032)))</formula>
    </cfRule>
  </conditionalFormatting>
  <conditionalFormatting sqref="L2040:L2044">
    <cfRule type="containsText" dxfId="322" priority="723" operator="containsText" text="Pesquisa de Preços">
      <formula>NOT(ISERROR(SEARCH("Pesquisa de Preços",L2040)))</formula>
    </cfRule>
  </conditionalFormatting>
  <conditionalFormatting sqref="L2048:L2052">
    <cfRule type="containsText" dxfId="321" priority="724" operator="containsText" text="Pesquisa de Preços">
      <formula>NOT(ISERROR(SEARCH("Pesquisa de Preços",L2048)))</formula>
    </cfRule>
  </conditionalFormatting>
  <conditionalFormatting sqref="L2056:L2060">
    <cfRule type="containsText" dxfId="320" priority="725" operator="containsText" text="Pesquisa de Preços">
      <formula>NOT(ISERROR(SEARCH("Pesquisa de Preços",L2056)))</formula>
    </cfRule>
  </conditionalFormatting>
  <conditionalFormatting sqref="L2064:L2068">
    <cfRule type="containsText" dxfId="319" priority="721" operator="containsText" text="Pesquisa de Preços">
      <formula>NOT(ISERROR(SEARCH("Pesquisa de Preços",L2064)))</formula>
    </cfRule>
  </conditionalFormatting>
  <conditionalFormatting sqref="L2072:L2074">
    <cfRule type="containsText" dxfId="318" priority="722" operator="containsText" text="Pesquisa de Preços">
      <formula>NOT(ISERROR(SEARCH("Pesquisa de Preços",L2072)))</formula>
    </cfRule>
  </conditionalFormatting>
  <conditionalFormatting sqref="L2088:L2090">
    <cfRule type="containsText" dxfId="317" priority="614" operator="containsText" text="Pesquisa de Preços">
      <formula>NOT(ISERROR(SEARCH("Pesquisa de Preços",L2088)))</formula>
    </cfRule>
  </conditionalFormatting>
  <conditionalFormatting sqref="L2096:L2098">
    <cfRule type="containsText" dxfId="316" priority="718" operator="containsText" text="Pesquisa de Preços">
      <formula>NOT(ISERROR(SEARCH("Pesquisa de Preços",L2096)))</formula>
    </cfRule>
  </conditionalFormatting>
  <conditionalFormatting sqref="L2104:L2108">
    <cfRule type="containsText" dxfId="315" priority="712" operator="containsText" text="Pesquisa de Preços">
      <formula>NOT(ISERROR(SEARCH("Pesquisa de Preços",L2104)))</formula>
    </cfRule>
  </conditionalFormatting>
  <conditionalFormatting sqref="L2119:L2121">
    <cfRule type="containsText" dxfId="314" priority="742" operator="containsText" text="Pesquisa de Preços">
      <formula>NOT(ISERROR(SEARCH("Pesquisa de Preços",L2119)))</formula>
    </cfRule>
  </conditionalFormatting>
  <conditionalFormatting sqref="L2123">
    <cfRule type="containsText" dxfId="313" priority="390" operator="containsText" text="Pesquisa de Preços">
      <formula>NOT(ISERROR(SEARCH("Pesquisa de Preços",L2123)))</formula>
    </cfRule>
  </conditionalFormatting>
  <conditionalFormatting sqref="L2126:L2127">
    <cfRule type="containsText" dxfId="312" priority="486" operator="containsText" text="Pesquisa de Preços">
      <formula>NOT(ISERROR(SEARCH("Pesquisa de Preços",L2126)))</formula>
    </cfRule>
  </conditionalFormatting>
  <conditionalFormatting sqref="L2131:L2135">
    <cfRule type="containsText" dxfId="311" priority="744" operator="containsText" text="Pesquisa de Preços">
      <formula>NOT(ISERROR(SEARCH("Pesquisa de Preços",L2131)))</formula>
    </cfRule>
  </conditionalFormatting>
  <conditionalFormatting sqref="L2142:L2146">
    <cfRule type="containsText" dxfId="310" priority="736" operator="containsText" text="Pesquisa de Preços">
      <formula>NOT(ISERROR(SEARCH("Pesquisa de Preços",L2142)))</formula>
    </cfRule>
  </conditionalFormatting>
  <conditionalFormatting sqref="L2149:L2153">
    <cfRule type="containsText" dxfId="309" priority="485" operator="containsText" text="Pesquisa de Preços">
      <formula>NOT(ISERROR(SEARCH("Pesquisa de Preços",L2149)))</formula>
    </cfRule>
  </conditionalFormatting>
  <conditionalFormatting sqref="L2158:L2162">
    <cfRule type="containsText" dxfId="308" priority="734" operator="containsText" text="Pesquisa de Preços">
      <formula>NOT(ISERROR(SEARCH("Pesquisa de Preços",L2158)))</formula>
    </cfRule>
  </conditionalFormatting>
  <conditionalFormatting sqref="L2166:L2168">
    <cfRule type="containsText" dxfId="307" priority="738" operator="containsText" text="Pesquisa de Preços">
      <formula>NOT(ISERROR(SEARCH("Pesquisa de Preços",L2166)))</formula>
    </cfRule>
  </conditionalFormatting>
  <conditionalFormatting sqref="L2174:L2176">
    <cfRule type="containsText" dxfId="306" priority="735" operator="containsText" text="Pesquisa de Preços">
      <formula>NOT(ISERROR(SEARCH("Pesquisa de Preços",L2174)))</formula>
    </cfRule>
  </conditionalFormatting>
  <conditionalFormatting sqref="L2182:L2184">
    <cfRule type="containsText" dxfId="305" priority="733" operator="containsText" text="Pesquisa de Preços">
      <formula>NOT(ISERROR(SEARCH("Pesquisa de Preços",L2182)))</formula>
    </cfRule>
  </conditionalFormatting>
  <conditionalFormatting sqref="L2201:L2203">
    <cfRule type="containsText" dxfId="304" priority="710" operator="containsText" text="Pesquisa de Preços">
      <formula>NOT(ISERROR(SEARCH("Pesquisa de Preços",L2201)))</formula>
    </cfRule>
  </conditionalFormatting>
  <conditionalFormatting sqref="L2206:L2208">
    <cfRule type="containsText" dxfId="303" priority="708" operator="containsText" text="Pesquisa de Preços">
      <formula>NOT(ISERROR(SEARCH("Pesquisa de Preços",L2206)))</formula>
    </cfRule>
  </conditionalFormatting>
  <conditionalFormatting sqref="L2210:L2211">
    <cfRule type="containsText" dxfId="302" priority="707" operator="containsText" text="Pesquisa de Preços">
      <formula>NOT(ISERROR(SEARCH("Pesquisa de Preços",L2210)))</formula>
    </cfRule>
  </conditionalFormatting>
  <conditionalFormatting sqref="L2213">
    <cfRule type="containsText" dxfId="301" priority="706" operator="containsText" text="Pesquisa de Preços">
      <formula>NOT(ISERROR(SEARCH("Pesquisa de Preços",L2213)))</formula>
    </cfRule>
  </conditionalFormatting>
  <conditionalFormatting sqref="L2220:L2221">
    <cfRule type="containsText" dxfId="300" priority="702" operator="containsText" text="Pesquisa de Preços">
      <formula>NOT(ISERROR(SEARCH("Pesquisa de Preços",L2220)))</formula>
    </cfRule>
  </conditionalFormatting>
  <conditionalFormatting sqref="L2224:L2227">
    <cfRule type="containsText" dxfId="299" priority="253" operator="containsText" text="Pesquisa de Preços">
      <formula>NOT(ISERROR(SEARCH("Pesquisa de Preços",L2224)))</formula>
    </cfRule>
  </conditionalFormatting>
  <conditionalFormatting sqref="L2230:L2240">
    <cfRule type="containsText" dxfId="298" priority="413" operator="containsText" text="Pesquisa de Preços">
      <formula>NOT(ISERROR(SEARCH("Pesquisa de Preços",L2230)))</formula>
    </cfRule>
  </conditionalFormatting>
  <conditionalFormatting sqref="L2245:L2250">
    <cfRule type="containsText" dxfId="297" priority="517" operator="containsText" text="Pesquisa de Preços">
      <formula>NOT(ISERROR(SEARCH("Pesquisa de Preços",L2245)))</formula>
    </cfRule>
  </conditionalFormatting>
  <conditionalFormatting sqref="L2272:L2273">
    <cfRule type="containsText" dxfId="296" priority="693" operator="containsText" text="Pesquisa de Preços">
      <formula>NOT(ISERROR(SEARCH("Pesquisa de Preços",L2272)))</formula>
    </cfRule>
  </conditionalFormatting>
  <conditionalFormatting sqref="L2281:L2286">
    <cfRule type="containsText" dxfId="295" priority="414" operator="containsText" text="Pesquisa de Preços">
      <formula>NOT(ISERROR(SEARCH("Pesquisa de Preços",L2281)))</formula>
    </cfRule>
  </conditionalFormatting>
  <conditionalFormatting sqref="L2292:L2293">
    <cfRule type="containsText" dxfId="294" priority="697" operator="containsText" text="Pesquisa de Preços">
      <formula>NOT(ISERROR(SEARCH("Pesquisa de Preços",L2292)))</formula>
    </cfRule>
  </conditionalFormatting>
  <conditionalFormatting sqref="L2308:L2311">
    <cfRule type="containsText" dxfId="293" priority="686" operator="containsText" text="Pesquisa de Preços">
      <formula>NOT(ISERROR(SEARCH("Pesquisa de Preços",L2308)))</formula>
    </cfRule>
  </conditionalFormatting>
  <conditionalFormatting sqref="L2314">
    <cfRule type="containsText" dxfId="292" priority="687" operator="containsText" text="Pesquisa de Preços">
      <formula>NOT(ISERROR(SEARCH("Pesquisa de Preços",L2314)))</formula>
    </cfRule>
  </conditionalFormatting>
  <conditionalFormatting sqref="L2316:L2317">
    <cfRule type="containsText" dxfId="291" priority="675" operator="containsText" text="Pesquisa de Preços">
      <formula>NOT(ISERROR(SEARCH("Pesquisa de Preços",L2316)))</formula>
    </cfRule>
  </conditionalFormatting>
  <conditionalFormatting sqref="L2319:L2324">
    <cfRule type="containsText" dxfId="290" priority="674" operator="containsText" text="Pesquisa de Preços">
      <formula>NOT(ISERROR(SEARCH("Pesquisa de Preços",L2319)))</formula>
    </cfRule>
  </conditionalFormatting>
  <conditionalFormatting sqref="L2327:L2330">
    <cfRule type="containsText" dxfId="289" priority="681" operator="containsText" text="Pesquisa de Preços">
      <formula>NOT(ISERROR(SEARCH("Pesquisa de Preços",L2327)))</formula>
    </cfRule>
  </conditionalFormatting>
  <conditionalFormatting sqref="L2333:L2342">
    <cfRule type="containsText" dxfId="288" priority="520" operator="containsText" text="Pesquisa de Preços">
      <formula>NOT(ISERROR(SEARCH("Pesquisa de Preços",L2333)))</formula>
    </cfRule>
  </conditionalFormatting>
  <conditionalFormatting sqref="L2345:L2351">
    <cfRule type="containsText" dxfId="287" priority="670" operator="containsText" text="Pesquisa de Preços">
      <formula>NOT(ISERROR(SEARCH("Pesquisa de Preços",L2345)))</formula>
    </cfRule>
  </conditionalFormatting>
  <conditionalFormatting sqref="L2353:L2363">
    <cfRule type="containsText" dxfId="286" priority="643" operator="containsText" text="Pesquisa de Preços">
      <formula>NOT(ISERROR(SEARCH("Pesquisa de Preços",L2353)))</formula>
    </cfRule>
  </conditionalFormatting>
  <conditionalFormatting sqref="L2369:L2371">
    <cfRule type="containsText" dxfId="285" priority="516" operator="containsText" text="Pesquisa de Preços">
      <formula>NOT(ISERROR(SEARCH("Pesquisa de Preços",L2369)))</formula>
    </cfRule>
  </conditionalFormatting>
  <conditionalFormatting sqref="L2373">
    <cfRule type="containsText" dxfId="284" priority="647" operator="containsText" text="Pesquisa de Preços">
      <formula>NOT(ISERROR(SEARCH("Pesquisa de Preços",L2373)))</formula>
    </cfRule>
  </conditionalFormatting>
  <conditionalFormatting sqref="L2375:L2378">
    <cfRule type="containsText" dxfId="283" priority="519" operator="containsText" text="Pesquisa de Preços">
      <formula>NOT(ISERROR(SEARCH("Pesquisa de Preços",L2375)))</formula>
    </cfRule>
  </conditionalFormatting>
  <conditionalFormatting sqref="L2382:L2383">
    <cfRule type="containsText" dxfId="282" priority="641" operator="containsText" text="Pesquisa de Preços">
      <formula>NOT(ISERROR(SEARCH("Pesquisa de Preços",L2382)))</formula>
    </cfRule>
  </conditionalFormatting>
  <conditionalFormatting sqref="L2388">
    <cfRule type="containsText" dxfId="281" priority="642" operator="containsText" text="Pesquisa de Preços">
      <formula>NOT(ISERROR(SEARCH("Pesquisa de Preços",L2388)))</formula>
    </cfRule>
  </conditionalFormatting>
  <conditionalFormatting sqref="L2398">
    <cfRule type="containsText" dxfId="280" priority="387" operator="containsText" text="Pesquisa de Preços">
      <formula>NOT(ISERROR(SEARCH("Pesquisa de Preços",L2398)))</formula>
    </cfRule>
  </conditionalFormatting>
  <conditionalFormatting sqref="L2402">
    <cfRule type="containsText" dxfId="279" priority="386" operator="containsText" text="Pesquisa de Preços">
      <formula>NOT(ISERROR(SEARCH("Pesquisa de Preços",L2402)))</formula>
    </cfRule>
  </conditionalFormatting>
  <conditionalFormatting sqref="L2410">
    <cfRule type="containsText" dxfId="278" priority="385" operator="containsText" text="Pesquisa de Preços">
      <formula>NOT(ISERROR(SEARCH("Pesquisa de Preços",L2410)))</formula>
    </cfRule>
  </conditionalFormatting>
  <conditionalFormatting sqref="L2414">
    <cfRule type="containsText" dxfId="277" priority="384" operator="containsText" text="Pesquisa de Preços">
      <formula>NOT(ISERROR(SEARCH("Pesquisa de Preços",L2414)))</formula>
    </cfRule>
  </conditionalFormatting>
  <conditionalFormatting sqref="L2418">
    <cfRule type="containsText" dxfId="276" priority="383" operator="containsText" text="Pesquisa de Preços">
      <formula>NOT(ISERROR(SEARCH("Pesquisa de Preços",L2418)))</formula>
    </cfRule>
  </conditionalFormatting>
  <conditionalFormatting sqref="L2422">
    <cfRule type="containsText" dxfId="275" priority="382" operator="containsText" text="Pesquisa de Preços">
      <formula>NOT(ISERROR(SEARCH("Pesquisa de Preços",L2422)))</formula>
    </cfRule>
  </conditionalFormatting>
  <conditionalFormatting sqref="L2426">
    <cfRule type="containsText" dxfId="274" priority="381" operator="containsText" text="Pesquisa de Preços">
      <formula>NOT(ISERROR(SEARCH("Pesquisa de Preços",L2426)))</formula>
    </cfRule>
  </conditionalFormatting>
  <conditionalFormatting sqref="L2430">
    <cfRule type="containsText" dxfId="273" priority="380" operator="containsText" text="Pesquisa de Preços">
      <formula>NOT(ISERROR(SEARCH("Pesquisa de Preços",L2430)))</formula>
    </cfRule>
  </conditionalFormatting>
  <conditionalFormatting sqref="L4883:L4885">
    <cfRule type="containsText" dxfId="272" priority="481" operator="containsText" text="Pesquisa de Preços">
      <formula>NOT(ISERROR(SEARCH("Pesquisa de Preços",L4883)))</formula>
    </cfRule>
  </conditionalFormatting>
  <conditionalFormatting sqref="L4887:L4890">
    <cfRule type="containsText" dxfId="271" priority="480" operator="containsText" text="Pesquisa de Preços">
      <formula>NOT(ISERROR(SEARCH("Pesquisa de Preços",L4887)))</formula>
    </cfRule>
  </conditionalFormatting>
  <conditionalFormatting sqref="L4892:L4899">
    <cfRule type="containsText" dxfId="270" priority="277" operator="containsText" text="Pesquisa de Preços">
      <formula>NOT(ISERROR(SEARCH("Pesquisa de Preços",L4892)))</formula>
    </cfRule>
  </conditionalFormatting>
  <conditionalFormatting sqref="L4901">
    <cfRule type="containsText" dxfId="269" priority="479" operator="containsText" text="Pesquisa de Preços">
      <formula>NOT(ISERROR(SEARCH("Pesquisa de Preços",L4901)))</formula>
    </cfRule>
  </conditionalFormatting>
  <conditionalFormatting sqref="L4942:L4944">
    <cfRule type="containsText" dxfId="268" priority="473" operator="containsText" text="Pesquisa de Preços">
      <formula>NOT(ISERROR(SEARCH("Pesquisa de Preços",L4942)))</formula>
    </cfRule>
  </conditionalFormatting>
  <conditionalFormatting sqref="L4948:L4951">
    <cfRule type="containsText" dxfId="267" priority="471" operator="containsText" text="Pesquisa de Preços">
      <formula>NOT(ISERROR(SEARCH("Pesquisa de Preços",L4948)))</formula>
    </cfRule>
  </conditionalFormatting>
  <conditionalFormatting sqref="L4955:L4958">
    <cfRule type="containsText" dxfId="266" priority="469" operator="containsText" text="Pesquisa de Preços">
      <formula>NOT(ISERROR(SEARCH("Pesquisa de Preços",L4955)))</formula>
    </cfRule>
  </conditionalFormatting>
  <conditionalFormatting sqref="L4962:L4965">
    <cfRule type="containsText" dxfId="265" priority="276" operator="containsText" text="Pesquisa de Preços">
      <formula>NOT(ISERROR(SEARCH("Pesquisa de Preços",L4962)))</formula>
    </cfRule>
  </conditionalFormatting>
  <conditionalFormatting sqref="L4969">
    <cfRule type="containsText" dxfId="264" priority="468" operator="containsText" text="Pesquisa de Preços">
      <formula>NOT(ISERROR(SEARCH("Pesquisa de Preços",L4969)))</formula>
    </cfRule>
  </conditionalFormatting>
  <conditionalFormatting sqref="L4972">
    <cfRule type="containsText" dxfId="263" priority="466" operator="containsText" text="Pesquisa de Preços">
      <formula>NOT(ISERROR(SEARCH("Pesquisa de Preços",L4972)))</formula>
    </cfRule>
  </conditionalFormatting>
  <conditionalFormatting sqref="L4987:L4988">
    <cfRule type="containsText" dxfId="262" priority="461" operator="containsText" text="Pesquisa de Preços">
      <formula>NOT(ISERROR(SEARCH("Pesquisa de Preços",L4987)))</formula>
    </cfRule>
  </conditionalFormatting>
  <conditionalFormatting sqref="L4992:L4997">
    <cfRule type="containsText" dxfId="261" priority="416" operator="containsText" text="Pesquisa de Preços">
      <formula>NOT(ISERROR(SEARCH("Pesquisa de Preços",L4992)))</formula>
    </cfRule>
  </conditionalFormatting>
  <conditionalFormatting sqref="L4999:L5000">
    <cfRule type="containsText" dxfId="260" priority="459" operator="containsText" text="Pesquisa de Preços">
      <formula>NOT(ISERROR(SEARCH("Pesquisa de Preços",L4999)))</formula>
    </cfRule>
  </conditionalFormatting>
  <conditionalFormatting sqref="L5005:L5008">
    <cfRule type="containsText" dxfId="259" priority="457" operator="containsText" text="Pesquisa de Preços">
      <formula>NOT(ISERROR(SEARCH("Pesquisa de Preços",L5005)))</formula>
    </cfRule>
  </conditionalFormatting>
  <conditionalFormatting sqref="L5010">
    <cfRule type="containsText" dxfId="258" priority="458" operator="containsText" text="Pesquisa de Preços">
      <formula>NOT(ISERROR(SEARCH("Pesquisa de Preços",L5010)))</formula>
    </cfRule>
  </conditionalFormatting>
  <conditionalFormatting sqref="L5019:L5021">
    <cfRule type="containsText" dxfId="257" priority="455" operator="containsText" text="Pesquisa de Preços">
      <formula>NOT(ISERROR(SEARCH("Pesquisa de Preços",L5019)))</formula>
    </cfRule>
  </conditionalFormatting>
  <conditionalFormatting sqref="L5024:L5031">
    <cfRule type="containsText" dxfId="256" priority="451" operator="containsText" text="Pesquisa de Preços">
      <formula>NOT(ISERROR(SEARCH("Pesquisa de Preços",L5024)))</formula>
    </cfRule>
  </conditionalFormatting>
  <conditionalFormatting sqref="L5034:L5037">
    <cfRule type="containsText" dxfId="255" priority="449" operator="containsText" text="Pesquisa de Preços">
      <formula>NOT(ISERROR(SEARCH("Pesquisa de Preços",L5034)))</formula>
    </cfRule>
  </conditionalFormatting>
  <conditionalFormatting sqref="L5040:L5050">
    <cfRule type="containsText" dxfId="254" priority="274" operator="containsText" text="Pesquisa de Preços">
      <formula>NOT(ISERROR(SEARCH("Pesquisa de Preços",L5040)))</formula>
    </cfRule>
  </conditionalFormatting>
  <conditionalFormatting sqref="L5053:L5055">
    <cfRule type="containsText" dxfId="253" priority="441" operator="containsText" text="Pesquisa de Preços">
      <formula>NOT(ISERROR(SEARCH("Pesquisa de Preços",L5053)))</formula>
    </cfRule>
  </conditionalFormatting>
  <conditionalFormatting sqref="L5071:L5075">
    <cfRule type="containsText" dxfId="252" priority="427" operator="containsText" text="Pesquisa de Preços">
      <formula>NOT(ISERROR(SEARCH("Pesquisa de Preços",L5071)))</formula>
    </cfRule>
  </conditionalFormatting>
  <conditionalFormatting sqref="L5077:L5081">
    <cfRule type="containsText" dxfId="251" priority="429" operator="containsText" text="Pesquisa de Preços">
      <formula>NOT(ISERROR(SEARCH("Pesquisa de Preços",L5077)))</formula>
    </cfRule>
  </conditionalFormatting>
  <conditionalFormatting sqref="L5083:L5097">
    <cfRule type="containsText" dxfId="250" priority="417" operator="containsText" text="Pesquisa de Preços">
      <formula>NOT(ISERROR(SEARCH("Pesquisa de Preços",L5083)))</formula>
    </cfRule>
  </conditionalFormatting>
  <conditionalFormatting sqref="L5101:L5103">
    <cfRule type="containsText" dxfId="249" priority="411" operator="containsText" text="Pesquisa de Preços">
      <formula>NOT(ISERROR(SEARCH("Pesquisa de Preços",L5101)))</formula>
    </cfRule>
  </conditionalFormatting>
  <conditionalFormatting sqref="L5108:L5110">
    <cfRule type="containsText" dxfId="248" priority="409" operator="containsText" text="Pesquisa de Preços">
      <formula>NOT(ISERROR(SEARCH("Pesquisa de Preços",L5108)))</formula>
    </cfRule>
  </conditionalFormatting>
  <conditionalFormatting sqref="L5119">
    <cfRule type="containsText" dxfId="247" priority="410" operator="containsText" text="Pesquisa de Preços">
      <formula>NOT(ISERROR(SEARCH("Pesquisa de Preços",L5119)))</formula>
    </cfRule>
  </conditionalFormatting>
  <conditionalFormatting sqref="L5264">
    <cfRule type="containsText" dxfId="246" priority="408" operator="containsText" text="Pesquisa de Preços">
      <formula>NOT(ISERROR(SEARCH("Pesquisa de Preços",L5264)))</formula>
    </cfRule>
  </conditionalFormatting>
  <conditionalFormatting sqref="L5276:L5277">
    <cfRule type="containsText" dxfId="245" priority="388" operator="containsText" text="Pesquisa de Preços">
      <formula>NOT(ISERROR(SEARCH("Pesquisa de Preços",L5276)))</formula>
    </cfRule>
  </conditionalFormatting>
  <conditionalFormatting sqref="L5284">
    <cfRule type="containsText" dxfId="244" priority="389" operator="containsText" text="Pesquisa de Preços">
      <formula>NOT(ISERROR(SEARCH("Pesquisa de Preços",L5284)))</formula>
    </cfRule>
  </conditionalFormatting>
  <conditionalFormatting sqref="L5290">
    <cfRule type="containsText" dxfId="243" priority="406" operator="containsText" text="Pesquisa de Preços">
      <formula>NOT(ISERROR(SEARCH("Pesquisa de Preços",L5290)))</formula>
    </cfRule>
  </conditionalFormatting>
  <conditionalFormatting sqref="L5340:L5360">
    <cfRule type="containsText" dxfId="242" priority="358" operator="containsText" text="Pesquisa de Preços">
      <formula>NOT(ISERROR(SEARCH("Pesquisa de Preços",L5340)))</formula>
    </cfRule>
  </conditionalFormatting>
  <conditionalFormatting sqref="L5363">
    <cfRule type="containsText" dxfId="241" priority="357" operator="containsText" text="Pesquisa de Preços">
      <formula>NOT(ISERROR(SEARCH("Pesquisa de Preços",L5363)))</formula>
    </cfRule>
  </conditionalFormatting>
  <conditionalFormatting sqref="L5372:L5375">
    <cfRule type="containsText" dxfId="240" priority="353" operator="containsText" text="Pesquisa de Preços">
      <formula>NOT(ISERROR(SEARCH("Pesquisa de Preços",L5372)))</formula>
    </cfRule>
  </conditionalFormatting>
  <conditionalFormatting sqref="L5377:L5382">
    <cfRule type="containsText" dxfId="239" priority="349" operator="containsText" text="Pesquisa de Preços">
      <formula>NOT(ISERROR(SEARCH("Pesquisa de Preços",L5377)))</formula>
    </cfRule>
  </conditionalFormatting>
  <conditionalFormatting sqref="L5385:L5388">
    <cfRule type="containsText" dxfId="238" priority="346" operator="containsText" text="Pesquisa de Preços">
      <formula>NOT(ISERROR(SEARCH("Pesquisa de Preços",L5385)))</formula>
    </cfRule>
  </conditionalFormatting>
  <conditionalFormatting sqref="L5391:L5394">
    <cfRule type="containsText" dxfId="237" priority="343" operator="containsText" text="Pesquisa de Preços">
      <formula>NOT(ISERROR(SEARCH("Pesquisa de Preços",L5391)))</formula>
    </cfRule>
  </conditionalFormatting>
  <conditionalFormatting sqref="L5399:L5402">
    <cfRule type="containsText" dxfId="236" priority="340" operator="containsText" text="Pesquisa de Preços">
      <formula>NOT(ISERROR(SEARCH("Pesquisa de Preços",L5399)))</formula>
    </cfRule>
  </conditionalFormatting>
  <conditionalFormatting sqref="L5407:L5410">
    <cfRule type="containsText" dxfId="235" priority="337" operator="containsText" text="Pesquisa de Preços">
      <formula>NOT(ISERROR(SEARCH("Pesquisa de Preços",L5407)))</formula>
    </cfRule>
  </conditionalFormatting>
  <conditionalFormatting sqref="L5415:L5418">
    <cfRule type="containsText" dxfId="234" priority="334" operator="containsText" text="Pesquisa de Preços">
      <formula>NOT(ISERROR(SEARCH("Pesquisa de Preços",L5415)))</formula>
    </cfRule>
  </conditionalFormatting>
  <conditionalFormatting sqref="L5422">
    <cfRule type="containsText" dxfId="233" priority="336" operator="containsText" text="Pesquisa de Preços">
      <formula>NOT(ISERROR(SEARCH("Pesquisa de Preços",L5422)))</formula>
    </cfRule>
  </conditionalFormatting>
  <conditionalFormatting sqref="L5432">
    <cfRule type="containsText" dxfId="232" priority="333" operator="containsText" text="Pesquisa de Preços">
      <formula>NOT(ISERROR(SEARCH("Pesquisa de Preços",L5432)))</formula>
    </cfRule>
  </conditionalFormatting>
  <conditionalFormatting sqref="L5444:L5447">
    <cfRule type="containsText" dxfId="231" priority="329" operator="containsText" text="Pesquisa de Preços">
      <formula>NOT(ISERROR(SEARCH("Pesquisa de Preços",L5444)))</formula>
    </cfRule>
  </conditionalFormatting>
  <conditionalFormatting sqref="L5450:L5453">
    <cfRule type="containsText" dxfId="230" priority="326" operator="containsText" text="Pesquisa de Preços">
      <formula>NOT(ISERROR(SEARCH("Pesquisa de Preços",L5450)))</formula>
    </cfRule>
  </conditionalFormatting>
  <conditionalFormatting sqref="L5456:L5459">
    <cfRule type="containsText" dxfId="229" priority="323" operator="containsText" text="Pesquisa de Preços">
      <formula>NOT(ISERROR(SEARCH("Pesquisa de Preços",L5456)))</formula>
    </cfRule>
  </conditionalFormatting>
  <conditionalFormatting sqref="L5461:L5466">
    <cfRule type="containsText" dxfId="228" priority="319" operator="containsText" text="Pesquisa de Preços">
      <formula>NOT(ISERROR(SEARCH("Pesquisa de Preços",L5461)))</formula>
    </cfRule>
  </conditionalFormatting>
  <conditionalFormatting sqref="L5469:L5472">
    <cfRule type="containsText" dxfId="227" priority="316" operator="containsText" text="Pesquisa de Preços">
      <formula>NOT(ISERROR(SEARCH("Pesquisa de Preços",L5469)))</formula>
    </cfRule>
  </conditionalFormatting>
  <conditionalFormatting sqref="L5475:L5479">
    <cfRule type="containsText" dxfId="226" priority="312" operator="containsText" text="Pesquisa de Preços">
      <formula>NOT(ISERROR(SEARCH("Pesquisa de Preços",L5475)))</formula>
    </cfRule>
  </conditionalFormatting>
  <conditionalFormatting sqref="L5481:L5490">
    <cfRule type="containsText" dxfId="225" priority="302" operator="containsText" text="Pesquisa de Preços">
      <formula>NOT(ISERROR(SEARCH("Pesquisa de Preços",L5481)))</formula>
    </cfRule>
  </conditionalFormatting>
  <conditionalFormatting sqref="L5492:L5496">
    <cfRule type="containsText" dxfId="224" priority="305" operator="containsText" text="Pesquisa de Preços">
      <formula>NOT(ISERROR(SEARCH("Pesquisa de Preços",L5492)))</formula>
    </cfRule>
  </conditionalFormatting>
  <conditionalFormatting sqref="L6167">
    <cfRule type="containsText" dxfId="223" priority="294" operator="containsText" text="Pesquisa de Preços">
      <formula>NOT(ISERROR(SEARCH("Pesquisa de Preços",L6167)))</formula>
    </cfRule>
  </conditionalFormatting>
  <conditionalFormatting sqref="L6178">
    <cfRule type="containsText" dxfId="222" priority="293" operator="containsText" text="Pesquisa de Preços">
      <formula>NOT(ISERROR(SEARCH("Pesquisa de Preços",L6178)))</formula>
    </cfRule>
  </conditionalFormatting>
  <conditionalFormatting sqref="L6381:L6382">
    <cfRule type="containsText" dxfId="221" priority="295" operator="containsText" text="Pesquisa de Preços">
      <formula>NOT(ISERROR(SEARCH("Pesquisa de Preços",L6381)))</formula>
    </cfRule>
  </conditionalFormatting>
  <conditionalFormatting sqref="L6386:L6388">
    <cfRule type="containsText" dxfId="220" priority="299" operator="containsText" text="Pesquisa de Preços">
      <formula>NOT(ISERROR(SEARCH("Pesquisa de Preços",L6386)))</formula>
    </cfRule>
  </conditionalFormatting>
  <conditionalFormatting sqref="L6392:L6395">
    <cfRule type="containsText" dxfId="219" priority="296" operator="containsText" text="Pesquisa de Preços">
      <formula>NOT(ISERROR(SEARCH("Pesquisa de Preços",L6392)))</formula>
    </cfRule>
  </conditionalFormatting>
  <conditionalFormatting sqref="L6398:L6401">
    <cfRule type="containsText" dxfId="218" priority="264" operator="containsText" text="Pesquisa de Preços">
      <formula>NOT(ISERROR(SEARCH("Pesquisa de Preços",L6398)))</formula>
    </cfRule>
  </conditionalFormatting>
  <conditionalFormatting sqref="L6405:L6407">
    <cfRule type="containsText" dxfId="217" priority="262" operator="containsText" text="Pesquisa de Preços">
      <formula>NOT(ISERROR(SEARCH("Pesquisa de Preços",L6405)))</formula>
    </cfRule>
  </conditionalFormatting>
  <conditionalFormatting sqref="L6409:L6411">
    <cfRule type="containsText" dxfId="216" priority="260" operator="containsText" text="Pesquisa de Preços">
      <formula>NOT(ISERROR(SEARCH("Pesquisa de Preços",L6409)))</formula>
    </cfRule>
  </conditionalFormatting>
  <conditionalFormatting sqref="L6414:L6416">
    <cfRule type="containsText" dxfId="215" priority="258" operator="containsText" text="Pesquisa de Preços">
      <formula>NOT(ISERROR(SEARCH("Pesquisa de Preços",L6414)))</formula>
    </cfRule>
  </conditionalFormatting>
  <conditionalFormatting sqref="L6418:L6420">
    <cfRule type="containsText" dxfId="214" priority="256" operator="containsText" text="Pesquisa de Preços">
      <formula>NOT(ISERROR(SEARCH("Pesquisa de Preços",L6418)))</formula>
    </cfRule>
  </conditionalFormatting>
  <conditionalFormatting sqref="L6422:L6424">
    <cfRule type="containsText" dxfId="213" priority="257" operator="containsText" text="Pesquisa de Preços">
      <formula>NOT(ISERROR(SEARCH("Pesquisa de Preços",L6422)))</formula>
    </cfRule>
  </conditionalFormatting>
  <conditionalFormatting sqref="L6427:L6430">
    <cfRule type="containsText" dxfId="212" priority="267" operator="containsText" text="Pesquisa de Preços">
      <formula>NOT(ISERROR(SEARCH("Pesquisa de Preços",L6427)))</formula>
    </cfRule>
  </conditionalFormatting>
  <conditionalFormatting sqref="L6432">
    <cfRule type="containsText" dxfId="211" priority="269" operator="containsText" text="Pesquisa de Preços">
      <formula>NOT(ISERROR(SEARCH("Pesquisa de Preços",L6432)))</formula>
    </cfRule>
  </conditionalFormatting>
  <conditionalFormatting sqref="L6445:L6446">
    <cfRule type="containsText" dxfId="210" priority="251" operator="containsText" text="Pesquisa de Preços">
      <formula>NOT(ISERROR(SEARCH("Pesquisa de Preços",L6445)))</formula>
    </cfRule>
  </conditionalFormatting>
  <conditionalFormatting sqref="L6449:L6452">
    <cfRule type="containsText" dxfId="209" priority="248" operator="containsText" text="Pesquisa de Preços">
      <formula>NOT(ISERROR(SEARCH("Pesquisa de Preços",L6449)))</formula>
    </cfRule>
  </conditionalFormatting>
  <conditionalFormatting sqref="L6458:L6461">
    <cfRule type="containsText" dxfId="208" priority="245" operator="containsText" text="Pesquisa de Preços">
      <formula>NOT(ISERROR(SEARCH("Pesquisa de Preços",L6458)))</formula>
    </cfRule>
  </conditionalFormatting>
  <conditionalFormatting sqref="L6465:L6468">
    <cfRule type="containsText" dxfId="207" priority="240" operator="containsText" text="Pesquisa de Preços">
      <formula>NOT(ISERROR(SEARCH("Pesquisa de Preços",L6465)))</formula>
    </cfRule>
  </conditionalFormatting>
  <conditionalFormatting sqref="L6472:L6474">
    <cfRule type="containsText" dxfId="206" priority="241" operator="containsText" text="Pesquisa de Preços">
      <formula>NOT(ISERROR(SEARCH("Pesquisa de Preços",L6472)))</formula>
    </cfRule>
  </conditionalFormatting>
  <conditionalFormatting sqref="L6479">
    <cfRule type="containsText" dxfId="205" priority="239" operator="containsText" text="Pesquisa de Preços">
      <formula>NOT(ISERROR(SEARCH("Pesquisa de Preços",L6479)))</formula>
    </cfRule>
  </conditionalFormatting>
  <conditionalFormatting sqref="L6494:L6495">
    <cfRule type="containsText" dxfId="204" priority="128" operator="containsText" text="Pesquisa de Preços">
      <formula>NOT(ISERROR(SEARCH("Pesquisa de Preços",L6494)))</formula>
    </cfRule>
  </conditionalFormatting>
  <conditionalFormatting sqref="L6497:L6499">
    <cfRule type="containsText" dxfId="203" priority="129" operator="containsText" text="Pesquisa de Preços">
      <formula>NOT(ISERROR(SEARCH("Pesquisa de Preços",L6497)))</formula>
    </cfRule>
  </conditionalFormatting>
  <conditionalFormatting sqref="L6501:L6503">
    <cfRule type="containsText" dxfId="202" priority="235" operator="containsText" text="Pesquisa de Preços">
      <formula>NOT(ISERROR(SEARCH("Pesquisa de Preços",L6501)))</formula>
    </cfRule>
  </conditionalFormatting>
  <conditionalFormatting sqref="L6505:L6507">
    <cfRule type="containsText" dxfId="201" priority="233" operator="containsText" text="Pesquisa de Preços">
      <formula>NOT(ISERROR(SEARCH("Pesquisa de Preços",L6505)))</formula>
    </cfRule>
  </conditionalFormatting>
  <conditionalFormatting sqref="L6509:L6511">
    <cfRule type="containsText" dxfId="200" priority="231" operator="containsText" text="Pesquisa de Preços">
      <formula>NOT(ISERROR(SEARCH("Pesquisa de Preços",L6509)))</formula>
    </cfRule>
  </conditionalFormatting>
  <conditionalFormatting sqref="L6513:L6515">
    <cfRule type="containsText" dxfId="199" priority="229" operator="containsText" text="Pesquisa de Preços">
      <formula>NOT(ISERROR(SEARCH("Pesquisa de Preços",L6513)))</formula>
    </cfRule>
  </conditionalFormatting>
  <conditionalFormatting sqref="L6517:L6519">
    <cfRule type="containsText" dxfId="198" priority="227" operator="containsText" text="Pesquisa de Preços">
      <formula>NOT(ISERROR(SEARCH("Pesquisa de Preços",L6517)))</formula>
    </cfRule>
  </conditionalFormatting>
  <conditionalFormatting sqref="L6521:L6523">
    <cfRule type="containsText" dxfId="197" priority="225" operator="containsText" text="Pesquisa de Preços">
      <formula>NOT(ISERROR(SEARCH("Pesquisa de Preços",L6521)))</formula>
    </cfRule>
  </conditionalFormatting>
  <conditionalFormatting sqref="L6525:L6527">
    <cfRule type="containsText" dxfId="196" priority="223" operator="containsText" text="Pesquisa de Preços">
      <formula>NOT(ISERROR(SEARCH("Pesquisa de Preços",L6525)))</formula>
    </cfRule>
  </conditionalFormatting>
  <conditionalFormatting sqref="L6529:L6531">
    <cfRule type="containsText" dxfId="195" priority="221" operator="containsText" text="Pesquisa de Preços">
      <formula>NOT(ISERROR(SEARCH("Pesquisa de Preços",L6529)))</formula>
    </cfRule>
  </conditionalFormatting>
  <conditionalFormatting sqref="L6533:L6535">
    <cfRule type="containsText" dxfId="194" priority="219" operator="containsText" text="Pesquisa de Preços">
      <formula>NOT(ISERROR(SEARCH("Pesquisa de Preços",L6533)))</formula>
    </cfRule>
  </conditionalFormatting>
  <conditionalFormatting sqref="L6537:L6539">
    <cfRule type="containsText" dxfId="193" priority="126" operator="containsText" text="Pesquisa de Preços">
      <formula>NOT(ISERROR(SEARCH("Pesquisa de Preços",L6537)))</formula>
    </cfRule>
  </conditionalFormatting>
  <conditionalFormatting sqref="L6541:L6543">
    <cfRule type="containsText" dxfId="192" priority="127" operator="containsText" text="Pesquisa de Preços">
      <formula>NOT(ISERROR(SEARCH("Pesquisa de Preços",L6541)))</formula>
    </cfRule>
  </conditionalFormatting>
  <conditionalFormatting sqref="L6545:L6547">
    <cfRule type="containsText" dxfId="191" priority="215" operator="containsText" text="Pesquisa de Preços">
      <formula>NOT(ISERROR(SEARCH("Pesquisa de Preços",L6545)))</formula>
    </cfRule>
  </conditionalFormatting>
  <conditionalFormatting sqref="L6549:L6551">
    <cfRule type="containsText" dxfId="190" priority="213" operator="containsText" text="Pesquisa de Preços">
      <formula>NOT(ISERROR(SEARCH("Pesquisa de Preços",L6549)))</formula>
    </cfRule>
  </conditionalFormatting>
  <conditionalFormatting sqref="L6553:L6555">
    <cfRule type="containsText" dxfId="189" priority="211" operator="containsText" text="Pesquisa de Preços">
      <formula>NOT(ISERROR(SEARCH("Pesquisa de Preços",L6553)))</formula>
    </cfRule>
  </conditionalFormatting>
  <conditionalFormatting sqref="L6557:L6559">
    <cfRule type="containsText" dxfId="188" priority="88" operator="containsText" text="Pesquisa de Preços">
      <formula>NOT(ISERROR(SEARCH("Pesquisa de Preços",L6557)))</formula>
    </cfRule>
  </conditionalFormatting>
  <conditionalFormatting sqref="L6561:L6563">
    <cfRule type="containsText" dxfId="187" priority="89" operator="containsText" text="Pesquisa de Preços">
      <formula>NOT(ISERROR(SEARCH("Pesquisa de Preços",L6561)))</formula>
    </cfRule>
  </conditionalFormatting>
  <conditionalFormatting sqref="L6565:L6567">
    <cfRule type="containsText" dxfId="186" priority="207" operator="containsText" text="Pesquisa de Preços">
      <formula>NOT(ISERROR(SEARCH("Pesquisa de Preços",L6565)))</formula>
    </cfRule>
  </conditionalFormatting>
  <conditionalFormatting sqref="L6569:L6571">
    <cfRule type="containsText" dxfId="185" priority="205" operator="containsText" text="Pesquisa de Preços">
      <formula>NOT(ISERROR(SEARCH("Pesquisa de Preços",L6569)))</formula>
    </cfRule>
  </conditionalFormatting>
  <conditionalFormatting sqref="L6573:L6575">
    <cfRule type="containsText" dxfId="184" priority="203" operator="containsText" text="Pesquisa de Preços">
      <formula>NOT(ISERROR(SEARCH("Pesquisa de Preços",L6573)))</formula>
    </cfRule>
  </conditionalFormatting>
  <conditionalFormatting sqref="L6577:L6579">
    <cfRule type="containsText" dxfId="183" priority="201" operator="containsText" text="Pesquisa de Preços">
      <formula>NOT(ISERROR(SEARCH("Pesquisa de Preços",L6577)))</formula>
    </cfRule>
  </conditionalFormatting>
  <conditionalFormatting sqref="L6581:L6583">
    <cfRule type="containsText" dxfId="182" priority="199" operator="containsText" text="Pesquisa de Preços">
      <formula>NOT(ISERROR(SEARCH("Pesquisa de Preços",L6581)))</formula>
    </cfRule>
  </conditionalFormatting>
  <conditionalFormatting sqref="L6585:L6587">
    <cfRule type="containsText" dxfId="181" priority="124" operator="containsText" text="Pesquisa de Preços">
      <formula>NOT(ISERROR(SEARCH("Pesquisa de Preços",L6585)))</formula>
    </cfRule>
  </conditionalFormatting>
  <conditionalFormatting sqref="L6589:L6591">
    <cfRule type="containsText" dxfId="180" priority="125" operator="containsText" text="Pesquisa de Preços">
      <formula>NOT(ISERROR(SEARCH("Pesquisa de Preços",L6589)))</formula>
    </cfRule>
  </conditionalFormatting>
  <conditionalFormatting sqref="L6593:L6595">
    <cfRule type="containsText" dxfId="179" priority="195" operator="containsText" text="Pesquisa de Preços">
      <formula>NOT(ISERROR(SEARCH("Pesquisa de Preços",L6593)))</formula>
    </cfRule>
  </conditionalFormatting>
  <conditionalFormatting sqref="L6597:L6599">
    <cfRule type="containsText" dxfId="178" priority="193" operator="containsText" text="Pesquisa de Preços">
      <formula>NOT(ISERROR(SEARCH("Pesquisa de Preços",L6597)))</formula>
    </cfRule>
  </conditionalFormatting>
  <conditionalFormatting sqref="L6601:L6603">
    <cfRule type="containsText" dxfId="177" priority="191" operator="containsText" text="Pesquisa de Preços">
      <formula>NOT(ISERROR(SEARCH("Pesquisa de Preços",L6601)))</formula>
    </cfRule>
  </conditionalFormatting>
  <conditionalFormatting sqref="L6605:L6607">
    <cfRule type="containsText" dxfId="176" priority="189" operator="containsText" text="Pesquisa de Preços">
      <formula>NOT(ISERROR(SEARCH("Pesquisa de Preços",L6605)))</formula>
    </cfRule>
  </conditionalFormatting>
  <conditionalFormatting sqref="L6609:L6611">
    <cfRule type="containsText" dxfId="175" priority="187" operator="containsText" text="Pesquisa de Preços">
      <formula>NOT(ISERROR(SEARCH("Pesquisa de Preços",L6609)))</formula>
    </cfRule>
  </conditionalFormatting>
  <conditionalFormatting sqref="L6613:L6615">
    <cfRule type="containsText" dxfId="174" priority="185" operator="containsText" text="Pesquisa de Preços">
      <formula>NOT(ISERROR(SEARCH("Pesquisa de Preços",L6613)))</formula>
    </cfRule>
  </conditionalFormatting>
  <conditionalFormatting sqref="L6617:L6619">
    <cfRule type="containsText" dxfId="173" priority="183" operator="containsText" text="Pesquisa de Preços">
      <formula>NOT(ISERROR(SEARCH("Pesquisa de Preços",L6617)))</formula>
    </cfRule>
  </conditionalFormatting>
  <conditionalFormatting sqref="L6621:L6623">
    <cfRule type="containsText" dxfId="172" priority="181" operator="containsText" text="Pesquisa de Preços">
      <formula>NOT(ISERROR(SEARCH("Pesquisa de Preços",L6621)))</formula>
    </cfRule>
  </conditionalFormatting>
  <conditionalFormatting sqref="L6625:L6627">
    <cfRule type="containsText" dxfId="171" priority="114" operator="containsText" text="Pesquisa de Preços">
      <formula>NOT(ISERROR(SEARCH("Pesquisa de Preços",L6625)))</formula>
    </cfRule>
  </conditionalFormatting>
  <conditionalFormatting sqref="L6629:L6631">
    <cfRule type="containsText" dxfId="170" priority="115" operator="containsText" text="Pesquisa de Preços">
      <formula>NOT(ISERROR(SEARCH("Pesquisa de Preços",L6629)))</formula>
    </cfRule>
  </conditionalFormatting>
  <conditionalFormatting sqref="L6633:L6635">
    <cfRule type="containsText" dxfId="169" priority="117" operator="containsText" text="Pesquisa de Preços">
      <formula>NOT(ISERROR(SEARCH("Pesquisa de Preços",L6633)))</formula>
    </cfRule>
  </conditionalFormatting>
  <conditionalFormatting sqref="L6637:L6639">
    <cfRule type="containsText" dxfId="168" priority="131" operator="containsText" text="Pesquisa de Preços">
      <formula>NOT(ISERROR(SEARCH("Pesquisa de Preços",L6637)))</formula>
    </cfRule>
  </conditionalFormatting>
  <conditionalFormatting sqref="L6641:L6643">
    <cfRule type="containsText" dxfId="167" priority="177" operator="containsText" text="Pesquisa de Preços">
      <formula>NOT(ISERROR(SEARCH("Pesquisa de Preços",L6641)))</formula>
    </cfRule>
  </conditionalFormatting>
  <conditionalFormatting sqref="L6645:L6647">
    <cfRule type="containsText" dxfId="166" priority="175" operator="containsText" text="Pesquisa de Preços">
      <formula>NOT(ISERROR(SEARCH("Pesquisa de Preços",L6645)))</formula>
    </cfRule>
  </conditionalFormatting>
  <conditionalFormatting sqref="L6649:L6651">
    <cfRule type="containsText" dxfId="165" priority="122" operator="containsText" text="Pesquisa de Preços">
      <formula>NOT(ISERROR(SEARCH("Pesquisa de Preços",L6649)))</formula>
    </cfRule>
  </conditionalFormatting>
  <conditionalFormatting sqref="L6653:L6655">
    <cfRule type="containsText" dxfId="164" priority="120" operator="containsText" text="Pesquisa de Preços">
      <formula>NOT(ISERROR(SEARCH("Pesquisa de Preços",L6653)))</formula>
    </cfRule>
  </conditionalFormatting>
  <conditionalFormatting sqref="L6657:L6659">
    <cfRule type="containsText" dxfId="163" priority="118" operator="containsText" text="Pesquisa de Preços">
      <formula>NOT(ISERROR(SEARCH("Pesquisa de Preços",L6657)))</formula>
    </cfRule>
  </conditionalFormatting>
  <conditionalFormatting sqref="L6661:L6663">
    <cfRule type="containsText" dxfId="162" priority="119" operator="containsText" text="Pesquisa de Preços">
      <formula>NOT(ISERROR(SEARCH("Pesquisa de Preços",L6661)))</formula>
    </cfRule>
  </conditionalFormatting>
  <conditionalFormatting sqref="L6665:L6667">
    <cfRule type="containsText" dxfId="161" priority="171" operator="containsText" text="Pesquisa de Preços">
      <formula>NOT(ISERROR(SEARCH("Pesquisa de Preços",L6665)))</formula>
    </cfRule>
  </conditionalFormatting>
  <conditionalFormatting sqref="L6669:L6671">
    <cfRule type="containsText" dxfId="160" priority="169" operator="containsText" text="Pesquisa de Preços">
      <formula>NOT(ISERROR(SEARCH("Pesquisa de Preços",L6669)))</formula>
    </cfRule>
  </conditionalFormatting>
  <conditionalFormatting sqref="L6673:L6675">
    <cfRule type="containsText" dxfId="159" priority="167" operator="containsText" text="Pesquisa de Preços">
      <formula>NOT(ISERROR(SEARCH("Pesquisa de Preços",L6673)))</formula>
    </cfRule>
  </conditionalFormatting>
  <conditionalFormatting sqref="L6677:L6679">
    <cfRule type="containsText" dxfId="158" priority="165" operator="containsText" text="Pesquisa de Preços">
      <formula>NOT(ISERROR(SEARCH("Pesquisa de Preços",L6677)))</formula>
    </cfRule>
  </conditionalFormatting>
  <conditionalFormatting sqref="L6681:L6683 L6685:L6687 L6689:L6691 L6693:L6695 L6697:L6699 L6701:L6703 L6705:L6707 L6709:L6711 L6713:L6715 L6717:L6719 L6729:L6731 L6733:L6735 L6737:L6739 L6741:L6743 L6745:L6747 L6749:L6751 L6753:L6755 L6757:L6759 L6761:L6763 L6765:L6767 L6769:L6771 L6773:L6775 L6777:L6779 L6781:L6783 L6785:L6787 L6789:L6791 L6793:L6795 L6797:L6799 L6801:L6803 L6805:L6807 L6809:L6811 L6813:L6815 L6817:L6819 L6821:L6823 L6825:L6827 L6829:L6831 L6833:L6835 L6837:L6839 L6841:L6843 L6861:L6863">
    <cfRule type="containsText" dxfId="157" priority="112" operator="containsText" text="Pesquisa de Preços">
      <formula>NOT(ISERROR(SEARCH("Pesquisa de Preços",L6681)))</formula>
    </cfRule>
  </conditionalFormatting>
  <conditionalFormatting sqref="L6721:L6723">
    <cfRule type="containsText" dxfId="156" priority="90" operator="containsText" text="Pesquisa de Preços">
      <formula>NOT(ISERROR(SEARCH("Pesquisa de Preços",L6721)))</formula>
    </cfRule>
  </conditionalFormatting>
  <conditionalFormatting sqref="L6725:L6727">
    <cfRule type="containsText" dxfId="155" priority="91" operator="containsText" text="Pesquisa de Preços">
      <formula>NOT(ISERROR(SEARCH("Pesquisa de Preços",L6725)))</formula>
    </cfRule>
  </conditionalFormatting>
  <conditionalFormatting sqref="L6845:L6847">
    <cfRule type="containsText" dxfId="154" priority="92" operator="containsText" text="Pesquisa de Preços">
      <formula>NOT(ISERROR(SEARCH("Pesquisa de Preços",L6845)))</formula>
    </cfRule>
  </conditionalFormatting>
  <conditionalFormatting sqref="L6849:L6851 L6853:L6855">
    <cfRule type="containsText" dxfId="153" priority="80" operator="containsText" text="Pesquisa de Preços">
      <formula>NOT(ISERROR(SEARCH("Pesquisa de Preços",L6849)))</formula>
    </cfRule>
  </conditionalFormatting>
  <conditionalFormatting sqref="L6857:L6859">
    <cfRule type="containsText" dxfId="152" priority="81" operator="containsText" text="Pesquisa de Preços">
      <formula>NOT(ISERROR(SEARCH("Pesquisa de Preços",L6857)))</formula>
    </cfRule>
  </conditionalFormatting>
  <conditionalFormatting sqref="L6865:L6867">
    <cfRule type="containsText" dxfId="151" priority="113" operator="containsText" text="Pesquisa de Preços">
      <formula>NOT(ISERROR(SEARCH("Pesquisa de Preços",L6865)))</formula>
    </cfRule>
  </conditionalFormatting>
  <conditionalFormatting sqref="L6869:L6871">
    <cfRule type="containsText" dxfId="150" priority="161" operator="containsText" text="Pesquisa de Preços">
      <formula>NOT(ISERROR(SEARCH("Pesquisa de Preços",L6869)))</formula>
    </cfRule>
  </conditionalFormatting>
  <conditionalFormatting sqref="L6873:L6875">
    <cfRule type="containsText" dxfId="149" priority="159" operator="containsText" text="Pesquisa de Preços">
      <formula>NOT(ISERROR(SEARCH("Pesquisa de Preços",L6873)))</formula>
    </cfRule>
  </conditionalFormatting>
  <conditionalFormatting sqref="L6877:L6879">
    <cfRule type="containsText" dxfId="148" priority="157" operator="containsText" text="Pesquisa de Preços">
      <formula>NOT(ISERROR(SEARCH("Pesquisa de Preços",L6877)))</formula>
    </cfRule>
  </conditionalFormatting>
  <conditionalFormatting sqref="L6881:L6883">
    <cfRule type="containsText" dxfId="147" priority="155" operator="containsText" text="Pesquisa de Preços">
      <formula>NOT(ISERROR(SEARCH("Pesquisa de Preços",L6881)))</formula>
    </cfRule>
  </conditionalFormatting>
  <conditionalFormatting sqref="L6885:L6887">
    <cfRule type="containsText" dxfId="146" priority="153" operator="containsText" text="Pesquisa de Preços">
      <formula>NOT(ISERROR(SEARCH("Pesquisa de Preços",L6885)))</formula>
    </cfRule>
  </conditionalFormatting>
  <conditionalFormatting sqref="L6889:L6891">
    <cfRule type="containsText" dxfId="145" priority="86" operator="containsText" text="Pesquisa de Preços">
      <formula>NOT(ISERROR(SEARCH("Pesquisa de Preços",L6889)))</formula>
    </cfRule>
  </conditionalFormatting>
  <conditionalFormatting sqref="L6893:L6895">
    <cfRule type="containsText" dxfId="144" priority="84" operator="containsText" text="Pesquisa de Preços">
      <formula>NOT(ISERROR(SEARCH("Pesquisa de Preços",L6893)))</formula>
    </cfRule>
  </conditionalFormatting>
  <conditionalFormatting sqref="L6897:L6899">
    <cfRule type="containsText" dxfId="143" priority="150" operator="containsText" text="Pesquisa de Preços">
      <formula>NOT(ISERROR(SEARCH("Pesquisa de Preços",L6897)))</formula>
    </cfRule>
  </conditionalFormatting>
  <conditionalFormatting sqref="L6901:L6903">
    <cfRule type="containsText" dxfId="142" priority="110" operator="containsText" text="Pesquisa de Preços">
      <formula>NOT(ISERROR(SEARCH("Pesquisa de Preços",L6901)))</formula>
    </cfRule>
  </conditionalFormatting>
  <conditionalFormatting sqref="L6905:L6907">
    <cfRule type="containsText" dxfId="141" priority="108" operator="containsText" text="Pesquisa de Preços">
      <formula>NOT(ISERROR(SEARCH("Pesquisa de Preços",L6905)))</formula>
    </cfRule>
  </conditionalFormatting>
  <conditionalFormatting sqref="L6909:L6911">
    <cfRule type="containsText" dxfId="140" priority="72" operator="containsText" text="Pesquisa de Preços">
      <formula>NOT(ISERROR(SEARCH("Pesquisa de Preços",L6909)))</formula>
    </cfRule>
  </conditionalFormatting>
  <conditionalFormatting sqref="L6913:L6915">
    <cfRule type="containsText" dxfId="139" priority="73" operator="containsText" text="Pesquisa de Preços">
      <formula>NOT(ISERROR(SEARCH("Pesquisa de Preços",L6913)))</formula>
    </cfRule>
  </conditionalFormatting>
  <conditionalFormatting sqref="L6917:L6919">
    <cfRule type="containsText" dxfId="138" priority="104" operator="containsText" text="Pesquisa de Preços">
      <formula>NOT(ISERROR(SEARCH("Pesquisa de Preços",L6917)))</formula>
    </cfRule>
  </conditionalFormatting>
  <conditionalFormatting sqref="L6921:L6923">
    <cfRule type="containsText" dxfId="137" priority="105" operator="containsText" text="Pesquisa de Preços">
      <formula>NOT(ISERROR(SEARCH("Pesquisa de Preços",L6921)))</formula>
    </cfRule>
  </conditionalFormatting>
  <conditionalFormatting sqref="L6925:L6927">
    <cfRule type="containsText" dxfId="136" priority="107" operator="containsText" text="Pesquisa de Preços">
      <formula>NOT(ISERROR(SEARCH("Pesquisa de Preços",L6925)))</formula>
    </cfRule>
  </conditionalFormatting>
  <conditionalFormatting sqref="L6929:L6931">
    <cfRule type="containsText" dxfId="135" priority="144" operator="containsText" text="Pesquisa de Preços">
      <formula>NOT(ISERROR(SEARCH("Pesquisa de Preços",L6929)))</formula>
    </cfRule>
  </conditionalFormatting>
  <conditionalFormatting sqref="L6933:L6935">
    <cfRule type="containsText" dxfId="134" priority="142" operator="containsText" text="Pesquisa de Preços">
      <formula>NOT(ISERROR(SEARCH("Pesquisa de Preços",L6933)))</formula>
    </cfRule>
  </conditionalFormatting>
  <conditionalFormatting sqref="L6937:L6939">
    <cfRule type="containsText" dxfId="133" priority="140" operator="containsText" text="Pesquisa de Preços">
      <formula>NOT(ISERROR(SEARCH("Pesquisa de Preços",L6937)))</formula>
    </cfRule>
  </conditionalFormatting>
  <conditionalFormatting sqref="L6941:L6943">
    <cfRule type="containsText" dxfId="132" priority="138" operator="containsText" text="Pesquisa de Preços">
      <formula>NOT(ISERROR(SEARCH("Pesquisa de Preços",L6941)))</formula>
    </cfRule>
  </conditionalFormatting>
  <conditionalFormatting sqref="L6945:L6947">
    <cfRule type="containsText" dxfId="131" priority="136" operator="containsText" text="Pesquisa de Preços">
      <formula>NOT(ISERROR(SEARCH("Pesquisa de Preços",L6945)))</formula>
    </cfRule>
  </conditionalFormatting>
  <conditionalFormatting sqref="L6949:L6951">
    <cfRule type="containsText" dxfId="130" priority="134" operator="containsText" text="Pesquisa de Preços">
      <formula>NOT(ISERROR(SEARCH("Pesquisa de Preços",L6949)))</formula>
    </cfRule>
  </conditionalFormatting>
  <conditionalFormatting sqref="L6953:L6955">
    <cfRule type="containsText" dxfId="129" priority="132" operator="containsText" text="Pesquisa de Preços">
      <formula>NOT(ISERROR(SEARCH("Pesquisa de Preços",L6953)))</formula>
    </cfRule>
  </conditionalFormatting>
  <conditionalFormatting sqref="L6957:L6959 L6961:L6963 L6973:L6975 L6977:L6979 L6981:L6983 L6985:L6987 L6989:L6991 L6993:L6995 L6997:L6999 L7001:L7003 L7005:L7007 L7017:L7019 L7021:L7023 L7025:L7027 L7029:L7031 L7033:L7035">
    <cfRule type="containsText" dxfId="128" priority="102" operator="containsText" text="Pesquisa de Preços">
      <formula>NOT(ISERROR(SEARCH("Pesquisa de Preços",L6957)))</formula>
    </cfRule>
  </conditionalFormatting>
  <conditionalFormatting sqref="L6965:L6967">
    <cfRule type="containsText" dxfId="127" priority="70" operator="containsText" text="Pesquisa de Preços">
      <formula>NOT(ISERROR(SEARCH("Pesquisa de Preços",L6965)))</formula>
    </cfRule>
  </conditionalFormatting>
  <conditionalFormatting sqref="L6969:L6971">
    <cfRule type="containsText" dxfId="126" priority="71" operator="containsText" text="Pesquisa de Preços">
      <formula>NOT(ISERROR(SEARCH("Pesquisa de Preços",L6969)))</formula>
    </cfRule>
  </conditionalFormatting>
  <conditionalFormatting sqref="L7009:L7011">
    <cfRule type="containsText" dxfId="125" priority="82" operator="containsText" text="Pesquisa de Preços">
      <formula>NOT(ISERROR(SEARCH("Pesquisa de Preços",L7009)))</formula>
    </cfRule>
  </conditionalFormatting>
  <conditionalFormatting sqref="L7013:L7015">
    <cfRule type="containsText" dxfId="124" priority="83" operator="containsText" text="Pesquisa de Preços">
      <formula>NOT(ISERROR(SEARCH("Pesquisa de Preços",L7013)))</formula>
    </cfRule>
  </conditionalFormatting>
  <conditionalFormatting sqref="L7037:L7039">
    <cfRule type="containsText" dxfId="123" priority="98" operator="containsText" text="Pesquisa de Preços">
      <formula>NOT(ISERROR(SEARCH("Pesquisa de Preços",L7037)))</formula>
    </cfRule>
  </conditionalFormatting>
  <conditionalFormatting sqref="L7041:L7043">
    <cfRule type="containsText" dxfId="122" priority="96" operator="containsText" text="Pesquisa de Preços">
      <formula>NOT(ISERROR(SEARCH("Pesquisa de Preços",L7041)))</formula>
    </cfRule>
  </conditionalFormatting>
  <conditionalFormatting sqref="L7045:L7047">
    <cfRule type="containsText" dxfId="121" priority="94" operator="containsText" text="Pesquisa de Preços">
      <formula>NOT(ISERROR(SEARCH("Pesquisa de Preços",L7045)))</formula>
    </cfRule>
  </conditionalFormatting>
  <conditionalFormatting sqref="L7049:L7051">
    <cfRule type="containsText" dxfId="120" priority="95" operator="containsText" text="Pesquisa de Preços">
      <formula>NOT(ISERROR(SEARCH("Pesquisa de Preços",L7049)))</formula>
    </cfRule>
  </conditionalFormatting>
  <conditionalFormatting sqref="L7053:L7055 L7057:L7059 L7061:L7063 L7065:L7067 L7069:L7071 L7073:L7075 L7077:L7079 L7081:L7083 L7085:L7087 L7089:L7091 L7093:L7095 L7097:L7099 L7101:L7103 L7105:L7107 L7109:L7111 L7113:L7115 L7117:L7119 L7121:L7123 L7125:L7127 L7129:L7131 L7133:L7135 L7137:L7139 L7141:L7143">
    <cfRule type="containsText" dxfId="119" priority="100" operator="containsText" text="Pesquisa de Preços">
      <formula>NOT(ISERROR(SEARCH("Pesquisa de Preços",L7053)))</formula>
    </cfRule>
  </conditionalFormatting>
  <conditionalFormatting sqref="L7145">
    <cfRule type="containsText" dxfId="118" priority="101" operator="containsText" text="Pesquisa de Preços">
      <formula>NOT(ISERROR(SEARCH("Pesquisa de Preços",L7145)))</formula>
    </cfRule>
  </conditionalFormatting>
  <conditionalFormatting sqref="L7206:L7207">
    <cfRule type="containsText" dxfId="117" priority="76" operator="containsText" text="Pesquisa de Preços">
      <formula>NOT(ISERROR(SEARCH("Pesquisa de Preços",L7206)))</formula>
    </cfRule>
  </conditionalFormatting>
  <conditionalFormatting sqref="L7209:L7211">
    <cfRule type="containsText" dxfId="116" priority="74" operator="containsText" text="Pesquisa de Preços">
      <formula>NOT(ISERROR(SEARCH("Pesquisa de Preços",L7209)))</formula>
    </cfRule>
  </conditionalFormatting>
  <conditionalFormatting sqref="L7213:L7215">
    <cfRule type="containsText" dxfId="115" priority="75" operator="containsText" text="Pesquisa de Preços">
      <formula>NOT(ISERROR(SEARCH("Pesquisa de Preços",L7213)))</formula>
    </cfRule>
  </conditionalFormatting>
  <conditionalFormatting sqref="L7217:L7219">
    <cfRule type="containsText" dxfId="114" priority="78" operator="containsText" text="Pesquisa de Preços">
      <formula>NOT(ISERROR(SEARCH("Pesquisa de Preços",L7217)))</formula>
    </cfRule>
  </conditionalFormatting>
  <conditionalFormatting sqref="L7221:L7227">
    <cfRule type="containsText" dxfId="113" priority="65" operator="containsText" text="Pesquisa de Preços">
      <formula>NOT(ISERROR(SEARCH("Pesquisa de Preços",L7221)))</formula>
    </cfRule>
  </conditionalFormatting>
  <conditionalFormatting sqref="L7237:L7239">
    <cfRule type="containsText" dxfId="112" priority="63" operator="containsText" text="Pesquisa de Preços">
      <formula>NOT(ISERROR(SEARCH("Pesquisa de Preços",L7237)))</formula>
    </cfRule>
  </conditionalFormatting>
  <conditionalFormatting sqref="L7241:L7242">
    <cfRule type="containsText" dxfId="111" priority="53" operator="containsText" text="Pesquisa de Preços">
      <formula>NOT(ISERROR(SEARCH("Pesquisa de Preços",L7241)))</formula>
    </cfRule>
  </conditionalFormatting>
  <conditionalFormatting sqref="L7245:L7250">
    <cfRule type="containsText" dxfId="110" priority="50" operator="containsText" text="Pesquisa de Preços">
      <formula>NOT(ISERROR(SEARCH("Pesquisa de Preços",L7245)))</formula>
    </cfRule>
  </conditionalFormatting>
  <conditionalFormatting sqref="L7253:L7254">
    <cfRule type="containsText" dxfId="109" priority="49" operator="containsText" text="Pesquisa de Preços">
      <formula>NOT(ISERROR(SEARCH("Pesquisa de Preços",L7253)))</formula>
    </cfRule>
  </conditionalFormatting>
  <conditionalFormatting sqref="L7256:L7257">
    <cfRule type="containsText" dxfId="108" priority="57" operator="containsText" text="Pesquisa de Preços">
      <formula>NOT(ISERROR(SEARCH("Pesquisa de Preços",L7256)))</formula>
    </cfRule>
  </conditionalFormatting>
  <conditionalFormatting sqref="L7259:L7261">
    <cfRule type="containsText" dxfId="107" priority="55" operator="containsText" text="Pesquisa de Preços">
      <formula>NOT(ISERROR(SEARCH("Pesquisa de Preços",L7259)))</formula>
    </cfRule>
  </conditionalFormatting>
  <conditionalFormatting sqref="L7263">
    <cfRule type="containsText" dxfId="106" priority="56" operator="containsText" text="Pesquisa de Preços">
      <formula>NOT(ISERROR(SEARCH("Pesquisa de Preços",L7263)))</formula>
    </cfRule>
  </conditionalFormatting>
  <conditionalFormatting sqref="L7268:L7269">
    <cfRule type="containsText" dxfId="105" priority="61" operator="containsText" text="Pesquisa de Preços">
      <formula>NOT(ISERROR(SEARCH("Pesquisa de Preços",L7268)))</formula>
    </cfRule>
  </conditionalFormatting>
  <conditionalFormatting sqref="L7271:L7273">
    <cfRule type="containsText" dxfId="104" priority="59" operator="containsText" text="Pesquisa de Preços">
      <formula>NOT(ISERROR(SEARCH("Pesquisa de Preços",L7271)))</formula>
    </cfRule>
  </conditionalFormatting>
  <conditionalFormatting sqref="L7275">
    <cfRule type="containsText" dxfId="103" priority="60" operator="containsText" text="Pesquisa de Preços">
      <formula>NOT(ISERROR(SEARCH("Pesquisa de Preços",L7275)))</formula>
    </cfRule>
  </conditionalFormatting>
  <conditionalFormatting sqref="L7319:L7321">
    <cfRule type="containsText" dxfId="102" priority="44" operator="containsText" text="Pesquisa de Preços">
      <formula>NOT(ISERROR(SEARCH("Pesquisa de Preços",L7319)))</formula>
    </cfRule>
  </conditionalFormatting>
  <conditionalFormatting sqref="L7326:L7327">
    <cfRule type="containsText" dxfId="101" priority="47" operator="containsText" text="Pesquisa de Preços">
      <formula>NOT(ISERROR(SEARCH("Pesquisa de Preços",L7326)))</formula>
    </cfRule>
  </conditionalFormatting>
  <conditionalFormatting sqref="L7332:L7335">
    <cfRule type="containsText" dxfId="100" priority="40" operator="containsText" text="Pesquisa de Preços">
      <formula>NOT(ISERROR(SEARCH("Pesquisa de Preços",L7332)))</formula>
    </cfRule>
  </conditionalFormatting>
  <conditionalFormatting sqref="L7340:L7343">
    <cfRule type="containsText" dxfId="99" priority="36" operator="containsText" text="Pesquisa de Preços">
      <formula>NOT(ISERROR(SEARCH("Pesquisa de Preços",L7340)))</formula>
    </cfRule>
  </conditionalFormatting>
  <conditionalFormatting sqref="L7347:L7349">
    <cfRule type="containsText" dxfId="98" priority="33" operator="containsText" text="Pesquisa de Preços">
      <formula>NOT(ISERROR(SEARCH("Pesquisa de Preços",L7347)))</formula>
    </cfRule>
  </conditionalFormatting>
  <conditionalFormatting sqref="L7353:L7354">
    <cfRule type="containsText" dxfId="97" priority="29" operator="containsText" text="Pesquisa de Preços">
      <formula>NOT(ISERROR(SEARCH("Pesquisa de Preços",L7353)))</formula>
    </cfRule>
  </conditionalFormatting>
  <conditionalFormatting sqref="L7358:L7359">
    <cfRule type="containsText" dxfId="96" priority="25" operator="containsText" text="Pesquisa de Preços">
      <formula>NOT(ISERROR(SEARCH("Pesquisa de Preços",L7358)))</formula>
    </cfRule>
  </conditionalFormatting>
  <conditionalFormatting sqref="L7361:L7362">
    <cfRule type="containsText" dxfId="95" priority="23" operator="containsText" text="Pesquisa de Preços">
      <formula>NOT(ISERROR(SEARCH("Pesquisa de Preços",L7361)))</formula>
    </cfRule>
  </conditionalFormatting>
  <conditionalFormatting sqref="L7367">
    <cfRule type="containsText" dxfId="94" priority="24" operator="containsText" text="Pesquisa de Preços">
      <formula>NOT(ISERROR(SEARCH("Pesquisa de Preços",L7367)))</formula>
    </cfRule>
  </conditionalFormatting>
  <conditionalFormatting sqref="L7386:L7387">
    <cfRule type="containsText" dxfId="93" priority="21" operator="containsText" text="Pesquisa de Preços">
      <formula>NOT(ISERROR(SEARCH("Pesquisa de Preços",L7386)))</formula>
    </cfRule>
  </conditionalFormatting>
  <conditionalFormatting sqref="L7389:L7390">
    <cfRule type="containsText" dxfId="92" priority="19" operator="containsText" text="Pesquisa de Preços">
      <formula>NOT(ISERROR(SEARCH("Pesquisa de Preços",L7389)))</formula>
    </cfRule>
  </conditionalFormatting>
  <conditionalFormatting sqref="L7395">
    <cfRule type="containsText" dxfId="91" priority="20" operator="containsText" text="Pesquisa de Preços">
      <formula>NOT(ISERROR(SEARCH("Pesquisa de Preços",L7395)))</formula>
    </cfRule>
  </conditionalFormatting>
  <conditionalFormatting sqref="L7397">
    <cfRule type="containsText" dxfId="90" priority="14" operator="containsText" text="Pesquisa de Preços">
      <formula>NOT(ISERROR(SEARCH("Pesquisa de Preços",L7397)))</formula>
    </cfRule>
  </conditionalFormatting>
  <conditionalFormatting sqref="L7401">
    <cfRule type="containsText" dxfId="89" priority="15" operator="containsText" text="Pesquisa de Preços">
      <formula>NOT(ISERROR(SEARCH("Pesquisa de Preços",L7401)))</formula>
    </cfRule>
  </conditionalFormatting>
  <conditionalFormatting sqref="L7403">
    <cfRule type="containsText" dxfId="88" priority="12" operator="containsText" text="Pesquisa de Preços">
      <formula>NOT(ISERROR(SEARCH("Pesquisa de Preços",L7403)))</formula>
    </cfRule>
  </conditionalFormatting>
  <conditionalFormatting sqref="L7407">
    <cfRule type="containsText" dxfId="87" priority="13" operator="containsText" text="Pesquisa de Preços">
      <formula>NOT(ISERROR(SEARCH("Pesquisa de Preços",L7407)))</formula>
    </cfRule>
  </conditionalFormatting>
  <conditionalFormatting sqref="L7409">
    <cfRule type="containsText" dxfId="86" priority="10" operator="containsText" text="Pesquisa de Preços">
      <formula>NOT(ISERROR(SEARCH("Pesquisa de Preços",L7409)))</formula>
    </cfRule>
  </conditionalFormatting>
  <conditionalFormatting sqref="L7413">
    <cfRule type="containsText" dxfId="85" priority="11" operator="containsText" text="Pesquisa de Preços">
      <formula>NOT(ISERROR(SEARCH("Pesquisa de Preços",L7413)))</formula>
    </cfRule>
  </conditionalFormatting>
  <conditionalFormatting sqref="L7415">
    <cfRule type="containsText" dxfId="84" priority="8" operator="containsText" text="Pesquisa de Preços">
      <formula>NOT(ISERROR(SEARCH("Pesquisa de Preços",L7415)))</formula>
    </cfRule>
  </conditionalFormatting>
  <conditionalFormatting sqref="L7419">
    <cfRule type="containsText" dxfId="83" priority="9" operator="containsText" text="Pesquisa de Preços">
      <formula>NOT(ISERROR(SEARCH("Pesquisa de Preços",L7419)))</formula>
    </cfRule>
  </conditionalFormatting>
  <conditionalFormatting sqref="L7435:L7437">
    <cfRule type="containsText" dxfId="82" priority="16" operator="containsText" text="Pesquisa de Preços">
      <formula>NOT(ISERROR(SEARCH("Pesquisa de Preços",L7435)))</formula>
    </cfRule>
  </conditionalFormatting>
  <conditionalFormatting sqref="L7456:L7458">
    <cfRule type="containsText" dxfId="81" priority="4" operator="containsText" text="Pesquisa de Preços">
      <formula>NOT(ISERROR(SEARCH("Pesquisa de Preços",L7456)))</formula>
    </cfRule>
  </conditionalFormatting>
  <conditionalFormatting sqref="L7463:L7465">
    <cfRule type="containsText" dxfId="80" priority="1" operator="containsText" text="Pesquisa de Preços">
      <formula>NOT(ISERROR(SEARCH("Pesquisa de Preços",L7463)))</formula>
    </cfRule>
  </conditionalFormatting>
  <conditionalFormatting sqref="N2946">
    <cfRule type="notContainsText" dxfId="79" priority="1314" operator="notContains" text="Sinapi">
      <formula>ISERROR(SEARCH("Sinapi",N2946))</formula>
    </cfRule>
  </conditionalFormatting>
  <conditionalFormatting sqref="N2951">
    <cfRule type="notContainsText" dxfId="78" priority="1313" operator="notContains" text="Sinapi">
      <formula>ISERROR(SEARCH("Sinapi",N2951))</formula>
    </cfRule>
  </conditionalFormatting>
  <conditionalFormatting sqref="N2956">
    <cfRule type="notContainsText" dxfId="77" priority="1312" operator="notContains" text="Sinapi">
      <formula>ISERROR(SEARCH("Sinapi",N2956))</formula>
    </cfRule>
  </conditionalFormatting>
  <conditionalFormatting sqref="N2961">
    <cfRule type="notContainsText" dxfId="76" priority="1311" operator="notContains" text="Sinapi">
      <formula>ISERROR(SEARCH("Sinapi",N2961))</formula>
    </cfRule>
  </conditionalFormatting>
  <conditionalFormatting sqref="N2966">
    <cfRule type="notContainsText" dxfId="75" priority="1310" operator="notContains" text="Sinapi">
      <formula>ISERROR(SEARCH("Sinapi",N2966))</formula>
    </cfRule>
  </conditionalFormatting>
  <conditionalFormatting sqref="N2971">
    <cfRule type="notContainsText" dxfId="74" priority="1309" operator="notContains" text="Sinapi">
      <formula>ISERROR(SEARCH("Sinapi",N2971))</formula>
    </cfRule>
  </conditionalFormatting>
  <conditionalFormatting sqref="N2976">
    <cfRule type="notContainsText" dxfId="73" priority="1308" operator="notContains" text="Sinapi">
      <formula>ISERROR(SEARCH("Sinapi",N2976))</formula>
    </cfRule>
  </conditionalFormatting>
  <conditionalFormatting sqref="N2981">
    <cfRule type="notContainsText" dxfId="72" priority="1307" operator="notContains" text="Sinapi">
      <formula>ISERROR(SEARCH("Sinapi",N2981))</formula>
    </cfRule>
  </conditionalFormatting>
  <conditionalFormatting sqref="N2996">
    <cfRule type="notContainsText" dxfId="71" priority="1306" operator="notContains" text="Sinapi">
      <formula>ISERROR(SEARCH("Sinapi",N2996))</formula>
    </cfRule>
  </conditionalFormatting>
  <conditionalFormatting sqref="N3001">
    <cfRule type="notContainsText" dxfId="70" priority="1305" operator="notContains" text="Sinapi">
      <formula>ISERROR(SEARCH("Sinapi",N3001))</formula>
    </cfRule>
  </conditionalFormatting>
  <conditionalFormatting sqref="N3006">
    <cfRule type="notContainsText" dxfId="69" priority="1304" operator="notContains" text="Sinapi">
      <formula>ISERROR(SEARCH("Sinapi",N3006))</formula>
    </cfRule>
  </conditionalFormatting>
  <conditionalFormatting sqref="N3011">
    <cfRule type="notContainsText" dxfId="68" priority="1303" operator="notContains" text="Sinapi">
      <formula>ISERROR(SEARCH("Sinapi",N3011))</formula>
    </cfRule>
  </conditionalFormatting>
  <conditionalFormatting sqref="N3016">
    <cfRule type="notContainsText" dxfId="67" priority="1302" operator="notContains" text="Sinapi">
      <formula>ISERROR(SEARCH("Sinapi",N3016))</formula>
    </cfRule>
  </conditionalFormatting>
  <conditionalFormatting sqref="N3021">
    <cfRule type="notContainsText" dxfId="66" priority="1301" operator="notContains" text="Sinapi">
      <formula>ISERROR(SEARCH("Sinapi",N3021))</formula>
    </cfRule>
  </conditionalFormatting>
  <conditionalFormatting sqref="N3026">
    <cfRule type="notContainsText" dxfId="65" priority="1300" operator="notContains" text="Sinapi">
      <formula>ISERROR(SEARCH("Sinapi",N3026))</formula>
    </cfRule>
  </conditionalFormatting>
  <conditionalFormatting sqref="N3031">
    <cfRule type="notContainsText" dxfId="64" priority="1299" operator="notContains" text="Sinapi">
      <formula>ISERROR(SEARCH("Sinapi",N3031))</formula>
    </cfRule>
  </conditionalFormatting>
  <conditionalFormatting sqref="N3036">
    <cfRule type="notContainsText" dxfId="63" priority="1298" operator="notContains" text="Sinapi">
      <formula>ISERROR(SEARCH("Sinapi",N3036))</formula>
    </cfRule>
  </conditionalFormatting>
  <conditionalFormatting sqref="N3049">
    <cfRule type="notContainsText" dxfId="62" priority="1297" operator="notContains" text="Sinapi">
      <formula>ISERROR(SEARCH("Sinapi",N3049))</formula>
    </cfRule>
  </conditionalFormatting>
  <conditionalFormatting sqref="N3062">
    <cfRule type="notContainsText" dxfId="61" priority="1281" operator="notContains" text="Sinapi">
      <formula>ISERROR(SEARCH("Sinapi",N3062))</formula>
    </cfRule>
  </conditionalFormatting>
  <conditionalFormatting sqref="N3074">
    <cfRule type="notContainsText" dxfId="60" priority="1296" operator="notContains" text="Sinapi">
      <formula>ISERROR(SEARCH("Sinapi",N3074))</formula>
    </cfRule>
  </conditionalFormatting>
  <conditionalFormatting sqref="N3087">
    <cfRule type="notContainsText" dxfId="59" priority="1295" operator="notContains" text="Sinapi">
      <formula>ISERROR(SEARCH("Sinapi",N3087))</formula>
    </cfRule>
  </conditionalFormatting>
  <conditionalFormatting sqref="N3092">
    <cfRule type="notContainsText" dxfId="58" priority="1294" operator="notContains" text="Sinapi">
      <formula>ISERROR(SEARCH("Sinapi",N3092))</formula>
    </cfRule>
  </conditionalFormatting>
  <conditionalFormatting sqref="N3097">
    <cfRule type="notContainsText" dxfId="57" priority="1293" operator="notContains" text="Sinapi">
      <formula>ISERROR(SEARCH("Sinapi",N3097))</formula>
    </cfRule>
  </conditionalFormatting>
  <conditionalFormatting sqref="N3102">
    <cfRule type="notContainsText" dxfId="56" priority="1292" operator="notContains" text="Sinapi">
      <formula>ISERROR(SEARCH("Sinapi",N3102))</formula>
    </cfRule>
  </conditionalFormatting>
  <conditionalFormatting sqref="N3107">
    <cfRule type="notContainsText" dxfId="55" priority="1291" operator="notContains" text="Sinapi">
      <formula>ISERROR(SEARCH("Sinapi",N3107))</formula>
    </cfRule>
  </conditionalFormatting>
  <conditionalFormatting sqref="N3112">
    <cfRule type="notContainsText" dxfId="54" priority="1290" operator="notContains" text="Sinapi">
      <formula>ISERROR(SEARCH("Sinapi",N3112))</formula>
    </cfRule>
  </conditionalFormatting>
  <conditionalFormatting sqref="N3117">
    <cfRule type="notContainsText" dxfId="53" priority="1289" operator="notContains" text="Sinapi">
      <formula>ISERROR(SEARCH("Sinapi",N3117))</formula>
    </cfRule>
  </conditionalFormatting>
  <conditionalFormatting sqref="N3122">
    <cfRule type="notContainsText" dxfId="52" priority="1288" operator="notContains" text="Sinapi">
      <formula>ISERROR(SEARCH("Sinapi",N3122))</formula>
    </cfRule>
  </conditionalFormatting>
  <conditionalFormatting sqref="N3127">
    <cfRule type="notContainsText" dxfId="51" priority="1287" operator="notContains" text="Sinapi">
      <formula>ISERROR(SEARCH("Sinapi",N3127))</formula>
    </cfRule>
  </conditionalFormatting>
  <conditionalFormatting sqref="N3167">
    <cfRule type="notContainsText" dxfId="50" priority="1286" operator="notContains" text="Sinapi">
      <formula>ISERROR(SEARCH("Sinapi",N3167))</formula>
    </cfRule>
  </conditionalFormatting>
  <conditionalFormatting sqref="N3350">
    <cfRule type="notContainsText" dxfId="49" priority="1285" operator="notContains" text="Sinapi">
      <formula>ISERROR(SEARCH("Sinapi",N3350))</formula>
    </cfRule>
  </conditionalFormatting>
  <conditionalFormatting sqref="N3369">
    <cfRule type="notContainsText" dxfId="48" priority="1284" operator="notContains" text="Sinapi">
      <formula>ISERROR(SEARCH("Sinapi",N3369))</formula>
    </cfRule>
  </conditionalFormatting>
  <conditionalFormatting sqref="N3380">
    <cfRule type="notContainsText" dxfId="47" priority="1283" operator="notContains" text="Sinapi">
      <formula>ISERROR(SEARCH("Sinapi",N3380))</formula>
    </cfRule>
  </conditionalFormatting>
  <conditionalFormatting sqref="N3384">
    <cfRule type="notContainsText" dxfId="46" priority="1282" operator="notContains" text="Sinapi">
      <formula>ISERROR(SEARCH("Sinapi",N3384))</formula>
    </cfRule>
  </conditionalFormatting>
  <conditionalFormatting sqref="Q6">
    <cfRule type="dataBar" priority="2602">
      <dataBar>
        <cfvo type="min"/>
        <cfvo type="max"/>
        <color rgb="FFFFCC99"/>
      </dataBar>
      <extLst>
        <ext xmlns:x14="http://schemas.microsoft.com/office/spreadsheetml/2009/9/main" uri="{B025F937-C7B1-47D3-B67F-A62EFF666E3E}">
          <x14:id>{04D97538-F589-44CD-87E1-FA4BDE9116FE}</x14:id>
        </ext>
      </extLst>
    </cfRule>
  </conditionalFormatting>
  <conditionalFormatting sqref="Q7:Q8237">
    <cfRule type="dataBar" priority="2599">
      <dataBar>
        <cfvo type="min"/>
        <cfvo type="max"/>
        <color rgb="FFFFCC99"/>
      </dataBar>
      <extLst>
        <ext xmlns:x14="http://schemas.microsoft.com/office/spreadsheetml/2009/9/main" uri="{B025F937-C7B1-47D3-B67F-A62EFF666E3E}">
          <x14:id>{49CA7AD2-D2CD-4D29-AB69-BE476FD3BCE6}</x14:id>
        </ext>
      </extLst>
    </cfRule>
  </conditionalFormatting>
  <conditionalFormatting sqref="R6">
    <cfRule type="dataBar" priority="2601">
      <dataBar>
        <cfvo type="min"/>
        <cfvo type="max"/>
        <color rgb="FFFFCC99"/>
      </dataBar>
      <extLst>
        <ext xmlns:x14="http://schemas.microsoft.com/office/spreadsheetml/2009/9/main" uri="{B025F937-C7B1-47D3-B67F-A62EFF666E3E}">
          <x14:id>{85181A07-C356-41C4-BB08-39861101FC34}</x14:id>
        </ext>
      </extLst>
    </cfRule>
  </conditionalFormatting>
  <conditionalFormatting sqref="R7:R8237">
    <cfRule type="dataBar" priority="2598">
      <dataBar>
        <cfvo type="min"/>
        <cfvo type="max"/>
        <color rgb="FFFFCC99"/>
      </dataBar>
      <extLst>
        <ext xmlns:x14="http://schemas.microsoft.com/office/spreadsheetml/2009/9/main" uri="{B025F937-C7B1-47D3-B67F-A62EFF666E3E}">
          <x14:id>{C6B8F6CA-7511-41A4-A003-3A85A3191AED}</x14:id>
        </ext>
      </extLst>
    </cfRule>
  </conditionalFormatting>
  <conditionalFormatting sqref="S6">
    <cfRule type="dataBar" priority="2600">
      <dataBar>
        <cfvo type="min"/>
        <cfvo type="max"/>
        <color rgb="FFFFCC99"/>
      </dataBar>
      <extLst>
        <ext xmlns:x14="http://schemas.microsoft.com/office/spreadsheetml/2009/9/main" uri="{B025F937-C7B1-47D3-B67F-A62EFF666E3E}">
          <x14:id>{6859E61A-B42E-42B3-9A89-5E8CD336C47F}</x14:id>
        </ext>
      </extLst>
    </cfRule>
  </conditionalFormatting>
  <conditionalFormatting sqref="S7:S8237">
    <cfRule type="dataBar" priority="2597">
      <dataBar>
        <cfvo type="min"/>
        <cfvo type="max"/>
        <color rgb="FFFFCC99"/>
      </dataBar>
      <extLst>
        <ext xmlns:x14="http://schemas.microsoft.com/office/spreadsheetml/2009/9/main" uri="{B025F937-C7B1-47D3-B67F-A62EFF666E3E}">
          <x14:id>{5D515A6D-C73D-4E6B-8D86-1C630037D6D3}</x14:id>
        </ext>
      </extLst>
    </cfRule>
  </conditionalFormatting>
  <hyperlinks>
    <hyperlink ref="C463" r:id="rId1"/>
    <hyperlink ref="C497" r:id="rId2"/>
    <hyperlink ref="C496" r:id="rId3"/>
    <hyperlink ref="C482" r:id="rId4"/>
    <hyperlink ref="C4645" r:id="rId5"/>
    <hyperlink ref="C4712" r:id="rId6"/>
    <hyperlink ref="C4691" r:id="rId7"/>
    <hyperlink ref="C3179" r:id="rId8"/>
    <hyperlink ref="C481" r:id="rId9"/>
  </hyperlinks>
  <printOptions horizontalCentered="1"/>
  <pageMargins left="0.19685039370078741" right="0.19685039370078741" top="0.98425196850393704" bottom="0.59055118110236227" header="0.19685039370078741" footer="0.19685039370078741"/>
  <pageSetup paperSize="9" scale="65" fitToHeight="0" orientation="landscape" r:id="rId10"/>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5" manualBreakCount="5">
    <brk id="510" max="10" man="1"/>
    <brk id="953" max="10" man="1"/>
    <brk id="1601" max="10" man="1"/>
    <brk id="1789" max="10" man="1"/>
    <brk id="3286" max="10" man="1"/>
  </rowBreaks>
  <drawing r:id="rId11"/>
  <legacyDrawingHF r:id="rId12"/>
  <extLst>
    <ext xmlns:x14="http://schemas.microsoft.com/office/spreadsheetml/2009/9/main" uri="{78C0D931-6437-407d-A8EE-F0AAD7539E65}">
      <x14:conditionalFormattings>
        <x14:conditionalFormatting xmlns:xm="http://schemas.microsoft.com/office/excel/2006/main">
          <x14:cfRule type="dataBar" id="{04D97538-F589-44CD-87E1-FA4BDE9116FE}">
            <x14:dataBar minLength="0" maxLength="100" negativeBarColorSameAsPositive="1" axisPosition="none">
              <x14:cfvo type="min"/>
              <x14:cfvo type="max"/>
            </x14:dataBar>
          </x14:cfRule>
          <xm:sqref>Q6</xm:sqref>
        </x14:conditionalFormatting>
        <x14:conditionalFormatting xmlns:xm="http://schemas.microsoft.com/office/excel/2006/main">
          <x14:cfRule type="dataBar" id="{49CA7AD2-D2CD-4D29-AB69-BE476FD3BCE6}">
            <x14:dataBar minLength="0" maxLength="100" negativeBarColorSameAsPositive="1" axisPosition="none">
              <x14:cfvo type="min"/>
              <x14:cfvo type="max"/>
            </x14:dataBar>
          </x14:cfRule>
          <xm:sqref>Q7:Q8237</xm:sqref>
        </x14:conditionalFormatting>
        <x14:conditionalFormatting xmlns:xm="http://schemas.microsoft.com/office/excel/2006/main">
          <x14:cfRule type="dataBar" id="{85181A07-C356-41C4-BB08-39861101FC34}">
            <x14:dataBar minLength="0" maxLength="100" negativeBarColorSameAsPositive="1" axisPosition="none">
              <x14:cfvo type="min"/>
              <x14:cfvo type="max"/>
            </x14:dataBar>
          </x14:cfRule>
          <xm:sqref>R6</xm:sqref>
        </x14:conditionalFormatting>
        <x14:conditionalFormatting xmlns:xm="http://schemas.microsoft.com/office/excel/2006/main">
          <x14:cfRule type="dataBar" id="{C6B8F6CA-7511-41A4-A003-3A85A3191AED}">
            <x14:dataBar minLength="0" maxLength="100" negativeBarColorSameAsPositive="1" axisPosition="none">
              <x14:cfvo type="min"/>
              <x14:cfvo type="max"/>
            </x14:dataBar>
          </x14:cfRule>
          <xm:sqref>R7:R8237</xm:sqref>
        </x14:conditionalFormatting>
        <x14:conditionalFormatting xmlns:xm="http://schemas.microsoft.com/office/excel/2006/main">
          <x14:cfRule type="dataBar" id="{6859E61A-B42E-42B3-9A89-5E8CD336C47F}">
            <x14:dataBar minLength="0" maxLength="100" negativeBarColorSameAsPositive="1" axisPosition="none">
              <x14:cfvo type="min"/>
              <x14:cfvo type="max"/>
            </x14:dataBar>
          </x14:cfRule>
          <xm:sqref>S6</xm:sqref>
        </x14:conditionalFormatting>
        <x14:conditionalFormatting xmlns:xm="http://schemas.microsoft.com/office/excel/2006/main">
          <x14:cfRule type="dataBar" id="{5D515A6D-C73D-4E6B-8D86-1C630037D6D3}">
            <x14:dataBar minLength="0" maxLength="100" negativeBarColorSameAsPositive="1" axisPosition="none">
              <x14:cfvo type="min"/>
              <x14:cfvo type="max"/>
            </x14:dataBar>
          </x14:cfRule>
          <xm:sqref>S7:S8237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filterMode="1"/>
  <dimension ref="A1:R643"/>
  <sheetViews>
    <sheetView zoomScale="80" zoomScaleNormal="80" zoomScaleSheetLayoutView="40" workbookViewId="0">
      <pane ySplit="5" topLeftCell="A6" activePane="bottomLeft" state="frozen"/>
      <selection pane="bottomLeft" activeCell="M24" sqref="M24"/>
    </sheetView>
  </sheetViews>
  <sheetFormatPr defaultRowHeight="15" x14ac:dyDescent="0.25"/>
  <cols>
    <col min="1" max="1" width="46.85546875" customWidth="1"/>
    <col min="2" max="2" width="65.7109375" style="4" customWidth="1"/>
    <col min="3" max="3" width="15.7109375" customWidth="1"/>
    <col min="4" max="4" width="20.7109375" customWidth="1"/>
    <col min="5" max="5" width="15.7109375" customWidth="1"/>
    <col min="6" max="7" width="17.7109375" customWidth="1"/>
    <col min="8" max="8" width="5.7109375" customWidth="1"/>
    <col min="9" max="9" width="14.42578125" customWidth="1"/>
    <col min="11" max="18" width="15.7109375" customWidth="1"/>
  </cols>
  <sheetData>
    <row r="1" spans="1:18" ht="24.95" customHeight="1" x14ac:dyDescent="0.25">
      <c r="A1" s="80" t="s">
        <v>8514</v>
      </c>
      <c r="B1" s="104"/>
      <c r="C1" s="80"/>
      <c r="D1" s="80"/>
      <c r="E1" s="80"/>
      <c r="F1" s="80"/>
      <c r="G1" s="80"/>
      <c r="H1" s="81"/>
      <c r="I1" s="82"/>
      <c r="K1" s="254" t="str">
        <f>Composições!L1</f>
        <v>Altri Construtora LTDA</v>
      </c>
      <c r="L1" s="254"/>
      <c r="M1" s="254"/>
      <c r="N1" s="254"/>
      <c r="O1" s="254"/>
      <c r="P1" s="254"/>
      <c r="Q1" s="254"/>
      <c r="R1" s="254"/>
    </row>
    <row r="2" spans="1:18" ht="24.95" customHeight="1" x14ac:dyDescent="0.25">
      <c r="A2" s="9" t="s">
        <v>1267</v>
      </c>
      <c r="B2" s="10"/>
      <c r="C2" s="10"/>
      <c r="D2" s="10"/>
      <c r="E2" s="10"/>
      <c r="F2" s="10"/>
      <c r="G2" s="10"/>
      <c r="H2" s="12"/>
      <c r="I2" s="82"/>
      <c r="K2" s="255"/>
      <c r="L2" s="255"/>
      <c r="M2" s="255"/>
      <c r="N2" s="255"/>
      <c r="O2" s="255"/>
      <c r="P2" s="255"/>
      <c r="Q2" s="255"/>
      <c r="R2" s="255"/>
    </row>
    <row r="3" spans="1:18" ht="20.100000000000001" customHeight="1" x14ac:dyDescent="0.25">
      <c r="A3" s="13" t="s">
        <v>8515</v>
      </c>
      <c r="B3" s="13"/>
      <c r="C3" s="13"/>
      <c r="D3" s="13"/>
      <c r="E3" s="13"/>
      <c r="F3" s="13"/>
      <c r="G3" s="13"/>
      <c r="H3" s="13"/>
      <c r="I3" s="83"/>
      <c r="K3" s="36"/>
      <c r="L3" s="30"/>
    </row>
    <row r="4" spans="1:18" ht="15.75" thickBot="1" x14ac:dyDescent="0.3">
      <c r="A4" s="84"/>
      <c r="B4" s="85"/>
      <c r="C4" s="85"/>
      <c r="D4" s="85"/>
      <c r="E4" s="85"/>
      <c r="F4" s="85"/>
      <c r="G4" s="85"/>
      <c r="H4" s="86"/>
      <c r="I4" s="87"/>
      <c r="K4" s="36"/>
      <c r="L4" s="30"/>
      <c r="N4" s="85"/>
    </row>
    <row r="5" spans="1:18" ht="75.75" thickBot="1" x14ac:dyDescent="0.3">
      <c r="A5" s="19" t="s">
        <v>2</v>
      </c>
      <c r="B5" s="20" t="s">
        <v>3</v>
      </c>
      <c r="C5" s="20" t="s">
        <v>4</v>
      </c>
      <c r="D5" s="20" t="s">
        <v>5</v>
      </c>
      <c r="E5" s="20" t="s">
        <v>6</v>
      </c>
      <c r="F5" s="20" t="s">
        <v>7</v>
      </c>
      <c r="G5" s="20" t="s">
        <v>1268</v>
      </c>
      <c r="H5" s="23"/>
      <c r="I5" s="88" t="s">
        <v>9</v>
      </c>
      <c r="K5" s="209" t="s">
        <v>5</v>
      </c>
      <c r="L5" s="210" t="s">
        <v>6</v>
      </c>
      <c r="M5" s="210" t="s">
        <v>7</v>
      </c>
      <c r="N5" s="210" t="s">
        <v>1268</v>
      </c>
      <c r="O5" s="210" t="s">
        <v>8576</v>
      </c>
      <c r="P5" s="210" t="s">
        <v>8577</v>
      </c>
      <c r="Q5" s="210" t="s">
        <v>8578</v>
      </c>
      <c r="R5" s="211" t="s">
        <v>8579</v>
      </c>
    </row>
    <row r="6" spans="1:18" ht="26.25" hidden="1" customHeight="1" thickBot="1" x14ac:dyDescent="0.3">
      <c r="A6" s="268" t="s">
        <v>79</v>
      </c>
      <c r="B6" s="156" t="s">
        <v>416</v>
      </c>
      <c r="C6" s="89" t="s">
        <v>87</v>
      </c>
      <c r="D6" s="90"/>
      <c r="E6" s="70" t="s">
        <v>416</v>
      </c>
      <c r="F6" s="70" t="str">
        <f t="shared" ref="F6:F69" si="0">IF(ISNUMBER(E6),E6*$D6,"")</f>
        <v/>
      </c>
      <c r="G6" s="71"/>
      <c r="H6" s="29"/>
      <c r="I6" s="153">
        <v>0</v>
      </c>
      <c r="K6" s="226"/>
      <c r="L6" s="27" t="s">
        <v>416</v>
      </c>
      <c r="M6" s="27" t="str">
        <f t="shared" ref="M6:M7" si="1">IF(ISNUMBER(L6),K6*L6,"")</f>
        <v/>
      </c>
      <c r="N6" s="28"/>
      <c r="O6" s="36" t="str">
        <f t="shared" ref="O6:O7" si="2">IF(ISBLANK(K6),"",IF($D6&lt;&gt;K6,"SIM",""))</f>
        <v/>
      </c>
      <c r="P6" s="216" t="str">
        <f t="shared" ref="P6:P7" si="3">IF(L6="","",1-L6/$E6)</f>
        <v/>
      </c>
      <c r="Q6" s="216" t="str">
        <f t="shared" ref="Q6:Q7" si="4">IF(M6="","",1-M6/$F6)</f>
        <v/>
      </c>
      <c r="R6" s="217" t="str">
        <f t="shared" ref="R6:R7" si="5">IF(G6="","",1-N6/$G6)</f>
        <v/>
      </c>
    </row>
    <row r="7" spans="1:18" ht="15.75" hidden="1" thickBot="1" x14ac:dyDescent="0.3">
      <c r="A7" s="268"/>
      <c r="B7" s="31" t="s">
        <v>416</v>
      </c>
      <c r="C7" s="31"/>
      <c r="D7" s="91"/>
      <c r="E7" s="30" t="s">
        <v>416</v>
      </c>
      <c r="F7" s="30" t="str">
        <f t="shared" si="0"/>
        <v/>
      </c>
      <c r="G7" s="34"/>
      <c r="H7" s="30"/>
      <c r="I7" s="153">
        <v>0</v>
      </c>
      <c r="K7" s="227"/>
      <c r="L7" s="30" t="s">
        <v>416</v>
      </c>
      <c r="M7" s="30" t="str">
        <f t="shared" si="1"/>
        <v/>
      </c>
      <c r="N7" s="34"/>
      <c r="O7" s="212" t="str">
        <f t="shared" si="2"/>
        <v/>
      </c>
      <c r="P7" s="213" t="str">
        <f t="shared" si="3"/>
        <v/>
      </c>
      <c r="Q7" s="213" t="str">
        <f t="shared" si="4"/>
        <v/>
      </c>
      <c r="R7" s="214" t="str">
        <f t="shared" si="5"/>
        <v/>
      </c>
    </row>
    <row r="8" spans="1:18" ht="26.25" hidden="1" thickBot="1" x14ac:dyDescent="0.3">
      <c r="A8" s="268"/>
      <c r="B8" s="35" t="s">
        <v>7985</v>
      </c>
      <c r="C8" s="35" t="s">
        <v>87</v>
      </c>
      <c r="D8" s="36">
        <v>1.07</v>
      </c>
      <c r="E8" s="30">
        <v>202.33099999999999</v>
      </c>
      <c r="F8" s="33">
        <f t="shared" si="0"/>
        <v>216.49417</v>
      </c>
      <c r="G8" s="44">
        <f>SUM(F8:F12)</f>
        <v>758.13304558849995</v>
      </c>
      <c r="H8" s="45"/>
      <c r="I8" s="153">
        <v>0</v>
      </c>
      <c r="K8" s="215">
        <v>1.07</v>
      </c>
      <c r="L8" s="30">
        <v>202.33099999999999</v>
      </c>
      <c r="M8" s="33">
        <f t="shared" ref="M8:M71" si="6">IF(ISNUMBER(L8),K8*L8,"")</f>
        <v>216.49417</v>
      </c>
      <c r="N8" s="44">
        <f>SUM(M8:M12)</f>
        <v>758.13304558849995</v>
      </c>
      <c r="O8" s="36" t="str">
        <f t="shared" ref="O8:O71" si="7">IF(ISBLANK(K8),"",IF($D8&lt;&gt;K8,"SIM",""))</f>
        <v/>
      </c>
      <c r="P8" s="216">
        <f t="shared" ref="P8:P71" si="8">IF(L8="","",1-L8/$E8)</f>
        <v>0</v>
      </c>
      <c r="Q8" s="216">
        <f t="shared" ref="Q8:Q71" si="9">IF(M8="","",1-M8/$F8)</f>
        <v>0</v>
      </c>
      <c r="R8" s="217">
        <f t="shared" ref="R8:R71" si="10">IF(G8="","",1-N8/$G8)</f>
        <v>0</v>
      </c>
    </row>
    <row r="9" spans="1:18" ht="15.75" hidden="1" thickBot="1" x14ac:dyDescent="0.3">
      <c r="A9" s="268"/>
      <c r="B9" s="35" t="s">
        <v>8065</v>
      </c>
      <c r="C9" s="35" t="s">
        <v>773</v>
      </c>
      <c r="D9" s="36">
        <v>482.96</v>
      </c>
      <c r="E9" s="33">
        <v>0.627</v>
      </c>
      <c r="F9" s="33">
        <f t="shared" si="0"/>
        <v>302.81592000000001</v>
      </c>
      <c r="G9" s="44"/>
      <c r="H9" s="45"/>
      <c r="I9" s="153">
        <v>0</v>
      </c>
      <c r="K9" s="215">
        <v>482.96</v>
      </c>
      <c r="L9" s="33">
        <v>0.627</v>
      </c>
      <c r="M9" s="33">
        <f t="shared" si="6"/>
        <v>302.81592000000001</v>
      </c>
      <c r="N9" s="44"/>
      <c r="O9" s="36" t="str">
        <f t="shared" si="7"/>
        <v/>
      </c>
      <c r="P9" s="216">
        <f t="shared" si="8"/>
        <v>0</v>
      </c>
      <c r="Q9" s="216">
        <f t="shared" si="9"/>
        <v>0</v>
      </c>
      <c r="R9" s="217" t="str">
        <f t="shared" si="10"/>
        <v/>
      </c>
    </row>
    <row r="10" spans="1:18" ht="15.75" hidden="1" thickBot="1" x14ac:dyDescent="0.3">
      <c r="A10" s="268"/>
      <c r="B10" s="35" t="s">
        <v>584</v>
      </c>
      <c r="C10" s="35" t="s">
        <v>583</v>
      </c>
      <c r="D10" s="36">
        <v>8.57</v>
      </c>
      <c r="E10" s="30">
        <v>20.225499999999997</v>
      </c>
      <c r="F10" s="33">
        <f t="shared" si="0"/>
        <v>173.33253499999998</v>
      </c>
      <c r="G10" s="44"/>
      <c r="H10" s="45"/>
      <c r="I10" s="153">
        <v>0</v>
      </c>
      <c r="K10" s="215">
        <v>8.57</v>
      </c>
      <c r="L10" s="30">
        <v>20.225499999999997</v>
      </c>
      <c r="M10" s="33">
        <f t="shared" si="6"/>
        <v>173.33253499999998</v>
      </c>
      <c r="N10" s="44"/>
      <c r="O10" s="36" t="str">
        <f t="shared" si="7"/>
        <v/>
      </c>
      <c r="P10" s="216">
        <f t="shared" si="8"/>
        <v>0</v>
      </c>
      <c r="Q10" s="216">
        <f t="shared" si="9"/>
        <v>0</v>
      </c>
      <c r="R10" s="217" t="str">
        <f t="shared" si="10"/>
        <v/>
      </c>
    </row>
    <row r="11" spans="1:18" ht="51.75" hidden="1" thickBot="1" x14ac:dyDescent="0.3">
      <c r="A11" s="268"/>
      <c r="B11" s="35" t="s">
        <v>3071</v>
      </c>
      <c r="C11" s="35" t="s">
        <v>87</v>
      </c>
      <c r="D11" s="36">
        <f>ROUND(1*D8,4)</f>
        <v>1.07</v>
      </c>
      <c r="E11" s="30">
        <v>8.0531015499999992</v>
      </c>
      <c r="F11" s="33">
        <f t="shared" si="0"/>
        <v>8.6168186584999997</v>
      </c>
      <c r="G11" s="44"/>
      <c r="H11" s="45"/>
      <c r="I11" s="153">
        <v>0</v>
      </c>
      <c r="K11" s="215">
        <v>1.07</v>
      </c>
      <c r="L11" s="30">
        <v>8.0531015499999992</v>
      </c>
      <c r="M11" s="33">
        <f t="shared" si="6"/>
        <v>8.6168186584999997</v>
      </c>
      <c r="N11" s="44"/>
      <c r="O11" s="36" t="str">
        <f t="shared" si="7"/>
        <v/>
      </c>
      <c r="P11" s="216">
        <f t="shared" si="8"/>
        <v>0</v>
      </c>
      <c r="Q11" s="216">
        <f t="shared" si="9"/>
        <v>0</v>
      </c>
      <c r="R11" s="217" t="str">
        <f t="shared" si="10"/>
        <v/>
      </c>
    </row>
    <row r="12" spans="1:18" ht="39" hidden="1" thickBot="1" x14ac:dyDescent="0.3">
      <c r="A12" s="268"/>
      <c r="B12" s="35" t="s">
        <v>3068</v>
      </c>
      <c r="C12" s="46" t="s">
        <v>89</v>
      </c>
      <c r="D12" s="36">
        <f>ROUND(D8*20,4)</f>
        <v>21.4</v>
      </c>
      <c r="E12" s="30">
        <v>2.6576449499999995</v>
      </c>
      <c r="F12" s="33">
        <f t="shared" si="0"/>
        <v>56.873601929999985</v>
      </c>
      <c r="G12" s="44"/>
      <c r="H12" s="45"/>
      <c r="I12" s="153">
        <v>0</v>
      </c>
      <c r="K12" s="215">
        <v>21.4</v>
      </c>
      <c r="L12" s="30">
        <v>2.6576449499999995</v>
      </c>
      <c r="M12" s="33">
        <f t="shared" si="6"/>
        <v>56.873601929999985</v>
      </c>
      <c r="N12" s="44"/>
      <c r="O12" s="36" t="str">
        <f t="shared" si="7"/>
        <v/>
      </c>
      <c r="P12" s="216">
        <f t="shared" si="8"/>
        <v>0</v>
      </c>
      <c r="Q12" s="216">
        <f t="shared" si="9"/>
        <v>0</v>
      </c>
      <c r="R12" s="217" t="str">
        <f t="shared" si="10"/>
        <v/>
      </c>
    </row>
    <row r="13" spans="1:18" ht="15.75" hidden="1" thickBot="1" x14ac:dyDescent="0.3">
      <c r="A13" s="268"/>
      <c r="B13" s="50"/>
      <c r="C13" s="46"/>
      <c r="D13" s="36"/>
      <c r="E13" s="30" t="s">
        <v>416</v>
      </c>
      <c r="F13" s="33" t="str">
        <f t="shared" si="0"/>
        <v/>
      </c>
      <c r="G13" s="44"/>
      <c r="H13" s="45"/>
      <c r="I13" s="153">
        <v>0</v>
      </c>
      <c r="K13" s="215"/>
      <c r="L13" s="30" t="s">
        <v>416</v>
      </c>
      <c r="M13" s="33" t="str">
        <f t="shared" si="6"/>
        <v/>
      </c>
      <c r="N13" s="44"/>
      <c r="O13" s="36" t="str">
        <f t="shared" si="7"/>
        <v/>
      </c>
      <c r="P13" s="216" t="str">
        <f t="shared" si="8"/>
        <v/>
      </c>
      <c r="Q13" s="216" t="str">
        <f t="shared" si="9"/>
        <v/>
      </c>
      <c r="R13" s="217" t="str">
        <f t="shared" si="10"/>
        <v/>
      </c>
    </row>
    <row r="14" spans="1:18" ht="15.75" hidden="1" thickBot="1" x14ac:dyDescent="0.3">
      <c r="A14" s="268"/>
      <c r="B14" s="47" t="s">
        <v>631</v>
      </c>
      <c r="C14" s="46"/>
      <c r="D14" s="36"/>
      <c r="E14" s="30" t="s">
        <v>416</v>
      </c>
      <c r="F14" s="33" t="str">
        <f t="shared" si="0"/>
        <v/>
      </c>
      <c r="G14" s="44"/>
      <c r="H14" s="45"/>
      <c r="I14" s="153">
        <v>0</v>
      </c>
      <c r="K14" s="215"/>
      <c r="L14" s="30" t="s">
        <v>416</v>
      </c>
      <c r="M14" s="33" t="str">
        <f t="shared" si="6"/>
        <v/>
      </c>
      <c r="N14" s="44"/>
      <c r="O14" s="36" t="str">
        <f t="shared" si="7"/>
        <v/>
      </c>
      <c r="P14" s="216" t="str">
        <f t="shared" si="8"/>
        <v/>
      </c>
      <c r="Q14" s="216" t="str">
        <f t="shared" si="9"/>
        <v/>
      </c>
      <c r="R14" s="217" t="str">
        <f t="shared" si="10"/>
        <v/>
      </c>
    </row>
    <row r="15" spans="1:18" ht="15.75" hidden="1" thickBot="1" x14ac:dyDescent="0.3">
      <c r="A15" s="270"/>
      <c r="B15" s="35" t="s">
        <v>416</v>
      </c>
      <c r="C15" s="35"/>
      <c r="D15" s="92"/>
      <c r="E15" s="30" t="s">
        <v>416</v>
      </c>
      <c r="F15" s="33" t="str">
        <f t="shared" si="0"/>
        <v/>
      </c>
      <c r="G15" s="34"/>
      <c r="H15" s="30"/>
      <c r="I15" s="153">
        <v>0</v>
      </c>
      <c r="K15" s="228"/>
      <c r="L15" s="30" t="s">
        <v>416</v>
      </c>
      <c r="M15" s="33" t="str">
        <f t="shared" si="6"/>
        <v/>
      </c>
      <c r="N15" s="34"/>
      <c r="O15" s="36" t="str">
        <f t="shared" si="7"/>
        <v/>
      </c>
      <c r="P15" s="216" t="str">
        <f t="shared" si="8"/>
        <v/>
      </c>
      <c r="Q15" s="216" t="str">
        <f t="shared" si="9"/>
        <v/>
      </c>
      <c r="R15" s="217" t="str">
        <f t="shared" si="10"/>
        <v/>
      </c>
    </row>
    <row r="16" spans="1:18" ht="15.75" hidden="1" customHeight="1" thickBot="1" x14ac:dyDescent="0.3">
      <c r="A16" s="269" t="s">
        <v>2892</v>
      </c>
      <c r="B16" s="40" t="s">
        <v>416</v>
      </c>
      <c r="C16" s="25" t="s">
        <v>213</v>
      </c>
      <c r="D16" s="93"/>
      <c r="E16" s="41" t="s">
        <v>416</v>
      </c>
      <c r="F16" s="41" t="str">
        <f t="shared" si="0"/>
        <v/>
      </c>
      <c r="G16" s="28"/>
      <c r="H16" s="29"/>
      <c r="I16" s="153">
        <v>0</v>
      </c>
      <c r="K16" s="226"/>
      <c r="L16" s="41" t="s">
        <v>416</v>
      </c>
      <c r="M16" s="41" t="str">
        <f t="shared" si="6"/>
        <v/>
      </c>
      <c r="N16" s="28"/>
      <c r="O16" s="36" t="str">
        <f t="shared" si="7"/>
        <v/>
      </c>
      <c r="P16" s="216" t="str">
        <f t="shared" si="8"/>
        <v/>
      </c>
      <c r="Q16" s="216" t="str">
        <f t="shared" si="9"/>
        <v/>
      </c>
      <c r="R16" s="217" t="str">
        <f t="shared" si="10"/>
        <v/>
      </c>
    </row>
    <row r="17" spans="1:18" ht="15.75" hidden="1" thickBot="1" x14ac:dyDescent="0.3">
      <c r="A17" s="268"/>
      <c r="B17" s="31" t="s">
        <v>416</v>
      </c>
      <c r="C17" s="31"/>
      <c r="D17" s="91"/>
      <c r="E17" s="42" t="s">
        <v>416</v>
      </c>
      <c r="F17" s="30" t="str">
        <f t="shared" si="0"/>
        <v/>
      </c>
      <c r="G17" s="34"/>
      <c r="H17" s="30"/>
      <c r="I17" s="153">
        <v>0</v>
      </c>
      <c r="K17" s="227"/>
      <c r="L17" s="42" t="s">
        <v>416</v>
      </c>
      <c r="M17" s="30" t="str">
        <f t="shared" si="6"/>
        <v/>
      </c>
      <c r="N17" s="34"/>
      <c r="O17" s="36" t="str">
        <f t="shared" si="7"/>
        <v/>
      </c>
      <c r="P17" s="216" t="str">
        <f t="shared" si="8"/>
        <v/>
      </c>
      <c r="Q17" s="216" t="str">
        <f t="shared" si="9"/>
        <v/>
      </c>
      <c r="R17" s="217" t="str">
        <f t="shared" si="10"/>
        <v/>
      </c>
    </row>
    <row r="18" spans="1:18" ht="26.25" hidden="1" thickBot="1" x14ac:dyDescent="0.3">
      <c r="A18" s="268"/>
      <c r="B18" s="35" t="s">
        <v>824</v>
      </c>
      <c r="C18" s="35" t="s">
        <v>583</v>
      </c>
      <c r="D18" s="36">
        <v>2.2700000000000001E-2</v>
      </c>
      <c r="E18" s="30">
        <v>21.166</v>
      </c>
      <c r="F18" s="33">
        <f t="shared" si="0"/>
        <v>0.48046820000000001</v>
      </c>
      <c r="G18" s="44">
        <f>SUM(F18:F19)</f>
        <v>4.8246671499999998</v>
      </c>
      <c r="H18" s="45"/>
      <c r="I18" s="153">
        <v>0</v>
      </c>
      <c r="K18" s="215">
        <v>2.2700000000000001E-2</v>
      </c>
      <c r="L18" s="30">
        <v>21.166</v>
      </c>
      <c r="M18" s="33">
        <f t="shared" si="6"/>
        <v>0.48046820000000001</v>
      </c>
      <c r="N18" s="44">
        <f>SUM(M18:M19)</f>
        <v>4.8246671499999998</v>
      </c>
      <c r="O18" s="36" t="str">
        <f t="shared" si="7"/>
        <v/>
      </c>
      <c r="P18" s="216">
        <f t="shared" si="8"/>
        <v>0</v>
      </c>
      <c r="Q18" s="216">
        <f t="shared" si="9"/>
        <v>0</v>
      </c>
      <c r="R18" s="217">
        <f t="shared" si="10"/>
        <v>0</v>
      </c>
    </row>
    <row r="19" spans="1:18" ht="26.25" hidden="1" thickBot="1" x14ac:dyDescent="0.3">
      <c r="A19" s="268"/>
      <c r="B19" s="35" t="s">
        <v>825</v>
      </c>
      <c r="C19" s="35" t="s">
        <v>583</v>
      </c>
      <c r="D19" s="36">
        <v>0.16209999999999999</v>
      </c>
      <c r="E19" s="30">
        <v>26.799499999999998</v>
      </c>
      <c r="F19" s="33">
        <f t="shared" si="0"/>
        <v>4.34419895</v>
      </c>
      <c r="G19" s="44"/>
      <c r="H19" s="45"/>
      <c r="I19" s="153">
        <v>0</v>
      </c>
      <c r="K19" s="215">
        <v>0.16209999999999999</v>
      </c>
      <c r="L19" s="30">
        <v>26.799499999999998</v>
      </c>
      <c r="M19" s="33">
        <f t="shared" si="6"/>
        <v>4.34419895</v>
      </c>
      <c r="N19" s="44"/>
      <c r="O19" s="36" t="str">
        <f t="shared" si="7"/>
        <v/>
      </c>
      <c r="P19" s="216">
        <f t="shared" si="8"/>
        <v>0</v>
      </c>
      <c r="Q19" s="216">
        <f t="shared" si="9"/>
        <v>0</v>
      </c>
      <c r="R19" s="217" t="str">
        <f t="shared" si="10"/>
        <v/>
      </c>
    </row>
    <row r="20" spans="1:18" ht="15.75" hidden="1" thickBot="1" x14ac:dyDescent="0.3">
      <c r="A20" s="270"/>
      <c r="B20" s="35" t="s">
        <v>416</v>
      </c>
      <c r="C20" s="35"/>
      <c r="D20" s="92"/>
      <c r="E20" s="30" t="s">
        <v>416</v>
      </c>
      <c r="F20" s="30" t="str">
        <f t="shared" si="0"/>
        <v/>
      </c>
      <c r="G20" s="34"/>
      <c r="H20" s="30"/>
      <c r="I20" s="153">
        <v>0</v>
      </c>
      <c r="K20" s="228"/>
      <c r="L20" s="30" t="s">
        <v>416</v>
      </c>
      <c r="M20" s="30" t="str">
        <f t="shared" si="6"/>
        <v/>
      </c>
      <c r="N20" s="34"/>
      <c r="O20" s="36" t="str">
        <f t="shared" si="7"/>
        <v/>
      </c>
      <c r="P20" s="216" t="str">
        <f t="shared" si="8"/>
        <v/>
      </c>
      <c r="Q20" s="216" t="str">
        <f t="shared" si="9"/>
        <v/>
      </c>
      <c r="R20" s="217" t="str">
        <f t="shared" si="10"/>
        <v/>
      </c>
    </row>
    <row r="21" spans="1:18" ht="15.75" customHeight="1" thickBot="1" x14ac:dyDescent="0.3">
      <c r="A21" s="269" t="s">
        <v>2889</v>
      </c>
      <c r="B21" s="40" t="s">
        <v>416</v>
      </c>
      <c r="C21" s="25" t="s">
        <v>385</v>
      </c>
      <c r="D21" s="93"/>
      <c r="E21" s="41" t="s">
        <v>416</v>
      </c>
      <c r="F21" s="41" t="str">
        <f t="shared" si="0"/>
        <v/>
      </c>
      <c r="G21" s="28"/>
      <c r="H21" s="29"/>
      <c r="I21" s="153">
        <v>30</v>
      </c>
      <c r="K21" s="226"/>
      <c r="L21" s="41" t="s">
        <v>416</v>
      </c>
      <c r="M21" s="41" t="str">
        <f t="shared" si="6"/>
        <v/>
      </c>
      <c r="N21" s="28"/>
      <c r="O21" s="36" t="str">
        <f t="shared" si="7"/>
        <v/>
      </c>
      <c r="P21" s="216" t="str">
        <f t="shared" si="8"/>
        <v/>
      </c>
      <c r="Q21" s="216" t="str">
        <f t="shared" si="9"/>
        <v/>
      </c>
      <c r="R21" s="217" t="str">
        <f t="shared" si="10"/>
        <v/>
      </c>
    </row>
    <row r="22" spans="1:18" x14ac:dyDescent="0.25">
      <c r="A22" s="268"/>
      <c r="B22" s="31" t="s">
        <v>416</v>
      </c>
      <c r="C22" s="31"/>
      <c r="D22" s="91"/>
      <c r="E22" s="42" t="s">
        <v>416</v>
      </c>
      <c r="F22" s="30" t="str">
        <f t="shared" si="0"/>
        <v/>
      </c>
      <c r="G22" s="34"/>
      <c r="H22" s="30"/>
      <c r="I22" s="153">
        <v>30</v>
      </c>
      <c r="K22" s="227"/>
      <c r="L22" s="42" t="s">
        <v>416</v>
      </c>
      <c r="M22" s="30" t="str">
        <f t="shared" si="6"/>
        <v/>
      </c>
      <c r="N22" s="34"/>
      <c r="O22" s="36" t="str">
        <f t="shared" si="7"/>
        <v/>
      </c>
      <c r="P22" s="216" t="str">
        <f t="shared" si="8"/>
        <v/>
      </c>
      <c r="Q22" s="216" t="str">
        <f t="shared" si="9"/>
        <v/>
      </c>
      <c r="R22" s="217" t="str">
        <f t="shared" si="10"/>
        <v/>
      </c>
    </row>
    <row r="23" spans="1:18" ht="25.5" x14ac:dyDescent="0.25">
      <c r="A23" s="268"/>
      <c r="B23" s="35" t="s">
        <v>7954</v>
      </c>
      <c r="C23" s="35" t="s">
        <v>213</v>
      </c>
      <c r="D23" s="36">
        <v>0.65</v>
      </c>
      <c r="E23" s="33">
        <v>1.444</v>
      </c>
      <c r="F23" s="33">
        <f t="shared" si="0"/>
        <v>0.93859999999999999</v>
      </c>
      <c r="G23" s="44">
        <f>SUM(F23:F25)</f>
        <v>2.9994255000000001</v>
      </c>
      <c r="H23" s="45"/>
      <c r="I23" s="153">
        <v>30</v>
      </c>
      <c r="K23" s="215">
        <v>0.65</v>
      </c>
      <c r="L23" s="33">
        <v>1.444</v>
      </c>
      <c r="M23" s="33">
        <f t="shared" si="6"/>
        <v>0.93859999999999999</v>
      </c>
      <c r="N23" s="44">
        <f>SUM(M23:M25)</f>
        <v>2.9994255000000001</v>
      </c>
      <c r="O23" s="36" t="str">
        <f t="shared" si="7"/>
        <v/>
      </c>
      <c r="P23" s="216">
        <f t="shared" si="8"/>
        <v>0</v>
      </c>
      <c r="Q23" s="216">
        <f t="shared" si="9"/>
        <v>0</v>
      </c>
      <c r="R23" s="217">
        <f t="shared" si="10"/>
        <v>0</v>
      </c>
    </row>
    <row r="24" spans="1:18" ht="25.5" x14ac:dyDescent="0.25">
      <c r="A24" s="268"/>
      <c r="B24" s="35" t="s">
        <v>824</v>
      </c>
      <c r="C24" s="35" t="s">
        <v>583</v>
      </c>
      <c r="D24" s="36">
        <v>0.01</v>
      </c>
      <c r="E24" s="30">
        <v>21.166</v>
      </c>
      <c r="F24" s="33">
        <f t="shared" si="0"/>
        <v>0.21166000000000001</v>
      </c>
      <c r="G24" s="44"/>
      <c r="H24" s="45"/>
      <c r="I24" s="153">
        <v>30</v>
      </c>
      <c r="K24" s="215">
        <v>0.01</v>
      </c>
      <c r="L24" s="30">
        <v>21.166</v>
      </c>
      <c r="M24" s="33">
        <f t="shared" si="6"/>
        <v>0.21166000000000001</v>
      </c>
      <c r="N24" s="44"/>
      <c r="O24" s="36" t="str">
        <f t="shared" si="7"/>
        <v/>
      </c>
      <c r="P24" s="216">
        <f t="shared" si="8"/>
        <v>0</v>
      </c>
      <c r="Q24" s="216">
        <f t="shared" si="9"/>
        <v>0</v>
      </c>
      <c r="R24" s="217" t="str">
        <f t="shared" si="10"/>
        <v/>
      </c>
    </row>
    <row r="25" spans="1:18" ht="25.5" x14ac:dyDescent="0.25">
      <c r="A25" s="268"/>
      <c r="B25" s="35" t="s">
        <v>825</v>
      </c>
      <c r="C25" s="35" t="s">
        <v>583</v>
      </c>
      <c r="D25" s="36">
        <v>6.9000000000000006E-2</v>
      </c>
      <c r="E25" s="30">
        <v>26.799499999999998</v>
      </c>
      <c r="F25" s="33">
        <f t="shared" si="0"/>
        <v>1.8491655</v>
      </c>
      <c r="G25" s="44"/>
      <c r="H25" s="45"/>
      <c r="I25" s="153">
        <v>30</v>
      </c>
      <c r="K25" s="215">
        <v>6.9000000000000006E-2</v>
      </c>
      <c r="L25" s="30">
        <v>26.799499999999998</v>
      </c>
      <c r="M25" s="33">
        <f t="shared" si="6"/>
        <v>1.8491655</v>
      </c>
      <c r="N25" s="44"/>
      <c r="O25" s="36" t="str">
        <f t="shared" si="7"/>
        <v/>
      </c>
      <c r="P25" s="216">
        <f t="shared" si="8"/>
        <v>0</v>
      </c>
      <c r="Q25" s="216">
        <f t="shared" si="9"/>
        <v>0</v>
      </c>
      <c r="R25" s="217" t="str">
        <f t="shared" si="10"/>
        <v/>
      </c>
    </row>
    <row r="26" spans="1:18" ht="15.75" thickBot="1" x14ac:dyDescent="0.3">
      <c r="A26" s="270"/>
      <c r="B26" s="35" t="s">
        <v>416</v>
      </c>
      <c r="C26" s="35"/>
      <c r="D26" s="92"/>
      <c r="E26" s="30" t="s">
        <v>416</v>
      </c>
      <c r="F26" s="30" t="str">
        <f t="shared" si="0"/>
        <v/>
      </c>
      <c r="G26" s="34"/>
      <c r="H26" s="30"/>
      <c r="I26" s="153">
        <v>30</v>
      </c>
      <c r="K26" s="228"/>
      <c r="L26" s="30" t="s">
        <v>416</v>
      </c>
      <c r="M26" s="30" t="str">
        <f t="shared" si="6"/>
        <v/>
      </c>
      <c r="N26" s="34"/>
      <c r="O26" s="36" t="str">
        <f t="shared" si="7"/>
        <v/>
      </c>
      <c r="P26" s="216" t="str">
        <f t="shared" si="8"/>
        <v/>
      </c>
      <c r="Q26" s="216" t="str">
        <f t="shared" si="9"/>
        <v/>
      </c>
      <c r="R26" s="217" t="str">
        <f t="shared" si="10"/>
        <v/>
      </c>
    </row>
    <row r="27" spans="1:18" ht="15.75" hidden="1" customHeight="1" thickBot="1" x14ac:dyDescent="0.3">
      <c r="A27" s="269" t="s">
        <v>3218</v>
      </c>
      <c r="B27" s="40" t="s">
        <v>416</v>
      </c>
      <c r="C27" s="25" t="s">
        <v>861</v>
      </c>
      <c r="D27" s="93"/>
      <c r="E27" s="41" t="s">
        <v>416</v>
      </c>
      <c r="F27" s="41" t="str">
        <f t="shared" si="0"/>
        <v/>
      </c>
      <c r="G27" s="28"/>
      <c r="H27" s="29"/>
      <c r="I27" s="153">
        <v>0</v>
      </c>
      <c r="K27" s="226"/>
      <c r="L27" s="41" t="s">
        <v>416</v>
      </c>
      <c r="M27" s="41" t="str">
        <f t="shared" si="6"/>
        <v/>
      </c>
      <c r="N27" s="28"/>
      <c r="O27" s="36" t="str">
        <f t="shared" si="7"/>
        <v/>
      </c>
      <c r="P27" s="216" t="str">
        <f t="shared" si="8"/>
        <v/>
      </c>
      <c r="Q27" s="216" t="str">
        <f t="shared" si="9"/>
        <v/>
      </c>
      <c r="R27" s="217" t="str">
        <f t="shared" si="10"/>
        <v/>
      </c>
    </row>
    <row r="28" spans="1:18" ht="15.75" hidden="1" thickBot="1" x14ac:dyDescent="0.3">
      <c r="A28" s="268"/>
      <c r="B28" s="31" t="s">
        <v>416</v>
      </c>
      <c r="C28" s="31"/>
      <c r="D28" s="91"/>
      <c r="E28" s="42" t="s">
        <v>416</v>
      </c>
      <c r="F28" s="30" t="str">
        <f t="shared" si="0"/>
        <v/>
      </c>
      <c r="G28" s="34"/>
      <c r="H28" s="30"/>
      <c r="I28" s="153">
        <v>0</v>
      </c>
      <c r="K28" s="227"/>
      <c r="L28" s="42" t="s">
        <v>416</v>
      </c>
      <c r="M28" s="30" t="str">
        <f t="shared" si="6"/>
        <v/>
      </c>
      <c r="N28" s="34"/>
      <c r="O28" s="36" t="str">
        <f t="shared" si="7"/>
        <v/>
      </c>
      <c r="P28" s="216" t="str">
        <f t="shared" si="8"/>
        <v/>
      </c>
      <c r="Q28" s="216" t="str">
        <f t="shared" si="9"/>
        <v/>
      </c>
      <c r="R28" s="217" t="str">
        <f t="shared" si="10"/>
        <v/>
      </c>
    </row>
    <row r="29" spans="1:18" ht="39" hidden="1" thickBot="1" x14ac:dyDescent="0.3">
      <c r="A29" s="268"/>
      <c r="B29" s="35" t="s">
        <v>8062</v>
      </c>
      <c r="C29" s="35" t="s">
        <v>861</v>
      </c>
      <c r="D29" s="36">
        <v>1.1459999999999999</v>
      </c>
      <c r="E29" s="33">
        <v>55.745999999999995</v>
      </c>
      <c r="F29" s="33">
        <f t="shared" si="0"/>
        <v>63.88491599999999</v>
      </c>
      <c r="G29" s="44">
        <f>SUM(F29:F36)</f>
        <v>124.33613299999999</v>
      </c>
      <c r="H29" s="45"/>
      <c r="I29" s="153">
        <v>0</v>
      </c>
      <c r="K29" s="215">
        <v>1.1459999999999999</v>
      </c>
      <c r="L29" s="33">
        <v>55.745999999999995</v>
      </c>
      <c r="M29" s="33">
        <f t="shared" si="6"/>
        <v>63.88491599999999</v>
      </c>
      <c r="N29" s="44">
        <f>SUM(M29:M36)</f>
        <v>124.33613299999999</v>
      </c>
      <c r="O29" s="36" t="str">
        <f t="shared" si="7"/>
        <v/>
      </c>
      <c r="P29" s="216">
        <f t="shared" si="8"/>
        <v>0</v>
      </c>
      <c r="Q29" s="216">
        <f t="shared" si="9"/>
        <v>0</v>
      </c>
      <c r="R29" s="217">
        <f t="shared" si="10"/>
        <v>0</v>
      </c>
    </row>
    <row r="30" spans="1:18" ht="26.25" hidden="1" thickBot="1" x14ac:dyDescent="0.3">
      <c r="A30" s="268"/>
      <c r="B30" s="35" t="s">
        <v>3233</v>
      </c>
      <c r="C30" s="35" t="s">
        <v>385</v>
      </c>
      <c r="D30" s="36">
        <v>0.16600000000000001</v>
      </c>
      <c r="E30" s="33">
        <v>8.1889999999999983</v>
      </c>
      <c r="F30" s="33">
        <f t="shared" si="0"/>
        <v>1.3593739999999999</v>
      </c>
      <c r="G30" s="44"/>
      <c r="H30" s="45"/>
      <c r="I30" s="153">
        <v>0</v>
      </c>
      <c r="K30" s="215">
        <v>0.16600000000000001</v>
      </c>
      <c r="L30" s="33">
        <v>8.1889999999999983</v>
      </c>
      <c r="M30" s="33">
        <f t="shared" si="6"/>
        <v>1.3593739999999999</v>
      </c>
      <c r="N30" s="44"/>
      <c r="O30" s="36" t="str">
        <f t="shared" si="7"/>
        <v/>
      </c>
      <c r="P30" s="216">
        <f t="shared" si="8"/>
        <v>0</v>
      </c>
      <c r="Q30" s="216">
        <f t="shared" si="9"/>
        <v>0</v>
      </c>
      <c r="R30" s="217" t="str">
        <f t="shared" si="10"/>
        <v/>
      </c>
    </row>
    <row r="31" spans="1:18" ht="26.25" hidden="1" thickBot="1" x14ac:dyDescent="0.3">
      <c r="A31" s="268"/>
      <c r="B31" s="35" t="s">
        <v>3235</v>
      </c>
      <c r="C31" s="35" t="s">
        <v>385</v>
      </c>
      <c r="D31" s="36">
        <v>6.952</v>
      </c>
      <c r="E31" s="33">
        <v>2.8594999999999997</v>
      </c>
      <c r="F31" s="33">
        <f t="shared" si="0"/>
        <v>19.879243999999996</v>
      </c>
      <c r="G31" s="44"/>
      <c r="H31" s="45"/>
      <c r="I31" s="153">
        <v>0</v>
      </c>
      <c r="K31" s="215">
        <v>6.952</v>
      </c>
      <c r="L31" s="33">
        <v>2.8594999999999997</v>
      </c>
      <c r="M31" s="33">
        <f t="shared" si="6"/>
        <v>19.879243999999996</v>
      </c>
      <c r="N31" s="44"/>
      <c r="O31" s="36" t="str">
        <f t="shared" si="7"/>
        <v/>
      </c>
      <c r="P31" s="216">
        <f t="shared" si="8"/>
        <v>0</v>
      </c>
      <c r="Q31" s="216">
        <f t="shared" si="9"/>
        <v>0</v>
      </c>
      <c r="R31" s="217" t="str">
        <f t="shared" si="10"/>
        <v/>
      </c>
    </row>
    <row r="32" spans="1:18" ht="15.75" hidden="1" thickBot="1" x14ac:dyDescent="0.3">
      <c r="A32" s="268"/>
      <c r="B32" s="35" t="s">
        <v>1219</v>
      </c>
      <c r="C32" s="35" t="s">
        <v>773</v>
      </c>
      <c r="D32" s="36">
        <v>0.159</v>
      </c>
      <c r="E32" s="33">
        <v>21.602999999999998</v>
      </c>
      <c r="F32" s="33">
        <f t="shared" si="0"/>
        <v>3.4348769999999997</v>
      </c>
      <c r="G32" s="44"/>
      <c r="H32" s="45"/>
      <c r="I32" s="153">
        <v>0</v>
      </c>
      <c r="K32" s="215">
        <v>0.159</v>
      </c>
      <c r="L32" s="33">
        <v>21.602999999999998</v>
      </c>
      <c r="M32" s="33">
        <f t="shared" si="6"/>
        <v>3.4348769999999997</v>
      </c>
      <c r="N32" s="44"/>
      <c r="O32" s="36" t="str">
        <f t="shared" si="7"/>
        <v/>
      </c>
      <c r="P32" s="216">
        <f t="shared" si="8"/>
        <v>0</v>
      </c>
      <c r="Q32" s="216">
        <f t="shared" si="9"/>
        <v>0</v>
      </c>
      <c r="R32" s="217" t="str">
        <f t="shared" si="10"/>
        <v/>
      </c>
    </row>
    <row r="33" spans="1:18" ht="15.75" hidden="1" thickBot="1" x14ac:dyDescent="0.3">
      <c r="A33" s="268"/>
      <c r="B33" s="35" t="s">
        <v>660</v>
      </c>
      <c r="C33" s="35" t="s">
        <v>583</v>
      </c>
      <c r="D33" s="36">
        <v>0.20200000000000001</v>
      </c>
      <c r="E33" s="30">
        <v>21.337</v>
      </c>
      <c r="F33" s="33">
        <f t="shared" si="0"/>
        <v>4.3100740000000002</v>
      </c>
      <c r="G33" s="44"/>
      <c r="H33" s="45"/>
      <c r="I33" s="153">
        <v>0</v>
      </c>
      <c r="K33" s="215">
        <v>0.20200000000000001</v>
      </c>
      <c r="L33" s="30">
        <v>21.337</v>
      </c>
      <c r="M33" s="33">
        <f t="shared" si="6"/>
        <v>4.3100740000000002</v>
      </c>
      <c r="N33" s="44"/>
      <c r="O33" s="36" t="str">
        <f t="shared" si="7"/>
        <v/>
      </c>
      <c r="P33" s="216">
        <f t="shared" si="8"/>
        <v>0</v>
      </c>
      <c r="Q33" s="216">
        <f t="shared" si="9"/>
        <v>0</v>
      </c>
      <c r="R33" s="217" t="str">
        <f t="shared" si="10"/>
        <v/>
      </c>
    </row>
    <row r="34" spans="1:18" ht="15.75" hidden="1" thickBot="1" x14ac:dyDescent="0.3">
      <c r="A34" s="268"/>
      <c r="B34" s="35" t="s">
        <v>862</v>
      </c>
      <c r="C34" s="35" t="s">
        <v>583</v>
      </c>
      <c r="D34" s="36">
        <v>1.012</v>
      </c>
      <c r="E34" s="30">
        <v>26.799499999999998</v>
      </c>
      <c r="F34" s="33">
        <f t="shared" si="0"/>
        <v>27.121093999999999</v>
      </c>
      <c r="G34" s="44"/>
      <c r="H34" s="45"/>
      <c r="I34" s="153">
        <v>0</v>
      </c>
      <c r="K34" s="215">
        <v>1.012</v>
      </c>
      <c r="L34" s="30">
        <v>26.799499999999998</v>
      </c>
      <c r="M34" s="33">
        <f t="shared" si="6"/>
        <v>27.121093999999999</v>
      </c>
      <c r="N34" s="44"/>
      <c r="O34" s="36" t="str">
        <f t="shared" si="7"/>
        <v/>
      </c>
      <c r="P34" s="216">
        <f t="shared" si="8"/>
        <v>0</v>
      </c>
      <c r="Q34" s="216">
        <f t="shared" si="9"/>
        <v>0</v>
      </c>
      <c r="R34" s="217" t="str">
        <f t="shared" si="10"/>
        <v/>
      </c>
    </row>
    <row r="35" spans="1:18" ht="26.25" hidden="1" thickBot="1" x14ac:dyDescent="0.3">
      <c r="A35" s="268"/>
      <c r="B35" s="35" t="s">
        <v>1013</v>
      </c>
      <c r="C35" s="35" t="s">
        <v>813</v>
      </c>
      <c r="D35" s="36">
        <v>0.05</v>
      </c>
      <c r="E35" s="30">
        <v>22.210999999999999</v>
      </c>
      <c r="F35" s="30">
        <f t="shared" si="0"/>
        <v>1.1105499999999999</v>
      </c>
      <c r="G35" s="44"/>
      <c r="H35" s="45"/>
      <c r="I35" s="153">
        <v>0</v>
      </c>
      <c r="K35" s="215">
        <v>0.05</v>
      </c>
      <c r="L35" s="30">
        <v>22.210999999999999</v>
      </c>
      <c r="M35" s="30">
        <f t="shared" si="6"/>
        <v>1.1105499999999999</v>
      </c>
      <c r="N35" s="44"/>
      <c r="O35" s="36" t="str">
        <f t="shared" si="7"/>
        <v/>
      </c>
      <c r="P35" s="216">
        <f t="shared" si="8"/>
        <v>0</v>
      </c>
      <c r="Q35" s="216">
        <f t="shared" si="9"/>
        <v>0</v>
      </c>
      <c r="R35" s="217" t="str">
        <f t="shared" si="10"/>
        <v/>
      </c>
    </row>
    <row r="36" spans="1:18" ht="26.25" hidden="1" thickBot="1" x14ac:dyDescent="0.3">
      <c r="A36" s="268"/>
      <c r="B36" s="35" t="s">
        <v>1014</v>
      </c>
      <c r="C36" s="35" t="s">
        <v>815</v>
      </c>
      <c r="D36" s="36">
        <v>0.152</v>
      </c>
      <c r="E36" s="30">
        <v>21.2895</v>
      </c>
      <c r="F36" s="30">
        <f t="shared" si="0"/>
        <v>3.2360039999999999</v>
      </c>
      <c r="G36" s="44"/>
      <c r="H36" s="45"/>
      <c r="I36" s="153">
        <v>0</v>
      </c>
      <c r="K36" s="215">
        <v>0.152</v>
      </c>
      <c r="L36" s="30">
        <v>21.2895</v>
      </c>
      <c r="M36" s="30">
        <f t="shared" si="6"/>
        <v>3.2360039999999999</v>
      </c>
      <c r="N36" s="44"/>
      <c r="O36" s="36" t="str">
        <f t="shared" si="7"/>
        <v/>
      </c>
      <c r="P36" s="216">
        <f t="shared" si="8"/>
        <v>0</v>
      </c>
      <c r="Q36" s="216">
        <f t="shared" si="9"/>
        <v>0</v>
      </c>
      <c r="R36" s="217" t="str">
        <f t="shared" si="10"/>
        <v/>
      </c>
    </row>
    <row r="37" spans="1:18" ht="15.75" hidden="1" thickBot="1" x14ac:dyDescent="0.3">
      <c r="A37" s="268"/>
      <c r="B37" s="35" t="s">
        <v>416</v>
      </c>
      <c r="C37" s="35"/>
      <c r="D37" s="92"/>
      <c r="E37" s="30" t="s">
        <v>416</v>
      </c>
      <c r="F37" s="30" t="str">
        <f t="shared" si="0"/>
        <v/>
      </c>
      <c r="G37" s="34"/>
      <c r="H37" s="30"/>
      <c r="I37" s="153">
        <v>0</v>
      </c>
      <c r="K37" s="228"/>
      <c r="L37" s="30" t="s">
        <v>416</v>
      </c>
      <c r="M37" s="30" t="str">
        <f t="shared" si="6"/>
        <v/>
      </c>
      <c r="N37" s="34"/>
      <c r="O37" s="36" t="str">
        <f t="shared" si="7"/>
        <v/>
      </c>
      <c r="P37" s="216" t="str">
        <f t="shared" si="8"/>
        <v/>
      </c>
      <c r="Q37" s="216" t="str">
        <f t="shared" si="9"/>
        <v/>
      </c>
      <c r="R37" s="217" t="str">
        <f t="shared" si="10"/>
        <v/>
      </c>
    </row>
    <row r="38" spans="1:18" ht="15.75" hidden="1" thickBot="1" x14ac:dyDescent="0.3">
      <c r="A38" s="269" t="s">
        <v>3220</v>
      </c>
      <c r="B38" s="40" t="s">
        <v>416</v>
      </c>
      <c r="C38" s="25" t="s">
        <v>385</v>
      </c>
      <c r="D38" s="93"/>
      <c r="E38" s="41" t="s">
        <v>416</v>
      </c>
      <c r="F38" s="41" t="str">
        <f t="shared" si="0"/>
        <v/>
      </c>
      <c r="G38" s="28"/>
      <c r="H38" s="29"/>
      <c r="I38" s="153">
        <v>0</v>
      </c>
      <c r="K38" s="226"/>
      <c r="L38" s="41" t="s">
        <v>416</v>
      </c>
      <c r="M38" s="41" t="str">
        <f t="shared" si="6"/>
        <v/>
      </c>
      <c r="N38" s="28"/>
      <c r="O38" s="36" t="str">
        <f t="shared" si="7"/>
        <v/>
      </c>
      <c r="P38" s="216" t="str">
        <f t="shared" si="8"/>
        <v/>
      </c>
      <c r="Q38" s="216" t="str">
        <f t="shared" si="9"/>
        <v/>
      </c>
      <c r="R38" s="217" t="str">
        <f t="shared" si="10"/>
        <v/>
      </c>
    </row>
    <row r="39" spans="1:18" ht="15.75" hidden="1" thickBot="1" x14ac:dyDescent="0.3">
      <c r="A39" s="268"/>
      <c r="B39" s="31" t="s">
        <v>416</v>
      </c>
      <c r="C39" s="31"/>
      <c r="D39" s="91"/>
      <c r="E39" s="42" t="s">
        <v>416</v>
      </c>
      <c r="F39" s="30" t="str">
        <f t="shared" si="0"/>
        <v/>
      </c>
      <c r="G39" s="34"/>
      <c r="H39" s="30"/>
      <c r="I39" s="153">
        <v>0</v>
      </c>
      <c r="K39" s="227"/>
      <c r="L39" s="42" t="s">
        <v>416</v>
      </c>
      <c r="M39" s="30" t="str">
        <f t="shared" si="6"/>
        <v/>
      </c>
      <c r="N39" s="34"/>
      <c r="O39" s="36" t="str">
        <f t="shared" si="7"/>
        <v/>
      </c>
      <c r="P39" s="216" t="str">
        <f t="shared" si="8"/>
        <v/>
      </c>
      <c r="Q39" s="216" t="str">
        <f t="shared" si="9"/>
        <v/>
      </c>
      <c r="R39" s="217" t="str">
        <f t="shared" si="10"/>
        <v/>
      </c>
    </row>
    <row r="40" spans="1:18" ht="39" hidden="1" thickBot="1" x14ac:dyDescent="0.3">
      <c r="A40" s="268"/>
      <c r="B40" s="35" t="s">
        <v>8061</v>
      </c>
      <c r="C40" s="35" t="s">
        <v>861</v>
      </c>
      <c r="D40" s="36">
        <v>0.13600000000000001</v>
      </c>
      <c r="E40" s="30">
        <v>94.401499999999999</v>
      </c>
      <c r="F40" s="30">
        <f t="shared" si="0"/>
        <v>12.838604</v>
      </c>
      <c r="G40" s="44">
        <f>SUM(F40:F46)</f>
        <v>37.9755185</v>
      </c>
      <c r="H40" s="45"/>
      <c r="I40" s="153">
        <v>0</v>
      </c>
      <c r="K40" s="215">
        <v>0.13600000000000001</v>
      </c>
      <c r="L40" s="30">
        <v>94.401499999999999</v>
      </c>
      <c r="M40" s="30">
        <f t="shared" si="6"/>
        <v>12.838604</v>
      </c>
      <c r="N40" s="44">
        <f>SUM(M40:M46)</f>
        <v>37.9755185</v>
      </c>
      <c r="O40" s="36" t="str">
        <f t="shared" si="7"/>
        <v/>
      </c>
      <c r="P40" s="216">
        <f t="shared" si="8"/>
        <v>0</v>
      </c>
      <c r="Q40" s="216">
        <f t="shared" si="9"/>
        <v>0</v>
      </c>
      <c r="R40" s="217">
        <f t="shared" si="10"/>
        <v>0</v>
      </c>
    </row>
    <row r="41" spans="1:18" ht="26.25" hidden="1" thickBot="1" x14ac:dyDescent="0.3">
      <c r="A41" s="268"/>
      <c r="B41" s="35" t="s">
        <v>3233</v>
      </c>
      <c r="C41" s="35" t="s">
        <v>385</v>
      </c>
      <c r="D41" s="36">
        <v>2.3420000000000001</v>
      </c>
      <c r="E41" s="30">
        <v>8.1889999999999983</v>
      </c>
      <c r="F41" s="30">
        <f t="shared" si="0"/>
        <v>19.178637999999996</v>
      </c>
      <c r="G41" s="44"/>
      <c r="H41" s="45"/>
      <c r="I41" s="153">
        <v>0</v>
      </c>
      <c r="K41" s="215">
        <v>2.3420000000000001</v>
      </c>
      <c r="L41" s="30">
        <v>8.1889999999999983</v>
      </c>
      <c r="M41" s="30">
        <f t="shared" si="6"/>
        <v>19.178637999999996</v>
      </c>
      <c r="N41" s="44"/>
      <c r="O41" s="36" t="str">
        <f t="shared" si="7"/>
        <v/>
      </c>
      <c r="P41" s="216">
        <f t="shared" si="8"/>
        <v>0</v>
      </c>
      <c r="Q41" s="216">
        <f t="shared" si="9"/>
        <v>0</v>
      </c>
      <c r="R41" s="217" t="str">
        <f t="shared" si="10"/>
        <v/>
      </c>
    </row>
    <row r="42" spans="1:18" ht="15.75" hidden="1" thickBot="1" x14ac:dyDescent="0.3">
      <c r="A42" s="268"/>
      <c r="B42" s="35" t="s">
        <v>1219</v>
      </c>
      <c r="C42" s="35" t="s">
        <v>773</v>
      </c>
      <c r="D42" s="36">
        <v>1.2E-2</v>
      </c>
      <c r="E42" s="30">
        <v>21.602999999999998</v>
      </c>
      <c r="F42" s="30">
        <f t="shared" si="0"/>
        <v>0.25923599999999997</v>
      </c>
      <c r="G42" s="44"/>
      <c r="H42" s="45"/>
      <c r="I42" s="153">
        <v>0</v>
      </c>
      <c r="K42" s="215">
        <v>1.2E-2</v>
      </c>
      <c r="L42" s="30">
        <v>21.602999999999998</v>
      </c>
      <c r="M42" s="30">
        <f t="shared" si="6"/>
        <v>0.25923599999999997</v>
      </c>
      <c r="N42" s="44"/>
      <c r="O42" s="36" t="str">
        <f t="shared" si="7"/>
        <v/>
      </c>
      <c r="P42" s="216">
        <f t="shared" si="8"/>
        <v>0</v>
      </c>
      <c r="Q42" s="216">
        <f t="shared" si="9"/>
        <v>0</v>
      </c>
      <c r="R42" s="217" t="str">
        <f t="shared" si="10"/>
        <v/>
      </c>
    </row>
    <row r="43" spans="1:18" ht="15.75" hidden="1" thickBot="1" x14ac:dyDescent="0.3">
      <c r="A43" s="268"/>
      <c r="B43" s="35" t="s">
        <v>660</v>
      </c>
      <c r="C43" s="35" t="s">
        <v>583</v>
      </c>
      <c r="D43" s="36">
        <v>3.2000000000000001E-2</v>
      </c>
      <c r="E43" s="30">
        <v>21.337</v>
      </c>
      <c r="F43" s="30">
        <f t="shared" si="0"/>
        <v>0.68278400000000006</v>
      </c>
      <c r="G43" s="44"/>
      <c r="H43" s="45"/>
      <c r="I43" s="153">
        <v>0</v>
      </c>
      <c r="K43" s="215">
        <v>3.2000000000000001E-2</v>
      </c>
      <c r="L43" s="30">
        <v>21.337</v>
      </c>
      <c r="M43" s="30">
        <f t="shared" si="6"/>
        <v>0.68278400000000006</v>
      </c>
      <c r="N43" s="44"/>
      <c r="O43" s="36" t="str">
        <f t="shared" si="7"/>
        <v/>
      </c>
      <c r="P43" s="216">
        <f t="shared" si="8"/>
        <v>0</v>
      </c>
      <c r="Q43" s="216">
        <f t="shared" si="9"/>
        <v>0</v>
      </c>
      <c r="R43" s="217" t="str">
        <f t="shared" si="10"/>
        <v/>
      </c>
    </row>
    <row r="44" spans="1:18" ht="15.75" hidden="1" thickBot="1" x14ac:dyDescent="0.3">
      <c r="A44" s="268"/>
      <c r="B44" s="35" t="s">
        <v>862</v>
      </c>
      <c r="C44" s="35" t="s">
        <v>583</v>
      </c>
      <c r="D44" s="36">
        <v>0.161</v>
      </c>
      <c r="E44" s="30">
        <v>26.799499999999998</v>
      </c>
      <c r="F44" s="30">
        <f t="shared" si="0"/>
        <v>4.3147194999999998</v>
      </c>
      <c r="G44" s="44"/>
      <c r="H44" s="45"/>
      <c r="I44" s="153">
        <v>0</v>
      </c>
      <c r="K44" s="215">
        <v>0.161</v>
      </c>
      <c r="L44" s="30">
        <v>26.799499999999998</v>
      </c>
      <c r="M44" s="30">
        <f t="shared" si="6"/>
        <v>4.3147194999999998</v>
      </c>
      <c r="N44" s="44"/>
      <c r="O44" s="36" t="str">
        <f t="shared" si="7"/>
        <v/>
      </c>
      <c r="P44" s="216">
        <f t="shared" si="8"/>
        <v>0</v>
      </c>
      <c r="Q44" s="216">
        <f t="shared" si="9"/>
        <v>0</v>
      </c>
      <c r="R44" s="217" t="str">
        <f t="shared" si="10"/>
        <v/>
      </c>
    </row>
    <row r="45" spans="1:18" ht="26.25" hidden="1" thickBot="1" x14ac:dyDescent="0.3">
      <c r="A45" s="268"/>
      <c r="B45" s="35" t="s">
        <v>1013</v>
      </c>
      <c r="C45" s="35" t="s">
        <v>813</v>
      </c>
      <c r="D45" s="36">
        <v>2.1999999999999999E-2</v>
      </c>
      <c r="E45" s="30">
        <v>22.210999999999999</v>
      </c>
      <c r="F45" s="30">
        <f t="shared" si="0"/>
        <v>0.48864199999999997</v>
      </c>
      <c r="G45" s="44"/>
      <c r="H45" s="45"/>
      <c r="I45" s="153">
        <v>0</v>
      </c>
      <c r="K45" s="215">
        <v>2.1999999999999999E-2</v>
      </c>
      <c r="L45" s="30">
        <v>22.210999999999999</v>
      </c>
      <c r="M45" s="30">
        <f t="shared" si="6"/>
        <v>0.48864199999999997</v>
      </c>
      <c r="N45" s="44"/>
      <c r="O45" s="36" t="str">
        <f t="shared" si="7"/>
        <v/>
      </c>
      <c r="P45" s="216">
        <f t="shared" si="8"/>
        <v>0</v>
      </c>
      <c r="Q45" s="216">
        <f t="shared" si="9"/>
        <v>0</v>
      </c>
      <c r="R45" s="217" t="str">
        <f t="shared" si="10"/>
        <v/>
      </c>
    </row>
    <row r="46" spans="1:18" ht="26.25" hidden="1" thickBot="1" x14ac:dyDescent="0.3">
      <c r="A46" s="268"/>
      <c r="B46" s="35" t="s">
        <v>1014</v>
      </c>
      <c r="C46" s="35" t="s">
        <v>815</v>
      </c>
      <c r="D46" s="36">
        <v>0.01</v>
      </c>
      <c r="E46" s="30">
        <v>21.2895</v>
      </c>
      <c r="F46" s="33">
        <f t="shared" si="0"/>
        <v>0.212895</v>
      </c>
      <c r="G46" s="44"/>
      <c r="H46" s="45"/>
      <c r="I46" s="153">
        <v>0</v>
      </c>
      <c r="K46" s="215">
        <v>0.01</v>
      </c>
      <c r="L46" s="30">
        <v>21.2895</v>
      </c>
      <c r="M46" s="33">
        <f t="shared" si="6"/>
        <v>0.212895</v>
      </c>
      <c r="N46" s="44"/>
      <c r="O46" s="36" t="str">
        <f t="shared" si="7"/>
        <v/>
      </c>
      <c r="P46" s="216">
        <f t="shared" si="8"/>
        <v>0</v>
      </c>
      <c r="Q46" s="216">
        <f t="shared" si="9"/>
        <v>0</v>
      </c>
      <c r="R46" s="217" t="str">
        <f t="shared" si="10"/>
        <v/>
      </c>
    </row>
    <row r="47" spans="1:18" ht="15.75" hidden="1" thickBot="1" x14ac:dyDescent="0.3">
      <c r="A47" s="268"/>
      <c r="B47" s="35" t="s">
        <v>416</v>
      </c>
      <c r="C47" s="35"/>
      <c r="D47" s="92"/>
      <c r="E47" s="30" t="s">
        <v>416</v>
      </c>
      <c r="F47" s="30" t="str">
        <f t="shared" si="0"/>
        <v/>
      </c>
      <c r="G47" s="34"/>
      <c r="H47" s="30"/>
      <c r="I47" s="153">
        <v>0</v>
      </c>
      <c r="K47" s="228"/>
      <c r="L47" s="30" t="s">
        <v>416</v>
      </c>
      <c r="M47" s="30" t="str">
        <f t="shared" si="6"/>
        <v/>
      </c>
      <c r="N47" s="34"/>
      <c r="O47" s="36" t="str">
        <f t="shared" si="7"/>
        <v/>
      </c>
      <c r="P47" s="216" t="str">
        <f t="shared" si="8"/>
        <v/>
      </c>
      <c r="Q47" s="216" t="str">
        <f t="shared" si="9"/>
        <v/>
      </c>
      <c r="R47" s="217" t="str">
        <f t="shared" si="10"/>
        <v/>
      </c>
    </row>
    <row r="48" spans="1:18" ht="15.75" hidden="1" thickBot="1" x14ac:dyDescent="0.3">
      <c r="A48" s="269" t="s">
        <v>110</v>
      </c>
      <c r="B48" s="40" t="s">
        <v>416</v>
      </c>
      <c r="C48" s="25" t="s">
        <v>87</v>
      </c>
      <c r="D48" s="93"/>
      <c r="E48" s="41" t="s">
        <v>416</v>
      </c>
      <c r="F48" s="41" t="str">
        <f t="shared" si="0"/>
        <v/>
      </c>
      <c r="G48" s="28"/>
      <c r="H48" s="29"/>
      <c r="I48" s="153">
        <v>0</v>
      </c>
      <c r="K48" s="226"/>
      <c r="L48" s="41" t="s">
        <v>416</v>
      </c>
      <c r="M48" s="41" t="str">
        <f t="shared" si="6"/>
        <v/>
      </c>
      <c r="N48" s="28"/>
      <c r="O48" s="36" t="str">
        <f t="shared" si="7"/>
        <v/>
      </c>
      <c r="P48" s="216" t="str">
        <f t="shared" si="8"/>
        <v/>
      </c>
      <c r="Q48" s="216" t="str">
        <f t="shared" si="9"/>
        <v/>
      </c>
      <c r="R48" s="217" t="str">
        <f t="shared" si="10"/>
        <v/>
      </c>
    </row>
    <row r="49" spans="1:18" ht="15.75" hidden="1" thickBot="1" x14ac:dyDescent="0.3">
      <c r="A49" s="268"/>
      <c r="B49" s="31" t="s">
        <v>416</v>
      </c>
      <c r="C49" s="31"/>
      <c r="D49" s="91"/>
      <c r="E49" s="42" t="s">
        <v>416</v>
      </c>
      <c r="F49" s="30" t="str">
        <f t="shared" si="0"/>
        <v/>
      </c>
      <c r="G49" s="34"/>
      <c r="H49" s="30"/>
      <c r="I49" s="153">
        <v>0</v>
      </c>
      <c r="K49" s="227"/>
      <c r="L49" s="42" t="s">
        <v>416</v>
      </c>
      <c r="M49" s="30" t="str">
        <f t="shared" si="6"/>
        <v/>
      </c>
      <c r="N49" s="34"/>
      <c r="O49" s="36" t="str">
        <f t="shared" si="7"/>
        <v/>
      </c>
      <c r="P49" s="216" t="str">
        <f t="shared" si="8"/>
        <v/>
      </c>
      <c r="Q49" s="216" t="str">
        <f t="shared" si="9"/>
        <v/>
      </c>
      <c r="R49" s="217" t="str">
        <f t="shared" si="10"/>
        <v/>
      </c>
    </row>
    <row r="50" spans="1:18" ht="26.25" hidden="1" thickBot="1" x14ac:dyDescent="0.3">
      <c r="A50" s="268"/>
      <c r="B50" s="35" t="s">
        <v>7985</v>
      </c>
      <c r="C50" s="35" t="s">
        <v>87</v>
      </c>
      <c r="D50" s="36">
        <v>1.1599999999999999</v>
      </c>
      <c r="E50" s="33">
        <v>202.33099999999999</v>
      </c>
      <c r="F50" s="33">
        <f t="shared" si="0"/>
        <v>234.70395999999997</v>
      </c>
      <c r="G50" s="44">
        <f>SUM(F50:F57)</f>
        <v>734.72729063799989</v>
      </c>
      <c r="H50" s="45"/>
      <c r="I50" s="153">
        <v>0</v>
      </c>
      <c r="K50" s="215">
        <v>1.1599999999999999</v>
      </c>
      <c r="L50" s="33">
        <v>202.33099999999999</v>
      </c>
      <c r="M50" s="33">
        <f t="shared" si="6"/>
        <v>234.70395999999997</v>
      </c>
      <c r="N50" s="44">
        <f>SUM(M50:M57)</f>
        <v>734.72729063799989</v>
      </c>
      <c r="O50" s="36" t="str">
        <f t="shared" si="7"/>
        <v/>
      </c>
      <c r="P50" s="216">
        <f t="shared" si="8"/>
        <v>0</v>
      </c>
      <c r="Q50" s="216">
        <f t="shared" si="9"/>
        <v>0</v>
      </c>
      <c r="R50" s="217">
        <f t="shared" si="10"/>
        <v>0</v>
      </c>
    </row>
    <row r="51" spans="1:18" ht="15.75" hidden="1" thickBot="1" x14ac:dyDescent="0.3">
      <c r="A51" s="268"/>
      <c r="B51" s="35" t="s">
        <v>8040</v>
      </c>
      <c r="C51" s="35" t="s">
        <v>773</v>
      </c>
      <c r="D51" s="36">
        <v>174.1</v>
      </c>
      <c r="E51" s="33">
        <v>1.216</v>
      </c>
      <c r="F51" s="33">
        <f t="shared" si="0"/>
        <v>211.70559999999998</v>
      </c>
      <c r="G51" s="44"/>
      <c r="H51" s="45"/>
      <c r="I51" s="153">
        <v>0</v>
      </c>
      <c r="K51" s="215">
        <v>174.1</v>
      </c>
      <c r="L51" s="33">
        <v>1.216</v>
      </c>
      <c r="M51" s="33">
        <f t="shared" si="6"/>
        <v>211.70559999999998</v>
      </c>
      <c r="N51" s="44"/>
      <c r="O51" s="36" t="str">
        <f t="shared" si="7"/>
        <v/>
      </c>
      <c r="P51" s="216">
        <f t="shared" si="8"/>
        <v>0</v>
      </c>
      <c r="Q51" s="216">
        <f t="shared" si="9"/>
        <v>0</v>
      </c>
      <c r="R51" s="217" t="str">
        <f t="shared" si="10"/>
        <v/>
      </c>
    </row>
    <row r="52" spans="1:18" ht="15.75" hidden="1" thickBot="1" x14ac:dyDescent="0.3">
      <c r="A52" s="268"/>
      <c r="B52" s="35" t="s">
        <v>8065</v>
      </c>
      <c r="C52" s="35" t="s">
        <v>773</v>
      </c>
      <c r="D52" s="36">
        <v>195.86</v>
      </c>
      <c r="E52" s="33">
        <v>0.627</v>
      </c>
      <c r="F52" s="33">
        <f t="shared" si="0"/>
        <v>122.80422000000002</v>
      </c>
      <c r="G52" s="44"/>
      <c r="H52" s="45"/>
      <c r="I52" s="153">
        <v>0</v>
      </c>
      <c r="K52" s="215">
        <v>195.86</v>
      </c>
      <c r="L52" s="33">
        <v>0.627</v>
      </c>
      <c r="M52" s="33">
        <f t="shared" si="6"/>
        <v>122.80422000000002</v>
      </c>
      <c r="N52" s="44"/>
      <c r="O52" s="36" t="str">
        <f t="shared" si="7"/>
        <v/>
      </c>
      <c r="P52" s="216">
        <f t="shared" si="8"/>
        <v>0</v>
      </c>
      <c r="Q52" s="216">
        <f t="shared" si="9"/>
        <v>0</v>
      </c>
      <c r="R52" s="217" t="str">
        <f t="shared" si="10"/>
        <v/>
      </c>
    </row>
    <row r="53" spans="1:18" ht="26.25" hidden="1" thickBot="1" x14ac:dyDescent="0.3">
      <c r="A53" s="268"/>
      <c r="B53" s="35" t="s">
        <v>1271</v>
      </c>
      <c r="C53" s="35" t="s">
        <v>583</v>
      </c>
      <c r="D53" s="36">
        <v>4.5</v>
      </c>
      <c r="E53" s="30">
        <v>20.291999999999998</v>
      </c>
      <c r="F53" s="33">
        <f t="shared" si="0"/>
        <v>91.313999999999993</v>
      </c>
      <c r="G53" s="44"/>
      <c r="H53" s="45"/>
      <c r="I53" s="153">
        <v>0</v>
      </c>
      <c r="K53" s="215">
        <v>4.5</v>
      </c>
      <c r="L53" s="30">
        <v>20.291999999999998</v>
      </c>
      <c r="M53" s="33">
        <f t="shared" si="6"/>
        <v>91.313999999999993</v>
      </c>
      <c r="N53" s="44"/>
      <c r="O53" s="36" t="str">
        <f t="shared" si="7"/>
        <v/>
      </c>
      <c r="P53" s="216">
        <f t="shared" si="8"/>
        <v>0</v>
      </c>
      <c r="Q53" s="216">
        <f t="shared" si="9"/>
        <v>0</v>
      </c>
      <c r="R53" s="217" t="str">
        <f t="shared" si="10"/>
        <v/>
      </c>
    </row>
    <row r="54" spans="1:18" ht="39" hidden="1" thickBot="1" x14ac:dyDescent="0.3">
      <c r="A54" s="268"/>
      <c r="B54" s="35" t="s">
        <v>84</v>
      </c>
      <c r="C54" s="35" t="s">
        <v>813</v>
      </c>
      <c r="D54" s="36">
        <v>1.05</v>
      </c>
      <c r="E54" s="30">
        <v>1.6435</v>
      </c>
      <c r="F54" s="33">
        <f t="shared" si="0"/>
        <v>1.7256750000000001</v>
      </c>
      <c r="G54" s="44"/>
      <c r="H54" s="45"/>
      <c r="I54" s="153">
        <v>0</v>
      </c>
      <c r="K54" s="215">
        <v>1.05</v>
      </c>
      <c r="L54" s="30">
        <v>1.6435</v>
      </c>
      <c r="M54" s="33">
        <f t="shared" si="6"/>
        <v>1.7256750000000001</v>
      </c>
      <c r="N54" s="44"/>
      <c r="O54" s="36" t="str">
        <f t="shared" si="7"/>
        <v/>
      </c>
      <c r="P54" s="216">
        <f t="shared" si="8"/>
        <v>0</v>
      </c>
      <c r="Q54" s="216">
        <f t="shared" si="9"/>
        <v>0</v>
      </c>
      <c r="R54" s="217" t="str">
        <f t="shared" si="10"/>
        <v/>
      </c>
    </row>
    <row r="55" spans="1:18" ht="39" hidden="1" thickBot="1" x14ac:dyDescent="0.3">
      <c r="A55" s="268"/>
      <c r="B55" s="35" t="s">
        <v>85</v>
      </c>
      <c r="C55" s="35" t="s">
        <v>815</v>
      </c>
      <c r="D55" s="36">
        <v>3.45</v>
      </c>
      <c r="E55" s="30">
        <v>0.42749999999999999</v>
      </c>
      <c r="F55" s="33">
        <f t="shared" si="0"/>
        <v>1.4748749999999999</v>
      </c>
      <c r="G55" s="44"/>
      <c r="H55" s="45"/>
      <c r="I55" s="153">
        <v>0</v>
      </c>
      <c r="K55" s="215">
        <v>3.45</v>
      </c>
      <c r="L55" s="30">
        <v>0.42749999999999999</v>
      </c>
      <c r="M55" s="33">
        <f t="shared" si="6"/>
        <v>1.4748749999999999</v>
      </c>
      <c r="N55" s="44"/>
      <c r="O55" s="36" t="str">
        <f t="shared" si="7"/>
        <v/>
      </c>
      <c r="P55" s="216">
        <f t="shared" si="8"/>
        <v>0</v>
      </c>
      <c r="Q55" s="216">
        <f t="shared" si="9"/>
        <v>0</v>
      </c>
      <c r="R55" s="217" t="str">
        <f t="shared" si="10"/>
        <v/>
      </c>
    </row>
    <row r="56" spans="1:18" ht="51.75" hidden="1" thickBot="1" x14ac:dyDescent="0.3">
      <c r="A56" s="268"/>
      <c r="B56" s="35" t="s">
        <v>3071</v>
      </c>
      <c r="C56" s="35" t="s">
        <v>87</v>
      </c>
      <c r="D56" s="36">
        <f>ROUND(1*D50,4)</f>
        <v>1.1599999999999999</v>
      </c>
      <c r="E56" s="30">
        <v>8.0531015499999992</v>
      </c>
      <c r="F56" s="33">
        <f t="shared" si="0"/>
        <v>9.3415977979999987</v>
      </c>
      <c r="G56" s="44"/>
      <c r="H56" s="45"/>
      <c r="I56" s="153">
        <v>0</v>
      </c>
      <c r="K56" s="215">
        <v>1.1599999999999999</v>
      </c>
      <c r="L56" s="30">
        <v>8.0531015499999992</v>
      </c>
      <c r="M56" s="33">
        <f t="shared" si="6"/>
        <v>9.3415977979999987</v>
      </c>
      <c r="N56" s="44"/>
      <c r="O56" s="36" t="str">
        <f t="shared" si="7"/>
        <v/>
      </c>
      <c r="P56" s="216">
        <f t="shared" si="8"/>
        <v>0</v>
      </c>
      <c r="Q56" s="216">
        <f t="shared" si="9"/>
        <v>0</v>
      </c>
      <c r="R56" s="217" t="str">
        <f t="shared" si="10"/>
        <v/>
      </c>
    </row>
    <row r="57" spans="1:18" ht="39" hidden="1" thickBot="1" x14ac:dyDescent="0.3">
      <c r="A57" s="268"/>
      <c r="B57" s="35" t="s">
        <v>3068</v>
      </c>
      <c r="C57" s="46" t="s">
        <v>89</v>
      </c>
      <c r="D57" s="36">
        <f>ROUND(D50*20,4)</f>
        <v>23.2</v>
      </c>
      <c r="E57" s="30">
        <v>2.6576449499999995</v>
      </c>
      <c r="F57" s="33">
        <f t="shared" si="0"/>
        <v>61.657362839999983</v>
      </c>
      <c r="G57" s="44"/>
      <c r="H57" s="45"/>
      <c r="I57" s="153">
        <v>0</v>
      </c>
      <c r="K57" s="215">
        <v>23.2</v>
      </c>
      <c r="L57" s="30">
        <v>2.6576449499999995</v>
      </c>
      <c r="M57" s="33">
        <f t="shared" si="6"/>
        <v>61.657362839999983</v>
      </c>
      <c r="N57" s="44"/>
      <c r="O57" s="36" t="str">
        <f t="shared" si="7"/>
        <v/>
      </c>
      <c r="P57" s="216">
        <f t="shared" si="8"/>
        <v>0</v>
      </c>
      <c r="Q57" s="216">
        <f t="shared" si="9"/>
        <v>0</v>
      </c>
      <c r="R57" s="217" t="str">
        <f t="shared" si="10"/>
        <v/>
      </c>
    </row>
    <row r="58" spans="1:18" ht="15.75" hidden="1" thickBot="1" x14ac:dyDescent="0.3">
      <c r="A58" s="268"/>
      <c r="B58" s="50"/>
      <c r="C58" s="46"/>
      <c r="D58" s="36"/>
      <c r="E58" s="30" t="s">
        <v>416</v>
      </c>
      <c r="F58" s="33" t="str">
        <f t="shared" si="0"/>
        <v/>
      </c>
      <c r="G58" s="44"/>
      <c r="H58" s="45"/>
      <c r="I58" s="153">
        <v>0</v>
      </c>
      <c r="K58" s="215"/>
      <c r="L58" s="30" t="s">
        <v>416</v>
      </c>
      <c r="M58" s="33" t="str">
        <f t="shared" si="6"/>
        <v/>
      </c>
      <c r="N58" s="44"/>
      <c r="O58" s="36" t="str">
        <f t="shared" si="7"/>
        <v/>
      </c>
      <c r="P58" s="216" t="str">
        <f t="shared" si="8"/>
        <v/>
      </c>
      <c r="Q58" s="216" t="str">
        <f t="shared" si="9"/>
        <v/>
      </c>
      <c r="R58" s="217" t="str">
        <f t="shared" si="10"/>
        <v/>
      </c>
    </row>
    <row r="59" spans="1:18" ht="15.75" hidden="1" thickBot="1" x14ac:dyDescent="0.3">
      <c r="A59" s="268"/>
      <c r="B59" s="47" t="s">
        <v>631</v>
      </c>
      <c r="C59" s="46"/>
      <c r="D59" s="36"/>
      <c r="E59" s="30" t="s">
        <v>416</v>
      </c>
      <c r="F59" s="33" t="str">
        <f t="shared" si="0"/>
        <v/>
      </c>
      <c r="G59" s="44"/>
      <c r="H59" s="45"/>
      <c r="I59" s="153">
        <v>0</v>
      </c>
      <c r="K59" s="215"/>
      <c r="L59" s="30" t="s">
        <v>416</v>
      </c>
      <c r="M59" s="33" t="str">
        <f t="shared" si="6"/>
        <v/>
      </c>
      <c r="N59" s="44"/>
      <c r="O59" s="36" t="str">
        <f t="shared" si="7"/>
        <v/>
      </c>
      <c r="P59" s="216" t="str">
        <f t="shared" si="8"/>
        <v/>
      </c>
      <c r="Q59" s="216" t="str">
        <f t="shared" si="9"/>
        <v/>
      </c>
      <c r="R59" s="217" t="str">
        <f t="shared" si="10"/>
        <v/>
      </c>
    </row>
    <row r="60" spans="1:18" ht="15.75" hidden="1" thickBot="1" x14ac:dyDescent="0.3">
      <c r="A60" s="268"/>
      <c r="B60" s="35" t="s">
        <v>416</v>
      </c>
      <c r="C60" s="35"/>
      <c r="D60" s="92"/>
      <c r="E60" s="30" t="s">
        <v>416</v>
      </c>
      <c r="F60" s="30" t="str">
        <f t="shared" si="0"/>
        <v/>
      </c>
      <c r="G60" s="34"/>
      <c r="H60" s="30"/>
      <c r="I60" s="153">
        <v>0</v>
      </c>
      <c r="K60" s="228"/>
      <c r="L60" s="30" t="s">
        <v>416</v>
      </c>
      <c r="M60" s="30" t="str">
        <f t="shared" si="6"/>
        <v/>
      </c>
      <c r="N60" s="34"/>
      <c r="O60" s="36" t="str">
        <f t="shared" si="7"/>
        <v/>
      </c>
      <c r="P60" s="216" t="str">
        <f t="shared" si="8"/>
        <v/>
      </c>
      <c r="Q60" s="216" t="str">
        <f t="shared" si="9"/>
        <v/>
      </c>
      <c r="R60" s="217" t="str">
        <f t="shared" si="10"/>
        <v/>
      </c>
    </row>
    <row r="61" spans="1:18" ht="15.75" hidden="1" thickBot="1" x14ac:dyDescent="0.3">
      <c r="A61" s="269" t="s">
        <v>5741</v>
      </c>
      <c r="B61" s="40" t="s">
        <v>416</v>
      </c>
      <c r="C61" s="25" t="s">
        <v>861</v>
      </c>
      <c r="D61" s="93"/>
      <c r="E61" s="41" t="s">
        <v>416</v>
      </c>
      <c r="F61" s="41" t="str">
        <f t="shared" si="0"/>
        <v/>
      </c>
      <c r="G61" s="28"/>
      <c r="H61" s="29"/>
      <c r="I61" s="153">
        <v>0</v>
      </c>
      <c r="K61" s="226"/>
      <c r="L61" s="41" t="s">
        <v>416</v>
      </c>
      <c r="M61" s="41" t="str">
        <f t="shared" si="6"/>
        <v/>
      </c>
      <c r="N61" s="28"/>
      <c r="O61" s="36" t="str">
        <f t="shared" si="7"/>
        <v/>
      </c>
      <c r="P61" s="216" t="str">
        <f t="shared" si="8"/>
        <v/>
      </c>
      <c r="Q61" s="216" t="str">
        <f t="shared" si="9"/>
        <v/>
      </c>
      <c r="R61" s="217" t="str">
        <f t="shared" si="10"/>
        <v/>
      </c>
    </row>
    <row r="62" spans="1:18" ht="15.75" hidden="1" thickBot="1" x14ac:dyDescent="0.3">
      <c r="A62" s="268"/>
      <c r="B62" s="31" t="s">
        <v>416</v>
      </c>
      <c r="C62" s="31"/>
      <c r="D62" s="91"/>
      <c r="E62" s="97" t="s">
        <v>416</v>
      </c>
      <c r="F62" s="98" t="str">
        <f t="shared" si="0"/>
        <v/>
      </c>
      <c r="G62" s="34"/>
      <c r="H62" s="30"/>
      <c r="I62" s="153">
        <v>0</v>
      </c>
      <c r="K62" s="227"/>
      <c r="L62" s="97" t="s">
        <v>416</v>
      </c>
      <c r="M62" s="98" t="str">
        <f t="shared" si="6"/>
        <v/>
      </c>
      <c r="N62" s="34"/>
      <c r="O62" s="36" t="str">
        <f t="shared" si="7"/>
        <v/>
      </c>
      <c r="P62" s="216" t="str">
        <f t="shared" si="8"/>
        <v/>
      </c>
      <c r="Q62" s="216" t="str">
        <f t="shared" si="9"/>
        <v/>
      </c>
      <c r="R62" s="217" t="str">
        <f t="shared" si="10"/>
        <v/>
      </c>
    </row>
    <row r="63" spans="1:18" ht="15.75" hidden="1" thickBot="1" x14ac:dyDescent="0.3">
      <c r="A63" s="268"/>
      <c r="B63" s="35" t="s">
        <v>8065</v>
      </c>
      <c r="C63" s="35" t="s">
        <v>773</v>
      </c>
      <c r="D63" s="36">
        <v>0.5</v>
      </c>
      <c r="E63" s="33">
        <v>0.627</v>
      </c>
      <c r="F63" s="33">
        <f t="shared" si="0"/>
        <v>0.3135</v>
      </c>
      <c r="G63" s="44">
        <f>SUM(F63:F67)</f>
        <v>44.988025799738793</v>
      </c>
      <c r="H63" s="45"/>
      <c r="I63" s="153">
        <v>0</v>
      </c>
      <c r="K63" s="215">
        <v>0.5</v>
      </c>
      <c r="L63" s="33">
        <v>0.627</v>
      </c>
      <c r="M63" s="33">
        <f t="shared" si="6"/>
        <v>0.3135</v>
      </c>
      <c r="N63" s="44">
        <f>SUM(M63:M67)</f>
        <v>44.988025799738793</v>
      </c>
      <c r="O63" s="36" t="str">
        <f t="shared" si="7"/>
        <v/>
      </c>
      <c r="P63" s="216">
        <f t="shared" si="8"/>
        <v>0</v>
      </c>
      <c r="Q63" s="216">
        <f t="shared" si="9"/>
        <v>0</v>
      </c>
      <c r="R63" s="217">
        <f t="shared" si="10"/>
        <v>0</v>
      </c>
    </row>
    <row r="64" spans="1:18" ht="26.25" hidden="1" thickBot="1" x14ac:dyDescent="0.3">
      <c r="A64" s="268"/>
      <c r="B64" s="35" t="s">
        <v>7976</v>
      </c>
      <c r="C64" s="35" t="s">
        <v>75</v>
      </c>
      <c r="D64" s="36">
        <v>0.21</v>
      </c>
      <c r="E64" s="33">
        <v>15.560999999999998</v>
      </c>
      <c r="F64" s="33">
        <f t="shared" si="0"/>
        <v>3.2678099999999994</v>
      </c>
      <c r="G64" s="44"/>
      <c r="H64" s="45"/>
      <c r="I64" s="153">
        <v>0</v>
      </c>
      <c r="K64" s="215">
        <v>0.21</v>
      </c>
      <c r="L64" s="33">
        <v>15.560999999999998</v>
      </c>
      <c r="M64" s="33">
        <f t="shared" si="6"/>
        <v>3.2678099999999994</v>
      </c>
      <c r="N64" s="44"/>
      <c r="O64" s="36" t="str">
        <f t="shared" si="7"/>
        <v/>
      </c>
      <c r="P64" s="216">
        <f t="shared" si="8"/>
        <v>0</v>
      </c>
      <c r="Q64" s="216">
        <f t="shared" si="9"/>
        <v>0</v>
      </c>
      <c r="R64" s="217" t="str">
        <f t="shared" si="10"/>
        <v/>
      </c>
    </row>
    <row r="65" spans="1:18" ht="39" hidden="1" thickBot="1" x14ac:dyDescent="0.3">
      <c r="A65" s="268"/>
      <c r="B65" s="35" t="s">
        <v>1197</v>
      </c>
      <c r="C65" s="35" t="s">
        <v>87</v>
      </c>
      <c r="D65" s="36">
        <v>4.3099999999999999E-2</v>
      </c>
      <c r="E65" s="30">
        <v>748.59992574799992</v>
      </c>
      <c r="F65" s="33">
        <f t="shared" si="0"/>
        <v>32.264656799738795</v>
      </c>
      <c r="G65" s="44"/>
      <c r="H65" s="45"/>
      <c r="I65" s="153">
        <v>0</v>
      </c>
      <c r="K65" s="215">
        <v>4.3099999999999999E-2</v>
      </c>
      <c r="L65" s="30">
        <v>748.59992574799992</v>
      </c>
      <c r="M65" s="33">
        <f t="shared" si="6"/>
        <v>32.264656799738795</v>
      </c>
      <c r="N65" s="44"/>
      <c r="O65" s="36" t="str">
        <f t="shared" si="7"/>
        <v/>
      </c>
      <c r="P65" s="216">
        <f t="shared" si="8"/>
        <v>0</v>
      </c>
      <c r="Q65" s="216">
        <f t="shared" si="9"/>
        <v>0</v>
      </c>
      <c r="R65" s="217" t="str">
        <f t="shared" si="10"/>
        <v/>
      </c>
    </row>
    <row r="66" spans="1:18" ht="15.75" hidden="1" thickBot="1" x14ac:dyDescent="0.3">
      <c r="A66" s="268"/>
      <c r="B66" s="35" t="s">
        <v>591</v>
      </c>
      <c r="C66" s="35" t="s">
        <v>583</v>
      </c>
      <c r="D66" s="36">
        <v>0.245</v>
      </c>
      <c r="E66" s="30">
        <v>27.160499999999999</v>
      </c>
      <c r="F66" s="33">
        <f t="shared" si="0"/>
        <v>6.6543224999999993</v>
      </c>
      <c r="G66" s="44"/>
      <c r="H66" s="45"/>
      <c r="I66" s="153">
        <v>0</v>
      </c>
      <c r="K66" s="215">
        <v>0.245</v>
      </c>
      <c r="L66" s="30">
        <v>27.160499999999999</v>
      </c>
      <c r="M66" s="33">
        <f t="shared" si="6"/>
        <v>6.6543224999999993</v>
      </c>
      <c r="N66" s="44"/>
      <c r="O66" s="36" t="str">
        <f t="shared" si="7"/>
        <v/>
      </c>
      <c r="P66" s="216">
        <f t="shared" si="8"/>
        <v>0</v>
      </c>
      <c r="Q66" s="216">
        <f t="shared" si="9"/>
        <v>0</v>
      </c>
      <c r="R66" s="217" t="str">
        <f t="shared" si="10"/>
        <v/>
      </c>
    </row>
    <row r="67" spans="1:18" ht="15.75" hidden="1" thickBot="1" x14ac:dyDescent="0.3">
      <c r="A67" s="268"/>
      <c r="B67" s="35" t="s">
        <v>584</v>
      </c>
      <c r="C67" s="35" t="s">
        <v>583</v>
      </c>
      <c r="D67" s="36">
        <v>0.123</v>
      </c>
      <c r="E67" s="30">
        <v>20.225499999999997</v>
      </c>
      <c r="F67" s="33">
        <f t="shared" si="0"/>
        <v>2.4877364999999996</v>
      </c>
      <c r="G67" s="44"/>
      <c r="H67" s="45"/>
      <c r="I67" s="153">
        <v>0</v>
      </c>
      <c r="K67" s="215">
        <v>0.123</v>
      </c>
      <c r="L67" s="30">
        <v>20.225499999999997</v>
      </c>
      <c r="M67" s="33">
        <f t="shared" si="6"/>
        <v>2.4877364999999996</v>
      </c>
      <c r="N67" s="44"/>
      <c r="O67" s="36" t="str">
        <f t="shared" si="7"/>
        <v/>
      </c>
      <c r="P67" s="216">
        <f t="shared" si="8"/>
        <v>0</v>
      </c>
      <c r="Q67" s="216">
        <f t="shared" si="9"/>
        <v>0</v>
      </c>
      <c r="R67" s="217" t="str">
        <f t="shared" si="10"/>
        <v/>
      </c>
    </row>
    <row r="68" spans="1:18" ht="15.75" hidden="1" thickBot="1" x14ac:dyDescent="0.3">
      <c r="A68" s="268"/>
      <c r="B68" s="35" t="s">
        <v>416</v>
      </c>
      <c r="C68" s="35"/>
      <c r="D68" s="92"/>
      <c r="E68" s="30" t="s">
        <v>416</v>
      </c>
      <c r="F68" s="30" t="str">
        <f t="shared" si="0"/>
        <v/>
      </c>
      <c r="G68" s="34"/>
      <c r="H68" s="30"/>
      <c r="I68" s="153">
        <v>0</v>
      </c>
      <c r="K68" s="228"/>
      <c r="L68" s="30" t="s">
        <v>416</v>
      </c>
      <c r="M68" s="30" t="str">
        <f t="shared" si="6"/>
        <v/>
      </c>
      <c r="N68" s="34"/>
      <c r="O68" s="36" t="str">
        <f t="shared" si="7"/>
        <v/>
      </c>
      <c r="P68" s="216" t="str">
        <f t="shared" si="8"/>
        <v/>
      </c>
      <c r="Q68" s="216" t="str">
        <f t="shared" si="9"/>
        <v/>
      </c>
      <c r="R68" s="217" t="str">
        <f t="shared" si="10"/>
        <v/>
      </c>
    </row>
    <row r="69" spans="1:18" ht="15.75" hidden="1" thickBot="1" x14ac:dyDescent="0.3">
      <c r="A69" s="269" t="s">
        <v>120</v>
      </c>
      <c r="B69" s="40" t="s">
        <v>416</v>
      </c>
      <c r="C69" s="25" t="s">
        <v>87</v>
      </c>
      <c r="D69" s="93"/>
      <c r="E69" s="41" t="s">
        <v>416</v>
      </c>
      <c r="F69" s="41" t="str">
        <f t="shared" si="0"/>
        <v/>
      </c>
      <c r="G69" s="28"/>
      <c r="H69" s="29"/>
      <c r="I69" s="153">
        <v>0</v>
      </c>
      <c r="K69" s="226"/>
      <c r="L69" s="41" t="s">
        <v>416</v>
      </c>
      <c r="M69" s="41" t="str">
        <f t="shared" si="6"/>
        <v/>
      </c>
      <c r="N69" s="28"/>
      <c r="O69" s="36" t="str">
        <f t="shared" si="7"/>
        <v/>
      </c>
      <c r="P69" s="216" t="str">
        <f t="shared" si="8"/>
        <v/>
      </c>
      <c r="Q69" s="216" t="str">
        <f t="shared" si="9"/>
        <v/>
      </c>
      <c r="R69" s="217" t="str">
        <f t="shared" si="10"/>
        <v/>
      </c>
    </row>
    <row r="70" spans="1:18" ht="15.75" hidden="1" thickBot="1" x14ac:dyDescent="0.3">
      <c r="A70" s="268"/>
      <c r="B70" s="31" t="s">
        <v>416</v>
      </c>
      <c r="C70" s="31"/>
      <c r="D70" s="91"/>
      <c r="E70" s="42" t="s">
        <v>416</v>
      </c>
      <c r="F70" s="30" t="str">
        <f t="shared" ref="F70:F133" si="11">IF(ISNUMBER(E70),E70*$D70,"")</f>
        <v/>
      </c>
      <c r="G70" s="34"/>
      <c r="H70" s="30"/>
      <c r="I70" s="153">
        <v>0</v>
      </c>
      <c r="K70" s="227"/>
      <c r="L70" s="42" t="s">
        <v>416</v>
      </c>
      <c r="M70" s="30" t="str">
        <f t="shared" si="6"/>
        <v/>
      </c>
      <c r="N70" s="34"/>
      <c r="O70" s="36" t="str">
        <f t="shared" si="7"/>
        <v/>
      </c>
      <c r="P70" s="216" t="str">
        <f t="shared" si="8"/>
        <v/>
      </c>
      <c r="Q70" s="216" t="str">
        <f t="shared" si="9"/>
        <v/>
      </c>
      <c r="R70" s="217" t="str">
        <f t="shared" si="10"/>
        <v/>
      </c>
    </row>
    <row r="71" spans="1:18" ht="26.25" hidden="1" thickBot="1" x14ac:dyDescent="0.3">
      <c r="A71" s="268"/>
      <c r="B71" s="35" t="s">
        <v>1140</v>
      </c>
      <c r="C71" s="35" t="s">
        <v>87</v>
      </c>
      <c r="D71" s="36">
        <v>0.94</v>
      </c>
      <c r="E71" s="33">
        <v>204.97199999999998</v>
      </c>
      <c r="F71" s="33">
        <f t="shared" si="11"/>
        <v>192.67367999999996</v>
      </c>
      <c r="G71" s="44">
        <f>SUM(F71:F75)</f>
        <v>738.08134051699994</v>
      </c>
      <c r="H71" s="45"/>
      <c r="I71" s="153">
        <v>0</v>
      </c>
      <c r="K71" s="215">
        <v>0.94</v>
      </c>
      <c r="L71" s="33">
        <v>204.97199999999998</v>
      </c>
      <c r="M71" s="33">
        <f t="shared" si="6"/>
        <v>192.67367999999996</v>
      </c>
      <c r="N71" s="44">
        <f>SUM(M71:M75)</f>
        <v>738.08134051699994</v>
      </c>
      <c r="O71" s="36" t="str">
        <f t="shared" si="7"/>
        <v/>
      </c>
      <c r="P71" s="216">
        <f t="shared" si="8"/>
        <v>0</v>
      </c>
      <c r="Q71" s="216">
        <f t="shared" si="9"/>
        <v>0</v>
      </c>
      <c r="R71" s="217">
        <f t="shared" si="10"/>
        <v>0</v>
      </c>
    </row>
    <row r="72" spans="1:18" ht="15.75" hidden="1" thickBot="1" x14ac:dyDescent="0.3">
      <c r="A72" s="268"/>
      <c r="B72" s="35" t="s">
        <v>8065</v>
      </c>
      <c r="C72" s="35" t="s">
        <v>773</v>
      </c>
      <c r="D72" s="36">
        <v>422.63</v>
      </c>
      <c r="E72" s="33">
        <v>0.627</v>
      </c>
      <c r="F72" s="33">
        <f t="shared" si="11"/>
        <v>264.98901000000001</v>
      </c>
      <c r="G72" s="44"/>
      <c r="H72" s="45"/>
      <c r="I72" s="153">
        <v>0</v>
      </c>
      <c r="K72" s="215">
        <v>422.63</v>
      </c>
      <c r="L72" s="33">
        <v>0.627</v>
      </c>
      <c r="M72" s="33">
        <f t="shared" ref="M72:M135" si="12">IF(ISNUMBER(L72),K72*L72,"")</f>
        <v>264.98901000000001</v>
      </c>
      <c r="N72" s="44"/>
      <c r="O72" s="36" t="str">
        <f t="shared" ref="O72:O135" si="13">IF(ISBLANK(K72),"",IF($D72&lt;&gt;K72,"SIM",""))</f>
        <v/>
      </c>
      <c r="P72" s="216">
        <f t="shared" ref="P72:P135" si="14">IF(L72="","",1-L72/$E72)</f>
        <v>0</v>
      </c>
      <c r="Q72" s="216">
        <f t="shared" ref="Q72:Q135" si="15">IF(M72="","",1-M72/$F72)</f>
        <v>0</v>
      </c>
      <c r="R72" s="217" t="str">
        <f t="shared" ref="R72:R135" si="16">IF(G72="","",1-N72/$G72)</f>
        <v/>
      </c>
    </row>
    <row r="73" spans="1:18" ht="15.75" hidden="1" thickBot="1" x14ac:dyDescent="0.3">
      <c r="A73" s="268"/>
      <c r="B73" s="35" t="s">
        <v>584</v>
      </c>
      <c r="C73" s="35" t="s">
        <v>583</v>
      </c>
      <c r="D73" s="36">
        <v>11.02</v>
      </c>
      <c r="E73" s="30">
        <v>20.225499999999997</v>
      </c>
      <c r="F73" s="33">
        <f t="shared" si="11"/>
        <v>222.88500999999997</v>
      </c>
      <c r="G73" s="44"/>
      <c r="H73" s="45"/>
      <c r="I73" s="153">
        <v>0</v>
      </c>
      <c r="K73" s="215">
        <v>11.02</v>
      </c>
      <c r="L73" s="30">
        <v>20.225499999999997</v>
      </c>
      <c r="M73" s="33">
        <f t="shared" si="12"/>
        <v>222.88500999999997</v>
      </c>
      <c r="N73" s="44"/>
      <c r="O73" s="36" t="str">
        <f t="shared" si="13"/>
        <v/>
      </c>
      <c r="P73" s="216">
        <f t="shared" si="14"/>
        <v>0</v>
      </c>
      <c r="Q73" s="216">
        <f t="shared" si="15"/>
        <v>0</v>
      </c>
      <c r="R73" s="217" t="str">
        <f t="shared" si="16"/>
        <v/>
      </c>
    </row>
    <row r="74" spans="1:18" ht="51.75" hidden="1" thickBot="1" x14ac:dyDescent="0.3">
      <c r="A74" s="268"/>
      <c r="B74" s="35" t="s">
        <v>3071</v>
      </c>
      <c r="C74" s="35" t="s">
        <v>87</v>
      </c>
      <c r="D74" s="36">
        <f>ROUND(1*D71,4)</f>
        <v>0.94</v>
      </c>
      <c r="E74" s="30">
        <v>8.0531015499999992</v>
      </c>
      <c r="F74" s="33">
        <f t="shared" si="11"/>
        <v>7.5699154569999987</v>
      </c>
      <c r="G74" s="44"/>
      <c r="H74" s="45"/>
      <c r="I74" s="153">
        <v>0</v>
      </c>
      <c r="K74" s="215">
        <v>0.94</v>
      </c>
      <c r="L74" s="30">
        <v>8.0531015499999992</v>
      </c>
      <c r="M74" s="33">
        <f t="shared" si="12"/>
        <v>7.5699154569999987</v>
      </c>
      <c r="N74" s="44"/>
      <c r="O74" s="36" t="str">
        <f t="shared" si="13"/>
        <v/>
      </c>
      <c r="P74" s="216">
        <f t="shared" si="14"/>
        <v>0</v>
      </c>
      <c r="Q74" s="216">
        <f t="shared" si="15"/>
        <v>0</v>
      </c>
      <c r="R74" s="217" t="str">
        <f t="shared" si="16"/>
        <v/>
      </c>
    </row>
    <row r="75" spans="1:18" ht="39" hidden="1" thickBot="1" x14ac:dyDescent="0.3">
      <c r="A75" s="268"/>
      <c r="B75" s="35" t="s">
        <v>3068</v>
      </c>
      <c r="C75" s="46" t="s">
        <v>89</v>
      </c>
      <c r="D75" s="36">
        <f>ROUND(D71*20,4)</f>
        <v>18.8</v>
      </c>
      <c r="E75" s="30">
        <v>2.6576449499999995</v>
      </c>
      <c r="F75" s="33">
        <f t="shared" si="11"/>
        <v>49.963725059999994</v>
      </c>
      <c r="G75" s="44"/>
      <c r="H75" s="45"/>
      <c r="I75" s="153">
        <v>0</v>
      </c>
      <c r="K75" s="215">
        <v>18.8</v>
      </c>
      <c r="L75" s="30">
        <v>2.6576449499999995</v>
      </c>
      <c r="M75" s="33">
        <f t="shared" si="12"/>
        <v>49.963725059999994</v>
      </c>
      <c r="N75" s="44"/>
      <c r="O75" s="36" t="str">
        <f t="shared" si="13"/>
        <v/>
      </c>
      <c r="P75" s="216">
        <f t="shared" si="14"/>
        <v>0</v>
      </c>
      <c r="Q75" s="216">
        <f t="shared" si="15"/>
        <v>0</v>
      </c>
      <c r="R75" s="217" t="str">
        <f t="shared" si="16"/>
        <v/>
      </c>
    </row>
    <row r="76" spans="1:18" ht="15.75" hidden="1" thickBot="1" x14ac:dyDescent="0.3">
      <c r="A76" s="268"/>
      <c r="B76" s="50"/>
      <c r="C76" s="46"/>
      <c r="D76" s="36"/>
      <c r="E76" s="30" t="s">
        <v>416</v>
      </c>
      <c r="F76" s="33" t="str">
        <f t="shared" si="11"/>
        <v/>
      </c>
      <c r="G76" s="44"/>
      <c r="H76" s="45"/>
      <c r="I76" s="153">
        <v>0</v>
      </c>
      <c r="K76" s="215"/>
      <c r="L76" s="30" t="s">
        <v>416</v>
      </c>
      <c r="M76" s="33" t="str">
        <f t="shared" si="12"/>
        <v/>
      </c>
      <c r="N76" s="44"/>
      <c r="O76" s="36" t="str">
        <f t="shared" si="13"/>
        <v/>
      </c>
      <c r="P76" s="216" t="str">
        <f t="shared" si="14"/>
        <v/>
      </c>
      <c r="Q76" s="216" t="str">
        <f t="shared" si="15"/>
        <v/>
      </c>
      <c r="R76" s="217" t="str">
        <f t="shared" si="16"/>
        <v/>
      </c>
    </row>
    <row r="77" spans="1:18" ht="15.75" hidden="1" thickBot="1" x14ac:dyDescent="0.3">
      <c r="A77" s="268"/>
      <c r="B77" s="47" t="s">
        <v>631</v>
      </c>
      <c r="C77" s="46"/>
      <c r="D77" s="36"/>
      <c r="E77" s="30" t="s">
        <v>416</v>
      </c>
      <c r="F77" s="33" t="str">
        <f t="shared" si="11"/>
        <v/>
      </c>
      <c r="G77" s="44"/>
      <c r="H77" s="45"/>
      <c r="I77" s="153">
        <v>0</v>
      </c>
      <c r="K77" s="215"/>
      <c r="L77" s="30" t="s">
        <v>416</v>
      </c>
      <c r="M77" s="33" t="str">
        <f t="shared" si="12"/>
        <v/>
      </c>
      <c r="N77" s="44"/>
      <c r="O77" s="36" t="str">
        <f t="shared" si="13"/>
        <v/>
      </c>
      <c r="P77" s="216" t="str">
        <f t="shared" si="14"/>
        <v/>
      </c>
      <c r="Q77" s="216" t="str">
        <f t="shared" si="15"/>
        <v/>
      </c>
      <c r="R77" s="217" t="str">
        <f t="shared" si="16"/>
        <v/>
      </c>
    </row>
    <row r="78" spans="1:18" ht="15.75" hidden="1" thickBot="1" x14ac:dyDescent="0.3">
      <c r="A78" s="268"/>
      <c r="B78" s="35" t="s">
        <v>416</v>
      </c>
      <c r="C78" s="35"/>
      <c r="D78" s="92"/>
      <c r="E78" s="30" t="s">
        <v>416</v>
      </c>
      <c r="F78" s="30" t="str">
        <f t="shared" si="11"/>
        <v/>
      </c>
      <c r="G78" s="34"/>
      <c r="H78" s="30"/>
      <c r="I78" s="153">
        <v>0</v>
      </c>
      <c r="K78" s="228"/>
      <c r="L78" s="30" t="s">
        <v>416</v>
      </c>
      <c r="M78" s="30" t="str">
        <f t="shared" si="12"/>
        <v/>
      </c>
      <c r="N78" s="34"/>
      <c r="O78" s="36" t="str">
        <f t="shared" si="13"/>
        <v/>
      </c>
      <c r="P78" s="216" t="str">
        <f t="shared" si="14"/>
        <v/>
      </c>
      <c r="Q78" s="216" t="str">
        <f t="shared" si="15"/>
        <v/>
      </c>
      <c r="R78" s="217" t="str">
        <f t="shared" si="16"/>
        <v/>
      </c>
    </row>
    <row r="79" spans="1:18" ht="15.75" hidden="1" thickBot="1" x14ac:dyDescent="0.3">
      <c r="A79" s="269" t="s">
        <v>118</v>
      </c>
      <c r="B79" s="40" t="s">
        <v>416</v>
      </c>
      <c r="C79" s="25" t="s">
        <v>87</v>
      </c>
      <c r="D79" s="93"/>
      <c r="E79" s="41" t="s">
        <v>416</v>
      </c>
      <c r="F79" s="41" t="str">
        <f t="shared" si="11"/>
        <v/>
      </c>
      <c r="G79" s="28"/>
      <c r="H79" s="29"/>
      <c r="I79" s="153">
        <v>0</v>
      </c>
      <c r="K79" s="226"/>
      <c r="L79" s="41" t="s">
        <v>416</v>
      </c>
      <c r="M79" s="41" t="str">
        <f t="shared" si="12"/>
        <v/>
      </c>
      <c r="N79" s="28"/>
      <c r="O79" s="36" t="str">
        <f t="shared" si="13"/>
        <v/>
      </c>
      <c r="P79" s="216" t="str">
        <f t="shared" si="14"/>
        <v/>
      </c>
      <c r="Q79" s="216" t="str">
        <f t="shared" si="15"/>
        <v/>
      </c>
      <c r="R79" s="217" t="str">
        <f t="shared" si="16"/>
        <v/>
      </c>
    </row>
    <row r="80" spans="1:18" ht="15.75" hidden="1" thickBot="1" x14ac:dyDescent="0.3">
      <c r="A80" s="268"/>
      <c r="B80" s="31" t="s">
        <v>416</v>
      </c>
      <c r="C80" s="31"/>
      <c r="D80" s="91"/>
      <c r="E80" s="42" t="s">
        <v>416</v>
      </c>
      <c r="F80" s="30" t="str">
        <f t="shared" si="11"/>
        <v/>
      </c>
      <c r="G80" s="34"/>
      <c r="H80" s="30"/>
      <c r="I80" s="153">
        <v>0</v>
      </c>
      <c r="K80" s="227"/>
      <c r="L80" s="42" t="s">
        <v>416</v>
      </c>
      <c r="M80" s="30" t="str">
        <f t="shared" si="12"/>
        <v/>
      </c>
      <c r="N80" s="34"/>
      <c r="O80" s="36" t="str">
        <f t="shared" si="13"/>
        <v/>
      </c>
      <c r="P80" s="216" t="str">
        <f t="shared" si="14"/>
        <v/>
      </c>
      <c r="Q80" s="216" t="str">
        <f t="shared" si="15"/>
        <v/>
      </c>
      <c r="R80" s="217" t="str">
        <f t="shared" si="16"/>
        <v/>
      </c>
    </row>
    <row r="81" spans="1:18" ht="15.75" hidden="1" thickBot="1" x14ac:dyDescent="0.3">
      <c r="A81" s="268"/>
      <c r="B81" s="35" t="s">
        <v>7990</v>
      </c>
      <c r="C81" s="35" t="s">
        <v>773</v>
      </c>
      <c r="D81" s="36">
        <v>1981.23</v>
      </c>
      <c r="E81" s="33">
        <v>1.1969999999999998</v>
      </c>
      <c r="F81" s="33">
        <f t="shared" si="11"/>
        <v>2371.5323099999996</v>
      </c>
      <c r="G81" s="44">
        <f>SUM(F81:F84)</f>
        <v>2476.2639199999994</v>
      </c>
      <c r="H81" s="45"/>
      <c r="I81" s="153">
        <v>0</v>
      </c>
      <c r="K81" s="215">
        <v>1981.23</v>
      </c>
      <c r="L81" s="33">
        <v>1.1969999999999998</v>
      </c>
      <c r="M81" s="33">
        <f t="shared" si="12"/>
        <v>2371.5323099999996</v>
      </c>
      <c r="N81" s="44">
        <f>SUM(M81:M84)</f>
        <v>2476.2639199999994</v>
      </c>
      <c r="O81" s="36" t="str">
        <f t="shared" si="13"/>
        <v/>
      </c>
      <c r="P81" s="216">
        <f t="shared" si="14"/>
        <v>0</v>
      </c>
      <c r="Q81" s="216">
        <f t="shared" si="15"/>
        <v>0</v>
      </c>
      <c r="R81" s="217">
        <f t="shared" si="16"/>
        <v>0</v>
      </c>
    </row>
    <row r="82" spans="1:18" ht="26.25" hidden="1" thickBot="1" x14ac:dyDescent="0.3">
      <c r="A82" s="268"/>
      <c r="B82" s="35" t="s">
        <v>1271</v>
      </c>
      <c r="C82" s="35" t="s">
        <v>583</v>
      </c>
      <c r="D82" s="36">
        <v>4.72</v>
      </c>
      <c r="E82" s="30">
        <v>20.291999999999998</v>
      </c>
      <c r="F82" s="33">
        <f t="shared" si="11"/>
        <v>95.778239999999983</v>
      </c>
      <c r="G82" s="44"/>
      <c r="H82" s="45"/>
      <c r="I82" s="153">
        <v>0</v>
      </c>
      <c r="K82" s="215">
        <v>4.72</v>
      </c>
      <c r="L82" s="30">
        <v>20.291999999999998</v>
      </c>
      <c r="M82" s="33">
        <f t="shared" si="12"/>
        <v>95.778239999999983</v>
      </c>
      <c r="N82" s="44"/>
      <c r="O82" s="36" t="str">
        <f t="shared" si="13"/>
        <v/>
      </c>
      <c r="P82" s="216">
        <f t="shared" si="14"/>
        <v>0</v>
      </c>
      <c r="Q82" s="216">
        <f t="shared" si="15"/>
        <v>0</v>
      </c>
      <c r="R82" s="217" t="str">
        <f t="shared" si="16"/>
        <v/>
      </c>
    </row>
    <row r="83" spans="1:18" ht="39" hidden="1" thickBot="1" x14ac:dyDescent="0.3">
      <c r="A83" s="268"/>
      <c r="B83" s="35" t="s">
        <v>2866</v>
      </c>
      <c r="C83" s="35" t="s">
        <v>813</v>
      </c>
      <c r="D83" s="36">
        <v>1.1000000000000001</v>
      </c>
      <c r="E83" s="30">
        <v>4.2939999999999996</v>
      </c>
      <c r="F83" s="94">
        <f t="shared" si="11"/>
        <v>4.7233999999999998</v>
      </c>
      <c r="G83" s="44"/>
      <c r="H83" s="45"/>
      <c r="I83" s="153">
        <v>0</v>
      </c>
      <c r="K83" s="215">
        <v>1.1000000000000001</v>
      </c>
      <c r="L83" s="30">
        <v>4.2939999999999996</v>
      </c>
      <c r="M83" s="94">
        <f t="shared" si="12"/>
        <v>4.7233999999999998</v>
      </c>
      <c r="N83" s="44"/>
      <c r="O83" s="36" t="str">
        <f t="shared" si="13"/>
        <v/>
      </c>
      <c r="P83" s="216">
        <f t="shared" si="14"/>
        <v>0</v>
      </c>
      <c r="Q83" s="216">
        <f t="shared" si="15"/>
        <v>0</v>
      </c>
      <c r="R83" s="217" t="str">
        <f t="shared" si="16"/>
        <v/>
      </c>
    </row>
    <row r="84" spans="1:18" ht="39" hidden="1" thickBot="1" x14ac:dyDescent="0.3">
      <c r="A84" s="268"/>
      <c r="B84" s="35" t="s">
        <v>2873</v>
      </c>
      <c r="C84" s="35" t="s">
        <v>815</v>
      </c>
      <c r="D84" s="36">
        <v>3.62</v>
      </c>
      <c r="E84" s="30">
        <v>1.1684999999999999</v>
      </c>
      <c r="F84" s="94">
        <f t="shared" si="11"/>
        <v>4.2299699999999998</v>
      </c>
      <c r="G84" s="44"/>
      <c r="H84" s="45"/>
      <c r="I84" s="153">
        <v>0</v>
      </c>
      <c r="K84" s="215">
        <v>3.62</v>
      </c>
      <c r="L84" s="30">
        <v>1.1684999999999999</v>
      </c>
      <c r="M84" s="94">
        <f t="shared" si="12"/>
        <v>4.2299699999999998</v>
      </c>
      <c r="N84" s="44"/>
      <c r="O84" s="36" t="str">
        <f t="shared" si="13"/>
        <v/>
      </c>
      <c r="P84" s="216">
        <f t="shared" si="14"/>
        <v>0</v>
      </c>
      <c r="Q84" s="216">
        <f t="shared" si="15"/>
        <v>0</v>
      </c>
      <c r="R84" s="217" t="str">
        <f t="shared" si="16"/>
        <v/>
      </c>
    </row>
    <row r="85" spans="1:18" ht="15.75" hidden="1" thickBot="1" x14ac:dyDescent="0.3">
      <c r="A85" s="268"/>
      <c r="B85" s="35" t="s">
        <v>416</v>
      </c>
      <c r="C85" s="35"/>
      <c r="D85" s="92"/>
      <c r="E85" s="30" t="s">
        <v>416</v>
      </c>
      <c r="F85" s="30" t="str">
        <f t="shared" si="11"/>
        <v/>
      </c>
      <c r="G85" s="34"/>
      <c r="H85" s="30"/>
      <c r="I85" s="153">
        <v>0</v>
      </c>
      <c r="K85" s="228"/>
      <c r="L85" s="30" t="s">
        <v>416</v>
      </c>
      <c r="M85" s="30" t="str">
        <f t="shared" si="12"/>
        <v/>
      </c>
      <c r="N85" s="34"/>
      <c r="O85" s="36" t="str">
        <f t="shared" si="13"/>
        <v/>
      </c>
      <c r="P85" s="216" t="str">
        <f t="shared" si="14"/>
        <v/>
      </c>
      <c r="Q85" s="216" t="str">
        <f t="shared" si="15"/>
        <v/>
      </c>
      <c r="R85" s="217" t="str">
        <f t="shared" si="16"/>
        <v/>
      </c>
    </row>
    <row r="86" spans="1:18" ht="15.75" hidden="1" thickBot="1" x14ac:dyDescent="0.3">
      <c r="A86" s="269" t="s">
        <v>150</v>
      </c>
      <c r="B86" s="40" t="s">
        <v>416</v>
      </c>
      <c r="C86" s="25" t="s">
        <v>87</v>
      </c>
      <c r="D86" s="93"/>
      <c r="E86" s="41" t="s">
        <v>416</v>
      </c>
      <c r="F86" s="41" t="str">
        <f t="shared" si="11"/>
        <v/>
      </c>
      <c r="G86" s="28"/>
      <c r="H86" s="29"/>
      <c r="I86" s="153">
        <v>0</v>
      </c>
      <c r="K86" s="226"/>
      <c r="L86" s="41" t="s">
        <v>416</v>
      </c>
      <c r="M86" s="41" t="str">
        <f t="shared" si="12"/>
        <v/>
      </c>
      <c r="N86" s="28"/>
      <c r="O86" s="36" t="str">
        <f t="shared" si="13"/>
        <v/>
      </c>
      <c r="P86" s="216" t="str">
        <f t="shared" si="14"/>
        <v/>
      </c>
      <c r="Q86" s="216" t="str">
        <f t="shared" si="15"/>
        <v/>
      </c>
      <c r="R86" s="217" t="str">
        <f t="shared" si="16"/>
        <v/>
      </c>
    </row>
    <row r="87" spans="1:18" ht="15.75" hidden="1" thickBot="1" x14ac:dyDescent="0.3">
      <c r="A87" s="268"/>
      <c r="B87" s="31" t="s">
        <v>416</v>
      </c>
      <c r="C87" s="31"/>
      <c r="D87" s="91"/>
      <c r="E87" s="42" t="s">
        <v>416</v>
      </c>
      <c r="F87" s="30" t="str">
        <f t="shared" si="11"/>
        <v/>
      </c>
      <c r="G87" s="34"/>
      <c r="H87" s="30"/>
      <c r="I87" s="153">
        <v>0</v>
      </c>
      <c r="K87" s="227"/>
      <c r="L87" s="42" t="s">
        <v>416</v>
      </c>
      <c r="M87" s="30" t="str">
        <f t="shared" si="12"/>
        <v/>
      </c>
      <c r="N87" s="34"/>
      <c r="O87" s="36" t="str">
        <f t="shared" si="13"/>
        <v/>
      </c>
      <c r="P87" s="216" t="str">
        <f t="shared" si="14"/>
        <v/>
      </c>
      <c r="Q87" s="216" t="str">
        <f t="shared" si="15"/>
        <v/>
      </c>
      <c r="R87" s="217" t="str">
        <f t="shared" si="16"/>
        <v/>
      </c>
    </row>
    <row r="88" spans="1:18" ht="26.25" hidden="1" thickBot="1" x14ac:dyDescent="0.3">
      <c r="A88" s="268"/>
      <c r="B88" s="35" t="s">
        <v>7985</v>
      </c>
      <c r="C88" s="35" t="s">
        <v>87</v>
      </c>
      <c r="D88" s="36">
        <v>1.35</v>
      </c>
      <c r="E88" s="33">
        <v>202.33099999999999</v>
      </c>
      <c r="F88" s="33">
        <f t="shared" si="11"/>
        <v>273.14685000000003</v>
      </c>
      <c r="G88" s="44">
        <f>SUM(F88:F92)</f>
        <v>863.68162074249994</v>
      </c>
      <c r="H88" s="45"/>
      <c r="I88" s="153">
        <v>0</v>
      </c>
      <c r="K88" s="215">
        <v>1.35</v>
      </c>
      <c r="L88" s="33">
        <v>202.33099999999999</v>
      </c>
      <c r="M88" s="33">
        <f t="shared" si="12"/>
        <v>273.14685000000003</v>
      </c>
      <c r="N88" s="44">
        <f>SUM(M88:M92)</f>
        <v>863.68162074249994</v>
      </c>
      <c r="O88" s="36" t="str">
        <f t="shared" si="13"/>
        <v/>
      </c>
      <c r="P88" s="216">
        <f t="shared" si="14"/>
        <v>0</v>
      </c>
      <c r="Q88" s="216">
        <f t="shared" si="15"/>
        <v>0</v>
      </c>
      <c r="R88" s="217">
        <f t="shared" si="16"/>
        <v>0</v>
      </c>
    </row>
    <row r="89" spans="1:18" ht="15.75" hidden="1" thickBot="1" x14ac:dyDescent="0.3">
      <c r="A89" s="268"/>
      <c r="B89" s="35" t="s">
        <v>8065</v>
      </c>
      <c r="C89" s="35" t="s">
        <v>773</v>
      </c>
      <c r="D89" s="36">
        <v>454.58</v>
      </c>
      <c r="E89" s="33">
        <v>0.627</v>
      </c>
      <c r="F89" s="33">
        <f t="shared" si="11"/>
        <v>285.02166</v>
      </c>
      <c r="G89" s="44"/>
      <c r="H89" s="45"/>
      <c r="I89" s="153">
        <v>0</v>
      </c>
      <c r="K89" s="215">
        <v>454.58</v>
      </c>
      <c r="L89" s="33">
        <v>0.627</v>
      </c>
      <c r="M89" s="33">
        <f t="shared" si="12"/>
        <v>285.02166</v>
      </c>
      <c r="N89" s="44"/>
      <c r="O89" s="36" t="str">
        <f t="shared" si="13"/>
        <v/>
      </c>
      <c r="P89" s="216">
        <f t="shared" si="14"/>
        <v>0</v>
      </c>
      <c r="Q89" s="216">
        <f t="shared" si="15"/>
        <v>0</v>
      </c>
      <c r="R89" s="217" t="str">
        <f t="shared" si="16"/>
        <v/>
      </c>
    </row>
    <row r="90" spans="1:18" ht="15.75" hidden="1" thickBot="1" x14ac:dyDescent="0.3">
      <c r="A90" s="268"/>
      <c r="B90" s="35" t="s">
        <v>584</v>
      </c>
      <c r="C90" s="35" t="s">
        <v>583</v>
      </c>
      <c r="D90" s="36">
        <v>11.02</v>
      </c>
      <c r="E90" s="30">
        <v>20.225499999999997</v>
      </c>
      <c r="F90" s="33">
        <f t="shared" si="11"/>
        <v>222.88500999999997</v>
      </c>
      <c r="G90" s="44"/>
      <c r="H90" s="45"/>
      <c r="I90" s="153">
        <v>0</v>
      </c>
      <c r="K90" s="215">
        <v>11.02</v>
      </c>
      <c r="L90" s="30">
        <v>20.225499999999997</v>
      </c>
      <c r="M90" s="33">
        <f t="shared" si="12"/>
        <v>222.88500999999997</v>
      </c>
      <c r="N90" s="44"/>
      <c r="O90" s="36" t="str">
        <f t="shared" si="13"/>
        <v/>
      </c>
      <c r="P90" s="216">
        <f t="shared" si="14"/>
        <v>0</v>
      </c>
      <c r="Q90" s="216">
        <f t="shared" si="15"/>
        <v>0</v>
      </c>
      <c r="R90" s="217" t="str">
        <f t="shared" si="16"/>
        <v/>
      </c>
    </row>
    <row r="91" spans="1:18" ht="51.75" hidden="1" thickBot="1" x14ac:dyDescent="0.3">
      <c r="A91" s="268"/>
      <c r="B91" s="35" t="s">
        <v>3071</v>
      </c>
      <c r="C91" s="35" t="s">
        <v>87</v>
      </c>
      <c r="D91" s="36">
        <f>ROUND(1*D88,4)</f>
        <v>1.35</v>
      </c>
      <c r="E91" s="30">
        <v>8.0531015499999992</v>
      </c>
      <c r="F91" s="33">
        <f t="shared" si="11"/>
        <v>10.8716870925</v>
      </c>
      <c r="G91" s="44"/>
      <c r="H91" s="45"/>
      <c r="I91" s="153">
        <v>0</v>
      </c>
      <c r="K91" s="215">
        <v>1.35</v>
      </c>
      <c r="L91" s="30">
        <v>8.0531015499999992</v>
      </c>
      <c r="M91" s="33">
        <f t="shared" si="12"/>
        <v>10.8716870925</v>
      </c>
      <c r="N91" s="44"/>
      <c r="O91" s="36" t="str">
        <f t="shared" si="13"/>
        <v/>
      </c>
      <c r="P91" s="216">
        <f t="shared" si="14"/>
        <v>0</v>
      </c>
      <c r="Q91" s="216">
        <f t="shared" si="15"/>
        <v>0</v>
      </c>
      <c r="R91" s="217" t="str">
        <f t="shared" si="16"/>
        <v/>
      </c>
    </row>
    <row r="92" spans="1:18" ht="39" hidden="1" thickBot="1" x14ac:dyDescent="0.3">
      <c r="A92" s="268"/>
      <c r="B92" s="35" t="s">
        <v>3068</v>
      </c>
      <c r="C92" s="46" t="s">
        <v>89</v>
      </c>
      <c r="D92" s="36">
        <f>ROUND(D88*20,4)</f>
        <v>27</v>
      </c>
      <c r="E92" s="30">
        <v>2.6576449499999995</v>
      </c>
      <c r="F92" s="33">
        <f t="shared" si="11"/>
        <v>71.756413649999985</v>
      </c>
      <c r="G92" s="44"/>
      <c r="H92" s="45"/>
      <c r="I92" s="153">
        <v>0</v>
      </c>
      <c r="K92" s="215">
        <v>27</v>
      </c>
      <c r="L92" s="30">
        <v>2.6576449499999995</v>
      </c>
      <c r="M92" s="33">
        <f t="shared" si="12"/>
        <v>71.756413649999985</v>
      </c>
      <c r="N92" s="44"/>
      <c r="O92" s="36" t="str">
        <f t="shared" si="13"/>
        <v/>
      </c>
      <c r="P92" s="216">
        <f t="shared" si="14"/>
        <v>0</v>
      </c>
      <c r="Q92" s="216">
        <f t="shared" si="15"/>
        <v>0</v>
      </c>
      <c r="R92" s="217" t="str">
        <f t="shared" si="16"/>
        <v/>
      </c>
    </row>
    <row r="93" spans="1:18" ht="15.75" hidden="1" thickBot="1" x14ac:dyDescent="0.3">
      <c r="A93" s="268"/>
      <c r="B93" s="50"/>
      <c r="C93" s="46"/>
      <c r="D93" s="36"/>
      <c r="E93" s="30" t="s">
        <v>416</v>
      </c>
      <c r="F93" s="33" t="str">
        <f t="shared" si="11"/>
        <v/>
      </c>
      <c r="G93" s="44"/>
      <c r="H93" s="45"/>
      <c r="I93" s="153">
        <v>0</v>
      </c>
      <c r="K93" s="215"/>
      <c r="L93" s="30" t="s">
        <v>416</v>
      </c>
      <c r="M93" s="33" t="str">
        <f t="shared" si="12"/>
        <v/>
      </c>
      <c r="N93" s="44"/>
      <c r="O93" s="36" t="str">
        <f t="shared" si="13"/>
        <v/>
      </c>
      <c r="P93" s="216" t="str">
        <f t="shared" si="14"/>
        <v/>
      </c>
      <c r="Q93" s="216" t="str">
        <f t="shared" si="15"/>
        <v/>
      </c>
      <c r="R93" s="217" t="str">
        <f t="shared" si="16"/>
        <v/>
      </c>
    </row>
    <row r="94" spans="1:18" ht="15.75" hidden="1" thickBot="1" x14ac:dyDescent="0.3">
      <c r="A94" s="268"/>
      <c r="B94" s="47" t="s">
        <v>631</v>
      </c>
      <c r="C94" s="46"/>
      <c r="D94" s="36"/>
      <c r="E94" s="30" t="s">
        <v>416</v>
      </c>
      <c r="F94" s="33" t="str">
        <f t="shared" si="11"/>
        <v/>
      </c>
      <c r="G94" s="44"/>
      <c r="H94" s="45"/>
      <c r="I94" s="153">
        <v>0</v>
      </c>
      <c r="K94" s="215"/>
      <c r="L94" s="30" t="s">
        <v>416</v>
      </c>
      <c r="M94" s="33" t="str">
        <f t="shared" si="12"/>
        <v/>
      </c>
      <c r="N94" s="44"/>
      <c r="O94" s="36" t="str">
        <f t="shared" si="13"/>
        <v/>
      </c>
      <c r="P94" s="216" t="str">
        <f t="shared" si="14"/>
        <v/>
      </c>
      <c r="Q94" s="216" t="str">
        <f t="shared" si="15"/>
        <v/>
      </c>
      <c r="R94" s="217" t="str">
        <f t="shared" si="16"/>
        <v/>
      </c>
    </row>
    <row r="95" spans="1:18" ht="15.75" hidden="1" thickBot="1" x14ac:dyDescent="0.3">
      <c r="A95" s="268"/>
      <c r="B95" s="35" t="s">
        <v>416</v>
      </c>
      <c r="C95" s="35"/>
      <c r="D95" s="92"/>
      <c r="E95" s="30" t="s">
        <v>416</v>
      </c>
      <c r="F95" s="30" t="str">
        <f t="shared" si="11"/>
        <v/>
      </c>
      <c r="G95" s="34"/>
      <c r="H95" s="30"/>
      <c r="I95" s="153">
        <v>0</v>
      </c>
      <c r="K95" s="228"/>
      <c r="L95" s="30" t="s">
        <v>416</v>
      </c>
      <c r="M95" s="30" t="str">
        <f t="shared" si="12"/>
        <v/>
      </c>
      <c r="N95" s="34"/>
      <c r="O95" s="36" t="str">
        <f t="shared" si="13"/>
        <v/>
      </c>
      <c r="P95" s="216" t="str">
        <f t="shared" si="14"/>
        <v/>
      </c>
      <c r="Q95" s="216" t="str">
        <f t="shared" si="15"/>
        <v/>
      </c>
      <c r="R95" s="217" t="str">
        <f t="shared" si="16"/>
        <v/>
      </c>
    </row>
    <row r="96" spans="1:18" ht="15.75" hidden="1" thickBot="1" x14ac:dyDescent="0.3">
      <c r="A96" s="269" t="s">
        <v>184</v>
      </c>
      <c r="B96" s="40" t="s">
        <v>416</v>
      </c>
      <c r="C96" s="25" t="s">
        <v>87</v>
      </c>
      <c r="D96" s="93"/>
      <c r="E96" s="41" t="s">
        <v>416</v>
      </c>
      <c r="F96" s="41" t="str">
        <f t="shared" si="11"/>
        <v/>
      </c>
      <c r="G96" s="28"/>
      <c r="H96" s="29"/>
      <c r="I96" s="153">
        <v>0</v>
      </c>
      <c r="K96" s="226"/>
      <c r="L96" s="41" t="s">
        <v>416</v>
      </c>
      <c r="M96" s="41" t="str">
        <f t="shared" si="12"/>
        <v/>
      </c>
      <c r="N96" s="28"/>
      <c r="O96" s="36" t="str">
        <f t="shared" si="13"/>
        <v/>
      </c>
      <c r="P96" s="216" t="str">
        <f t="shared" si="14"/>
        <v/>
      </c>
      <c r="Q96" s="216" t="str">
        <f t="shared" si="15"/>
        <v/>
      </c>
      <c r="R96" s="217" t="str">
        <f t="shared" si="16"/>
        <v/>
      </c>
    </row>
    <row r="97" spans="1:18" ht="15.75" hidden="1" thickBot="1" x14ac:dyDescent="0.3">
      <c r="A97" s="268"/>
      <c r="B97" s="31" t="s">
        <v>416</v>
      </c>
      <c r="C97" s="31"/>
      <c r="D97" s="91"/>
      <c r="E97" s="42" t="s">
        <v>416</v>
      </c>
      <c r="F97" s="30" t="str">
        <f t="shared" si="11"/>
        <v/>
      </c>
      <c r="G97" s="34"/>
      <c r="H97" s="30"/>
      <c r="I97" s="153">
        <v>0</v>
      </c>
      <c r="K97" s="227"/>
      <c r="L97" s="42" t="s">
        <v>416</v>
      </c>
      <c r="M97" s="30" t="str">
        <f t="shared" si="12"/>
        <v/>
      </c>
      <c r="N97" s="34"/>
      <c r="O97" s="36" t="str">
        <f t="shared" si="13"/>
        <v/>
      </c>
      <c r="P97" s="216" t="str">
        <f t="shared" si="14"/>
        <v/>
      </c>
      <c r="Q97" s="216" t="str">
        <f t="shared" si="15"/>
        <v/>
      </c>
      <c r="R97" s="217" t="str">
        <f t="shared" si="16"/>
        <v/>
      </c>
    </row>
    <row r="98" spans="1:18" ht="26.25" hidden="1" thickBot="1" x14ac:dyDescent="0.3">
      <c r="A98" s="268"/>
      <c r="B98" s="35" t="s">
        <v>7985</v>
      </c>
      <c r="C98" s="35" t="s">
        <v>87</v>
      </c>
      <c r="D98" s="36">
        <v>1.1499999999999999</v>
      </c>
      <c r="E98" s="33">
        <v>202.33099999999999</v>
      </c>
      <c r="F98" s="33">
        <f t="shared" si="11"/>
        <v>232.68064999999996</v>
      </c>
      <c r="G98" s="44">
        <f>SUM(F98:F102)</f>
        <v>714.97852563250001</v>
      </c>
      <c r="H98" s="45"/>
      <c r="I98" s="153">
        <v>0</v>
      </c>
      <c r="K98" s="215">
        <v>1.1499999999999999</v>
      </c>
      <c r="L98" s="33">
        <v>202.33099999999999</v>
      </c>
      <c r="M98" s="33">
        <f t="shared" si="12"/>
        <v>232.68064999999996</v>
      </c>
      <c r="N98" s="44">
        <f>SUM(M98:M102)</f>
        <v>714.97852563250001</v>
      </c>
      <c r="O98" s="36" t="str">
        <f t="shared" si="13"/>
        <v/>
      </c>
      <c r="P98" s="216">
        <f t="shared" si="14"/>
        <v>0</v>
      </c>
      <c r="Q98" s="216">
        <f t="shared" si="15"/>
        <v>0</v>
      </c>
      <c r="R98" s="217">
        <f t="shared" si="16"/>
        <v>0</v>
      </c>
    </row>
    <row r="99" spans="1:18" ht="15.75" hidden="1" thickBot="1" x14ac:dyDescent="0.3">
      <c r="A99" s="268"/>
      <c r="B99" s="35" t="s">
        <v>8065</v>
      </c>
      <c r="C99" s="35" t="s">
        <v>773</v>
      </c>
      <c r="D99" s="36">
        <v>389.54</v>
      </c>
      <c r="E99" s="33">
        <v>0.627</v>
      </c>
      <c r="F99" s="33">
        <f t="shared" si="11"/>
        <v>244.24158000000003</v>
      </c>
      <c r="G99" s="44"/>
      <c r="H99" s="45"/>
      <c r="I99" s="153">
        <v>0</v>
      </c>
      <c r="K99" s="215">
        <v>389.54</v>
      </c>
      <c r="L99" s="33">
        <v>0.627</v>
      </c>
      <c r="M99" s="33">
        <f t="shared" si="12"/>
        <v>244.24158000000003</v>
      </c>
      <c r="N99" s="44"/>
      <c r="O99" s="36" t="str">
        <f t="shared" si="13"/>
        <v/>
      </c>
      <c r="P99" s="216">
        <f t="shared" si="14"/>
        <v>0</v>
      </c>
      <c r="Q99" s="216">
        <f t="shared" si="15"/>
        <v>0</v>
      </c>
      <c r="R99" s="217" t="str">
        <f t="shared" si="16"/>
        <v/>
      </c>
    </row>
    <row r="100" spans="1:18" ht="15.75" hidden="1" thickBot="1" x14ac:dyDescent="0.3">
      <c r="A100" s="268"/>
      <c r="B100" s="35" t="s">
        <v>584</v>
      </c>
      <c r="C100" s="35" t="s">
        <v>583</v>
      </c>
      <c r="D100" s="36">
        <v>8.2899999999999991</v>
      </c>
      <c r="E100" s="30">
        <v>20.225499999999997</v>
      </c>
      <c r="F100" s="33">
        <f t="shared" si="11"/>
        <v>167.66939499999995</v>
      </c>
      <c r="G100" s="44"/>
      <c r="H100" s="45"/>
      <c r="I100" s="153">
        <v>0</v>
      </c>
      <c r="K100" s="215">
        <v>8.2899999999999991</v>
      </c>
      <c r="L100" s="30">
        <v>20.225499999999997</v>
      </c>
      <c r="M100" s="33">
        <f t="shared" si="12"/>
        <v>167.66939499999995</v>
      </c>
      <c r="N100" s="44"/>
      <c r="O100" s="36" t="str">
        <f t="shared" si="13"/>
        <v/>
      </c>
      <c r="P100" s="216">
        <f t="shared" si="14"/>
        <v>0</v>
      </c>
      <c r="Q100" s="216">
        <f t="shared" si="15"/>
        <v>0</v>
      </c>
      <c r="R100" s="217" t="str">
        <f t="shared" si="16"/>
        <v/>
      </c>
    </row>
    <row r="101" spans="1:18" ht="51.75" hidden="1" thickBot="1" x14ac:dyDescent="0.3">
      <c r="A101" s="268"/>
      <c r="B101" s="35" t="s">
        <v>3071</v>
      </c>
      <c r="C101" s="35" t="s">
        <v>87</v>
      </c>
      <c r="D101" s="36">
        <f>ROUND(1*D98,4)</f>
        <v>1.1499999999999999</v>
      </c>
      <c r="E101" s="30">
        <v>8.0531015499999992</v>
      </c>
      <c r="F101" s="33">
        <f t="shared" si="11"/>
        <v>9.2610667824999986</v>
      </c>
      <c r="G101" s="44"/>
      <c r="H101" s="45"/>
      <c r="I101" s="153">
        <v>0</v>
      </c>
      <c r="K101" s="215">
        <v>1.1499999999999999</v>
      </c>
      <c r="L101" s="30">
        <v>8.0531015499999992</v>
      </c>
      <c r="M101" s="33">
        <f t="shared" si="12"/>
        <v>9.2610667824999986</v>
      </c>
      <c r="N101" s="44"/>
      <c r="O101" s="36" t="str">
        <f t="shared" si="13"/>
        <v/>
      </c>
      <c r="P101" s="216">
        <f t="shared" si="14"/>
        <v>0</v>
      </c>
      <c r="Q101" s="216">
        <f t="shared" si="15"/>
        <v>0</v>
      </c>
      <c r="R101" s="217" t="str">
        <f t="shared" si="16"/>
        <v/>
      </c>
    </row>
    <row r="102" spans="1:18" ht="39" hidden="1" thickBot="1" x14ac:dyDescent="0.3">
      <c r="A102" s="268"/>
      <c r="B102" s="35" t="s">
        <v>3068</v>
      </c>
      <c r="C102" s="46" t="s">
        <v>89</v>
      </c>
      <c r="D102" s="36">
        <f>ROUND(D98*20,4)</f>
        <v>23</v>
      </c>
      <c r="E102" s="30">
        <v>2.6576449499999995</v>
      </c>
      <c r="F102" s="33">
        <f t="shared" si="11"/>
        <v>61.125833849999985</v>
      </c>
      <c r="G102" s="44"/>
      <c r="H102" s="45"/>
      <c r="I102" s="153">
        <v>0</v>
      </c>
      <c r="K102" s="215">
        <v>23</v>
      </c>
      <c r="L102" s="30">
        <v>2.6576449499999995</v>
      </c>
      <c r="M102" s="33">
        <f t="shared" si="12"/>
        <v>61.125833849999985</v>
      </c>
      <c r="N102" s="44"/>
      <c r="O102" s="36" t="str">
        <f t="shared" si="13"/>
        <v/>
      </c>
      <c r="P102" s="216">
        <f t="shared" si="14"/>
        <v>0</v>
      </c>
      <c r="Q102" s="216">
        <f t="shared" si="15"/>
        <v>0</v>
      </c>
      <c r="R102" s="217" t="str">
        <f t="shared" si="16"/>
        <v/>
      </c>
    </row>
    <row r="103" spans="1:18" ht="15.75" hidden="1" thickBot="1" x14ac:dyDescent="0.3">
      <c r="A103" s="268"/>
      <c r="B103" s="50"/>
      <c r="C103" s="46"/>
      <c r="D103" s="36"/>
      <c r="E103" s="30" t="s">
        <v>416</v>
      </c>
      <c r="F103" s="33" t="str">
        <f t="shared" si="11"/>
        <v/>
      </c>
      <c r="G103" s="44"/>
      <c r="H103" s="45"/>
      <c r="I103" s="153">
        <v>0</v>
      </c>
      <c r="K103" s="215"/>
      <c r="L103" s="30" t="s">
        <v>416</v>
      </c>
      <c r="M103" s="33" t="str">
        <f t="shared" si="12"/>
        <v/>
      </c>
      <c r="N103" s="44"/>
      <c r="O103" s="36" t="str">
        <f t="shared" si="13"/>
        <v/>
      </c>
      <c r="P103" s="216" t="str">
        <f t="shared" si="14"/>
        <v/>
      </c>
      <c r="Q103" s="216" t="str">
        <f t="shared" si="15"/>
        <v/>
      </c>
      <c r="R103" s="217" t="str">
        <f t="shared" si="16"/>
        <v/>
      </c>
    </row>
    <row r="104" spans="1:18" ht="15.75" hidden="1" thickBot="1" x14ac:dyDescent="0.3">
      <c r="A104" s="268"/>
      <c r="B104" s="47" t="s">
        <v>631</v>
      </c>
      <c r="C104" s="46"/>
      <c r="D104" s="36"/>
      <c r="E104" s="30" t="s">
        <v>416</v>
      </c>
      <c r="F104" s="33" t="str">
        <f t="shared" si="11"/>
        <v/>
      </c>
      <c r="G104" s="44"/>
      <c r="H104" s="45"/>
      <c r="I104" s="153">
        <v>0</v>
      </c>
      <c r="K104" s="215"/>
      <c r="L104" s="30" t="s">
        <v>416</v>
      </c>
      <c r="M104" s="33" t="str">
        <f t="shared" si="12"/>
        <v/>
      </c>
      <c r="N104" s="44"/>
      <c r="O104" s="36" t="str">
        <f t="shared" si="13"/>
        <v/>
      </c>
      <c r="P104" s="216" t="str">
        <f t="shared" si="14"/>
        <v/>
      </c>
      <c r="Q104" s="216" t="str">
        <f t="shared" si="15"/>
        <v/>
      </c>
      <c r="R104" s="217" t="str">
        <f t="shared" si="16"/>
        <v/>
      </c>
    </row>
    <row r="105" spans="1:18" ht="15.75" hidden="1" thickBot="1" x14ac:dyDescent="0.3">
      <c r="A105" s="268"/>
      <c r="B105" s="35" t="s">
        <v>416</v>
      </c>
      <c r="C105" s="35"/>
      <c r="D105" s="92"/>
      <c r="E105" s="30" t="s">
        <v>416</v>
      </c>
      <c r="F105" s="30" t="str">
        <f t="shared" si="11"/>
        <v/>
      </c>
      <c r="G105" s="34"/>
      <c r="H105" s="30"/>
      <c r="I105" s="153">
        <v>0</v>
      </c>
      <c r="K105" s="228"/>
      <c r="L105" s="30" t="s">
        <v>416</v>
      </c>
      <c r="M105" s="30" t="str">
        <f t="shared" si="12"/>
        <v/>
      </c>
      <c r="N105" s="34"/>
      <c r="O105" s="36" t="str">
        <f t="shared" si="13"/>
        <v/>
      </c>
      <c r="P105" s="216" t="str">
        <f t="shared" si="14"/>
        <v/>
      </c>
      <c r="Q105" s="216" t="str">
        <f t="shared" si="15"/>
        <v/>
      </c>
      <c r="R105" s="217" t="str">
        <f t="shared" si="16"/>
        <v/>
      </c>
    </row>
    <row r="106" spans="1:18" ht="15.75" hidden="1" thickBot="1" x14ac:dyDescent="0.3">
      <c r="A106" s="269" t="s">
        <v>2890</v>
      </c>
      <c r="B106" s="40" t="s">
        <v>416</v>
      </c>
      <c r="C106" s="25" t="s">
        <v>385</v>
      </c>
      <c r="D106" s="93"/>
      <c r="E106" s="41" t="s">
        <v>416</v>
      </c>
      <c r="F106" s="41" t="str">
        <f t="shared" si="11"/>
        <v/>
      </c>
      <c r="G106" s="28"/>
      <c r="H106" s="29"/>
      <c r="I106" s="153">
        <v>0</v>
      </c>
      <c r="K106" s="226"/>
      <c r="L106" s="41" t="s">
        <v>416</v>
      </c>
      <c r="M106" s="41" t="str">
        <f t="shared" si="12"/>
        <v/>
      </c>
      <c r="N106" s="28"/>
      <c r="O106" s="36" t="str">
        <f t="shared" si="13"/>
        <v/>
      </c>
      <c r="P106" s="216" t="str">
        <f t="shared" si="14"/>
        <v/>
      </c>
      <c r="Q106" s="216" t="str">
        <f t="shared" si="15"/>
        <v/>
      </c>
      <c r="R106" s="217" t="str">
        <f t="shared" si="16"/>
        <v/>
      </c>
    </row>
    <row r="107" spans="1:18" ht="15.75" hidden="1" thickBot="1" x14ac:dyDescent="0.3">
      <c r="A107" s="268"/>
      <c r="B107" s="31" t="s">
        <v>416</v>
      </c>
      <c r="C107" s="31"/>
      <c r="D107" s="91"/>
      <c r="E107" s="42" t="s">
        <v>416</v>
      </c>
      <c r="F107" s="30" t="str">
        <f t="shared" si="11"/>
        <v/>
      </c>
      <c r="G107" s="34"/>
      <c r="H107" s="30"/>
      <c r="I107" s="153">
        <v>0</v>
      </c>
      <c r="K107" s="227"/>
      <c r="L107" s="42" t="s">
        <v>416</v>
      </c>
      <c r="M107" s="30" t="str">
        <f t="shared" si="12"/>
        <v/>
      </c>
      <c r="N107" s="34"/>
      <c r="O107" s="36" t="str">
        <f t="shared" si="13"/>
        <v/>
      </c>
      <c r="P107" s="216" t="str">
        <f t="shared" si="14"/>
        <v/>
      </c>
      <c r="Q107" s="216" t="str">
        <f t="shared" si="15"/>
        <v/>
      </c>
      <c r="R107" s="217" t="str">
        <f t="shared" si="16"/>
        <v/>
      </c>
    </row>
    <row r="108" spans="1:18" ht="26.25" hidden="1" thickBot="1" x14ac:dyDescent="0.3">
      <c r="A108" s="268"/>
      <c r="B108" s="35" t="s">
        <v>7954</v>
      </c>
      <c r="C108" s="35" t="s">
        <v>213</v>
      </c>
      <c r="D108" s="36">
        <v>0.33300000000000002</v>
      </c>
      <c r="E108" s="33">
        <v>1.444</v>
      </c>
      <c r="F108" s="33">
        <f t="shared" si="11"/>
        <v>0.480852</v>
      </c>
      <c r="G108" s="44">
        <f>SUM(F108:F110)</f>
        <v>1.5246645000000001</v>
      </c>
      <c r="H108" s="45"/>
      <c r="I108" s="153">
        <v>0</v>
      </c>
      <c r="K108" s="215">
        <v>0.33300000000000002</v>
      </c>
      <c r="L108" s="33">
        <v>1.444</v>
      </c>
      <c r="M108" s="33">
        <f t="shared" si="12"/>
        <v>0.480852</v>
      </c>
      <c r="N108" s="44">
        <f>SUM(M108:M110)</f>
        <v>1.5246645000000001</v>
      </c>
      <c r="O108" s="36" t="str">
        <f t="shared" si="13"/>
        <v/>
      </c>
      <c r="P108" s="216">
        <f t="shared" si="14"/>
        <v>0</v>
      </c>
      <c r="Q108" s="216">
        <f t="shared" si="15"/>
        <v>0</v>
      </c>
      <c r="R108" s="217">
        <f t="shared" si="16"/>
        <v>0</v>
      </c>
    </row>
    <row r="109" spans="1:18" ht="26.25" hidden="1" thickBot="1" x14ac:dyDescent="0.3">
      <c r="A109" s="268"/>
      <c r="B109" s="35" t="s">
        <v>824</v>
      </c>
      <c r="C109" s="35" t="s">
        <v>583</v>
      </c>
      <c r="D109" s="36">
        <v>5.0000000000000001E-3</v>
      </c>
      <c r="E109" s="30">
        <v>21.166</v>
      </c>
      <c r="F109" s="33">
        <f t="shared" si="11"/>
        <v>0.10583000000000001</v>
      </c>
      <c r="G109" s="44"/>
      <c r="H109" s="45"/>
      <c r="I109" s="153">
        <v>0</v>
      </c>
      <c r="K109" s="215">
        <v>5.0000000000000001E-3</v>
      </c>
      <c r="L109" s="30">
        <v>21.166</v>
      </c>
      <c r="M109" s="33">
        <f t="shared" si="12"/>
        <v>0.10583000000000001</v>
      </c>
      <c r="N109" s="44"/>
      <c r="O109" s="36" t="str">
        <f t="shared" si="13"/>
        <v/>
      </c>
      <c r="P109" s="216">
        <f t="shared" si="14"/>
        <v>0</v>
      </c>
      <c r="Q109" s="216">
        <f t="shared" si="15"/>
        <v>0</v>
      </c>
      <c r="R109" s="217" t="str">
        <f t="shared" si="16"/>
        <v/>
      </c>
    </row>
    <row r="110" spans="1:18" ht="26.25" hidden="1" thickBot="1" x14ac:dyDescent="0.3">
      <c r="A110" s="268"/>
      <c r="B110" s="35" t="s">
        <v>825</v>
      </c>
      <c r="C110" s="35" t="s">
        <v>583</v>
      </c>
      <c r="D110" s="36">
        <v>3.5000000000000003E-2</v>
      </c>
      <c r="E110" s="30">
        <v>26.799499999999998</v>
      </c>
      <c r="F110" s="33">
        <f t="shared" si="11"/>
        <v>0.93798250000000005</v>
      </c>
      <c r="G110" s="44"/>
      <c r="H110" s="45"/>
      <c r="I110" s="153">
        <v>0</v>
      </c>
      <c r="K110" s="215">
        <v>3.5000000000000003E-2</v>
      </c>
      <c r="L110" s="30">
        <v>26.799499999999998</v>
      </c>
      <c r="M110" s="33">
        <f t="shared" si="12"/>
        <v>0.93798250000000005</v>
      </c>
      <c r="N110" s="44"/>
      <c r="O110" s="36" t="str">
        <f t="shared" si="13"/>
        <v/>
      </c>
      <c r="P110" s="216">
        <f t="shared" si="14"/>
        <v>0</v>
      </c>
      <c r="Q110" s="216">
        <f t="shared" si="15"/>
        <v>0</v>
      </c>
      <c r="R110" s="217" t="str">
        <f t="shared" si="16"/>
        <v/>
      </c>
    </row>
    <row r="111" spans="1:18" ht="15.75" hidden="1" thickBot="1" x14ac:dyDescent="0.3">
      <c r="A111" s="268"/>
      <c r="B111" s="35" t="s">
        <v>416</v>
      </c>
      <c r="C111" s="35"/>
      <c r="D111" s="92"/>
      <c r="E111" s="30" t="s">
        <v>416</v>
      </c>
      <c r="F111" s="30" t="str">
        <f t="shared" si="11"/>
        <v/>
      </c>
      <c r="G111" s="34"/>
      <c r="H111" s="30"/>
      <c r="I111" s="153">
        <v>0</v>
      </c>
      <c r="K111" s="228"/>
      <c r="L111" s="30" t="s">
        <v>416</v>
      </c>
      <c r="M111" s="30" t="str">
        <f t="shared" si="12"/>
        <v/>
      </c>
      <c r="N111" s="34"/>
      <c r="O111" s="36" t="str">
        <f t="shared" si="13"/>
        <v/>
      </c>
      <c r="P111" s="216" t="str">
        <f t="shared" si="14"/>
        <v/>
      </c>
      <c r="Q111" s="216" t="str">
        <f t="shared" si="15"/>
        <v/>
      </c>
      <c r="R111" s="217" t="str">
        <f t="shared" si="16"/>
        <v/>
      </c>
    </row>
    <row r="112" spans="1:18" ht="15.75" hidden="1" thickBot="1" x14ac:dyDescent="0.3">
      <c r="A112" s="269" t="s">
        <v>6948</v>
      </c>
      <c r="B112" s="40" t="s">
        <v>416</v>
      </c>
      <c r="C112" s="25" t="s">
        <v>213</v>
      </c>
      <c r="D112" s="93"/>
      <c r="E112" s="41" t="s">
        <v>416</v>
      </c>
      <c r="F112" s="41" t="str">
        <f t="shared" si="11"/>
        <v/>
      </c>
      <c r="G112" s="28"/>
      <c r="H112" s="29"/>
      <c r="I112" s="153">
        <v>0</v>
      </c>
      <c r="K112" s="226"/>
      <c r="L112" s="41" t="s">
        <v>416</v>
      </c>
      <c r="M112" s="41" t="str">
        <f t="shared" si="12"/>
        <v/>
      </c>
      <c r="N112" s="28"/>
      <c r="O112" s="36" t="str">
        <f t="shared" si="13"/>
        <v/>
      </c>
      <c r="P112" s="216" t="str">
        <f t="shared" si="14"/>
        <v/>
      </c>
      <c r="Q112" s="216" t="str">
        <f t="shared" si="15"/>
        <v/>
      </c>
      <c r="R112" s="217" t="str">
        <f t="shared" si="16"/>
        <v/>
      </c>
    </row>
    <row r="113" spans="1:18" ht="15.75" hidden="1" thickBot="1" x14ac:dyDescent="0.3">
      <c r="A113" s="268"/>
      <c r="B113" s="31" t="s">
        <v>416</v>
      </c>
      <c r="C113" s="31"/>
      <c r="D113" s="91"/>
      <c r="E113" s="42" t="s">
        <v>416</v>
      </c>
      <c r="F113" s="30" t="str">
        <f t="shared" si="11"/>
        <v/>
      </c>
      <c r="G113" s="34"/>
      <c r="H113" s="30"/>
      <c r="I113" s="153">
        <v>0</v>
      </c>
      <c r="K113" s="227"/>
      <c r="L113" s="42" t="s">
        <v>416</v>
      </c>
      <c r="M113" s="30" t="str">
        <f t="shared" si="12"/>
        <v/>
      </c>
      <c r="N113" s="34"/>
      <c r="O113" s="36" t="str">
        <f t="shared" si="13"/>
        <v/>
      </c>
      <c r="P113" s="216" t="str">
        <f t="shared" si="14"/>
        <v/>
      </c>
      <c r="Q113" s="216" t="str">
        <f t="shared" si="15"/>
        <v/>
      </c>
      <c r="R113" s="217" t="str">
        <f t="shared" si="16"/>
        <v/>
      </c>
    </row>
    <row r="114" spans="1:18" ht="26.25" hidden="1" thickBot="1" x14ac:dyDescent="0.3">
      <c r="A114" s="268"/>
      <c r="B114" s="35" t="s">
        <v>8261</v>
      </c>
      <c r="C114" s="35" t="s">
        <v>213</v>
      </c>
      <c r="D114" s="36">
        <v>1</v>
      </c>
      <c r="E114" s="33">
        <v>2.4319999999999999</v>
      </c>
      <c r="F114" s="33">
        <f t="shared" si="11"/>
        <v>2.4319999999999999</v>
      </c>
      <c r="G114" s="44">
        <f>SUM(F114:F116)</f>
        <v>5.1052999999999997</v>
      </c>
      <c r="H114" s="45"/>
      <c r="I114" s="153">
        <v>0</v>
      </c>
      <c r="K114" s="215">
        <v>1</v>
      </c>
      <c r="L114" s="33">
        <v>2.4319999999999999</v>
      </c>
      <c r="M114" s="33">
        <f t="shared" si="12"/>
        <v>2.4319999999999999</v>
      </c>
      <c r="N114" s="44">
        <f>SUM(M114:M116)</f>
        <v>5.1052999999999997</v>
      </c>
      <c r="O114" s="36" t="str">
        <f t="shared" si="13"/>
        <v/>
      </c>
      <c r="P114" s="216">
        <f t="shared" si="14"/>
        <v>0</v>
      </c>
      <c r="Q114" s="216">
        <f t="shared" si="15"/>
        <v>0</v>
      </c>
      <c r="R114" s="217">
        <f t="shared" si="16"/>
        <v>0</v>
      </c>
    </row>
    <row r="115" spans="1:18" ht="15.75" hidden="1" thickBot="1" x14ac:dyDescent="0.3">
      <c r="A115" s="268"/>
      <c r="B115" s="35" t="s">
        <v>1017</v>
      </c>
      <c r="C115" s="35" t="s">
        <v>583</v>
      </c>
      <c r="D115" s="36">
        <v>0.06</v>
      </c>
      <c r="E115" s="30">
        <v>19.4085</v>
      </c>
      <c r="F115" s="33">
        <f t="shared" si="11"/>
        <v>1.1645099999999999</v>
      </c>
      <c r="G115" s="44"/>
      <c r="H115" s="45"/>
      <c r="I115" s="153">
        <v>0</v>
      </c>
      <c r="K115" s="215">
        <v>0.06</v>
      </c>
      <c r="L115" s="30">
        <v>19.4085</v>
      </c>
      <c r="M115" s="33">
        <f t="shared" si="12"/>
        <v>1.1645099999999999</v>
      </c>
      <c r="N115" s="44"/>
      <c r="O115" s="36" t="str">
        <f t="shared" si="13"/>
        <v/>
      </c>
      <c r="P115" s="216">
        <f t="shared" si="14"/>
        <v>0</v>
      </c>
      <c r="Q115" s="216">
        <f t="shared" si="15"/>
        <v>0</v>
      </c>
      <c r="R115" s="217" t="str">
        <f t="shared" si="16"/>
        <v/>
      </c>
    </row>
    <row r="116" spans="1:18" ht="15.75" hidden="1" thickBot="1" x14ac:dyDescent="0.3">
      <c r="A116" s="268"/>
      <c r="B116" s="35" t="s">
        <v>1018</v>
      </c>
      <c r="C116" s="35" t="s">
        <v>583</v>
      </c>
      <c r="D116" s="36">
        <v>0.06</v>
      </c>
      <c r="E116" s="30">
        <v>25.146499999999996</v>
      </c>
      <c r="F116" s="33">
        <f t="shared" si="11"/>
        <v>1.5087899999999996</v>
      </c>
      <c r="G116" s="44"/>
      <c r="H116" s="45"/>
      <c r="I116" s="153">
        <v>0</v>
      </c>
      <c r="K116" s="215">
        <v>0.06</v>
      </c>
      <c r="L116" s="30">
        <v>25.146499999999996</v>
      </c>
      <c r="M116" s="33">
        <f t="shared" si="12"/>
        <v>1.5087899999999996</v>
      </c>
      <c r="N116" s="44"/>
      <c r="O116" s="36" t="str">
        <f t="shared" si="13"/>
        <v/>
      </c>
      <c r="P116" s="216">
        <f t="shared" si="14"/>
        <v>0</v>
      </c>
      <c r="Q116" s="216">
        <f t="shared" si="15"/>
        <v>0</v>
      </c>
      <c r="R116" s="217" t="str">
        <f t="shared" si="16"/>
        <v/>
      </c>
    </row>
    <row r="117" spans="1:18" ht="15.75" hidden="1" thickBot="1" x14ac:dyDescent="0.3">
      <c r="A117" s="268"/>
      <c r="B117" s="35" t="s">
        <v>416</v>
      </c>
      <c r="C117" s="35"/>
      <c r="D117" s="92"/>
      <c r="E117" s="30" t="s">
        <v>416</v>
      </c>
      <c r="F117" s="30" t="str">
        <f t="shared" si="11"/>
        <v/>
      </c>
      <c r="G117" s="34"/>
      <c r="H117" s="30"/>
      <c r="I117" s="153">
        <v>0</v>
      </c>
      <c r="K117" s="228"/>
      <c r="L117" s="30" t="s">
        <v>416</v>
      </c>
      <c r="M117" s="30" t="str">
        <f t="shared" si="12"/>
        <v/>
      </c>
      <c r="N117" s="34"/>
      <c r="O117" s="36" t="str">
        <f t="shared" si="13"/>
        <v/>
      </c>
      <c r="P117" s="216" t="str">
        <f t="shared" si="14"/>
        <v/>
      </c>
      <c r="Q117" s="216" t="str">
        <f t="shared" si="15"/>
        <v/>
      </c>
      <c r="R117" s="217" t="str">
        <f t="shared" si="16"/>
        <v/>
      </c>
    </row>
    <row r="118" spans="1:18" ht="15.75" hidden="1" thickBot="1" x14ac:dyDescent="0.3">
      <c r="A118" s="269" t="s">
        <v>6949</v>
      </c>
      <c r="B118" s="40" t="s">
        <v>416</v>
      </c>
      <c r="C118" s="25" t="s">
        <v>213</v>
      </c>
      <c r="D118" s="93"/>
      <c r="E118" s="41" t="s">
        <v>416</v>
      </c>
      <c r="F118" s="41" t="str">
        <f t="shared" si="11"/>
        <v/>
      </c>
      <c r="G118" s="28"/>
      <c r="H118" s="29"/>
      <c r="I118" s="153">
        <v>0</v>
      </c>
      <c r="K118" s="226"/>
      <c r="L118" s="41" t="s">
        <v>416</v>
      </c>
      <c r="M118" s="41" t="str">
        <f t="shared" si="12"/>
        <v/>
      </c>
      <c r="N118" s="28"/>
      <c r="O118" s="36" t="str">
        <f t="shared" si="13"/>
        <v/>
      </c>
      <c r="P118" s="216" t="str">
        <f t="shared" si="14"/>
        <v/>
      </c>
      <c r="Q118" s="216" t="str">
        <f t="shared" si="15"/>
        <v/>
      </c>
      <c r="R118" s="217" t="str">
        <f t="shared" si="16"/>
        <v/>
      </c>
    </row>
    <row r="119" spans="1:18" ht="15.75" hidden="1" thickBot="1" x14ac:dyDescent="0.3">
      <c r="A119" s="268"/>
      <c r="B119" s="31" t="s">
        <v>416</v>
      </c>
      <c r="C119" s="31"/>
      <c r="D119" s="91"/>
      <c r="E119" s="42" t="s">
        <v>416</v>
      </c>
      <c r="F119" s="30" t="str">
        <f t="shared" si="11"/>
        <v/>
      </c>
      <c r="G119" s="34"/>
      <c r="H119" s="30"/>
      <c r="I119" s="153">
        <v>0</v>
      </c>
      <c r="K119" s="227"/>
      <c r="L119" s="42" t="s">
        <v>416</v>
      </c>
      <c r="M119" s="30" t="str">
        <f t="shared" si="12"/>
        <v/>
      </c>
      <c r="N119" s="34"/>
      <c r="O119" s="36" t="str">
        <f t="shared" si="13"/>
        <v/>
      </c>
      <c r="P119" s="216" t="str">
        <f t="shared" si="14"/>
        <v/>
      </c>
      <c r="Q119" s="216" t="str">
        <f t="shared" si="15"/>
        <v/>
      </c>
      <c r="R119" s="217" t="str">
        <f t="shared" si="16"/>
        <v/>
      </c>
    </row>
    <row r="120" spans="1:18" ht="26.25" hidden="1" thickBot="1" x14ac:dyDescent="0.3">
      <c r="A120" s="268"/>
      <c r="B120" s="35" t="s">
        <v>8262</v>
      </c>
      <c r="C120" s="35" t="s">
        <v>213</v>
      </c>
      <c r="D120" s="36">
        <v>1</v>
      </c>
      <c r="E120" s="33">
        <v>2.831</v>
      </c>
      <c r="F120" s="33">
        <f t="shared" si="11"/>
        <v>2.831</v>
      </c>
      <c r="G120" s="44">
        <f>SUM(F120:F122)</f>
        <v>5.5042999999999997</v>
      </c>
      <c r="H120" s="45"/>
      <c r="I120" s="153">
        <v>0</v>
      </c>
      <c r="K120" s="215">
        <v>1</v>
      </c>
      <c r="L120" s="33">
        <v>2.831</v>
      </c>
      <c r="M120" s="33">
        <f t="shared" si="12"/>
        <v>2.831</v>
      </c>
      <c r="N120" s="44">
        <f>SUM(M120:M122)</f>
        <v>5.5042999999999997</v>
      </c>
      <c r="O120" s="36" t="str">
        <f t="shared" si="13"/>
        <v/>
      </c>
      <c r="P120" s="216">
        <f t="shared" si="14"/>
        <v>0</v>
      </c>
      <c r="Q120" s="216">
        <f t="shared" si="15"/>
        <v>0</v>
      </c>
      <c r="R120" s="217">
        <f t="shared" si="16"/>
        <v>0</v>
      </c>
    </row>
    <row r="121" spans="1:18" ht="15.75" hidden="1" thickBot="1" x14ac:dyDescent="0.3">
      <c r="A121" s="268"/>
      <c r="B121" s="35" t="s">
        <v>1017</v>
      </c>
      <c r="C121" s="35" t="s">
        <v>583</v>
      </c>
      <c r="D121" s="36">
        <v>0.06</v>
      </c>
      <c r="E121" s="30">
        <v>19.4085</v>
      </c>
      <c r="F121" s="33">
        <f t="shared" si="11"/>
        <v>1.1645099999999999</v>
      </c>
      <c r="G121" s="44"/>
      <c r="H121" s="45"/>
      <c r="I121" s="153">
        <v>0</v>
      </c>
      <c r="K121" s="215">
        <v>0.06</v>
      </c>
      <c r="L121" s="30">
        <v>19.4085</v>
      </c>
      <c r="M121" s="33">
        <f t="shared" si="12"/>
        <v>1.1645099999999999</v>
      </c>
      <c r="N121" s="44"/>
      <c r="O121" s="36" t="str">
        <f t="shared" si="13"/>
        <v/>
      </c>
      <c r="P121" s="216">
        <f t="shared" si="14"/>
        <v>0</v>
      </c>
      <c r="Q121" s="216">
        <f t="shared" si="15"/>
        <v>0</v>
      </c>
      <c r="R121" s="217" t="str">
        <f t="shared" si="16"/>
        <v/>
      </c>
    </row>
    <row r="122" spans="1:18" ht="15.75" hidden="1" thickBot="1" x14ac:dyDescent="0.3">
      <c r="A122" s="268"/>
      <c r="B122" s="35" t="s">
        <v>1018</v>
      </c>
      <c r="C122" s="35" t="s">
        <v>583</v>
      </c>
      <c r="D122" s="36">
        <v>0.06</v>
      </c>
      <c r="E122" s="30">
        <v>25.146499999999996</v>
      </c>
      <c r="F122" s="33">
        <f t="shared" si="11"/>
        <v>1.5087899999999996</v>
      </c>
      <c r="G122" s="44"/>
      <c r="H122" s="45"/>
      <c r="I122" s="153">
        <v>0</v>
      </c>
      <c r="K122" s="215">
        <v>0.06</v>
      </c>
      <c r="L122" s="30">
        <v>25.146499999999996</v>
      </c>
      <c r="M122" s="33">
        <f t="shared" si="12"/>
        <v>1.5087899999999996</v>
      </c>
      <c r="N122" s="44"/>
      <c r="O122" s="36" t="str">
        <f t="shared" si="13"/>
        <v/>
      </c>
      <c r="P122" s="216">
        <f t="shared" si="14"/>
        <v>0</v>
      </c>
      <c r="Q122" s="216">
        <f t="shared" si="15"/>
        <v>0</v>
      </c>
      <c r="R122" s="217" t="str">
        <f t="shared" si="16"/>
        <v/>
      </c>
    </row>
    <row r="123" spans="1:18" ht="15.75" hidden="1" thickBot="1" x14ac:dyDescent="0.3">
      <c r="A123" s="268"/>
      <c r="B123" s="35" t="s">
        <v>416</v>
      </c>
      <c r="C123" s="35"/>
      <c r="D123" s="92"/>
      <c r="E123" s="30" t="s">
        <v>416</v>
      </c>
      <c r="F123" s="30" t="str">
        <f t="shared" si="11"/>
        <v/>
      </c>
      <c r="G123" s="34"/>
      <c r="H123" s="30"/>
      <c r="I123" s="153">
        <v>0</v>
      </c>
      <c r="K123" s="228"/>
      <c r="L123" s="30" t="s">
        <v>416</v>
      </c>
      <c r="M123" s="30" t="str">
        <f t="shared" si="12"/>
        <v/>
      </c>
      <c r="N123" s="34"/>
      <c r="O123" s="36" t="str">
        <f t="shared" si="13"/>
        <v/>
      </c>
      <c r="P123" s="216" t="str">
        <f t="shared" si="14"/>
        <v/>
      </c>
      <c r="Q123" s="216" t="str">
        <f t="shared" si="15"/>
        <v/>
      </c>
      <c r="R123" s="217" t="str">
        <f t="shared" si="16"/>
        <v/>
      </c>
    </row>
    <row r="124" spans="1:18" ht="15.75" hidden="1" thickBot="1" x14ac:dyDescent="0.3">
      <c r="A124" s="269" t="s">
        <v>6950</v>
      </c>
      <c r="B124" s="40" t="s">
        <v>416</v>
      </c>
      <c r="C124" s="25" t="s">
        <v>213</v>
      </c>
      <c r="D124" s="93"/>
      <c r="E124" s="41" t="s">
        <v>416</v>
      </c>
      <c r="F124" s="41" t="str">
        <f t="shared" si="11"/>
        <v/>
      </c>
      <c r="G124" s="28"/>
      <c r="H124" s="29"/>
      <c r="I124" s="153">
        <v>0</v>
      </c>
      <c r="K124" s="226"/>
      <c r="L124" s="41" t="s">
        <v>416</v>
      </c>
      <c r="M124" s="41" t="str">
        <f t="shared" si="12"/>
        <v/>
      </c>
      <c r="N124" s="28"/>
      <c r="O124" s="36" t="str">
        <f t="shared" si="13"/>
        <v/>
      </c>
      <c r="P124" s="216" t="str">
        <f t="shared" si="14"/>
        <v/>
      </c>
      <c r="Q124" s="216" t="str">
        <f t="shared" si="15"/>
        <v/>
      </c>
      <c r="R124" s="217" t="str">
        <f t="shared" si="16"/>
        <v/>
      </c>
    </row>
    <row r="125" spans="1:18" ht="15.75" hidden="1" thickBot="1" x14ac:dyDescent="0.3">
      <c r="A125" s="268"/>
      <c r="B125" s="31" t="s">
        <v>416</v>
      </c>
      <c r="C125" s="31"/>
      <c r="D125" s="91"/>
      <c r="E125" s="42" t="s">
        <v>416</v>
      </c>
      <c r="F125" s="30" t="str">
        <f t="shared" si="11"/>
        <v/>
      </c>
      <c r="G125" s="34"/>
      <c r="H125" s="30"/>
      <c r="I125" s="153">
        <v>0</v>
      </c>
      <c r="K125" s="227"/>
      <c r="L125" s="42" t="s">
        <v>416</v>
      </c>
      <c r="M125" s="30" t="str">
        <f t="shared" si="12"/>
        <v/>
      </c>
      <c r="N125" s="34"/>
      <c r="O125" s="36" t="str">
        <f t="shared" si="13"/>
        <v/>
      </c>
      <c r="P125" s="216" t="str">
        <f t="shared" si="14"/>
        <v/>
      </c>
      <c r="Q125" s="216" t="str">
        <f t="shared" si="15"/>
        <v/>
      </c>
      <c r="R125" s="217" t="str">
        <f t="shared" si="16"/>
        <v/>
      </c>
    </row>
    <row r="126" spans="1:18" ht="26.25" hidden="1" thickBot="1" x14ac:dyDescent="0.3">
      <c r="A126" s="268"/>
      <c r="B126" s="35" t="s">
        <v>8263</v>
      </c>
      <c r="C126" s="35" t="s">
        <v>213</v>
      </c>
      <c r="D126" s="36">
        <v>1</v>
      </c>
      <c r="E126" s="33">
        <v>5.016</v>
      </c>
      <c r="F126" s="33">
        <f t="shared" si="11"/>
        <v>5.016</v>
      </c>
      <c r="G126" s="44">
        <f>SUM(F126:F128)</f>
        <v>9.0259499999999999</v>
      </c>
      <c r="H126" s="45"/>
      <c r="I126" s="153">
        <v>0</v>
      </c>
      <c r="K126" s="215">
        <v>1</v>
      </c>
      <c r="L126" s="33">
        <v>5.016</v>
      </c>
      <c r="M126" s="33">
        <f t="shared" si="12"/>
        <v>5.016</v>
      </c>
      <c r="N126" s="44">
        <f>SUM(M126:M128)</f>
        <v>9.0259499999999999</v>
      </c>
      <c r="O126" s="36" t="str">
        <f t="shared" si="13"/>
        <v/>
      </c>
      <c r="P126" s="216">
        <f t="shared" si="14"/>
        <v>0</v>
      </c>
      <c r="Q126" s="216">
        <f t="shared" si="15"/>
        <v>0</v>
      </c>
      <c r="R126" s="217">
        <f t="shared" si="16"/>
        <v>0</v>
      </c>
    </row>
    <row r="127" spans="1:18" ht="15.75" hidden="1" thickBot="1" x14ac:dyDescent="0.3">
      <c r="A127" s="268"/>
      <c r="B127" s="35" t="s">
        <v>1017</v>
      </c>
      <c r="C127" s="35" t="s">
        <v>583</v>
      </c>
      <c r="D127" s="36">
        <v>0.09</v>
      </c>
      <c r="E127" s="30">
        <v>19.4085</v>
      </c>
      <c r="F127" s="33">
        <f t="shared" si="11"/>
        <v>1.7467649999999999</v>
      </c>
      <c r="G127" s="44"/>
      <c r="H127" s="45"/>
      <c r="I127" s="153">
        <v>0</v>
      </c>
      <c r="K127" s="215">
        <v>0.09</v>
      </c>
      <c r="L127" s="30">
        <v>19.4085</v>
      </c>
      <c r="M127" s="33">
        <f t="shared" si="12"/>
        <v>1.7467649999999999</v>
      </c>
      <c r="N127" s="44"/>
      <c r="O127" s="36" t="str">
        <f t="shared" si="13"/>
        <v/>
      </c>
      <c r="P127" s="216">
        <f t="shared" si="14"/>
        <v>0</v>
      </c>
      <c r="Q127" s="216">
        <f t="shared" si="15"/>
        <v>0</v>
      </c>
      <c r="R127" s="217" t="str">
        <f t="shared" si="16"/>
        <v/>
      </c>
    </row>
    <row r="128" spans="1:18" ht="15.75" hidden="1" thickBot="1" x14ac:dyDescent="0.3">
      <c r="A128" s="268"/>
      <c r="B128" s="35" t="s">
        <v>1018</v>
      </c>
      <c r="C128" s="35" t="s">
        <v>583</v>
      </c>
      <c r="D128" s="36">
        <v>0.09</v>
      </c>
      <c r="E128" s="30">
        <v>25.146499999999996</v>
      </c>
      <c r="F128" s="33">
        <f t="shared" si="11"/>
        <v>2.2631849999999996</v>
      </c>
      <c r="G128" s="44"/>
      <c r="H128" s="45"/>
      <c r="I128" s="153">
        <v>0</v>
      </c>
      <c r="K128" s="215">
        <v>0.09</v>
      </c>
      <c r="L128" s="30">
        <v>25.146499999999996</v>
      </c>
      <c r="M128" s="33">
        <f t="shared" si="12"/>
        <v>2.2631849999999996</v>
      </c>
      <c r="N128" s="44"/>
      <c r="O128" s="36" t="str">
        <f t="shared" si="13"/>
        <v/>
      </c>
      <c r="P128" s="216">
        <f t="shared" si="14"/>
        <v>0</v>
      </c>
      <c r="Q128" s="216">
        <f t="shared" si="15"/>
        <v>0</v>
      </c>
      <c r="R128" s="217" t="str">
        <f t="shared" si="16"/>
        <v/>
      </c>
    </row>
    <row r="129" spans="1:18" ht="15.75" hidden="1" thickBot="1" x14ac:dyDescent="0.3">
      <c r="A129" s="268"/>
      <c r="B129" s="35" t="s">
        <v>416</v>
      </c>
      <c r="C129" s="35"/>
      <c r="D129" s="92"/>
      <c r="E129" s="30" t="s">
        <v>416</v>
      </c>
      <c r="F129" s="30" t="str">
        <f t="shared" si="11"/>
        <v/>
      </c>
      <c r="G129" s="34"/>
      <c r="H129" s="30"/>
      <c r="I129" s="153">
        <v>0</v>
      </c>
      <c r="K129" s="228"/>
      <c r="L129" s="30" t="s">
        <v>416</v>
      </c>
      <c r="M129" s="30" t="str">
        <f t="shared" si="12"/>
        <v/>
      </c>
      <c r="N129" s="34"/>
      <c r="O129" s="36" t="str">
        <f t="shared" si="13"/>
        <v/>
      </c>
      <c r="P129" s="216" t="str">
        <f t="shared" si="14"/>
        <v/>
      </c>
      <c r="Q129" s="216" t="str">
        <f t="shared" si="15"/>
        <v/>
      </c>
      <c r="R129" s="217" t="str">
        <f t="shared" si="16"/>
        <v/>
      </c>
    </row>
    <row r="130" spans="1:18" ht="15.75" hidden="1" thickBot="1" x14ac:dyDescent="0.3">
      <c r="A130" s="269" t="s">
        <v>6951</v>
      </c>
      <c r="B130" s="40" t="s">
        <v>416</v>
      </c>
      <c r="C130" s="25" t="s">
        <v>213</v>
      </c>
      <c r="D130" s="93"/>
      <c r="E130" s="41" t="s">
        <v>416</v>
      </c>
      <c r="F130" s="41" t="str">
        <f t="shared" si="11"/>
        <v/>
      </c>
      <c r="G130" s="28"/>
      <c r="H130" s="29"/>
      <c r="I130" s="153">
        <v>0</v>
      </c>
      <c r="K130" s="226"/>
      <c r="L130" s="41" t="s">
        <v>416</v>
      </c>
      <c r="M130" s="41" t="str">
        <f t="shared" si="12"/>
        <v/>
      </c>
      <c r="N130" s="28"/>
      <c r="O130" s="36" t="str">
        <f t="shared" si="13"/>
        <v/>
      </c>
      <c r="P130" s="216" t="str">
        <f t="shared" si="14"/>
        <v/>
      </c>
      <c r="Q130" s="216" t="str">
        <f t="shared" si="15"/>
        <v/>
      </c>
      <c r="R130" s="217" t="str">
        <f t="shared" si="16"/>
        <v/>
      </c>
    </row>
    <row r="131" spans="1:18" ht="15.75" hidden="1" thickBot="1" x14ac:dyDescent="0.3">
      <c r="A131" s="268"/>
      <c r="B131" s="31" t="s">
        <v>416</v>
      </c>
      <c r="C131" s="31"/>
      <c r="D131" s="91"/>
      <c r="E131" s="42" t="s">
        <v>416</v>
      </c>
      <c r="F131" s="30" t="str">
        <f t="shared" si="11"/>
        <v/>
      </c>
      <c r="G131" s="34"/>
      <c r="H131" s="30"/>
      <c r="I131" s="153">
        <v>0</v>
      </c>
      <c r="K131" s="227"/>
      <c r="L131" s="42" t="s">
        <v>416</v>
      </c>
      <c r="M131" s="30" t="str">
        <f t="shared" si="12"/>
        <v/>
      </c>
      <c r="N131" s="34"/>
      <c r="O131" s="36" t="str">
        <f t="shared" si="13"/>
        <v/>
      </c>
      <c r="P131" s="216" t="str">
        <f t="shared" si="14"/>
        <v/>
      </c>
      <c r="Q131" s="216" t="str">
        <f t="shared" si="15"/>
        <v/>
      </c>
      <c r="R131" s="217" t="str">
        <f t="shared" si="16"/>
        <v/>
      </c>
    </row>
    <row r="132" spans="1:18" ht="26.25" hidden="1" thickBot="1" x14ac:dyDescent="0.3">
      <c r="A132" s="268"/>
      <c r="B132" s="35" t="s">
        <v>8264</v>
      </c>
      <c r="C132" s="35" t="s">
        <v>213</v>
      </c>
      <c r="D132" s="36">
        <v>1</v>
      </c>
      <c r="E132" s="33">
        <v>7.2579999999999991</v>
      </c>
      <c r="F132" s="33">
        <f t="shared" si="11"/>
        <v>7.2579999999999991</v>
      </c>
      <c r="G132" s="44">
        <f>SUM(F132:F134)</f>
        <v>11.267949999999999</v>
      </c>
      <c r="H132" s="45"/>
      <c r="I132" s="153">
        <v>0</v>
      </c>
      <c r="K132" s="215">
        <v>1</v>
      </c>
      <c r="L132" s="33">
        <v>7.2579999999999991</v>
      </c>
      <c r="M132" s="33">
        <f t="shared" si="12"/>
        <v>7.2579999999999991</v>
      </c>
      <c r="N132" s="44">
        <f>SUM(M132:M134)</f>
        <v>11.267949999999999</v>
      </c>
      <c r="O132" s="36" t="str">
        <f t="shared" si="13"/>
        <v/>
      </c>
      <c r="P132" s="216">
        <f t="shared" si="14"/>
        <v>0</v>
      </c>
      <c r="Q132" s="216">
        <f t="shared" si="15"/>
        <v>0</v>
      </c>
      <c r="R132" s="217">
        <f t="shared" si="16"/>
        <v>0</v>
      </c>
    </row>
    <row r="133" spans="1:18" ht="15.75" hidden="1" thickBot="1" x14ac:dyDescent="0.3">
      <c r="A133" s="268"/>
      <c r="B133" s="35" t="s">
        <v>1017</v>
      </c>
      <c r="C133" s="35" t="s">
        <v>583</v>
      </c>
      <c r="D133" s="36">
        <v>0.09</v>
      </c>
      <c r="E133" s="30">
        <v>19.4085</v>
      </c>
      <c r="F133" s="33">
        <f t="shared" si="11"/>
        <v>1.7467649999999999</v>
      </c>
      <c r="G133" s="44"/>
      <c r="H133" s="45"/>
      <c r="I133" s="153">
        <v>0</v>
      </c>
      <c r="K133" s="215">
        <v>0.09</v>
      </c>
      <c r="L133" s="30">
        <v>19.4085</v>
      </c>
      <c r="M133" s="33">
        <f t="shared" si="12"/>
        <v>1.7467649999999999</v>
      </c>
      <c r="N133" s="44"/>
      <c r="O133" s="36" t="str">
        <f t="shared" si="13"/>
        <v/>
      </c>
      <c r="P133" s="216">
        <f t="shared" si="14"/>
        <v>0</v>
      </c>
      <c r="Q133" s="216">
        <f t="shared" si="15"/>
        <v>0</v>
      </c>
      <c r="R133" s="217" t="str">
        <f t="shared" si="16"/>
        <v/>
      </c>
    </row>
    <row r="134" spans="1:18" ht="15.75" hidden="1" thickBot="1" x14ac:dyDescent="0.3">
      <c r="A134" s="268"/>
      <c r="B134" s="35" t="s">
        <v>1018</v>
      </c>
      <c r="C134" s="35" t="s">
        <v>583</v>
      </c>
      <c r="D134" s="36">
        <v>0.09</v>
      </c>
      <c r="E134" s="30">
        <v>25.146499999999996</v>
      </c>
      <c r="F134" s="33">
        <f t="shared" ref="F134:F197" si="17">IF(ISNUMBER(E134),E134*$D134,"")</f>
        <v>2.2631849999999996</v>
      </c>
      <c r="G134" s="44"/>
      <c r="H134" s="45"/>
      <c r="I134" s="153">
        <v>0</v>
      </c>
      <c r="K134" s="215">
        <v>0.09</v>
      </c>
      <c r="L134" s="30">
        <v>25.146499999999996</v>
      </c>
      <c r="M134" s="33">
        <f t="shared" si="12"/>
        <v>2.2631849999999996</v>
      </c>
      <c r="N134" s="44"/>
      <c r="O134" s="36" t="str">
        <f t="shared" si="13"/>
        <v/>
      </c>
      <c r="P134" s="216">
        <f t="shared" si="14"/>
        <v>0</v>
      </c>
      <c r="Q134" s="216">
        <f t="shared" si="15"/>
        <v>0</v>
      </c>
      <c r="R134" s="217" t="str">
        <f t="shared" si="16"/>
        <v/>
      </c>
    </row>
    <row r="135" spans="1:18" ht="15.75" hidden="1" thickBot="1" x14ac:dyDescent="0.3">
      <c r="A135" s="268"/>
      <c r="B135" s="35" t="s">
        <v>416</v>
      </c>
      <c r="C135" s="35"/>
      <c r="D135" s="92"/>
      <c r="E135" s="30" t="s">
        <v>416</v>
      </c>
      <c r="F135" s="30" t="str">
        <f t="shared" si="17"/>
        <v/>
      </c>
      <c r="G135" s="34"/>
      <c r="H135" s="30"/>
      <c r="I135" s="153">
        <v>0</v>
      </c>
      <c r="K135" s="228"/>
      <c r="L135" s="30" t="s">
        <v>416</v>
      </c>
      <c r="M135" s="30" t="str">
        <f t="shared" si="12"/>
        <v/>
      </c>
      <c r="N135" s="34"/>
      <c r="O135" s="36" t="str">
        <f t="shared" si="13"/>
        <v/>
      </c>
      <c r="P135" s="216" t="str">
        <f t="shared" si="14"/>
        <v/>
      </c>
      <c r="Q135" s="216" t="str">
        <f t="shared" si="15"/>
        <v/>
      </c>
      <c r="R135" s="217" t="str">
        <f t="shared" si="16"/>
        <v/>
      </c>
    </row>
    <row r="136" spans="1:18" ht="15.75" hidden="1" thickBot="1" x14ac:dyDescent="0.3">
      <c r="A136" s="269" t="s">
        <v>2891</v>
      </c>
      <c r="B136" s="40" t="s">
        <v>416</v>
      </c>
      <c r="C136" s="25" t="s">
        <v>385</v>
      </c>
      <c r="D136" s="93"/>
      <c r="E136" s="41" t="s">
        <v>416</v>
      </c>
      <c r="F136" s="41" t="str">
        <f t="shared" si="17"/>
        <v/>
      </c>
      <c r="G136" s="28"/>
      <c r="H136" s="29"/>
      <c r="I136" s="153">
        <v>0</v>
      </c>
      <c r="K136" s="226"/>
      <c r="L136" s="41" t="s">
        <v>416</v>
      </c>
      <c r="M136" s="41" t="str">
        <f t="shared" ref="M136:M199" si="18">IF(ISNUMBER(L136),K136*L136,"")</f>
        <v/>
      </c>
      <c r="N136" s="28"/>
      <c r="O136" s="36" t="str">
        <f t="shared" ref="O136:O199" si="19">IF(ISBLANK(K136),"",IF($D136&lt;&gt;K136,"SIM",""))</f>
        <v/>
      </c>
      <c r="P136" s="216" t="str">
        <f t="shared" ref="P136:P199" si="20">IF(L136="","",1-L136/$E136)</f>
        <v/>
      </c>
      <c r="Q136" s="216" t="str">
        <f t="shared" ref="Q136:Q199" si="21">IF(M136="","",1-M136/$F136)</f>
        <v/>
      </c>
      <c r="R136" s="217" t="str">
        <f t="shared" ref="R136:R199" si="22">IF(G136="","",1-N136/$G136)</f>
        <v/>
      </c>
    </row>
    <row r="137" spans="1:18" ht="15.75" hidden="1" thickBot="1" x14ac:dyDescent="0.3">
      <c r="A137" s="268"/>
      <c r="B137" s="31" t="s">
        <v>416</v>
      </c>
      <c r="C137" s="31"/>
      <c r="D137" s="91"/>
      <c r="E137" s="97" t="s">
        <v>416</v>
      </c>
      <c r="F137" s="98" t="str">
        <f t="shared" si="17"/>
        <v/>
      </c>
      <c r="G137" s="34"/>
      <c r="H137" s="30"/>
      <c r="I137" s="153">
        <v>0</v>
      </c>
      <c r="K137" s="227"/>
      <c r="L137" s="97" t="s">
        <v>416</v>
      </c>
      <c r="M137" s="98" t="str">
        <f t="shared" si="18"/>
        <v/>
      </c>
      <c r="N137" s="34"/>
      <c r="O137" s="36" t="str">
        <f t="shared" si="19"/>
        <v/>
      </c>
      <c r="P137" s="216" t="str">
        <f t="shared" si="20"/>
        <v/>
      </c>
      <c r="Q137" s="216" t="str">
        <f t="shared" si="21"/>
        <v/>
      </c>
      <c r="R137" s="217" t="str">
        <f t="shared" si="22"/>
        <v/>
      </c>
    </row>
    <row r="138" spans="1:18" ht="26.25" hidden="1" thickBot="1" x14ac:dyDescent="0.3">
      <c r="A138" s="268"/>
      <c r="B138" s="35" t="s">
        <v>7953</v>
      </c>
      <c r="C138" s="35" t="s">
        <v>213</v>
      </c>
      <c r="D138" s="36">
        <v>0.33300000000000002</v>
      </c>
      <c r="E138" s="33">
        <v>2.9734999999999996</v>
      </c>
      <c r="F138" s="33">
        <f t="shared" si="17"/>
        <v>0.99017549999999988</v>
      </c>
      <c r="G138" s="44">
        <f>SUM(F138:F140)</f>
        <v>2.9762360000000001</v>
      </c>
      <c r="H138" s="45"/>
      <c r="I138" s="153">
        <v>0</v>
      </c>
      <c r="K138" s="215">
        <v>0.33300000000000002</v>
      </c>
      <c r="L138" s="33">
        <v>2.9734999999999996</v>
      </c>
      <c r="M138" s="33">
        <f t="shared" si="18"/>
        <v>0.99017549999999988</v>
      </c>
      <c r="N138" s="44">
        <f>SUM(M138:M140)</f>
        <v>2.9762360000000001</v>
      </c>
      <c r="O138" s="36" t="str">
        <f t="shared" si="19"/>
        <v/>
      </c>
      <c r="P138" s="216">
        <f t="shared" si="20"/>
        <v>0</v>
      </c>
      <c r="Q138" s="216">
        <f t="shared" si="21"/>
        <v>0</v>
      </c>
      <c r="R138" s="217">
        <f t="shared" si="22"/>
        <v>0</v>
      </c>
    </row>
    <row r="139" spans="1:18" ht="26.25" hidden="1" thickBot="1" x14ac:dyDescent="0.3">
      <c r="A139" s="268"/>
      <c r="B139" s="35" t="s">
        <v>824</v>
      </c>
      <c r="C139" s="35" t="s">
        <v>583</v>
      </c>
      <c r="D139" s="36">
        <v>8.9999999999999993E-3</v>
      </c>
      <c r="E139" s="30">
        <v>21.166</v>
      </c>
      <c r="F139" s="33">
        <f t="shared" si="17"/>
        <v>0.190494</v>
      </c>
      <c r="G139" s="44"/>
      <c r="H139" s="45"/>
      <c r="I139" s="153">
        <v>0</v>
      </c>
      <c r="K139" s="215">
        <v>8.9999999999999993E-3</v>
      </c>
      <c r="L139" s="30">
        <v>21.166</v>
      </c>
      <c r="M139" s="33">
        <f t="shared" si="18"/>
        <v>0.190494</v>
      </c>
      <c r="N139" s="44"/>
      <c r="O139" s="36" t="str">
        <f t="shared" si="19"/>
        <v/>
      </c>
      <c r="P139" s="216">
        <f t="shared" si="20"/>
        <v>0</v>
      </c>
      <c r="Q139" s="216">
        <f t="shared" si="21"/>
        <v>0</v>
      </c>
      <c r="R139" s="217" t="str">
        <f t="shared" si="22"/>
        <v/>
      </c>
    </row>
    <row r="140" spans="1:18" ht="26.25" hidden="1" thickBot="1" x14ac:dyDescent="0.3">
      <c r="A140" s="268"/>
      <c r="B140" s="35" t="s">
        <v>825</v>
      </c>
      <c r="C140" s="35" t="s">
        <v>583</v>
      </c>
      <c r="D140" s="36">
        <v>6.7000000000000004E-2</v>
      </c>
      <c r="E140" s="30">
        <v>26.799499999999998</v>
      </c>
      <c r="F140" s="33">
        <f t="shared" si="17"/>
        <v>1.7955665000000001</v>
      </c>
      <c r="G140" s="44"/>
      <c r="H140" s="45"/>
      <c r="I140" s="153">
        <v>0</v>
      </c>
      <c r="K140" s="215">
        <v>6.7000000000000004E-2</v>
      </c>
      <c r="L140" s="30">
        <v>26.799499999999998</v>
      </c>
      <c r="M140" s="33">
        <f t="shared" si="18"/>
        <v>1.7955665000000001</v>
      </c>
      <c r="N140" s="44"/>
      <c r="O140" s="36" t="str">
        <f t="shared" si="19"/>
        <v/>
      </c>
      <c r="P140" s="216">
        <f t="shared" si="20"/>
        <v>0</v>
      </c>
      <c r="Q140" s="216">
        <f t="shared" si="21"/>
        <v>0</v>
      </c>
      <c r="R140" s="217" t="str">
        <f t="shared" si="22"/>
        <v/>
      </c>
    </row>
    <row r="141" spans="1:18" ht="15.75" hidden="1" thickBot="1" x14ac:dyDescent="0.3">
      <c r="A141" s="268"/>
      <c r="B141" s="35" t="s">
        <v>416</v>
      </c>
      <c r="C141" s="35"/>
      <c r="D141" s="92"/>
      <c r="E141" s="30" t="s">
        <v>416</v>
      </c>
      <c r="F141" s="30" t="str">
        <f t="shared" si="17"/>
        <v/>
      </c>
      <c r="G141" s="34"/>
      <c r="H141" s="30"/>
      <c r="I141" s="153">
        <v>0</v>
      </c>
      <c r="K141" s="228"/>
      <c r="L141" s="30" t="s">
        <v>416</v>
      </c>
      <c r="M141" s="30" t="str">
        <f t="shared" si="18"/>
        <v/>
      </c>
      <c r="N141" s="34"/>
      <c r="O141" s="36" t="str">
        <f t="shared" si="19"/>
        <v/>
      </c>
      <c r="P141" s="216" t="str">
        <f t="shared" si="20"/>
        <v/>
      </c>
      <c r="Q141" s="216" t="str">
        <f t="shared" si="21"/>
        <v/>
      </c>
      <c r="R141" s="217" t="str">
        <f t="shared" si="22"/>
        <v/>
      </c>
    </row>
    <row r="142" spans="1:18" ht="15.75" hidden="1" thickBot="1" x14ac:dyDescent="0.3">
      <c r="A142" s="269" t="s">
        <v>113</v>
      </c>
      <c r="B142" s="40" t="s">
        <v>416</v>
      </c>
      <c r="C142" s="25" t="s">
        <v>87</v>
      </c>
      <c r="D142" s="93"/>
      <c r="E142" s="41" t="s">
        <v>416</v>
      </c>
      <c r="F142" s="41" t="str">
        <f t="shared" si="17"/>
        <v/>
      </c>
      <c r="G142" s="28"/>
      <c r="H142" s="29"/>
      <c r="I142" s="153">
        <v>0</v>
      </c>
      <c r="K142" s="226"/>
      <c r="L142" s="41" t="s">
        <v>416</v>
      </c>
      <c r="M142" s="41" t="str">
        <f t="shared" si="18"/>
        <v/>
      </c>
      <c r="N142" s="28"/>
      <c r="O142" s="36" t="str">
        <f t="shared" si="19"/>
        <v/>
      </c>
      <c r="P142" s="216" t="str">
        <f t="shared" si="20"/>
        <v/>
      </c>
      <c r="Q142" s="216" t="str">
        <f t="shared" si="21"/>
        <v/>
      </c>
      <c r="R142" s="217" t="str">
        <f t="shared" si="22"/>
        <v/>
      </c>
    </row>
    <row r="143" spans="1:18" ht="15.75" hidden="1" thickBot="1" x14ac:dyDescent="0.3">
      <c r="A143" s="268"/>
      <c r="B143" s="31" t="s">
        <v>416</v>
      </c>
      <c r="C143" s="31"/>
      <c r="D143" s="91"/>
      <c r="E143" s="42" t="s">
        <v>416</v>
      </c>
      <c r="F143" s="30" t="str">
        <f t="shared" si="17"/>
        <v/>
      </c>
      <c r="G143" s="34"/>
      <c r="H143" s="30"/>
      <c r="I143" s="153">
        <v>0</v>
      </c>
      <c r="K143" s="227"/>
      <c r="L143" s="42" t="s">
        <v>416</v>
      </c>
      <c r="M143" s="30" t="str">
        <f t="shared" si="18"/>
        <v/>
      </c>
      <c r="N143" s="34"/>
      <c r="O143" s="36" t="str">
        <f t="shared" si="19"/>
        <v/>
      </c>
      <c r="P143" s="216" t="str">
        <f t="shared" si="20"/>
        <v/>
      </c>
      <c r="Q143" s="216" t="str">
        <f t="shared" si="21"/>
        <v/>
      </c>
      <c r="R143" s="217" t="str">
        <f t="shared" si="22"/>
        <v/>
      </c>
    </row>
    <row r="144" spans="1:18" ht="26.25" hidden="1" thickBot="1" x14ac:dyDescent="0.3">
      <c r="A144" s="268"/>
      <c r="B144" s="35" t="s">
        <v>7985</v>
      </c>
      <c r="C144" s="35" t="s">
        <v>87</v>
      </c>
      <c r="D144" s="36">
        <v>1.18</v>
      </c>
      <c r="E144" s="33">
        <v>202.33099999999999</v>
      </c>
      <c r="F144" s="33">
        <f t="shared" si="17"/>
        <v>238.75057999999999</v>
      </c>
      <c r="G144" s="44">
        <f>SUM(F144:F152)</f>
        <v>712.91486064899982</v>
      </c>
      <c r="H144" s="45"/>
      <c r="I144" s="153">
        <v>0</v>
      </c>
      <c r="K144" s="215">
        <v>1.18</v>
      </c>
      <c r="L144" s="33">
        <v>202.33099999999999</v>
      </c>
      <c r="M144" s="33">
        <f t="shared" si="18"/>
        <v>238.75057999999999</v>
      </c>
      <c r="N144" s="44">
        <f>SUM(M144:M152)</f>
        <v>712.91486064899982</v>
      </c>
      <c r="O144" s="36" t="str">
        <f t="shared" si="19"/>
        <v/>
      </c>
      <c r="P144" s="216">
        <f t="shared" si="20"/>
        <v>0</v>
      </c>
      <c r="Q144" s="216">
        <f t="shared" si="21"/>
        <v>0</v>
      </c>
      <c r="R144" s="217">
        <f t="shared" si="22"/>
        <v>0</v>
      </c>
    </row>
    <row r="145" spans="1:18" ht="15.75" hidden="1" thickBot="1" x14ac:dyDescent="0.3">
      <c r="A145" s="268"/>
      <c r="B145" s="35" t="s">
        <v>8040</v>
      </c>
      <c r="C145" s="35" t="s">
        <v>773</v>
      </c>
      <c r="D145" s="36">
        <v>157.44</v>
      </c>
      <c r="E145" s="33">
        <v>1.216</v>
      </c>
      <c r="F145" s="33">
        <f t="shared" si="17"/>
        <v>191.44703999999999</v>
      </c>
      <c r="G145" s="44"/>
      <c r="H145" s="45"/>
      <c r="I145" s="153">
        <v>0</v>
      </c>
      <c r="K145" s="215">
        <v>157.44</v>
      </c>
      <c r="L145" s="33">
        <v>1.216</v>
      </c>
      <c r="M145" s="33">
        <f t="shared" si="18"/>
        <v>191.44703999999999</v>
      </c>
      <c r="N145" s="44"/>
      <c r="O145" s="36" t="str">
        <f t="shared" si="19"/>
        <v/>
      </c>
      <c r="P145" s="216">
        <f t="shared" si="20"/>
        <v>0</v>
      </c>
      <c r="Q145" s="216">
        <f t="shared" si="21"/>
        <v>0</v>
      </c>
      <c r="R145" s="217" t="str">
        <f t="shared" si="22"/>
        <v/>
      </c>
    </row>
    <row r="146" spans="1:18" ht="15.75" hidden="1" thickBot="1" x14ac:dyDescent="0.3">
      <c r="A146" s="268"/>
      <c r="B146" s="35" t="s">
        <v>8065</v>
      </c>
      <c r="C146" s="35" t="s">
        <v>773</v>
      </c>
      <c r="D146" s="36">
        <v>177.12</v>
      </c>
      <c r="E146" s="33">
        <v>0.627</v>
      </c>
      <c r="F146" s="33">
        <f t="shared" si="17"/>
        <v>111.05424000000001</v>
      </c>
      <c r="G146" s="44"/>
      <c r="H146" s="45"/>
      <c r="I146" s="153">
        <v>0</v>
      </c>
      <c r="K146" s="215">
        <v>177.12</v>
      </c>
      <c r="L146" s="33">
        <v>0.627</v>
      </c>
      <c r="M146" s="33">
        <f t="shared" si="18"/>
        <v>111.05424000000001</v>
      </c>
      <c r="N146" s="44"/>
      <c r="O146" s="36" t="str">
        <f t="shared" si="19"/>
        <v/>
      </c>
      <c r="P146" s="216">
        <f t="shared" si="20"/>
        <v>0</v>
      </c>
      <c r="Q146" s="216">
        <f t="shared" si="21"/>
        <v>0</v>
      </c>
      <c r="R146" s="217" t="str">
        <f t="shared" si="22"/>
        <v/>
      </c>
    </row>
    <row r="147" spans="1:18" ht="15.75" hidden="1" thickBot="1" x14ac:dyDescent="0.3">
      <c r="A147" s="268"/>
      <c r="B147" s="35" t="s">
        <v>584</v>
      </c>
      <c r="C147" s="35" t="s">
        <v>583</v>
      </c>
      <c r="D147" s="36">
        <v>0.79</v>
      </c>
      <c r="E147" s="30">
        <v>20.225499999999997</v>
      </c>
      <c r="F147" s="33">
        <f t="shared" si="17"/>
        <v>15.978144999999998</v>
      </c>
      <c r="G147" s="44"/>
      <c r="H147" s="45"/>
      <c r="I147" s="153">
        <v>0</v>
      </c>
      <c r="K147" s="215">
        <v>0.79</v>
      </c>
      <c r="L147" s="30">
        <v>20.225499999999997</v>
      </c>
      <c r="M147" s="33">
        <f t="shared" si="18"/>
        <v>15.978144999999998</v>
      </c>
      <c r="N147" s="44"/>
      <c r="O147" s="36" t="str">
        <f t="shared" si="19"/>
        <v/>
      </c>
      <c r="P147" s="216">
        <f t="shared" si="20"/>
        <v>0</v>
      </c>
      <c r="Q147" s="216">
        <f t="shared" si="21"/>
        <v>0</v>
      </c>
      <c r="R147" s="217" t="str">
        <f t="shared" si="22"/>
        <v/>
      </c>
    </row>
    <row r="148" spans="1:18" ht="26.25" hidden="1" thickBot="1" x14ac:dyDescent="0.3">
      <c r="A148" s="268"/>
      <c r="B148" s="35" t="s">
        <v>1271</v>
      </c>
      <c r="C148" s="35" t="s">
        <v>583</v>
      </c>
      <c r="D148" s="36">
        <v>3.65</v>
      </c>
      <c r="E148" s="30">
        <v>20.291999999999998</v>
      </c>
      <c r="F148" s="33">
        <f t="shared" si="17"/>
        <v>74.065799999999996</v>
      </c>
      <c r="G148" s="44"/>
      <c r="H148" s="45"/>
      <c r="I148" s="153">
        <v>0</v>
      </c>
      <c r="K148" s="215">
        <v>3.65</v>
      </c>
      <c r="L148" s="30">
        <v>20.291999999999998</v>
      </c>
      <c r="M148" s="33">
        <f t="shared" si="18"/>
        <v>74.065799999999996</v>
      </c>
      <c r="N148" s="44"/>
      <c r="O148" s="36" t="str">
        <f t="shared" si="19"/>
        <v/>
      </c>
      <c r="P148" s="216">
        <f t="shared" si="20"/>
        <v>0</v>
      </c>
      <c r="Q148" s="216">
        <f t="shared" si="21"/>
        <v>0</v>
      </c>
      <c r="R148" s="217" t="str">
        <f t="shared" si="22"/>
        <v/>
      </c>
    </row>
    <row r="149" spans="1:18" ht="39" hidden="1" thickBot="1" x14ac:dyDescent="0.3">
      <c r="A149" s="268"/>
      <c r="B149" s="35" t="s">
        <v>1218</v>
      </c>
      <c r="C149" s="35" t="s">
        <v>813</v>
      </c>
      <c r="D149" s="36">
        <v>0.85</v>
      </c>
      <c r="E149" s="30">
        <v>5.1395</v>
      </c>
      <c r="F149" s="33">
        <f t="shared" si="17"/>
        <v>4.3685749999999999</v>
      </c>
      <c r="G149" s="44"/>
      <c r="H149" s="45"/>
      <c r="I149" s="153">
        <v>0</v>
      </c>
      <c r="K149" s="215">
        <v>0.85</v>
      </c>
      <c r="L149" s="30">
        <v>5.1395</v>
      </c>
      <c r="M149" s="33">
        <f t="shared" si="18"/>
        <v>4.3685749999999999</v>
      </c>
      <c r="N149" s="44"/>
      <c r="O149" s="36" t="str">
        <f t="shared" si="19"/>
        <v/>
      </c>
      <c r="P149" s="216">
        <f t="shared" si="20"/>
        <v>0</v>
      </c>
      <c r="Q149" s="216">
        <f t="shared" si="21"/>
        <v>0</v>
      </c>
      <c r="R149" s="217" t="str">
        <f t="shared" si="22"/>
        <v/>
      </c>
    </row>
    <row r="150" spans="1:18" ht="39" hidden="1" thickBot="1" x14ac:dyDescent="0.3">
      <c r="A150" s="268"/>
      <c r="B150" s="35" t="s">
        <v>1272</v>
      </c>
      <c r="C150" s="35" t="s">
        <v>815</v>
      </c>
      <c r="D150" s="36">
        <v>2.8</v>
      </c>
      <c r="E150" s="30">
        <v>1.7954999999999999</v>
      </c>
      <c r="F150" s="33">
        <f t="shared" si="17"/>
        <v>5.0273999999999992</v>
      </c>
      <c r="G150" s="44"/>
      <c r="H150" s="45"/>
      <c r="I150" s="153">
        <v>0</v>
      </c>
      <c r="K150" s="215">
        <v>2.8</v>
      </c>
      <c r="L150" s="30">
        <v>1.7954999999999999</v>
      </c>
      <c r="M150" s="33">
        <f t="shared" si="18"/>
        <v>5.0273999999999992</v>
      </c>
      <c r="N150" s="44"/>
      <c r="O150" s="36" t="str">
        <f t="shared" si="19"/>
        <v/>
      </c>
      <c r="P150" s="216">
        <f t="shared" si="20"/>
        <v>0</v>
      </c>
      <c r="Q150" s="216">
        <f t="shared" si="21"/>
        <v>0</v>
      </c>
      <c r="R150" s="217" t="str">
        <f t="shared" si="22"/>
        <v/>
      </c>
    </row>
    <row r="151" spans="1:18" ht="51.75" hidden="1" thickBot="1" x14ac:dyDescent="0.3">
      <c r="A151" s="268"/>
      <c r="B151" s="35" t="s">
        <v>3071</v>
      </c>
      <c r="C151" s="35" t="s">
        <v>87</v>
      </c>
      <c r="D151" s="36">
        <f>ROUND(1*D144,4)</f>
        <v>1.18</v>
      </c>
      <c r="E151" s="30">
        <v>8.0531015499999992</v>
      </c>
      <c r="F151" s="33">
        <f t="shared" si="17"/>
        <v>9.5026598289999988</v>
      </c>
      <c r="G151" s="44"/>
      <c r="H151" s="45"/>
      <c r="I151" s="153">
        <v>0</v>
      </c>
      <c r="K151" s="215">
        <v>1.18</v>
      </c>
      <c r="L151" s="30">
        <v>8.0531015499999992</v>
      </c>
      <c r="M151" s="33">
        <f t="shared" si="18"/>
        <v>9.5026598289999988</v>
      </c>
      <c r="N151" s="44"/>
      <c r="O151" s="36" t="str">
        <f t="shared" si="19"/>
        <v/>
      </c>
      <c r="P151" s="216">
        <f t="shared" si="20"/>
        <v>0</v>
      </c>
      <c r="Q151" s="216">
        <f t="shared" si="21"/>
        <v>0</v>
      </c>
      <c r="R151" s="217" t="str">
        <f t="shared" si="22"/>
        <v/>
      </c>
    </row>
    <row r="152" spans="1:18" ht="39" hidden="1" thickBot="1" x14ac:dyDescent="0.3">
      <c r="A152" s="268"/>
      <c r="B152" s="35" t="s">
        <v>3068</v>
      </c>
      <c r="C152" s="46" t="s">
        <v>89</v>
      </c>
      <c r="D152" s="36">
        <f>ROUND(D144*20,4)</f>
        <v>23.6</v>
      </c>
      <c r="E152" s="30">
        <v>2.6576449499999995</v>
      </c>
      <c r="F152" s="33">
        <f t="shared" si="17"/>
        <v>62.720420819999994</v>
      </c>
      <c r="G152" s="44"/>
      <c r="H152" s="45"/>
      <c r="I152" s="153">
        <v>0</v>
      </c>
      <c r="K152" s="215">
        <v>23.6</v>
      </c>
      <c r="L152" s="30">
        <v>2.6576449499999995</v>
      </c>
      <c r="M152" s="33">
        <f t="shared" si="18"/>
        <v>62.720420819999994</v>
      </c>
      <c r="N152" s="44"/>
      <c r="O152" s="36" t="str">
        <f t="shared" si="19"/>
        <v/>
      </c>
      <c r="P152" s="216">
        <f t="shared" si="20"/>
        <v>0</v>
      </c>
      <c r="Q152" s="216">
        <f t="shared" si="21"/>
        <v>0</v>
      </c>
      <c r="R152" s="217" t="str">
        <f t="shared" si="22"/>
        <v/>
      </c>
    </row>
    <row r="153" spans="1:18" ht="15.75" hidden="1" thickBot="1" x14ac:dyDescent="0.3">
      <c r="A153" s="268"/>
      <c r="B153" s="50"/>
      <c r="C153" s="46"/>
      <c r="D153" s="36"/>
      <c r="E153" s="30" t="s">
        <v>416</v>
      </c>
      <c r="F153" s="33" t="str">
        <f t="shared" si="17"/>
        <v/>
      </c>
      <c r="G153" s="44"/>
      <c r="H153" s="45"/>
      <c r="I153" s="153">
        <v>0</v>
      </c>
      <c r="K153" s="215"/>
      <c r="L153" s="30" t="s">
        <v>416</v>
      </c>
      <c r="M153" s="33" t="str">
        <f t="shared" si="18"/>
        <v/>
      </c>
      <c r="N153" s="44"/>
      <c r="O153" s="36" t="str">
        <f t="shared" si="19"/>
        <v/>
      </c>
      <c r="P153" s="216" t="str">
        <f t="shared" si="20"/>
        <v/>
      </c>
      <c r="Q153" s="216" t="str">
        <f t="shared" si="21"/>
        <v/>
      </c>
      <c r="R153" s="217" t="str">
        <f t="shared" si="22"/>
        <v/>
      </c>
    </row>
    <row r="154" spans="1:18" ht="15.75" hidden="1" thickBot="1" x14ac:dyDescent="0.3">
      <c r="A154" s="268"/>
      <c r="B154" s="47" t="s">
        <v>631</v>
      </c>
      <c r="C154" s="46"/>
      <c r="D154" s="36"/>
      <c r="E154" s="30" t="s">
        <v>416</v>
      </c>
      <c r="F154" s="33" t="str">
        <f t="shared" si="17"/>
        <v/>
      </c>
      <c r="G154" s="44"/>
      <c r="H154" s="45"/>
      <c r="I154" s="153">
        <v>0</v>
      </c>
      <c r="K154" s="215"/>
      <c r="L154" s="30" t="s">
        <v>416</v>
      </c>
      <c r="M154" s="33" t="str">
        <f t="shared" si="18"/>
        <v/>
      </c>
      <c r="N154" s="44"/>
      <c r="O154" s="36" t="str">
        <f t="shared" si="19"/>
        <v/>
      </c>
      <c r="P154" s="216" t="str">
        <f t="shared" si="20"/>
        <v/>
      </c>
      <c r="Q154" s="216" t="str">
        <f t="shared" si="21"/>
        <v/>
      </c>
      <c r="R154" s="217" t="str">
        <f t="shared" si="22"/>
        <v/>
      </c>
    </row>
    <row r="155" spans="1:18" ht="15.75" hidden="1" thickBot="1" x14ac:dyDescent="0.3">
      <c r="A155" s="268"/>
      <c r="B155" s="35"/>
      <c r="C155" s="35"/>
      <c r="D155" s="92"/>
      <c r="E155" s="30" t="s">
        <v>416</v>
      </c>
      <c r="F155" s="30" t="str">
        <f t="shared" si="17"/>
        <v/>
      </c>
      <c r="G155" s="34"/>
      <c r="H155" s="30"/>
      <c r="I155" s="153">
        <v>0</v>
      </c>
      <c r="K155" s="228"/>
      <c r="L155" s="30" t="s">
        <v>416</v>
      </c>
      <c r="M155" s="30" t="str">
        <f t="shared" si="18"/>
        <v/>
      </c>
      <c r="N155" s="34"/>
      <c r="O155" s="36" t="str">
        <f t="shared" si="19"/>
        <v/>
      </c>
      <c r="P155" s="216" t="str">
        <f t="shared" si="20"/>
        <v/>
      </c>
      <c r="Q155" s="216" t="str">
        <f t="shared" si="21"/>
        <v/>
      </c>
      <c r="R155" s="217" t="str">
        <f t="shared" si="22"/>
        <v/>
      </c>
    </row>
    <row r="156" spans="1:18" ht="15.75" hidden="1" thickBot="1" x14ac:dyDescent="0.3">
      <c r="A156" s="269" t="s">
        <v>1197</v>
      </c>
      <c r="B156" s="40" t="s">
        <v>416</v>
      </c>
      <c r="C156" s="25" t="s">
        <v>87</v>
      </c>
      <c r="D156" s="93"/>
      <c r="E156" s="41" t="s">
        <v>416</v>
      </c>
      <c r="F156" s="41" t="str">
        <f t="shared" si="17"/>
        <v/>
      </c>
      <c r="G156" s="28"/>
      <c r="H156" s="29"/>
      <c r="I156" s="153">
        <v>0</v>
      </c>
      <c r="K156" s="226"/>
      <c r="L156" s="41" t="s">
        <v>416</v>
      </c>
      <c r="M156" s="41" t="str">
        <f t="shared" si="18"/>
        <v/>
      </c>
      <c r="N156" s="28"/>
      <c r="O156" s="36" t="str">
        <f t="shared" si="19"/>
        <v/>
      </c>
      <c r="P156" s="216" t="str">
        <f t="shared" si="20"/>
        <v/>
      </c>
      <c r="Q156" s="216" t="str">
        <f t="shared" si="21"/>
        <v/>
      </c>
      <c r="R156" s="217" t="str">
        <f t="shared" si="22"/>
        <v/>
      </c>
    </row>
    <row r="157" spans="1:18" ht="15.75" hidden="1" thickBot="1" x14ac:dyDescent="0.3">
      <c r="A157" s="268"/>
      <c r="B157" s="31" t="s">
        <v>416</v>
      </c>
      <c r="C157" s="31"/>
      <c r="D157" s="91"/>
      <c r="E157" s="42" t="s">
        <v>416</v>
      </c>
      <c r="F157" s="30" t="str">
        <f t="shared" si="17"/>
        <v/>
      </c>
      <c r="G157" s="34"/>
      <c r="H157" s="30"/>
      <c r="I157" s="153">
        <v>0</v>
      </c>
      <c r="K157" s="227"/>
      <c r="L157" s="42" t="s">
        <v>416</v>
      </c>
      <c r="M157" s="30" t="str">
        <f t="shared" si="18"/>
        <v/>
      </c>
      <c r="N157" s="34"/>
      <c r="O157" s="36" t="str">
        <f t="shared" si="19"/>
        <v/>
      </c>
      <c r="P157" s="216" t="str">
        <f t="shared" si="20"/>
        <v/>
      </c>
      <c r="Q157" s="216" t="str">
        <f t="shared" si="21"/>
        <v/>
      </c>
      <c r="R157" s="217" t="str">
        <f t="shared" si="22"/>
        <v/>
      </c>
    </row>
    <row r="158" spans="1:18" ht="26.25" hidden="1" thickBot="1" x14ac:dyDescent="0.3">
      <c r="A158" s="268"/>
      <c r="B158" s="35" t="s">
        <v>7985</v>
      </c>
      <c r="C158" s="35" t="s">
        <v>87</v>
      </c>
      <c r="D158" s="36">
        <v>1.36</v>
      </c>
      <c r="E158" s="33">
        <v>202.33099999999999</v>
      </c>
      <c r="F158" s="33">
        <f t="shared" si="17"/>
        <v>275.17016000000001</v>
      </c>
      <c r="G158" s="44">
        <f>SUM(F158:F164)</f>
        <v>748.59992574800003</v>
      </c>
      <c r="H158" s="45"/>
      <c r="I158" s="153">
        <v>0</v>
      </c>
      <c r="K158" s="215">
        <v>1.36</v>
      </c>
      <c r="L158" s="33">
        <v>202.33099999999999</v>
      </c>
      <c r="M158" s="33">
        <f t="shared" si="18"/>
        <v>275.17016000000001</v>
      </c>
      <c r="N158" s="44">
        <f>SUM(M158:M164)</f>
        <v>748.59992574800003</v>
      </c>
      <c r="O158" s="36" t="str">
        <f t="shared" si="19"/>
        <v/>
      </c>
      <c r="P158" s="216">
        <f t="shared" si="20"/>
        <v>0</v>
      </c>
      <c r="Q158" s="216">
        <f t="shared" si="21"/>
        <v>0</v>
      </c>
      <c r="R158" s="217">
        <f t="shared" si="22"/>
        <v>0</v>
      </c>
    </row>
    <row r="159" spans="1:18" ht="15.75" hidden="1" thickBot="1" x14ac:dyDescent="0.3">
      <c r="A159" s="268"/>
      <c r="B159" s="35" t="s">
        <v>8065</v>
      </c>
      <c r="C159" s="35" t="s">
        <v>773</v>
      </c>
      <c r="D159" s="36">
        <v>459.85</v>
      </c>
      <c r="E159" s="33">
        <v>0.627</v>
      </c>
      <c r="F159" s="33">
        <f t="shared" si="17"/>
        <v>288.32595000000003</v>
      </c>
      <c r="G159" s="44"/>
      <c r="H159" s="45"/>
      <c r="I159" s="153">
        <v>0</v>
      </c>
      <c r="K159" s="215">
        <v>459.85</v>
      </c>
      <c r="L159" s="33">
        <v>0.627</v>
      </c>
      <c r="M159" s="33">
        <f t="shared" si="18"/>
        <v>288.32595000000003</v>
      </c>
      <c r="N159" s="44"/>
      <c r="O159" s="36" t="str">
        <f t="shared" si="19"/>
        <v/>
      </c>
      <c r="P159" s="216">
        <f t="shared" si="20"/>
        <v>0</v>
      </c>
      <c r="Q159" s="216">
        <f t="shared" si="21"/>
        <v>0</v>
      </c>
      <c r="R159" s="217" t="str">
        <f t="shared" si="22"/>
        <v/>
      </c>
    </row>
    <row r="160" spans="1:18" ht="26.25" hidden="1" thickBot="1" x14ac:dyDescent="0.3">
      <c r="A160" s="268"/>
      <c r="B160" s="35" t="s">
        <v>1271</v>
      </c>
      <c r="C160" s="35" t="s">
        <v>583</v>
      </c>
      <c r="D160" s="36">
        <v>4.8499999999999996</v>
      </c>
      <c r="E160" s="30">
        <v>20.291999999999998</v>
      </c>
      <c r="F160" s="33">
        <f t="shared" si="17"/>
        <v>98.416199999999989</v>
      </c>
      <c r="G160" s="44"/>
      <c r="H160" s="45"/>
      <c r="I160" s="153">
        <v>0</v>
      </c>
      <c r="K160" s="215">
        <v>4.8499999999999996</v>
      </c>
      <c r="L160" s="30">
        <v>20.291999999999998</v>
      </c>
      <c r="M160" s="33">
        <f t="shared" si="18"/>
        <v>98.416199999999989</v>
      </c>
      <c r="N160" s="44"/>
      <c r="O160" s="36" t="str">
        <f t="shared" si="19"/>
        <v/>
      </c>
      <c r="P160" s="216">
        <f t="shared" si="20"/>
        <v>0</v>
      </c>
      <c r="Q160" s="216">
        <f t="shared" si="21"/>
        <v>0</v>
      </c>
      <c r="R160" s="217" t="str">
        <f t="shared" si="22"/>
        <v/>
      </c>
    </row>
    <row r="161" spans="1:18" ht="39" hidden="1" thickBot="1" x14ac:dyDescent="0.3">
      <c r="A161" s="268"/>
      <c r="B161" s="35" t="s">
        <v>84</v>
      </c>
      <c r="C161" s="35" t="s">
        <v>813</v>
      </c>
      <c r="D161" s="36">
        <v>1.1299999999999999</v>
      </c>
      <c r="E161" s="30">
        <v>1.6435</v>
      </c>
      <c r="F161" s="33">
        <f t="shared" si="17"/>
        <v>1.8571549999999999</v>
      </c>
      <c r="G161" s="44"/>
      <c r="H161" s="45"/>
      <c r="I161" s="153">
        <v>0</v>
      </c>
      <c r="K161" s="215">
        <v>1.1299999999999999</v>
      </c>
      <c r="L161" s="30">
        <v>1.6435</v>
      </c>
      <c r="M161" s="33">
        <f t="shared" si="18"/>
        <v>1.8571549999999999</v>
      </c>
      <c r="N161" s="44"/>
      <c r="O161" s="36" t="str">
        <f t="shared" si="19"/>
        <v/>
      </c>
      <c r="P161" s="216">
        <f t="shared" si="20"/>
        <v>0</v>
      </c>
      <c r="Q161" s="216">
        <f t="shared" si="21"/>
        <v>0</v>
      </c>
      <c r="R161" s="217" t="str">
        <f t="shared" si="22"/>
        <v/>
      </c>
    </row>
    <row r="162" spans="1:18" ht="39" hidden="1" thickBot="1" x14ac:dyDescent="0.3">
      <c r="A162" s="268"/>
      <c r="B162" s="35" t="s">
        <v>85</v>
      </c>
      <c r="C162" s="35" t="s">
        <v>815</v>
      </c>
      <c r="D162" s="36">
        <v>3.72</v>
      </c>
      <c r="E162" s="30">
        <v>0.42749999999999999</v>
      </c>
      <c r="F162" s="33">
        <f t="shared" si="17"/>
        <v>1.5903</v>
      </c>
      <c r="G162" s="44"/>
      <c r="H162" s="45"/>
      <c r="I162" s="153">
        <v>0</v>
      </c>
      <c r="K162" s="215">
        <v>3.72</v>
      </c>
      <c r="L162" s="30">
        <v>0.42749999999999999</v>
      </c>
      <c r="M162" s="33">
        <f t="shared" si="18"/>
        <v>1.5903</v>
      </c>
      <c r="N162" s="44"/>
      <c r="O162" s="36" t="str">
        <f t="shared" si="19"/>
        <v/>
      </c>
      <c r="P162" s="216">
        <f t="shared" si="20"/>
        <v>0</v>
      </c>
      <c r="Q162" s="216">
        <f t="shared" si="21"/>
        <v>0</v>
      </c>
      <c r="R162" s="217" t="str">
        <f t="shared" si="22"/>
        <v/>
      </c>
    </row>
    <row r="163" spans="1:18" ht="51.75" hidden="1" thickBot="1" x14ac:dyDescent="0.3">
      <c r="A163" s="268"/>
      <c r="B163" s="35" t="s">
        <v>3071</v>
      </c>
      <c r="C163" s="35" t="s">
        <v>87</v>
      </c>
      <c r="D163" s="36">
        <f>ROUND(1*D158,4)</f>
        <v>1.36</v>
      </c>
      <c r="E163" s="30">
        <v>8.0531015499999992</v>
      </c>
      <c r="F163" s="33">
        <f t="shared" si="17"/>
        <v>10.952218108</v>
      </c>
      <c r="G163" s="44"/>
      <c r="H163" s="45"/>
      <c r="I163" s="153">
        <v>0</v>
      </c>
      <c r="K163" s="215">
        <v>1.36</v>
      </c>
      <c r="L163" s="30">
        <v>8.0531015499999992</v>
      </c>
      <c r="M163" s="33">
        <f t="shared" si="18"/>
        <v>10.952218108</v>
      </c>
      <c r="N163" s="44"/>
      <c r="O163" s="36" t="str">
        <f t="shared" si="19"/>
        <v/>
      </c>
      <c r="P163" s="216">
        <f t="shared" si="20"/>
        <v>0</v>
      </c>
      <c r="Q163" s="216">
        <f t="shared" si="21"/>
        <v>0</v>
      </c>
      <c r="R163" s="217" t="str">
        <f t="shared" si="22"/>
        <v/>
      </c>
    </row>
    <row r="164" spans="1:18" ht="39" hidden="1" thickBot="1" x14ac:dyDescent="0.3">
      <c r="A164" s="268"/>
      <c r="B164" s="35" t="s">
        <v>3068</v>
      </c>
      <c r="C164" s="46" t="s">
        <v>89</v>
      </c>
      <c r="D164" s="36">
        <f>ROUND(D158*20,4)</f>
        <v>27.2</v>
      </c>
      <c r="E164" s="30">
        <v>2.6576449499999995</v>
      </c>
      <c r="F164" s="33">
        <f t="shared" si="17"/>
        <v>72.287942639999983</v>
      </c>
      <c r="G164" s="44"/>
      <c r="H164" s="45"/>
      <c r="I164" s="153">
        <v>0</v>
      </c>
      <c r="K164" s="215">
        <v>27.2</v>
      </c>
      <c r="L164" s="30">
        <v>2.6576449499999995</v>
      </c>
      <c r="M164" s="33">
        <f t="shared" si="18"/>
        <v>72.287942639999983</v>
      </c>
      <c r="N164" s="44"/>
      <c r="O164" s="36" t="str">
        <f t="shared" si="19"/>
        <v/>
      </c>
      <c r="P164" s="216">
        <f t="shared" si="20"/>
        <v>0</v>
      </c>
      <c r="Q164" s="216">
        <f t="shared" si="21"/>
        <v>0</v>
      </c>
      <c r="R164" s="217" t="str">
        <f t="shared" si="22"/>
        <v/>
      </c>
    </row>
    <row r="165" spans="1:18" ht="15.75" hidden="1" thickBot="1" x14ac:dyDescent="0.3">
      <c r="A165" s="268"/>
      <c r="B165" s="50"/>
      <c r="C165" s="46"/>
      <c r="D165" s="36"/>
      <c r="E165" s="30" t="s">
        <v>416</v>
      </c>
      <c r="F165" s="33" t="str">
        <f t="shared" si="17"/>
        <v/>
      </c>
      <c r="G165" s="44"/>
      <c r="H165" s="45"/>
      <c r="I165" s="153">
        <v>0</v>
      </c>
      <c r="K165" s="215"/>
      <c r="L165" s="30" t="s">
        <v>416</v>
      </c>
      <c r="M165" s="33" t="str">
        <f t="shared" si="18"/>
        <v/>
      </c>
      <c r="N165" s="44"/>
      <c r="O165" s="36" t="str">
        <f t="shared" si="19"/>
        <v/>
      </c>
      <c r="P165" s="216" t="str">
        <f t="shared" si="20"/>
        <v/>
      </c>
      <c r="Q165" s="216" t="str">
        <f t="shared" si="21"/>
        <v/>
      </c>
      <c r="R165" s="217" t="str">
        <f t="shared" si="22"/>
        <v/>
      </c>
    </row>
    <row r="166" spans="1:18" ht="15.75" hidden="1" thickBot="1" x14ac:dyDescent="0.3">
      <c r="A166" s="268"/>
      <c r="B166" s="47" t="s">
        <v>631</v>
      </c>
      <c r="C166" s="46"/>
      <c r="D166" s="36"/>
      <c r="E166" s="30" t="s">
        <v>416</v>
      </c>
      <c r="F166" s="33" t="str">
        <f t="shared" si="17"/>
        <v/>
      </c>
      <c r="G166" s="44"/>
      <c r="H166" s="45"/>
      <c r="I166" s="153">
        <v>0</v>
      </c>
      <c r="K166" s="215"/>
      <c r="L166" s="30" t="s">
        <v>416</v>
      </c>
      <c r="M166" s="33" t="str">
        <f t="shared" si="18"/>
        <v/>
      </c>
      <c r="N166" s="44"/>
      <c r="O166" s="36" t="str">
        <f t="shared" si="19"/>
        <v/>
      </c>
      <c r="P166" s="216" t="str">
        <f t="shared" si="20"/>
        <v/>
      </c>
      <c r="Q166" s="216" t="str">
        <f t="shared" si="21"/>
        <v/>
      </c>
      <c r="R166" s="217" t="str">
        <f t="shared" si="22"/>
        <v/>
      </c>
    </row>
    <row r="167" spans="1:18" ht="15.75" hidden="1" thickBot="1" x14ac:dyDescent="0.3">
      <c r="A167" s="268"/>
      <c r="B167" s="35"/>
      <c r="C167" s="35"/>
      <c r="D167" s="92"/>
      <c r="E167" s="30" t="s">
        <v>416</v>
      </c>
      <c r="F167" s="30" t="str">
        <f t="shared" si="17"/>
        <v/>
      </c>
      <c r="G167" s="34"/>
      <c r="H167" s="30"/>
      <c r="I167" s="153">
        <v>0</v>
      </c>
      <c r="K167" s="228"/>
      <c r="L167" s="30" t="s">
        <v>416</v>
      </c>
      <c r="M167" s="30" t="str">
        <f t="shared" si="18"/>
        <v/>
      </c>
      <c r="N167" s="34"/>
      <c r="O167" s="36" t="str">
        <f t="shared" si="19"/>
        <v/>
      </c>
      <c r="P167" s="216" t="str">
        <f t="shared" si="20"/>
        <v/>
      </c>
      <c r="Q167" s="216" t="str">
        <f t="shared" si="21"/>
        <v/>
      </c>
      <c r="R167" s="217" t="str">
        <f t="shared" si="22"/>
        <v/>
      </c>
    </row>
    <row r="168" spans="1:18" ht="15.75" thickBot="1" x14ac:dyDescent="0.3">
      <c r="A168" s="269" t="s">
        <v>816</v>
      </c>
      <c r="B168" s="40" t="s">
        <v>416</v>
      </c>
      <c r="C168" s="25" t="s">
        <v>87</v>
      </c>
      <c r="D168" s="93"/>
      <c r="E168" s="41" t="s">
        <v>416</v>
      </c>
      <c r="F168" s="41" t="str">
        <f t="shared" si="17"/>
        <v/>
      </c>
      <c r="G168" s="28"/>
      <c r="H168" s="29"/>
      <c r="I168" s="153">
        <v>12</v>
      </c>
      <c r="K168" s="226"/>
      <c r="L168" s="41" t="s">
        <v>416</v>
      </c>
      <c r="M168" s="41" t="str">
        <f t="shared" si="18"/>
        <v/>
      </c>
      <c r="N168" s="28"/>
      <c r="O168" s="36" t="str">
        <f t="shared" si="19"/>
        <v/>
      </c>
      <c r="P168" s="216" t="str">
        <f t="shared" si="20"/>
        <v/>
      </c>
      <c r="Q168" s="216" t="str">
        <f t="shared" si="21"/>
        <v/>
      </c>
      <c r="R168" s="217" t="str">
        <f t="shared" si="22"/>
        <v/>
      </c>
    </row>
    <row r="169" spans="1:18" x14ac:dyDescent="0.25">
      <c r="A169" s="268"/>
      <c r="B169" s="31" t="s">
        <v>416</v>
      </c>
      <c r="C169" s="31"/>
      <c r="D169" s="91"/>
      <c r="E169" s="42" t="s">
        <v>416</v>
      </c>
      <c r="F169" s="30" t="str">
        <f t="shared" si="17"/>
        <v/>
      </c>
      <c r="G169" s="34"/>
      <c r="H169" s="30"/>
      <c r="I169" s="153">
        <v>12</v>
      </c>
      <c r="K169" s="227"/>
      <c r="L169" s="42" t="s">
        <v>416</v>
      </c>
      <c r="M169" s="30" t="str">
        <f t="shared" si="18"/>
        <v/>
      </c>
      <c r="N169" s="34"/>
      <c r="O169" s="36" t="str">
        <f t="shared" si="19"/>
        <v/>
      </c>
      <c r="P169" s="216" t="str">
        <f t="shared" si="20"/>
        <v/>
      </c>
      <c r="Q169" s="216" t="str">
        <f t="shared" si="21"/>
        <v/>
      </c>
      <c r="R169" s="217" t="str">
        <f t="shared" si="22"/>
        <v/>
      </c>
    </row>
    <row r="170" spans="1:18" ht="51" x14ac:dyDescent="0.25">
      <c r="A170" s="268"/>
      <c r="B170" s="35" t="s">
        <v>818</v>
      </c>
      <c r="C170" s="35" t="s">
        <v>813</v>
      </c>
      <c r="D170" s="36">
        <v>6.0000000000000001E-3</v>
      </c>
      <c r="E170" s="33">
        <v>294.57599999999996</v>
      </c>
      <c r="F170" s="33">
        <f t="shared" si="17"/>
        <v>1.7674559999999999</v>
      </c>
      <c r="G170" s="44">
        <f>SUM(F170:F172)</f>
        <v>2.1305744999999998</v>
      </c>
      <c r="H170" s="45"/>
      <c r="I170" s="153">
        <v>12</v>
      </c>
      <c r="K170" s="215">
        <v>6.0000000000000001E-3</v>
      </c>
      <c r="L170" s="33">
        <v>294.57599999999996</v>
      </c>
      <c r="M170" s="33">
        <f t="shared" si="18"/>
        <v>1.7674559999999999</v>
      </c>
      <c r="N170" s="44">
        <f>SUM(M170:M172)</f>
        <v>2.1305744999999998</v>
      </c>
      <c r="O170" s="36" t="str">
        <f t="shared" si="19"/>
        <v/>
      </c>
      <c r="P170" s="216">
        <f t="shared" si="20"/>
        <v>0</v>
      </c>
      <c r="Q170" s="216">
        <f t="shared" si="21"/>
        <v>0</v>
      </c>
      <c r="R170" s="217">
        <f t="shared" si="22"/>
        <v>0</v>
      </c>
    </row>
    <row r="171" spans="1:18" ht="51" x14ac:dyDescent="0.25">
      <c r="A171" s="268"/>
      <c r="B171" s="35" t="s">
        <v>819</v>
      </c>
      <c r="C171" s="35" t="s">
        <v>815</v>
      </c>
      <c r="D171" s="36">
        <v>3.0000000000000001E-3</v>
      </c>
      <c r="E171" s="33">
        <v>60.363</v>
      </c>
      <c r="F171" s="33">
        <f t="shared" si="17"/>
        <v>0.181089</v>
      </c>
      <c r="G171" s="44"/>
      <c r="H171" s="45"/>
      <c r="I171" s="153">
        <v>12</v>
      </c>
      <c r="K171" s="215">
        <v>3.0000000000000001E-3</v>
      </c>
      <c r="L171" s="33">
        <v>60.363</v>
      </c>
      <c r="M171" s="33">
        <f t="shared" si="18"/>
        <v>0.181089</v>
      </c>
      <c r="N171" s="44"/>
      <c r="O171" s="36" t="str">
        <f t="shared" si="19"/>
        <v/>
      </c>
      <c r="P171" s="216">
        <f t="shared" si="20"/>
        <v>0</v>
      </c>
      <c r="Q171" s="216">
        <f t="shared" si="21"/>
        <v>0</v>
      </c>
      <c r="R171" s="217" t="str">
        <f t="shared" si="22"/>
        <v/>
      </c>
    </row>
    <row r="172" spans="1:18" x14ac:dyDescent="0.25">
      <c r="A172" s="268"/>
      <c r="B172" s="35" t="s">
        <v>584</v>
      </c>
      <c r="C172" s="35" t="s">
        <v>583</v>
      </c>
      <c r="D172" s="36">
        <v>8.9999999999999993E-3</v>
      </c>
      <c r="E172" s="33">
        <v>20.225499999999997</v>
      </c>
      <c r="F172" s="33">
        <f t="shared" si="17"/>
        <v>0.18202949999999996</v>
      </c>
      <c r="G172" s="44"/>
      <c r="H172" s="45"/>
      <c r="I172" s="153">
        <v>12</v>
      </c>
      <c r="K172" s="215">
        <v>8.9999999999999993E-3</v>
      </c>
      <c r="L172" s="33">
        <v>20.225499999999997</v>
      </c>
      <c r="M172" s="33">
        <f t="shared" si="18"/>
        <v>0.18202949999999996</v>
      </c>
      <c r="N172" s="44"/>
      <c r="O172" s="36" t="str">
        <f t="shared" si="19"/>
        <v/>
      </c>
      <c r="P172" s="216">
        <f t="shared" si="20"/>
        <v>0</v>
      </c>
      <c r="Q172" s="216">
        <f t="shared" si="21"/>
        <v>0</v>
      </c>
      <c r="R172" s="217" t="str">
        <f t="shared" si="22"/>
        <v/>
      </c>
    </row>
    <row r="173" spans="1:18" ht="15.75" thickBot="1" x14ac:dyDescent="0.3">
      <c r="A173" s="268"/>
      <c r="B173" s="35"/>
      <c r="C173" s="35"/>
      <c r="D173" s="92"/>
      <c r="E173" s="30" t="s">
        <v>416</v>
      </c>
      <c r="F173" s="30" t="str">
        <f t="shared" si="17"/>
        <v/>
      </c>
      <c r="G173" s="34"/>
      <c r="H173" s="30"/>
      <c r="I173" s="153">
        <v>12</v>
      </c>
      <c r="K173" s="228"/>
      <c r="L173" s="30" t="s">
        <v>416</v>
      </c>
      <c r="M173" s="30" t="str">
        <f t="shared" si="18"/>
        <v/>
      </c>
      <c r="N173" s="34"/>
      <c r="O173" s="36" t="str">
        <f t="shared" si="19"/>
        <v/>
      </c>
      <c r="P173" s="216" t="str">
        <f t="shared" si="20"/>
        <v/>
      </c>
      <c r="Q173" s="216" t="str">
        <f t="shared" si="21"/>
        <v/>
      </c>
      <c r="R173" s="217" t="str">
        <f t="shared" si="22"/>
        <v/>
      </c>
    </row>
    <row r="174" spans="1:18" ht="15.75" hidden="1" thickBot="1" x14ac:dyDescent="0.3">
      <c r="A174" s="269" t="s">
        <v>6817</v>
      </c>
      <c r="B174" s="40" t="s">
        <v>416</v>
      </c>
      <c r="C174" s="25" t="s">
        <v>773</v>
      </c>
      <c r="D174" s="93"/>
      <c r="E174" s="41" t="s">
        <v>416</v>
      </c>
      <c r="F174" s="41" t="str">
        <f t="shared" si="17"/>
        <v/>
      </c>
      <c r="G174" s="28"/>
      <c r="H174" s="29"/>
      <c r="I174" s="153">
        <v>0</v>
      </c>
      <c r="K174" s="226"/>
      <c r="L174" s="41" t="s">
        <v>416</v>
      </c>
      <c r="M174" s="41" t="str">
        <f t="shared" si="18"/>
        <v/>
      </c>
      <c r="N174" s="28"/>
      <c r="O174" s="36" t="str">
        <f t="shared" si="19"/>
        <v/>
      </c>
      <c r="P174" s="216" t="str">
        <f t="shared" si="20"/>
        <v/>
      </c>
      <c r="Q174" s="216" t="str">
        <f t="shared" si="21"/>
        <v/>
      </c>
      <c r="R174" s="217" t="str">
        <f t="shared" si="22"/>
        <v/>
      </c>
    </row>
    <row r="175" spans="1:18" ht="15.75" hidden="1" thickBot="1" x14ac:dyDescent="0.3">
      <c r="A175" s="268"/>
      <c r="B175" s="31" t="s">
        <v>416</v>
      </c>
      <c r="C175" s="31"/>
      <c r="D175" s="91"/>
      <c r="E175" s="42" t="s">
        <v>416</v>
      </c>
      <c r="F175" s="30" t="str">
        <f t="shared" si="17"/>
        <v/>
      </c>
      <c r="G175" s="34"/>
      <c r="H175" s="30"/>
      <c r="I175" s="153">
        <v>0</v>
      </c>
      <c r="K175" s="227"/>
      <c r="L175" s="42" t="s">
        <v>416</v>
      </c>
      <c r="M175" s="30" t="str">
        <f t="shared" si="18"/>
        <v/>
      </c>
      <c r="N175" s="34"/>
      <c r="O175" s="36" t="str">
        <f t="shared" si="19"/>
        <v/>
      </c>
      <c r="P175" s="216" t="str">
        <f t="shared" si="20"/>
        <v/>
      </c>
      <c r="Q175" s="216" t="str">
        <f t="shared" si="21"/>
        <v/>
      </c>
      <c r="R175" s="217" t="str">
        <f t="shared" si="22"/>
        <v/>
      </c>
    </row>
    <row r="176" spans="1:18" ht="15.75" hidden="1" thickBot="1" x14ac:dyDescent="0.3">
      <c r="A176" s="268"/>
      <c r="B176" s="35" t="s">
        <v>644</v>
      </c>
      <c r="C176" s="35" t="s">
        <v>773</v>
      </c>
      <c r="D176" s="36">
        <v>1.1100000000000001</v>
      </c>
      <c r="E176" s="33">
        <v>10.003499999999999</v>
      </c>
      <c r="F176" s="33">
        <f t="shared" si="17"/>
        <v>11.103885</v>
      </c>
      <c r="G176" s="44">
        <f>SUM(F176:F178)</f>
        <v>11.593319300000001</v>
      </c>
      <c r="H176" s="45"/>
      <c r="I176" s="153">
        <v>0</v>
      </c>
      <c r="K176" s="215">
        <v>1.1100000000000001</v>
      </c>
      <c r="L176" s="33">
        <v>10.003499999999999</v>
      </c>
      <c r="M176" s="33">
        <f t="shared" si="18"/>
        <v>11.103885</v>
      </c>
      <c r="N176" s="44">
        <f>SUM(M176:M178)</f>
        <v>11.593319300000001</v>
      </c>
      <c r="O176" s="36" t="str">
        <f t="shared" si="19"/>
        <v/>
      </c>
      <c r="P176" s="216">
        <f t="shared" si="20"/>
        <v>0</v>
      </c>
      <c r="Q176" s="216">
        <f t="shared" si="21"/>
        <v>0</v>
      </c>
      <c r="R176" s="217">
        <f t="shared" si="22"/>
        <v>0</v>
      </c>
    </row>
    <row r="177" spans="1:18" ht="15.75" hidden="1" thickBot="1" x14ac:dyDescent="0.3">
      <c r="A177" s="268"/>
      <c r="B177" s="35" t="s">
        <v>775</v>
      </c>
      <c r="C177" s="35" t="s">
        <v>583</v>
      </c>
      <c r="D177" s="36">
        <v>2.5999999999999999E-3</v>
      </c>
      <c r="E177" s="33">
        <v>20.196999999999999</v>
      </c>
      <c r="F177" s="33">
        <f t="shared" si="17"/>
        <v>5.2512199999999995E-2</v>
      </c>
      <c r="G177" s="44"/>
      <c r="H177" s="45"/>
      <c r="I177" s="153">
        <v>0</v>
      </c>
      <c r="K177" s="215">
        <v>2.5999999999999999E-3</v>
      </c>
      <c r="L177" s="33">
        <v>20.196999999999999</v>
      </c>
      <c r="M177" s="33">
        <f t="shared" si="18"/>
        <v>5.2512199999999995E-2</v>
      </c>
      <c r="N177" s="44"/>
      <c r="O177" s="36" t="str">
        <f t="shared" si="19"/>
        <v/>
      </c>
      <c r="P177" s="216">
        <f t="shared" si="20"/>
        <v>0</v>
      </c>
      <c r="Q177" s="216">
        <f t="shared" si="21"/>
        <v>0</v>
      </c>
      <c r="R177" s="217" t="str">
        <f t="shared" si="22"/>
        <v/>
      </c>
    </row>
    <row r="178" spans="1:18" ht="15.75" hidden="1" thickBot="1" x14ac:dyDescent="0.3">
      <c r="A178" s="268"/>
      <c r="B178" s="35" t="s">
        <v>776</v>
      </c>
      <c r="C178" s="35" t="s">
        <v>583</v>
      </c>
      <c r="D178" s="36">
        <v>1.6199999999999999E-2</v>
      </c>
      <c r="E178" s="33">
        <v>26.970499999999998</v>
      </c>
      <c r="F178" s="33">
        <f t="shared" si="17"/>
        <v>0.43692209999999992</v>
      </c>
      <c r="G178" s="44"/>
      <c r="H178" s="45"/>
      <c r="I178" s="153">
        <v>0</v>
      </c>
      <c r="K178" s="215">
        <v>1.6199999999999999E-2</v>
      </c>
      <c r="L178" s="33">
        <v>26.970499999999998</v>
      </c>
      <c r="M178" s="33">
        <f t="shared" si="18"/>
        <v>0.43692209999999992</v>
      </c>
      <c r="N178" s="44"/>
      <c r="O178" s="36" t="str">
        <f t="shared" si="19"/>
        <v/>
      </c>
      <c r="P178" s="216">
        <f t="shared" si="20"/>
        <v>0</v>
      </c>
      <c r="Q178" s="216">
        <f t="shared" si="21"/>
        <v>0</v>
      </c>
      <c r="R178" s="217" t="str">
        <f t="shared" si="22"/>
        <v/>
      </c>
    </row>
    <row r="179" spans="1:18" ht="15.75" hidden="1" thickBot="1" x14ac:dyDescent="0.3">
      <c r="A179" s="268"/>
      <c r="B179" s="35" t="s">
        <v>416</v>
      </c>
      <c r="C179" s="35"/>
      <c r="D179" s="92"/>
      <c r="E179" s="30" t="s">
        <v>416</v>
      </c>
      <c r="F179" s="30" t="str">
        <f t="shared" si="17"/>
        <v/>
      </c>
      <c r="G179" s="34"/>
      <c r="H179" s="30"/>
      <c r="I179" s="153">
        <v>0</v>
      </c>
      <c r="K179" s="228"/>
      <c r="L179" s="30" t="s">
        <v>416</v>
      </c>
      <c r="M179" s="30" t="str">
        <f t="shared" si="18"/>
        <v/>
      </c>
      <c r="N179" s="34"/>
      <c r="O179" s="36" t="str">
        <f t="shared" si="19"/>
        <v/>
      </c>
      <c r="P179" s="216" t="str">
        <f t="shared" si="20"/>
        <v/>
      </c>
      <c r="Q179" s="216" t="str">
        <f t="shared" si="21"/>
        <v/>
      </c>
      <c r="R179" s="217" t="str">
        <f t="shared" si="22"/>
        <v/>
      </c>
    </row>
    <row r="180" spans="1:18" ht="15.75" hidden="1" thickBot="1" x14ac:dyDescent="0.3">
      <c r="A180" s="269" t="s">
        <v>6818</v>
      </c>
      <c r="B180" s="40" t="s">
        <v>416</v>
      </c>
      <c r="C180" s="25" t="s">
        <v>773</v>
      </c>
      <c r="D180" s="93"/>
      <c r="E180" s="41" t="s">
        <v>416</v>
      </c>
      <c r="F180" s="41" t="str">
        <f t="shared" si="17"/>
        <v/>
      </c>
      <c r="G180" s="28"/>
      <c r="H180" s="29"/>
      <c r="I180" s="153">
        <v>0</v>
      </c>
      <c r="K180" s="226"/>
      <c r="L180" s="41" t="s">
        <v>416</v>
      </c>
      <c r="M180" s="41" t="str">
        <f t="shared" si="18"/>
        <v/>
      </c>
      <c r="N180" s="28"/>
      <c r="O180" s="36" t="str">
        <f t="shared" si="19"/>
        <v/>
      </c>
      <c r="P180" s="216" t="str">
        <f t="shared" si="20"/>
        <v/>
      </c>
      <c r="Q180" s="216" t="str">
        <f t="shared" si="21"/>
        <v/>
      </c>
      <c r="R180" s="217" t="str">
        <f t="shared" si="22"/>
        <v/>
      </c>
    </row>
    <row r="181" spans="1:18" ht="15.75" hidden="1" thickBot="1" x14ac:dyDescent="0.3">
      <c r="A181" s="268"/>
      <c r="B181" s="31" t="s">
        <v>416</v>
      </c>
      <c r="C181" s="31"/>
      <c r="D181" s="91"/>
      <c r="E181" s="42" t="s">
        <v>416</v>
      </c>
      <c r="F181" s="30" t="str">
        <f t="shared" si="17"/>
        <v/>
      </c>
      <c r="G181" s="34"/>
      <c r="H181" s="30"/>
      <c r="I181" s="153">
        <v>0</v>
      </c>
      <c r="K181" s="227"/>
      <c r="L181" s="42" t="s">
        <v>416</v>
      </c>
      <c r="M181" s="30" t="str">
        <f t="shared" si="18"/>
        <v/>
      </c>
      <c r="N181" s="34"/>
      <c r="O181" s="36" t="str">
        <f t="shared" si="19"/>
        <v/>
      </c>
      <c r="P181" s="216" t="str">
        <f t="shared" si="20"/>
        <v/>
      </c>
      <c r="Q181" s="216" t="str">
        <f t="shared" si="21"/>
        <v/>
      </c>
      <c r="R181" s="217" t="str">
        <f t="shared" si="22"/>
        <v/>
      </c>
    </row>
    <row r="182" spans="1:18" ht="15.75" hidden="1" thickBot="1" x14ac:dyDescent="0.3">
      <c r="A182" s="268"/>
      <c r="B182" s="35" t="s">
        <v>647</v>
      </c>
      <c r="C182" s="35" t="s">
        <v>773</v>
      </c>
      <c r="D182" s="36">
        <v>1.1100000000000001</v>
      </c>
      <c r="E182" s="33">
        <v>8.17</v>
      </c>
      <c r="F182" s="33">
        <f t="shared" si="17"/>
        <v>9.0687000000000015</v>
      </c>
      <c r="G182" s="44">
        <f>SUM(F182:F184)</f>
        <v>9.2143160000000019</v>
      </c>
      <c r="H182" s="45"/>
      <c r="I182" s="153">
        <v>0</v>
      </c>
      <c r="K182" s="215">
        <v>1.1100000000000001</v>
      </c>
      <c r="L182" s="33">
        <v>8.17</v>
      </c>
      <c r="M182" s="33">
        <f t="shared" si="18"/>
        <v>9.0687000000000015</v>
      </c>
      <c r="N182" s="44">
        <f>SUM(M182:M184)</f>
        <v>9.2143160000000019</v>
      </c>
      <c r="O182" s="36" t="str">
        <f t="shared" si="19"/>
        <v/>
      </c>
      <c r="P182" s="216">
        <f t="shared" si="20"/>
        <v>0</v>
      </c>
      <c r="Q182" s="216">
        <f t="shared" si="21"/>
        <v>0</v>
      </c>
      <c r="R182" s="217">
        <f t="shared" si="22"/>
        <v>0</v>
      </c>
    </row>
    <row r="183" spans="1:18" ht="15.75" hidden="1" thickBot="1" x14ac:dyDescent="0.3">
      <c r="A183" s="268"/>
      <c r="B183" s="35" t="s">
        <v>775</v>
      </c>
      <c r="C183" s="35" t="s">
        <v>583</v>
      </c>
      <c r="D183" s="36">
        <v>8.0000000000000004E-4</v>
      </c>
      <c r="E183" s="33">
        <v>20.196999999999999</v>
      </c>
      <c r="F183" s="33">
        <f t="shared" si="17"/>
        <v>1.6157600000000001E-2</v>
      </c>
      <c r="G183" s="44"/>
      <c r="H183" s="45"/>
      <c r="I183" s="153">
        <v>0</v>
      </c>
      <c r="K183" s="215">
        <v>8.0000000000000004E-4</v>
      </c>
      <c r="L183" s="33">
        <v>20.196999999999999</v>
      </c>
      <c r="M183" s="33">
        <f t="shared" si="18"/>
        <v>1.6157600000000001E-2</v>
      </c>
      <c r="N183" s="44"/>
      <c r="O183" s="36" t="str">
        <f t="shared" si="19"/>
        <v/>
      </c>
      <c r="P183" s="216">
        <f t="shared" si="20"/>
        <v>0</v>
      </c>
      <c r="Q183" s="216">
        <f t="shared" si="21"/>
        <v>0</v>
      </c>
      <c r="R183" s="217" t="str">
        <f t="shared" si="22"/>
        <v/>
      </c>
    </row>
    <row r="184" spans="1:18" ht="15.75" hidden="1" thickBot="1" x14ac:dyDescent="0.3">
      <c r="A184" s="268"/>
      <c r="B184" s="35" t="s">
        <v>776</v>
      </c>
      <c r="C184" s="35" t="s">
        <v>583</v>
      </c>
      <c r="D184" s="36">
        <v>4.7999999999999996E-3</v>
      </c>
      <c r="E184" s="33">
        <v>26.970499999999998</v>
      </c>
      <c r="F184" s="33">
        <f t="shared" si="17"/>
        <v>0.12945839999999997</v>
      </c>
      <c r="G184" s="44"/>
      <c r="H184" s="45"/>
      <c r="I184" s="153">
        <v>0</v>
      </c>
      <c r="K184" s="215">
        <v>4.7999999999999996E-3</v>
      </c>
      <c r="L184" s="33">
        <v>26.970499999999998</v>
      </c>
      <c r="M184" s="33">
        <f t="shared" si="18"/>
        <v>0.12945839999999997</v>
      </c>
      <c r="N184" s="44"/>
      <c r="O184" s="36" t="str">
        <f t="shared" si="19"/>
        <v/>
      </c>
      <c r="P184" s="216">
        <f t="shared" si="20"/>
        <v>0</v>
      </c>
      <c r="Q184" s="216">
        <f t="shared" si="21"/>
        <v>0</v>
      </c>
      <c r="R184" s="217" t="str">
        <f t="shared" si="22"/>
        <v/>
      </c>
    </row>
    <row r="185" spans="1:18" ht="15.75" hidden="1" thickBot="1" x14ac:dyDescent="0.3">
      <c r="A185" s="268"/>
      <c r="B185" s="35" t="s">
        <v>416</v>
      </c>
      <c r="C185" s="35"/>
      <c r="D185" s="92"/>
      <c r="E185" s="30" t="s">
        <v>416</v>
      </c>
      <c r="F185" s="30" t="str">
        <f t="shared" si="17"/>
        <v/>
      </c>
      <c r="G185" s="34"/>
      <c r="H185" s="30"/>
      <c r="I185" s="153">
        <v>0</v>
      </c>
      <c r="K185" s="228"/>
      <c r="L185" s="30" t="s">
        <v>416</v>
      </c>
      <c r="M185" s="30" t="str">
        <f t="shared" si="18"/>
        <v/>
      </c>
      <c r="N185" s="34"/>
      <c r="O185" s="36" t="str">
        <f t="shared" si="19"/>
        <v/>
      </c>
      <c r="P185" s="216" t="str">
        <f t="shared" si="20"/>
        <v/>
      </c>
      <c r="Q185" s="216" t="str">
        <f t="shared" si="21"/>
        <v/>
      </c>
      <c r="R185" s="217" t="str">
        <f t="shared" si="22"/>
        <v/>
      </c>
    </row>
    <row r="186" spans="1:18" ht="15.75" hidden="1" thickBot="1" x14ac:dyDescent="0.3">
      <c r="A186" s="269" t="s">
        <v>6819</v>
      </c>
      <c r="B186" s="40" t="s">
        <v>416</v>
      </c>
      <c r="C186" s="25" t="s">
        <v>773</v>
      </c>
      <c r="D186" s="93"/>
      <c r="E186" s="41" t="s">
        <v>416</v>
      </c>
      <c r="F186" s="41" t="str">
        <f t="shared" si="17"/>
        <v/>
      </c>
      <c r="G186" s="28"/>
      <c r="H186" s="29"/>
      <c r="I186" s="153">
        <v>0</v>
      </c>
      <c r="K186" s="226"/>
      <c r="L186" s="41" t="s">
        <v>416</v>
      </c>
      <c r="M186" s="41" t="str">
        <f t="shared" si="18"/>
        <v/>
      </c>
      <c r="N186" s="28"/>
      <c r="O186" s="36" t="str">
        <f t="shared" si="19"/>
        <v/>
      </c>
      <c r="P186" s="216" t="str">
        <f t="shared" si="20"/>
        <v/>
      </c>
      <c r="Q186" s="216" t="str">
        <f t="shared" si="21"/>
        <v/>
      </c>
      <c r="R186" s="217" t="str">
        <f t="shared" si="22"/>
        <v/>
      </c>
    </row>
    <row r="187" spans="1:18" ht="15.75" hidden="1" thickBot="1" x14ac:dyDescent="0.3">
      <c r="A187" s="268"/>
      <c r="B187" s="31" t="s">
        <v>416</v>
      </c>
      <c r="C187" s="31"/>
      <c r="D187" s="91"/>
      <c r="E187" s="42" t="s">
        <v>416</v>
      </c>
      <c r="F187" s="30" t="str">
        <f t="shared" si="17"/>
        <v/>
      </c>
      <c r="G187" s="34"/>
      <c r="H187" s="30"/>
      <c r="I187" s="153">
        <v>0</v>
      </c>
      <c r="K187" s="227"/>
      <c r="L187" s="42" t="s">
        <v>416</v>
      </c>
      <c r="M187" s="30" t="str">
        <f t="shared" si="18"/>
        <v/>
      </c>
      <c r="N187" s="34"/>
      <c r="O187" s="36" t="str">
        <f t="shared" si="19"/>
        <v/>
      </c>
      <c r="P187" s="216" t="str">
        <f t="shared" si="20"/>
        <v/>
      </c>
      <c r="Q187" s="216" t="str">
        <f t="shared" si="21"/>
        <v/>
      </c>
      <c r="R187" s="217" t="str">
        <f t="shared" si="22"/>
        <v/>
      </c>
    </row>
    <row r="188" spans="1:18" ht="15.75" hidden="1" thickBot="1" x14ac:dyDescent="0.3">
      <c r="A188" s="268"/>
      <c r="B188" s="35" t="s">
        <v>647</v>
      </c>
      <c r="C188" s="35" t="s">
        <v>773</v>
      </c>
      <c r="D188" s="36">
        <v>1.1100000000000001</v>
      </c>
      <c r="E188" s="33">
        <v>8.17</v>
      </c>
      <c r="F188" s="33">
        <f t="shared" si="17"/>
        <v>9.0687000000000015</v>
      </c>
      <c r="G188" s="44">
        <f>SUM(F188:F189)</f>
        <v>9.136126250000002</v>
      </c>
      <c r="H188" s="45"/>
      <c r="I188" s="153">
        <v>0</v>
      </c>
      <c r="K188" s="215">
        <v>1.1100000000000001</v>
      </c>
      <c r="L188" s="33">
        <v>8.17</v>
      </c>
      <c r="M188" s="33">
        <f t="shared" si="18"/>
        <v>9.0687000000000015</v>
      </c>
      <c r="N188" s="44">
        <f>SUM(M188:M189)</f>
        <v>9.136126250000002</v>
      </c>
      <c r="O188" s="36" t="str">
        <f t="shared" si="19"/>
        <v/>
      </c>
      <c r="P188" s="216">
        <f t="shared" si="20"/>
        <v>0</v>
      </c>
      <c r="Q188" s="216">
        <f t="shared" si="21"/>
        <v>0</v>
      </c>
      <c r="R188" s="217">
        <f t="shared" si="22"/>
        <v>0</v>
      </c>
    </row>
    <row r="189" spans="1:18" ht="15.75" hidden="1" thickBot="1" x14ac:dyDescent="0.3">
      <c r="A189" s="268"/>
      <c r="B189" s="35" t="s">
        <v>776</v>
      </c>
      <c r="C189" s="35" t="s">
        <v>583</v>
      </c>
      <c r="D189" s="36">
        <v>2.5000000000000001E-3</v>
      </c>
      <c r="E189" s="33">
        <v>26.970499999999998</v>
      </c>
      <c r="F189" s="33">
        <f t="shared" si="17"/>
        <v>6.7426249999999993E-2</v>
      </c>
      <c r="G189" s="44"/>
      <c r="H189" s="45"/>
      <c r="I189" s="153">
        <v>0</v>
      </c>
      <c r="K189" s="215">
        <v>2.5000000000000001E-3</v>
      </c>
      <c r="L189" s="33">
        <v>26.970499999999998</v>
      </c>
      <c r="M189" s="33">
        <f t="shared" si="18"/>
        <v>6.7426249999999993E-2</v>
      </c>
      <c r="N189" s="44"/>
      <c r="O189" s="36" t="str">
        <f t="shared" si="19"/>
        <v/>
      </c>
      <c r="P189" s="216">
        <f t="shared" si="20"/>
        <v>0</v>
      </c>
      <c r="Q189" s="216">
        <f t="shared" si="21"/>
        <v>0</v>
      </c>
      <c r="R189" s="217" t="str">
        <f t="shared" si="22"/>
        <v/>
      </c>
    </row>
    <row r="190" spans="1:18" ht="15.75" hidden="1" thickBot="1" x14ac:dyDescent="0.3">
      <c r="A190" s="268"/>
      <c r="B190" s="35" t="s">
        <v>416</v>
      </c>
      <c r="C190" s="35"/>
      <c r="D190" s="92"/>
      <c r="E190" s="30" t="s">
        <v>416</v>
      </c>
      <c r="F190" s="30" t="str">
        <f t="shared" si="17"/>
        <v/>
      </c>
      <c r="G190" s="34"/>
      <c r="H190" s="30"/>
      <c r="I190" s="153">
        <v>0</v>
      </c>
      <c r="K190" s="228"/>
      <c r="L190" s="30" t="s">
        <v>416</v>
      </c>
      <c r="M190" s="30" t="str">
        <f t="shared" si="18"/>
        <v/>
      </c>
      <c r="N190" s="34"/>
      <c r="O190" s="36" t="str">
        <f t="shared" si="19"/>
        <v/>
      </c>
      <c r="P190" s="216" t="str">
        <f t="shared" si="20"/>
        <v/>
      </c>
      <c r="Q190" s="216" t="str">
        <f t="shared" si="21"/>
        <v/>
      </c>
      <c r="R190" s="217" t="str">
        <f t="shared" si="22"/>
        <v/>
      </c>
    </row>
    <row r="191" spans="1:18" ht="15.75" hidden="1" thickBot="1" x14ac:dyDescent="0.3">
      <c r="A191" s="269" t="s">
        <v>855</v>
      </c>
      <c r="B191" s="40" t="s">
        <v>416</v>
      </c>
      <c r="C191" s="25" t="s">
        <v>856</v>
      </c>
      <c r="D191" s="93"/>
      <c r="E191" s="41" t="s">
        <v>416</v>
      </c>
      <c r="F191" s="41" t="str">
        <f t="shared" si="17"/>
        <v/>
      </c>
      <c r="G191" s="28"/>
      <c r="H191" s="29"/>
      <c r="I191" s="153">
        <v>0</v>
      </c>
      <c r="K191" s="226"/>
      <c r="L191" s="41" t="s">
        <v>416</v>
      </c>
      <c r="M191" s="41" t="str">
        <f t="shared" si="18"/>
        <v/>
      </c>
      <c r="N191" s="28"/>
      <c r="O191" s="36" t="str">
        <f t="shared" si="19"/>
        <v/>
      </c>
      <c r="P191" s="216" t="str">
        <f t="shared" si="20"/>
        <v/>
      </c>
      <c r="Q191" s="216" t="str">
        <f t="shared" si="21"/>
        <v/>
      </c>
      <c r="R191" s="217" t="str">
        <f t="shared" si="22"/>
        <v/>
      </c>
    </row>
    <row r="192" spans="1:18" ht="15.75" hidden="1" thickBot="1" x14ac:dyDescent="0.3">
      <c r="A192" s="268"/>
      <c r="B192" s="31" t="s">
        <v>416</v>
      </c>
      <c r="C192" s="31"/>
      <c r="D192" s="91"/>
      <c r="E192" s="42" t="s">
        <v>416</v>
      </c>
      <c r="F192" s="30" t="str">
        <f t="shared" si="17"/>
        <v/>
      </c>
      <c r="G192" s="34"/>
      <c r="H192" s="30"/>
      <c r="I192" s="153">
        <v>0</v>
      </c>
      <c r="K192" s="227"/>
      <c r="L192" s="42" t="s">
        <v>416</v>
      </c>
      <c r="M192" s="30" t="str">
        <f t="shared" si="18"/>
        <v/>
      </c>
      <c r="N192" s="34"/>
      <c r="O192" s="36" t="str">
        <f t="shared" si="19"/>
        <v/>
      </c>
      <c r="P192" s="216" t="str">
        <f t="shared" si="20"/>
        <v/>
      </c>
      <c r="Q192" s="216" t="str">
        <f t="shared" si="21"/>
        <v/>
      </c>
      <c r="R192" s="217" t="str">
        <f t="shared" si="22"/>
        <v/>
      </c>
    </row>
    <row r="193" spans="1:18" ht="15.75" hidden="1" thickBot="1" x14ac:dyDescent="0.3">
      <c r="A193" s="268"/>
      <c r="B193" s="35" t="s">
        <v>584</v>
      </c>
      <c r="C193" s="35" t="s">
        <v>583</v>
      </c>
      <c r="D193" s="36">
        <v>0.61180000000000001</v>
      </c>
      <c r="E193" s="33">
        <v>20.225499999999997</v>
      </c>
      <c r="F193" s="33">
        <f t="shared" si="17"/>
        <v>12.373960899999998</v>
      </c>
      <c r="G193" s="44">
        <f>SUM(F193:F193)</f>
        <v>12.373960899999998</v>
      </c>
      <c r="H193" s="45"/>
      <c r="I193" s="153">
        <v>0</v>
      </c>
      <c r="K193" s="215">
        <v>0.61180000000000001</v>
      </c>
      <c r="L193" s="33">
        <v>20.225499999999997</v>
      </c>
      <c r="M193" s="33">
        <f t="shared" si="18"/>
        <v>12.373960899999998</v>
      </c>
      <c r="N193" s="44">
        <f>SUM(M193:M193)</f>
        <v>12.373960899999998</v>
      </c>
      <c r="O193" s="36" t="str">
        <f t="shared" si="19"/>
        <v/>
      </c>
      <c r="P193" s="216">
        <f t="shared" si="20"/>
        <v>0</v>
      </c>
      <c r="Q193" s="216">
        <f t="shared" si="21"/>
        <v>0</v>
      </c>
      <c r="R193" s="217">
        <f t="shared" si="22"/>
        <v>0</v>
      </c>
    </row>
    <row r="194" spans="1:18" ht="15.75" hidden="1" thickBot="1" x14ac:dyDescent="0.3">
      <c r="A194" s="270"/>
      <c r="B194" s="54" t="s">
        <v>416</v>
      </c>
      <c r="C194" s="54"/>
      <c r="D194" s="95"/>
      <c r="E194" s="66" t="s">
        <v>416</v>
      </c>
      <c r="F194" s="66" t="str">
        <f t="shared" si="17"/>
        <v/>
      </c>
      <c r="G194" s="68"/>
      <c r="H194" s="30"/>
      <c r="I194" s="153">
        <v>0</v>
      </c>
      <c r="K194" s="229"/>
      <c r="L194" s="66" t="s">
        <v>416</v>
      </c>
      <c r="M194" s="66" t="str">
        <f t="shared" si="18"/>
        <v/>
      </c>
      <c r="N194" s="68"/>
      <c r="O194" s="36" t="str">
        <f t="shared" si="19"/>
        <v/>
      </c>
      <c r="P194" s="216" t="str">
        <f t="shared" si="20"/>
        <v/>
      </c>
      <c r="Q194" s="216" t="str">
        <f t="shared" si="21"/>
        <v/>
      </c>
      <c r="R194" s="217" t="str">
        <f t="shared" si="22"/>
        <v/>
      </c>
    </row>
    <row r="195" spans="1:18" ht="15.75" hidden="1" thickBot="1" x14ac:dyDescent="0.3">
      <c r="A195" s="269" t="s">
        <v>6584</v>
      </c>
      <c r="B195" s="40" t="s">
        <v>416</v>
      </c>
      <c r="C195" s="25" t="s">
        <v>87</v>
      </c>
      <c r="D195" s="93"/>
      <c r="E195" s="41" t="s">
        <v>416</v>
      </c>
      <c r="F195" s="41" t="str">
        <f t="shared" si="17"/>
        <v/>
      </c>
      <c r="G195" s="28"/>
      <c r="H195" s="29"/>
      <c r="I195" s="153">
        <v>0</v>
      </c>
      <c r="K195" s="226"/>
      <c r="L195" s="41" t="s">
        <v>416</v>
      </c>
      <c r="M195" s="41" t="str">
        <f t="shared" si="18"/>
        <v/>
      </c>
      <c r="N195" s="28"/>
      <c r="O195" s="36" t="str">
        <f t="shared" si="19"/>
        <v/>
      </c>
      <c r="P195" s="216" t="str">
        <f t="shared" si="20"/>
        <v/>
      </c>
      <c r="Q195" s="216" t="str">
        <f t="shared" si="21"/>
        <v/>
      </c>
      <c r="R195" s="217" t="str">
        <f t="shared" si="22"/>
        <v/>
      </c>
    </row>
    <row r="196" spans="1:18" ht="15.75" hidden="1" thickBot="1" x14ac:dyDescent="0.3">
      <c r="A196" s="268"/>
      <c r="B196" s="31" t="s">
        <v>416</v>
      </c>
      <c r="C196" s="31"/>
      <c r="D196" s="91"/>
      <c r="E196" s="42" t="s">
        <v>416</v>
      </c>
      <c r="F196" s="30" t="str">
        <f t="shared" si="17"/>
        <v/>
      </c>
      <c r="G196" s="34"/>
      <c r="H196" s="30"/>
      <c r="I196" s="153">
        <v>0</v>
      </c>
      <c r="K196" s="227"/>
      <c r="L196" s="42" t="s">
        <v>416</v>
      </c>
      <c r="M196" s="30" t="str">
        <f t="shared" si="18"/>
        <v/>
      </c>
      <c r="N196" s="34"/>
      <c r="O196" s="36" t="str">
        <f t="shared" si="19"/>
        <v/>
      </c>
      <c r="P196" s="216" t="str">
        <f t="shared" si="20"/>
        <v/>
      </c>
      <c r="Q196" s="216" t="str">
        <f t="shared" si="21"/>
        <v/>
      </c>
      <c r="R196" s="217" t="str">
        <f t="shared" si="22"/>
        <v/>
      </c>
    </row>
    <row r="197" spans="1:18" ht="15.75" hidden="1" thickBot="1" x14ac:dyDescent="0.3">
      <c r="A197" s="268"/>
      <c r="B197" s="35" t="s">
        <v>862</v>
      </c>
      <c r="C197" s="35" t="s">
        <v>583</v>
      </c>
      <c r="D197" s="36">
        <v>2.4590000000000001</v>
      </c>
      <c r="E197" s="33">
        <v>26.799499999999998</v>
      </c>
      <c r="F197" s="33">
        <f t="shared" si="17"/>
        <v>65.899970499999995</v>
      </c>
      <c r="G197" s="44">
        <f>SUM(F197:F201)</f>
        <v>283.74220949999994</v>
      </c>
      <c r="H197" s="45"/>
      <c r="I197" s="153">
        <v>0</v>
      </c>
      <c r="K197" s="215">
        <v>2.4590000000000001</v>
      </c>
      <c r="L197" s="33">
        <v>26.799499999999998</v>
      </c>
      <c r="M197" s="33">
        <f t="shared" si="18"/>
        <v>65.899970499999995</v>
      </c>
      <c r="N197" s="44">
        <f>SUM(M197:M201)</f>
        <v>283.74220949999994</v>
      </c>
      <c r="O197" s="36" t="str">
        <f t="shared" si="19"/>
        <v/>
      </c>
      <c r="P197" s="216">
        <f t="shared" si="20"/>
        <v>0</v>
      </c>
      <c r="Q197" s="216">
        <f t="shared" si="21"/>
        <v>0</v>
      </c>
      <c r="R197" s="217">
        <f t="shared" si="22"/>
        <v>0</v>
      </c>
    </row>
    <row r="198" spans="1:18" ht="15.75" hidden="1" thickBot="1" x14ac:dyDescent="0.3">
      <c r="A198" s="268"/>
      <c r="B198" s="35" t="s">
        <v>591</v>
      </c>
      <c r="C198" s="35" t="s">
        <v>583</v>
      </c>
      <c r="D198" s="36">
        <v>2.4590000000000001</v>
      </c>
      <c r="E198" s="33">
        <v>27.160499999999999</v>
      </c>
      <c r="F198" s="33">
        <f t="shared" ref="F198:F261" si="23">IF(ISNUMBER(E198),E198*$D198,"")</f>
        <v>66.787669499999993</v>
      </c>
      <c r="G198" s="44"/>
      <c r="H198" s="45"/>
      <c r="I198" s="153">
        <v>0</v>
      </c>
      <c r="K198" s="215">
        <v>2.4590000000000001</v>
      </c>
      <c r="L198" s="33">
        <v>27.160499999999999</v>
      </c>
      <c r="M198" s="33">
        <f t="shared" si="18"/>
        <v>66.787669499999993</v>
      </c>
      <c r="N198" s="44"/>
      <c r="O198" s="36" t="str">
        <f t="shared" si="19"/>
        <v/>
      </c>
      <c r="P198" s="216">
        <f t="shared" si="20"/>
        <v>0</v>
      </c>
      <c r="Q198" s="216">
        <f t="shared" si="21"/>
        <v>0</v>
      </c>
      <c r="R198" s="217" t="str">
        <f t="shared" si="22"/>
        <v/>
      </c>
    </row>
    <row r="199" spans="1:18" ht="15.75" hidden="1" thickBot="1" x14ac:dyDescent="0.3">
      <c r="A199" s="268"/>
      <c r="B199" s="35" t="s">
        <v>584</v>
      </c>
      <c r="C199" s="35" t="s">
        <v>583</v>
      </c>
      <c r="D199" s="36">
        <v>7.3769999999999998</v>
      </c>
      <c r="E199" s="30">
        <v>20.225499999999997</v>
      </c>
      <c r="F199" s="33">
        <f t="shared" si="23"/>
        <v>149.20351349999996</v>
      </c>
      <c r="G199" s="44"/>
      <c r="H199" s="45"/>
      <c r="I199" s="153">
        <v>0</v>
      </c>
      <c r="K199" s="215">
        <v>7.3769999999999998</v>
      </c>
      <c r="L199" s="30">
        <v>20.225499999999997</v>
      </c>
      <c r="M199" s="33">
        <f t="shared" si="18"/>
        <v>149.20351349999996</v>
      </c>
      <c r="N199" s="44"/>
      <c r="O199" s="36" t="str">
        <f t="shared" si="19"/>
        <v/>
      </c>
      <c r="P199" s="216">
        <f t="shared" si="20"/>
        <v>0</v>
      </c>
      <c r="Q199" s="216">
        <f t="shared" si="21"/>
        <v>0</v>
      </c>
      <c r="R199" s="217" t="str">
        <f t="shared" si="22"/>
        <v/>
      </c>
    </row>
    <row r="200" spans="1:18" ht="26.25" hidden="1" thickBot="1" x14ac:dyDescent="0.3">
      <c r="A200" s="268"/>
      <c r="B200" s="35" t="s">
        <v>1011</v>
      </c>
      <c r="C200" s="35" t="s">
        <v>813</v>
      </c>
      <c r="D200" s="36">
        <v>1.042</v>
      </c>
      <c r="E200" s="30">
        <v>1.1304999999999998</v>
      </c>
      <c r="F200" s="94">
        <f t="shared" si="23"/>
        <v>1.1779809999999999</v>
      </c>
      <c r="G200" s="44"/>
      <c r="H200" s="45"/>
      <c r="I200" s="153">
        <v>0</v>
      </c>
      <c r="K200" s="215">
        <v>1.042</v>
      </c>
      <c r="L200" s="30">
        <v>1.1304999999999998</v>
      </c>
      <c r="M200" s="94">
        <f t="shared" ref="M200:M263" si="24">IF(ISNUMBER(L200),K200*L200,"")</f>
        <v>1.1779809999999999</v>
      </c>
      <c r="N200" s="44"/>
      <c r="O200" s="36" t="str">
        <f t="shared" ref="O200:O263" si="25">IF(ISBLANK(K200),"",IF($D200&lt;&gt;K200,"SIM",""))</f>
        <v/>
      </c>
      <c r="P200" s="216">
        <f t="shared" ref="P200:P263" si="26">IF(L200="","",1-L200/$E200)</f>
        <v>0</v>
      </c>
      <c r="Q200" s="216">
        <f t="shared" ref="Q200:Q263" si="27">IF(M200="","",1-M200/$F200)</f>
        <v>0</v>
      </c>
      <c r="R200" s="217" t="str">
        <f t="shared" ref="R200:R263" si="28">IF(G200="","",1-N200/$G200)</f>
        <v/>
      </c>
    </row>
    <row r="201" spans="1:18" ht="26.25" hidden="1" thickBot="1" x14ac:dyDescent="0.3">
      <c r="A201" s="268"/>
      <c r="B201" s="35" t="s">
        <v>1012</v>
      </c>
      <c r="C201" s="35" t="s">
        <v>815</v>
      </c>
      <c r="D201" s="36">
        <v>1.417</v>
      </c>
      <c r="E201" s="30">
        <v>0.47499999999999998</v>
      </c>
      <c r="F201" s="94">
        <f t="shared" si="23"/>
        <v>0.67307499999999998</v>
      </c>
      <c r="G201" s="44"/>
      <c r="H201" s="45"/>
      <c r="I201" s="153">
        <v>0</v>
      </c>
      <c r="K201" s="215">
        <v>1.417</v>
      </c>
      <c r="L201" s="30">
        <v>0.47499999999999998</v>
      </c>
      <c r="M201" s="94">
        <f t="shared" si="24"/>
        <v>0.67307499999999998</v>
      </c>
      <c r="N201" s="44"/>
      <c r="O201" s="36" t="str">
        <f t="shared" si="25"/>
        <v/>
      </c>
      <c r="P201" s="216">
        <f t="shared" si="26"/>
        <v>0</v>
      </c>
      <c r="Q201" s="216">
        <f t="shared" si="27"/>
        <v>0</v>
      </c>
      <c r="R201" s="217" t="str">
        <f t="shared" si="28"/>
        <v/>
      </c>
    </row>
    <row r="202" spans="1:18" ht="15.75" hidden="1" thickBot="1" x14ac:dyDescent="0.3">
      <c r="A202" s="268"/>
      <c r="B202" s="35"/>
      <c r="C202" s="35"/>
      <c r="D202" s="92"/>
      <c r="E202" s="30" t="s">
        <v>416</v>
      </c>
      <c r="F202" s="30" t="str">
        <f t="shared" si="23"/>
        <v/>
      </c>
      <c r="G202" s="34"/>
      <c r="H202" s="30"/>
      <c r="I202" s="153">
        <v>0</v>
      </c>
      <c r="K202" s="228"/>
      <c r="L202" s="30" t="s">
        <v>416</v>
      </c>
      <c r="M202" s="30" t="str">
        <f t="shared" si="24"/>
        <v/>
      </c>
      <c r="N202" s="34"/>
      <c r="O202" s="36" t="str">
        <f t="shared" si="25"/>
        <v/>
      </c>
      <c r="P202" s="216" t="str">
        <f t="shared" si="26"/>
        <v/>
      </c>
      <c r="Q202" s="216" t="str">
        <f t="shared" si="27"/>
        <v/>
      </c>
      <c r="R202" s="217" t="str">
        <f t="shared" si="28"/>
        <v/>
      </c>
    </row>
    <row r="203" spans="1:18" ht="15.75" thickBot="1" x14ac:dyDescent="0.3">
      <c r="A203" s="269" t="s">
        <v>3068</v>
      </c>
      <c r="B203" s="40" t="s">
        <v>416</v>
      </c>
      <c r="C203" s="25" t="s">
        <v>89</v>
      </c>
      <c r="D203" s="93"/>
      <c r="E203" s="41" t="s">
        <v>416</v>
      </c>
      <c r="F203" s="41" t="str">
        <f t="shared" si="23"/>
        <v/>
      </c>
      <c r="G203" s="28"/>
      <c r="H203" s="29"/>
      <c r="I203" s="153">
        <v>300</v>
      </c>
      <c r="K203" s="226"/>
      <c r="L203" s="41" t="s">
        <v>416</v>
      </c>
      <c r="M203" s="41" t="str">
        <f t="shared" si="24"/>
        <v/>
      </c>
      <c r="N203" s="28"/>
      <c r="O203" s="36" t="str">
        <f t="shared" si="25"/>
        <v/>
      </c>
      <c r="P203" s="216" t="str">
        <f t="shared" si="26"/>
        <v/>
      </c>
      <c r="Q203" s="216" t="str">
        <f t="shared" si="27"/>
        <v/>
      </c>
      <c r="R203" s="217" t="str">
        <f t="shared" si="28"/>
        <v/>
      </c>
    </row>
    <row r="204" spans="1:18" x14ac:dyDescent="0.25">
      <c r="A204" s="268"/>
      <c r="B204" s="31" t="s">
        <v>416</v>
      </c>
      <c r="C204" s="31"/>
      <c r="D204" s="91"/>
      <c r="E204" s="42" t="s">
        <v>416</v>
      </c>
      <c r="F204" s="30" t="str">
        <f t="shared" si="23"/>
        <v/>
      </c>
      <c r="G204" s="34"/>
      <c r="H204" s="30"/>
      <c r="I204" s="153">
        <v>300</v>
      </c>
      <c r="K204" s="227"/>
      <c r="L204" s="42" t="s">
        <v>416</v>
      </c>
      <c r="M204" s="30" t="str">
        <f t="shared" si="24"/>
        <v/>
      </c>
      <c r="N204" s="34"/>
      <c r="O204" s="36" t="str">
        <f t="shared" si="25"/>
        <v/>
      </c>
      <c r="P204" s="216" t="str">
        <f t="shared" si="26"/>
        <v/>
      </c>
      <c r="Q204" s="216" t="str">
        <f t="shared" si="27"/>
        <v/>
      </c>
      <c r="R204" s="217" t="str">
        <f t="shared" si="28"/>
        <v/>
      </c>
    </row>
    <row r="205" spans="1:18" ht="51" x14ac:dyDescent="0.25">
      <c r="A205" s="268"/>
      <c r="B205" s="35" t="s">
        <v>939</v>
      </c>
      <c r="C205" s="35" t="s">
        <v>813</v>
      </c>
      <c r="D205" s="36">
        <v>1.3899999999999999E-2</v>
      </c>
      <c r="E205" s="33">
        <v>169.09049999999999</v>
      </c>
      <c r="F205" s="33">
        <f t="shared" si="23"/>
        <v>2.3503579499999998</v>
      </c>
      <c r="G205" s="44">
        <f>SUM(F205:F206)</f>
        <v>2.6576449499999999</v>
      </c>
      <c r="H205" s="45"/>
      <c r="I205" s="153">
        <v>300</v>
      </c>
      <c r="K205" s="215">
        <v>1.3899999999999999E-2</v>
      </c>
      <c r="L205" s="33">
        <v>169.09049999999999</v>
      </c>
      <c r="M205" s="33">
        <f t="shared" si="24"/>
        <v>2.3503579499999998</v>
      </c>
      <c r="N205" s="44">
        <f>SUM(M205:M206)</f>
        <v>2.6576449499999999</v>
      </c>
      <c r="O205" s="36" t="str">
        <f t="shared" si="25"/>
        <v/>
      </c>
      <c r="P205" s="216">
        <f t="shared" si="26"/>
        <v>0</v>
      </c>
      <c r="Q205" s="216">
        <f t="shared" si="27"/>
        <v>0</v>
      </c>
      <c r="R205" s="217">
        <f t="shared" si="28"/>
        <v>0</v>
      </c>
    </row>
    <row r="206" spans="1:18" ht="51" x14ac:dyDescent="0.25">
      <c r="A206" s="268"/>
      <c r="B206" s="35" t="s">
        <v>940</v>
      </c>
      <c r="C206" s="35" t="s">
        <v>815</v>
      </c>
      <c r="D206" s="36">
        <v>6.0000000000000001E-3</v>
      </c>
      <c r="E206" s="33">
        <v>51.214499999999994</v>
      </c>
      <c r="F206" s="33">
        <f t="shared" si="23"/>
        <v>0.30728699999999998</v>
      </c>
      <c r="G206" s="44"/>
      <c r="H206" s="45"/>
      <c r="I206" s="153">
        <v>300</v>
      </c>
      <c r="K206" s="215">
        <v>6.0000000000000001E-3</v>
      </c>
      <c r="L206" s="33">
        <v>51.214499999999994</v>
      </c>
      <c r="M206" s="33">
        <f t="shared" si="24"/>
        <v>0.30728699999999998</v>
      </c>
      <c r="N206" s="44"/>
      <c r="O206" s="36" t="str">
        <f t="shared" si="25"/>
        <v/>
      </c>
      <c r="P206" s="216">
        <f t="shared" si="26"/>
        <v>0</v>
      </c>
      <c r="Q206" s="216">
        <f t="shared" si="27"/>
        <v>0</v>
      </c>
      <c r="R206" s="217" t="str">
        <f t="shared" si="28"/>
        <v/>
      </c>
    </row>
    <row r="207" spans="1:18" ht="15.75" thickBot="1" x14ac:dyDescent="0.3">
      <c r="A207" s="270"/>
      <c r="B207" s="54" t="s">
        <v>416</v>
      </c>
      <c r="C207" s="54"/>
      <c r="D207" s="95"/>
      <c r="E207" s="66" t="s">
        <v>416</v>
      </c>
      <c r="F207" s="66" t="str">
        <f t="shared" si="23"/>
        <v/>
      </c>
      <c r="G207" s="68"/>
      <c r="H207" s="30"/>
      <c r="I207" s="153">
        <v>300</v>
      </c>
      <c r="K207" s="229"/>
      <c r="L207" s="66" t="s">
        <v>416</v>
      </c>
      <c r="M207" s="66" t="str">
        <f t="shared" si="24"/>
        <v/>
      </c>
      <c r="N207" s="68"/>
      <c r="O207" s="36" t="str">
        <f t="shared" si="25"/>
        <v/>
      </c>
      <c r="P207" s="216" t="str">
        <f t="shared" si="26"/>
        <v/>
      </c>
      <c r="Q207" s="216" t="str">
        <f t="shared" si="27"/>
        <v/>
      </c>
      <c r="R207" s="217" t="str">
        <f t="shared" si="28"/>
        <v/>
      </c>
    </row>
    <row r="208" spans="1:18" ht="15.75" hidden="1" thickBot="1" x14ac:dyDescent="0.3">
      <c r="A208" s="269" t="s">
        <v>3066</v>
      </c>
      <c r="B208" s="40" t="s">
        <v>416</v>
      </c>
      <c r="C208" s="25" t="s">
        <v>630</v>
      </c>
      <c r="D208" s="93"/>
      <c r="E208" s="41" t="s">
        <v>416</v>
      </c>
      <c r="F208" s="41" t="str">
        <f t="shared" si="23"/>
        <v/>
      </c>
      <c r="G208" s="28"/>
      <c r="H208" s="29"/>
      <c r="I208" s="153">
        <v>0</v>
      </c>
      <c r="K208" s="226"/>
      <c r="L208" s="41" t="s">
        <v>416</v>
      </c>
      <c r="M208" s="41" t="str">
        <f t="shared" si="24"/>
        <v/>
      </c>
      <c r="N208" s="28"/>
      <c r="O208" s="36" t="str">
        <f t="shared" si="25"/>
        <v/>
      </c>
      <c r="P208" s="216" t="str">
        <f t="shared" si="26"/>
        <v/>
      </c>
      <c r="Q208" s="216" t="str">
        <f t="shared" si="27"/>
        <v/>
      </c>
      <c r="R208" s="217" t="str">
        <f t="shared" si="28"/>
        <v/>
      </c>
    </row>
    <row r="209" spans="1:18" ht="15.75" hidden="1" thickBot="1" x14ac:dyDescent="0.3">
      <c r="A209" s="268"/>
      <c r="B209" s="31" t="s">
        <v>416</v>
      </c>
      <c r="C209" s="31"/>
      <c r="D209" s="91"/>
      <c r="E209" s="42" t="s">
        <v>416</v>
      </c>
      <c r="F209" s="30" t="str">
        <f t="shared" si="23"/>
        <v/>
      </c>
      <c r="G209" s="34"/>
      <c r="H209" s="30"/>
      <c r="I209" s="153">
        <v>0</v>
      </c>
      <c r="K209" s="227"/>
      <c r="L209" s="42" t="s">
        <v>416</v>
      </c>
      <c r="M209" s="30" t="str">
        <f t="shared" si="24"/>
        <v/>
      </c>
      <c r="N209" s="34"/>
      <c r="O209" s="36" t="str">
        <f t="shared" si="25"/>
        <v/>
      </c>
      <c r="P209" s="216" t="str">
        <f t="shared" si="26"/>
        <v/>
      </c>
      <c r="Q209" s="216" t="str">
        <f t="shared" si="27"/>
        <v/>
      </c>
      <c r="R209" s="217" t="str">
        <f t="shared" si="28"/>
        <v/>
      </c>
    </row>
    <row r="210" spans="1:18" ht="51.75" hidden="1" thickBot="1" x14ac:dyDescent="0.3">
      <c r="A210" s="268"/>
      <c r="B210" s="35" t="s">
        <v>939</v>
      </c>
      <c r="C210" s="35" t="s">
        <v>813</v>
      </c>
      <c r="D210" s="36">
        <v>9.2999999999999992E-3</v>
      </c>
      <c r="E210" s="33">
        <v>169.09049999999999</v>
      </c>
      <c r="F210" s="33">
        <f t="shared" si="23"/>
        <v>1.5725416499999998</v>
      </c>
      <c r="G210" s="44">
        <f>SUM(F210:F211)</f>
        <v>1.7773996499999998</v>
      </c>
      <c r="H210" s="45"/>
      <c r="I210" s="153">
        <v>0</v>
      </c>
      <c r="K210" s="215">
        <v>9.2999999999999992E-3</v>
      </c>
      <c r="L210" s="33">
        <v>169.09049999999999</v>
      </c>
      <c r="M210" s="33">
        <f t="shared" si="24"/>
        <v>1.5725416499999998</v>
      </c>
      <c r="N210" s="44">
        <f>SUM(M210:M211)</f>
        <v>1.7773996499999998</v>
      </c>
      <c r="O210" s="36" t="str">
        <f t="shared" si="25"/>
        <v/>
      </c>
      <c r="P210" s="216">
        <f t="shared" si="26"/>
        <v>0</v>
      </c>
      <c r="Q210" s="216">
        <f t="shared" si="27"/>
        <v>0</v>
      </c>
      <c r="R210" s="217">
        <f t="shared" si="28"/>
        <v>0</v>
      </c>
    </row>
    <row r="211" spans="1:18" ht="51.75" hidden="1" thickBot="1" x14ac:dyDescent="0.3">
      <c r="A211" s="268"/>
      <c r="B211" s="35" t="s">
        <v>940</v>
      </c>
      <c r="C211" s="35" t="s">
        <v>815</v>
      </c>
      <c r="D211" s="36">
        <v>4.0000000000000001E-3</v>
      </c>
      <c r="E211" s="33">
        <v>51.214499999999994</v>
      </c>
      <c r="F211" s="33">
        <f t="shared" si="23"/>
        <v>0.20485799999999998</v>
      </c>
      <c r="G211" s="44"/>
      <c r="H211" s="45"/>
      <c r="I211" s="153">
        <v>0</v>
      </c>
      <c r="K211" s="215">
        <v>4.0000000000000001E-3</v>
      </c>
      <c r="L211" s="33">
        <v>51.214499999999994</v>
      </c>
      <c r="M211" s="33">
        <f t="shared" si="24"/>
        <v>0.20485799999999998</v>
      </c>
      <c r="N211" s="44"/>
      <c r="O211" s="36" t="str">
        <f t="shared" si="25"/>
        <v/>
      </c>
      <c r="P211" s="216">
        <f t="shared" si="26"/>
        <v>0</v>
      </c>
      <c r="Q211" s="216">
        <f t="shared" si="27"/>
        <v>0</v>
      </c>
      <c r="R211" s="217" t="str">
        <f t="shared" si="28"/>
        <v/>
      </c>
    </row>
    <row r="212" spans="1:18" ht="15.75" hidden="1" thickBot="1" x14ac:dyDescent="0.3">
      <c r="A212" s="270"/>
      <c r="B212" s="54" t="s">
        <v>416</v>
      </c>
      <c r="C212" s="54"/>
      <c r="D212" s="95"/>
      <c r="E212" s="66" t="s">
        <v>416</v>
      </c>
      <c r="F212" s="66" t="str">
        <f t="shared" si="23"/>
        <v/>
      </c>
      <c r="G212" s="68"/>
      <c r="H212" s="30"/>
      <c r="I212" s="153">
        <v>0</v>
      </c>
      <c r="K212" s="229"/>
      <c r="L212" s="66" t="s">
        <v>416</v>
      </c>
      <c r="M212" s="66" t="str">
        <f t="shared" si="24"/>
        <v/>
      </c>
      <c r="N212" s="68"/>
      <c r="O212" s="36" t="str">
        <f t="shared" si="25"/>
        <v/>
      </c>
      <c r="P212" s="216" t="str">
        <f t="shared" si="26"/>
        <v/>
      </c>
      <c r="Q212" s="216" t="str">
        <f t="shared" si="27"/>
        <v/>
      </c>
      <c r="R212" s="217" t="str">
        <f t="shared" si="28"/>
        <v/>
      </c>
    </row>
    <row r="213" spans="1:18" ht="15.75" hidden="1" thickBot="1" x14ac:dyDescent="0.3">
      <c r="A213" s="269" t="s">
        <v>5737</v>
      </c>
      <c r="B213" s="40" t="s">
        <v>416</v>
      </c>
      <c r="C213" s="25" t="s">
        <v>87</v>
      </c>
      <c r="D213" s="93"/>
      <c r="E213" s="41" t="s">
        <v>416</v>
      </c>
      <c r="F213" s="41" t="str">
        <f t="shared" si="23"/>
        <v/>
      </c>
      <c r="G213" s="28"/>
      <c r="H213" s="29"/>
      <c r="I213" s="153">
        <v>0</v>
      </c>
      <c r="K213" s="226"/>
      <c r="L213" s="41" t="s">
        <v>416</v>
      </c>
      <c r="M213" s="41" t="str">
        <f t="shared" si="24"/>
        <v/>
      </c>
      <c r="N213" s="28"/>
      <c r="O213" s="36" t="str">
        <f t="shared" si="25"/>
        <v/>
      </c>
      <c r="P213" s="216" t="str">
        <f t="shared" si="26"/>
        <v/>
      </c>
      <c r="Q213" s="216" t="str">
        <f t="shared" si="27"/>
        <v/>
      </c>
      <c r="R213" s="217" t="str">
        <f t="shared" si="28"/>
        <v/>
      </c>
    </row>
    <row r="214" spans="1:18" ht="15.75" hidden="1" thickBot="1" x14ac:dyDescent="0.3">
      <c r="A214" s="268"/>
      <c r="B214" s="31" t="s">
        <v>416</v>
      </c>
      <c r="C214" s="31"/>
      <c r="D214" s="91"/>
      <c r="E214" s="42" t="s">
        <v>416</v>
      </c>
      <c r="F214" s="30" t="str">
        <f t="shared" si="23"/>
        <v/>
      </c>
      <c r="G214" s="34"/>
      <c r="H214" s="30"/>
      <c r="I214" s="153">
        <v>0</v>
      </c>
      <c r="K214" s="227"/>
      <c r="L214" s="42" t="s">
        <v>416</v>
      </c>
      <c r="M214" s="30" t="str">
        <f t="shared" si="24"/>
        <v/>
      </c>
      <c r="N214" s="34"/>
      <c r="O214" s="36" t="str">
        <f t="shared" si="25"/>
        <v/>
      </c>
      <c r="P214" s="216" t="str">
        <f t="shared" si="26"/>
        <v/>
      </c>
      <c r="Q214" s="216" t="str">
        <f t="shared" si="27"/>
        <v/>
      </c>
      <c r="R214" s="217" t="str">
        <f t="shared" si="28"/>
        <v/>
      </c>
    </row>
    <row r="215" spans="1:18" ht="26.25" hidden="1" thickBot="1" x14ac:dyDescent="0.3">
      <c r="A215" s="268"/>
      <c r="B215" s="35" t="s">
        <v>7985</v>
      </c>
      <c r="C215" s="35" t="s">
        <v>87</v>
      </c>
      <c r="D215" s="36">
        <v>0.76090000000000002</v>
      </c>
      <c r="E215" s="33">
        <v>202.33099999999999</v>
      </c>
      <c r="F215" s="33">
        <f t="shared" si="23"/>
        <v>153.9536579</v>
      </c>
      <c r="G215" s="44">
        <f>SUM(F215:F223)</f>
        <v>616.29413234365495</v>
      </c>
      <c r="H215" s="45"/>
      <c r="I215" s="153">
        <v>0</v>
      </c>
      <c r="K215" s="215">
        <v>0.76090000000000002</v>
      </c>
      <c r="L215" s="33">
        <v>202.33099999999999</v>
      </c>
      <c r="M215" s="33">
        <f t="shared" si="24"/>
        <v>153.9536579</v>
      </c>
      <c r="N215" s="44">
        <f>SUM(M215:M223)</f>
        <v>616.29413234365495</v>
      </c>
      <c r="O215" s="36" t="str">
        <f t="shared" si="25"/>
        <v/>
      </c>
      <c r="P215" s="216">
        <f t="shared" si="26"/>
        <v>0</v>
      </c>
      <c r="Q215" s="216">
        <f t="shared" si="27"/>
        <v>0</v>
      </c>
      <c r="R215" s="217">
        <f t="shared" si="28"/>
        <v>0</v>
      </c>
    </row>
    <row r="216" spans="1:18" ht="15.75" hidden="1" thickBot="1" x14ac:dyDescent="0.3">
      <c r="A216" s="268"/>
      <c r="B216" s="35" t="s">
        <v>8065</v>
      </c>
      <c r="C216" s="35" t="s">
        <v>773</v>
      </c>
      <c r="D216" s="36">
        <v>325.15890000000002</v>
      </c>
      <c r="E216" s="33">
        <v>0.627</v>
      </c>
      <c r="F216" s="33">
        <f t="shared" si="23"/>
        <v>203.87463030000001</v>
      </c>
      <c r="G216" s="44"/>
      <c r="H216" s="45"/>
      <c r="I216" s="153">
        <v>0</v>
      </c>
      <c r="K216" s="215">
        <v>325.15890000000002</v>
      </c>
      <c r="L216" s="33">
        <v>0.627</v>
      </c>
      <c r="M216" s="33">
        <f t="shared" si="24"/>
        <v>203.87463030000001</v>
      </c>
      <c r="N216" s="44"/>
      <c r="O216" s="36" t="str">
        <f t="shared" si="25"/>
        <v/>
      </c>
      <c r="P216" s="216">
        <f t="shared" si="26"/>
        <v>0</v>
      </c>
      <c r="Q216" s="216">
        <f t="shared" si="27"/>
        <v>0</v>
      </c>
      <c r="R216" s="217" t="str">
        <f t="shared" si="28"/>
        <v/>
      </c>
    </row>
    <row r="217" spans="1:18" ht="26.25" hidden="1" thickBot="1" x14ac:dyDescent="0.3">
      <c r="A217" s="268"/>
      <c r="B217" s="35" t="s">
        <v>8311</v>
      </c>
      <c r="C217" s="35" t="s">
        <v>87</v>
      </c>
      <c r="D217" s="36">
        <v>0.59119999999999995</v>
      </c>
      <c r="E217" s="33">
        <v>176.453</v>
      </c>
      <c r="F217" s="33">
        <f t="shared" si="23"/>
        <v>104.31901359999999</v>
      </c>
      <c r="G217" s="44"/>
      <c r="H217" s="45"/>
      <c r="I217" s="153">
        <v>0</v>
      </c>
      <c r="K217" s="215">
        <v>0.59119999999999995</v>
      </c>
      <c r="L217" s="33">
        <v>176.453</v>
      </c>
      <c r="M217" s="33">
        <f t="shared" si="24"/>
        <v>104.31901359999999</v>
      </c>
      <c r="N217" s="44"/>
      <c r="O217" s="36" t="str">
        <f t="shared" si="25"/>
        <v/>
      </c>
      <c r="P217" s="216">
        <f t="shared" si="26"/>
        <v>0</v>
      </c>
      <c r="Q217" s="216">
        <f t="shared" si="27"/>
        <v>0</v>
      </c>
      <c r="R217" s="217" t="str">
        <f t="shared" si="28"/>
        <v/>
      </c>
    </row>
    <row r="218" spans="1:18" ht="15.75" hidden="1" thickBot="1" x14ac:dyDescent="0.3">
      <c r="A218" s="268"/>
      <c r="B218" s="35" t="s">
        <v>584</v>
      </c>
      <c r="C218" s="35" t="s">
        <v>583</v>
      </c>
      <c r="D218" s="36">
        <v>2.0266999999999999</v>
      </c>
      <c r="E218" s="30">
        <v>20.225499999999997</v>
      </c>
      <c r="F218" s="33">
        <f t="shared" si="23"/>
        <v>40.991020849999991</v>
      </c>
      <c r="G218" s="44"/>
      <c r="H218" s="45"/>
      <c r="I218" s="153">
        <v>0</v>
      </c>
      <c r="K218" s="215">
        <v>2.0266999999999999</v>
      </c>
      <c r="L218" s="30">
        <v>20.225499999999997</v>
      </c>
      <c r="M218" s="33">
        <f t="shared" si="24"/>
        <v>40.991020849999991</v>
      </c>
      <c r="N218" s="44"/>
      <c r="O218" s="36" t="str">
        <f t="shared" si="25"/>
        <v/>
      </c>
      <c r="P218" s="216">
        <f t="shared" si="26"/>
        <v>0</v>
      </c>
      <c r="Q218" s="216">
        <f t="shared" si="27"/>
        <v>0</v>
      </c>
      <c r="R218" s="217" t="str">
        <f t="shared" si="28"/>
        <v/>
      </c>
    </row>
    <row r="219" spans="1:18" ht="26.25" hidden="1" thickBot="1" x14ac:dyDescent="0.3">
      <c r="A219" s="268"/>
      <c r="B219" s="35" t="s">
        <v>1271</v>
      </c>
      <c r="C219" s="35" t="s">
        <v>583</v>
      </c>
      <c r="D219" s="36">
        <v>1.2767999999999999</v>
      </c>
      <c r="E219" s="30">
        <v>20.291999999999998</v>
      </c>
      <c r="F219" s="94">
        <f t="shared" si="23"/>
        <v>25.908825599999997</v>
      </c>
      <c r="G219" s="44"/>
      <c r="H219" s="45"/>
      <c r="I219" s="153">
        <v>0</v>
      </c>
      <c r="K219" s="215">
        <v>1.2767999999999999</v>
      </c>
      <c r="L219" s="30">
        <v>20.291999999999998</v>
      </c>
      <c r="M219" s="94">
        <f t="shared" si="24"/>
        <v>25.908825599999997</v>
      </c>
      <c r="N219" s="44"/>
      <c r="O219" s="36" t="str">
        <f t="shared" si="25"/>
        <v/>
      </c>
      <c r="P219" s="216">
        <f t="shared" si="26"/>
        <v>0</v>
      </c>
      <c r="Q219" s="216">
        <f t="shared" si="27"/>
        <v>0</v>
      </c>
      <c r="R219" s="217" t="str">
        <f t="shared" si="28"/>
        <v/>
      </c>
    </row>
    <row r="220" spans="1:18" ht="39" hidden="1" thickBot="1" x14ac:dyDescent="0.3">
      <c r="A220" s="268"/>
      <c r="B220" s="35" t="s">
        <v>1218</v>
      </c>
      <c r="C220" s="35" t="s">
        <v>813</v>
      </c>
      <c r="D220" s="36">
        <v>0.65720000000000001</v>
      </c>
      <c r="E220" s="30">
        <v>5.1395</v>
      </c>
      <c r="F220" s="94">
        <f t="shared" si="23"/>
        <v>3.3776793999999999</v>
      </c>
      <c r="G220" s="44"/>
      <c r="H220" s="45"/>
      <c r="I220" s="153">
        <v>0</v>
      </c>
      <c r="K220" s="215">
        <v>0.65720000000000001</v>
      </c>
      <c r="L220" s="30">
        <v>5.1395</v>
      </c>
      <c r="M220" s="94">
        <f t="shared" si="24"/>
        <v>3.3776793999999999</v>
      </c>
      <c r="N220" s="44"/>
      <c r="O220" s="36" t="str">
        <f t="shared" si="25"/>
        <v/>
      </c>
      <c r="P220" s="216">
        <f t="shared" si="26"/>
        <v>0</v>
      </c>
      <c r="Q220" s="216">
        <f t="shared" si="27"/>
        <v>0</v>
      </c>
      <c r="R220" s="217" t="str">
        <f t="shared" si="28"/>
        <v/>
      </c>
    </row>
    <row r="221" spans="1:18" ht="39" hidden="1" thickBot="1" x14ac:dyDescent="0.3">
      <c r="A221" s="268"/>
      <c r="B221" s="35" t="s">
        <v>1272</v>
      </c>
      <c r="C221" s="35" t="s">
        <v>815</v>
      </c>
      <c r="D221" s="36">
        <v>0.61970000000000003</v>
      </c>
      <c r="E221" s="30">
        <v>1.7954999999999999</v>
      </c>
      <c r="F221" s="33">
        <f t="shared" si="23"/>
        <v>1.1126713500000001</v>
      </c>
      <c r="G221" s="44"/>
      <c r="H221" s="45"/>
      <c r="I221" s="153">
        <v>0</v>
      </c>
      <c r="K221" s="215">
        <v>0.61970000000000003</v>
      </c>
      <c r="L221" s="30">
        <v>1.7954999999999999</v>
      </c>
      <c r="M221" s="33">
        <f t="shared" si="24"/>
        <v>1.1126713500000001</v>
      </c>
      <c r="N221" s="44"/>
      <c r="O221" s="36" t="str">
        <f t="shared" si="25"/>
        <v/>
      </c>
      <c r="P221" s="216">
        <f t="shared" si="26"/>
        <v>0</v>
      </c>
      <c r="Q221" s="216">
        <f t="shared" si="27"/>
        <v>0</v>
      </c>
      <c r="R221" s="217" t="str">
        <f t="shared" si="28"/>
        <v/>
      </c>
    </row>
    <row r="222" spans="1:18" ht="51.75" hidden="1" thickBot="1" x14ac:dyDescent="0.3">
      <c r="A222" s="268"/>
      <c r="B222" s="35" t="s">
        <v>3071</v>
      </c>
      <c r="C222" s="35" t="s">
        <v>87</v>
      </c>
      <c r="D222" s="36">
        <f>ROUND(1*(D215+D217),4)</f>
        <v>1.3521000000000001</v>
      </c>
      <c r="E222" s="30">
        <v>8.0531015499999992</v>
      </c>
      <c r="F222" s="33">
        <f t="shared" si="23"/>
        <v>10.888598605755</v>
      </c>
      <c r="G222" s="44"/>
      <c r="H222" s="45"/>
      <c r="I222" s="153">
        <v>0</v>
      </c>
      <c r="K222" s="215">
        <v>1.3521000000000001</v>
      </c>
      <c r="L222" s="30">
        <v>8.0531015499999992</v>
      </c>
      <c r="M222" s="33">
        <f t="shared" si="24"/>
        <v>10.888598605755</v>
      </c>
      <c r="N222" s="44"/>
      <c r="O222" s="36" t="str">
        <f t="shared" si="25"/>
        <v/>
      </c>
      <c r="P222" s="216">
        <f t="shared" si="26"/>
        <v>0</v>
      </c>
      <c r="Q222" s="216">
        <f t="shared" si="27"/>
        <v>0</v>
      </c>
      <c r="R222" s="217" t="str">
        <f t="shared" si="28"/>
        <v/>
      </c>
    </row>
    <row r="223" spans="1:18" ht="39" hidden="1" thickBot="1" x14ac:dyDescent="0.3">
      <c r="A223" s="268"/>
      <c r="B223" s="35" t="s">
        <v>3068</v>
      </c>
      <c r="C223" s="46" t="s">
        <v>89</v>
      </c>
      <c r="D223" s="36">
        <f>ROUND((D215+D217)*20,4)</f>
        <v>27.042000000000002</v>
      </c>
      <c r="E223" s="30">
        <v>2.6576449499999995</v>
      </c>
      <c r="F223" s="33">
        <f t="shared" si="23"/>
        <v>71.86803473789999</v>
      </c>
      <c r="G223" s="44"/>
      <c r="H223" s="45"/>
      <c r="I223" s="153">
        <v>0</v>
      </c>
      <c r="K223" s="215">
        <v>27.042000000000002</v>
      </c>
      <c r="L223" s="30">
        <v>2.6576449499999995</v>
      </c>
      <c r="M223" s="33">
        <f t="shared" si="24"/>
        <v>71.86803473789999</v>
      </c>
      <c r="N223" s="44"/>
      <c r="O223" s="36" t="str">
        <f t="shared" si="25"/>
        <v/>
      </c>
      <c r="P223" s="216">
        <f t="shared" si="26"/>
        <v>0</v>
      </c>
      <c r="Q223" s="216">
        <f t="shared" si="27"/>
        <v>0</v>
      </c>
      <c r="R223" s="217" t="str">
        <f t="shared" si="28"/>
        <v/>
      </c>
    </row>
    <row r="224" spans="1:18" ht="15.75" hidden="1" thickBot="1" x14ac:dyDescent="0.3">
      <c r="A224" s="268"/>
      <c r="B224" s="50"/>
      <c r="C224" s="46"/>
      <c r="D224" s="36"/>
      <c r="E224" s="30" t="s">
        <v>416</v>
      </c>
      <c r="F224" s="33" t="str">
        <f t="shared" si="23"/>
        <v/>
      </c>
      <c r="G224" s="44"/>
      <c r="H224" s="45"/>
      <c r="I224" s="153">
        <v>0</v>
      </c>
      <c r="K224" s="215"/>
      <c r="L224" s="30" t="s">
        <v>416</v>
      </c>
      <c r="M224" s="33" t="str">
        <f t="shared" si="24"/>
        <v/>
      </c>
      <c r="N224" s="44"/>
      <c r="O224" s="36" t="str">
        <f t="shared" si="25"/>
        <v/>
      </c>
      <c r="P224" s="216" t="str">
        <f t="shared" si="26"/>
        <v/>
      </c>
      <c r="Q224" s="216" t="str">
        <f t="shared" si="27"/>
        <v/>
      </c>
      <c r="R224" s="217" t="str">
        <f t="shared" si="28"/>
        <v/>
      </c>
    </row>
    <row r="225" spans="1:18" ht="26.25" hidden="1" thickBot="1" x14ac:dyDescent="0.3">
      <c r="A225" s="268"/>
      <c r="B225" s="47" t="s">
        <v>90</v>
      </c>
      <c r="C225" s="46"/>
      <c r="D225" s="36"/>
      <c r="E225" s="30" t="s">
        <v>416</v>
      </c>
      <c r="F225" s="33" t="str">
        <f t="shared" si="23"/>
        <v/>
      </c>
      <c r="G225" s="44"/>
      <c r="H225" s="45"/>
      <c r="I225" s="153">
        <v>0</v>
      </c>
      <c r="K225" s="215"/>
      <c r="L225" s="30" t="s">
        <v>416</v>
      </c>
      <c r="M225" s="33" t="str">
        <f t="shared" si="24"/>
        <v/>
      </c>
      <c r="N225" s="44"/>
      <c r="O225" s="36" t="str">
        <f t="shared" si="25"/>
        <v/>
      </c>
      <c r="P225" s="216" t="str">
        <f t="shared" si="26"/>
        <v/>
      </c>
      <c r="Q225" s="216" t="str">
        <f t="shared" si="27"/>
        <v/>
      </c>
      <c r="R225" s="217" t="str">
        <f t="shared" si="28"/>
        <v/>
      </c>
    </row>
    <row r="226" spans="1:18" ht="15.75" hidden="1" thickBot="1" x14ac:dyDescent="0.3">
      <c r="A226" s="268"/>
      <c r="B226" s="35" t="s">
        <v>416</v>
      </c>
      <c r="C226" s="35"/>
      <c r="D226" s="92"/>
      <c r="E226" s="30" t="s">
        <v>416</v>
      </c>
      <c r="F226" s="30" t="str">
        <f t="shared" si="23"/>
        <v/>
      </c>
      <c r="G226" s="34"/>
      <c r="H226" s="30"/>
      <c r="I226" s="153">
        <v>0</v>
      </c>
      <c r="K226" s="228"/>
      <c r="L226" s="30" t="s">
        <v>416</v>
      </c>
      <c r="M226" s="30" t="str">
        <f t="shared" si="24"/>
        <v/>
      </c>
      <c r="N226" s="34"/>
      <c r="O226" s="36" t="str">
        <f t="shared" si="25"/>
        <v/>
      </c>
      <c r="P226" s="216" t="str">
        <f t="shared" si="26"/>
        <v/>
      </c>
      <c r="Q226" s="216" t="str">
        <f t="shared" si="27"/>
        <v/>
      </c>
      <c r="R226" s="217" t="str">
        <f t="shared" si="28"/>
        <v/>
      </c>
    </row>
    <row r="227" spans="1:18" ht="15.75" hidden="1" thickBot="1" x14ac:dyDescent="0.3">
      <c r="A227" s="269" t="s">
        <v>5734</v>
      </c>
      <c r="B227" s="40" t="s">
        <v>416</v>
      </c>
      <c r="C227" s="25" t="s">
        <v>87</v>
      </c>
      <c r="D227" s="93"/>
      <c r="E227" s="41" t="s">
        <v>416</v>
      </c>
      <c r="F227" s="41" t="str">
        <f t="shared" si="23"/>
        <v/>
      </c>
      <c r="G227" s="28"/>
      <c r="H227" s="29"/>
      <c r="I227" s="153">
        <v>0</v>
      </c>
      <c r="K227" s="226"/>
      <c r="L227" s="41" t="s">
        <v>416</v>
      </c>
      <c r="M227" s="41" t="str">
        <f t="shared" si="24"/>
        <v/>
      </c>
      <c r="N227" s="28"/>
      <c r="O227" s="36" t="str">
        <f t="shared" si="25"/>
        <v/>
      </c>
      <c r="P227" s="216" t="str">
        <f t="shared" si="26"/>
        <v/>
      </c>
      <c r="Q227" s="216" t="str">
        <f t="shared" si="27"/>
        <v/>
      </c>
      <c r="R227" s="217" t="str">
        <f t="shared" si="28"/>
        <v/>
      </c>
    </row>
    <row r="228" spans="1:18" ht="15.75" hidden="1" thickBot="1" x14ac:dyDescent="0.3">
      <c r="A228" s="268"/>
      <c r="B228" s="31" t="s">
        <v>416</v>
      </c>
      <c r="C228" s="31"/>
      <c r="D228" s="91"/>
      <c r="E228" s="97" t="s">
        <v>416</v>
      </c>
      <c r="F228" s="98" t="str">
        <f t="shared" si="23"/>
        <v/>
      </c>
      <c r="G228" s="34"/>
      <c r="H228" s="30"/>
      <c r="I228" s="153">
        <v>0</v>
      </c>
      <c r="K228" s="227"/>
      <c r="L228" s="97" t="s">
        <v>416</v>
      </c>
      <c r="M228" s="98" t="str">
        <f t="shared" si="24"/>
        <v/>
      </c>
      <c r="N228" s="34"/>
      <c r="O228" s="36" t="str">
        <f t="shared" si="25"/>
        <v/>
      </c>
      <c r="P228" s="216" t="str">
        <f t="shared" si="26"/>
        <v/>
      </c>
      <c r="Q228" s="216" t="str">
        <f t="shared" si="27"/>
        <v/>
      </c>
      <c r="R228" s="217" t="str">
        <f t="shared" si="28"/>
        <v/>
      </c>
    </row>
    <row r="229" spans="1:18" ht="26.25" hidden="1" thickBot="1" x14ac:dyDescent="0.3">
      <c r="A229" s="268"/>
      <c r="B229" s="35" t="s">
        <v>7985</v>
      </c>
      <c r="C229" s="35" t="s">
        <v>87</v>
      </c>
      <c r="D229" s="36">
        <v>0.82689999999999997</v>
      </c>
      <c r="E229" s="33">
        <v>202.33099999999999</v>
      </c>
      <c r="F229" s="33">
        <f t="shared" si="23"/>
        <v>167.30750389999997</v>
      </c>
      <c r="G229" s="44">
        <f>SUM(F229:F237)</f>
        <v>567.27836607280494</v>
      </c>
      <c r="H229" s="45"/>
      <c r="I229" s="153">
        <v>0</v>
      </c>
      <c r="K229" s="215">
        <v>0.82689999999999997</v>
      </c>
      <c r="L229" s="33">
        <v>202.33099999999999</v>
      </c>
      <c r="M229" s="33">
        <f t="shared" si="24"/>
        <v>167.30750389999997</v>
      </c>
      <c r="N229" s="44">
        <f>SUM(M229:M237)</f>
        <v>567.27836607280494</v>
      </c>
      <c r="O229" s="36" t="str">
        <f t="shared" si="25"/>
        <v/>
      </c>
      <c r="P229" s="216">
        <f t="shared" si="26"/>
        <v>0</v>
      </c>
      <c r="Q229" s="216">
        <f t="shared" si="27"/>
        <v>0</v>
      </c>
      <c r="R229" s="217">
        <f t="shared" si="28"/>
        <v>0</v>
      </c>
    </row>
    <row r="230" spans="1:18" ht="15.75" hidden="1" thickBot="1" x14ac:dyDescent="0.3">
      <c r="A230" s="268"/>
      <c r="B230" s="35" t="s">
        <v>8065</v>
      </c>
      <c r="C230" s="35" t="s">
        <v>773</v>
      </c>
      <c r="D230" s="36">
        <v>212.01939999999999</v>
      </c>
      <c r="E230" s="33">
        <v>0.627</v>
      </c>
      <c r="F230" s="33">
        <f t="shared" si="23"/>
        <v>132.9361638</v>
      </c>
      <c r="G230" s="44"/>
      <c r="H230" s="45"/>
      <c r="I230" s="153">
        <v>0</v>
      </c>
      <c r="K230" s="215">
        <v>212.01939999999999</v>
      </c>
      <c r="L230" s="33">
        <v>0.627</v>
      </c>
      <c r="M230" s="33">
        <f t="shared" si="24"/>
        <v>132.9361638</v>
      </c>
      <c r="N230" s="44"/>
      <c r="O230" s="36" t="str">
        <f t="shared" si="25"/>
        <v/>
      </c>
      <c r="P230" s="216">
        <f t="shared" si="26"/>
        <v>0</v>
      </c>
      <c r="Q230" s="216">
        <f t="shared" si="27"/>
        <v>0</v>
      </c>
      <c r="R230" s="217" t="str">
        <f t="shared" si="28"/>
        <v/>
      </c>
    </row>
    <row r="231" spans="1:18" ht="26.25" hidden="1" thickBot="1" x14ac:dyDescent="0.3">
      <c r="A231" s="268"/>
      <c r="B231" s="35" t="s">
        <v>8311</v>
      </c>
      <c r="C231" s="35" t="s">
        <v>87</v>
      </c>
      <c r="D231" s="36">
        <v>0.57820000000000005</v>
      </c>
      <c r="E231" s="33">
        <v>176.453</v>
      </c>
      <c r="F231" s="33">
        <f t="shared" si="23"/>
        <v>102.02512460000001</v>
      </c>
      <c r="G231" s="44"/>
      <c r="H231" s="45"/>
      <c r="I231" s="153">
        <v>0</v>
      </c>
      <c r="K231" s="215">
        <v>0.57820000000000005</v>
      </c>
      <c r="L231" s="33">
        <v>176.453</v>
      </c>
      <c r="M231" s="33">
        <f t="shared" si="24"/>
        <v>102.02512460000001</v>
      </c>
      <c r="N231" s="44"/>
      <c r="O231" s="36" t="str">
        <f t="shared" si="25"/>
        <v/>
      </c>
      <c r="P231" s="216">
        <f t="shared" si="26"/>
        <v>0</v>
      </c>
      <c r="Q231" s="216">
        <f t="shared" si="27"/>
        <v>0</v>
      </c>
      <c r="R231" s="217" t="str">
        <f t="shared" si="28"/>
        <v/>
      </c>
    </row>
    <row r="232" spans="1:18" ht="15.75" hidden="1" thickBot="1" x14ac:dyDescent="0.3">
      <c r="A232" s="268"/>
      <c r="B232" s="35" t="s">
        <v>584</v>
      </c>
      <c r="C232" s="35" t="s">
        <v>583</v>
      </c>
      <c r="D232" s="36">
        <v>2.3433000000000002</v>
      </c>
      <c r="E232" s="30">
        <v>20.225499999999997</v>
      </c>
      <c r="F232" s="33">
        <f t="shared" si="23"/>
        <v>47.394414149999996</v>
      </c>
      <c r="G232" s="44"/>
      <c r="H232" s="45"/>
      <c r="I232" s="153">
        <v>0</v>
      </c>
      <c r="K232" s="215">
        <v>2.3433000000000002</v>
      </c>
      <c r="L232" s="30">
        <v>20.225499999999997</v>
      </c>
      <c r="M232" s="33">
        <f t="shared" si="24"/>
        <v>47.394414149999996</v>
      </c>
      <c r="N232" s="44"/>
      <c r="O232" s="36" t="str">
        <f t="shared" si="25"/>
        <v/>
      </c>
      <c r="P232" s="216">
        <f t="shared" si="26"/>
        <v>0</v>
      </c>
      <c r="Q232" s="216">
        <f t="shared" si="27"/>
        <v>0</v>
      </c>
      <c r="R232" s="217" t="str">
        <f t="shared" si="28"/>
        <v/>
      </c>
    </row>
    <row r="233" spans="1:18" ht="26.25" hidden="1" thickBot="1" x14ac:dyDescent="0.3">
      <c r="A233" s="268"/>
      <c r="B233" s="35" t="s">
        <v>1271</v>
      </c>
      <c r="C233" s="35" t="s">
        <v>583</v>
      </c>
      <c r="D233" s="36">
        <v>1.4811000000000001</v>
      </c>
      <c r="E233" s="30">
        <v>20.291999999999998</v>
      </c>
      <c r="F233" s="99">
        <f t="shared" si="23"/>
        <v>30.054481199999998</v>
      </c>
      <c r="G233" s="44"/>
      <c r="H233" s="45"/>
      <c r="I233" s="153">
        <v>0</v>
      </c>
      <c r="K233" s="215">
        <v>1.4811000000000001</v>
      </c>
      <c r="L233" s="30">
        <v>20.291999999999998</v>
      </c>
      <c r="M233" s="99">
        <f t="shared" si="24"/>
        <v>30.054481199999998</v>
      </c>
      <c r="N233" s="44"/>
      <c r="O233" s="36" t="str">
        <f t="shared" si="25"/>
        <v/>
      </c>
      <c r="P233" s="216">
        <f t="shared" si="26"/>
        <v>0</v>
      </c>
      <c r="Q233" s="216">
        <f t="shared" si="27"/>
        <v>0</v>
      </c>
      <c r="R233" s="217" t="str">
        <f t="shared" si="28"/>
        <v/>
      </c>
    </row>
    <row r="234" spans="1:18" ht="39" hidden="1" thickBot="1" x14ac:dyDescent="0.3">
      <c r="A234" s="268"/>
      <c r="B234" s="35" t="s">
        <v>84</v>
      </c>
      <c r="C234" s="35" t="s">
        <v>813</v>
      </c>
      <c r="D234" s="36">
        <v>0.76229999999999998</v>
      </c>
      <c r="E234" s="30">
        <v>1.6435</v>
      </c>
      <c r="F234" s="99">
        <f t="shared" si="23"/>
        <v>1.2528400499999999</v>
      </c>
      <c r="G234" s="44"/>
      <c r="H234" s="45"/>
      <c r="I234" s="153">
        <v>0</v>
      </c>
      <c r="K234" s="215">
        <v>0.76229999999999998</v>
      </c>
      <c r="L234" s="30">
        <v>1.6435</v>
      </c>
      <c r="M234" s="99">
        <f t="shared" si="24"/>
        <v>1.2528400499999999</v>
      </c>
      <c r="N234" s="44"/>
      <c r="O234" s="36" t="str">
        <f t="shared" si="25"/>
        <v/>
      </c>
      <c r="P234" s="216">
        <f t="shared" si="26"/>
        <v>0</v>
      </c>
      <c r="Q234" s="216">
        <f t="shared" si="27"/>
        <v>0</v>
      </c>
      <c r="R234" s="217" t="str">
        <f t="shared" si="28"/>
        <v/>
      </c>
    </row>
    <row r="235" spans="1:18" ht="39" hidden="1" thickBot="1" x14ac:dyDescent="0.3">
      <c r="A235" s="268"/>
      <c r="B235" s="35" t="s">
        <v>85</v>
      </c>
      <c r="C235" s="35" t="s">
        <v>815</v>
      </c>
      <c r="D235" s="36">
        <v>0.71879999999999999</v>
      </c>
      <c r="E235" s="30">
        <v>0.42749999999999999</v>
      </c>
      <c r="F235" s="33">
        <f t="shared" si="23"/>
        <v>0.30728699999999998</v>
      </c>
      <c r="G235" s="44"/>
      <c r="H235" s="45"/>
      <c r="I235" s="153">
        <v>0</v>
      </c>
      <c r="K235" s="215">
        <v>0.71879999999999999</v>
      </c>
      <c r="L235" s="30">
        <v>0.42749999999999999</v>
      </c>
      <c r="M235" s="33">
        <f t="shared" si="24"/>
        <v>0.30728699999999998</v>
      </c>
      <c r="N235" s="44"/>
      <c r="O235" s="36" t="str">
        <f t="shared" si="25"/>
        <v/>
      </c>
      <c r="P235" s="216">
        <f t="shared" si="26"/>
        <v>0</v>
      </c>
      <c r="Q235" s="216">
        <f t="shared" si="27"/>
        <v>0</v>
      </c>
      <c r="R235" s="217" t="str">
        <f t="shared" si="28"/>
        <v/>
      </c>
    </row>
    <row r="236" spans="1:18" ht="51.75" hidden="1" thickBot="1" x14ac:dyDescent="0.3">
      <c r="A236" s="268"/>
      <c r="B236" s="35" t="s">
        <v>3071</v>
      </c>
      <c r="C236" s="35" t="s">
        <v>87</v>
      </c>
      <c r="D236" s="36">
        <f>ROUND(1*(D229+D231),4)</f>
        <v>1.4051</v>
      </c>
      <c r="E236" s="30">
        <v>8.0531015499999992</v>
      </c>
      <c r="F236" s="33">
        <f t="shared" si="23"/>
        <v>11.315412987904999</v>
      </c>
      <c r="G236" s="44"/>
      <c r="H236" s="45"/>
      <c r="I236" s="153">
        <v>0</v>
      </c>
      <c r="K236" s="215">
        <v>1.4051</v>
      </c>
      <c r="L236" s="30">
        <v>8.0531015499999992</v>
      </c>
      <c r="M236" s="33">
        <f t="shared" si="24"/>
        <v>11.315412987904999</v>
      </c>
      <c r="N236" s="44"/>
      <c r="O236" s="36" t="str">
        <f t="shared" si="25"/>
        <v/>
      </c>
      <c r="P236" s="216">
        <f t="shared" si="26"/>
        <v>0</v>
      </c>
      <c r="Q236" s="216">
        <f t="shared" si="27"/>
        <v>0</v>
      </c>
      <c r="R236" s="217" t="str">
        <f t="shared" si="28"/>
        <v/>
      </c>
    </row>
    <row r="237" spans="1:18" ht="39" hidden="1" thickBot="1" x14ac:dyDescent="0.3">
      <c r="A237" s="268"/>
      <c r="B237" s="35" t="s">
        <v>3068</v>
      </c>
      <c r="C237" s="46" t="s">
        <v>89</v>
      </c>
      <c r="D237" s="36">
        <f>ROUND((D229+D231)*20,4)</f>
        <v>28.102</v>
      </c>
      <c r="E237" s="30">
        <v>2.6576449499999995</v>
      </c>
      <c r="F237" s="33">
        <f t="shared" si="23"/>
        <v>74.685138384899986</v>
      </c>
      <c r="G237" s="44"/>
      <c r="H237" s="45"/>
      <c r="I237" s="153">
        <v>0</v>
      </c>
      <c r="K237" s="215">
        <v>28.102</v>
      </c>
      <c r="L237" s="30">
        <v>2.6576449499999995</v>
      </c>
      <c r="M237" s="33">
        <f t="shared" si="24"/>
        <v>74.685138384899986</v>
      </c>
      <c r="N237" s="44"/>
      <c r="O237" s="36" t="str">
        <f t="shared" si="25"/>
        <v/>
      </c>
      <c r="P237" s="216">
        <f t="shared" si="26"/>
        <v>0</v>
      </c>
      <c r="Q237" s="216">
        <f t="shared" si="27"/>
        <v>0</v>
      </c>
      <c r="R237" s="217" t="str">
        <f t="shared" si="28"/>
        <v/>
      </c>
    </row>
    <row r="238" spans="1:18" ht="15.75" hidden="1" thickBot="1" x14ac:dyDescent="0.3">
      <c r="A238" s="268"/>
      <c r="B238" s="50"/>
      <c r="C238" s="46"/>
      <c r="D238" s="36"/>
      <c r="E238" s="30" t="s">
        <v>416</v>
      </c>
      <c r="F238" s="33" t="str">
        <f t="shared" si="23"/>
        <v/>
      </c>
      <c r="G238" s="44"/>
      <c r="H238" s="45"/>
      <c r="I238" s="153">
        <v>0</v>
      </c>
      <c r="K238" s="215"/>
      <c r="L238" s="30" t="s">
        <v>416</v>
      </c>
      <c r="M238" s="33" t="str">
        <f t="shared" si="24"/>
        <v/>
      </c>
      <c r="N238" s="44"/>
      <c r="O238" s="36" t="str">
        <f t="shared" si="25"/>
        <v/>
      </c>
      <c r="P238" s="216" t="str">
        <f t="shared" si="26"/>
        <v/>
      </c>
      <c r="Q238" s="216" t="str">
        <f t="shared" si="27"/>
        <v/>
      </c>
      <c r="R238" s="217" t="str">
        <f t="shared" si="28"/>
        <v/>
      </c>
    </row>
    <row r="239" spans="1:18" ht="26.25" hidden="1" thickBot="1" x14ac:dyDescent="0.3">
      <c r="A239" s="268"/>
      <c r="B239" s="47" t="s">
        <v>90</v>
      </c>
      <c r="C239" s="46"/>
      <c r="D239" s="36"/>
      <c r="E239" s="30" t="s">
        <v>416</v>
      </c>
      <c r="F239" s="33" t="str">
        <f t="shared" si="23"/>
        <v/>
      </c>
      <c r="G239" s="44"/>
      <c r="H239" s="45"/>
      <c r="I239" s="153">
        <v>0</v>
      </c>
      <c r="K239" s="215"/>
      <c r="L239" s="30" t="s">
        <v>416</v>
      </c>
      <c r="M239" s="33" t="str">
        <f t="shared" si="24"/>
        <v/>
      </c>
      <c r="N239" s="44"/>
      <c r="O239" s="36" t="str">
        <f t="shared" si="25"/>
        <v/>
      </c>
      <c r="P239" s="216" t="str">
        <f t="shared" si="26"/>
        <v/>
      </c>
      <c r="Q239" s="216" t="str">
        <f t="shared" si="27"/>
        <v/>
      </c>
      <c r="R239" s="217" t="str">
        <f t="shared" si="28"/>
        <v/>
      </c>
    </row>
    <row r="240" spans="1:18" ht="15.75" hidden="1" thickBot="1" x14ac:dyDescent="0.3">
      <c r="A240" s="268"/>
      <c r="B240" s="35" t="s">
        <v>416</v>
      </c>
      <c r="C240" s="35"/>
      <c r="D240" s="92"/>
      <c r="E240" s="30" t="s">
        <v>416</v>
      </c>
      <c r="F240" s="30" t="str">
        <f t="shared" si="23"/>
        <v/>
      </c>
      <c r="G240" s="34"/>
      <c r="H240" s="30"/>
      <c r="I240" s="153">
        <v>0</v>
      </c>
      <c r="K240" s="228"/>
      <c r="L240" s="30" t="s">
        <v>416</v>
      </c>
      <c r="M240" s="30" t="str">
        <f t="shared" si="24"/>
        <v/>
      </c>
      <c r="N240" s="34"/>
      <c r="O240" s="36" t="str">
        <f t="shared" si="25"/>
        <v/>
      </c>
      <c r="P240" s="216" t="str">
        <f t="shared" si="26"/>
        <v/>
      </c>
      <c r="Q240" s="216" t="str">
        <f t="shared" si="27"/>
        <v/>
      </c>
      <c r="R240" s="217" t="str">
        <f t="shared" si="28"/>
        <v/>
      </c>
    </row>
    <row r="241" spans="1:18" ht="15.75" hidden="1" thickBot="1" x14ac:dyDescent="0.3">
      <c r="A241" s="269" t="s">
        <v>5780</v>
      </c>
      <c r="B241" s="40" t="s">
        <v>416</v>
      </c>
      <c r="C241" s="25" t="s">
        <v>87</v>
      </c>
      <c r="D241" s="93"/>
      <c r="E241" s="41" t="s">
        <v>416</v>
      </c>
      <c r="F241" s="48" t="str">
        <f t="shared" si="23"/>
        <v/>
      </c>
      <c r="G241" s="28"/>
      <c r="H241" s="29"/>
      <c r="I241" s="153">
        <v>0</v>
      </c>
      <c r="K241" s="226"/>
      <c r="L241" s="41" t="s">
        <v>416</v>
      </c>
      <c r="M241" s="48" t="str">
        <f t="shared" si="24"/>
        <v/>
      </c>
      <c r="N241" s="28"/>
      <c r="O241" s="36" t="str">
        <f t="shared" si="25"/>
        <v/>
      </c>
      <c r="P241" s="216" t="str">
        <f t="shared" si="26"/>
        <v/>
      </c>
      <c r="Q241" s="216" t="str">
        <f t="shared" si="27"/>
        <v/>
      </c>
      <c r="R241" s="217" t="str">
        <f t="shared" si="28"/>
        <v/>
      </c>
    </row>
    <row r="242" spans="1:18" ht="15.75" hidden="1" thickBot="1" x14ac:dyDescent="0.3">
      <c r="A242" s="268"/>
      <c r="B242" s="31" t="s">
        <v>416</v>
      </c>
      <c r="C242" s="31"/>
      <c r="D242" s="91"/>
      <c r="E242" s="42" t="s">
        <v>416</v>
      </c>
      <c r="F242" s="30" t="str">
        <f t="shared" si="23"/>
        <v/>
      </c>
      <c r="G242" s="34"/>
      <c r="H242" s="30"/>
      <c r="I242" s="153">
        <v>0</v>
      </c>
      <c r="K242" s="227"/>
      <c r="L242" s="42" t="s">
        <v>416</v>
      </c>
      <c r="M242" s="30" t="str">
        <f t="shared" si="24"/>
        <v/>
      </c>
      <c r="N242" s="34"/>
      <c r="O242" s="36" t="str">
        <f t="shared" si="25"/>
        <v/>
      </c>
      <c r="P242" s="216" t="str">
        <f t="shared" si="26"/>
        <v/>
      </c>
      <c r="Q242" s="216" t="str">
        <f t="shared" si="27"/>
        <v/>
      </c>
      <c r="R242" s="217" t="str">
        <f t="shared" si="28"/>
        <v/>
      </c>
    </row>
    <row r="243" spans="1:18" ht="26.25" hidden="1" thickBot="1" x14ac:dyDescent="0.3">
      <c r="A243" s="268"/>
      <c r="B243" s="35" t="s">
        <v>1140</v>
      </c>
      <c r="C243" s="35" t="s">
        <v>87</v>
      </c>
      <c r="D243" s="36">
        <v>0.57979999999999998</v>
      </c>
      <c r="E243" s="33">
        <v>204.97199999999998</v>
      </c>
      <c r="F243" s="33">
        <f t="shared" si="23"/>
        <v>118.84276559999998</v>
      </c>
      <c r="G243" s="44">
        <f>SUM(F243:F252)</f>
        <v>728.96784793073994</v>
      </c>
      <c r="H243" s="45"/>
      <c r="I243" s="153">
        <v>0</v>
      </c>
      <c r="K243" s="215">
        <v>0.57979999999999998</v>
      </c>
      <c r="L243" s="33">
        <v>204.97199999999998</v>
      </c>
      <c r="M243" s="33">
        <f t="shared" si="24"/>
        <v>118.84276559999998</v>
      </c>
      <c r="N243" s="44">
        <f>SUM(M243:M252)</f>
        <v>728.96784793073994</v>
      </c>
      <c r="O243" s="36" t="str">
        <f t="shared" si="25"/>
        <v/>
      </c>
      <c r="P243" s="216">
        <f t="shared" si="26"/>
        <v>0</v>
      </c>
      <c r="Q243" s="216">
        <f t="shared" si="27"/>
        <v>0</v>
      </c>
      <c r="R243" s="217">
        <f t="shared" si="28"/>
        <v>0</v>
      </c>
    </row>
    <row r="244" spans="1:18" ht="15.75" hidden="1" thickBot="1" x14ac:dyDescent="0.3">
      <c r="A244" s="268"/>
      <c r="B244" s="35" t="s">
        <v>8040</v>
      </c>
      <c r="C244" s="35" t="s">
        <v>773</v>
      </c>
      <c r="D244" s="36">
        <v>12.3698</v>
      </c>
      <c r="E244" s="33">
        <v>1.216</v>
      </c>
      <c r="F244" s="33">
        <f t="shared" si="23"/>
        <v>15.041676799999999</v>
      </c>
      <c r="G244" s="44"/>
      <c r="H244" s="45"/>
      <c r="I244" s="153">
        <v>0</v>
      </c>
      <c r="K244" s="215">
        <v>12.3698</v>
      </c>
      <c r="L244" s="33">
        <v>1.216</v>
      </c>
      <c r="M244" s="33">
        <f t="shared" si="24"/>
        <v>15.041676799999999</v>
      </c>
      <c r="N244" s="44"/>
      <c r="O244" s="36" t="str">
        <f t="shared" si="25"/>
        <v/>
      </c>
      <c r="P244" s="216">
        <f t="shared" si="26"/>
        <v>0</v>
      </c>
      <c r="Q244" s="216">
        <f t="shared" si="27"/>
        <v>0</v>
      </c>
      <c r="R244" s="217" t="str">
        <f t="shared" si="28"/>
        <v/>
      </c>
    </row>
    <row r="245" spans="1:18" ht="15.75" hidden="1" thickBot="1" x14ac:dyDescent="0.3">
      <c r="A245" s="268"/>
      <c r="B245" s="35" t="s">
        <v>8065</v>
      </c>
      <c r="C245" s="35" t="s">
        <v>773</v>
      </c>
      <c r="D245" s="36">
        <v>515.40949999999998</v>
      </c>
      <c r="E245" s="33">
        <v>0.627</v>
      </c>
      <c r="F245" s="33">
        <f t="shared" si="23"/>
        <v>323.16175649999997</v>
      </c>
      <c r="G245" s="44"/>
      <c r="H245" s="45"/>
      <c r="I245" s="153">
        <v>0</v>
      </c>
      <c r="K245" s="215">
        <v>515.40949999999998</v>
      </c>
      <c r="L245" s="33">
        <v>0.627</v>
      </c>
      <c r="M245" s="33">
        <f t="shared" si="24"/>
        <v>323.16175649999997</v>
      </c>
      <c r="N245" s="44"/>
      <c r="O245" s="36" t="str">
        <f t="shared" si="25"/>
        <v/>
      </c>
      <c r="P245" s="216">
        <f t="shared" si="26"/>
        <v>0</v>
      </c>
      <c r="Q245" s="216">
        <f t="shared" si="27"/>
        <v>0</v>
      </c>
      <c r="R245" s="217" t="str">
        <f t="shared" si="28"/>
        <v/>
      </c>
    </row>
    <row r="246" spans="1:18" ht="26.25" hidden="1" thickBot="1" x14ac:dyDescent="0.3">
      <c r="A246" s="268"/>
      <c r="B246" s="35" t="s">
        <v>633</v>
      </c>
      <c r="C246" s="35" t="s">
        <v>87</v>
      </c>
      <c r="D246" s="36">
        <v>0.56699999999999995</v>
      </c>
      <c r="E246" s="30">
        <v>203.71799999999999</v>
      </c>
      <c r="F246" s="33">
        <f t="shared" si="23"/>
        <v>115.50810599999998</v>
      </c>
      <c r="G246" s="44"/>
      <c r="H246" s="45"/>
      <c r="I246" s="153">
        <v>0</v>
      </c>
      <c r="K246" s="215">
        <v>0.56699999999999995</v>
      </c>
      <c r="L246" s="30">
        <v>203.71799999999999</v>
      </c>
      <c r="M246" s="33">
        <f t="shared" si="24"/>
        <v>115.50810599999998</v>
      </c>
      <c r="N246" s="44"/>
      <c r="O246" s="36" t="str">
        <f t="shared" si="25"/>
        <v/>
      </c>
      <c r="P246" s="216">
        <f t="shared" si="26"/>
        <v>0</v>
      </c>
      <c r="Q246" s="216">
        <f t="shared" si="27"/>
        <v>0</v>
      </c>
      <c r="R246" s="217" t="str">
        <f t="shared" si="28"/>
        <v/>
      </c>
    </row>
    <row r="247" spans="1:18" ht="15.75" hidden="1" thickBot="1" x14ac:dyDescent="0.3">
      <c r="A247" s="268"/>
      <c r="B247" s="35" t="s">
        <v>584</v>
      </c>
      <c r="C247" s="35" t="s">
        <v>583</v>
      </c>
      <c r="D247" s="36">
        <v>2.5491999999999999</v>
      </c>
      <c r="E247" s="30">
        <v>20.225499999999997</v>
      </c>
      <c r="F247" s="33">
        <f t="shared" si="23"/>
        <v>51.558844599999986</v>
      </c>
      <c r="G247" s="44"/>
      <c r="H247" s="45"/>
      <c r="I247" s="153">
        <v>0</v>
      </c>
      <c r="K247" s="215">
        <v>2.5491999999999999</v>
      </c>
      <c r="L247" s="30">
        <v>20.225499999999997</v>
      </c>
      <c r="M247" s="33">
        <f t="shared" si="24"/>
        <v>51.558844599999986</v>
      </c>
      <c r="N247" s="44"/>
      <c r="O247" s="36" t="str">
        <f t="shared" si="25"/>
        <v/>
      </c>
      <c r="P247" s="216">
        <f t="shared" si="26"/>
        <v>0</v>
      </c>
      <c r="Q247" s="216">
        <f t="shared" si="27"/>
        <v>0</v>
      </c>
      <c r="R247" s="217" t="str">
        <f t="shared" si="28"/>
        <v/>
      </c>
    </row>
    <row r="248" spans="1:18" ht="26.25" hidden="1" thickBot="1" x14ac:dyDescent="0.3">
      <c r="A248" s="268"/>
      <c r="B248" s="35" t="s">
        <v>1271</v>
      </c>
      <c r="C248" s="35" t="s">
        <v>583</v>
      </c>
      <c r="D248" s="36">
        <v>1.6075999999999999</v>
      </c>
      <c r="E248" s="30">
        <v>20.291999999999998</v>
      </c>
      <c r="F248" s="33">
        <f t="shared" si="23"/>
        <v>32.621419199999998</v>
      </c>
      <c r="G248" s="44"/>
      <c r="H248" s="45"/>
      <c r="I248" s="153">
        <v>0</v>
      </c>
      <c r="K248" s="215">
        <v>1.6075999999999999</v>
      </c>
      <c r="L248" s="30">
        <v>20.291999999999998</v>
      </c>
      <c r="M248" s="33">
        <f t="shared" si="24"/>
        <v>32.621419199999998</v>
      </c>
      <c r="N248" s="44"/>
      <c r="O248" s="36" t="str">
        <f t="shared" si="25"/>
        <v/>
      </c>
      <c r="P248" s="216">
        <f t="shared" si="26"/>
        <v>0</v>
      </c>
      <c r="Q248" s="216">
        <f t="shared" si="27"/>
        <v>0</v>
      </c>
      <c r="R248" s="217" t="str">
        <f t="shared" si="28"/>
        <v/>
      </c>
    </row>
    <row r="249" spans="1:18" ht="39" hidden="1" thickBot="1" x14ac:dyDescent="0.3">
      <c r="A249" s="268"/>
      <c r="B249" s="35" t="s">
        <v>84</v>
      </c>
      <c r="C249" s="35" t="s">
        <v>813</v>
      </c>
      <c r="D249" s="36">
        <v>1.1143000000000001</v>
      </c>
      <c r="E249" s="30">
        <v>1.6435</v>
      </c>
      <c r="F249" s="96">
        <f t="shared" si="23"/>
        <v>1.83135205</v>
      </c>
      <c r="G249" s="44"/>
      <c r="H249" s="45"/>
      <c r="I249" s="153">
        <v>0</v>
      </c>
      <c r="K249" s="215">
        <v>1.1143000000000001</v>
      </c>
      <c r="L249" s="30">
        <v>1.6435</v>
      </c>
      <c r="M249" s="96">
        <f t="shared" si="24"/>
        <v>1.83135205</v>
      </c>
      <c r="N249" s="44"/>
      <c r="O249" s="36" t="str">
        <f t="shared" si="25"/>
        <v/>
      </c>
      <c r="P249" s="216">
        <f t="shared" si="26"/>
        <v>0</v>
      </c>
      <c r="Q249" s="216">
        <f t="shared" si="27"/>
        <v>0</v>
      </c>
      <c r="R249" s="217" t="str">
        <f t="shared" si="28"/>
        <v/>
      </c>
    </row>
    <row r="250" spans="1:18" ht="39" hidden="1" thickBot="1" x14ac:dyDescent="0.3">
      <c r="A250" s="268"/>
      <c r="B250" s="35" t="s">
        <v>85</v>
      </c>
      <c r="C250" s="35" t="s">
        <v>815</v>
      </c>
      <c r="D250" s="36">
        <v>0.49330000000000002</v>
      </c>
      <c r="E250" s="30">
        <v>0.42749999999999999</v>
      </c>
      <c r="F250" s="96">
        <f t="shared" si="23"/>
        <v>0.21088575000000001</v>
      </c>
      <c r="G250" s="44"/>
      <c r="H250" s="45"/>
      <c r="I250" s="153">
        <v>0</v>
      </c>
      <c r="K250" s="215">
        <v>0.49330000000000002</v>
      </c>
      <c r="L250" s="30">
        <v>0.42749999999999999</v>
      </c>
      <c r="M250" s="96">
        <f t="shared" si="24"/>
        <v>0.21088575000000001</v>
      </c>
      <c r="N250" s="44"/>
      <c r="O250" s="36" t="str">
        <f t="shared" si="25"/>
        <v/>
      </c>
      <c r="P250" s="216">
        <f t="shared" si="26"/>
        <v>0</v>
      </c>
      <c r="Q250" s="216">
        <f t="shared" si="27"/>
        <v>0</v>
      </c>
      <c r="R250" s="217" t="str">
        <f t="shared" si="28"/>
        <v/>
      </c>
    </row>
    <row r="251" spans="1:18" ht="51.75" hidden="1" thickBot="1" x14ac:dyDescent="0.3">
      <c r="A251" s="268"/>
      <c r="B251" s="35" t="s">
        <v>3071</v>
      </c>
      <c r="C251" s="35" t="s">
        <v>87</v>
      </c>
      <c r="D251" s="36">
        <f>ROUND(1*(D243+D246),4)</f>
        <v>1.1468</v>
      </c>
      <c r="E251" s="30">
        <v>8.0531015499999992</v>
      </c>
      <c r="F251" s="33">
        <f t="shared" si="23"/>
        <v>9.2352968575399998</v>
      </c>
      <c r="G251" s="44"/>
      <c r="H251" s="45"/>
      <c r="I251" s="153">
        <v>0</v>
      </c>
      <c r="K251" s="215">
        <v>1.1468</v>
      </c>
      <c r="L251" s="30">
        <v>8.0531015499999992</v>
      </c>
      <c r="M251" s="33">
        <f t="shared" si="24"/>
        <v>9.2352968575399998</v>
      </c>
      <c r="N251" s="44"/>
      <c r="O251" s="36" t="str">
        <f t="shared" si="25"/>
        <v/>
      </c>
      <c r="P251" s="216">
        <f t="shared" si="26"/>
        <v>0</v>
      </c>
      <c r="Q251" s="216">
        <f t="shared" si="27"/>
        <v>0</v>
      </c>
      <c r="R251" s="217" t="str">
        <f t="shared" si="28"/>
        <v/>
      </c>
    </row>
    <row r="252" spans="1:18" ht="39" hidden="1" thickBot="1" x14ac:dyDescent="0.3">
      <c r="A252" s="268"/>
      <c r="B252" s="35" t="s">
        <v>3068</v>
      </c>
      <c r="C252" s="46" t="s">
        <v>89</v>
      </c>
      <c r="D252" s="36">
        <f>ROUND((D243+D246)*20,4)</f>
        <v>22.936</v>
      </c>
      <c r="E252" s="30">
        <v>2.6576449499999995</v>
      </c>
      <c r="F252" s="33">
        <f t="shared" si="23"/>
        <v>60.955744573199986</v>
      </c>
      <c r="G252" s="44"/>
      <c r="H252" s="45"/>
      <c r="I252" s="153">
        <v>0</v>
      </c>
      <c r="K252" s="215">
        <v>22.936</v>
      </c>
      <c r="L252" s="30">
        <v>2.6576449499999995</v>
      </c>
      <c r="M252" s="33">
        <f t="shared" si="24"/>
        <v>60.955744573199986</v>
      </c>
      <c r="N252" s="44"/>
      <c r="O252" s="36" t="str">
        <f t="shared" si="25"/>
        <v/>
      </c>
      <c r="P252" s="216">
        <f t="shared" si="26"/>
        <v>0</v>
      </c>
      <c r="Q252" s="216">
        <f t="shared" si="27"/>
        <v>0</v>
      </c>
      <c r="R252" s="217" t="str">
        <f t="shared" si="28"/>
        <v/>
      </c>
    </row>
    <row r="253" spans="1:18" ht="15.75" hidden="1" thickBot="1" x14ac:dyDescent="0.3">
      <c r="A253" s="268"/>
      <c r="B253" s="50"/>
      <c r="C253" s="46"/>
      <c r="D253" s="36"/>
      <c r="E253" s="30" t="s">
        <v>416</v>
      </c>
      <c r="F253" s="33" t="str">
        <f t="shared" si="23"/>
        <v/>
      </c>
      <c r="G253" s="44"/>
      <c r="H253" s="45"/>
      <c r="I253" s="153">
        <v>0</v>
      </c>
      <c r="K253" s="215"/>
      <c r="L253" s="30" t="s">
        <v>416</v>
      </c>
      <c r="M253" s="33" t="str">
        <f t="shared" si="24"/>
        <v/>
      </c>
      <c r="N253" s="44"/>
      <c r="O253" s="36" t="str">
        <f t="shared" si="25"/>
        <v/>
      </c>
      <c r="P253" s="216" t="str">
        <f t="shared" si="26"/>
        <v/>
      </c>
      <c r="Q253" s="216" t="str">
        <f t="shared" si="27"/>
        <v/>
      </c>
      <c r="R253" s="217" t="str">
        <f t="shared" si="28"/>
        <v/>
      </c>
    </row>
    <row r="254" spans="1:18" ht="26.25" hidden="1" thickBot="1" x14ac:dyDescent="0.3">
      <c r="A254" s="268"/>
      <c r="B254" s="47" t="s">
        <v>90</v>
      </c>
      <c r="C254" s="46"/>
      <c r="D254" s="36"/>
      <c r="E254" s="30" t="s">
        <v>416</v>
      </c>
      <c r="F254" s="33" t="str">
        <f t="shared" si="23"/>
        <v/>
      </c>
      <c r="G254" s="44"/>
      <c r="H254" s="45"/>
      <c r="I254" s="153">
        <v>0</v>
      </c>
      <c r="K254" s="215"/>
      <c r="L254" s="30" t="s">
        <v>416</v>
      </c>
      <c r="M254" s="33" t="str">
        <f t="shared" si="24"/>
        <v/>
      </c>
      <c r="N254" s="44"/>
      <c r="O254" s="36" t="str">
        <f t="shared" si="25"/>
        <v/>
      </c>
      <c r="P254" s="216" t="str">
        <f t="shared" si="26"/>
        <v/>
      </c>
      <c r="Q254" s="216" t="str">
        <f t="shared" si="27"/>
        <v/>
      </c>
      <c r="R254" s="217" t="str">
        <f t="shared" si="28"/>
        <v/>
      </c>
    </row>
    <row r="255" spans="1:18" ht="15.75" hidden="1" thickBot="1" x14ac:dyDescent="0.3">
      <c r="A255" s="268"/>
      <c r="B255" s="35"/>
      <c r="C255" s="35"/>
      <c r="D255" s="92"/>
      <c r="E255" s="30" t="s">
        <v>416</v>
      </c>
      <c r="F255" s="30" t="str">
        <f t="shared" si="23"/>
        <v/>
      </c>
      <c r="G255" s="34"/>
      <c r="H255" s="30"/>
      <c r="I255" s="153">
        <v>0</v>
      </c>
      <c r="K255" s="228"/>
      <c r="L255" s="30" t="s">
        <v>416</v>
      </c>
      <c r="M255" s="30" t="str">
        <f t="shared" si="24"/>
        <v/>
      </c>
      <c r="N255" s="34"/>
      <c r="O255" s="36" t="str">
        <f t="shared" si="25"/>
        <v/>
      </c>
      <c r="P255" s="216" t="str">
        <f t="shared" si="26"/>
        <v/>
      </c>
      <c r="Q255" s="216" t="str">
        <f t="shared" si="27"/>
        <v/>
      </c>
      <c r="R255" s="217" t="str">
        <f t="shared" si="28"/>
        <v/>
      </c>
    </row>
    <row r="256" spans="1:18" ht="15.75" hidden="1" thickBot="1" x14ac:dyDescent="0.3">
      <c r="A256" s="268" t="s">
        <v>884</v>
      </c>
      <c r="B256" s="40" t="s">
        <v>416</v>
      </c>
      <c r="C256" s="25" t="s">
        <v>87</v>
      </c>
      <c r="D256" s="93"/>
      <c r="E256" s="27" t="s">
        <v>416</v>
      </c>
      <c r="F256" s="25" t="str">
        <f t="shared" si="23"/>
        <v/>
      </c>
      <c r="G256" s="28"/>
      <c r="H256" s="29"/>
      <c r="I256" s="153">
        <v>0</v>
      </c>
      <c r="K256" s="226"/>
      <c r="L256" s="27" t="s">
        <v>416</v>
      </c>
      <c r="M256" s="25" t="str">
        <f t="shared" si="24"/>
        <v/>
      </c>
      <c r="N256" s="28"/>
      <c r="O256" s="36" t="str">
        <f t="shared" si="25"/>
        <v/>
      </c>
      <c r="P256" s="216" t="str">
        <f t="shared" si="26"/>
        <v/>
      </c>
      <c r="Q256" s="216" t="str">
        <f t="shared" si="27"/>
        <v/>
      </c>
      <c r="R256" s="217" t="str">
        <f t="shared" si="28"/>
        <v/>
      </c>
    </row>
    <row r="257" spans="1:18" ht="15.75" hidden="1" thickBot="1" x14ac:dyDescent="0.3">
      <c r="A257" s="268"/>
      <c r="B257" s="31" t="s">
        <v>416</v>
      </c>
      <c r="C257" s="31"/>
      <c r="D257" s="91"/>
      <c r="E257" s="30" t="s">
        <v>416</v>
      </c>
      <c r="F257" s="30" t="str">
        <f t="shared" si="23"/>
        <v/>
      </c>
      <c r="G257" s="34"/>
      <c r="H257" s="30"/>
      <c r="I257" s="153">
        <v>0</v>
      </c>
      <c r="K257" s="227"/>
      <c r="L257" s="30" t="s">
        <v>416</v>
      </c>
      <c r="M257" s="30" t="str">
        <f t="shared" si="24"/>
        <v/>
      </c>
      <c r="N257" s="34"/>
      <c r="O257" s="36" t="str">
        <f t="shared" si="25"/>
        <v/>
      </c>
      <c r="P257" s="216" t="str">
        <f t="shared" si="26"/>
        <v/>
      </c>
      <c r="Q257" s="216" t="str">
        <f t="shared" si="27"/>
        <v/>
      </c>
      <c r="R257" s="217" t="str">
        <f t="shared" si="28"/>
        <v/>
      </c>
    </row>
    <row r="258" spans="1:18" ht="26.25" hidden="1" thickBot="1" x14ac:dyDescent="0.3">
      <c r="A258" s="268"/>
      <c r="B258" s="35" t="s">
        <v>7985</v>
      </c>
      <c r="C258" s="35" t="s">
        <v>87</v>
      </c>
      <c r="D258" s="36">
        <v>1.25</v>
      </c>
      <c r="E258" s="30">
        <v>202.33099999999999</v>
      </c>
      <c r="F258" s="33">
        <f t="shared" si="23"/>
        <v>252.91374999999999</v>
      </c>
      <c r="G258" s="44">
        <f>SUM(F258:F262)</f>
        <v>918.41925568749991</v>
      </c>
      <c r="H258" s="45"/>
      <c r="I258" s="153">
        <v>0</v>
      </c>
      <c r="K258" s="215">
        <v>1.25</v>
      </c>
      <c r="L258" s="30">
        <v>202.33099999999999</v>
      </c>
      <c r="M258" s="33">
        <f t="shared" si="24"/>
        <v>252.91374999999999</v>
      </c>
      <c r="N258" s="44">
        <f>SUM(M258:M262)</f>
        <v>918.41925568749991</v>
      </c>
      <c r="O258" s="36" t="str">
        <f t="shared" si="25"/>
        <v/>
      </c>
      <c r="P258" s="216">
        <f t="shared" si="26"/>
        <v>0</v>
      </c>
      <c r="Q258" s="216">
        <f t="shared" si="27"/>
        <v>0</v>
      </c>
      <c r="R258" s="217">
        <f t="shared" si="28"/>
        <v>0</v>
      </c>
    </row>
    <row r="259" spans="1:18" ht="15.75" hidden="1" thickBot="1" x14ac:dyDescent="0.3">
      <c r="A259" s="268"/>
      <c r="B259" s="35" t="s">
        <v>8065</v>
      </c>
      <c r="C259" s="35" t="s">
        <v>773</v>
      </c>
      <c r="D259" s="36">
        <v>563.59</v>
      </c>
      <c r="E259" s="33">
        <v>0.627</v>
      </c>
      <c r="F259" s="33">
        <f t="shared" si="23"/>
        <v>353.37093000000004</v>
      </c>
      <c r="G259" s="44"/>
      <c r="H259" s="45"/>
      <c r="I259" s="153">
        <v>0</v>
      </c>
      <c r="K259" s="215">
        <v>563.59</v>
      </c>
      <c r="L259" s="33">
        <v>0.627</v>
      </c>
      <c r="M259" s="33">
        <f t="shared" si="24"/>
        <v>353.37093000000004</v>
      </c>
      <c r="N259" s="44"/>
      <c r="O259" s="36" t="str">
        <f t="shared" si="25"/>
        <v/>
      </c>
      <c r="P259" s="216">
        <f t="shared" si="26"/>
        <v>0</v>
      </c>
      <c r="Q259" s="216">
        <f t="shared" si="27"/>
        <v>0</v>
      </c>
      <c r="R259" s="217" t="str">
        <f t="shared" si="28"/>
        <v/>
      </c>
    </row>
    <row r="260" spans="1:18" ht="15.75" hidden="1" thickBot="1" x14ac:dyDescent="0.3">
      <c r="A260" s="268"/>
      <c r="B260" s="35" t="s">
        <v>584</v>
      </c>
      <c r="C260" s="35" t="s">
        <v>583</v>
      </c>
      <c r="D260" s="36">
        <v>11.65</v>
      </c>
      <c r="E260" s="30">
        <v>20.225499999999997</v>
      </c>
      <c r="F260" s="33">
        <f t="shared" si="23"/>
        <v>235.62707499999996</v>
      </c>
      <c r="G260" s="44"/>
      <c r="H260" s="45"/>
      <c r="I260" s="153">
        <v>0</v>
      </c>
      <c r="K260" s="215">
        <v>11.65</v>
      </c>
      <c r="L260" s="30">
        <v>20.225499999999997</v>
      </c>
      <c r="M260" s="33">
        <f t="shared" si="24"/>
        <v>235.62707499999996</v>
      </c>
      <c r="N260" s="44"/>
      <c r="O260" s="36" t="str">
        <f t="shared" si="25"/>
        <v/>
      </c>
      <c r="P260" s="216">
        <f t="shared" si="26"/>
        <v>0</v>
      </c>
      <c r="Q260" s="216">
        <f t="shared" si="27"/>
        <v>0</v>
      </c>
      <c r="R260" s="217" t="str">
        <f t="shared" si="28"/>
        <v/>
      </c>
    </row>
    <row r="261" spans="1:18" ht="51.75" hidden="1" thickBot="1" x14ac:dyDescent="0.3">
      <c r="A261" s="268"/>
      <c r="B261" s="35" t="s">
        <v>3071</v>
      </c>
      <c r="C261" s="35" t="s">
        <v>87</v>
      </c>
      <c r="D261" s="36">
        <f>ROUND(1*(D258),4)</f>
        <v>1.25</v>
      </c>
      <c r="E261" s="30">
        <v>8.0531015499999992</v>
      </c>
      <c r="F261" s="33">
        <f t="shared" si="23"/>
        <v>10.066376937499999</v>
      </c>
      <c r="G261" s="44"/>
      <c r="H261" s="45"/>
      <c r="I261" s="153">
        <v>0</v>
      </c>
      <c r="K261" s="215">
        <v>1.25</v>
      </c>
      <c r="L261" s="30">
        <v>8.0531015499999992</v>
      </c>
      <c r="M261" s="33">
        <f t="shared" si="24"/>
        <v>10.066376937499999</v>
      </c>
      <c r="N261" s="44"/>
      <c r="O261" s="36" t="str">
        <f t="shared" si="25"/>
        <v/>
      </c>
      <c r="P261" s="216">
        <f t="shared" si="26"/>
        <v>0</v>
      </c>
      <c r="Q261" s="216">
        <f t="shared" si="27"/>
        <v>0</v>
      </c>
      <c r="R261" s="217" t="str">
        <f t="shared" si="28"/>
        <v/>
      </c>
    </row>
    <row r="262" spans="1:18" ht="39" hidden="1" thickBot="1" x14ac:dyDescent="0.3">
      <c r="A262" s="268"/>
      <c r="B262" s="35" t="s">
        <v>3068</v>
      </c>
      <c r="C262" s="46" t="s">
        <v>89</v>
      </c>
      <c r="D262" s="36">
        <f>ROUND(D258*20,4)</f>
        <v>25</v>
      </c>
      <c r="E262" s="30">
        <v>2.6576449499999995</v>
      </c>
      <c r="F262" s="33">
        <f t="shared" ref="F262:F325" si="29">IF(ISNUMBER(E262),E262*$D262,"")</f>
        <v>66.441123749999988</v>
      </c>
      <c r="G262" s="44"/>
      <c r="H262" s="45"/>
      <c r="I262" s="153">
        <v>0</v>
      </c>
      <c r="K262" s="215">
        <v>25</v>
      </c>
      <c r="L262" s="30">
        <v>2.6576449499999995</v>
      </c>
      <c r="M262" s="33">
        <f t="shared" si="24"/>
        <v>66.441123749999988</v>
      </c>
      <c r="N262" s="44"/>
      <c r="O262" s="36" t="str">
        <f t="shared" si="25"/>
        <v/>
      </c>
      <c r="P262" s="216">
        <f t="shared" si="26"/>
        <v>0</v>
      </c>
      <c r="Q262" s="216">
        <f t="shared" si="27"/>
        <v>0</v>
      </c>
      <c r="R262" s="217" t="str">
        <f t="shared" si="28"/>
        <v/>
      </c>
    </row>
    <row r="263" spans="1:18" ht="15.75" hidden="1" thickBot="1" x14ac:dyDescent="0.3">
      <c r="A263" s="268"/>
      <c r="B263" s="50"/>
      <c r="C263" s="46"/>
      <c r="D263" s="36"/>
      <c r="E263" s="30" t="s">
        <v>416</v>
      </c>
      <c r="F263" s="33" t="str">
        <f t="shared" si="29"/>
        <v/>
      </c>
      <c r="G263" s="44"/>
      <c r="H263" s="45"/>
      <c r="I263" s="153">
        <v>0</v>
      </c>
      <c r="K263" s="215"/>
      <c r="L263" s="30" t="s">
        <v>416</v>
      </c>
      <c r="M263" s="33" t="str">
        <f t="shared" si="24"/>
        <v/>
      </c>
      <c r="N263" s="44"/>
      <c r="O263" s="36" t="str">
        <f t="shared" si="25"/>
        <v/>
      </c>
      <c r="P263" s="216" t="str">
        <f t="shared" si="26"/>
        <v/>
      </c>
      <c r="Q263" s="216" t="str">
        <f t="shared" si="27"/>
        <v/>
      </c>
      <c r="R263" s="217" t="str">
        <f t="shared" si="28"/>
        <v/>
      </c>
    </row>
    <row r="264" spans="1:18" ht="15.75" hidden="1" thickBot="1" x14ac:dyDescent="0.3">
      <c r="A264" s="268"/>
      <c r="B264" s="47" t="s">
        <v>631</v>
      </c>
      <c r="C264" s="46"/>
      <c r="D264" s="36"/>
      <c r="E264" s="30" t="s">
        <v>416</v>
      </c>
      <c r="F264" s="33" t="str">
        <f t="shared" si="29"/>
        <v/>
      </c>
      <c r="G264" s="44"/>
      <c r="H264" s="45"/>
      <c r="I264" s="153">
        <v>0</v>
      </c>
      <c r="K264" s="215"/>
      <c r="L264" s="30" t="s">
        <v>416</v>
      </c>
      <c r="M264" s="33" t="str">
        <f t="shared" ref="M264:M327" si="30">IF(ISNUMBER(L264),K264*L264,"")</f>
        <v/>
      </c>
      <c r="N264" s="44"/>
      <c r="O264" s="36" t="str">
        <f t="shared" ref="O264:O327" si="31">IF(ISBLANK(K264),"",IF($D264&lt;&gt;K264,"SIM",""))</f>
        <v/>
      </c>
      <c r="P264" s="216" t="str">
        <f t="shared" ref="P264:P327" si="32">IF(L264="","",1-L264/$E264)</f>
        <v/>
      </c>
      <c r="Q264" s="216" t="str">
        <f t="shared" ref="Q264:Q327" si="33">IF(M264="","",1-M264/$F264)</f>
        <v/>
      </c>
      <c r="R264" s="217" t="str">
        <f t="shared" ref="R264:R327" si="34">IF(G264="","",1-N264/$G264)</f>
        <v/>
      </c>
    </row>
    <row r="265" spans="1:18" ht="15.75" hidden="1" thickBot="1" x14ac:dyDescent="0.3">
      <c r="A265" s="270"/>
      <c r="B265" s="35" t="s">
        <v>416</v>
      </c>
      <c r="C265" s="35"/>
      <c r="D265" s="92"/>
      <c r="E265" s="30" t="s">
        <v>416</v>
      </c>
      <c r="F265" s="33" t="str">
        <f t="shared" si="29"/>
        <v/>
      </c>
      <c r="G265" s="34"/>
      <c r="H265" s="30"/>
      <c r="I265" s="153">
        <v>0</v>
      </c>
      <c r="K265" s="228"/>
      <c r="L265" s="30" t="s">
        <v>416</v>
      </c>
      <c r="M265" s="33" t="str">
        <f t="shared" si="30"/>
        <v/>
      </c>
      <c r="N265" s="34"/>
      <c r="O265" s="36" t="str">
        <f t="shared" si="31"/>
        <v/>
      </c>
      <c r="P265" s="216" t="str">
        <f t="shared" si="32"/>
        <v/>
      </c>
      <c r="Q265" s="216" t="str">
        <f t="shared" si="33"/>
        <v/>
      </c>
      <c r="R265" s="217" t="str">
        <f t="shared" si="34"/>
        <v/>
      </c>
    </row>
    <row r="266" spans="1:18" ht="15.75" hidden="1" thickBot="1" x14ac:dyDescent="0.3">
      <c r="A266" s="268" t="s">
        <v>576</v>
      </c>
      <c r="B266" s="40" t="s">
        <v>416</v>
      </c>
      <c r="C266" s="25" t="s">
        <v>16</v>
      </c>
      <c r="D266" s="93"/>
      <c r="E266" s="27" t="s">
        <v>416</v>
      </c>
      <c r="F266" s="25" t="str">
        <f t="shared" si="29"/>
        <v/>
      </c>
      <c r="G266" s="28"/>
      <c r="H266" s="29"/>
      <c r="I266" s="153">
        <v>0</v>
      </c>
      <c r="K266" s="226"/>
      <c r="L266" s="27" t="s">
        <v>416</v>
      </c>
      <c r="M266" s="25" t="str">
        <f t="shared" si="30"/>
        <v/>
      </c>
      <c r="N266" s="28"/>
      <c r="O266" s="36" t="str">
        <f t="shared" si="31"/>
        <v/>
      </c>
      <c r="P266" s="216" t="str">
        <f t="shared" si="32"/>
        <v/>
      </c>
      <c r="Q266" s="216" t="str">
        <f t="shared" si="33"/>
        <v/>
      </c>
      <c r="R266" s="217" t="str">
        <f t="shared" si="34"/>
        <v/>
      </c>
    </row>
    <row r="267" spans="1:18" ht="15.75" hidden="1" thickBot="1" x14ac:dyDescent="0.3">
      <c r="A267" s="268"/>
      <c r="B267" s="31" t="s">
        <v>416</v>
      </c>
      <c r="C267" s="31"/>
      <c r="D267" s="91"/>
      <c r="E267" s="30" t="s">
        <v>416</v>
      </c>
      <c r="F267" s="30" t="str">
        <f t="shared" si="29"/>
        <v/>
      </c>
      <c r="G267" s="34"/>
      <c r="H267" s="30"/>
      <c r="I267" s="153">
        <v>0</v>
      </c>
      <c r="K267" s="227"/>
      <c r="L267" s="30" t="s">
        <v>416</v>
      </c>
      <c r="M267" s="30" t="str">
        <f t="shared" si="30"/>
        <v/>
      </c>
      <c r="N267" s="34"/>
      <c r="O267" s="36" t="str">
        <f t="shared" si="31"/>
        <v/>
      </c>
      <c r="P267" s="216" t="str">
        <f t="shared" si="32"/>
        <v/>
      </c>
      <c r="Q267" s="216" t="str">
        <f t="shared" si="33"/>
        <v/>
      </c>
      <c r="R267" s="217" t="str">
        <f t="shared" si="34"/>
        <v/>
      </c>
    </row>
    <row r="268" spans="1:18" ht="64.5" hidden="1" thickBot="1" x14ac:dyDescent="0.3">
      <c r="A268" s="268"/>
      <c r="B268" s="35" t="s">
        <v>8573</v>
      </c>
      <c r="C268" s="35" t="s">
        <v>1273</v>
      </c>
      <c r="D268" s="36">
        <v>1</v>
      </c>
      <c r="E268" s="30">
        <v>247</v>
      </c>
      <c r="F268" s="33">
        <f t="shared" si="29"/>
        <v>247</v>
      </c>
      <c r="G268" s="44">
        <f>SUM(F268:F272)</f>
        <v>345.79252350000002</v>
      </c>
      <c r="H268" s="45"/>
      <c r="I268" s="153">
        <v>0</v>
      </c>
      <c r="K268" s="215">
        <v>1</v>
      </c>
      <c r="L268" s="30">
        <v>247</v>
      </c>
      <c r="M268" s="33">
        <f t="shared" si="30"/>
        <v>247</v>
      </c>
      <c r="N268" s="44">
        <f>SUM(M268:M272)</f>
        <v>345.79252350000002</v>
      </c>
      <c r="O268" s="36" t="str">
        <f t="shared" si="31"/>
        <v/>
      </c>
      <c r="P268" s="216">
        <f t="shared" si="32"/>
        <v>0</v>
      </c>
      <c r="Q268" s="216">
        <f t="shared" si="33"/>
        <v>0</v>
      </c>
      <c r="R268" s="217">
        <f t="shared" si="34"/>
        <v>0</v>
      </c>
    </row>
    <row r="269" spans="1:18" ht="15.75" hidden="1" thickBot="1" x14ac:dyDescent="0.3">
      <c r="A269" s="268"/>
      <c r="B269" s="35" t="s">
        <v>1274</v>
      </c>
      <c r="C269" s="35" t="s">
        <v>773</v>
      </c>
      <c r="D269" s="36">
        <v>1.0999999999999999E-2</v>
      </c>
      <c r="E269" s="33">
        <v>28.462</v>
      </c>
      <c r="F269" s="33">
        <f t="shared" si="29"/>
        <v>0.31308199999999997</v>
      </c>
      <c r="G269" s="44"/>
      <c r="H269" s="45"/>
      <c r="I269" s="153">
        <v>0</v>
      </c>
      <c r="K269" s="215">
        <v>1.0999999999999999E-2</v>
      </c>
      <c r="L269" s="33">
        <v>28.462</v>
      </c>
      <c r="M269" s="33">
        <f t="shared" si="30"/>
        <v>0.31308199999999997</v>
      </c>
      <c r="N269" s="44"/>
      <c r="O269" s="36" t="str">
        <f t="shared" si="31"/>
        <v/>
      </c>
      <c r="P269" s="216">
        <f t="shared" si="32"/>
        <v>0</v>
      </c>
      <c r="Q269" s="216">
        <f t="shared" si="33"/>
        <v>0</v>
      </c>
      <c r="R269" s="217" t="str">
        <f t="shared" si="34"/>
        <v/>
      </c>
    </row>
    <row r="270" spans="1:18" ht="15.75" hidden="1" thickBot="1" x14ac:dyDescent="0.3">
      <c r="A270" s="268"/>
      <c r="B270" s="35" t="s">
        <v>73</v>
      </c>
      <c r="C270" s="35" t="s">
        <v>773</v>
      </c>
      <c r="D270" s="36">
        <v>2.4E-2</v>
      </c>
      <c r="E270" s="30">
        <v>21.602999999999998</v>
      </c>
      <c r="F270" s="33">
        <f t="shared" si="29"/>
        <v>0.51847199999999993</v>
      </c>
      <c r="G270" s="44"/>
      <c r="H270" s="45"/>
      <c r="I270" s="153">
        <v>0</v>
      </c>
      <c r="K270" s="215">
        <v>2.4E-2</v>
      </c>
      <c r="L270" s="30">
        <v>21.602999999999998</v>
      </c>
      <c r="M270" s="33">
        <f t="shared" si="30"/>
        <v>0.51847199999999993</v>
      </c>
      <c r="N270" s="44"/>
      <c r="O270" s="36" t="str">
        <f t="shared" si="31"/>
        <v/>
      </c>
      <c r="P270" s="216">
        <f t="shared" si="32"/>
        <v>0</v>
      </c>
      <c r="Q270" s="216">
        <f t="shared" si="33"/>
        <v>0</v>
      </c>
      <c r="R270" s="217" t="str">
        <f t="shared" si="34"/>
        <v/>
      </c>
    </row>
    <row r="271" spans="1:18" ht="15.75" hidden="1" thickBot="1" x14ac:dyDescent="0.3">
      <c r="A271" s="268"/>
      <c r="B271" s="35" t="s">
        <v>582</v>
      </c>
      <c r="C271" s="35" t="s">
        <v>583</v>
      </c>
      <c r="D271" s="36">
        <v>2.7410000000000001</v>
      </c>
      <c r="E271" s="30">
        <v>25.725999999999996</v>
      </c>
      <c r="F271" s="33">
        <f t="shared" si="29"/>
        <v>70.514965999999987</v>
      </c>
      <c r="G271" s="44"/>
      <c r="H271" s="45"/>
      <c r="I271" s="153">
        <v>0</v>
      </c>
      <c r="K271" s="215">
        <v>2.7410000000000001</v>
      </c>
      <c r="L271" s="30">
        <v>25.725999999999996</v>
      </c>
      <c r="M271" s="33">
        <f t="shared" si="30"/>
        <v>70.514965999999987</v>
      </c>
      <c r="N271" s="44"/>
      <c r="O271" s="36" t="str">
        <f t="shared" si="31"/>
        <v/>
      </c>
      <c r="P271" s="216">
        <f t="shared" si="32"/>
        <v>0</v>
      </c>
      <c r="Q271" s="216">
        <f t="shared" si="33"/>
        <v>0</v>
      </c>
      <c r="R271" s="217" t="str">
        <f t="shared" si="34"/>
        <v/>
      </c>
    </row>
    <row r="272" spans="1:18" ht="15.75" hidden="1" thickBot="1" x14ac:dyDescent="0.3">
      <c r="A272" s="268"/>
      <c r="B272" s="35" t="s">
        <v>584</v>
      </c>
      <c r="C272" s="35" t="s">
        <v>583</v>
      </c>
      <c r="D272" s="36">
        <v>1.357</v>
      </c>
      <c r="E272" s="30">
        <v>20.225499999999997</v>
      </c>
      <c r="F272" s="33">
        <f t="shared" si="29"/>
        <v>27.446003499999996</v>
      </c>
      <c r="G272" s="44"/>
      <c r="H272" s="45"/>
      <c r="I272" s="153">
        <v>0</v>
      </c>
      <c r="K272" s="215">
        <v>1.357</v>
      </c>
      <c r="L272" s="30">
        <v>20.225499999999997</v>
      </c>
      <c r="M272" s="33">
        <f t="shared" si="30"/>
        <v>27.446003499999996</v>
      </c>
      <c r="N272" s="44"/>
      <c r="O272" s="36" t="str">
        <f t="shared" si="31"/>
        <v/>
      </c>
      <c r="P272" s="216">
        <f t="shared" si="32"/>
        <v>0</v>
      </c>
      <c r="Q272" s="216">
        <f t="shared" si="33"/>
        <v>0</v>
      </c>
      <c r="R272" s="217" t="str">
        <f t="shared" si="34"/>
        <v/>
      </c>
    </row>
    <row r="273" spans="1:18" ht="15.75" hidden="1" thickBot="1" x14ac:dyDescent="0.3">
      <c r="A273" s="268"/>
      <c r="B273" s="50"/>
      <c r="C273" s="46"/>
      <c r="D273" s="36"/>
      <c r="E273" s="30" t="s">
        <v>416</v>
      </c>
      <c r="F273" s="33" t="str">
        <f t="shared" si="29"/>
        <v/>
      </c>
      <c r="G273" s="44"/>
      <c r="H273" s="45"/>
      <c r="I273" s="153">
        <v>0</v>
      </c>
      <c r="K273" s="215"/>
      <c r="L273" s="30" t="s">
        <v>416</v>
      </c>
      <c r="M273" s="33" t="str">
        <f t="shared" si="30"/>
        <v/>
      </c>
      <c r="N273" s="44"/>
      <c r="O273" s="36" t="str">
        <f t="shared" si="31"/>
        <v/>
      </c>
      <c r="P273" s="216" t="str">
        <f t="shared" si="32"/>
        <v/>
      </c>
      <c r="Q273" s="216" t="str">
        <f t="shared" si="33"/>
        <v/>
      </c>
      <c r="R273" s="217" t="str">
        <f t="shared" si="34"/>
        <v/>
      </c>
    </row>
    <row r="274" spans="1:18" ht="15.75" hidden="1" thickBot="1" x14ac:dyDescent="0.3">
      <c r="A274" s="269" t="s">
        <v>1276</v>
      </c>
      <c r="B274" s="40" t="s">
        <v>416</v>
      </c>
      <c r="C274" s="25" t="s">
        <v>87</v>
      </c>
      <c r="D274" s="93"/>
      <c r="E274" s="27" t="s">
        <v>416</v>
      </c>
      <c r="F274" s="27" t="str">
        <f t="shared" si="29"/>
        <v/>
      </c>
      <c r="G274" s="28"/>
      <c r="H274" s="29"/>
      <c r="I274" s="153">
        <v>0</v>
      </c>
      <c r="K274" s="226"/>
      <c r="L274" s="27" t="s">
        <v>416</v>
      </c>
      <c r="M274" s="27" t="str">
        <f t="shared" si="30"/>
        <v/>
      </c>
      <c r="N274" s="28"/>
      <c r="O274" s="36" t="str">
        <f t="shared" si="31"/>
        <v/>
      </c>
      <c r="P274" s="216" t="str">
        <f t="shared" si="32"/>
        <v/>
      </c>
      <c r="Q274" s="216" t="str">
        <f t="shared" si="33"/>
        <v/>
      </c>
      <c r="R274" s="217" t="str">
        <f t="shared" si="34"/>
        <v/>
      </c>
    </row>
    <row r="275" spans="1:18" ht="15.75" hidden="1" thickBot="1" x14ac:dyDescent="0.3">
      <c r="A275" s="268"/>
      <c r="B275" s="31" t="s">
        <v>416</v>
      </c>
      <c r="C275" s="31"/>
      <c r="D275" s="91"/>
      <c r="E275" s="30" t="s">
        <v>416</v>
      </c>
      <c r="F275" s="98" t="str">
        <f t="shared" si="29"/>
        <v/>
      </c>
      <c r="G275" s="100"/>
      <c r="H275" s="98"/>
      <c r="I275" s="153">
        <v>0</v>
      </c>
      <c r="K275" s="227"/>
      <c r="L275" s="30" t="s">
        <v>416</v>
      </c>
      <c r="M275" s="98" t="str">
        <f t="shared" si="30"/>
        <v/>
      </c>
      <c r="N275" s="100"/>
      <c r="O275" s="36" t="str">
        <f t="shared" si="31"/>
        <v/>
      </c>
      <c r="P275" s="216" t="str">
        <f t="shared" si="32"/>
        <v/>
      </c>
      <c r="Q275" s="216" t="str">
        <f t="shared" si="33"/>
        <v/>
      </c>
      <c r="R275" s="217" t="str">
        <f t="shared" si="34"/>
        <v/>
      </c>
    </row>
    <row r="276" spans="1:18" ht="26.25" hidden="1" thickBot="1" x14ac:dyDescent="0.3">
      <c r="A276" s="268"/>
      <c r="B276" s="35" t="s">
        <v>7985</v>
      </c>
      <c r="C276" s="35" t="s">
        <v>87</v>
      </c>
      <c r="D276" s="36">
        <v>1.07</v>
      </c>
      <c r="E276" s="30">
        <v>202.33099999999999</v>
      </c>
      <c r="F276" s="33">
        <f t="shared" si="29"/>
        <v>216.49417</v>
      </c>
      <c r="G276" s="44">
        <f>SUM(F276:F281)</f>
        <v>764.27774058850002</v>
      </c>
      <c r="H276" s="45"/>
      <c r="I276" s="153">
        <v>0</v>
      </c>
      <c r="K276" s="215">
        <v>1.07</v>
      </c>
      <c r="L276" s="30">
        <v>202.33099999999999</v>
      </c>
      <c r="M276" s="33">
        <f t="shared" si="30"/>
        <v>216.49417</v>
      </c>
      <c r="N276" s="44">
        <f>SUM(M276:M281)</f>
        <v>764.27774058850002</v>
      </c>
      <c r="O276" s="36" t="str">
        <f t="shared" si="31"/>
        <v/>
      </c>
      <c r="P276" s="216">
        <f t="shared" si="32"/>
        <v>0</v>
      </c>
      <c r="Q276" s="216">
        <f t="shared" si="33"/>
        <v>0</v>
      </c>
      <c r="R276" s="217">
        <f t="shared" si="34"/>
        <v>0</v>
      </c>
    </row>
    <row r="277" spans="1:18" ht="15.75" hidden="1" thickBot="1" x14ac:dyDescent="0.3">
      <c r="A277" s="268"/>
      <c r="B277" s="35" t="s">
        <v>8040</v>
      </c>
      <c r="C277" s="35" t="s">
        <v>773</v>
      </c>
      <c r="D277" s="36">
        <v>75.47</v>
      </c>
      <c r="E277" s="30">
        <v>1.216</v>
      </c>
      <c r="F277" s="33">
        <f t="shared" si="29"/>
        <v>91.771519999999995</v>
      </c>
      <c r="G277" s="44"/>
      <c r="H277" s="45"/>
      <c r="I277" s="153">
        <v>0</v>
      </c>
      <c r="K277" s="215">
        <v>75.47</v>
      </c>
      <c r="L277" s="30">
        <v>1.216</v>
      </c>
      <c r="M277" s="33">
        <f t="shared" si="30"/>
        <v>91.771519999999995</v>
      </c>
      <c r="N277" s="44"/>
      <c r="O277" s="36" t="str">
        <f t="shared" si="31"/>
        <v/>
      </c>
      <c r="P277" s="216">
        <f t="shared" si="32"/>
        <v>0</v>
      </c>
      <c r="Q277" s="216">
        <f t="shared" si="33"/>
        <v>0</v>
      </c>
      <c r="R277" s="217" t="str">
        <f t="shared" si="34"/>
        <v/>
      </c>
    </row>
    <row r="278" spans="1:18" ht="15.75" hidden="1" thickBot="1" x14ac:dyDescent="0.3">
      <c r="A278" s="268"/>
      <c r="B278" s="35" t="s">
        <v>8065</v>
      </c>
      <c r="C278" s="35" t="s">
        <v>773</v>
      </c>
      <c r="D278" s="36">
        <v>339.62</v>
      </c>
      <c r="E278" s="33">
        <v>0.627</v>
      </c>
      <c r="F278" s="33">
        <f t="shared" si="29"/>
        <v>212.94174000000001</v>
      </c>
      <c r="G278" s="44"/>
      <c r="H278" s="45"/>
      <c r="I278" s="153">
        <v>0</v>
      </c>
      <c r="K278" s="215">
        <v>339.62</v>
      </c>
      <c r="L278" s="33">
        <v>0.627</v>
      </c>
      <c r="M278" s="33">
        <f t="shared" si="30"/>
        <v>212.94174000000001</v>
      </c>
      <c r="N278" s="44"/>
      <c r="O278" s="36" t="str">
        <f t="shared" si="31"/>
        <v/>
      </c>
      <c r="P278" s="216">
        <f t="shared" si="32"/>
        <v>0</v>
      </c>
      <c r="Q278" s="216">
        <f t="shared" si="33"/>
        <v>0</v>
      </c>
      <c r="R278" s="217" t="str">
        <f t="shared" si="34"/>
        <v/>
      </c>
    </row>
    <row r="279" spans="1:18" ht="15.75" hidden="1" thickBot="1" x14ac:dyDescent="0.3">
      <c r="A279" s="268"/>
      <c r="B279" s="35" t="s">
        <v>584</v>
      </c>
      <c r="C279" s="35" t="s">
        <v>583</v>
      </c>
      <c r="D279" s="36">
        <v>8.7799999999999994</v>
      </c>
      <c r="E279" s="30">
        <v>20.225499999999997</v>
      </c>
      <c r="F279" s="33">
        <f t="shared" si="29"/>
        <v>177.57988999999995</v>
      </c>
      <c r="G279" s="44"/>
      <c r="H279" s="45"/>
      <c r="I279" s="153">
        <v>0</v>
      </c>
      <c r="K279" s="215">
        <v>8.7799999999999994</v>
      </c>
      <c r="L279" s="30">
        <v>20.225499999999997</v>
      </c>
      <c r="M279" s="33">
        <f t="shared" si="30"/>
        <v>177.57988999999995</v>
      </c>
      <c r="N279" s="44"/>
      <c r="O279" s="36" t="str">
        <f t="shared" si="31"/>
        <v/>
      </c>
      <c r="P279" s="216">
        <f t="shared" si="32"/>
        <v>0</v>
      </c>
      <c r="Q279" s="216">
        <f t="shared" si="33"/>
        <v>0</v>
      </c>
      <c r="R279" s="217" t="str">
        <f t="shared" si="34"/>
        <v/>
      </c>
    </row>
    <row r="280" spans="1:18" ht="51.75" hidden="1" thickBot="1" x14ac:dyDescent="0.3">
      <c r="A280" s="268"/>
      <c r="B280" s="35" t="s">
        <v>3071</v>
      </c>
      <c r="C280" s="35" t="s">
        <v>87</v>
      </c>
      <c r="D280" s="36">
        <f>ROUND(1*D276,4)</f>
        <v>1.07</v>
      </c>
      <c r="E280" s="30">
        <v>8.0531015499999992</v>
      </c>
      <c r="F280" s="33">
        <f t="shared" si="29"/>
        <v>8.6168186584999997</v>
      </c>
      <c r="G280" s="44"/>
      <c r="H280" s="45"/>
      <c r="I280" s="153">
        <v>0</v>
      </c>
      <c r="K280" s="215">
        <v>1.07</v>
      </c>
      <c r="L280" s="30">
        <v>8.0531015499999992</v>
      </c>
      <c r="M280" s="33">
        <f t="shared" si="30"/>
        <v>8.6168186584999997</v>
      </c>
      <c r="N280" s="44"/>
      <c r="O280" s="36" t="str">
        <f t="shared" si="31"/>
        <v/>
      </c>
      <c r="P280" s="216">
        <f t="shared" si="32"/>
        <v>0</v>
      </c>
      <c r="Q280" s="216">
        <f t="shared" si="33"/>
        <v>0</v>
      </c>
      <c r="R280" s="217" t="str">
        <f t="shared" si="34"/>
        <v/>
      </c>
    </row>
    <row r="281" spans="1:18" ht="39" hidden="1" thickBot="1" x14ac:dyDescent="0.3">
      <c r="A281" s="268"/>
      <c r="B281" s="35" t="s">
        <v>3068</v>
      </c>
      <c r="C281" s="46" t="s">
        <v>89</v>
      </c>
      <c r="D281" s="36">
        <f>ROUND(D276*20,4)</f>
        <v>21.4</v>
      </c>
      <c r="E281" s="30">
        <v>2.6576449499999995</v>
      </c>
      <c r="F281" s="33">
        <f t="shared" si="29"/>
        <v>56.873601929999985</v>
      </c>
      <c r="G281" s="44"/>
      <c r="H281" s="45"/>
      <c r="I281" s="153">
        <v>0</v>
      </c>
      <c r="K281" s="215">
        <v>21.4</v>
      </c>
      <c r="L281" s="30">
        <v>2.6576449499999995</v>
      </c>
      <c r="M281" s="33">
        <f t="shared" si="30"/>
        <v>56.873601929999985</v>
      </c>
      <c r="N281" s="44"/>
      <c r="O281" s="36" t="str">
        <f t="shared" si="31"/>
        <v/>
      </c>
      <c r="P281" s="216">
        <f t="shared" si="32"/>
        <v>0</v>
      </c>
      <c r="Q281" s="216">
        <f t="shared" si="33"/>
        <v>0</v>
      </c>
      <c r="R281" s="217" t="str">
        <f t="shared" si="34"/>
        <v/>
      </c>
    </row>
    <row r="282" spans="1:18" ht="15.75" hidden="1" thickBot="1" x14ac:dyDescent="0.3">
      <c r="A282" s="268"/>
      <c r="B282" s="50"/>
      <c r="C282" s="46"/>
      <c r="D282" s="36"/>
      <c r="E282" s="30" t="s">
        <v>416</v>
      </c>
      <c r="F282" s="33" t="str">
        <f t="shared" si="29"/>
        <v/>
      </c>
      <c r="G282" s="44"/>
      <c r="H282" s="45"/>
      <c r="I282" s="153">
        <v>0</v>
      </c>
      <c r="K282" s="215"/>
      <c r="L282" s="30" t="s">
        <v>416</v>
      </c>
      <c r="M282" s="33" t="str">
        <f t="shared" si="30"/>
        <v/>
      </c>
      <c r="N282" s="44"/>
      <c r="O282" s="36" t="str">
        <f t="shared" si="31"/>
        <v/>
      </c>
      <c r="P282" s="216" t="str">
        <f t="shared" si="32"/>
        <v/>
      </c>
      <c r="Q282" s="216" t="str">
        <f t="shared" si="33"/>
        <v/>
      </c>
      <c r="R282" s="217" t="str">
        <f t="shared" si="34"/>
        <v/>
      </c>
    </row>
    <row r="283" spans="1:18" ht="15.75" hidden="1" thickBot="1" x14ac:dyDescent="0.3">
      <c r="A283" s="268"/>
      <c r="B283" s="47" t="s">
        <v>631</v>
      </c>
      <c r="C283" s="46"/>
      <c r="D283" s="36"/>
      <c r="E283" s="30" t="s">
        <v>416</v>
      </c>
      <c r="F283" s="33" t="str">
        <f t="shared" si="29"/>
        <v/>
      </c>
      <c r="G283" s="44"/>
      <c r="H283" s="45"/>
      <c r="I283" s="153">
        <v>0</v>
      </c>
      <c r="K283" s="215"/>
      <c r="L283" s="30" t="s">
        <v>416</v>
      </c>
      <c r="M283" s="33" t="str">
        <f t="shared" si="30"/>
        <v/>
      </c>
      <c r="N283" s="44"/>
      <c r="O283" s="36" t="str">
        <f t="shared" si="31"/>
        <v/>
      </c>
      <c r="P283" s="216" t="str">
        <f t="shared" si="32"/>
        <v/>
      </c>
      <c r="Q283" s="216" t="str">
        <f t="shared" si="33"/>
        <v/>
      </c>
      <c r="R283" s="217" t="str">
        <f t="shared" si="34"/>
        <v/>
      </c>
    </row>
    <row r="284" spans="1:18" ht="15.75" hidden="1" thickBot="1" x14ac:dyDescent="0.3">
      <c r="A284" s="270"/>
      <c r="B284" s="54" t="s">
        <v>416</v>
      </c>
      <c r="C284" s="54"/>
      <c r="D284" s="95"/>
      <c r="E284" s="66" t="s">
        <v>416</v>
      </c>
      <c r="F284" s="66" t="str">
        <f t="shared" si="29"/>
        <v/>
      </c>
      <c r="G284" s="68"/>
      <c r="H284" s="30"/>
      <c r="I284" s="153">
        <v>0</v>
      </c>
      <c r="K284" s="229"/>
      <c r="L284" s="66" t="s">
        <v>416</v>
      </c>
      <c r="M284" s="66" t="str">
        <f t="shared" si="30"/>
        <v/>
      </c>
      <c r="N284" s="68"/>
      <c r="O284" s="36" t="str">
        <f t="shared" si="31"/>
        <v/>
      </c>
      <c r="P284" s="216" t="str">
        <f t="shared" si="32"/>
        <v/>
      </c>
      <c r="Q284" s="216" t="str">
        <f t="shared" si="33"/>
        <v/>
      </c>
      <c r="R284" s="217" t="str">
        <f t="shared" si="34"/>
        <v/>
      </c>
    </row>
    <row r="285" spans="1:18" ht="15.75" hidden="1" thickBot="1" x14ac:dyDescent="0.3">
      <c r="A285" s="268" t="s">
        <v>6813</v>
      </c>
      <c r="B285" s="156" t="s">
        <v>416</v>
      </c>
      <c r="C285" s="89" t="s">
        <v>773</v>
      </c>
      <c r="D285" s="90"/>
      <c r="E285" s="70" t="s">
        <v>416</v>
      </c>
      <c r="F285" s="70" t="str">
        <f t="shared" si="29"/>
        <v/>
      </c>
      <c r="G285" s="71"/>
      <c r="H285" s="29"/>
      <c r="I285" s="153">
        <v>0</v>
      </c>
      <c r="K285" s="230"/>
      <c r="L285" s="70" t="s">
        <v>416</v>
      </c>
      <c r="M285" s="70" t="str">
        <f t="shared" si="30"/>
        <v/>
      </c>
      <c r="N285" s="71"/>
      <c r="O285" s="36" t="str">
        <f t="shared" si="31"/>
        <v/>
      </c>
      <c r="P285" s="216" t="str">
        <f t="shared" si="32"/>
        <v/>
      </c>
      <c r="Q285" s="216" t="str">
        <f t="shared" si="33"/>
        <v/>
      </c>
      <c r="R285" s="217" t="str">
        <f t="shared" si="34"/>
        <v/>
      </c>
    </row>
    <row r="286" spans="1:18" ht="15.75" hidden="1" thickBot="1" x14ac:dyDescent="0.3">
      <c r="A286" s="268"/>
      <c r="B286" s="31" t="s">
        <v>416</v>
      </c>
      <c r="C286" s="31"/>
      <c r="D286" s="91"/>
      <c r="E286" s="30" t="s">
        <v>416</v>
      </c>
      <c r="F286" s="30" t="str">
        <f t="shared" si="29"/>
        <v/>
      </c>
      <c r="G286" s="34"/>
      <c r="H286" s="30"/>
      <c r="I286" s="153">
        <v>0</v>
      </c>
      <c r="K286" s="227"/>
      <c r="L286" s="30" t="s">
        <v>416</v>
      </c>
      <c r="M286" s="30" t="str">
        <f t="shared" si="30"/>
        <v/>
      </c>
      <c r="N286" s="34"/>
      <c r="O286" s="36" t="str">
        <f t="shared" si="31"/>
        <v/>
      </c>
      <c r="P286" s="216" t="str">
        <f t="shared" si="32"/>
        <v/>
      </c>
      <c r="Q286" s="216" t="str">
        <f t="shared" si="33"/>
        <v/>
      </c>
      <c r="R286" s="217" t="str">
        <f t="shared" si="34"/>
        <v/>
      </c>
    </row>
    <row r="287" spans="1:18" ht="39" hidden="1" thickBot="1" x14ac:dyDescent="0.3">
      <c r="A287" s="268"/>
      <c r="B287" s="35" t="s">
        <v>774</v>
      </c>
      <c r="C287" s="35" t="s">
        <v>213</v>
      </c>
      <c r="D287" s="36">
        <v>2.8159999999999998</v>
      </c>
      <c r="E287" s="30">
        <v>0.20899999999999999</v>
      </c>
      <c r="F287" s="33">
        <f t="shared" si="29"/>
        <v>0.58854399999999996</v>
      </c>
      <c r="G287" s="44">
        <f>SUM(F287:F291)</f>
        <v>16.633246</v>
      </c>
      <c r="H287" s="45"/>
      <c r="I287" s="153">
        <v>0</v>
      </c>
      <c r="K287" s="215">
        <v>2.8159999999999998</v>
      </c>
      <c r="L287" s="30">
        <v>0.20899999999999999</v>
      </c>
      <c r="M287" s="33">
        <f t="shared" si="30"/>
        <v>0.58854399999999996</v>
      </c>
      <c r="N287" s="44">
        <f>SUM(M287:M291)</f>
        <v>16.633246</v>
      </c>
      <c r="O287" s="36" t="str">
        <f t="shared" si="31"/>
        <v/>
      </c>
      <c r="P287" s="216">
        <f t="shared" si="32"/>
        <v>0</v>
      </c>
      <c r="Q287" s="216">
        <f t="shared" si="33"/>
        <v>0</v>
      </c>
      <c r="R287" s="217">
        <f t="shared" si="34"/>
        <v>0</v>
      </c>
    </row>
    <row r="288" spans="1:18" ht="26.25" hidden="1" thickBot="1" x14ac:dyDescent="0.3">
      <c r="A288" s="268"/>
      <c r="B288" s="35" t="s">
        <v>3060</v>
      </c>
      <c r="C288" s="35" t="s">
        <v>773</v>
      </c>
      <c r="D288" s="36">
        <v>2.5000000000000001E-2</v>
      </c>
      <c r="E288" s="30">
        <v>21.042499999999997</v>
      </c>
      <c r="F288" s="33">
        <f t="shared" si="29"/>
        <v>0.52606249999999999</v>
      </c>
      <c r="G288" s="44"/>
      <c r="H288" s="45"/>
      <c r="I288" s="153">
        <v>0</v>
      </c>
      <c r="K288" s="215">
        <v>2.5000000000000001E-2</v>
      </c>
      <c r="L288" s="30">
        <v>21.042499999999997</v>
      </c>
      <c r="M288" s="33">
        <f t="shared" si="30"/>
        <v>0.52606249999999999</v>
      </c>
      <c r="N288" s="44"/>
      <c r="O288" s="36" t="str">
        <f t="shared" si="31"/>
        <v/>
      </c>
      <c r="P288" s="216">
        <f t="shared" si="32"/>
        <v>0</v>
      </c>
      <c r="Q288" s="216">
        <f t="shared" si="33"/>
        <v>0</v>
      </c>
      <c r="R288" s="217" t="str">
        <f t="shared" si="34"/>
        <v/>
      </c>
    </row>
    <row r="289" spans="1:18" ht="15.75" hidden="1" thickBot="1" x14ac:dyDescent="0.3">
      <c r="A289" s="268"/>
      <c r="B289" s="35" t="s">
        <v>775</v>
      </c>
      <c r="C289" s="35" t="s">
        <v>583</v>
      </c>
      <c r="D289" s="36">
        <v>1.72E-2</v>
      </c>
      <c r="E289" s="33">
        <v>20.196999999999999</v>
      </c>
      <c r="F289" s="33">
        <f t="shared" si="29"/>
        <v>0.34738839999999999</v>
      </c>
      <c r="G289" s="44"/>
      <c r="H289" s="45"/>
      <c r="I289" s="153">
        <v>0</v>
      </c>
      <c r="K289" s="215">
        <v>1.72E-2</v>
      </c>
      <c r="L289" s="33">
        <v>20.196999999999999</v>
      </c>
      <c r="M289" s="33">
        <f t="shared" si="30"/>
        <v>0.34738839999999999</v>
      </c>
      <c r="N289" s="44"/>
      <c r="O289" s="36" t="str">
        <f t="shared" si="31"/>
        <v/>
      </c>
      <c r="P289" s="216">
        <f t="shared" si="32"/>
        <v>0</v>
      </c>
      <c r="Q289" s="216">
        <f t="shared" si="33"/>
        <v>0</v>
      </c>
      <c r="R289" s="217" t="str">
        <f t="shared" si="34"/>
        <v/>
      </c>
    </row>
    <row r="290" spans="1:18" ht="15.75" hidden="1" thickBot="1" x14ac:dyDescent="0.3">
      <c r="A290" s="268"/>
      <c r="B290" s="35" t="s">
        <v>776</v>
      </c>
      <c r="C290" s="35" t="s">
        <v>583</v>
      </c>
      <c r="D290" s="36">
        <v>0.1055</v>
      </c>
      <c r="E290" s="30">
        <v>26.970499999999998</v>
      </c>
      <c r="F290" s="33">
        <f t="shared" si="29"/>
        <v>2.8453877499999995</v>
      </c>
      <c r="G290" s="44"/>
      <c r="H290" s="45"/>
      <c r="I290" s="153">
        <v>0</v>
      </c>
      <c r="K290" s="215">
        <v>0.1055</v>
      </c>
      <c r="L290" s="30">
        <v>26.970499999999998</v>
      </c>
      <c r="M290" s="33">
        <f t="shared" si="30"/>
        <v>2.8453877499999995</v>
      </c>
      <c r="N290" s="44"/>
      <c r="O290" s="36" t="str">
        <f t="shared" si="31"/>
        <v/>
      </c>
      <c r="P290" s="216">
        <f t="shared" si="32"/>
        <v>0</v>
      </c>
      <c r="Q290" s="216">
        <f t="shared" si="33"/>
        <v>0</v>
      </c>
      <c r="R290" s="217" t="str">
        <f t="shared" si="34"/>
        <v/>
      </c>
    </row>
    <row r="291" spans="1:18" ht="26.25" hidden="1" thickBot="1" x14ac:dyDescent="0.3">
      <c r="A291" s="268"/>
      <c r="B291" s="35" t="s">
        <v>1275</v>
      </c>
      <c r="C291" s="46" t="s">
        <v>773</v>
      </c>
      <c r="D291" s="36">
        <v>1</v>
      </c>
      <c r="E291" s="30">
        <v>12.325863350000002</v>
      </c>
      <c r="F291" s="33">
        <f t="shared" si="29"/>
        <v>12.325863350000002</v>
      </c>
      <c r="G291" s="44"/>
      <c r="H291" s="45"/>
      <c r="I291" s="153">
        <v>0</v>
      </c>
      <c r="K291" s="215">
        <v>1</v>
      </c>
      <c r="L291" s="30">
        <v>12.325863350000002</v>
      </c>
      <c r="M291" s="33">
        <f t="shared" si="30"/>
        <v>12.325863350000002</v>
      </c>
      <c r="N291" s="44"/>
      <c r="O291" s="36" t="str">
        <f t="shared" si="31"/>
        <v/>
      </c>
      <c r="P291" s="216">
        <f t="shared" si="32"/>
        <v>0</v>
      </c>
      <c r="Q291" s="216">
        <f t="shared" si="33"/>
        <v>0</v>
      </c>
      <c r="R291" s="217" t="str">
        <f t="shared" si="34"/>
        <v/>
      </c>
    </row>
    <row r="292" spans="1:18" ht="15.75" hidden="1" thickBot="1" x14ac:dyDescent="0.3">
      <c r="A292" s="268"/>
      <c r="B292" s="50"/>
      <c r="C292" s="46"/>
      <c r="D292" s="36"/>
      <c r="E292" s="30" t="s">
        <v>416</v>
      </c>
      <c r="F292" s="33" t="str">
        <f t="shared" si="29"/>
        <v/>
      </c>
      <c r="G292" s="44"/>
      <c r="H292" s="45"/>
      <c r="I292" s="153">
        <v>0</v>
      </c>
      <c r="K292" s="215"/>
      <c r="L292" s="30" t="s">
        <v>416</v>
      </c>
      <c r="M292" s="33" t="str">
        <f t="shared" si="30"/>
        <v/>
      </c>
      <c r="N292" s="44"/>
      <c r="O292" s="36" t="str">
        <f t="shared" si="31"/>
        <v/>
      </c>
      <c r="P292" s="216" t="str">
        <f t="shared" si="32"/>
        <v/>
      </c>
      <c r="Q292" s="216" t="str">
        <f t="shared" si="33"/>
        <v/>
      </c>
      <c r="R292" s="217" t="str">
        <f t="shared" si="34"/>
        <v/>
      </c>
    </row>
    <row r="293" spans="1:18" ht="15.75" hidden="1" thickBot="1" x14ac:dyDescent="0.3">
      <c r="A293" s="269" t="s">
        <v>6815</v>
      </c>
      <c r="B293" s="40" t="s">
        <v>416</v>
      </c>
      <c r="C293" s="25" t="s">
        <v>773</v>
      </c>
      <c r="D293" s="93"/>
      <c r="E293" s="27" t="s">
        <v>416</v>
      </c>
      <c r="F293" s="25" t="str">
        <f t="shared" si="29"/>
        <v/>
      </c>
      <c r="G293" s="28"/>
      <c r="H293" s="29"/>
      <c r="I293" s="153">
        <v>0</v>
      </c>
      <c r="K293" s="226"/>
      <c r="L293" s="27" t="s">
        <v>416</v>
      </c>
      <c r="M293" s="25" t="str">
        <f t="shared" si="30"/>
        <v/>
      </c>
      <c r="N293" s="28"/>
      <c r="O293" s="36" t="str">
        <f t="shared" si="31"/>
        <v/>
      </c>
      <c r="P293" s="216" t="str">
        <f t="shared" si="32"/>
        <v/>
      </c>
      <c r="Q293" s="216" t="str">
        <f t="shared" si="33"/>
        <v/>
      </c>
      <c r="R293" s="217" t="str">
        <f t="shared" si="34"/>
        <v/>
      </c>
    </row>
    <row r="294" spans="1:18" ht="15.75" hidden="1" thickBot="1" x14ac:dyDescent="0.3">
      <c r="A294" s="268"/>
      <c r="B294" s="31" t="s">
        <v>416</v>
      </c>
      <c r="C294" s="31"/>
      <c r="D294" s="91"/>
      <c r="E294" s="30" t="s">
        <v>416</v>
      </c>
      <c r="F294" s="98" t="str">
        <f t="shared" si="29"/>
        <v/>
      </c>
      <c r="G294" s="100"/>
      <c r="H294" s="98"/>
      <c r="I294" s="153">
        <v>0</v>
      </c>
      <c r="K294" s="227"/>
      <c r="L294" s="30" t="s">
        <v>416</v>
      </c>
      <c r="M294" s="98" t="str">
        <f t="shared" si="30"/>
        <v/>
      </c>
      <c r="N294" s="100"/>
      <c r="O294" s="36" t="str">
        <f t="shared" si="31"/>
        <v/>
      </c>
      <c r="P294" s="216" t="str">
        <f t="shared" si="32"/>
        <v/>
      </c>
      <c r="Q294" s="216" t="str">
        <f t="shared" si="33"/>
        <v/>
      </c>
      <c r="R294" s="217" t="str">
        <f t="shared" si="34"/>
        <v/>
      </c>
    </row>
    <row r="295" spans="1:18" ht="15.75" hidden="1" thickBot="1" x14ac:dyDescent="0.3">
      <c r="A295" s="268"/>
      <c r="B295" s="35" t="s">
        <v>1277</v>
      </c>
      <c r="C295" s="35" t="s">
        <v>773</v>
      </c>
      <c r="D295" s="36">
        <v>1.07</v>
      </c>
      <c r="E295" s="33">
        <v>8.9205000000000005</v>
      </c>
      <c r="F295" s="33">
        <f t="shared" si="29"/>
        <v>9.5449350000000006</v>
      </c>
      <c r="G295" s="44">
        <f>SUM(F295:F297)</f>
        <v>12.325863350000001</v>
      </c>
      <c r="H295" s="45"/>
      <c r="I295" s="153">
        <v>0</v>
      </c>
      <c r="K295" s="215">
        <v>1.07</v>
      </c>
      <c r="L295" s="33">
        <v>8.9205000000000005</v>
      </c>
      <c r="M295" s="33">
        <f t="shared" si="30"/>
        <v>9.5449350000000006</v>
      </c>
      <c r="N295" s="44">
        <f>SUM(M295:M297)</f>
        <v>12.325863350000001</v>
      </c>
      <c r="O295" s="36" t="str">
        <f t="shared" si="31"/>
        <v/>
      </c>
      <c r="P295" s="216">
        <f t="shared" si="32"/>
        <v>0</v>
      </c>
      <c r="Q295" s="216">
        <f t="shared" si="33"/>
        <v>0</v>
      </c>
      <c r="R295" s="217">
        <f t="shared" si="34"/>
        <v>0</v>
      </c>
    </row>
    <row r="296" spans="1:18" ht="15.75" hidden="1" thickBot="1" x14ac:dyDescent="0.3">
      <c r="A296" s="268"/>
      <c r="B296" s="35" t="s">
        <v>775</v>
      </c>
      <c r="C296" s="35" t="s">
        <v>583</v>
      </c>
      <c r="D296" s="36">
        <v>1.3100000000000001E-2</v>
      </c>
      <c r="E296" s="33">
        <v>20.196999999999999</v>
      </c>
      <c r="F296" s="33">
        <f t="shared" si="29"/>
        <v>0.2645807</v>
      </c>
      <c r="G296" s="44"/>
      <c r="H296" s="45"/>
      <c r="I296" s="153">
        <v>0</v>
      </c>
      <c r="K296" s="215">
        <v>1.3100000000000001E-2</v>
      </c>
      <c r="L296" s="33">
        <v>20.196999999999999</v>
      </c>
      <c r="M296" s="33">
        <f t="shared" si="30"/>
        <v>0.2645807</v>
      </c>
      <c r="N296" s="44"/>
      <c r="O296" s="36" t="str">
        <f t="shared" si="31"/>
        <v/>
      </c>
      <c r="P296" s="216">
        <f t="shared" si="32"/>
        <v>0</v>
      </c>
      <c r="Q296" s="216">
        <f t="shared" si="33"/>
        <v>0</v>
      </c>
      <c r="R296" s="217" t="str">
        <f t="shared" si="34"/>
        <v/>
      </c>
    </row>
    <row r="297" spans="1:18" ht="15.75" hidden="1" thickBot="1" x14ac:dyDescent="0.3">
      <c r="A297" s="268"/>
      <c r="B297" s="35" t="s">
        <v>776</v>
      </c>
      <c r="C297" s="35" t="s">
        <v>583</v>
      </c>
      <c r="D297" s="36">
        <v>9.3299999999999994E-2</v>
      </c>
      <c r="E297" s="30">
        <v>26.970499999999998</v>
      </c>
      <c r="F297" s="33">
        <f t="shared" si="29"/>
        <v>2.5163476499999997</v>
      </c>
      <c r="G297" s="44"/>
      <c r="H297" s="45"/>
      <c r="I297" s="153">
        <v>0</v>
      </c>
      <c r="K297" s="215">
        <v>9.3299999999999994E-2</v>
      </c>
      <c r="L297" s="30">
        <v>26.970499999999998</v>
      </c>
      <c r="M297" s="33">
        <f t="shared" si="30"/>
        <v>2.5163476499999997</v>
      </c>
      <c r="N297" s="44"/>
      <c r="O297" s="36" t="str">
        <f t="shared" si="31"/>
        <v/>
      </c>
      <c r="P297" s="216">
        <f t="shared" si="32"/>
        <v>0</v>
      </c>
      <c r="Q297" s="216">
        <f t="shared" si="33"/>
        <v>0</v>
      </c>
      <c r="R297" s="217" t="str">
        <f t="shared" si="34"/>
        <v/>
      </c>
    </row>
    <row r="298" spans="1:18" ht="15.75" hidden="1" thickBot="1" x14ac:dyDescent="0.3">
      <c r="A298" s="270"/>
      <c r="B298" s="54" t="s">
        <v>416</v>
      </c>
      <c r="C298" s="54"/>
      <c r="D298" s="95"/>
      <c r="E298" s="66" t="s">
        <v>416</v>
      </c>
      <c r="F298" s="67" t="str">
        <f t="shared" si="29"/>
        <v/>
      </c>
      <c r="G298" s="68"/>
      <c r="H298" s="30"/>
      <c r="I298" s="153">
        <v>0</v>
      </c>
      <c r="K298" s="229"/>
      <c r="L298" s="66" t="s">
        <v>416</v>
      </c>
      <c r="M298" s="67" t="str">
        <f t="shared" si="30"/>
        <v/>
      </c>
      <c r="N298" s="68"/>
      <c r="O298" s="36" t="str">
        <f t="shared" si="31"/>
        <v/>
      </c>
      <c r="P298" s="216" t="str">
        <f t="shared" si="32"/>
        <v/>
      </c>
      <c r="Q298" s="216" t="str">
        <f t="shared" si="33"/>
        <v/>
      </c>
      <c r="R298" s="217" t="str">
        <f t="shared" si="34"/>
        <v/>
      </c>
    </row>
    <row r="299" spans="1:18" ht="15.75" hidden="1" thickBot="1" x14ac:dyDescent="0.3">
      <c r="A299" s="269" t="s">
        <v>5736</v>
      </c>
      <c r="B299" s="40" t="s">
        <v>416</v>
      </c>
      <c r="C299" s="25" t="s">
        <v>87</v>
      </c>
      <c r="D299" s="93"/>
      <c r="E299" s="41" t="s">
        <v>416</v>
      </c>
      <c r="F299" s="41" t="str">
        <f t="shared" si="29"/>
        <v/>
      </c>
      <c r="G299" s="28"/>
      <c r="H299" s="29"/>
      <c r="I299" s="153">
        <v>0</v>
      </c>
      <c r="K299" s="226"/>
      <c r="L299" s="41" t="s">
        <v>416</v>
      </c>
      <c r="M299" s="41" t="str">
        <f t="shared" si="30"/>
        <v/>
      </c>
      <c r="N299" s="28"/>
      <c r="O299" s="36" t="str">
        <f t="shared" si="31"/>
        <v/>
      </c>
      <c r="P299" s="216" t="str">
        <f t="shared" si="32"/>
        <v/>
      </c>
      <c r="Q299" s="216" t="str">
        <f t="shared" si="33"/>
        <v/>
      </c>
      <c r="R299" s="217" t="str">
        <f t="shared" si="34"/>
        <v/>
      </c>
    </row>
    <row r="300" spans="1:18" ht="15.75" hidden="1" thickBot="1" x14ac:dyDescent="0.3">
      <c r="A300" s="268"/>
      <c r="B300" s="31" t="s">
        <v>416</v>
      </c>
      <c r="C300" s="31"/>
      <c r="D300" s="91"/>
      <c r="E300" s="42" t="s">
        <v>416</v>
      </c>
      <c r="F300" s="30" t="str">
        <f t="shared" si="29"/>
        <v/>
      </c>
      <c r="G300" s="34"/>
      <c r="H300" s="30"/>
      <c r="I300" s="153">
        <v>0</v>
      </c>
      <c r="K300" s="227"/>
      <c r="L300" s="42" t="s">
        <v>416</v>
      </c>
      <c r="M300" s="30" t="str">
        <f t="shared" si="30"/>
        <v/>
      </c>
      <c r="N300" s="34"/>
      <c r="O300" s="36" t="str">
        <f t="shared" si="31"/>
        <v/>
      </c>
      <c r="P300" s="216" t="str">
        <f t="shared" si="32"/>
        <v/>
      </c>
      <c r="Q300" s="216" t="str">
        <f t="shared" si="33"/>
        <v/>
      </c>
      <c r="R300" s="217" t="str">
        <f t="shared" si="34"/>
        <v/>
      </c>
    </row>
    <row r="301" spans="1:18" ht="26.25" hidden="1" thickBot="1" x14ac:dyDescent="0.3">
      <c r="A301" s="268"/>
      <c r="B301" s="35" t="s">
        <v>7985</v>
      </c>
      <c r="C301" s="35" t="s">
        <v>87</v>
      </c>
      <c r="D301" s="36">
        <v>0.80759999999999998</v>
      </c>
      <c r="E301" s="33">
        <v>202.33099999999999</v>
      </c>
      <c r="F301" s="33">
        <f t="shared" si="29"/>
        <v>163.40251559999999</v>
      </c>
      <c r="G301" s="44">
        <f>SUM(F301:F309)</f>
        <v>594.33979211389487</v>
      </c>
      <c r="H301" s="45"/>
      <c r="I301" s="153">
        <v>0</v>
      </c>
      <c r="K301" s="215">
        <v>0.80759999999999998</v>
      </c>
      <c r="L301" s="33">
        <v>202.33099999999999</v>
      </c>
      <c r="M301" s="33">
        <f t="shared" si="30"/>
        <v>163.40251559999999</v>
      </c>
      <c r="N301" s="44">
        <f>SUM(M301:M309)</f>
        <v>594.33979211389487</v>
      </c>
      <c r="O301" s="36" t="str">
        <f t="shared" si="31"/>
        <v/>
      </c>
      <c r="P301" s="216">
        <f t="shared" si="32"/>
        <v>0</v>
      </c>
      <c r="Q301" s="216">
        <f t="shared" si="33"/>
        <v>0</v>
      </c>
      <c r="R301" s="217">
        <f t="shared" si="34"/>
        <v>0</v>
      </c>
    </row>
    <row r="302" spans="1:18" ht="15.75" hidden="1" thickBot="1" x14ac:dyDescent="0.3">
      <c r="A302" s="268"/>
      <c r="B302" s="35" t="s">
        <v>8065</v>
      </c>
      <c r="C302" s="35" t="s">
        <v>773</v>
      </c>
      <c r="D302" s="36">
        <v>274.06349999999998</v>
      </c>
      <c r="E302" s="33">
        <v>0.627</v>
      </c>
      <c r="F302" s="33">
        <f t="shared" si="29"/>
        <v>171.83781449999998</v>
      </c>
      <c r="G302" s="44"/>
      <c r="H302" s="45"/>
      <c r="I302" s="153">
        <v>0</v>
      </c>
      <c r="K302" s="215">
        <v>274.06349999999998</v>
      </c>
      <c r="L302" s="33">
        <v>0.627</v>
      </c>
      <c r="M302" s="33">
        <f t="shared" si="30"/>
        <v>171.83781449999998</v>
      </c>
      <c r="N302" s="44"/>
      <c r="O302" s="36" t="str">
        <f t="shared" si="31"/>
        <v/>
      </c>
      <c r="P302" s="216">
        <f t="shared" si="32"/>
        <v>0</v>
      </c>
      <c r="Q302" s="216">
        <f t="shared" si="33"/>
        <v>0</v>
      </c>
      <c r="R302" s="217" t="str">
        <f t="shared" si="34"/>
        <v/>
      </c>
    </row>
    <row r="303" spans="1:18" ht="26.25" hidden="1" thickBot="1" x14ac:dyDescent="0.3">
      <c r="A303" s="268"/>
      <c r="B303" s="35" t="s">
        <v>8311</v>
      </c>
      <c r="C303" s="35" t="s">
        <v>87</v>
      </c>
      <c r="D303" s="36">
        <v>0.58130000000000004</v>
      </c>
      <c r="E303" s="33">
        <v>176.453</v>
      </c>
      <c r="F303" s="33">
        <f t="shared" si="29"/>
        <v>102.57212890000001</v>
      </c>
      <c r="G303" s="44"/>
      <c r="H303" s="45"/>
      <c r="I303" s="153">
        <v>0</v>
      </c>
      <c r="K303" s="215">
        <v>0.58130000000000004</v>
      </c>
      <c r="L303" s="33">
        <v>176.453</v>
      </c>
      <c r="M303" s="33">
        <f t="shared" si="30"/>
        <v>102.57212890000001</v>
      </c>
      <c r="N303" s="44"/>
      <c r="O303" s="36" t="str">
        <f t="shared" si="31"/>
        <v/>
      </c>
      <c r="P303" s="216">
        <f t="shared" si="32"/>
        <v>0</v>
      </c>
      <c r="Q303" s="216">
        <f t="shared" si="33"/>
        <v>0</v>
      </c>
      <c r="R303" s="217" t="str">
        <f t="shared" si="34"/>
        <v/>
      </c>
    </row>
    <row r="304" spans="1:18" ht="15.75" hidden="1" thickBot="1" x14ac:dyDescent="0.3">
      <c r="A304" s="268"/>
      <c r="B304" s="35" t="s">
        <v>584</v>
      </c>
      <c r="C304" s="35" t="s">
        <v>583</v>
      </c>
      <c r="D304" s="36">
        <v>2.0266999999999999</v>
      </c>
      <c r="E304" s="30">
        <v>20.225499999999997</v>
      </c>
      <c r="F304" s="33">
        <f t="shared" si="29"/>
        <v>40.991020849999991</v>
      </c>
      <c r="G304" s="44"/>
      <c r="H304" s="45"/>
      <c r="I304" s="153">
        <v>0</v>
      </c>
      <c r="K304" s="215">
        <v>2.0266999999999999</v>
      </c>
      <c r="L304" s="30">
        <v>20.225499999999997</v>
      </c>
      <c r="M304" s="33">
        <f t="shared" si="30"/>
        <v>40.991020849999991</v>
      </c>
      <c r="N304" s="44"/>
      <c r="O304" s="36" t="str">
        <f t="shared" si="31"/>
        <v/>
      </c>
      <c r="P304" s="216">
        <f t="shared" si="32"/>
        <v>0</v>
      </c>
      <c r="Q304" s="216">
        <f t="shared" si="33"/>
        <v>0</v>
      </c>
      <c r="R304" s="217" t="str">
        <f t="shared" si="34"/>
        <v/>
      </c>
    </row>
    <row r="305" spans="1:18" ht="26.25" hidden="1" thickBot="1" x14ac:dyDescent="0.3">
      <c r="A305" s="268"/>
      <c r="B305" s="35" t="s">
        <v>1271</v>
      </c>
      <c r="C305" s="35" t="s">
        <v>583</v>
      </c>
      <c r="D305" s="36">
        <v>1.2822</v>
      </c>
      <c r="E305" s="30">
        <v>20.291999999999998</v>
      </c>
      <c r="F305" s="94">
        <f t="shared" si="29"/>
        <v>26.018402399999999</v>
      </c>
      <c r="G305" s="44"/>
      <c r="H305" s="45"/>
      <c r="I305" s="153">
        <v>0</v>
      </c>
      <c r="K305" s="215">
        <v>1.2822</v>
      </c>
      <c r="L305" s="30">
        <v>20.291999999999998</v>
      </c>
      <c r="M305" s="94">
        <f t="shared" si="30"/>
        <v>26.018402399999999</v>
      </c>
      <c r="N305" s="44"/>
      <c r="O305" s="36" t="str">
        <f t="shared" si="31"/>
        <v/>
      </c>
      <c r="P305" s="216">
        <f t="shared" si="32"/>
        <v>0</v>
      </c>
      <c r="Q305" s="216">
        <f t="shared" si="33"/>
        <v>0</v>
      </c>
      <c r="R305" s="217" t="str">
        <f t="shared" si="34"/>
        <v/>
      </c>
    </row>
    <row r="306" spans="1:18" ht="39" hidden="1" thickBot="1" x14ac:dyDescent="0.3">
      <c r="A306" s="268"/>
      <c r="B306" s="35" t="s">
        <v>1218</v>
      </c>
      <c r="C306" s="35" t="s">
        <v>813</v>
      </c>
      <c r="D306" s="36">
        <v>0.65990000000000004</v>
      </c>
      <c r="E306" s="30">
        <v>5.1395</v>
      </c>
      <c r="F306" s="94">
        <f t="shared" si="29"/>
        <v>3.3915560500000002</v>
      </c>
      <c r="G306" s="44"/>
      <c r="H306" s="45"/>
      <c r="I306" s="153">
        <v>0</v>
      </c>
      <c r="K306" s="215">
        <v>0.65990000000000004</v>
      </c>
      <c r="L306" s="30">
        <v>5.1395</v>
      </c>
      <c r="M306" s="94">
        <f t="shared" si="30"/>
        <v>3.3915560500000002</v>
      </c>
      <c r="N306" s="44"/>
      <c r="O306" s="36" t="str">
        <f t="shared" si="31"/>
        <v/>
      </c>
      <c r="P306" s="216">
        <f t="shared" si="32"/>
        <v>0</v>
      </c>
      <c r="Q306" s="216">
        <f t="shared" si="33"/>
        <v>0</v>
      </c>
      <c r="R306" s="217" t="str">
        <f t="shared" si="34"/>
        <v/>
      </c>
    </row>
    <row r="307" spans="1:18" ht="39" hidden="1" thickBot="1" x14ac:dyDescent="0.3">
      <c r="A307" s="268"/>
      <c r="B307" s="35" t="s">
        <v>1272</v>
      </c>
      <c r="C307" s="35" t="s">
        <v>815</v>
      </c>
      <c r="D307" s="36">
        <v>0.62229999999999996</v>
      </c>
      <c r="E307" s="30">
        <v>1.7954999999999999</v>
      </c>
      <c r="F307" s="33">
        <f t="shared" si="29"/>
        <v>1.1173396499999999</v>
      </c>
      <c r="G307" s="44"/>
      <c r="H307" s="45"/>
      <c r="I307" s="153">
        <v>0</v>
      </c>
      <c r="K307" s="215">
        <v>0.62229999999999996</v>
      </c>
      <c r="L307" s="30">
        <v>1.7954999999999999</v>
      </c>
      <c r="M307" s="33">
        <f t="shared" si="30"/>
        <v>1.1173396499999999</v>
      </c>
      <c r="N307" s="44"/>
      <c r="O307" s="36" t="str">
        <f t="shared" si="31"/>
        <v/>
      </c>
      <c r="P307" s="216">
        <f t="shared" si="32"/>
        <v>0</v>
      </c>
      <c r="Q307" s="216">
        <f t="shared" si="33"/>
        <v>0</v>
      </c>
      <c r="R307" s="217" t="str">
        <f t="shared" si="34"/>
        <v/>
      </c>
    </row>
    <row r="308" spans="1:18" ht="51.75" hidden="1" thickBot="1" x14ac:dyDescent="0.3">
      <c r="A308" s="268"/>
      <c r="B308" s="35" t="s">
        <v>3071</v>
      </c>
      <c r="C308" s="35" t="s">
        <v>87</v>
      </c>
      <c r="D308" s="36">
        <f>ROUND(1*(D301+D303),4)</f>
        <v>1.3889</v>
      </c>
      <c r="E308" s="30">
        <v>8.0531015499999992</v>
      </c>
      <c r="F308" s="33">
        <f t="shared" si="29"/>
        <v>11.184952742795</v>
      </c>
      <c r="G308" s="44"/>
      <c r="H308" s="45"/>
      <c r="I308" s="153">
        <v>0</v>
      </c>
      <c r="K308" s="215">
        <v>1.3889</v>
      </c>
      <c r="L308" s="30">
        <v>8.0531015499999992</v>
      </c>
      <c r="M308" s="33">
        <f t="shared" si="30"/>
        <v>11.184952742795</v>
      </c>
      <c r="N308" s="44"/>
      <c r="O308" s="36" t="str">
        <f t="shared" si="31"/>
        <v/>
      </c>
      <c r="P308" s="216">
        <f t="shared" si="32"/>
        <v>0</v>
      </c>
      <c r="Q308" s="216">
        <f t="shared" si="33"/>
        <v>0</v>
      </c>
      <c r="R308" s="217" t="str">
        <f t="shared" si="34"/>
        <v/>
      </c>
    </row>
    <row r="309" spans="1:18" ht="39" hidden="1" thickBot="1" x14ac:dyDescent="0.3">
      <c r="A309" s="268"/>
      <c r="B309" s="35" t="s">
        <v>3068</v>
      </c>
      <c r="C309" s="46" t="s">
        <v>89</v>
      </c>
      <c r="D309" s="36">
        <f>ROUND((D301+D303)*20,4)</f>
        <v>27.777999999999999</v>
      </c>
      <c r="E309" s="30">
        <v>2.6576449499999995</v>
      </c>
      <c r="F309" s="33">
        <f t="shared" si="29"/>
        <v>73.824061421099984</v>
      </c>
      <c r="G309" s="44"/>
      <c r="H309" s="45"/>
      <c r="I309" s="153">
        <v>0</v>
      </c>
      <c r="K309" s="215">
        <v>27.777999999999999</v>
      </c>
      <c r="L309" s="30">
        <v>2.6576449499999995</v>
      </c>
      <c r="M309" s="33">
        <f t="shared" si="30"/>
        <v>73.824061421099984</v>
      </c>
      <c r="N309" s="44"/>
      <c r="O309" s="36" t="str">
        <f t="shared" si="31"/>
        <v/>
      </c>
      <c r="P309" s="216">
        <f t="shared" si="32"/>
        <v>0</v>
      </c>
      <c r="Q309" s="216">
        <f t="shared" si="33"/>
        <v>0</v>
      </c>
      <c r="R309" s="217" t="str">
        <f t="shared" si="34"/>
        <v/>
      </c>
    </row>
    <row r="310" spans="1:18" ht="15.75" hidden="1" thickBot="1" x14ac:dyDescent="0.3">
      <c r="A310" s="268"/>
      <c r="B310" s="50"/>
      <c r="C310" s="46"/>
      <c r="D310" s="36"/>
      <c r="E310" s="30" t="s">
        <v>416</v>
      </c>
      <c r="F310" s="33" t="str">
        <f t="shared" si="29"/>
        <v/>
      </c>
      <c r="G310" s="44"/>
      <c r="H310" s="45"/>
      <c r="I310" s="153">
        <v>0</v>
      </c>
      <c r="K310" s="215"/>
      <c r="L310" s="30" t="s">
        <v>416</v>
      </c>
      <c r="M310" s="33" t="str">
        <f t="shared" si="30"/>
        <v/>
      </c>
      <c r="N310" s="44"/>
      <c r="O310" s="36" t="str">
        <f t="shared" si="31"/>
        <v/>
      </c>
      <c r="P310" s="216" t="str">
        <f t="shared" si="32"/>
        <v/>
      </c>
      <c r="Q310" s="216" t="str">
        <f t="shared" si="33"/>
        <v/>
      </c>
      <c r="R310" s="217" t="str">
        <f t="shared" si="34"/>
        <v/>
      </c>
    </row>
    <row r="311" spans="1:18" ht="26.25" hidden="1" thickBot="1" x14ac:dyDescent="0.3">
      <c r="A311" s="268"/>
      <c r="B311" s="47" t="s">
        <v>90</v>
      </c>
      <c r="C311" s="46"/>
      <c r="D311" s="36"/>
      <c r="E311" s="30" t="s">
        <v>416</v>
      </c>
      <c r="F311" s="33" t="str">
        <f t="shared" si="29"/>
        <v/>
      </c>
      <c r="G311" s="44"/>
      <c r="H311" s="45"/>
      <c r="I311" s="153">
        <v>0</v>
      </c>
      <c r="K311" s="215"/>
      <c r="L311" s="30" t="s">
        <v>416</v>
      </c>
      <c r="M311" s="33" t="str">
        <f t="shared" si="30"/>
        <v/>
      </c>
      <c r="N311" s="44"/>
      <c r="O311" s="36" t="str">
        <f t="shared" si="31"/>
        <v/>
      </c>
      <c r="P311" s="216" t="str">
        <f t="shared" si="32"/>
        <v/>
      </c>
      <c r="Q311" s="216" t="str">
        <f t="shared" si="33"/>
        <v/>
      </c>
      <c r="R311" s="217" t="str">
        <f t="shared" si="34"/>
        <v/>
      </c>
    </row>
    <row r="312" spans="1:18" ht="15.75" hidden="1" thickBot="1" x14ac:dyDescent="0.3">
      <c r="A312" s="268"/>
      <c r="B312" s="35" t="s">
        <v>416</v>
      </c>
      <c r="C312" s="35"/>
      <c r="D312" s="92"/>
      <c r="E312" s="30" t="s">
        <v>416</v>
      </c>
      <c r="F312" s="30" t="str">
        <f t="shared" si="29"/>
        <v/>
      </c>
      <c r="G312" s="34"/>
      <c r="H312" s="30"/>
      <c r="I312" s="153">
        <v>0</v>
      </c>
      <c r="K312" s="228"/>
      <c r="L312" s="30" t="s">
        <v>416</v>
      </c>
      <c r="M312" s="30" t="str">
        <f t="shared" si="30"/>
        <v/>
      </c>
      <c r="N312" s="34"/>
      <c r="O312" s="36" t="str">
        <f t="shared" si="31"/>
        <v/>
      </c>
      <c r="P312" s="216" t="str">
        <f t="shared" si="32"/>
        <v/>
      </c>
      <c r="Q312" s="216" t="str">
        <f t="shared" si="33"/>
        <v/>
      </c>
      <c r="R312" s="217" t="str">
        <f t="shared" si="34"/>
        <v/>
      </c>
    </row>
    <row r="313" spans="1:18" ht="15.75" hidden="1" thickBot="1" x14ac:dyDescent="0.3">
      <c r="A313" s="269" t="s">
        <v>5735</v>
      </c>
      <c r="B313" s="40" t="s">
        <v>416</v>
      </c>
      <c r="C313" s="25" t="s">
        <v>87</v>
      </c>
      <c r="D313" s="93"/>
      <c r="E313" s="41" t="s">
        <v>416</v>
      </c>
      <c r="F313" s="41" t="str">
        <f t="shared" si="29"/>
        <v/>
      </c>
      <c r="G313" s="28"/>
      <c r="H313" s="29"/>
      <c r="I313" s="153">
        <v>0</v>
      </c>
      <c r="K313" s="226"/>
      <c r="L313" s="41" t="s">
        <v>416</v>
      </c>
      <c r="M313" s="41" t="str">
        <f t="shared" si="30"/>
        <v/>
      </c>
      <c r="N313" s="28"/>
      <c r="O313" s="36" t="str">
        <f t="shared" si="31"/>
        <v/>
      </c>
      <c r="P313" s="216" t="str">
        <f t="shared" si="32"/>
        <v/>
      </c>
      <c r="Q313" s="216" t="str">
        <f t="shared" si="33"/>
        <v/>
      </c>
      <c r="R313" s="217" t="str">
        <f t="shared" si="34"/>
        <v/>
      </c>
    </row>
    <row r="314" spans="1:18" ht="15.75" hidden="1" thickBot="1" x14ac:dyDescent="0.3">
      <c r="A314" s="268"/>
      <c r="B314" s="31" t="s">
        <v>416</v>
      </c>
      <c r="C314" s="31"/>
      <c r="D314" s="91"/>
      <c r="E314" s="42" t="s">
        <v>416</v>
      </c>
      <c r="F314" s="30" t="str">
        <f t="shared" si="29"/>
        <v/>
      </c>
      <c r="G314" s="34"/>
      <c r="H314" s="30"/>
      <c r="I314" s="153">
        <v>0</v>
      </c>
      <c r="K314" s="227"/>
      <c r="L314" s="42" t="s">
        <v>416</v>
      </c>
      <c r="M314" s="30" t="str">
        <f t="shared" si="30"/>
        <v/>
      </c>
      <c r="N314" s="34"/>
      <c r="O314" s="36" t="str">
        <f t="shared" si="31"/>
        <v/>
      </c>
      <c r="P314" s="216" t="str">
        <f t="shared" si="32"/>
        <v/>
      </c>
      <c r="Q314" s="216" t="str">
        <f t="shared" si="33"/>
        <v/>
      </c>
      <c r="R314" s="217" t="str">
        <f t="shared" si="34"/>
        <v/>
      </c>
    </row>
    <row r="315" spans="1:18" ht="26.25" hidden="1" thickBot="1" x14ac:dyDescent="0.3">
      <c r="A315" s="268"/>
      <c r="B315" s="35" t="s">
        <v>7985</v>
      </c>
      <c r="C315" s="35" t="s">
        <v>87</v>
      </c>
      <c r="D315" s="36">
        <v>0.83250000000000002</v>
      </c>
      <c r="E315" s="33">
        <v>202.33099999999999</v>
      </c>
      <c r="F315" s="33">
        <f t="shared" si="29"/>
        <v>168.44055749999998</v>
      </c>
      <c r="G315" s="44">
        <f>SUM(F315:F323)</f>
        <v>565.86295822802992</v>
      </c>
      <c r="H315" s="45"/>
      <c r="I315" s="153">
        <v>0</v>
      </c>
      <c r="K315" s="215">
        <v>0.83250000000000002</v>
      </c>
      <c r="L315" s="33">
        <v>202.33099999999999</v>
      </c>
      <c r="M315" s="33">
        <f t="shared" si="30"/>
        <v>168.44055749999998</v>
      </c>
      <c r="N315" s="44">
        <f>SUM(M315:M323)</f>
        <v>565.86295822802992</v>
      </c>
      <c r="O315" s="36" t="str">
        <f t="shared" si="31"/>
        <v/>
      </c>
      <c r="P315" s="216">
        <f t="shared" si="32"/>
        <v>0</v>
      </c>
      <c r="Q315" s="216">
        <f t="shared" si="33"/>
        <v>0</v>
      </c>
      <c r="R315" s="217">
        <f t="shared" si="34"/>
        <v>0</v>
      </c>
    </row>
    <row r="316" spans="1:18" ht="15.75" hidden="1" thickBot="1" x14ac:dyDescent="0.3">
      <c r="A316" s="268"/>
      <c r="B316" s="35" t="s">
        <v>8065</v>
      </c>
      <c r="C316" s="35" t="s">
        <v>773</v>
      </c>
      <c r="D316" s="36">
        <v>213.45310000000001</v>
      </c>
      <c r="E316" s="33">
        <v>0.627</v>
      </c>
      <c r="F316" s="33">
        <f t="shared" si="29"/>
        <v>133.83509370000002</v>
      </c>
      <c r="G316" s="44"/>
      <c r="H316" s="45"/>
      <c r="I316" s="153">
        <v>0</v>
      </c>
      <c r="K316" s="215">
        <v>213.45310000000001</v>
      </c>
      <c r="L316" s="33">
        <v>0.627</v>
      </c>
      <c r="M316" s="33">
        <f t="shared" si="30"/>
        <v>133.83509370000002</v>
      </c>
      <c r="N316" s="44"/>
      <c r="O316" s="36" t="str">
        <f t="shared" si="31"/>
        <v/>
      </c>
      <c r="P316" s="216">
        <f t="shared" si="32"/>
        <v>0</v>
      </c>
      <c r="Q316" s="216">
        <f t="shared" si="33"/>
        <v>0</v>
      </c>
      <c r="R316" s="217" t="str">
        <f t="shared" si="34"/>
        <v/>
      </c>
    </row>
    <row r="317" spans="1:18" ht="26.25" hidden="1" thickBot="1" x14ac:dyDescent="0.3">
      <c r="A317" s="268"/>
      <c r="B317" s="35" t="s">
        <v>8311</v>
      </c>
      <c r="C317" s="35" t="s">
        <v>87</v>
      </c>
      <c r="D317" s="36">
        <v>0.58209999999999995</v>
      </c>
      <c r="E317" s="33">
        <v>176.453</v>
      </c>
      <c r="F317" s="33">
        <f t="shared" si="29"/>
        <v>102.71329129999999</v>
      </c>
      <c r="G317" s="44"/>
      <c r="H317" s="45"/>
      <c r="I317" s="153">
        <v>0</v>
      </c>
      <c r="K317" s="215">
        <v>0.58209999999999995</v>
      </c>
      <c r="L317" s="33">
        <v>176.453</v>
      </c>
      <c r="M317" s="33">
        <f t="shared" si="30"/>
        <v>102.71329129999999</v>
      </c>
      <c r="N317" s="44"/>
      <c r="O317" s="36" t="str">
        <f t="shared" si="31"/>
        <v/>
      </c>
      <c r="P317" s="216">
        <f t="shared" si="32"/>
        <v>0</v>
      </c>
      <c r="Q317" s="216">
        <f t="shared" si="33"/>
        <v>0</v>
      </c>
      <c r="R317" s="217" t="str">
        <f t="shared" si="34"/>
        <v/>
      </c>
    </row>
    <row r="318" spans="1:18" ht="15.75" hidden="1" thickBot="1" x14ac:dyDescent="0.3">
      <c r="A318" s="268"/>
      <c r="B318" s="35" t="s">
        <v>584</v>
      </c>
      <c r="C318" s="35" t="s">
        <v>583</v>
      </c>
      <c r="D318" s="36">
        <v>2.1057999999999999</v>
      </c>
      <c r="E318" s="30">
        <v>20.225499999999997</v>
      </c>
      <c r="F318" s="33">
        <f t="shared" si="29"/>
        <v>42.590857899999989</v>
      </c>
      <c r="G318" s="44"/>
      <c r="H318" s="45"/>
      <c r="I318" s="153">
        <v>0</v>
      </c>
      <c r="K318" s="215">
        <v>2.1057999999999999</v>
      </c>
      <c r="L318" s="30">
        <v>20.225499999999997</v>
      </c>
      <c r="M318" s="33">
        <f t="shared" si="30"/>
        <v>42.590857899999989</v>
      </c>
      <c r="N318" s="44"/>
      <c r="O318" s="36" t="str">
        <f t="shared" si="31"/>
        <v/>
      </c>
      <c r="P318" s="216">
        <f t="shared" si="32"/>
        <v>0</v>
      </c>
      <c r="Q318" s="216">
        <f t="shared" si="33"/>
        <v>0</v>
      </c>
      <c r="R318" s="217" t="str">
        <f t="shared" si="34"/>
        <v/>
      </c>
    </row>
    <row r="319" spans="1:18" ht="26.25" hidden="1" thickBot="1" x14ac:dyDescent="0.3">
      <c r="A319" s="268"/>
      <c r="B319" s="35" t="s">
        <v>1271</v>
      </c>
      <c r="C319" s="35" t="s">
        <v>583</v>
      </c>
      <c r="D319" s="36">
        <v>1.3314999999999999</v>
      </c>
      <c r="E319" s="30">
        <v>20.291999999999998</v>
      </c>
      <c r="F319" s="94">
        <f t="shared" si="29"/>
        <v>27.018797999999997</v>
      </c>
      <c r="G319" s="44"/>
      <c r="H319" s="45"/>
      <c r="I319" s="153">
        <v>0</v>
      </c>
      <c r="K319" s="215">
        <v>1.3314999999999999</v>
      </c>
      <c r="L319" s="30">
        <v>20.291999999999998</v>
      </c>
      <c r="M319" s="94">
        <f t="shared" si="30"/>
        <v>27.018797999999997</v>
      </c>
      <c r="N319" s="44"/>
      <c r="O319" s="36" t="str">
        <f t="shared" si="31"/>
        <v/>
      </c>
      <c r="P319" s="216">
        <f t="shared" si="32"/>
        <v>0</v>
      </c>
      <c r="Q319" s="216">
        <f t="shared" si="33"/>
        <v>0</v>
      </c>
      <c r="R319" s="217" t="str">
        <f t="shared" si="34"/>
        <v/>
      </c>
    </row>
    <row r="320" spans="1:18" ht="39" hidden="1" thickBot="1" x14ac:dyDescent="0.3">
      <c r="A320" s="268"/>
      <c r="B320" s="35" t="s">
        <v>1218</v>
      </c>
      <c r="C320" s="35" t="s">
        <v>813</v>
      </c>
      <c r="D320" s="36">
        <v>0.68530000000000002</v>
      </c>
      <c r="E320" s="30">
        <v>5.1395</v>
      </c>
      <c r="F320" s="94">
        <f t="shared" si="29"/>
        <v>3.52209935</v>
      </c>
      <c r="G320" s="44"/>
      <c r="H320" s="45"/>
      <c r="I320" s="153">
        <v>0</v>
      </c>
      <c r="K320" s="215">
        <v>0.68530000000000002</v>
      </c>
      <c r="L320" s="30">
        <v>5.1395</v>
      </c>
      <c r="M320" s="94">
        <f t="shared" si="30"/>
        <v>3.52209935</v>
      </c>
      <c r="N320" s="44"/>
      <c r="O320" s="36" t="str">
        <f t="shared" si="31"/>
        <v/>
      </c>
      <c r="P320" s="216">
        <f t="shared" si="32"/>
        <v>0</v>
      </c>
      <c r="Q320" s="216">
        <f t="shared" si="33"/>
        <v>0</v>
      </c>
      <c r="R320" s="217" t="str">
        <f t="shared" si="34"/>
        <v/>
      </c>
    </row>
    <row r="321" spans="1:18" ht="39" hidden="1" thickBot="1" x14ac:dyDescent="0.3">
      <c r="A321" s="268"/>
      <c r="B321" s="35" t="s">
        <v>1272</v>
      </c>
      <c r="C321" s="35" t="s">
        <v>815</v>
      </c>
      <c r="D321" s="36">
        <v>0.6462</v>
      </c>
      <c r="E321" s="30">
        <v>1.7954999999999999</v>
      </c>
      <c r="F321" s="33">
        <f t="shared" si="29"/>
        <v>1.1602520999999999</v>
      </c>
      <c r="G321" s="44"/>
      <c r="H321" s="45"/>
      <c r="I321" s="153">
        <v>0</v>
      </c>
      <c r="K321" s="215">
        <v>0.6462</v>
      </c>
      <c r="L321" s="30">
        <v>1.7954999999999999</v>
      </c>
      <c r="M321" s="33">
        <f t="shared" si="30"/>
        <v>1.1602520999999999</v>
      </c>
      <c r="N321" s="44"/>
      <c r="O321" s="36" t="str">
        <f t="shared" si="31"/>
        <v/>
      </c>
      <c r="P321" s="216">
        <f t="shared" si="32"/>
        <v>0</v>
      </c>
      <c r="Q321" s="216">
        <f t="shared" si="33"/>
        <v>0</v>
      </c>
      <c r="R321" s="217" t="str">
        <f t="shared" si="34"/>
        <v/>
      </c>
    </row>
    <row r="322" spans="1:18" ht="51.75" hidden="1" thickBot="1" x14ac:dyDescent="0.3">
      <c r="A322" s="268"/>
      <c r="B322" s="35" t="s">
        <v>3071</v>
      </c>
      <c r="C322" s="35" t="s">
        <v>87</v>
      </c>
      <c r="D322" s="36">
        <f>ROUND(1*(D315+D317),4)</f>
        <v>1.4146000000000001</v>
      </c>
      <c r="E322" s="30">
        <v>8.0531015499999992</v>
      </c>
      <c r="F322" s="33">
        <f t="shared" si="29"/>
        <v>11.391917452629999</v>
      </c>
      <c r="G322" s="44"/>
      <c r="H322" s="45"/>
      <c r="I322" s="153">
        <v>0</v>
      </c>
      <c r="K322" s="215">
        <v>1.4146000000000001</v>
      </c>
      <c r="L322" s="30">
        <v>8.0531015499999992</v>
      </c>
      <c r="M322" s="33">
        <f t="shared" si="30"/>
        <v>11.391917452629999</v>
      </c>
      <c r="N322" s="44"/>
      <c r="O322" s="36" t="str">
        <f t="shared" si="31"/>
        <v/>
      </c>
      <c r="P322" s="216">
        <f t="shared" si="32"/>
        <v>0</v>
      </c>
      <c r="Q322" s="216">
        <f t="shared" si="33"/>
        <v>0</v>
      </c>
      <c r="R322" s="217" t="str">
        <f t="shared" si="34"/>
        <v/>
      </c>
    </row>
    <row r="323" spans="1:18" ht="39" hidden="1" thickBot="1" x14ac:dyDescent="0.3">
      <c r="A323" s="268"/>
      <c r="B323" s="35" t="s">
        <v>3068</v>
      </c>
      <c r="C323" s="46" t="s">
        <v>89</v>
      </c>
      <c r="D323" s="36">
        <f>ROUND((D315+D317)*20,4)</f>
        <v>28.292000000000002</v>
      </c>
      <c r="E323" s="30">
        <v>2.6576449499999995</v>
      </c>
      <c r="F323" s="33">
        <f t="shared" si="29"/>
        <v>75.190090925399986</v>
      </c>
      <c r="G323" s="44"/>
      <c r="H323" s="45"/>
      <c r="I323" s="153">
        <v>0</v>
      </c>
      <c r="K323" s="215">
        <v>28.292000000000002</v>
      </c>
      <c r="L323" s="30">
        <v>2.6576449499999995</v>
      </c>
      <c r="M323" s="33">
        <f t="shared" si="30"/>
        <v>75.190090925399986</v>
      </c>
      <c r="N323" s="44"/>
      <c r="O323" s="36" t="str">
        <f t="shared" si="31"/>
        <v/>
      </c>
      <c r="P323" s="216">
        <f t="shared" si="32"/>
        <v>0</v>
      </c>
      <c r="Q323" s="216">
        <f t="shared" si="33"/>
        <v>0</v>
      </c>
      <c r="R323" s="217" t="str">
        <f t="shared" si="34"/>
        <v/>
      </c>
    </row>
    <row r="324" spans="1:18" ht="15.75" hidden="1" thickBot="1" x14ac:dyDescent="0.3">
      <c r="A324" s="268"/>
      <c r="B324" s="50"/>
      <c r="C324" s="46"/>
      <c r="D324" s="36"/>
      <c r="E324" s="30" t="s">
        <v>416</v>
      </c>
      <c r="F324" s="33" t="str">
        <f t="shared" si="29"/>
        <v/>
      </c>
      <c r="G324" s="44"/>
      <c r="H324" s="45"/>
      <c r="I324" s="153">
        <v>0</v>
      </c>
      <c r="K324" s="215"/>
      <c r="L324" s="30" t="s">
        <v>416</v>
      </c>
      <c r="M324" s="33" t="str">
        <f t="shared" si="30"/>
        <v/>
      </c>
      <c r="N324" s="44"/>
      <c r="O324" s="36" t="str">
        <f t="shared" si="31"/>
        <v/>
      </c>
      <c r="P324" s="216" t="str">
        <f t="shared" si="32"/>
        <v/>
      </c>
      <c r="Q324" s="216" t="str">
        <f t="shared" si="33"/>
        <v/>
      </c>
      <c r="R324" s="217" t="str">
        <f t="shared" si="34"/>
        <v/>
      </c>
    </row>
    <row r="325" spans="1:18" ht="26.25" hidden="1" thickBot="1" x14ac:dyDescent="0.3">
      <c r="A325" s="268"/>
      <c r="B325" s="47" t="s">
        <v>90</v>
      </c>
      <c r="C325" s="46"/>
      <c r="D325" s="36"/>
      <c r="E325" s="30" t="s">
        <v>416</v>
      </c>
      <c r="F325" s="33" t="str">
        <f t="shared" si="29"/>
        <v/>
      </c>
      <c r="G325" s="44"/>
      <c r="H325" s="45"/>
      <c r="I325" s="153">
        <v>0</v>
      </c>
      <c r="K325" s="215"/>
      <c r="L325" s="30" t="s">
        <v>416</v>
      </c>
      <c r="M325" s="33" t="str">
        <f t="shared" si="30"/>
        <v/>
      </c>
      <c r="N325" s="44"/>
      <c r="O325" s="36" t="str">
        <f t="shared" si="31"/>
        <v/>
      </c>
      <c r="P325" s="216" t="str">
        <f t="shared" si="32"/>
        <v/>
      </c>
      <c r="Q325" s="216" t="str">
        <f t="shared" si="33"/>
        <v/>
      </c>
      <c r="R325" s="217" t="str">
        <f t="shared" si="34"/>
        <v/>
      </c>
    </row>
    <row r="326" spans="1:18" ht="15.75" hidden="1" thickBot="1" x14ac:dyDescent="0.3">
      <c r="A326" s="268"/>
      <c r="B326" s="35" t="s">
        <v>416</v>
      </c>
      <c r="C326" s="35"/>
      <c r="D326" s="92"/>
      <c r="E326" s="30" t="s">
        <v>416</v>
      </c>
      <c r="F326" s="30" t="str">
        <f t="shared" ref="F326:F365" si="35">IF(ISNUMBER(E326),E326*$D326,"")</f>
        <v/>
      </c>
      <c r="G326" s="34"/>
      <c r="H326" s="30"/>
      <c r="I326" s="153">
        <v>0</v>
      </c>
      <c r="K326" s="228"/>
      <c r="L326" s="30" t="s">
        <v>416</v>
      </c>
      <c r="M326" s="30" t="str">
        <f t="shared" si="30"/>
        <v/>
      </c>
      <c r="N326" s="34"/>
      <c r="O326" s="36" t="str">
        <f t="shared" si="31"/>
        <v/>
      </c>
      <c r="P326" s="216" t="str">
        <f t="shared" si="32"/>
        <v/>
      </c>
      <c r="Q326" s="216" t="str">
        <f t="shared" si="33"/>
        <v/>
      </c>
      <c r="R326" s="217" t="str">
        <f t="shared" si="34"/>
        <v/>
      </c>
    </row>
    <row r="327" spans="1:18" ht="15.75" thickBot="1" x14ac:dyDescent="0.3">
      <c r="A327" s="269" t="s">
        <v>871</v>
      </c>
      <c r="B327" s="40" t="s">
        <v>416</v>
      </c>
      <c r="C327" s="25" t="s">
        <v>87</v>
      </c>
      <c r="D327" s="93"/>
      <c r="E327" s="27" t="s">
        <v>416</v>
      </c>
      <c r="F327" s="27" t="str">
        <f t="shared" si="35"/>
        <v/>
      </c>
      <c r="G327" s="28"/>
      <c r="H327" s="29"/>
      <c r="I327" s="153">
        <v>3.8E-3</v>
      </c>
      <c r="K327" s="226"/>
      <c r="L327" s="27" t="s">
        <v>416</v>
      </c>
      <c r="M327" s="27" t="str">
        <f t="shared" si="30"/>
        <v/>
      </c>
      <c r="N327" s="28"/>
      <c r="O327" s="36" t="str">
        <f t="shared" si="31"/>
        <v/>
      </c>
      <c r="P327" s="216" t="str">
        <f t="shared" si="32"/>
        <v/>
      </c>
      <c r="Q327" s="216" t="str">
        <f t="shared" si="33"/>
        <v/>
      </c>
      <c r="R327" s="217" t="str">
        <f t="shared" si="34"/>
        <v/>
      </c>
    </row>
    <row r="328" spans="1:18" x14ac:dyDescent="0.25">
      <c r="A328" s="268"/>
      <c r="B328" s="31" t="s">
        <v>416</v>
      </c>
      <c r="C328" s="31"/>
      <c r="D328" s="91"/>
      <c r="E328" s="30" t="s">
        <v>416</v>
      </c>
      <c r="F328" s="30" t="str">
        <f t="shared" si="35"/>
        <v/>
      </c>
      <c r="G328" s="34"/>
      <c r="H328" s="30"/>
      <c r="I328" s="153">
        <v>3.8E-3</v>
      </c>
      <c r="K328" s="227"/>
      <c r="L328" s="30" t="s">
        <v>416</v>
      </c>
      <c r="M328" s="30" t="str">
        <f t="shared" ref="M328:M391" si="36">IF(ISNUMBER(L328),K328*L328,"")</f>
        <v/>
      </c>
      <c r="N328" s="34"/>
      <c r="O328" s="36" t="str">
        <f t="shared" ref="O328:O391" si="37">IF(ISBLANK(K328),"",IF($D328&lt;&gt;K328,"SIM",""))</f>
        <v/>
      </c>
      <c r="P328" s="216" t="str">
        <f t="shared" ref="P328:P391" si="38">IF(L328="","",1-L328/$E328)</f>
        <v/>
      </c>
      <c r="Q328" s="216" t="str">
        <f t="shared" ref="Q328:Q391" si="39">IF(M328="","",1-M328/$F328)</f>
        <v/>
      </c>
      <c r="R328" s="217" t="str">
        <f t="shared" ref="R328:R391" si="40">IF(G328="","",1-N328/$G328)</f>
        <v/>
      </c>
    </row>
    <row r="329" spans="1:18" ht="25.5" x14ac:dyDescent="0.25">
      <c r="A329" s="268"/>
      <c r="B329" s="35" t="s">
        <v>1140</v>
      </c>
      <c r="C329" s="35" t="s">
        <v>87</v>
      </c>
      <c r="D329" s="36">
        <v>1.02</v>
      </c>
      <c r="E329" s="30">
        <v>204.97199999999998</v>
      </c>
      <c r="F329" s="33">
        <f t="shared" si="35"/>
        <v>209.07144</v>
      </c>
      <c r="G329" s="44">
        <f>SUM(F329:F335)</f>
        <v>584.34036056100001</v>
      </c>
      <c r="H329" s="45"/>
      <c r="I329" s="153">
        <v>3.8E-3</v>
      </c>
      <c r="K329" s="215">
        <v>1.02</v>
      </c>
      <c r="L329" s="30">
        <v>204.97199999999998</v>
      </c>
      <c r="M329" s="33">
        <f t="shared" si="36"/>
        <v>209.07144</v>
      </c>
      <c r="N329" s="44">
        <f>SUM(M329:M335)</f>
        <v>584.34036056100001</v>
      </c>
      <c r="O329" s="36" t="str">
        <f t="shared" si="37"/>
        <v/>
      </c>
      <c r="P329" s="216">
        <f t="shared" si="38"/>
        <v>0</v>
      </c>
      <c r="Q329" s="216">
        <f t="shared" si="39"/>
        <v>0</v>
      </c>
      <c r="R329" s="217">
        <f t="shared" si="40"/>
        <v>0</v>
      </c>
    </row>
    <row r="330" spans="1:18" x14ac:dyDescent="0.25">
      <c r="A330" s="268"/>
      <c r="B330" s="35" t="s">
        <v>8065</v>
      </c>
      <c r="C330" s="35" t="s">
        <v>773</v>
      </c>
      <c r="D330" s="36">
        <v>343.52</v>
      </c>
      <c r="E330" s="33">
        <v>0.627</v>
      </c>
      <c r="F330" s="33">
        <f t="shared" si="35"/>
        <v>215.38703999999998</v>
      </c>
      <c r="G330" s="44"/>
      <c r="H330" s="45"/>
      <c r="I330" s="153">
        <v>3.8E-3</v>
      </c>
      <c r="K330" s="215">
        <v>343.52</v>
      </c>
      <c r="L330" s="33">
        <v>0.627</v>
      </c>
      <c r="M330" s="33">
        <f t="shared" si="36"/>
        <v>215.38703999999998</v>
      </c>
      <c r="N330" s="44"/>
      <c r="O330" s="36" t="str">
        <f t="shared" si="37"/>
        <v/>
      </c>
      <c r="P330" s="216">
        <f t="shared" si="38"/>
        <v>0</v>
      </c>
      <c r="Q330" s="216">
        <f t="shared" si="39"/>
        <v>0</v>
      </c>
      <c r="R330" s="217" t="str">
        <f t="shared" si="40"/>
        <v/>
      </c>
    </row>
    <row r="331" spans="1:18" ht="25.5" x14ac:dyDescent="0.25">
      <c r="A331" s="268"/>
      <c r="B331" s="35" t="s">
        <v>1271</v>
      </c>
      <c r="C331" s="35" t="s">
        <v>583</v>
      </c>
      <c r="D331" s="36">
        <v>4.6399999999999997</v>
      </c>
      <c r="E331" s="30">
        <v>20.291999999999998</v>
      </c>
      <c r="F331" s="33">
        <f t="shared" si="35"/>
        <v>94.154879999999991</v>
      </c>
      <c r="G331" s="44"/>
      <c r="H331" s="45"/>
      <c r="I331" s="153">
        <v>3.8E-3</v>
      </c>
      <c r="K331" s="215">
        <v>4.6399999999999997</v>
      </c>
      <c r="L331" s="30">
        <v>20.291999999999998</v>
      </c>
      <c r="M331" s="33">
        <f t="shared" si="36"/>
        <v>94.154879999999991</v>
      </c>
      <c r="N331" s="44"/>
      <c r="O331" s="36" t="str">
        <f t="shared" si="37"/>
        <v/>
      </c>
      <c r="P331" s="216">
        <f t="shared" si="38"/>
        <v>0</v>
      </c>
      <c r="Q331" s="216">
        <f t="shared" si="39"/>
        <v>0</v>
      </c>
      <c r="R331" s="217" t="str">
        <f t="shared" si="40"/>
        <v/>
      </c>
    </row>
    <row r="332" spans="1:18" ht="38.25" x14ac:dyDescent="0.25">
      <c r="A332" s="268"/>
      <c r="B332" s="35" t="s">
        <v>84</v>
      </c>
      <c r="C332" s="35" t="s">
        <v>813</v>
      </c>
      <c r="D332" s="36">
        <v>1.08</v>
      </c>
      <c r="E332" s="30">
        <v>1.6435</v>
      </c>
      <c r="F332" s="33">
        <f t="shared" si="35"/>
        <v>1.77498</v>
      </c>
      <c r="G332" s="44"/>
      <c r="H332" s="45"/>
      <c r="I332" s="153">
        <v>3.8E-3</v>
      </c>
      <c r="K332" s="215">
        <v>1.08</v>
      </c>
      <c r="L332" s="30">
        <v>1.6435</v>
      </c>
      <c r="M332" s="33">
        <f t="shared" si="36"/>
        <v>1.77498</v>
      </c>
      <c r="N332" s="44"/>
      <c r="O332" s="36" t="str">
        <f t="shared" si="37"/>
        <v/>
      </c>
      <c r="P332" s="216">
        <f t="shared" si="38"/>
        <v>0</v>
      </c>
      <c r="Q332" s="216">
        <f t="shared" si="39"/>
        <v>0</v>
      </c>
      <c r="R332" s="217" t="str">
        <f t="shared" si="40"/>
        <v/>
      </c>
    </row>
    <row r="333" spans="1:18" ht="38.25" x14ac:dyDescent="0.25">
      <c r="A333" s="268"/>
      <c r="B333" s="35" t="s">
        <v>85</v>
      </c>
      <c r="C333" s="35" t="s">
        <v>815</v>
      </c>
      <c r="D333" s="36">
        <v>3.56</v>
      </c>
      <c r="E333" s="30">
        <v>0.42749999999999999</v>
      </c>
      <c r="F333" s="33">
        <f t="shared" si="35"/>
        <v>1.5219</v>
      </c>
      <c r="G333" s="44"/>
      <c r="H333" s="45"/>
      <c r="I333" s="153">
        <v>3.8E-3</v>
      </c>
      <c r="K333" s="215">
        <v>3.56</v>
      </c>
      <c r="L333" s="30">
        <v>0.42749999999999999</v>
      </c>
      <c r="M333" s="33">
        <f t="shared" si="36"/>
        <v>1.5219</v>
      </c>
      <c r="N333" s="44"/>
      <c r="O333" s="36" t="str">
        <f t="shared" si="37"/>
        <v/>
      </c>
      <c r="P333" s="216">
        <f t="shared" si="38"/>
        <v>0</v>
      </c>
      <c r="Q333" s="216">
        <f t="shared" si="39"/>
        <v>0</v>
      </c>
      <c r="R333" s="217" t="str">
        <f t="shared" si="40"/>
        <v/>
      </c>
    </row>
    <row r="334" spans="1:18" ht="51" x14ac:dyDescent="0.25">
      <c r="A334" s="268"/>
      <c r="B334" s="35" t="s">
        <v>3071</v>
      </c>
      <c r="C334" s="35" t="s">
        <v>87</v>
      </c>
      <c r="D334" s="36">
        <f>ROUND(1*(D329),4)</f>
        <v>1.02</v>
      </c>
      <c r="E334" s="30">
        <v>8.0531015499999992</v>
      </c>
      <c r="F334" s="33">
        <f t="shared" si="35"/>
        <v>8.2141635809999993</v>
      </c>
      <c r="G334" s="44"/>
      <c r="H334" s="45"/>
      <c r="I334" s="153">
        <v>3.8E-3</v>
      </c>
      <c r="K334" s="215">
        <v>1.02</v>
      </c>
      <c r="L334" s="30">
        <v>8.0531015499999992</v>
      </c>
      <c r="M334" s="33">
        <f t="shared" si="36"/>
        <v>8.2141635809999993</v>
      </c>
      <c r="N334" s="44"/>
      <c r="O334" s="36" t="str">
        <f t="shared" si="37"/>
        <v/>
      </c>
      <c r="P334" s="216">
        <f t="shared" si="38"/>
        <v>0</v>
      </c>
      <c r="Q334" s="216">
        <f t="shared" si="39"/>
        <v>0</v>
      </c>
      <c r="R334" s="217" t="str">
        <f t="shared" si="40"/>
        <v/>
      </c>
    </row>
    <row r="335" spans="1:18" ht="38.25" x14ac:dyDescent="0.25">
      <c r="A335" s="268"/>
      <c r="B335" s="35" t="s">
        <v>3068</v>
      </c>
      <c r="C335" s="46" t="s">
        <v>89</v>
      </c>
      <c r="D335" s="36">
        <f>ROUND(D329*20,4)</f>
        <v>20.399999999999999</v>
      </c>
      <c r="E335" s="30">
        <v>2.6576449499999995</v>
      </c>
      <c r="F335" s="33">
        <f t="shared" si="35"/>
        <v>54.215956979999987</v>
      </c>
      <c r="G335" s="44"/>
      <c r="H335" s="45"/>
      <c r="I335" s="153">
        <v>3.8E-3</v>
      </c>
      <c r="K335" s="215">
        <v>20.399999999999999</v>
      </c>
      <c r="L335" s="30">
        <v>2.6576449499999995</v>
      </c>
      <c r="M335" s="33">
        <f t="shared" si="36"/>
        <v>54.215956979999987</v>
      </c>
      <c r="N335" s="44"/>
      <c r="O335" s="36" t="str">
        <f t="shared" si="37"/>
        <v/>
      </c>
      <c r="P335" s="216">
        <f t="shared" si="38"/>
        <v>0</v>
      </c>
      <c r="Q335" s="216">
        <f t="shared" si="39"/>
        <v>0</v>
      </c>
      <c r="R335" s="217" t="str">
        <f t="shared" si="40"/>
        <v/>
      </c>
    </row>
    <row r="336" spans="1:18" x14ac:dyDescent="0.25">
      <c r="A336" s="268"/>
      <c r="B336" s="35"/>
      <c r="C336" s="35"/>
      <c r="D336" s="36"/>
      <c r="E336" s="30" t="s">
        <v>416</v>
      </c>
      <c r="F336" s="33" t="str">
        <f t="shared" si="35"/>
        <v/>
      </c>
      <c r="G336" s="44"/>
      <c r="H336" s="45"/>
      <c r="I336" s="153">
        <v>3.8E-3</v>
      </c>
      <c r="K336" s="215"/>
      <c r="L336" s="30" t="s">
        <v>416</v>
      </c>
      <c r="M336" s="33" t="str">
        <f t="shared" si="36"/>
        <v/>
      </c>
      <c r="N336" s="44"/>
      <c r="O336" s="36" t="str">
        <f t="shared" si="37"/>
        <v/>
      </c>
      <c r="P336" s="216" t="str">
        <f t="shared" si="38"/>
        <v/>
      </c>
      <c r="Q336" s="216" t="str">
        <f t="shared" si="39"/>
        <v/>
      </c>
      <c r="R336" s="217" t="str">
        <f t="shared" si="40"/>
        <v/>
      </c>
    </row>
    <row r="337" spans="1:18" x14ac:dyDescent="0.25">
      <c r="A337" s="268"/>
      <c r="B337" s="47" t="s">
        <v>631</v>
      </c>
      <c r="C337" s="46"/>
      <c r="D337" s="36"/>
      <c r="E337" s="30" t="s">
        <v>416</v>
      </c>
      <c r="F337" s="33" t="str">
        <f t="shared" si="35"/>
        <v/>
      </c>
      <c r="G337" s="44"/>
      <c r="H337" s="45"/>
      <c r="I337" s="153">
        <v>3.8E-3</v>
      </c>
      <c r="K337" s="215"/>
      <c r="L337" s="30" t="s">
        <v>416</v>
      </c>
      <c r="M337" s="33" t="str">
        <f t="shared" si="36"/>
        <v/>
      </c>
      <c r="N337" s="44"/>
      <c r="O337" s="36" t="str">
        <f t="shared" si="37"/>
        <v/>
      </c>
      <c r="P337" s="216" t="str">
        <f t="shared" si="38"/>
        <v/>
      </c>
      <c r="Q337" s="216" t="str">
        <f t="shared" si="39"/>
        <v/>
      </c>
      <c r="R337" s="217" t="str">
        <f t="shared" si="40"/>
        <v/>
      </c>
    </row>
    <row r="338" spans="1:18" ht="15.75" thickBot="1" x14ac:dyDescent="0.3">
      <c r="A338" s="270"/>
      <c r="B338" s="54" t="s">
        <v>416</v>
      </c>
      <c r="C338" s="54"/>
      <c r="D338" s="95"/>
      <c r="E338" s="66" t="s">
        <v>416</v>
      </c>
      <c r="F338" s="67" t="str">
        <f t="shared" si="35"/>
        <v/>
      </c>
      <c r="G338" s="68"/>
      <c r="H338" s="30"/>
      <c r="I338" s="153">
        <v>3.8E-3</v>
      </c>
      <c r="K338" s="229"/>
      <c r="L338" s="66" t="s">
        <v>416</v>
      </c>
      <c r="M338" s="67" t="str">
        <f t="shared" si="36"/>
        <v/>
      </c>
      <c r="N338" s="68"/>
      <c r="O338" s="36" t="str">
        <f t="shared" si="37"/>
        <v/>
      </c>
      <c r="P338" s="216" t="str">
        <f t="shared" si="38"/>
        <v/>
      </c>
      <c r="Q338" s="216" t="str">
        <f t="shared" si="39"/>
        <v/>
      </c>
      <c r="R338" s="217" t="str">
        <f t="shared" si="40"/>
        <v/>
      </c>
    </row>
    <row r="339" spans="1:18" ht="15.75" thickBot="1" x14ac:dyDescent="0.3">
      <c r="A339" s="269" t="s">
        <v>3071</v>
      </c>
      <c r="B339" s="40" t="s">
        <v>416</v>
      </c>
      <c r="C339" s="25" t="s">
        <v>87</v>
      </c>
      <c r="D339" s="93"/>
      <c r="E339" s="27" t="s">
        <v>416</v>
      </c>
      <c r="F339" s="25" t="str">
        <f t="shared" si="35"/>
        <v/>
      </c>
      <c r="G339" s="28"/>
      <c r="H339" s="29"/>
      <c r="I339" s="153">
        <v>15</v>
      </c>
      <c r="K339" s="226"/>
      <c r="L339" s="27" t="s">
        <v>416</v>
      </c>
      <c r="M339" s="25" t="str">
        <f t="shared" si="36"/>
        <v/>
      </c>
      <c r="N339" s="28"/>
      <c r="O339" s="36" t="str">
        <f t="shared" si="37"/>
        <v/>
      </c>
      <c r="P339" s="216" t="str">
        <f t="shared" si="38"/>
        <v/>
      </c>
      <c r="Q339" s="216" t="str">
        <f t="shared" si="39"/>
        <v/>
      </c>
      <c r="R339" s="217" t="str">
        <f t="shared" si="40"/>
        <v/>
      </c>
    </row>
    <row r="340" spans="1:18" x14ac:dyDescent="0.25">
      <c r="A340" s="268"/>
      <c r="B340" s="31" t="s">
        <v>416</v>
      </c>
      <c r="C340" s="31"/>
      <c r="D340" s="91"/>
      <c r="E340" s="30" t="s">
        <v>416</v>
      </c>
      <c r="F340" s="30" t="str">
        <f t="shared" si="35"/>
        <v/>
      </c>
      <c r="G340" s="34"/>
      <c r="H340" s="30"/>
      <c r="I340" s="153">
        <v>15</v>
      </c>
      <c r="K340" s="227"/>
      <c r="L340" s="30" t="s">
        <v>416</v>
      </c>
      <c r="M340" s="30" t="str">
        <f t="shared" si="36"/>
        <v/>
      </c>
      <c r="N340" s="34"/>
      <c r="O340" s="36" t="str">
        <f t="shared" si="37"/>
        <v/>
      </c>
      <c r="P340" s="216" t="str">
        <f t="shared" si="38"/>
        <v/>
      </c>
      <c r="Q340" s="216" t="str">
        <f t="shared" si="39"/>
        <v/>
      </c>
      <c r="R340" s="217" t="str">
        <f t="shared" si="40"/>
        <v/>
      </c>
    </row>
    <row r="341" spans="1:18" ht="38.25" x14ac:dyDescent="0.25">
      <c r="A341" s="268"/>
      <c r="B341" s="35" t="s">
        <v>2865</v>
      </c>
      <c r="C341" s="35" t="s">
        <v>813</v>
      </c>
      <c r="D341" s="36">
        <v>8.3000000000000001E-3</v>
      </c>
      <c r="E341" s="30">
        <v>170.34449999999998</v>
      </c>
      <c r="F341" s="33">
        <f t="shared" si="35"/>
        <v>1.4138593499999998</v>
      </c>
      <c r="G341" s="44">
        <f>SUM(F341:F344)</f>
        <v>7.9257587999999988</v>
      </c>
      <c r="H341" s="45"/>
      <c r="I341" s="153">
        <v>15</v>
      </c>
      <c r="K341" s="215">
        <v>8.3000000000000001E-3</v>
      </c>
      <c r="L341" s="30">
        <v>170.34449999999998</v>
      </c>
      <c r="M341" s="33">
        <f t="shared" si="36"/>
        <v>1.4138593499999998</v>
      </c>
      <c r="N341" s="44">
        <f>SUM(M341:M344)</f>
        <v>7.9257587999999988</v>
      </c>
      <c r="O341" s="36" t="str">
        <f t="shared" si="37"/>
        <v/>
      </c>
      <c r="P341" s="216">
        <f t="shared" si="38"/>
        <v>0</v>
      </c>
      <c r="Q341" s="216">
        <f t="shared" si="39"/>
        <v>0</v>
      </c>
      <c r="R341" s="217">
        <f t="shared" si="40"/>
        <v>0</v>
      </c>
    </row>
    <row r="342" spans="1:18" ht="38.25" x14ac:dyDescent="0.25">
      <c r="A342" s="268"/>
      <c r="B342" s="35" t="s">
        <v>2872</v>
      </c>
      <c r="C342" s="35" t="s">
        <v>815</v>
      </c>
      <c r="D342" s="36">
        <v>1.5100000000000001E-2</v>
      </c>
      <c r="E342" s="30">
        <v>63.412499999999994</v>
      </c>
      <c r="F342" s="33">
        <f t="shared" si="35"/>
        <v>0.95752874999999993</v>
      </c>
      <c r="G342" s="44"/>
      <c r="H342" s="45"/>
      <c r="I342" s="153">
        <v>15</v>
      </c>
      <c r="K342" s="215">
        <v>1.5100000000000001E-2</v>
      </c>
      <c r="L342" s="30">
        <v>63.412499999999994</v>
      </c>
      <c r="M342" s="33">
        <f t="shared" si="36"/>
        <v>0.95752874999999993</v>
      </c>
      <c r="N342" s="44"/>
      <c r="O342" s="36" t="str">
        <f t="shared" si="37"/>
        <v/>
      </c>
      <c r="P342" s="216">
        <f t="shared" si="38"/>
        <v>0</v>
      </c>
      <c r="Q342" s="216">
        <f t="shared" si="39"/>
        <v>0</v>
      </c>
      <c r="R342" s="217" t="str">
        <f t="shared" si="40"/>
        <v/>
      </c>
    </row>
    <row r="343" spans="1:18" ht="51" x14ac:dyDescent="0.25">
      <c r="A343" s="268"/>
      <c r="B343" s="35" t="s">
        <v>939</v>
      </c>
      <c r="C343" s="35" t="s">
        <v>813</v>
      </c>
      <c r="D343" s="36">
        <v>2.6700000000000002E-2</v>
      </c>
      <c r="E343" s="30">
        <v>169.09049999999999</v>
      </c>
      <c r="F343" s="33">
        <f t="shared" si="35"/>
        <v>4.5147163499999996</v>
      </c>
      <c r="G343" s="44"/>
      <c r="H343" s="45"/>
      <c r="I343" s="153">
        <v>15</v>
      </c>
      <c r="K343" s="215">
        <v>2.6700000000000002E-2</v>
      </c>
      <c r="L343" s="30">
        <v>169.09049999999999</v>
      </c>
      <c r="M343" s="33">
        <f t="shared" si="36"/>
        <v>4.5147163499999996</v>
      </c>
      <c r="N343" s="44"/>
      <c r="O343" s="36" t="str">
        <f t="shared" si="37"/>
        <v/>
      </c>
      <c r="P343" s="216">
        <f t="shared" si="38"/>
        <v>0</v>
      </c>
      <c r="Q343" s="216">
        <f t="shared" si="39"/>
        <v>0</v>
      </c>
      <c r="R343" s="217" t="str">
        <f t="shared" si="40"/>
        <v/>
      </c>
    </row>
    <row r="344" spans="1:18" ht="51" x14ac:dyDescent="0.25">
      <c r="A344" s="268"/>
      <c r="B344" s="35" t="s">
        <v>940</v>
      </c>
      <c r="C344" s="35" t="s">
        <v>815</v>
      </c>
      <c r="D344" s="36">
        <v>2.0299999999999999E-2</v>
      </c>
      <c r="E344" s="30">
        <v>51.214499999999994</v>
      </c>
      <c r="F344" s="33">
        <f t="shared" si="35"/>
        <v>1.0396543499999997</v>
      </c>
      <c r="G344" s="44"/>
      <c r="H344" s="45"/>
      <c r="I344" s="153">
        <v>15</v>
      </c>
      <c r="K344" s="215">
        <v>2.0299999999999999E-2</v>
      </c>
      <c r="L344" s="30">
        <v>51.214499999999994</v>
      </c>
      <c r="M344" s="33">
        <f t="shared" si="36"/>
        <v>1.0396543499999997</v>
      </c>
      <c r="N344" s="44"/>
      <c r="O344" s="36" t="str">
        <f t="shared" si="37"/>
        <v/>
      </c>
      <c r="P344" s="216">
        <f t="shared" si="38"/>
        <v>0</v>
      </c>
      <c r="Q344" s="216">
        <f t="shared" si="39"/>
        <v>0</v>
      </c>
      <c r="R344" s="217" t="str">
        <f t="shared" si="40"/>
        <v/>
      </c>
    </row>
    <row r="345" spans="1:18" ht="15.75" thickBot="1" x14ac:dyDescent="0.3">
      <c r="A345" s="270"/>
      <c r="B345" s="54" t="s">
        <v>416</v>
      </c>
      <c r="C345" s="54"/>
      <c r="D345" s="95"/>
      <c r="E345" s="66" t="s">
        <v>416</v>
      </c>
      <c r="F345" s="67" t="str">
        <f t="shared" si="35"/>
        <v/>
      </c>
      <c r="G345" s="68"/>
      <c r="H345" s="30"/>
      <c r="I345" s="153">
        <v>15</v>
      </c>
      <c r="K345" s="229"/>
      <c r="L345" s="66" t="s">
        <v>416</v>
      </c>
      <c r="M345" s="67" t="str">
        <f t="shared" si="36"/>
        <v/>
      </c>
      <c r="N345" s="68"/>
      <c r="O345" s="36" t="str">
        <f t="shared" si="37"/>
        <v/>
      </c>
      <c r="P345" s="216" t="str">
        <f t="shared" si="38"/>
        <v/>
      </c>
      <c r="Q345" s="216" t="str">
        <f t="shared" si="39"/>
        <v/>
      </c>
      <c r="R345" s="217" t="str">
        <f t="shared" si="40"/>
        <v/>
      </c>
    </row>
    <row r="346" spans="1:18" ht="15.75" hidden="1" thickBot="1" x14ac:dyDescent="0.3">
      <c r="A346" s="269" t="s">
        <v>3072</v>
      </c>
      <c r="B346" s="40" t="s">
        <v>416</v>
      </c>
      <c r="C346" s="25" t="s">
        <v>1141</v>
      </c>
      <c r="D346" s="93"/>
      <c r="E346" s="27" t="s">
        <v>416</v>
      </c>
      <c r="F346" s="25" t="str">
        <f t="shared" si="35"/>
        <v/>
      </c>
      <c r="G346" s="28"/>
      <c r="H346" s="29"/>
      <c r="I346" s="153">
        <v>0</v>
      </c>
      <c r="K346" s="226"/>
      <c r="L346" s="27" t="s">
        <v>416</v>
      </c>
      <c r="M346" s="25" t="str">
        <f t="shared" si="36"/>
        <v/>
      </c>
      <c r="N346" s="28"/>
      <c r="O346" s="36" t="str">
        <f t="shared" si="37"/>
        <v/>
      </c>
      <c r="P346" s="216" t="str">
        <f t="shared" si="38"/>
        <v/>
      </c>
      <c r="Q346" s="216" t="str">
        <f t="shared" si="39"/>
        <v/>
      </c>
      <c r="R346" s="217" t="str">
        <f t="shared" si="40"/>
        <v/>
      </c>
    </row>
    <row r="347" spans="1:18" ht="15.75" hidden="1" thickBot="1" x14ac:dyDescent="0.3">
      <c r="A347" s="268"/>
      <c r="B347" s="31" t="s">
        <v>416</v>
      </c>
      <c r="C347" s="31"/>
      <c r="D347" s="91"/>
      <c r="E347" s="30" t="s">
        <v>416</v>
      </c>
      <c r="F347" s="30" t="str">
        <f t="shared" si="35"/>
        <v/>
      </c>
      <c r="G347" s="34"/>
      <c r="H347" s="30"/>
      <c r="I347" s="153">
        <v>0</v>
      </c>
      <c r="K347" s="227"/>
      <c r="L347" s="30" t="s">
        <v>416</v>
      </c>
      <c r="M347" s="30" t="str">
        <f t="shared" si="36"/>
        <v/>
      </c>
      <c r="N347" s="34"/>
      <c r="O347" s="36" t="str">
        <f t="shared" si="37"/>
        <v/>
      </c>
      <c r="P347" s="216" t="str">
        <f t="shared" si="38"/>
        <v/>
      </c>
      <c r="Q347" s="216" t="str">
        <f t="shared" si="39"/>
        <v/>
      </c>
      <c r="R347" s="217" t="str">
        <f t="shared" si="40"/>
        <v/>
      </c>
    </row>
    <row r="348" spans="1:18" ht="39" hidden="1" thickBot="1" x14ac:dyDescent="0.3">
      <c r="A348" s="268"/>
      <c r="B348" s="35" t="s">
        <v>2865</v>
      </c>
      <c r="C348" s="35" t="s">
        <v>813</v>
      </c>
      <c r="D348" s="36">
        <v>5.5599999999999998E-3</v>
      </c>
      <c r="E348" s="30">
        <v>170.34449999999998</v>
      </c>
      <c r="F348" s="33">
        <f t="shared" si="35"/>
        <v>0.94711541999999982</v>
      </c>
      <c r="G348" s="44">
        <f>SUM(F348:F351)</f>
        <v>5.2887883199999992</v>
      </c>
      <c r="H348" s="45"/>
      <c r="I348" s="153">
        <v>0</v>
      </c>
      <c r="K348" s="215">
        <v>5.5599999999999998E-3</v>
      </c>
      <c r="L348" s="30">
        <v>170.34449999999998</v>
      </c>
      <c r="M348" s="33">
        <f t="shared" si="36"/>
        <v>0.94711541999999982</v>
      </c>
      <c r="N348" s="44">
        <f>SUM(M348:M351)</f>
        <v>5.2887883199999992</v>
      </c>
      <c r="O348" s="36" t="str">
        <f t="shared" si="37"/>
        <v/>
      </c>
      <c r="P348" s="216">
        <f t="shared" si="38"/>
        <v>0</v>
      </c>
      <c r="Q348" s="216">
        <f t="shared" si="39"/>
        <v>0</v>
      </c>
      <c r="R348" s="217">
        <f t="shared" si="40"/>
        <v>0</v>
      </c>
    </row>
    <row r="349" spans="1:18" ht="39" hidden="1" thickBot="1" x14ac:dyDescent="0.3">
      <c r="A349" s="268"/>
      <c r="B349" s="35" t="s">
        <v>2872</v>
      </c>
      <c r="C349" s="35" t="s">
        <v>815</v>
      </c>
      <c r="D349" s="36">
        <v>1.01E-2</v>
      </c>
      <c r="E349" s="30">
        <v>63.412499999999994</v>
      </c>
      <c r="F349" s="33">
        <f t="shared" si="35"/>
        <v>0.6404662499999999</v>
      </c>
      <c r="G349" s="44"/>
      <c r="H349" s="45"/>
      <c r="I349" s="153">
        <v>0</v>
      </c>
      <c r="K349" s="215">
        <v>1.01E-2</v>
      </c>
      <c r="L349" s="30">
        <v>63.412499999999994</v>
      </c>
      <c r="M349" s="33">
        <f t="shared" si="36"/>
        <v>0.6404662499999999</v>
      </c>
      <c r="N349" s="44"/>
      <c r="O349" s="36" t="str">
        <f t="shared" si="37"/>
        <v/>
      </c>
      <c r="P349" s="216">
        <f t="shared" si="38"/>
        <v>0</v>
      </c>
      <c r="Q349" s="216">
        <f t="shared" si="39"/>
        <v>0</v>
      </c>
      <c r="R349" s="217" t="str">
        <f t="shared" si="40"/>
        <v/>
      </c>
    </row>
    <row r="350" spans="1:18" ht="51.75" hidden="1" thickBot="1" x14ac:dyDescent="0.3">
      <c r="A350" s="268"/>
      <c r="B350" s="35" t="s">
        <v>939</v>
      </c>
      <c r="C350" s="35" t="s">
        <v>813</v>
      </c>
      <c r="D350" s="36">
        <v>1.78E-2</v>
      </c>
      <c r="E350" s="30">
        <v>169.09049999999999</v>
      </c>
      <c r="F350" s="33">
        <f t="shared" si="35"/>
        <v>3.0098108999999997</v>
      </c>
      <c r="G350" s="44"/>
      <c r="H350" s="45"/>
      <c r="I350" s="153">
        <v>0</v>
      </c>
      <c r="K350" s="215">
        <v>1.78E-2</v>
      </c>
      <c r="L350" s="30">
        <v>169.09049999999999</v>
      </c>
      <c r="M350" s="33">
        <f t="shared" si="36"/>
        <v>3.0098108999999997</v>
      </c>
      <c r="N350" s="44"/>
      <c r="O350" s="36" t="str">
        <f t="shared" si="37"/>
        <v/>
      </c>
      <c r="P350" s="216">
        <f t="shared" si="38"/>
        <v>0</v>
      </c>
      <c r="Q350" s="216">
        <f t="shared" si="39"/>
        <v>0</v>
      </c>
      <c r="R350" s="217" t="str">
        <f t="shared" si="40"/>
        <v/>
      </c>
    </row>
    <row r="351" spans="1:18" ht="51.75" hidden="1" thickBot="1" x14ac:dyDescent="0.3">
      <c r="A351" s="268"/>
      <c r="B351" s="35" t="s">
        <v>940</v>
      </c>
      <c r="C351" s="35" t="s">
        <v>815</v>
      </c>
      <c r="D351" s="36">
        <v>1.35E-2</v>
      </c>
      <c r="E351" s="30">
        <v>51.214499999999994</v>
      </c>
      <c r="F351" s="33">
        <f t="shared" si="35"/>
        <v>0.69139574999999986</v>
      </c>
      <c r="G351" s="44"/>
      <c r="H351" s="45"/>
      <c r="I351" s="153">
        <v>0</v>
      </c>
      <c r="K351" s="215">
        <v>1.35E-2</v>
      </c>
      <c r="L351" s="30">
        <v>51.214499999999994</v>
      </c>
      <c r="M351" s="33">
        <f t="shared" si="36"/>
        <v>0.69139574999999986</v>
      </c>
      <c r="N351" s="44"/>
      <c r="O351" s="36" t="str">
        <f t="shared" si="37"/>
        <v/>
      </c>
      <c r="P351" s="216">
        <f t="shared" si="38"/>
        <v>0</v>
      </c>
      <c r="Q351" s="216">
        <f t="shared" si="39"/>
        <v>0</v>
      </c>
      <c r="R351" s="217" t="str">
        <f t="shared" si="40"/>
        <v/>
      </c>
    </row>
    <row r="352" spans="1:18" ht="15.75" hidden="1" thickBot="1" x14ac:dyDescent="0.3">
      <c r="A352" s="270"/>
      <c r="B352" s="54" t="s">
        <v>416</v>
      </c>
      <c r="C352" s="54"/>
      <c r="D352" s="95"/>
      <c r="E352" s="66" t="s">
        <v>416</v>
      </c>
      <c r="F352" s="67" t="str">
        <f t="shared" si="35"/>
        <v/>
      </c>
      <c r="G352" s="68"/>
      <c r="H352" s="30"/>
      <c r="I352" s="153">
        <v>0</v>
      </c>
      <c r="K352" s="229"/>
      <c r="L352" s="66" t="s">
        <v>416</v>
      </c>
      <c r="M352" s="67" t="str">
        <f t="shared" si="36"/>
        <v/>
      </c>
      <c r="N352" s="68"/>
      <c r="O352" s="36" t="str">
        <f t="shared" si="37"/>
        <v/>
      </c>
      <c r="P352" s="216" t="str">
        <f t="shared" si="38"/>
        <v/>
      </c>
      <c r="Q352" s="216" t="str">
        <f t="shared" si="39"/>
        <v/>
      </c>
      <c r="R352" s="217" t="str">
        <f t="shared" si="40"/>
        <v/>
      </c>
    </row>
    <row r="353" spans="1:18" ht="15.75" hidden="1" thickBot="1" x14ac:dyDescent="0.3">
      <c r="A353" s="269" t="s">
        <v>3221</v>
      </c>
      <c r="B353" s="40" t="s">
        <v>416</v>
      </c>
      <c r="C353" s="25" t="s">
        <v>861</v>
      </c>
      <c r="D353" s="93"/>
      <c r="E353" s="27" t="s">
        <v>416</v>
      </c>
      <c r="F353" s="27" t="str">
        <f t="shared" si="35"/>
        <v/>
      </c>
      <c r="G353" s="28"/>
      <c r="H353" s="29"/>
      <c r="I353" s="153">
        <v>0</v>
      </c>
      <c r="K353" s="226"/>
      <c r="L353" s="27" t="s">
        <v>416</v>
      </c>
      <c r="M353" s="27" t="str">
        <f t="shared" si="36"/>
        <v/>
      </c>
      <c r="N353" s="28"/>
      <c r="O353" s="36" t="str">
        <f t="shared" si="37"/>
        <v/>
      </c>
      <c r="P353" s="216" t="str">
        <f t="shared" si="38"/>
        <v/>
      </c>
      <c r="Q353" s="216" t="str">
        <f t="shared" si="39"/>
        <v/>
      </c>
      <c r="R353" s="217" t="str">
        <f t="shared" si="40"/>
        <v/>
      </c>
    </row>
    <row r="354" spans="1:18" ht="15.75" hidden="1" thickBot="1" x14ac:dyDescent="0.3">
      <c r="A354" s="268"/>
      <c r="B354" s="31" t="s">
        <v>416</v>
      </c>
      <c r="C354" s="31"/>
      <c r="D354" s="91"/>
      <c r="E354" s="30" t="s">
        <v>416</v>
      </c>
      <c r="F354" s="30" t="str">
        <f t="shared" si="35"/>
        <v/>
      </c>
      <c r="G354" s="34"/>
      <c r="H354" s="30"/>
      <c r="I354" s="153">
        <v>0</v>
      </c>
      <c r="K354" s="227"/>
      <c r="L354" s="30" t="s">
        <v>416</v>
      </c>
      <c r="M354" s="30" t="str">
        <f t="shared" si="36"/>
        <v/>
      </c>
      <c r="N354" s="34"/>
      <c r="O354" s="36" t="str">
        <f t="shared" si="37"/>
        <v/>
      </c>
      <c r="P354" s="216" t="str">
        <f t="shared" si="38"/>
        <v/>
      </c>
      <c r="Q354" s="216" t="str">
        <f t="shared" si="39"/>
        <v/>
      </c>
      <c r="R354" s="217" t="str">
        <f t="shared" si="40"/>
        <v/>
      </c>
    </row>
    <row r="355" spans="1:18" ht="26.25" hidden="1" thickBot="1" x14ac:dyDescent="0.3">
      <c r="A355" s="268"/>
      <c r="B355" s="35" t="s">
        <v>1009</v>
      </c>
      <c r="C355" s="35" t="s">
        <v>75</v>
      </c>
      <c r="D355" s="36">
        <v>1.7000000000000001E-2</v>
      </c>
      <c r="E355" s="30">
        <v>7.9229999999999992</v>
      </c>
      <c r="F355" s="33">
        <f t="shared" si="35"/>
        <v>0.13469100000000001</v>
      </c>
      <c r="G355" s="44">
        <f>SUM(F355:F359)</f>
        <v>222.09994482000002</v>
      </c>
      <c r="H355" s="45"/>
      <c r="I355" s="153">
        <v>0</v>
      </c>
      <c r="K355" s="215">
        <v>1.7000000000000001E-2</v>
      </c>
      <c r="L355" s="30">
        <v>7.9229999999999992</v>
      </c>
      <c r="M355" s="33">
        <f t="shared" si="36"/>
        <v>0.13469100000000001</v>
      </c>
      <c r="N355" s="44">
        <f>SUM(M355:M359)</f>
        <v>222.09994482000002</v>
      </c>
      <c r="O355" s="36" t="str">
        <f t="shared" si="37"/>
        <v/>
      </c>
      <c r="P355" s="216">
        <f t="shared" si="38"/>
        <v>0</v>
      </c>
      <c r="Q355" s="216">
        <f t="shared" si="39"/>
        <v>0</v>
      </c>
      <c r="R355" s="217">
        <f t="shared" si="40"/>
        <v>0</v>
      </c>
    </row>
    <row r="356" spans="1:18" ht="15.75" hidden="1" thickBot="1" x14ac:dyDescent="0.3">
      <c r="A356" s="268"/>
      <c r="B356" s="35" t="s">
        <v>2936</v>
      </c>
      <c r="C356" s="35" t="s">
        <v>773</v>
      </c>
      <c r="D356" s="36">
        <v>2.7E-2</v>
      </c>
      <c r="E356" s="33">
        <v>26.656999999999996</v>
      </c>
      <c r="F356" s="33">
        <f t="shared" si="35"/>
        <v>0.71973899999999991</v>
      </c>
      <c r="G356" s="44"/>
      <c r="H356" s="45"/>
      <c r="I356" s="153">
        <v>0</v>
      </c>
      <c r="K356" s="215">
        <v>2.7E-2</v>
      </c>
      <c r="L356" s="33">
        <v>26.656999999999996</v>
      </c>
      <c r="M356" s="33">
        <f t="shared" si="36"/>
        <v>0.71973899999999991</v>
      </c>
      <c r="N356" s="44"/>
      <c r="O356" s="36" t="str">
        <f t="shared" si="37"/>
        <v/>
      </c>
      <c r="P356" s="216">
        <f t="shared" si="38"/>
        <v>0</v>
      </c>
      <c r="Q356" s="216">
        <f t="shared" si="39"/>
        <v>0</v>
      </c>
      <c r="R356" s="217" t="str">
        <f t="shared" si="40"/>
        <v/>
      </c>
    </row>
    <row r="357" spans="1:18" ht="15.75" hidden="1" thickBot="1" x14ac:dyDescent="0.3">
      <c r="A357" s="268"/>
      <c r="B357" s="35" t="s">
        <v>660</v>
      </c>
      <c r="C357" s="35" t="s">
        <v>583</v>
      </c>
      <c r="D357" s="36">
        <v>0.48899999999999999</v>
      </c>
      <c r="E357" s="30">
        <v>21.337</v>
      </c>
      <c r="F357" s="33">
        <f t="shared" si="35"/>
        <v>10.433793</v>
      </c>
      <c r="G357" s="44"/>
      <c r="H357" s="45"/>
      <c r="I357" s="153">
        <v>0</v>
      </c>
      <c r="K357" s="215">
        <v>0.48899999999999999</v>
      </c>
      <c r="L357" s="30">
        <v>21.337</v>
      </c>
      <c r="M357" s="33">
        <f t="shared" si="36"/>
        <v>10.433793</v>
      </c>
      <c r="N357" s="44"/>
      <c r="O357" s="36" t="str">
        <f t="shared" si="37"/>
        <v/>
      </c>
      <c r="P357" s="216">
        <f t="shared" si="38"/>
        <v>0</v>
      </c>
      <c r="Q357" s="216">
        <f t="shared" si="39"/>
        <v>0</v>
      </c>
      <c r="R357" s="217" t="str">
        <f t="shared" si="40"/>
        <v/>
      </c>
    </row>
    <row r="358" spans="1:18" ht="15.75" hidden="1" thickBot="1" x14ac:dyDescent="0.3">
      <c r="A358" s="268"/>
      <c r="B358" s="35" t="s">
        <v>862</v>
      </c>
      <c r="C358" s="35" t="s">
        <v>583</v>
      </c>
      <c r="D358" s="36">
        <v>2.6680000000000001</v>
      </c>
      <c r="E358" s="30">
        <v>26.799499999999998</v>
      </c>
      <c r="F358" s="33">
        <f t="shared" si="35"/>
        <v>71.501065999999994</v>
      </c>
      <c r="G358" s="44"/>
      <c r="H358" s="45"/>
      <c r="I358" s="153">
        <v>0</v>
      </c>
      <c r="K358" s="215">
        <v>2.6680000000000001</v>
      </c>
      <c r="L358" s="30">
        <v>26.799499999999998</v>
      </c>
      <c r="M358" s="33">
        <f t="shared" si="36"/>
        <v>71.501065999999994</v>
      </c>
      <c r="N358" s="44"/>
      <c r="O358" s="36" t="str">
        <f t="shared" si="37"/>
        <v/>
      </c>
      <c r="P358" s="216">
        <f t="shared" si="38"/>
        <v>0</v>
      </c>
      <c r="Q358" s="216">
        <f t="shared" si="39"/>
        <v>0</v>
      </c>
      <c r="R358" s="217" t="str">
        <f t="shared" si="40"/>
        <v/>
      </c>
    </row>
    <row r="359" spans="1:18" ht="26.25" hidden="1" thickBot="1" x14ac:dyDescent="0.3">
      <c r="A359" s="268"/>
      <c r="B359" s="35" t="s">
        <v>2877</v>
      </c>
      <c r="C359" s="35" t="s">
        <v>861</v>
      </c>
      <c r="D359" s="36">
        <v>0.53</v>
      </c>
      <c r="E359" s="30">
        <v>262.85029400000002</v>
      </c>
      <c r="F359" s="33">
        <f t="shared" si="35"/>
        <v>139.31065582000002</v>
      </c>
      <c r="G359" s="44"/>
      <c r="H359" s="45"/>
      <c r="I359" s="153">
        <v>0</v>
      </c>
      <c r="K359" s="215">
        <v>0.53</v>
      </c>
      <c r="L359" s="30">
        <v>262.85029400000002</v>
      </c>
      <c r="M359" s="33">
        <f t="shared" si="36"/>
        <v>139.31065582000002</v>
      </c>
      <c r="N359" s="44"/>
      <c r="O359" s="36" t="str">
        <f t="shared" si="37"/>
        <v/>
      </c>
      <c r="P359" s="216">
        <f t="shared" si="38"/>
        <v>0</v>
      </c>
      <c r="Q359" s="216">
        <f t="shared" si="39"/>
        <v>0</v>
      </c>
      <c r="R359" s="217" t="str">
        <f t="shared" si="40"/>
        <v/>
      </c>
    </row>
    <row r="360" spans="1:18" ht="15.75" hidden="1" thickBot="1" x14ac:dyDescent="0.3">
      <c r="A360" s="270"/>
      <c r="B360" s="54" t="s">
        <v>416</v>
      </c>
      <c r="C360" s="54"/>
      <c r="D360" s="95"/>
      <c r="E360" s="66" t="s">
        <v>416</v>
      </c>
      <c r="F360" s="67" t="str">
        <f t="shared" si="35"/>
        <v/>
      </c>
      <c r="G360" s="68"/>
      <c r="H360" s="30"/>
      <c r="I360" s="153">
        <v>0</v>
      </c>
      <c r="K360" s="229"/>
      <c r="L360" s="66" t="s">
        <v>416</v>
      </c>
      <c r="M360" s="67" t="str">
        <f t="shared" si="36"/>
        <v/>
      </c>
      <c r="N360" s="68"/>
      <c r="O360" s="36" t="str">
        <f t="shared" si="37"/>
        <v/>
      </c>
      <c r="P360" s="216" t="str">
        <f t="shared" si="38"/>
        <v/>
      </c>
      <c r="Q360" s="216" t="str">
        <f t="shared" si="39"/>
        <v/>
      </c>
      <c r="R360" s="217" t="str">
        <f t="shared" si="40"/>
        <v/>
      </c>
    </row>
    <row r="361" spans="1:18" ht="15.75" hidden="1" thickBot="1" x14ac:dyDescent="0.3">
      <c r="A361" s="269" t="s">
        <v>6973</v>
      </c>
      <c r="B361" s="40" t="s">
        <v>416</v>
      </c>
      <c r="C361" s="25" t="s">
        <v>861</v>
      </c>
      <c r="D361" s="93"/>
      <c r="E361" s="27" t="s">
        <v>416</v>
      </c>
      <c r="F361" s="27" t="str">
        <f t="shared" si="35"/>
        <v/>
      </c>
      <c r="G361" s="28"/>
      <c r="H361" s="29"/>
      <c r="I361" s="153">
        <v>0</v>
      </c>
      <c r="K361" s="226"/>
      <c r="L361" s="27" t="s">
        <v>416</v>
      </c>
      <c r="M361" s="27" t="str">
        <f t="shared" si="36"/>
        <v/>
      </c>
      <c r="N361" s="28"/>
      <c r="O361" s="36" t="str">
        <f t="shared" si="37"/>
        <v/>
      </c>
      <c r="P361" s="216" t="str">
        <f t="shared" si="38"/>
        <v/>
      </c>
      <c r="Q361" s="216" t="str">
        <f t="shared" si="39"/>
        <v/>
      </c>
      <c r="R361" s="217" t="str">
        <f t="shared" si="40"/>
        <v/>
      </c>
    </row>
    <row r="362" spans="1:18" ht="15.75" hidden="1" thickBot="1" x14ac:dyDescent="0.3">
      <c r="A362" s="268"/>
      <c r="B362" s="31" t="s">
        <v>416</v>
      </c>
      <c r="C362" s="31"/>
      <c r="D362" s="91"/>
      <c r="E362" s="30" t="s">
        <v>416</v>
      </c>
      <c r="F362" s="30" t="str">
        <f t="shared" si="35"/>
        <v/>
      </c>
      <c r="G362" s="34"/>
      <c r="H362" s="30"/>
      <c r="I362" s="153">
        <v>0</v>
      </c>
      <c r="K362" s="227"/>
      <c r="L362" s="30" t="s">
        <v>416</v>
      </c>
      <c r="M362" s="30" t="str">
        <f t="shared" si="36"/>
        <v/>
      </c>
      <c r="N362" s="34"/>
      <c r="O362" s="36" t="str">
        <f t="shared" si="37"/>
        <v/>
      </c>
      <c r="P362" s="216" t="str">
        <f t="shared" si="38"/>
        <v/>
      </c>
      <c r="Q362" s="216" t="str">
        <f t="shared" si="39"/>
        <v/>
      </c>
      <c r="R362" s="217" t="str">
        <f t="shared" si="40"/>
        <v/>
      </c>
    </row>
    <row r="363" spans="1:18" ht="39" hidden="1" thickBot="1" x14ac:dyDescent="0.3">
      <c r="A363" s="268"/>
      <c r="B363" s="35" t="s">
        <v>2896</v>
      </c>
      <c r="C363" s="35" t="s">
        <v>87</v>
      </c>
      <c r="D363" s="36">
        <v>4.1999999999999997E-3</v>
      </c>
      <c r="E363" s="30">
        <v>611.01473052249992</v>
      </c>
      <c r="F363" s="33">
        <f t="shared" si="35"/>
        <v>2.5662618681944993</v>
      </c>
      <c r="G363" s="44">
        <f>SUM(F363:F365)</f>
        <v>4.6090753681944987</v>
      </c>
      <c r="H363" s="45"/>
      <c r="I363" s="153">
        <v>0</v>
      </c>
      <c r="K363" s="215">
        <v>4.1999999999999997E-3</v>
      </c>
      <c r="L363" s="30">
        <v>611.01473052249992</v>
      </c>
      <c r="M363" s="33">
        <f t="shared" si="36"/>
        <v>2.5662618681944993</v>
      </c>
      <c r="N363" s="44">
        <f>SUM(M363:M365)</f>
        <v>4.6090753681944987</v>
      </c>
      <c r="O363" s="36" t="str">
        <f t="shared" si="37"/>
        <v/>
      </c>
      <c r="P363" s="216">
        <f t="shared" si="38"/>
        <v>0</v>
      </c>
      <c r="Q363" s="216">
        <f t="shared" si="39"/>
        <v>0</v>
      </c>
      <c r="R363" s="217">
        <f t="shared" si="40"/>
        <v>0</v>
      </c>
    </row>
    <row r="364" spans="1:18" ht="15.75" hidden="1" thickBot="1" x14ac:dyDescent="0.3">
      <c r="A364" s="268"/>
      <c r="B364" s="35" t="s">
        <v>591</v>
      </c>
      <c r="C364" s="35" t="s">
        <v>583</v>
      </c>
      <c r="D364" s="36">
        <v>7.0000000000000007E-2</v>
      </c>
      <c r="E364" s="33">
        <v>27.160499999999999</v>
      </c>
      <c r="F364" s="33">
        <f t="shared" si="35"/>
        <v>1.901235</v>
      </c>
      <c r="G364" s="44"/>
      <c r="H364" s="45"/>
      <c r="I364" s="153">
        <v>0</v>
      </c>
      <c r="K364" s="215">
        <v>7.0000000000000007E-2</v>
      </c>
      <c r="L364" s="33">
        <v>27.160499999999999</v>
      </c>
      <c r="M364" s="33">
        <f t="shared" si="36"/>
        <v>1.901235</v>
      </c>
      <c r="N364" s="44"/>
      <c r="O364" s="36" t="str">
        <f t="shared" si="37"/>
        <v/>
      </c>
      <c r="P364" s="216">
        <f t="shared" si="38"/>
        <v>0</v>
      </c>
      <c r="Q364" s="216">
        <f t="shared" si="39"/>
        <v>0</v>
      </c>
      <c r="R364" s="217" t="str">
        <f t="shared" si="40"/>
        <v/>
      </c>
    </row>
    <row r="365" spans="1:18" ht="15.75" hidden="1" thickBot="1" x14ac:dyDescent="0.3">
      <c r="A365" s="268"/>
      <c r="B365" s="35" t="s">
        <v>584</v>
      </c>
      <c r="C365" s="35" t="s">
        <v>583</v>
      </c>
      <c r="D365" s="36">
        <v>7.0000000000000001E-3</v>
      </c>
      <c r="E365" s="30">
        <v>20.225499999999997</v>
      </c>
      <c r="F365" s="33">
        <f t="shared" si="35"/>
        <v>0.14157849999999997</v>
      </c>
      <c r="G365" s="44"/>
      <c r="H365" s="45"/>
      <c r="I365" s="153">
        <v>0</v>
      </c>
      <c r="K365" s="215">
        <v>7.0000000000000001E-3</v>
      </c>
      <c r="L365" s="30">
        <v>20.225499999999997</v>
      </c>
      <c r="M365" s="33">
        <f t="shared" si="36"/>
        <v>0.14157849999999997</v>
      </c>
      <c r="N365" s="44"/>
      <c r="O365" s="36" t="str">
        <f t="shared" si="37"/>
        <v/>
      </c>
      <c r="P365" s="216">
        <f t="shared" si="38"/>
        <v>0</v>
      </c>
      <c r="Q365" s="216">
        <f t="shared" si="39"/>
        <v>0</v>
      </c>
      <c r="R365" s="217" t="str">
        <f t="shared" si="40"/>
        <v/>
      </c>
    </row>
    <row r="366" spans="1:18" ht="15.75" hidden="1" thickBot="1" x14ac:dyDescent="0.3">
      <c r="A366" s="268"/>
      <c r="B366" s="35"/>
      <c r="C366" s="35"/>
      <c r="D366" s="36"/>
      <c r="E366" s="30" t="s">
        <v>416</v>
      </c>
      <c r="F366" s="33"/>
      <c r="G366" s="44"/>
      <c r="H366" s="45"/>
      <c r="I366" s="153">
        <v>0</v>
      </c>
      <c r="K366" s="215"/>
      <c r="L366" s="30" t="s">
        <v>416</v>
      </c>
      <c r="M366" s="33" t="str">
        <f t="shared" si="36"/>
        <v/>
      </c>
      <c r="N366" s="44"/>
      <c r="O366" s="36" t="str">
        <f t="shared" si="37"/>
        <v/>
      </c>
      <c r="P366" s="216" t="str">
        <f t="shared" si="38"/>
        <v/>
      </c>
      <c r="Q366" s="216" t="str">
        <f t="shared" si="39"/>
        <v/>
      </c>
      <c r="R366" s="217" t="str">
        <f t="shared" si="40"/>
        <v/>
      </c>
    </row>
    <row r="367" spans="1:18" ht="15.75" hidden="1" thickBot="1" x14ac:dyDescent="0.3">
      <c r="A367" s="269" t="s">
        <v>2893</v>
      </c>
      <c r="B367" s="40" t="s">
        <v>416</v>
      </c>
      <c r="C367" s="25" t="s">
        <v>861</v>
      </c>
      <c r="D367" s="93"/>
      <c r="E367" s="27" t="s">
        <v>416</v>
      </c>
      <c r="F367" s="27" t="str">
        <f>IF(ISNUMBER(E367),E367*$D367,"")</f>
        <v/>
      </c>
      <c r="G367" s="28"/>
      <c r="H367" s="29"/>
      <c r="I367" s="153">
        <v>0</v>
      </c>
      <c r="K367" s="226"/>
      <c r="L367" s="27" t="s">
        <v>416</v>
      </c>
      <c r="M367" s="27" t="str">
        <f t="shared" si="36"/>
        <v/>
      </c>
      <c r="N367" s="28"/>
      <c r="O367" s="36" t="str">
        <f t="shared" si="37"/>
        <v/>
      </c>
      <c r="P367" s="216" t="str">
        <f t="shared" si="38"/>
        <v/>
      </c>
      <c r="Q367" s="216" t="str">
        <f t="shared" si="39"/>
        <v/>
      </c>
      <c r="R367" s="217" t="str">
        <f t="shared" si="40"/>
        <v/>
      </c>
    </row>
    <row r="368" spans="1:18" ht="15.75" hidden="1" thickBot="1" x14ac:dyDescent="0.3">
      <c r="A368" s="268"/>
      <c r="B368" s="31" t="s">
        <v>416</v>
      </c>
      <c r="C368" s="31"/>
      <c r="D368" s="91"/>
      <c r="E368" s="30" t="s">
        <v>416</v>
      </c>
      <c r="F368" s="30" t="str">
        <f>IF(ISNUMBER(E368),E368*$D368,"")</f>
        <v/>
      </c>
      <c r="G368" s="34"/>
      <c r="H368" s="30"/>
      <c r="I368" s="153">
        <v>0</v>
      </c>
      <c r="K368" s="227"/>
      <c r="L368" s="30" t="s">
        <v>416</v>
      </c>
      <c r="M368" s="30" t="str">
        <f t="shared" si="36"/>
        <v/>
      </c>
      <c r="N368" s="34"/>
      <c r="O368" s="36" t="str">
        <f t="shared" si="37"/>
        <v/>
      </c>
      <c r="P368" s="216" t="str">
        <f t="shared" si="38"/>
        <v/>
      </c>
      <c r="Q368" s="216" t="str">
        <f t="shared" si="39"/>
        <v/>
      </c>
      <c r="R368" s="217" t="str">
        <f t="shared" si="40"/>
        <v/>
      </c>
    </row>
    <row r="369" spans="1:18" ht="51.75" hidden="1" thickBot="1" x14ac:dyDescent="0.3">
      <c r="A369" s="268"/>
      <c r="B369" s="35" t="s">
        <v>110</v>
      </c>
      <c r="C369" s="35" t="s">
        <v>87</v>
      </c>
      <c r="D369" s="36">
        <v>2.1299999999999999E-2</v>
      </c>
      <c r="E369" s="30">
        <v>734.72729063799989</v>
      </c>
      <c r="F369" s="33">
        <f>IF(ISNUMBER(E369),E369*$D369,"")</f>
        <v>15.649691290589397</v>
      </c>
      <c r="G369" s="44">
        <f>SUM(F369:F371)</f>
        <v>31.521179790589397</v>
      </c>
      <c r="H369" s="45"/>
      <c r="I369" s="153">
        <v>0</v>
      </c>
      <c r="K369" s="215">
        <v>2.1299999999999999E-2</v>
      </c>
      <c r="L369" s="30">
        <v>734.72729063799989</v>
      </c>
      <c r="M369" s="33">
        <f t="shared" si="36"/>
        <v>15.649691290589397</v>
      </c>
      <c r="N369" s="44">
        <f>SUM(M369:M371)</f>
        <v>31.521179790589397</v>
      </c>
      <c r="O369" s="36" t="str">
        <f t="shared" si="37"/>
        <v/>
      </c>
      <c r="P369" s="216">
        <f t="shared" si="38"/>
        <v>0</v>
      </c>
      <c r="Q369" s="216">
        <f t="shared" si="39"/>
        <v>0</v>
      </c>
      <c r="R369" s="217">
        <f t="shared" si="40"/>
        <v>0</v>
      </c>
    </row>
    <row r="370" spans="1:18" ht="15.75" hidden="1" thickBot="1" x14ac:dyDescent="0.3">
      <c r="A370" s="268"/>
      <c r="B370" s="35" t="s">
        <v>591</v>
      </c>
      <c r="C370" s="35" t="s">
        <v>583</v>
      </c>
      <c r="D370" s="36">
        <v>0.46</v>
      </c>
      <c r="E370" s="33">
        <v>27.160499999999999</v>
      </c>
      <c r="F370" s="33">
        <f>IF(ISNUMBER(E370),E370*$D370,"")</f>
        <v>12.493830000000001</v>
      </c>
      <c r="G370" s="44"/>
      <c r="H370" s="45"/>
      <c r="I370" s="153">
        <v>0</v>
      </c>
      <c r="K370" s="215">
        <v>0.46</v>
      </c>
      <c r="L370" s="33">
        <v>27.160499999999999</v>
      </c>
      <c r="M370" s="33">
        <f t="shared" si="36"/>
        <v>12.493830000000001</v>
      </c>
      <c r="N370" s="44"/>
      <c r="O370" s="36" t="str">
        <f t="shared" si="37"/>
        <v/>
      </c>
      <c r="P370" s="216">
        <f t="shared" si="38"/>
        <v>0</v>
      </c>
      <c r="Q370" s="216">
        <f t="shared" si="39"/>
        <v>0</v>
      </c>
      <c r="R370" s="217" t="str">
        <f t="shared" si="40"/>
        <v/>
      </c>
    </row>
    <row r="371" spans="1:18" ht="15.75" hidden="1" thickBot="1" x14ac:dyDescent="0.3">
      <c r="A371" s="268"/>
      <c r="B371" s="35" t="s">
        <v>584</v>
      </c>
      <c r="C371" s="35" t="s">
        <v>583</v>
      </c>
      <c r="D371" s="36">
        <v>0.16700000000000001</v>
      </c>
      <c r="E371" s="30">
        <v>20.225499999999997</v>
      </c>
      <c r="F371" s="33">
        <f>IF(ISNUMBER(E371),E371*$D371,"")</f>
        <v>3.3776584999999995</v>
      </c>
      <c r="G371" s="44"/>
      <c r="H371" s="45"/>
      <c r="I371" s="153">
        <v>0</v>
      </c>
      <c r="K371" s="215">
        <v>0.16700000000000001</v>
      </c>
      <c r="L371" s="30">
        <v>20.225499999999997</v>
      </c>
      <c r="M371" s="33">
        <f t="shared" si="36"/>
        <v>3.3776584999999995</v>
      </c>
      <c r="N371" s="44"/>
      <c r="O371" s="36" t="str">
        <f t="shared" si="37"/>
        <v/>
      </c>
      <c r="P371" s="216">
        <f t="shared" si="38"/>
        <v>0</v>
      </c>
      <c r="Q371" s="216">
        <f t="shared" si="39"/>
        <v>0</v>
      </c>
      <c r="R371" s="217" t="str">
        <f t="shared" si="40"/>
        <v/>
      </c>
    </row>
    <row r="372" spans="1:18" ht="15.75" hidden="1" thickBot="1" x14ac:dyDescent="0.3">
      <c r="A372" s="268"/>
      <c r="B372" s="35"/>
      <c r="C372" s="35"/>
      <c r="D372" s="36"/>
      <c r="E372" s="30" t="s">
        <v>416</v>
      </c>
      <c r="F372" s="33"/>
      <c r="G372" s="44"/>
      <c r="H372" s="45"/>
      <c r="I372" s="153">
        <v>0</v>
      </c>
      <c r="K372" s="215"/>
      <c r="L372" s="30" t="s">
        <v>416</v>
      </c>
      <c r="M372" s="33" t="str">
        <f t="shared" si="36"/>
        <v/>
      </c>
      <c r="N372" s="44"/>
      <c r="O372" s="36" t="str">
        <f t="shared" si="37"/>
        <v/>
      </c>
      <c r="P372" s="216" t="str">
        <f t="shared" si="38"/>
        <v/>
      </c>
      <c r="Q372" s="216" t="str">
        <f t="shared" si="39"/>
        <v/>
      </c>
      <c r="R372" s="217" t="str">
        <f t="shared" si="40"/>
        <v/>
      </c>
    </row>
    <row r="373" spans="1:18" ht="15.75" hidden="1" thickBot="1" x14ac:dyDescent="0.3">
      <c r="A373" s="269" t="s">
        <v>5862</v>
      </c>
      <c r="B373" s="40" t="s">
        <v>416</v>
      </c>
      <c r="C373" s="25" t="s">
        <v>861</v>
      </c>
      <c r="D373" s="93"/>
      <c r="E373" s="27" t="s">
        <v>416</v>
      </c>
      <c r="F373" s="27" t="str">
        <f t="shared" ref="F373:F381" si="41">IF(ISNUMBER(E373),E373*$D373,"")</f>
        <v/>
      </c>
      <c r="G373" s="28"/>
      <c r="H373" s="29"/>
      <c r="I373" s="153">
        <v>0</v>
      </c>
      <c r="K373" s="226"/>
      <c r="L373" s="27" t="s">
        <v>416</v>
      </c>
      <c r="M373" s="27" t="str">
        <f t="shared" si="36"/>
        <v/>
      </c>
      <c r="N373" s="28"/>
      <c r="O373" s="36" t="str">
        <f t="shared" si="37"/>
        <v/>
      </c>
      <c r="P373" s="216" t="str">
        <f t="shared" si="38"/>
        <v/>
      </c>
      <c r="Q373" s="216" t="str">
        <f t="shared" si="39"/>
        <v/>
      </c>
      <c r="R373" s="217" t="str">
        <f t="shared" si="40"/>
        <v/>
      </c>
    </row>
    <row r="374" spans="1:18" ht="15.75" hidden="1" thickBot="1" x14ac:dyDescent="0.3">
      <c r="A374" s="268"/>
      <c r="B374" s="31" t="s">
        <v>416</v>
      </c>
      <c r="C374" s="31"/>
      <c r="D374" s="91"/>
      <c r="E374" s="30" t="s">
        <v>416</v>
      </c>
      <c r="F374" s="30" t="str">
        <f t="shared" si="41"/>
        <v/>
      </c>
      <c r="G374" s="34"/>
      <c r="H374" s="30"/>
      <c r="I374" s="153">
        <v>0</v>
      </c>
      <c r="K374" s="227"/>
      <c r="L374" s="30" t="s">
        <v>416</v>
      </c>
      <c r="M374" s="30" t="str">
        <f t="shared" si="36"/>
        <v/>
      </c>
      <c r="N374" s="34"/>
      <c r="O374" s="36" t="str">
        <f t="shared" si="37"/>
        <v/>
      </c>
      <c r="P374" s="216" t="str">
        <f t="shared" si="38"/>
        <v/>
      </c>
      <c r="Q374" s="216" t="str">
        <f t="shared" si="39"/>
        <v/>
      </c>
      <c r="R374" s="217" t="str">
        <f t="shared" si="40"/>
        <v/>
      </c>
    </row>
    <row r="375" spans="1:18" ht="26.25" hidden="1" thickBot="1" x14ac:dyDescent="0.3">
      <c r="A375" s="268"/>
      <c r="B375" s="35" t="s">
        <v>8423</v>
      </c>
      <c r="C375" s="35" t="s">
        <v>385</v>
      </c>
      <c r="D375" s="36">
        <v>0.42</v>
      </c>
      <c r="E375" s="30">
        <v>2.3939999999999997</v>
      </c>
      <c r="F375" s="33">
        <f t="shared" si="41"/>
        <v>1.0054799999999999</v>
      </c>
      <c r="G375" s="44">
        <f>SUM(F375:F380)</f>
        <v>54.214628822635191</v>
      </c>
      <c r="H375" s="45"/>
      <c r="I375" s="153">
        <v>0</v>
      </c>
      <c r="K375" s="215">
        <v>0.42</v>
      </c>
      <c r="L375" s="30">
        <v>2.3939999999999997</v>
      </c>
      <c r="M375" s="33">
        <f t="shared" si="36"/>
        <v>1.0054799999999999</v>
      </c>
      <c r="N375" s="44">
        <f>SUM(M375:M380)</f>
        <v>54.214628822635191</v>
      </c>
      <c r="O375" s="36" t="str">
        <f t="shared" si="37"/>
        <v/>
      </c>
      <c r="P375" s="216">
        <f t="shared" si="38"/>
        <v>0</v>
      </c>
      <c r="Q375" s="216">
        <f t="shared" si="39"/>
        <v>0</v>
      </c>
      <c r="R375" s="217">
        <f t="shared" si="40"/>
        <v>0</v>
      </c>
    </row>
    <row r="376" spans="1:18" ht="15.75" hidden="1" thickBot="1" x14ac:dyDescent="0.3">
      <c r="A376" s="268"/>
      <c r="B376" s="35" t="s">
        <v>8320</v>
      </c>
      <c r="C376" s="35" t="s">
        <v>1102</v>
      </c>
      <c r="D376" s="36">
        <v>5.0000000000000001E-3</v>
      </c>
      <c r="E376" s="33">
        <v>38.313499999999998</v>
      </c>
      <c r="F376" s="33">
        <f t="shared" si="41"/>
        <v>0.1915675</v>
      </c>
      <c r="G376" s="44"/>
      <c r="H376" s="45"/>
      <c r="I376" s="153">
        <v>0</v>
      </c>
      <c r="K376" s="215">
        <v>5.0000000000000001E-3</v>
      </c>
      <c r="L376" s="33">
        <v>38.313499999999998</v>
      </c>
      <c r="M376" s="33">
        <f t="shared" si="36"/>
        <v>0.1915675</v>
      </c>
      <c r="N376" s="44"/>
      <c r="O376" s="36" t="str">
        <f t="shared" si="37"/>
        <v/>
      </c>
      <c r="P376" s="216">
        <f t="shared" si="38"/>
        <v>0</v>
      </c>
      <c r="Q376" s="216">
        <f t="shared" si="39"/>
        <v>0</v>
      </c>
      <c r="R376" s="217" t="str">
        <f t="shared" si="40"/>
        <v/>
      </c>
    </row>
    <row r="377" spans="1:18" ht="26.25" hidden="1" thickBot="1" x14ac:dyDescent="0.3">
      <c r="A377" s="268"/>
      <c r="B377" s="35" t="s">
        <v>7999</v>
      </c>
      <c r="C377" s="35" t="s">
        <v>213</v>
      </c>
      <c r="D377" s="36">
        <v>13.6</v>
      </c>
      <c r="E377" s="30">
        <v>1.7195</v>
      </c>
      <c r="F377" s="33">
        <f t="shared" si="41"/>
        <v>23.385200000000001</v>
      </c>
      <c r="G377" s="44"/>
      <c r="H377" s="45"/>
      <c r="I377" s="153">
        <v>0</v>
      </c>
      <c r="K377" s="215">
        <v>13.6</v>
      </c>
      <c r="L377" s="30">
        <v>1.7195</v>
      </c>
      <c r="M377" s="33">
        <f t="shared" si="36"/>
        <v>23.385200000000001</v>
      </c>
      <c r="N377" s="44"/>
      <c r="O377" s="36" t="str">
        <f t="shared" si="37"/>
        <v/>
      </c>
      <c r="P377" s="216">
        <f t="shared" si="38"/>
        <v>0</v>
      </c>
      <c r="Q377" s="216">
        <f t="shared" si="39"/>
        <v>0</v>
      </c>
      <c r="R377" s="217" t="str">
        <f t="shared" si="40"/>
        <v/>
      </c>
    </row>
    <row r="378" spans="1:18" ht="51.75" hidden="1" thickBot="1" x14ac:dyDescent="0.3">
      <c r="A378" s="268"/>
      <c r="B378" s="35" t="s">
        <v>110</v>
      </c>
      <c r="C378" s="35" t="s">
        <v>87</v>
      </c>
      <c r="D378" s="36">
        <v>1.04E-2</v>
      </c>
      <c r="E378" s="30">
        <v>734.72729063799989</v>
      </c>
      <c r="F378" s="33">
        <f t="shared" si="41"/>
        <v>7.6411638226351988</v>
      </c>
      <c r="G378" s="44"/>
      <c r="H378" s="45"/>
      <c r="I378" s="153">
        <v>0</v>
      </c>
      <c r="K378" s="215">
        <v>1.04E-2</v>
      </c>
      <c r="L378" s="30">
        <v>734.72729063799989</v>
      </c>
      <c r="M378" s="33">
        <f t="shared" si="36"/>
        <v>7.6411638226351988</v>
      </c>
      <c r="N378" s="44"/>
      <c r="O378" s="36" t="str">
        <f t="shared" si="37"/>
        <v/>
      </c>
      <c r="P378" s="216">
        <f t="shared" si="38"/>
        <v>0</v>
      </c>
      <c r="Q378" s="216">
        <f t="shared" si="39"/>
        <v>0</v>
      </c>
      <c r="R378" s="217" t="str">
        <f t="shared" si="40"/>
        <v/>
      </c>
    </row>
    <row r="379" spans="1:18" ht="15.75" hidden="1" thickBot="1" x14ac:dyDescent="0.3">
      <c r="A379" s="268"/>
      <c r="B379" s="35" t="s">
        <v>591</v>
      </c>
      <c r="C379" s="35" t="s">
        <v>583</v>
      </c>
      <c r="D379" s="36">
        <v>0.59</v>
      </c>
      <c r="E379" s="30">
        <v>27.160499999999999</v>
      </c>
      <c r="F379" s="33">
        <f t="shared" si="41"/>
        <v>16.024694999999998</v>
      </c>
      <c r="G379" s="44"/>
      <c r="H379" s="45"/>
      <c r="I379" s="153">
        <v>0</v>
      </c>
      <c r="K379" s="215">
        <v>0.59</v>
      </c>
      <c r="L379" s="30">
        <v>27.160499999999999</v>
      </c>
      <c r="M379" s="33">
        <f t="shared" si="36"/>
        <v>16.024694999999998</v>
      </c>
      <c r="N379" s="44"/>
      <c r="O379" s="36" t="str">
        <f t="shared" si="37"/>
        <v/>
      </c>
      <c r="P379" s="216">
        <f t="shared" si="38"/>
        <v>0</v>
      </c>
      <c r="Q379" s="216">
        <f t="shared" si="39"/>
        <v>0</v>
      </c>
      <c r="R379" s="217" t="str">
        <f t="shared" si="40"/>
        <v/>
      </c>
    </row>
    <row r="380" spans="1:18" ht="15.75" hidden="1" thickBot="1" x14ac:dyDescent="0.3">
      <c r="A380" s="268"/>
      <c r="B380" s="35" t="s">
        <v>584</v>
      </c>
      <c r="C380" s="35" t="s">
        <v>583</v>
      </c>
      <c r="D380" s="36">
        <v>0.29499999999999998</v>
      </c>
      <c r="E380" s="30">
        <v>20.225499999999997</v>
      </c>
      <c r="F380" s="33">
        <f t="shared" si="41"/>
        <v>5.9665224999999991</v>
      </c>
      <c r="G380" s="44"/>
      <c r="H380" s="45"/>
      <c r="I380" s="153">
        <v>0</v>
      </c>
      <c r="K380" s="215">
        <v>0.29499999999999998</v>
      </c>
      <c r="L380" s="30">
        <v>20.225499999999997</v>
      </c>
      <c r="M380" s="33">
        <f t="shared" si="36"/>
        <v>5.9665224999999991</v>
      </c>
      <c r="N380" s="44"/>
      <c r="O380" s="36" t="str">
        <f t="shared" si="37"/>
        <v/>
      </c>
      <c r="P380" s="216">
        <f t="shared" si="38"/>
        <v>0</v>
      </c>
      <c r="Q380" s="216">
        <f t="shared" si="39"/>
        <v>0</v>
      </c>
      <c r="R380" s="217" t="str">
        <f t="shared" si="40"/>
        <v/>
      </c>
    </row>
    <row r="381" spans="1:18" ht="15.75" hidden="1" thickBot="1" x14ac:dyDescent="0.3">
      <c r="A381" s="270"/>
      <c r="B381" s="54" t="s">
        <v>416</v>
      </c>
      <c r="C381" s="54"/>
      <c r="D381" s="95"/>
      <c r="E381" s="66" t="s">
        <v>416</v>
      </c>
      <c r="F381" s="67" t="str">
        <f t="shared" si="41"/>
        <v/>
      </c>
      <c r="G381" s="68"/>
      <c r="H381" s="30"/>
      <c r="I381" s="153">
        <v>0</v>
      </c>
      <c r="K381" s="229"/>
      <c r="L381" s="66" t="s">
        <v>416</v>
      </c>
      <c r="M381" s="67" t="str">
        <f t="shared" si="36"/>
        <v/>
      </c>
      <c r="N381" s="68"/>
      <c r="O381" s="36" t="str">
        <f t="shared" si="37"/>
        <v/>
      </c>
      <c r="P381" s="216" t="str">
        <f t="shared" si="38"/>
        <v/>
      </c>
      <c r="Q381" s="216" t="str">
        <f t="shared" si="39"/>
        <v/>
      </c>
      <c r="R381" s="217" t="str">
        <f t="shared" si="40"/>
        <v/>
      </c>
    </row>
    <row r="382" spans="1:18" ht="15.75" hidden="1" thickBot="1" x14ac:dyDescent="0.3">
      <c r="A382" s="269" t="s">
        <v>3219</v>
      </c>
      <c r="B382" s="40" t="s">
        <v>416</v>
      </c>
      <c r="C382" s="77" t="s">
        <v>861</v>
      </c>
      <c r="D382" s="93"/>
      <c r="E382" s="41" t="s">
        <v>416</v>
      </c>
      <c r="F382" s="41" t="str">
        <f t="shared" ref="F382:F398" si="42">IF(ISNUMBER(E382),ROUND(E382*$D382,2),"")</f>
        <v/>
      </c>
      <c r="G382" s="28"/>
      <c r="H382" s="29"/>
      <c r="I382" s="153">
        <v>0</v>
      </c>
      <c r="K382" s="226"/>
      <c r="L382" s="41" t="s">
        <v>416</v>
      </c>
      <c r="M382" s="41" t="str">
        <f t="shared" si="36"/>
        <v/>
      </c>
      <c r="N382" s="28"/>
      <c r="O382" s="36" t="str">
        <f t="shared" si="37"/>
        <v/>
      </c>
      <c r="P382" s="216" t="str">
        <f t="shared" si="38"/>
        <v/>
      </c>
      <c r="Q382" s="216" t="str">
        <f t="shared" si="39"/>
        <v/>
      </c>
      <c r="R382" s="217" t="str">
        <f t="shared" si="40"/>
        <v/>
      </c>
    </row>
    <row r="383" spans="1:18" ht="15.75" hidden="1" thickBot="1" x14ac:dyDescent="0.3">
      <c r="A383" s="268"/>
      <c r="B383" s="31" t="s">
        <v>416</v>
      </c>
      <c r="C383" s="78"/>
      <c r="D383" s="91"/>
      <c r="E383" s="97" t="s">
        <v>416</v>
      </c>
      <c r="F383" s="98" t="str">
        <f t="shared" si="42"/>
        <v/>
      </c>
      <c r="G383" s="34"/>
      <c r="H383" s="30"/>
      <c r="I383" s="153">
        <v>0</v>
      </c>
      <c r="K383" s="227"/>
      <c r="L383" s="97" t="s">
        <v>416</v>
      </c>
      <c r="M383" s="98" t="str">
        <f t="shared" si="36"/>
        <v/>
      </c>
      <c r="N383" s="34"/>
      <c r="O383" s="36" t="str">
        <f t="shared" si="37"/>
        <v/>
      </c>
      <c r="P383" s="216" t="str">
        <f t="shared" si="38"/>
        <v/>
      </c>
      <c r="Q383" s="216" t="str">
        <f t="shared" si="39"/>
        <v/>
      </c>
      <c r="R383" s="217" t="str">
        <f t="shared" si="40"/>
        <v/>
      </c>
    </row>
    <row r="384" spans="1:18" ht="26.25" hidden="1" thickBot="1" x14ac:dyDescent="0.3">
      <c r="A384" s="268"/>
      <c r="B384" s="35" t="s">
        <v>3235</v>
      </c>
      <c r="C384" s="35" t="s">
        <v>385</v>
      </c>
      <c r="D384" s="36">
        <v>4.4320000000000004</v>
      </c>
      <c r="E384" s="33">
        <v>2.8594999999999997</v>
      </c>
      <c r="F384" s="33">
        <f t="shared" si="42"/>
        <v>12.67</v>
      </c>
      <c r="G384" s="44">
        <f>SUM(F384:F390)</f>
        <v>262.85000000000008</v>
      </c>
      <c r="H384" s="45"/>
      <c r="I384" s="153">
        <v>0</v>
      </c>
      <c r="K384" s="215">
        <v>4.4320000000000004</v>
      </c>
      <c r="L384" s="33">
        <v>2.8594999999999997</v>
      </c>
      <c r="M384" s="33">
        <f t="shared" si="36"/>
        <v>12.673304</v>
      </c>
      <c r="N384" s="44">
        <f>SUM(M384:M390)</f>
        <v>262.85029400000002</v>
      </c>
      <c r="O384" s="36" t="str">
        <f t="shared" si="37"/>
        <v/>
      </c>
      <c r="P384" s="216">
        <f t="shared" si="38"/>
        <v>0</v>
      </c>
      <c r="Q384" s="216">
        <f t="shared" si="39"/>
        <v>-2.6077348066300132E-4</v>
      </c>
      <c r="R384" s="217">
        <f t="shared" si="40"/>
        <v>-1.1185086548071155E-6</v>
      </c>
    </row>
    <row r="385" spans="1:18" ht="15.75" hidden="1" thickBot="1" x14ac:dyDescent="0.3">
      <c r="A385" s="268"/>
      <c r="B385" s="35" t="s">
        <v>1219</v>
      </c>
      <c r="C385" s="35" t="s">
        <v>773</v>
      </c>
      <c r="D385" s="36">
        <v>8.5999999999999993E-2</v>
      </c>
      <c r="E385" s="33">
        <v>21.602999999999998</v>
      </c>
      <c r="F385" s="33">
        <f t="shared" si="42"/>
        <v>1.86</v>
      </c>
      <c r="G385" s="44"/>
      <c r="H385" s="45"/>
      <c r="I385" s="153">
        <v>0</v>
      </c>
      <c r="K385" s="215">
        <v>8.5999999999999993E-2</v>
      </c>
      <c r="L385" s="33">
        <v>21.602999999999998</v>
      </c>
      <c r="M385" s="33">
        <f t="shared" si="36"/>
        <v>1.8578579999999998</v>
      </c>
      <c r="N385" s="44"/>
      <c r="O385" s="36" t="str">
        <f t="shared" si="37"/>
        <v/>
      </c>
      <c r="P385" s="216">
        <f t="shared" si="38"/>
        <v>0</v>
      </c>
      <c r="Q385" s="216">
        <f t="shared" si="39"/>
        <v>1.1516129032259625E-3</v>
      </c>
      <c r="R385" s="217" t="str">
        <f t="shared" si="40"/>
        <v/>
      </c>
    </row>
    <row r="386" spans="1:18" ht="26.25" hidden="1" thickBot="1" x14ac:dyDescent="0.3">
      <c r="A386" s="268"/>
      <c r="B386" s="35" t="s">
        <v>8381</v>
      </c>
      <c r="C386" s="35" t="s">
        <v>385</v>
      </c>
      <c r="D386" s="36">
        <v>6.53</v>
      </c>
      <c r="E386" s="30">
        <v>34.152500000000003</v>
      </c>
      <c r="F386" s="33">
        <f t="shared" si="42"/>
        <v>223.02</v>
      </c>
      <c r="G386" s="44"/>
      <c r="H386" s="45"/>
      <c r="I386" s="153">
        <v>0</v>
      </c>
      <c r="K386" s="215">
        <v>6.53</v>
      </c>
      <c r="L386" s="30">
        <v>34.152500000000003</v>
      </c>
      <c r="M386" s="33">
        <f t="shared" si="36"/>
        <v>223.01582500000004</v>
      </c>
      <c r="N386" s="44"/>
      <c r="O386" s="36" t="str">
        <f t="shared" si="37"/>
        <v/>
      </c>
      <c r="P386" s="216">
        <f t="shared" si="38"/>
        <v>0</v>
      </c>
      <c r="Q386" s="216">
        <f t="shared" si="39"/>
        <v>1.8720294143959038E-5</v>
      </c>
      <c r="R386" s="217" t="str">
        <f t="shared" si="40"/>
        <v/>
      </c>
    </row>
    <row r="387" spans="1:18" ht="15.75" hidden="1" thickBot="1" x14ac:dyDescent="0.3">
      <c r="A387" s="268"/>
      <c r="B387" s="35" t="s">
        <v>660</v>
      </c>
      <c r="C387" s="35" t="s">
        <v>583</v>
      </c>
      <c r="D387" s="36">
        <v>0.14299999999999999</v>
      </c>
      <c r="E387" s="30">
        <v>21.337</v>
      </c>
      <c r="F387" s="33">
        <f t="shared" si="42"/>
        <v>3.05</v>
      </c>
      <c r="G387" s="44"/>
      <c r="H387" s="45"/>
      <c r="I387" s="153">
        <v>0</v>
      </c>
      <c r="K387" s="215">
        <v>0.14299999999999999</v>
      </c>
      <c r="L387" s="30">
        <v>21.337</v>
      </c>
      <c r="M387" s="33">
        <f t="shared" si="36"/>
        <v>3.0511909999999998</v>
      </c>
      <c r="N387" s="44"/>
      <c r="O387" s="36" t="str">
        <f t="shared" si="37"/>
        <v/>
      </c>
      <c r="P387" s="216">
        <f t="shared" si="38"/>
        <v>0</v>
      </c>
      <c r="Q387" s="216">
        <f t="shared" si="39"/>
        <v>-3.9049180327865862E-4</v>
      </c>
      <c r="R387" s="217" t="str">
        <f t="shared" si="40"/>
        <v/>
      </c>
    </row>
    <row r="388" spans="1:18" ht="15.75" hidden="1" thickBot="1" x14ac:dyDescent="0.3">
      <c r="A388" s="268"/>
      <c r="B388" s="35" t="s">
        <v>862</v>
      </c>
      <c r="C388" s="35" t="s">
        <v>583</v>
      </c>
      <c r="D388" s="36">
        <v>0.71499999999999997</v>
      </c>
      <c r="E388" s="30">
        <v>26.799499999999998</v>
      </c>
      <c r="F388" s="33">
        <f t="shared" si="42"/>
        <v>19.16</v>
      </c>
      <c r="G388" s="44"/>
      <c r="H388" s="45"/>
      <c r="I388" s="153">
        <v>0</v>
      </c>
      <c r="K388" s="215">
        <v>0.71499999999999997</v>
      </c>
      <c r="L388" s="30">
        <v>26.799499999999998</v>
      </c>
      <c r="M388" s="33">
        <f t="shared" si="36"/>
        <v>19.161642499999999</v>
      </c>
      <c r="N388" s="44"/>
      <c r="O388" s="36" t="str">
        <f t="shared" si="37"/>
        <v/>
      </c>
      <c r="P388" s="216">
        <f t="shared" si="38"/>
        <v>0</v>
      </c>
      <c r="Q388" s="216">
        <f t="shared" si="39"/>
        <v>-8.5725469728625825E-5</v>
      </c>
      <c r="R388" s="217" t="str">
        <f t="shared" si="40"/>
        <v/>
      </c>
    </row>
    <row r="389" spans="1:18" ht="26.25" hidden="1" thickBot="1" x14ac:dyDescent="0.3">
      <c r="A389" s="268"/>
      <c r="B389" s="35" t="s">
        <v>1013</v>
      </c>
      <c r="C389" s="35" t="s">
        <v>813</v>
      </c>
      <c r="D389" s="36">
        <v>0.05</v>
      </c>
      <c r="E389" s="30">
        <v>22.210999999999999</v>
      </c>
      <c r="F389" s="33">
        <f t="shared" si="42"/>
        <v>1.1100000000000001</v>
      </c>
      <c r="G389" s="44"/>
      <c r="H389" s="45"/>
      <c r="I389" s="153">
        <v>0</v>
      </c>
      <c r="K389" s="215">
        <v>0.05</v>
      </c>
      <c r="L389" s="30">
        <v>22.210999999999999</v>
      </c>
      <c r="M389" s="33">
        <f t="shared" si="36"/>
        <v>1.1105499999999999</v>
      </c>
      <c r="N389" s="44"/>
      <c r="O389" s="36" t="str">
        <f t="shared" si="37"/>
        <v/>
      </c>
      <c r="P389" s="216">
        <f t="shared" si="38"/>
        <v>0</v>
      </c>
      <c r="Q389" s="216">
        <f t="shared" si="39"/>
        <v>-4.9549549549543492E-4</v>
      </c>
      <c r="R389" s="217" t="str">
        <f t="shared" si="40"/>
        <v/>
      </c>
    </row>
    <row r="390" spans="1:18" ht="26.25" hidden="1" thickBot="1" x14ac:dyDescent="0.3">
      <c r="A390" s="268"/>
      <c r="B390" s="35" t="s">
        <v>1014</v>
      </c>
      <c r="C390" s="35" t="s">
        <v>815</v>
      </c>
      <c r="D390" s="36">
        <v>9.2999999999999999E-2</v>
      </c>
      <c r="E390" s="33">
        <v>21.2895</v>
      </c>
      <c r="F390" s="33">
        <f t="shared" si="42"/>
        <v>1.98</v>
      </c>
      <c r="G390" s="44"/>
      <c r="H390" s="45"/>
      <c r="I390" s="153">
        <v>0</v>
      </c>
      <c r="K390" s="215">
        <v>9.2999999999999999E-2</v>
      </c>
      <c r="L390" s="33">
        <v>21.2895</v>
      </c>
      <c r="M390" s="33">
        <f t="shared" si="36"/>
        <v>1.9799234999999999</v>
      </c>
      <c r="N390" s="44"/>
      <c r="O390" s="36" t="str">
        <f t="shared" si="37"/>
        <v/>
      </c>
      <c r="P390" s="216">
        <f t="shared" si="38"/>
        <v>0</v>
      </c>
      <c r="Q390" s="216">
        <f t="shared" si="39"/>
        <v>3.8636363636435078E-5</v>
      </c>
      <c r="R390" s="217" t="str">
        <f t="shared" si="40"/>
        <v/>
      </c>
    </row>
    <row r="391" spans="1:18" ht="15.75" hidden="1" thickBot="1" x14ac:dyDescent="0.3">
      <c r="A391" s="270"/>
      <c r="B391" s="103"/>
      <c r="C391" s="79"/>
      <c r="D391" s="95"/>
      <c r="E391" s="66" t="s">
        <v>416</v>
      </c>
      <c r="F391" s="66" t="str">
        <f t="shared" si="42"/>
        <v/>
      </c>
      <c r="G391" s="68"/>
      <c r="H391" s="30"/>
      <c r="I391" s="153">
        <v>0</v>
      </c>
      <c r="K391" s="229"/>
      <c r="L391" s="66" t="s">
        <v>416</v>
      </c>
      <c r="M391" s="66" t="str">
        <f t="shared" si="36"/>
        <v/>
      </c>
      <c r="N391" s="68"/>
      <c r="O391" s="36" t="str">
        <f t="shared" si="37"/>
        <v/>
      </c>
      <c r="P391" s="216" t="str">
        <f t="shared" si="38"/>
        <v/>
      </c>
      <c r="Q391" s="216" t="str">
        <f t="shared" si="39"/>
        <v/>
      </c>
      <c r="R391" s="217" t="str">
        <f t="shared" si="40"/>
        <v/>
      </c>
    </row>
    <row r="392" spans="1:18" ht="15.75" hidden="1" thickBot="1" x14ac:dyDescent="0.3">
      <c r="A392" s="269" t="s">
        <v>2896</v>
      </c>
      <c r="B392" s="40" t="s">
        <v>416</v>
      </c>
      <c r="C392" s="77" t="s">
        <v>87</v>
      </c>
      <c r="D392" s="93"/>
      <c r="E392" s="41" t="s">
        <v>416</v>
      </c>
      <c r="F392" s="41" t="str">
        <f t="shared" si="42"/>
        <v/>
      </c>
      <c r="G392" s="28"/>
      <c r="H392" s="29"/>
      <c r="I392" s="153">
        <v>0</v>
      </c>
      <c r="K392" s="226"/>
      <c r="L392" s="41" t="s">
        <v>416</v>
      </c>
      <c r="M392" s="41" t="str">
        <f t="shared" ref="M392:M455" si="43">IF(ISNUMBER(L392),K392*L392,"")</f>
        <v/>
      </c>
      <c r="N392" s="28"/>
      <c r="O392" s="36" t="str">
        <f t="shared" ref="O392:O455" si="44">IF(ISBLANK(K392),"",IF($D392&lt;&gt;K392,"SIM",""))</f>
        <v/>
      </c>
      <c r="P392" s="216" t="str">
        <f t="shared" ref="P392:P455" si="45">IF(L392="","",1-L392/$E392)</f>
        <v/>
      </c>
      <c r="Q392" s="216" t="str">
        <f t="shared" ref="Q392:Q455" si="46">IF(M392="","",1-M392/$F392)</f>
        <v/>
      </c>
      <c r="R392" s="217" t="str">
        <f t="shared" ref="R392:R455" si="47">IF(G392="","",1-N392/$G392)</f>
        <v/>
      </c>
    </row>
    <row r="393" spans="1:18" ht="15.75" hidden="1" thickBot="1" x14ac:dyDescent="0.3">
      <c r="A393" s="268"/>
      <c r="B393" s="31" t="s">
        <v>416</v>
      </c>
      <c r="C393" s="78"/>
      <c r="D393" s="91"/>
      <c r="E393" s="97" t="s">
        <v>416</v>
      </c>
      <c r="F393" s="98" t="str">
        <f t="shared" si="42"/>
        <v/>
      </c>
      <c r="G393" s="34"/>
      <c r="H393" s="30"/>
      <c r="I393" s="153">
        <v>0</v>
      </c>
      <c r="K393" s="227"/>
      <c r="L393" s="97" t="s">
        <v>416</v>
      </c>
      <c r="M393" s="98" t="str">
        <f t="shared" si="43"/>
        <v/>
      </c>
      <c r="N393" s="34"/>
      <c r="O393" s="36" t="str">
        <f t="shared" si="44"/>
        <v/>
      </c>
      <c r="P393" s="216" t="str">
        <f t="shared" si="45"/>
        <v/>
      </c>
      <c r="Q393" s="216" t="str">
        <f t="shared" si="46"/>
        <v/>
      </c>
      <c r="R393" s="217" t="str">
        <f t="shared" si="47"/>
        <v/>
      </c>
    </row>
    <row r="394" spans="1:18" ht="26.25" hidden="1" thickBot="1" x14ac:dyDescent="0.3">
      <c r="A394" s="268"/>
      <c r="B394" s="35" t="s">
        <v>1140</v>
      </c>
      <c r="C394" s="35" t="s">
        <v>87</v>
      </c>
      <c r="D394" s="36">
        <v>0.95</v>
      </c>
      <c r="E394" s="33">
        <v>204.97199999999998</v>
      </c>
      <c r="F394" s="33">
        <f t="shared" si="42"/>
        <v>194.72</v>
      </c>
      <c r="G394" s="44">
        <f>SUM(F394:F402)</f>
        <v>611.01570052249986</v>
      </c>
      <c r="H394" s="45"/>
      <c r="I394" s="153">
        <v>0</v>
      </c>
      <c r="K394" s="215">
        <v>0.95</v>
      </c>
      <c r="L394" s="33">
        <v>204.97199999999998</v>
      </c>
      <c r="M394" s="33">
        <f t="shared" si="43"/>
        <v>194.72339999999997</v>
      </c>
      <c r="N394" s="44">
        <f>SUM(M394:M402)</f>
        <v>611.01473052249992</v>
      </c>
      <c r="O394" s="36" t="str">
        <f t="shared" si="44"/>
        <v/>
      </c>
      <c r="P394" s="216">
        <f t="shared" si="45"/>
        <v>0</v>
      </c>
      <c r="Q394" s="216">
        <f t="shared" si="46"/>
        <v>-1.7460969597316023E-5</v>
      </c>
      <c r="R394" s="217">
        <f t="shared" si="47"/>
        <v>1.587520581103341E-6</v>
      </c>
    </row>
    <row r="395" spans="1:18" ht="15.75" hidden="1" thickBot="1" x14ac:dyDescent="0.3">
      <c r="A395" s="268"/>
      <c r="B395" s="35" t="s">
        <v>8065</v>
      </c>
      <c r="C395" s="35" t="s">
        <v>773</v>
      </c>
      <c r="D395" s="36">
        <v>426.49</v>
      </c>
      <c r="E395" s="33">
        <v>0.627</v>
      </c>
      <c r="F395" s="33">
        <f t="shared" si="42"/>
        <v>267.41000000000003</v>
      </c>
      <c r="G395" s="44"/>
      <c r="H395" s="45"/>
      <c r="I395" s="153">
        <v>0</v>
      </c>
      <c r="K395" s="215">
        <v>426.49</v>
      </c>
      <c r="L395" s="33">
        <v>0.627</v>
      </c>
      <c r="M395" s="33">
        <f t="shared" si="43"/>
        <v>267.40922999999998</v>
      </c>
      <c r="N395" s="44"/>
      <c r="O395" s="36" t="str">
        <f t="shared" si="44"/>
        <v/>
      </c>
      <c r="P395" s="216">
        <f t="shared" si="45"/>
        <v>0</v>
      </c>
      <c r="Q395" s="216">
        <f t="shared" si="46"/>
        <v>2.8794734678871947E-6</v>
      </c>
      <c r="R395" s="217" t="str">
        <f t="shared" si="47"/>
        <v/>
      </c>
    </row>
    <row r="396" spans="1:18" ht="26.25" hidden="1" thickBot="1" x14ac:dyDescent="0.3">
      <c r="A396" s="268"/>
      <c r="B396" s="35" t="s">
        <v>1271</v>
      </c>
      <c r="C396" s="35" t="s">
        <v>583</v>
      </c>
      <c r="D396" s="36">
        <v>4.32</v>
      </c>
      <c r="E396" s="30">
        <v>20.291999999999998</v>
      </c>
      <c r="F396" s="33">
        <f t="shared" si="42"/>
        <v>87.66</v>
      </c>
      <c r="G396" s="44"/>
      <c r="H396" s="45"/>
      <c r="I396" s="153">
        <v>0</v>
      </c>
      <c r="K396" s="215">
        <v>4.32</v>
      </c>
      <c r="L396" s="30">
        <v>20.291999999999998</v>
      </c>
      <c r="M396" s="33">
        <f t="shared" si="43"/>
        <v>87.661439999999999</v>
      </c>
      <c r="N396" s="44"/>
      <c r="O396" s="36" t="str">
        <f t="shared" si="44"/>
        <v/>
      </c>
      <c r="P396" s="216">
        <f t="shared" si="45"/>
        <v>0</v>
      </c>
      <c r="Q396" s="216">
        <f t="shared" si="46"/>
        <v>-1.6427104722716024E-5</v>
      </c>
      <c r="R396" s="217" t="str">
        <f t="shared" si="47"/>
        <v/>
      </c>
    </row>
    <row r="397" spans="1:18" ht="39" hidden="1" thickBot="1" x14ac:dyDescent="0.3">
      <c r="A397" s="268"/>
      <c r="B397" s="35" t="s">
        <v>84</v>
      </c>
      <c r="C397" s="35" t="s">
        <v>813</v>
      </c>
      <c r="D397" s="36">
        <v>1.01</v>
      </c>
      <c r="E397" s="30">
        <v>1.6435</v>
      </c>
      <c r="F397" s="33">
        <f t="shared" si="42"/>
        <v>1.66</v>
      </c>
      <c r="G397" s="44"/>
      <c r="H397" s="45"/>
      <c r="I397" s="153">
        <v>0</v>
      </c>
      <c r="K397" s="215">
        <v>1.01</v>
      </c>
      <c r="L397" s="30">
        <v>1.6435</v>
      </c>
      <c r="M397" s="33">
        <f t="shared" si="43"/>
        <v>1.6599349999999999</v>
      </c>
      <c r="N397" s="44"/>
      <c r="O397" s="36" t="str">
        <f t="shared" si="44"/>
        <v/>
      </c>
      <c r="P397" s="216">
        <f t="shared" si="45"/>
        <v>0</v>
      </c>
      <c r="Q397" s="216">
        <f t="shared" si="46"/>
        <v>3.9156626505998382E-5</v>
      </c>
      <c r="R397" s="217" t="str">
        <f t="shared" si="47"/>
        <v/>
      </c>
    </row>
    <row r="398" spans="1:18" ht="39" hidden="1" thickBot="1" x14ac:dyDescent="0.3">
      <c r="A398" s="268"/>
      <c r="B398" s="35" t="s">
        <v>85</v>
      </c>
      <c r="C398" s="35" t="s">
        <v>815</v>
      </c>
      <c r="D398" s="36">
        <v>3.31</v>
      </c>
      <c r="E398" s="30">
        <v>0.42749999999999999</v>
      </c>
      <c r="F398" s="33">
        <f t="shared" si="42"/>
        <v>1.42</v>
      </c>
      <c r="G398" s="44"/>
      <c r="H398" s="45"/>
      <c r="I398" s="153">
        <v>0</v>
      </c>
      <c r="K398" s="215">
        <v>3.31</v>
      </c>
      <c r="L398" s="30">
        <v>0.42749999999999999</v>
      </c>
      <c r="M398" s="33">
        <f t="shared" si="43"/>
        <v>1.415025</v>
      </c>
      <c r="N398" s="44"/>
      <c r="O398" s="36" t="str">
        <f t="shared" si="44"/>
        <v/>
      </c>
      <c r="P398" s="216">
        <f t="shared" si="45"/>
        <v>0</v>
      </c>
      <c r="Q398" s="216">
        <f t="shared" si="46"/>
        <v>3.5035211267605559E-3</v>
      </c>
      <c r="R398" s="217" t="str">
        <f t="shared" si="47"/>
        <v/>
      </c>
    </row>
    <row r="399" spans="1:18" ht="51.75" hidden="1" thickBot="1" x14ac:dyDescent="0.3">
      <c r="A399" s="268"/>
      <c r="B399" s="35" t="s">
        <v>3071</v>
      </c>
      <c r="C399" s="35" t="s">
        <v>87</v>
      </c>
      <c r="D399" s="36">
        <f>ROUND(1*(D394),4)</f>
        <v>0.95</v>
      </c>
      <c r="E399" s="30">
        <v>8.0531015499999992</v>
      </c>
      <c r="F399" s="33">
        <f>IF(ISNUMBER(E399),E399*$D399,"")</f>
        <v>7.6504464724999988</v>
      </c>
      <c r="G399" s="44"/>
      <c r="H399" s="45"/>
      <c r="I399" s="153">
        <v>0</v>
      </c>
      <c r="K399" s="215">
        <v>0.95</v>
      </c>
      <c r="L399" s="30">
        <v>8.0531015499999992</v>
      </c>
      <c r="M399" s="33">
        <f t="shared" si="43"/>
        <v>7.6504464724999988</v>
      </c>
      <c r="N399" s="44"/>
      <c r="O399" s="36" t="str">
        <f t="shared" si="44"/>
        <v/>
      </c>
      <c r="P399" s="216">
        <f t="shared" si="45"/>
        <v>0</v>
      </c>
      <c r="Q399" s="216">
        <f t="shared" si="46"/>
        <v>0</v>
      </c>
      <c r="R399" s="217" t="str">
        <f t="shared" si="47"/>
        <v/>
      </c>
    </row>
    <row r="400" spans="1:18" ht="39" hidden="1" thickBot="1" x14ac:dyDescent="0.3">
      <c r="A400" s="268"/>
      <c r="B400" s="35" t="s">
        <v>3068</v>
      </c>
      <c r="C400" s="46" t="s">
        <v>89</v>
      </c>
      <c r="D400" s="36">
        <f>ROUND(D394*20,4)</f>
        <v>19</v>
      </c>
      <c r="E400" s="30">
        <v>2.6576449499999995</v>
      </c>
      <c r="F400" s="33">
        <f>IF(ISNUMBER(E400),E400*$D400,"")</f>
        <v>50.495254049999993</v>
      </c>
      <c r="G400" s="44"/>
      <c r="H400" s="45"/>
      <c r="I400" s="153">
        <v>0</v>
      </c>
      <c r="K400" s="215">
        <v>19</v>
      </c>
      <c r="L400" s="30">
        <v>2.6576449499999995</v>
      </c>
      <c r="M400" s="33">
        <f t="shared" si="43"/>
        <v>50.495254049999993</v>
      </c>
      <c r="N400" s="44"/>
      <c r="O400" s="36" t="str">
        <f t="shared" si="44"/>
        <v/>
      </c>
      <c r="P400" s="216">
        <f t="shared" si="45"/>
        <v>0</v>
      </c>
      <c r="Q400" s="216">
        <f t="shared" si="46"/>
        <v>0</v>
      </c>
      <c r="R400" s="217" t="str">
        <f t="shared" si="47"/>
        <v/>
      </c>
    </row>
    <row r="401" spans="1:18" ht="15.75" hidden="1" thickBot="1" x14ac:dyDescent="0.3">
      <c r="A401" s="268"/>
      <c r="B401" s="50"/>
      <c r="C401" s="133"/>
      <c r="D401" s="36"/>
      <c r="E401" s="30" t="s">
        <v>416</v>
      </c>
      <c r="F401" s="33" t="str">
        <f t="shared" ref="F401:F410" si="48">IF(ISNUMBER(E401),ROUND(E401*$D401,2),"")</f>
        <v/>
      </c>
      <c r="G401" s="44"/>
      <c r="H401" s="45"/>
      <c r="I401" s="153">
        <v>0</v>
      </c>
      <c r="K401" s="215"/>
      <c r="L401" s="30" t="s">
        <v>416</v>
      </c>
      <c r="M401" s="33" t="str">
        <f t="shared" si="43"/>
        <v/>
      </c>
      <c r="N401" s="44"/>
      <c r="O401" s="36" t="str">
        <f t="shared" si="44"/>
        <v/>
      </c>
      <c r="P401" s="216" t="str">
        <f t="shared" si="45"/>
        <v/>
      </c>
      <c r="Q401" s="216" t="str">
        <f t="shared" si="46"/>
        <v/>
      </c>
      <c r="R401" s="217" t="str">
        <f t="shared" si="47"/>
        <v/>
      </c>
    </row>
    <row r="402" spans="1:18" ht="15.75" hidden="1" thickBot="1" x14ac:dyDescent="0.3">
      <c r="A402" s="268"/>
      <c r="B402" s="47" t="s">
        <v>631</v>
      </c>
      <c r="C402" s="133"/>
      <c r="D402" s="36"/>
      <c r="E402" s="30" t="s">
        <v>416</v>
      </c>
      <c r="F402" s="33" t="str">
        <f t="shared" si="48"/>
        <v/>
      </c>
      <c r="G402" s="44"/>
      <c r="H402" s="45"/>
      <c r="I402" s="153">
        <v>0</v>
      </c>
      <c r="K402" s="215"/>
      <c r="L402" s="30" t="s">
        <v>416</v>
      </c>
      <c r="M402" s="33" t="str">
        <f t="shared" si="43"/>
        <v/>
      </c>
      <c r="N402" s="44"/>
      <c r="O402" s="36" t="str">
        <f t="shared" si="44"/>
        <v/>
      </c>
      <c r="P402" s="216" t="str">
        <f t="shared" si="45"/>
        <v/>
      </c>
      <c r="Q402" s="216" t="str">
        <f t="shared" si="46"/>
        <v/>
      </c>
      <c r="R402" s="217" t="str">
        <f t="shared" si="47"/>
        <v/>
      </c>
    </row>
    <row r="403" spans="1:18" ht="15.75" hidden="1" thickBot="1" x14ac:dyDescent="0.3">
      <c r="A403" s="270"/>
      <c r="B403" s="103"/>
      <c r="C403" s="79"/>
      <c r="D403" s="95"/>
      <c r="E403" s="66" t="s">
        <v>416</v>
      </c>
      <c r="F403" s="66" t="str">
        <f t="shared" si="48"/>
        <v/>
      </c>
      <c r="G403" s="68"/>
      <c r="H403" s="30"/>
      <c r="I403" s="153">
        <v>0</v>
      </c>
      <c r="K403" s="229"/>
      <c r="L403" s="66" t="s">
        <v>416</v>
      </c>
      <c r="M403" s="66" t="str">
        <f t="shared" si="43"/>
        <v/>
      </c>
      <c r="N403" s="68"/>
      <c r="O403" s="36" t="str">
        <f t="shared" si="44"/>
        <v/>
      </c>
      <c r="P403" s="216" t="str">
        <f t="shared" si="45"/>
        <v/>
      </c>
      <c r="Q403" s="216" t="str">
        <f t="shared" si="46"/>
        <v/>
      </c>
      <c r="R403" s="217" t="str">
        <f t="shared" si="47"/>
        <v/>
      </c>
    </row>
    <row r="404" spans="1:18" ht="26.25" hidden="1" customHeight="1" thickBot="1" x14ac:dyDescent="0.3">
      <c r="A404" s="269" t="s">
        <v>2895</v>
      </c>
      <c r="B404" s="40" t="s">
        <v>416</v>
      </c>
      <c r="C404" s="77" t="s">
        <v>87</v>
      </c>
      <c r="D404" s="93"/>
      <c r="E404" s="41" t="s">
        <v>416</v>
      </c>
      <c r="F404" s="41" t="str">
        <f t="shared" si="48"/>
        <v/>
      </c>
      <c r="G404" s="28"/>
      <c r="H404" s="29"/>
      <c r="I404" s="153">
        <v>0</v>
      </c>
      <c r="K404" s="226"/>
      <c r="L404" s="41" t="s">
        <v>416</v>
      </c>
      <c r="M404" s="41" t="str">
        <f t="shared" si="43"/>
        <v/>
      </c>
      <c r="N404" s="28"/>
      <c r="O404" s="36" t="str">
        <f t="shared" si="44"/>
        <v/>
      </c>
      <c r="P404" s="216" t="str">
        <f t="shared" si="45"/>
        <v/>
      </c>
      <c r="Q404" s="216" t="str">
        <f t="shared" si="46"/>
        <v/>
      </c>
      <c r="R404" s="217" t="str">
        <f t="shared" si="47"/>
        <v/>
      </c>
    </row>
    <row r="405" spans="1:18" ht="15.75" hidden="1" thickBot="1" x14ac:dyDescent="0.3">
      <c r="A405" s="268"/>
      <c r="B405" s="31" t="s">
        <v>416</v>
      </c>
      <c r="C405" s="78"/>
      <c r="D405" s="91"/>
      <c r="E405" s="97" t="s">
        <v>416</v>
      </c>
      <c r="F405" s="98" t="str">
        <f t="shared" si="48"/>
        <v/>
      </c>
      <c r="G405" s="34"/>
      <c r="H405" s="30"/>
      <c r="I405" s="153">
        <v>0</v>
      </c>
      <c r="K405" s="227"/>
      <c r="L405" s="97" t="s">
        <v>416</v>
      </c>
      <c r="M405" s="98" t="str">
        <f t="shared" si="43"/>
        <v/>
      </c>
      <c r="N405" s="34"/>
      <c r="O405" s="36" t="str">
        <f t="shared" si="44"/>
        <v/>
      </c>
      <c r="P405" s="216" t="str">
        <f t="shared" si="45"/>
        <v/>
      </c>
      <c r="Q405" s="216" t="str">
        <f t="shared" si="46"/>
        <v/>
      </c>
      <c r="R405" s="217" t="str">
        <f t="shared" si="47"/>
        <v/>
      </c>
    </row>
    <row r="406" spans="1:18" ht="26.25" hidden="1" thickBot="1" x14ac:dyDescent="0.3">
      <c r="A406" s="268"/>
      <c r="B406" s="35" t="s">
        <v>1140</v>
      </c>
      <c r="C406" s="35" t="s">
        <v>87</v>
      </c>
      <c r="D406" s="36">
        <v>1.27</v>
      </c>
      <c r="E406" s="33">
        <v>204.97199999999998</v>
      </c>
      <c r="F406" s="33">
        <f t="shared" si="48"/>
        <v>260.31</v>
      </c>
      <c r="G406" s="44">
        <f>SUM(F406:F414)</f>
        <v>790.52162069850021</v>
      </c>
      <c r="H406" s="45"/>
      <c r="I406" s="153">
        <v>0</v>
      </c>
      <c r="K406" s="215">
        <v>1.27</v>
      </c>
      <c r="L406" s="33">
        <v>204.97199999999998</v>
      </c>
      <c r="M406" s="33">
        <f t="shared" si="43"/>
        <v>260.31443999999999</v>
      </c>
      <c r="N406" s="44">
        <f>SUM(M406:M414)</f>
        <v>790.53220069850011</v>
      </c>
      <c r="O406" s="36" t="str">
        <f t="shared" si="44"/>
        <v/>
      </c>
      <c r="P406" s="216">
        <f t="shared" si="45"/>
        <v>0</v>
      </c>
      <c r="Q406" s="216">
        <f t="shared" si="46"/>
        <v>-1.7056586377739436E-5</v>
      </c>
      <c r="R406" s="217">
        <f t="shared" si="47"/>
        <v>-1.3383568169267335E-5</v>
      </c>
    </row>
    <row r="407" spans="1:18" ht="15.75" hidden="1" thickBot="1" x14ac:dyDescent="0.3">
      <c r="A407" s="268"/>
      <c r="B407" s="35" t="s">
        <v>8065</v>
      </c>
      <c r="C407" s="35" t="s">
        <v>773</v>
      </c>
      <c r="D407" s="36">
        <v>573.61</v>
      </c>
      <c r="E407" s="33">
        <v>0.627</v>
      </c>
      <c r="F407" s="33">
        <f t="shared" si="48"/>
        <v>359.65</v>
      </c>
      <c r="G407" s="44"/>
      <c r="H407" s="45"/>
      <c r="I407" s="153">
        <v>0</v>
      </c>
      <c r="K407" s="215">
        <v>573.61</v>
      </c>
      <c r="L407" s="33">
        <v>0.627</v>
      </c>
      <c r="M407" s="33">
        <f t="shared" si="43"/>
        <v>359.65347000000003</v>
      </c>
      <c r="N407" s="44"/>
      <c r="O407" s="36" t="str">
        <f t="shared" si="44"/>
        <v/>
      </c>
      <c r="P407" s="216">
        <f t="shared" si="45"/>
        <v>0</v>
      </c>
      <c r="Q407" s="216">
        <f t="shared" si="46"/>
        <v>-9.6482691507304708E-6</v>
      </c>
      <c r="R407" s="217" t="str">
        <f t="shared" si="47"/>
        <v/>
      </c>
    </row>
    <row r="408" spans="1:18" ht="26.25" hidden="1" thickBot="1" x14ac:dyDescent="0.3">
      <c r="A408" s="268"/>
      <c r="B408" s="35" t="s">
        <v>1271</v>
      </c>
      <c r="C408" s="35" t="s">
        <v>583</v>
      </c>
      <c r="D408" s="36">
        <v>4.42</v>
      </c>
      <c r="E408" s="30">
        <v>20.291999999999998</v>
      </c>
      <c r="F408" s="33">
        <f t="shared" si="48"/>
        <v>89.69</v>
      </c>
      <c r="G408" s="44"/>
      <c r="H408" s="45"/>
      <c r="I408" s="153">
        <v>0</v>
      </c>
      <c r="K408" s="215">
        <v>4.42</v>
      </c>
      <c r="L408" s="30">
        <v>20.291999999999998</v>
      </c>
      <c r="M408" s="33">
        <f t="shared" si="43"/>
        <v>89.690639999999988</v>
      </c>
      <c r="N408" s="44"/>
      <c r="O408" s="36" t="str">
        <f t="shared" si="44"/>
        <v/>
      </c>
      <c r="P408" s="216">
        <f t="shared" si="45"/>
        <v>0</v>
      </c>
      <c r="Q408" s="216">
        <f t="shared" si="46"/>
        <v>-7.1356895974261647E-6</v>
      </c>
      <c r="R408" s="217" t="str">
        <f t="shared" si="47"/>
        <v/>
      </c>
    </row>
    <row r="409" spans="1:18" ht="39" hidden="1" thickBot="1" x14ac:dyDescent="0.3">
      <c r="A409" s="268"/>
      <c r="B409" s="35" t="s">
        <v>84</v>
      </c>
      <c r="C409" s="35" t="s">
        <v>813</v>
      </c>
      <c r="D409" s="36">
        <v>1.03</v>
      </c>
      <c r="E409" s="30">
        <v>1.6435</v>
      </c>
      <c r="F409" s="33">
        <f t="shared" si="48"/>
        <v>1.69</v>
      </c>
      <c r="G409" s="44"/>
      <c r="H409" s="45"/>
      <c r="I409" s="153">
        <v>0</v>
      </c>
      <c r="K409" s="215">
        <v>1.03</v>
      </c>
      <c r="L409" s="30">
        <v>1.6435</v>
      </c>
      <c r="M409" s="33">
        <f t="shared" si="43"/>
        <v>1.6928049999999999</v>
      </c>
      <c r="N409" s="44"/>
      <c r="O409" s="36" t="str">
        <f t="shared" si="44"/>
        <v/>
      </c>
      <c r="P409" s="216">
        <f t="shared" si="45"/>
        <v>0</v>
      </c>
      <c r="Q409" s="216">
        <f t="shared" si="46"/>
        <v>-1.659763313609508E-3</v>
      </c>
      <c r="R409" s="217" t="str">
        <f t="shared" si="47"/>
        <v/>
      </c>
    </row>
    <row r="410" spans="1:18" ht="39" hidden="1" thickBot="1" x14ac:dyDescent="0.3">
      <c r="A410" s="268"/>
      <c r="B410" s="35" t="s">
        <v>85</v>
      </c>
      <c r="C410" s="35" t="s">
        <v>815</v>
      </c>
      <c r="D410" s="36">
        <v>3.39</v>
      </c>
      <c r="E410" s="30">
        <v>0.42749999999999999</v>
      </c>
      <c r="F410" s="33">
        <f t="shared" si="48"/>
        <v>1.45</v>
      </c>
      <c r="G410" s="44"/>
      <c r="H410" s="45"/>
      <c r="I410" s="153">
        <v>0</v>
      </c>
      <c r="K410" s="215">
        <v>3.39</v>
      </c>
      <c r="L410" s="30">
        <v>0.42749999999999999</v>
      </c>
      <c r="M410" s="33">
        <f t="shared" si="43"/>
        <v>1.449225</v>
      </c>
      <c r="N410" s="44"/>
      <c r="O410" s="36" t="str">
        <f t="shared" si="44"/>
        <v/>
      </c>
      <c r="P410" s="216">
        <f t="shared" si="45"/>
        <v>0</v>
      </c>
      <c r="Q410" s="216">
        <f t="shared" si="46"/>
        <v>5.3448275862066907E-4</v>
      </c>
      <c r="R410" s="217" t="str">
        <f t="shared" si="47"/>
        <v/>
      </c>
    </row>
    <row r="411" spans="1:18" ht="51.75" hidden="1" thickBot="1" x14ac:dyDescent="0.3">
      <c r="A411" s="268"/>
      <c r="B411" s="35" t="s">
        <v>3071</v>
      </c>
      <c r="C411" s="35" t="s">
        <v>87</v>
      </c>
      <c r="D411" s="36">
        <f>ROUND(1*(D406),4)</f>
        <v>1.27</v>
      </c>
      <c r="E411" s="30">
        <v>8.0531015499999992</v>
      </c>
      <c r="F411" s="33">
        <f>IF(ISNUMBER(E411),E411*$D411,"")</f>
        <v>10.2274389685</v>
      </c>
      <c r="G411" s="44"/>
      <c r="H411" s="45"/>
      <c r="I411" s="153">
        <v>0</v>
      </c>
      <c r="K411" s="215">
        <v>1.27</v>
      </c>
      <c r="L411" s="30">
        <v>8.0531015499999992</v>
      </c>
      <c r="M411" s="33">
        <f t="shared" si="43"/>
        <v>10.2274389685</v>
      </c>
      <c r="N411" s="44"/>
      <c r="O411" s="36" t="str">
        <f t="shared" si="44"/>
        <v/>
      </c>
      <c r="P411" s="216">
        <f t="shared" si="45"/>
        <v>0</v>
      </c>
      <c r="Q411" s="216">
        <f t="shared" si="46"/>
        <v>0</v>
      </c>
      <c r="R411" s="217" t="str">
        <f t="shared" si="47"/>
        <v/>
      </c>
    </row>
    <row r="412" spans="1:18" ht="39" hidden="1" thickBot="1" x14ac:dyDescent="0.3">
      <c r="A412" s="268"/>
      <c r="B412" s="35" t="s">
        <v>3068</v>
      </c>
      <c r="C412" s="46" t="s">
        <v>89</v>
      </c>
      <c r="D412" s="36">
        <f>ROUND(D406*20,4)</f>
        <v>25.4</v>
      </c>
      <c r="E412" s="30">
        <v>2.6576449499999995</v>
      </c>
      <c r="F412" s="33">
        <f>IF(ISNUMBER(E412),E412*$D412,"")</f>
        <v>67.504181729999985</v>
      </c>
      <c r="G412" s="44"/>
      <c r="H412" s="45"/>
      <c r="I412" s="153">
        <v>0</v>
      </c>
      <c r="K412" s="215">
        <v>25.4</v>
      </c>
      <c r="L412" s="30">
        <v>2.6576449499999995</v>
      </c>
      <c r="M412" s="33">
        <f t="shared" si="43"/>
        <v>67.504181729999985</v>
      </c>
      <c r="N412" s="44"/>
      <c r="O412" s="36" t="str">
        <f t="shared" si="44"/>
        <v/>
      </c>
      <c r="P412" s="216">
        <f t="shared" si="45"/>
        <v>0</v>
      </c>
      <c r="Q412" s="216">
        <f t="shared" si="46"/>
        <v>0</v>
      </c>
      <c r="R412" s="217" t="str">
        <f t="shared" si="47"/>
        <v/>
      </c>
    </row>
    <row r="413" spans="1:18" ht="15.75" hidden="1" thickBot="1" x14ac:dyDescent="0.3">
      <c r="A413" s="268"/>
      <c r="B413" s="50"/>
      <c r="C413" s="133"/>
      <c r="D413" s="36"/>
      <c r="E413" s="30" t="s">
        <v>416</v>
      </c>
      <c r="F413" s="33" t="str">
        <f t="shared" ref="F413:F421" si="49">IF(ISNUMBER(E413),ROUND(E413*$D413,2),"")</f>
        <v/>
      </c>
      <c r="G413" s="44"/>
      <c r="H413" s="45"/>
      <c r="I413" s="153">
        <v>0</v>
      </c>
      <c r="K413" s="215"/>
      <c r="L413" s="30" t="s">
        <v>416</v>
      </c>
      <c r="M413" s="33" t="str">
        <f t="shared" si="43"/>
        <v/>
      </c>
      <c r="N413" s="44"/>
      <c r="O413" s="36" t="str">
        <f t="shared" si="44"/>
        <v/>
      </c>
      <c r="P413" s="216" t="str">
        <f t="shared" si="45"/>
        <v/>
      </c>
      <c r="Q413" s="216" t="str">
        <f t="shared" si="46"/>
        <v/>
      </c>
      <c r="R413" s="217" t="str">
        <f t="shared" si="47"/>
        <v/>
      </c>
    </row>
    <row r="414" spans="1:18" ht="24.95" hidden="1" customHeight="1" x14ac:dyDescent="0.3">
      <c r="A414" s="268"/>
      <c r="B414" s="47" t="s">
        <v>631</v>
      </c>
      <c r="C414" s="133"/>
      <c r="D414" s="36"/>
      <c r="E414" s="30" t="s">
        <v>416</v>
      </c>
      <c r="F414" s="33" t="str">
        <f t="shared" si="49"/>
        <v/>
      </c>
      <c r="G414" s="44"/>
      <c r="H414" s="45"/>
      <c r="I414" s="153">
        <v>0</v>
      </c>
      <c r="K414" s="215"/>
      <c r="L414" s="30" t="s">
        <v>416</v>
      </c>
      <c r="M414" s="33" t="str">
        <f t="shared" si="43"/>
        <v/>
      </c>
      <c r="N414" s="44"/>
      <c r="O414" s="36" t="str">
        <f t="shared" si="44"/>
        <v/>
      </c>
      <c r="P414" s="216" t="str">
        <f t="shared" si="45"/>
        <v/>
      </c>
      <c r="Q414" s="216" t="str">
        <f t="shared" si="46"/>
        <v/>
      </c>
      <c r="R414" s="217" t="str">
        <f t="shared" si="47"/>
        <v/>
      </c>
    </row>
    <row r="415" spans="1:18" ht="15.75" hidden="1" thickBot="1" x14ac:dyDescent="0.3">
      <c r="A415" s="270"/>
      <c r="B415" s="103"/>
      <c r="C415" s="79"/>
      <c r="D415" s="95"/>
      <c r="E415" s="66" t="s">
        <v>416</v>
      </c>
      <c r="F415" s="66" t="str">
        <f t="shared" si="49"/>
        <v/>
      </c>
      <c r="G415" s="68"/>
      <c r="H415" s="30"/>
      <c r="I415" s="153">
        <v>0</v>
      </c>
      <c r="K415" s="229"/>
      <c r="L415" s="66" t="s">
        <v>416</v>
      </c>
      <c r="M415" s="66" t="str">
        <f t="shared" si="43"/>
        <v/>
      </c>
      <c r="N415" s="68"/>
      <c r="O415" s="36" t="str">
        <f t="shared" si="44"/>
        <v/>
      </c>
      <c r="P415" s="216" t="str">
        <f t="shared" si="45"/>
        <v/>
      </c>
      <c r="Q415" s="216" t="str">
        <f t="shared" si="46"/>
        <v/>
      </c>
      <c r="R415" s="217" t="str">
        <f t="shared" si="47"/>
        <v/>
      </c>
    </row>
    <row r="416" spans="1:18" ht="26.25" customHeight="1" thickBot="1" x14ac:dyDescent="0.3">
      <c r="A416" s="269" t="s">
        <v>2897</v>
      </c>
      <c r="B416" s="40" t="s">
        <v>416</v>
      </c>
      <c r="C416" s="77" t="s">
        <v>87</v>
      </c>
      <c r="D416" s="93"/>
      <c r="E416" s="41" t="s">
        <v>416</v>
      </c>
      <c r="F416" s="41" t="str">
        <f t="shared" si="49"/>
        <v/>
      </c>
      <c r="G416" s="28"/>
      <c r="H416" s="29"/>
      <c r="I416" s="153">
        <v>3.8399999999999997E-2</v>
      </c>
      <c r="K416" s="226"/>
      <c r="L416" s="41" t="s">
        <v>416</v>
      </c>
      <c r="M416" s="41" t="str">
        <f t="shared" si="43"/>
        <v/>
      </c>
      <c r="N416" s="28"/>
      <c r="O416" s="36" t="str">
        <f t="shared" si="44"/>
        <v/>
      </c>
      <c r="P416" s="216" t="str">
        <f t="shared" si="45"/>
        <v/>
      </c>
      <c r="Q416" s="216" t="str">
        <f t="shared" si="46"/>
        <v/>
      </c>
      <c r="R416" s="217" t="str">
        <f t="shared" si="47"/>
        <v/>
      </c>
    </row>
    <row r="417" spans="1:18" x14ac:dyDescent="0.25">
      <c r="A417" s="268"/>
      <c r="B417" s="31" t="s">
        <v>416</v>
      </c>
      <c r="C417" s="78"/>
      <c r="D417" s="91"/>
      <c r="E417" s="97" t="s">
        <v>416</v>
      </c>
      <c r="F417" s="98" t="str">
        <f t="shared" si="49"/>
        <v/>
      </c>
      <c r="G417" s="34"/>
      <c r="H417" s="30"/>
      <c r="I417" s="153">
        <v>3.8399999999999997E-2</v>
      </c>
      <c r="K417" s="227"/>
      <c r="L417" s="97" t="s">
        <v>416</v>
      </c>
      <c r="M417" s="98" t="str">
        <f t="shared" si="43"/>
        <v/>
      </c>
      <c r="N417" s="34"/>
      <c r="O417" s="36" t="str">
        <f t="shared" si="44"/>
        <v/>
      </c>
      <c r="P417" s="216" t="str">
        <f t="shared" si="45"/>
        <v/>
      </c>
      <c r="Q417" s="216" t="str">
        <f t="shared" si="46"/>
        <v/>
      </c>
      <c r="R417" s="217" t="str">
        <f t="shared" si="47"/>
        <v/>
      </c>
    </row>
    <row r="418" spans="1:18" ht="25.5" x14ac:dyDescent="0.25">
      <c r="A418" s="268"/>
      <c r="B418" s="35" t="s">
        <v>7985</v>
      </c>
      <c r="C418" s="35" t="s">
        <v>87</v>
      </c>
      <c r="D418" s="36">
        <v>1.1599999999999999</v>
      </c>
      <c r="E418" s="33">
        <v>202.33099999999999</v>
      </c>
      <c r="F418" s="33">
        <f t="shared" si="49"/>
        <v>234.7</v>
      </c>
      <c r="G418" s="44">
        <f>SUM(F418:F425)</f>
        <v>838.57896063800001</v>
      </c>
      <c r="H418" s="45"/>
      <c r="I418" s="153">
        <v>3.8399999999999997E-2</v>
      </c>
      <c r="K418" s="215">
        <v>1.1599999999999999</v>
      </c>
      <c r="L418" s="33">
        <v>202.33099999999999</v>
      </c>
      <c r="M418" s="33">
        <f t="shared" si="43"/>
        <v>234.70395999999997</v>
      </c>
      <c r="N418" s="44">
        <f>SUM(M418:M425)</f>
        <v>838.58271563799985</v>
      </c>
      <c r="O418" s="36" t="str">
        <f t="shared" si="44"/>
        <v/>
      </c>
      <c r="P418" s="216">
        <f t="shared" si="45"/>
        <v>0</v>
      </c>
      <c r="Q418" s="216">
        <f t="shared" si="46"/>
        <v>-1.6872603323392354E-5</v>
      </c>
      <c r="R418" s="217">
        <f t="shared" si="47"/>
        <v>-4.4778132723966024E-6</v>
      </c>
    </row>
    <row r="419" spans="1:18" x14ac:dyDescent="0.25">
      <c r="A419" s="268"/>
      <c r="B419" s="35" t="s">
        <v>8040</v>
      </c>
      <c r="C419" s="35" t="s">
        <v>773</v>
      </c>
      <c r="D419" s="36">
        <v>116.4</v>
      </c>
      <c r="E419" s="33">
        <v>1.216</v>
      </c>
      <c r="F419" s="33">
        <f t="shared" si="49"/>
        <v>141.54</v>
      </c>
      <c r="G419" s="44"/>
      <c r="H419" s="45"/>
      <c r="I419" s="153">
        <v>3.8399999999999997E-2</v>
      </c>
      <c r="K419" s="215">
        <v>116.4</v>
      </c>
      <c r="L419" s="33">
        <v>1.216</v>
      </c>
      <c r="M419" s="33">
        <f t="shared" si="43"/>
        <v>141.54240000000001</v>
      </c>
      <c r="N419" s="44"/>
      <c r="O419" s="36" t="str">
        <f t="shared" si="44"/>
        <v/>
      </c>
      <c r="P419" s="216">
        <f t="shared" si="45"/>
        <v>0</v>
      </c>
      <c r="Q419" s="216">
        <f t="shared" si="46"/>
        <v>-1.6956337431262014E-5</v>
      </c>
      <c r="R419" s="217" t="str">
        <f t="shared" si="47"/>
        <v/>
      </c>
    </row>
    <row r="420" spans="1:18" x14ac:dyDescent="0.25">
      <c r="A420" s="268"/>
      <c r="B420" s="35" t="s">
        <v>8065</v>
      </c>
      <c r="C420" s="35" t="s">
        <v>773</v>
      </c>
      <c r="D420" s="36">
        <v>261.89</v>
      </c>
      <c r="E420" s="30">
        <v>0.627</v>
      </c>
      <c r="F420" s="33">
        <f t="shared" si="49"/>
        <v>164.21</v>
      </c>
      <c r="G420" s="44"/>
      <c r="H420" s="45"/>
      <c r="I420" s="153">
        <v>3.8399999999999997E-2</v>
      </c>
      <c r="K420" s="215">
        <v>261.89</v>
      </c>
      <c r="L420" s="30">
        <v>0.627</v>
      </c>
      <c r="M420" s="33">
        <f t="shared" si="43"/>
        <v>164.20502999999999</v>
      </c>
      <c r="N420" s="44"/>
      <c r="O420" s="36" t="str">
        <f t="shared" si="44"/>
        <v/>
      </c>
      <c r="P420" s="216">
        <f t="shared" si="45"/>
        <v>0</v>
      </c>
      <c r="Q420" s="216">
        <f t="shared" si="46"/>
        <v>3.0266122647892857E-5</v>
      </c>
      <c r="R420" s="217" t="str">
        <f t="shared" si="47"/>
        <v/>
      </c>
    </row>
    <row r="421" spans="1:18" x14ac:dyDescent="0.25">
      <c r="A421" s="268"/>
      <c r="B421" s="35" t="s">
        <v>584</v>
      </c>
      <c r="C421" s="35" t="s">
        <v>583</v>
      </c>
      <c r="D421" s="36">
        <v>11.23</v>
      </c>
      <c r="E421" s="30">
        <v>20.225499999999997</v>
      </c>
      <c r="F421" s="33">
        <f t="shared" si="49"/>
        <v>227.13</v>
      </c>
      <c r="G421" s="44"/>
      <c r="H421" s="45"/>
      <c r="I421" s="153">
        <v>3.8399999999999997E-2</v>
      </c>
      <c r="K421" s="215">
        <v>11.23</v>
      </c>
      <c r="L421" s="30">
        <v>20.225499999999997</v>
      </c>
      <c r="M421" s="33">
        <f t="shared" si="43"/>
        <v>227.13236499999996</v>
      </c>
      <c r="N421" s="44"/>
      <c r="O421" s="36" t="str">
        <f t="shared" si="44"/>
        <v/>
      </c>
      <c r="P421" s="216">
        <f t="shared" si="45"/>
        <v>0</v>
      </c>
      <c r="Q421" s="216">
        <f t="shared" si="46"/>
        <v>-1.0412539074300398E-5</v>
      </c>
      <c r="R421" s="217" t="str">
        <f t="shared" si="47"/>
        <v/>
      </c>
    </row>
    <row r="422" spans="1:18" ht="51" x14ac:dyDescent="0.25">
      <c r="A422" s="268"/>
      <c r="B422" s="35" t="s">
        <v>3071</v>
      </c>
      <c r="C422" s="35" t="s">
        <v>87</v>
      </c>
      <c r="D422" s="36">
        <f>ROUND(1*(D418),4)</f>
        <v>1.1599999999999999</v>
      </c>
      <c r="E422" s="30">
        <v>8.0531015499999992</v>
      </c>
      <c r="F422" s="33">
        <f>IF(ISNUMBER(E422),E422*$D422,"")</f>
        <v>9.3415977979999987</v>
      </c>
      <c r="G422" s="44"/>
      <c r="H422" s="45"/>
      <c r="I422" s="153">
        <v>3.8399999999999997E-2</v>
      </c>
      <c r="K422" s="215">
        <v>1.1599999999999999</v>
      </c>
      <c r="L422" s="30">
        <v>8.0531015499999992</v>
      </c>
      <c r="M422" s="33">
        <f t="shared" si="43"/>
        <v>9.3415977979999987</v>
      </c>
      <c r="N422" s="44"/>
      <c r="O422" s="36" t="str">
        <f t="shared" si="44"/>
        <v/>
      </c>
      <c r="P422" s="216">
        <f t="shared" si="45"/>
        <v>0</v>
      </c>
      <c r="Q422" s="216">
        <f t="shared" si="46"/>
        <v>0</v>
      </c>
      <c r="R422" s="217" t="str">
        <f t="shared" si="47"/>
        <v/>
      </c>
    </row>
    <row r="423" spans="1:18" ht="38.25" x14ac:dyDescent="0.25">
      <c r="A423" s="268"/>
      <c r="B423" s="35" t="s">
        <v>3068</v>
      </c>
      <c r="C423" s="46" t="s">
        <v>89</v>
      </c>
      <c r="D423" s="36">
        <f>ROUND(D418*20,4)</f>
        <v>23.2</v>
      </c>
      <c r="E423" s="30">
        <v>2.6576449499999995</v>
      </c>
      <c r="F423" s="33">
        <f>IF(ISNUMBER(E423),E423*$D423,"")</f>
        <v>61.657362839999983</v>
      </c>
      <c r="G423" s="44"/>
      <c r="H423" s="45"/>
      <c r="I423" s="153">
        <v>3.8399999999999997E-2</v>
      </c>
      <c r="K423" s="215">
        <v>23.2</v>
      </c>
      <c r="L423" s="30">
        <v>2.6576449499999995</v>
      </c>
      <c r="M423" s="33">
        <f t="shared" si="43"/>
        <v>61.657362839999983</v>
      </c>
      <c r="N423" s="44"/>
      <c r="O423" s="36" t="str">
        <f t="shared" si="44"/>
        <v/>
      </c>
      <c r="P423" s="216">
        <f t="shared" si="45"/>
        <v>0</v>
      </c>
      <c r="Q423" s="216">
        <f t="shared" si="46"/>
        <v>0</v>
      </c>
      <c r="R423" s="217" t="str">
        <f t="shared" si="47"/>
        <v/>
      </c>
    </row>
    <row r="424" spans="1:18" x14ac:dyDescent="0.25">
      <c r="A424" s="268"/>
      <c r="B424" s="50"/>
      <c r="C424" s="133"/>
      <c r="D424" s="36"/>
      <c r="E424" s="30" t="s">
        <v>416</v>
      </c>
      <c r="F424" s="33" t="str">
        <f t="shared" ref="F424:F433" si="50">IF(ISNUMBER(E424),ROUND(E424*$D424,2),"")</f>
        <v/>
      </c>
      <c r="G424" s="44"/>
      <c r="H424" s="45"/>
      <c r="I424" s="153">
        <v>3.8399999999999997E-2</v>
      </c>
      <c r="K424" s="215"/>
      <c r="L424" s="30" t="s">
        <v>416</v>
      </c>
      <c r="M424" s="33" t="str">
        <f t="shared" si="43"/>
        <v/>
      </c>
      <c r="N424" s="44"/>
      <c r="O424" s="36" t="str">
        <f t="shared" si="44"/>
        <v/>
      </c>
      <c r="P424" s="216" t="str">
        <f t="shared" si="45"/>
        <v/>
      </c>
      <c r="Q424" s="216" t="str">
        <f t="shared" si="46"/>
        <v/>
      </c>
      <c r="R424" s="217" t="str">
        <f t="shared" si="47"/>
        <v/>
      </c>
    </row>
    <row r="425" spans="1:18" ht="24.95" customHeight="1" x14ac:dyDescent="0.25">
      <c r="A425" s="268"/>
      <c r="B425" s="47" t="s">
        <v>631</v>
      </c>
      <c r="C425" s="133"/>
      <c r="D425" s="36"/>
      <c r="E425" s="30" t="s">
        <v>416</v>
      </c>
      <c r="F425" s="33" t="str">
        <f t="shared" si="50"/>
        <v/>
      </c>
      <c r="G425" s="44"/>
      <c r="H425" s="45"/>
      <c r="I425" s="153">
        <v>3.8399999999999997E-2</v>
      </c>
      <c r="K425" s="215"/>
      <c r="L425" s="30" t="s">
        <v>416</v>
      </c>
      <c r="M425" s="33" t="str">
        <f t="shared" si="43"/>
        <v/>
      </c>
      <c r="N425" s="44"/>
      <c r="O425" s="36" t="str">
        <f t="shared" si="44"/>
        <v/>
      </c>
      <c r="P425" s="216" t="str">
        <f t="shared" si="45"/>
        <v/>
      </c>
      <c r="Q425" s="216" t="str">
        <f t="shared" si="46"/>
        <v/>
      </c>
      <c r="R425" s="217" t="str">
        <f t="shared" si="47"/>
        <v/>
      </c>
    </row>
    <row r="426" spans="1:18" ht="15.75" thickBot="1" x14ac:dyDescent="0.3">
      <c r="A426" s="270"/>
      <c r="B426" s="103"/>
      <c r="C426" s="79"/>
      <c r="D426" s="95"/>
      <c r="E426" s="66" t="s">
        <v>416</v>
      </c>
      <c r="F426" s="66" t="str">
        <f t="shared" si="50"/>
        <v/>
      </c>
      <c r="G426" s="68"/>
      <c r="H426" s="30"/>
      <c r="I426" s="153">
        <v>3.8399999999999997E-2</v>
      </c>
      <c r="K426" s="229"/>
      <c r="L426" s="66" t="s">
        <v>416</v>
      </c>
      <c r="M426" s="66" t="str">
        <f t="shared" si="43"/>
        <v/>
      </c>
      <c r="N426" s="68"/>
      <c r="O426" s="36" t="str">
        <f t="shared" si="44"/>
        <v/>
      </c>
      <c r="P426" s="216" t="str">
        <f t="shared" si="45"/>
        <v/>
      </c>
      <c r="Q426" s="216" t="str">
        <f t="shared" si="46"/>
        <v/>
      </c>
      <c r="R426" s="217" t="str">
        <f t="shared" si="47"/>
        <v/>
      </c>
    </row>
    <row r="427" spans="1:18" ht="26.25" customHeight="1" thickBot="1" x14ac:dyDescent="0.3">
      <c r="A427" s="269" t="s">
        <v>2898</v>
      </c>
      <c r="B427" s="40" t="s">
        <v>416</v>
      </c>
      <c r="C427" s="77" t="s">
        <v>87</v>
      </c>
      <c r="D427" s="93"/>
      <c r="E427" s="41" t="s">
        <v>416</v>
      </c>
      <c r="F427" s="41" t="str">
        <f t="shared" si="50"/>
        <v/>
      </c>
      <c r="G427" s="28"/>
      <c r="H427" s="29"/>
      <c r="I427" s="153">
        <v>0.26979999999999998</v>
      </c>
      <c r="K427" s="226"/>
      <c r="L427" s="41" t="s">
        <v>416</v>
      </c>
      <c r="M427" s="41" t="str">
        <f t="shared" si="43"/>
        <v/>
      </c>
      <c r="N427" s="28"/>
      <c r="O427" s="36" t="str">
        <f t="shared" si="44"/>
        <v/>
      </c>
      <c r="P427" s="216" t="str">
        <f t="shared" si="45"/>
        <v/>
      </c>
      <c r="Q427" s="216" t="str">
        <f t="shared" si="46"/>
        <v/>
      </c>
      <c r="R427" s="217" t="str">
        <f t="shared" si="47"/>
        <v/>
      </c>
    </row>
    <row r="428" spans="1:18" x14ac:dyDescent="0.25">
      <c r="A428" s="268"/>
      <c r="B428" s="31" t="s">
        <v>416</v>
      </c>
      <c r="C428" s="78"/>
      <c r="D428" s="91"/>
      <c r="E428" s="97" t="s">
        <v>416</v>
      </c>
      <c r="F428" s="98" t="str">
        <f t="shared" si="50"/>
        <v/>
      </c>
      <c r="G428" s="34"/>
      <c r="H428" s="30"/>
      <c r="I428" s="153">
        <v>0.26979999999999998</v>
      </c>
      <c r="K428" s="227"/>
      <c r="L428" s="97" t="s">
        <v>416</v>
      </c>
      <c r="M428" s="98" t="str">
        <f t="shared" si="43"/>
        <v/>
      </c>
      <c r="N428" s="34"/>
      <c r="O428" s="36" t="str">
        <f t="shared" si="44"/>
        <v/>
      </c>
      <c r="P428" s="216" t="str">
        <f t="shared" si="45"/>
        <v/>
      </c>
      <c r="Q428" s="216" t="str">
        <f t="shared" si="46"/>
        <v/>
      </c>
      <c r="R428" s="217" t="str">
        <f t="shared" si="47"/>
        <v/>
      </c>
    </row>
    <row r="429" spans="1:18" ht="25.5" x14ac:dyDescent="0.25">
      <c r="A429" s="268"/>
      <c r="B429" s="35" t="s">
        <v>7985</v>
      </c>
      <c r="C429" s="35" t="s">
        <v>87</v>
      </c>
      <c r="D429" s="36">
        <v>1.07</v>
      </c>
      <c r="E429" s="33">
        <v>202.33099999999999</v>
      </c>
      <c r="F429" s="33">
        <f t="shared" si="50"/>
        <v>216.49</v>
      </c>
      <c r="G429" s="44">
        <f>SUM(F429:F437)</f>
        <v>657.09042058849991</v>
      </c>
      <c r="H429" s="45"/>
      <c r="I429" s="153">
        <v>0.26979999999999998</v>
      </c>
      <c r="K429" s="215">
        <v>1.07</v>
      </c>
      <c r="L429" s="33">
        <v>202.33099999999999</v>
      </c>
      <c r="M429" s="33">
        <f t="shared" si="43"/>
        <v>216.49417</v>
      </c>
      <c r="N429" s="44">
        <f>SUM(M429:M437)</f>
        <v>657.09798058849992</v>
      </c>
      <c r="O429" s="36" t="str">
        <f t="shared" si="44"/>
        <v/>
      </c>
      <c r="P429" s="216">
        <f t="shared" si="45"/>
        <v>0</v>
      </c>
      <c r="Q429" s="216">
        <f t="shared" si="46"/>
        <v>-1.926185967016103E-5</v>
      </c>
      <c r="R429" s="217">
        <f t="shared" si="47"/>
        <v>-1.1505265886002647E-5</v>
      </c>
    </row>
    <row r="430" spans="1:18" x14ac:dyDescent="0.25">
      <c r="A430" s="268"/>
      <c r="B430" s="35" t="s">
        <v>8065</v>
      </c>
      <c r="C430" s="35" t="s">
        <v>773</v>
      </c>
      <c r="D430" s="36">
        <v>483.7</v>
      </c>
      <c r="E430" s="33">
        <v>0.627</v>
      </c>
      <c r="F430" s="33">
        <f t="shared" si="50"/>
        <v>303.27999999999997</v>
      </c>
      <c r="G430" s="44"/>
      <c r="H430" s="45"/>
      <c r="I430" s="153">
        <v>0.26979999999999998</v>
      </c>
      <c r="K430" s="215">
        <v>483.7</v>
      </c>
      <c r="L430" s="33">
        <v>0.627</v>
      </c>
      <c r="M430" s="33">
        <f t="shared" si="43"/>
        <v>303.2799</v>
      </c>
      <c r="N430" s="44"/>
      <c r="O430" s="36" t="str">
        <f t="shared" si="44"/>
        <v/>
      </c>
      <c r="P430" s="216">
        <f t="shared" si="45"/>
        <v>0</v>
      </c>
      <c r="Q430" s="216">
        <f t="shared" si="46"/>
        <v>3.297283037717591E-7</v>
      </c>
      <c r="R430" s="217" t="str">
        <f t="shared" si="47"/>
        <v/>
      </c>
    </row>
    <row r="431" spans="1:18" ht="25.5" x14ac:dyDescent="0.25">
      <c r="A431" s="268"/>
      <c r="B431" s="35" t="s">
        <v>1271</v>
      </c>
      <c r="C431" s="35" t="s">
        <v>583</v>
      </c>
      <c r="D431" s="36">
        <v>3.42</v>
      </c>
      <c r="E431" s="30">
        <v>20.291999999999998</v>
      </c>
      <c r="F431" s="33">
        <f t="shared" si="50"/>
        <v>69.400000000000006</v>
      </c>
      <c r="G431" s="44"/>
      <c r="H431" s="45"/>
      <c r="I431" s="153">
        <v>0.26979999999999998</v>
      </c>
      <c r="K431" s="215">
        <v>3.42</v>
      </c>
      <c r="L431" s="30">
        <v>20.291999999999998</v>
      </c>
      <c r="M431" s="33">
        <f t="shared" si="43"/>
        <v>69.398639999999986</v>
      </c>
      <c r="N431" s="44"/>
      <c r="O431" s="36" t="str">
        <f t="shared" si="44"/>
        <v/>
      </c>
      <c r="P431" s="216">
        <f t="shared" si="45"/>
        <v>0</v>
      </c>
      <c r="Q431" s="216">
        <f t="shared" si="46"/>
        <v>1.9596541787070265E-5</v>
      </c>
      <c r="R431" s="217" t="str">
        <f t="shared" si="47"/>
        <v/>
      </c>
    </row>
    <row r="432" spans="1:18" ht="38.25" x14ac:dyDescent="0.25">
      <c r="A432" s="268"/>
      <c r="B432" s="35" t="s">
        <v>84</v>
      </c>
      <c r="C432" s="35" t="s">
        <v>813</v>
      </c>
      <c r="D432" s="36">
        <v>0.8</v>
      </c>
      <c r="E432" s="30">
        <v>1.6435</v>
      </c>
      <c r="F432" s="33">
        <f t="shared" si="50"/>
        <v>1.31</v>
      </c>
      <c r="G432" s="44"/>
      <c r="H432" s="45"/>
      <c r="I432" s="153">
        <v>0.26979999999999998</v>
      </c>
      <c r="K432" s="215">
        <v>0.8</v>
      </c>
      <c r="L432" s="30">
        <v>1.6435</v>
      </c>
      <c r="M432" s="33">
        <f t="shared" si="43"/>
        <v>1.3148</v>
      </c>
      <c r="N432" s="44"/>
      <c r="O432" s="36" t="str">
        <f t="shared" si="44"/>
        <v/>
      </c>
      <c r="P432" s="216">
        <f t="shared" si="45"/>
        <v>0</v>
      </c>
      <c r="Q432" s="216">
        <f t="shared" si="46"/>
        <v>-3.6641221374045241E-3</v>
      </c>
      <c r="R432" s="217" t="str">
        <f t="shared" si="47"/>
        <v/>
      </c>
    </row>
    <row r="433" spans="1:18" ht="38.25" x14ac:dyDescent="0.25">
      <c r="A433" s="268"/>
      <c r="B433" s="35" t="s">
        <v>85</v>
      </c>
      <c r="C433" s="35" t="s">
        <v>815</v>
      </c>
      <c r="D433" s="36">
        <v>2.62</v>
      </c>
      <c r="E433" s="30">
        <v>0.42749999999999999</v>
      </c>
      <c r="F433" s="33">
        <f t="shared" si="50"/>
        <v>1.1200000000000001</v>
      </c>
      <c r="G433" s="44"/>
      <c r="H433" s="45"/>
      <c r="I433" s="153">
        <v>0.26979999999999998</v>
      </c>
      <c r="K433" s="215">
        <v>2.62</v>
      </c>
      <c r="L433" s="30">
        <v>0.42749999999999999</v>
      </c>
      <c r="M433" s="33">
        <f t="shared" si="43"/>
        <v>1.12005</v>
      </c>
      <c r="N433" s="44"/>
      <c r="O433" s="36" t="str">
        <f t="shared" si="44"/>
        <v/>
      </c>
      <c r="P433" s="216">
        <f t="shared" si="45"/>
        <v>0</v>
      </c>
      <c r="Q433" s="216">
        <f t="shared" si="46"/>
        <v>-4.464285714278482E-5</v>
      </c>
      <c r="R433" s="217" t="str">
        <f t="shared" si="47"/>
        <v/>
      </c>
    </row>
    <row r="434" spans="1:18" ht="51" x14ac:dyDescent="0.25">
      <c r="A434" s="268"/>
      <c r="B434" s="35" t="s">
        <v>3071</v>
      </c>
      <c r="C434" s="35" t="s">
        <v>87</v>
      </c>
      <c r="D434" s="36">
        <f>ROUND(1*(D429),4)</f>
        <v>1.07</v>
      </c>
      <c r="E434" s="30">
        <v>8.0531015499999992</v>
      </c>
      <c r="F434" s="33">
        <f>IF(ISNUMBER(E434),E434*$D434,"")</f>
        <v>8.6168186584999997</v>
      </c>
      <c r="G434" s="44"/>
      <c r="H434" s="45"/>
      <c r="I434" s="153">
        <v>0.26979999999999998</v>
      </c>
      <c r="K434" s="215">
        <v>1.07</v>
      </c>
      <c r="L434" s="30">
        <v>8.0531015499999992</v>
      </c>
      <c r="M434" s="33">
        <f t="shared" si="43"/>
        <v>8.6168186584999997</v>
      </c>
      <c r="N434" s="44"/>
      <c r="O434" s="36" t="str">
        <f t="shared" si="44"/>
        <v/>
      </c>
      <c r="P434" s="216">
        <f t="shared" si="45"/>
        <v>0</v>
      </c>
      <c r="Q434" s="216">
        <f t="shared" si="46"/>
        <v>0</v>
      </c>
      <c r="R434" s="217" t="str">
        <f t="shared" si="47"/>
        <v/>
      </c>
    </row>
    <row r="435" spans="1:18" ht="38.25" x14ac:dyDescent="0.25">
      <c r="A435" s="268"/>
      <c r="B435" s="35" t="s">
        <v>3068</v>
      </c>
      <c r="C435" s="46" t="s">
        <v>89</v>
      </c>
      <c r="D435" s="36">
        <f>ROUND(D429*20,4)</f>
        <v>21.4</v>
      </c>
      <c r="E435" s="30">
        <v>2.6576449499999995</v>
      </c>
      <c r="F435" s="33">
        <f>IF(ISNUMBER(E435),E435*$D435,"")</f>
        <v>56.873601929999985</v>
      </c>
      <c r="G435" s="44"/>
      <c r="H435" s="45"/>
      <c r="I435" s="153">
        <v>0.26979999999999998</v>
      </c>
      <c r="K435" s="215">
        <v>21.4</v>
      </c>
      <c r="L435" s="30">
        <v>2.6576449499999995</v>
      </c>
      <c r="M435" s="33">
        <f t="shared" si="43"/>
        <v>56.873601929999985</v>
      </c>
      <c r="N435" s="44"/>
      <c r="O435" s="36" t="str">
        <f t="shared" si="44"/>
        <v/>
      </c>
      <c r="P435" s="216">
        <f t="shared" si="45"/>
        <v>0</v>
      </c>
      <c r="Q435" s="216">
        <f t="shared" si="46"/>
        <v>0</v>
      </c>
      <c r="R435" s="217" t="str">
        <f t="shared" si="47"/>
        <v/>
      </c>
    </row>
    <row r="436" spans="1:18" x14ac:dyDescent="0.25">
      <c r="A436" s="268"/>
      <c r="B436" s="50"/>
      <c r="C436" s="133"/>
      <c r="D436" s="36"/>
      <c r="E436" s="30" t="s">
        <v>416</v>
      </c>
      <c r="F436" s="33" t="str">
        <f t="shared" ref="F436:F445" si="51">IF(ISNUMBER(E436),ROUND(E436*$D436,2),"")</f>
        <v/>
      </c>
      <c r="G436" s="44"/>
      <c r="H436" s="45"/>
      <c r="I436" s="153">
        <v>0.26979999999999998</v>
      </c>
      <c r="K436" s="215"/>
      <c r="L436" s="30" t="s">
        <v>416</v>
      </c>
      <c r="M436" s="33" t="str">
        <f t="shared" si="43"/>
        <v/>
      </c>
      <c r="N436" s="44"/>
      <c r="O436" s="36" t="str">
        <f t="shared" si="44"/>
        <v/>
      </c>
      <c r="P436" s="216" t="str">
        <f t="shared" si="45"/>
        <v/>
      </c>
      <c r="Q436" s="216" t="str">
        <f t="shared" si="46"/>
        <v/>
      </c>
      <c r="R436" s="217" t="str">
        <f t="shared" si="47"/>
        <v/>
      </c>
    </row>
    <row r="437" spans="1:18" ht="24.95" customHeight="1" x14ac:dyDescent="0.25">
      <c r="A437" s="268"/>
      <c r="B437" s="47" t="s">
        <v>631</v>
      </c>
      <c r="C437" s="133"/>
      <c r="D437" s="36"/>
      <c r="E437" s="30" t="s">
        <v>416</v>
      </c>
      <c r="F437" s="33" t="str">
        <f t="shared" si="51"/>
        <v/>
      </c>
      <c r="G437" s="44"/>
      <c r="H437" s="45"/>
      <c r="I437" s="153">
        <v>0.26979999999999998</v>
      </c>
      <c r="K437" s="215"/>
      <c r="L437" s="30" t="s">
        <v>416</v>
      </c>
      <c r="M437" s="33" t="str">
        <f t="shared" si="43"/>
        <v/>
      </c>
      <c r="N437" s="44"/>
      <c r="O437" s="36" t="str">
        <f t="shared" si="44"/>
        <v/>
      </c>
      <c r="P437" s="216" t="str">
        <f t="shared" si="45"/>
        <v/>
      </c>
      <c r="Q437" s="216" t="str">
        <f t="shared" si="46"/>
        <v/>
      </c>
      <c r="R437" s="217" t="str">
        <f t="shared" si="47"/>
        <v/>
      </c>
    </row>
    <row r="438" spans="1:18" ht="15.75" thickBot="1" x14ac:dyDescent="0.3">
      <c r="A438" s="270"/>
      <c r="B438" s="103"/>
      <c r="C438" s="79"/>
      <c r="D438" s="95"/>
      <c r="E438" s="66" t="s">
        <v>416</v>
      </c>
      <c r="F438" s="66" t="str">
        <f t="shared" si="51"/>
        <v/>
      </c>
      <c r="G438" s="68"/>
      <c r="H438" s="30"/>
      <c r="I438" s="153">
        <v>0.26979999999999998</v>
      </c>
      <c r="K438" s="229"/>
      <c r="L438" s="66" t="s">
        <v>416</v>
      </c>
      <c r="M438" s="66" t="str">
        <f t="shared" si="43"/>
        <v/>
      </c>
      <c r="N438" s="68"/>
      <c r="O438" s="36" t="str">
        <f t="shared" si="44"/>
        <v/>
      </c>
      <c r="P438" s="216" t="str">
        <f t="shared" si="45"/>
        <v/>
      </c>
      <c r="Q438" s="216" t="str">
        <f t="shared" si="46"/>
        <v/>
      </c>
      <c r="R438" s="217" t="str">
        <f t="shared" si="47"/>
        <v/>
      </c>
    </row>
    <row r="439" spans="1:18" ht="26.25" customHeight="1" thickBot="1" x14ac:dyDescent="0.3">
      <c r="A439" s="269" t="s">
        <v>2888</v>
      </c>
      <c r="B439" s="40" t="s">
        <v>416</v>
      </c>
      <c r="C439" s="77" t="s">
        <v>87</v>
      </c>
      <c r="D439" s="93"/>
      <c r="E439" s="41" t="s">
        <v>416</v>
      </c>
      <c r="F439" s="41" t="str">
        <f t="shared" si="51"/>
        <v/>
      </c>
      <c r="G439" s="28"/>
      <c r="H439" s="29"/>
      <c r="I439" s="153">
        <v>8.9599999999999999E-2</v>
      </c>
      <c r="K439" s="226"/>
      <c r="L439" s="41" t="s">
        <v>416</v>
      </c>
      <c r="M439" s="41" t="str">
        <f t="shared" si="43"/>
        <v/>
      </c>
      <c r="N439" s="28"/>
      <c r="O439" s="36" t="str">
        <f t="shared" si="44"/>
        <v/>
      </c>
      <c r="P439" s="216" t="str">
        <f t="shared" si="45"/>
        <v/>
      </c>
      <c r="Q439" s="216" t="str">
        <f t="shared" si="46"/>
        <v/>
      </c>
      <c r="R439" s="217" t="str">
        <f t="shared" si="47"/>
        <v/>
      </c>
    </row>
    <row r="440" spans="1:18" x14ac:dyDescent="0.25">
      <c r="A440" s="268"/>
      <c r="B440" s="31" t="s">
        <v>416</v>
      </c>
      <c r="C440" s="78"/>
      <c r="D440" s="91"/>
      <c r="E440" s="97" t="s">
        <v>416</v>
      </c>
      <c r="F440" s="98" t="str">
        <f t="shared" si="51"/>
        <v/>
      </c>
      <c r="G440" s="34"/>
      <c r="H440" s="30"/>
      <c r="I440" s="153">
        <v>8.9599999999999999E-2</v>
      </c>
      <c r="K440" s="227"/>
      <c r="L440" s="97" t="s">
        <v>416</v>
      </c>
      <c r="M440" s="98" t="str">
        <f t="shared" si="43"/>
        <v/>
      </c>
      <c r="N440" s="34"/>
      <c r="O440" s="36" t="str">
        <f t="shared" si="44"/>
        <v/>
      </c>
      <c r="P440" s="216" t="str">
        <f t="shared" si="45"/>
        <v/>
      </c>
      <c r="Q440" s="216" t="str">
        <f t="shared" si="46"/>
        <v/>
      </c>
      <c r="R440" s="217" t="str">
        <f t="shared" si="47"/>
        <v/>
      </c>
    </row>
    <row r="441" spans="1:18" ht="38.25" x14ac:dyDescent="0.25">
      <c r="A441" s="268"/>
      <c r="B441" s="35" t="s">
        <v>8062</v>
      </c>
      <c r="C441" s="35" t="s">
        <v>861</v>
      </c>
      <c r="D441" s="36">
        <v>1.3111999999999999</v>
      </c>
      <c r="E441" s="33">
        <v>55.745999999999995</v>
      </c>
      <c r="F441" s="33">
        <f t="shared" si="51"/>
        <v>73.09</v>
      </c>
      <c r="G441" s="44">
        <f>SUM(F441:F456)</f>
        <v>2567.9142188684355</v>
      </c>
      <c r="H441" s="45"/>
      <c r="I441" s="153">
        <v>8.9599999999999999E-2</v>
      </c>
      <c r="K441" s="215">
        <v>1.3111999999999999</v>
      </c>
      <c r="L441" s="33">
        <v>55.745999999999995</v>
      </c>
      <c r="M441" s="33">
        <f t="shared" si="43"/>
        <v>73.094155199999989</v>
      </c>
      <c r="N441" s="44">
        <f>SUM(M441:M456)</f>
        <v>2567.9175087184358</v>
      </c>
      <c r="O441" s="36" t="str">
        <f t="shared" si="44"/>
        <v/>
      </c>
      <c r="P441" s="216">
        <f t="shared" si="45"/>
        <v>0</v>
      </c>
      <c r="Q441" s="216">
        <f t="shared" si="46"/>
        <v>-5.6850458338919552E-5</v>
      </c>
      <c r="R441" s="217">
        <f t="shared" si="47"/>
        <v>-1.2811370317944437E-6</v>
      </c>
    </row>
    <row r="442" spans="1:18" ht="25.5" x14ac:dyDescent="0.25">
      <c r="A442" s="268"/>
      <c r="B442" s="35" t="s">
        <v>1009</v>
      </c>
      <c r="C442" s="35" t="s">
        <v>75</v>
      </c>
      <c r="D442" s="36">
        <v>5.67E-2</v>
      </c>
      <c r="E442" s="33">
        <v>7.9229999999999992</v>
      </c>
      <c r="F442" s="33">
        <f t="shared" si="51"/>
        <v>0.45</v>
      </c>
      <c r="G442" s="44"/>
      <c r="H442" s="45"/>
      <c r="I442" s="153">
        <v>8.9599999999999999E-2</v>
      </c>
      <c r="K442" s="215">
        <v>5.67E-2</v>
      </c>
      <c r="L442" s="33">
        <v>7.9229999999999992</v>
      </c>
      <c r="M442" s="33">
        <f t="shared" si="43"/>
        <v>0.44923409999999997</v>
      </c>
      <c r="N442" s="44"/>
      <c r="O442" s="36" t="str">
        <f t="shared" si="44"/>
        <v/>
      </c>
      <c r="P442" s="216">
        <f t="shared" si="45"/>
        <v>0</v>
      </c>
      <c r="Q442" s="216">
        <f t="shared" si="46"/>
        <v>1.7020000000000923E-3</v>
      </c>
      <c r="R442" s="217" t="str">
        <f t="shared" si="47"/>
        <v/>
      </c>
    </row>
    <row r="443" spans="1:18" ht="25.5" x14ac:dyDescent="0.25">
      <c r="A443" s="268"/>
      <c r="B443" s="35" t="s">
        <v>3235</v>
      </c>
      <c r="C443" s="35" t="s">
        <v>385</v>
      </c>
      <c r="D443" s="36">
        <v>4.4770000000000003</v>
      </c>
      <c r="E443" s="30">
        <v>2.8594999999999997</v>
      </c>
      <c r="F443" s="33">
        <f t="shared" si="51"/>
        <v>12.8</v>
      </c>
      <c r="G443" s="44"/>
      <c r="H443" s="45"/>
      <c r="I443" s="153">
        <v>8.9599999999999999E-2</v>
      </c>
      <c r="K443" s="215">
        <v>4.4770000000000003</v>
      </c>
      <c r="L443" s="30">
        <v>2.8594999999999997</v>
      </c>
      <c r="M443" s="33">
        <f t="shared" si="43"/>
        <v>12.8019815</v>
      </c>
      <c r="N443" s="44"/>
      <c r="O443" s="36" t="str">
        <f t="shared" si="44"/>
        <v/>
      </c>
      <c r="P443" s="216">
        <f t="shared" si="45"/>
        <v>0</v>
      </c>
      <c r="Q443" s="216">
        <f t="shared" si="46"/>
        <v>-1.5480468749995424E-4</v>
      </c>
      <c r="R443" s="217" t="str">
        <f t="shared" si="47"/>
        <v/>
      </c>
    </row>
    <row r="444" spans="1:18" x14ac:dyDescent="0.25">
      <c r="A444" s="268"/>
      <c r="B444" s="35" t="s">
        <v>1010</v>
      </c>
      <c r="C444" s="35" t="s">
        <v>773</v>
      </c>
      <c r="D444" s="36">
        <v>0.26190000000000002</v>
      </c>
      <c r="E444" s="30">
        <v>23.9115</v>
      </c>
      <c r="F444" s="33">
        <f t="shared" si="51"/>
        <v>6.26</v>
      </c>
      <c r="G444" s="44"/>
      <c r="H444" s="45"/>
      <c r="I444" s="153">
        <v>8.9599999999999999E-2</v>
      </c>
      <c r="K444" s="215">
        <v>0.26190000000000002</v>
      </c>
      <c r="L444" s="30">
        <v>23.9115</v>
      </c>
      <c r="M444" s="33">
        <f t="shared" si="43"/>
        <v>6.2624218500000008</v>
      </c>
      <c r="N444" s="44"/>
      <c r="O444" s="36" t="str">
        <f t="shared" si="44"/>
        <v/>
      </c>
      <c r="P444" s="216">
        <f t="shared" si="45"/>
        <v>0</v>
      </c>
      <c r="Q444" s="216">
        <f t="shared" si="46"/>
        <v>-3.868769968051744E-4</v>
      </c>
      <c r="R444" s="217" t="str">
        <f t="shared" si="47"/>
        <v/>
      </c>
    </row>
    <row r="445" spans="1:18" x14ac:dyDescent="0.25">
      <c r="A445" s="268"/>
      <c r="B445" s="35" t="s">
        <v>660</v>
      </c>
      <c r="C445" s="35" t="s">
        <v>583</v>
      </c>
      <c r="D445" s="36">
        <v>0.73560000000000003</v>
      </c>
      <c r="E445" s="30">
        <v>21.337</v>
      </c>
      <c r="F445" s="33">
        <f t="shared" si="51"/>
        <v>15.7</v>
      </c>
      <c r="G445" s="44"/>
      <c r="H445" s="45"/>
      <c r="I445" s="153">
        <v>8.9599999999999999E-2</v>
      </c>
      <c r="K445" s="215">
        <v>0.73560000000000003</v>
      </c>
      <c r="L445" s="30">
        <v>21.337</v>
      </c>
      <c r="M445" s="33">
        <f t="shared" si="43"/>
        <v>15.6954972</v>
      </c>
      <c r="N445" s="44"/>
      <c r="O445" s="36" t="str">
        <f t="shared" si="44"/>
        <v/>
      </c>
      <c r="P445" s="216">
        <f t="shared" si="45"/>
        <v>0</v>
      </c>
      <c r="Q445" s="216">
        <f t="shared" si="46"/>
        <v>2.8680254777069258E-4</v>
      </c>
      <c r="R445" s="217" t="str">
        <f t="shared" si="47"/>
        <v/>
      </c>
    </row>
    <row r="446" spans="1:18" x14ac:dyDescent="0.25">
      <c r="A446" s="268"/>
      <c r="B446" s="35" t="s">
        <v>582</v>
      </c>
      <c r="C446" s="35" t="s">
        <v>583</v>
      </c>
      <c r="D446" s="36">
        <v>3.6779999999999999</v>
      </c>
      <c r="E446" s="30">
        <v>25.725999999999996</v>
      </c>
      <c r="F446" s="33">
        <f t="shared" ref="F446:F454" si="52">IF(ISNUMBER(E446),E446*$D446,"")</f>
        <v>94.620227999999983</v>
      </c>
      <c r="G446" s="44"/>
      <c r="H446" s="45"/>
      <c r="I446" s="153">
        <v>8.9599999999999999E-2</v>
      </c>
      <c r="K446" s="215">
        <v>3.6779999999999999</v>
      </c>
      <c r="L446" s="30">
        <v>25.725999999999996</v>
      </c>
      <c r="M446" s="33">
        <f t="shared" si="43"/>
        <v>94.620227999999983</v>
      </c>
      <c r="N446" s="44"/>
      <c r="O446" s="36" t="str">
        <f t="shared" si="44"/>
        <v/>
      </c>
      <c r="P446" s="216">
        <f t="shared" si="45"/>
        <v>0</v>
      </c>
      <c r="Q446" s="216">
        <f t="shared" si="46"/>
        <v>0</v>
      </c>
      <c r="R446" s="217" t="str">
        <f t="shared" si="47"/>
        <v/>
      </c>
    </row>
    <row r="447" spans="1:18" x14ac:dyDescent="0.25">
      <c r="A447" s="268"/>
      <c r="B447" s="35" t="s">
        <v>591</v>
      </c>
      <c r="C447" s="35" t="s">
        <v>583</v>
      </c>
      <c r="D447" s="36">
        <v>22.888400000000001</v>
      </c>
      <c r="E447" s="30">
        <v>27.160499999999999</v>
      </c>
      <c r="F447" s="33">
        <f t="shared" si="52"/>
        <v>621.66038819999994</v>
      </c>
      <c r="G447" s="44"/>
      <c r="H447" s="45"/>
      <c r="I447" s="153">
        <v>8.9599999999999999E-2</v>
      </c>
      <c r="K447" s="215">
        <v>22.888400000000001</v>
      </c>
      <c r="L447" s="30">
        <v>27.160499999999999</v>
      </c>
      <c r="M447" s="33">
        <f t="shared" si="43"/>
        <v>621.66038819999994</v>
      </c>
      <c r="N447" s="44"/>
      <c r="O447" s="36" t="str">
        <f t="shared" si="44"/>
        <v/>
      </c>
      <c r="P447" s="216">
        <f t="shared" si="45"/>
        <v>0</v>
      </c>
      <c r="Q447" s="216">
        <f t="shared" si="46"/>
        <v>0</v>
      </c>
      <c r="R447" s="217" t="str">
        <f t="shared" si="47"/>
        <v/>
      </c>
    </row>
    <row r="448" spans="1:18" x14ac:dyDescent="0.25">
      <c r="A448" s="268"/>
      <c r="B448" s="35" t="s">
        <v>584</v>
      </c>
      <c r="C448" s="35" t="s">
        <v>583</v>
      </c>
      <c r="D448" s="36">
        <v>22.888400000000001</v>
      </c>
      <c r="E448" s="30">
        <v>20.225499999999997</v>
      </c>
      <c r="F448" s="33">
        <f t="shared" si="52"/>
        <v>462.92933419999991</v>
      </c>
      <c r="G448" s="44"/>
      <c r="H448" s="45"/>
      <c r="I448" s="153">
        <v>8.9599999999999999E-2</v>
      </c>
      <c r="K448" s="215">
        <v>22.888400000000001</v>
      </c>
      <c r="L448" s="30">
        <v>20.225499999999997</v>
      </c>
      <c r="M448" s="33">
        <f t="shared" si="43"/>
        <v>462.92933419999991</v>
      </c>
      <c r="N448" s="44"/>
      <c r="O448" s="36" t="str">
        <f t="shared" si="44"/>
        <v/>
      </c>
      <c r="P448" s="216">
        <f t="shared" si="45"/>
        <v>0</v>
      </c>
      <c r="Q448" s="216">
        <f t="shared" si="46"/>
        <v>0</v>
      </c>
      <c r="R448" s="217" t="str">
        <f t="shared" si="47"/>
        <v/>
      </c>
    </row>
    <row r="449" spans="1:18" ht="25.5" x14ac:dyDescent="0.25">
      <c r="A449" s="268"/>
      <c r="B449" s="35" t="s">
        <v>1011</v>
      </c>
      <c r="C449" s="35" t="s">
        <v>813</v>
      </c>
      <c r="D449" s="36">
        <v>4.7533000000000003</v>
      </c>
      <c r="E449" s="30">
        <v>1.1304999999999998</v>
      </c>
      <c r="F449" s="33">
        <f t="shared" si="52"/>
        <v>5.37360565</v>
      </c>
      <c r="G449" s="44"/>
      <c r="H449" s="45"/>
      <c r="I449" s="153">
        <v>8.9599999999999999E-2</v>
      </c>
      <c r="K449" s="215">
        <v>4.7533000000000003</v>
      </c>
      <c r="L449" s="30">
        <v>1.1304999999999998</v>
      </c>
      <c r="M449" s="33">
        <f t="shared" si="43"/>
        <v>5.37360565</v>
      </c>
      <c r="N449" s="44"/>
      <c r="O449" s="36" t="str">
        <f t="shared" si="44"/>
        <v/>
      </c>
      <c r="P449" s="216">
        <f t="shared" si="45"/>
        <v>0</v>
      </c>
      <c r="Q449" s="216">
        <f t="shared" si="46"/>
        <v>0</v>
      </c>
      <c r="R449" s="217" t="str">
        <f t="shared" si="47"/>
        <v/>
      </c>
    </row>
    <row r="450" spans="1:18" ht="25.5" x14ac:dyDescent="0.25">
      <c r="A450" s="268"/>
      <c r="B450" s="35" t="s">
        <v>1012</v>
      </c>
      <c r="C450" s="35" t="s">
        <v>815</v>
      </c>
      <c r="D450" s="36">
        <v>13.0715</v>
      </c>
      <c r="E450" s="30">
        <v>0.47499999999999998</v>
      </c>
      <c r="F450" s="33">
        <f t="shared" si="52"/>
        <v>6.2089625000000002</v>
      </c>
      <c r="G450" s="44"/>
      <c r="H450" s="45"/>
      <c r="I450" s="153">
        <v>8.9599999999999999E-2</v>
      </c>
      <c r="K450" s="215">
        <v>13.0715</v>
      </c>
      <c r="L450" s="30">
        <v>0.47499999999999998</v>
      </c>
      <c r="M450" s="33">
        <f t="shared" si="43"/>
        <v>6.2089625000000002</v>
      </c>
      <c r="N450" s="44"/>
      <c r="O450" s="36" t="str">
        <f t="shared" si="44"/>
        <v/>
      </c>
      <c r="P450" s="216">
        <f t="shared" si="45"/>
        <v>0</v>
      </c>
      <c r="Q450" s="216">
        <f t="shared" si="46"/>
        <v>0</v>
      </c>
      <c r="R450" s="217" t="str">
        <f t="shared" si="47"/>
        <v/>
      </c>
    </row>
    <row r="451" spans="1:18" ht="25.5" x14ac:dyDescent="0.25">
      <c r="A451" s="268"/>
      <c r="B451" s="35" t="s">
        <v>1013</v>
      </c>
      <c r="C451" s="35" t="s">
        <v>813</v>
      </c>
      <c r="D451" s="36">
        <v>0.313</v>
      </c>
      <c r="E451" s="30">
        <v>22.210999999999999</v>
      </c>
      <c r="F451" s="33">
        <f t="shared" si="52"/>
        <v>6.9520429999999998</v>
      </c>
      <c r="G451" s="44"/>
      <c r="H451" s="45"/>
      <c r="I451" s="153">
        <v>8.9599999999999999E-2</v>
      </c>
      <c r="K451" s="215">
        <v>0.313</v>
      </c>
      <c r="L451" s="30">
        <v>22.210999999999999</v>
      </c>
      <c r="M451" s="33">
        <f t="shared" si="43"/>
        <v>6.9520429999999998</v>
      </c>
      <c r="N451" s="44"/>
      <c r="O451" s="36" t="str">
        <f t="shared" si="44"/>
        <v/>
      </c>
      <c r="P451" s="216">
        <f t="shared" si="45"/>
        <v>0</v>
      </c>
      <c r="Q451" s="216">
        <f t="shared" si="46"/>
        <v>0</v>
      </c>
      <c r="R451" s="217" t="str">
        <f t="shared" si="47"/>
        <v/>
      </c>
    </row>
    <row r="452" spans="1:18" ht="25.5" x14ac:dyDescent="0.25">
      <c r="A452" s="268"/>
      <c r="B452" s="35" t="s">
        <v>1014</v>
      </c>
      <c r="C452" s="35" t="s">
        <v>815</v>
      </c>
      <c r="D452" s="36">
        <v>0.42259999999999998</v>
      </c>
      <c r="E452" s="30">
        <v>21.2895</v>
      </c>
      <c r="F452" s="33">
        <f t="shared" si="52"/>
        <v>8.9969427</v>
      </c>
      <c r="G452" s="44"/>
      <c r="H452" s="45"/>
      <c r="I452" s="153">
        <v>8.9599999999999999E-2</v>
      </c>
      <c r="K452" s="215">
        <v>0.42259999999999998</v>
      </c>
      <c r="L452" s="30">
        <v>21.2895</v>
      </c>
      <c r="M452" s="33">
        <f t="shared" si="43"/>
        <v>8.9969427</v>
      </c>
      <c r="N452" s="44"/>
      <c r="O452" s="36" t="str">
        <f t="shared" si="44"/>
        <v/>
      </c>
      <c r="P452" s="216">
        <f t="shared" si="45"/>
        <v>0</v>
      </c>
      <c r="Q452" s="216">
        <f t="shared" si="46"/>
        <v>0</v>
      </c>
      <c r="R452" s="217" t="str">
        <f t="shared" si="47"/>
        <v/>
      </c>
    </row>
    <row r="453" spans="1:18" ht="38.25" x14ac:dyDescent="0.25">
      <c r="A453" s="268"/>
      <c r="B453" s="35" t="s">
        <v>1015</v>
      </c>
      <c r="C453" s="35" t="s">
        <v>773</v>
      </c>
      <c r="D453" s="36">
        <v>28.936900000000001</v>
      </c>
      <c r="E453" s="30">
        <v>16.633246</v>
      </c>
      <c r="F453" s="33">
        <f t="shared" si="52"/>
        <v>481.3145761774</v>
      </c>
      <c r="G453" s="44"/>
      <c r="H453" s="45"/>
      <c r="I453" s="153">
        <v>8.9599999999999999E-2</v>
      </c>
      <c r="K453" s="215">
        <v>28.936900000000001</v>
      </c>
      <c r="L453" s="30">
        <v>16.633246</v>
      </c>
      <c r="M453" s="33">
        <f t="shared" si="43"/>
        <v>481.3145761774</v>
      </c>
      <c r="N453" s="44"/>
      <c r="O453" s="36" t="str">
        <f t="shared" si="44"/>
        <v/>
      </c>
      <c r="P453" s="216">
        <f t="shared" si="45"/>
        <v>0</v>
      </c>
      <c r="Q453" s="216">
        <f t="shared" si="46"/>
        <v>0</v>
      </c>
      <c r="R453" s="217" t="str">
        <f t="shared" si="47"/>
        <v/>
      </c>
    </row>
    <row r="454" spans="1:18" ht="25.5" x14ac:dyDescent="0.25">
      <c r="A454" s="268"/>
      <c r="B454" s="35" t="s">
        <v>2886</v>
      </c>
      <c r="C454" s="46" t="s">
        <v>87</v>
      </c>
      <c r="D454" s="36">
        <v>1.2</v>
      </c>
      <c r="E454" s="30">
        <v>642.96511536752996</v>
      </c>
      <c r="F454" s="33">
        <f t="shared" si="52"/>
        <v>771.55813844103591</v>
      </c>
      <c r="G454" s="44"/>
      <c r="H454" s="45"/>
      <c r="I454" s="153">
        <v>8.9599999999999999E-2</v>
      </c>
      <c r="K454" s="215">
        <v>1.2</v>
      </c>
      <c r="L454" s="30">
        <v>642.96511536752996</v>
      </c>
      <c r="M454" s="33">
        <f t="shared" si="43"/>
        <v>771.55813844103591</v>
      </c>
      <c r="N454" s="44"/>
      <c r="O454" s="36" t="str">
        <f t="shared" si="44"/>
        <v/>
      </c>
      <c r="P454" s="216">
        <f t="shared" si="45"/>
        <v>0</v>
      </c>
      <c r="Q454" s="216">
        <f t="shared" si="46"/>
        <v>0</v>
      </c>
      <c r="R454" s="217" t="str">
        <f t="shared" si="47"/>
        <v/>
      </c>
    </row>
    <row r="455" spans="1:18" x14ac:dyDescent="0.25">
      <c r="A455" s="268"/>
      <c r="B455" s="50"/>
      <c r="C455" s="133"/>
      <c r="D455" s="36"/>
      <c r="E455" s="30" t="s">
        <v>416</v>
      </c>
      <c r="F455" s="33" t="str">
        <f t="shared" ref="F455:F464" si="53">IF(ISNUMBER(E455),ROUND(E455*$D455,2),"")</f>
        <v/>
      </c>
      <c r="G455" s="44"/>
      <c r="H455" s="45"/>
      <c r="I455" s="153">
        <v>8.9599999999999999E-2</v>
      </c>
      <c r="K455" s="215"/>
      <c r="L455" s="30" t="s">
        <v>416</v>
      </c>
      <c r="M455" s="33" t="str">
        <f t="shared" si="43"/>
        <v/>
      </c>
      <c r="N455" s="44"/>
      <c r="O455" s="36" t="str">
        <f t="shared" si="44"/>
        <v/>
      </c>
      <c r="P455" s="216" t="str">
        <f t="shared" si="45"/>
        <v/>
      </c>
      <c r="Q455" s="216" t="str">
        <f t="shared" si="46"/>
        <v/>
      </c>
      <c r="R455" s="217" t="str">
        <f t="shared" si="47"/>
        <v/>
      </c>
    </row>
    <row r="456" spans="1:18" ht="24.95" customHeight="1" x14ac:dyDescent="0.25">
      <c r="A456" s="268"/>
      <c r="B456" s="47" t="s">
        <v>631</v>
      </c>
      <c r="C456" s="133"/>
      <c r="D456" s="36"/>
      <c r="E456" s="30" t="s">
        <v>416</v>
      </c>
      <c r="F456" s="33" t="str">
        <f t="shared" si="53"/>
        <v/>
      </c>
      <c r="G456" s="44"/>
      <c r="H456" s="45"/>
      <c r="I456" s="153">
        <v>8.9599999999999999E-2</v>
      </c>
      <c r="K456" s="215"/>
      <c r="L456" s="30" t="s">
        <v>416</v>
      </c>
      <c r="M456" s="33" t="str">
        <f t="shared" ref="M456:M519" si="54">IF(ISNUMBER(L456),K456*L456,"")</f>
        <v/>
      </c>
      <c r="N456" s="44"/>
      <c r="O456" s="36" t="str">
        <f t="shared" ref="O456:O519" si="55">IF(ISBLANK(K456),"",IF($D456&lt;&gt;K456,"SIM",""))</f>
        <v/>
      </c>
      <c r="P456" s="216" t="str">
        <f t="shared" ref="P456:P519" si="56">IF(L456="","",1-L456/$E456)</f>
        <v/>
      </c>
      <c r="Q456" s="216" t="str">
        <f t="shared" ref="Q456:Q519" si="57">IF(M456="","",1-M456/$F456)</f>
        <v/>
      </c>
      <c r="R456" s="217" t="str">
        <f t="shared" ref="R456:R519" si="58">IF(G456="","",1-N456/$G456)</f>
        <v/>
      </c>
    </row>
    <row r="457" spans="1:18" ht="15.75" thickBot="1" x14ac:dyDescent="0.3">
      <c r="A457" s="270"/>
      <c r="B457" s="103"/>
      <c r="C457" s="79"/>
      <c r="D457" s="95"/>
      <c r="E457" s="66" t="s">
        <v>416</v>
      </c>
      <c r="F457" s="66" t="str">
        <f t="shared" si="53"/>
        <v/>
      </c>
      <c r="G457" s="68"/>
      <c r="H457" s="30"/>
      <c r="I457" s="153">
        <v>8.9599999999999999E-2</v>
      </c>
      <c r="K457" s="229"/>
      <c r="L457" s="66" t="s">
        <v>416</v>
      </c>
      <c r="M457" s="66" t="str">
        <f t="shared" si="54"/>
        <v/>
      </c>
      <c r="N457" s="68"/>
      <c r="O457" s="36" t="str">
        <f t="shared" si="55"/>
        <v/>
      </c>
      <c r="P457" s="216" t="str">
        <f t="shared" si="56"/>
        <v/>
      </c>
      <c r="Q457" s="216" t="str">
        <f t="shared" si="57"/>
        <v/>
      </c>
      <c r="R457" s="217" t="str">
        <f t="shared" si="58"/>
        <v/>
      </c>
    </row>
    <row r="458" spans="1:18" ht="26.25" customHeight="1" thickBot="1" x14ac:dyDescent="0.3">
      <c r="A458" s="269" t="s">
        <v>3224</v>
      </c>
      <c r="B458" s="40" t="s">
        <v>416</v>
      </c>
      <c r="C458" s="77" t="s">
        <v>87</v>
      </c>
      <c r="D458" s="93"/>
      <c r="E458" s="41" t="s">
        <v>416</v>
      </c>
      <c r="F458" s="41" t="str">
        <f t="shared" si="53"/>
        <v/>
      </c>
      <c r="G458" s="28"/>
      <c r="H458" s="29"/>
      <c r="I458" s="153">
        <v>0.16200000000000001</v>
      </c>
      <c r="K458" s="226"/>
      <c r="L458" s="41" t="s">
        <v>416</v>
      </c>
      <c r="M458" s="41" t="str">
        <f t="shared" si="54"/>
        <v/>
      </c>
      <c r="N458" s="28"/>
      <c r="O458" s="36" t="str">
        <f t="shared" si="55"/>
        <v/>
      </c>
      <c r="P458" s="216" t="str">
        <f t="shared" si="56"/>
        <v/>
      </c>
      <c r="Q458" s="216" t="str">
        <f t="shared" si="57"/>
        <v/>
      </c>
      <c r="R458" s="217" t="str">
        <f t="shared" si="58"/>
        <v/>
      </c>
    </row>
    <row r="459" spans="1:18" x14ac:dyDescent="0.25">
      <c r="A459" s="268"/>
      <c r="B459" s="31" t="s">
        <v>416</v>
      </c>
      <c r="C459" s="78"/>
      <c r="D459" s="91"/>
      <c r="E459" s="97" t="s">
        <v>416</v>
      </c>
      <c r="F459" s="98" t="str">
        <f t="shared" si="53"/>
        <v/>
      </c>
      <c r="G459" s="34"/>
      <c r="H459" s="30"/>
      <c r="I459" s="153">
        <v>0.16200000000000001</v>
      </c>
      <c r="K459" s="227"/>
      <c r="L459" s="97" t="s">
        <v>416</v>
      </c>
      <c r="M459" s="98" t="str">
        <f t="shared" si="54"/>
        <v/>
      </c>
      <c r="N459" s="34"/>
      <c r="O459" s="36" t="str">
        <f t="shared" si="55"/>
        <v/>
      </c>
      <c r="P459" s="216" t="str">
        <f t="shared" si="56"/>
        <v/>
      </c>
      <c r="Q459" s="216" t="str">
        <f t="shared" si="57"/>
        <v/>
      </c>
      <c r="R459" s="217" t="str">
        <f t="shared" si="58"/>
        <v/>
      </c>
    </row>
    <row r="460" spans="1:18" ht="25.5" x14ac:dyDescent="0.25">
      <c r="A460" s="268"/>
      <c r="B460" s="35" t="s">
        <v>633</v>
      </c>
      <c r="C460" s="35" t="s">
        <v>87</v>
      </c>
      <c r="D460" s="36">
        <v>1.1000000000000001</v>
      </c>
      <c r="E460" s="33">
        <v>203.71799999999999</v>
      </c>
      <c r="F460" s="33">
        <f t="shared" si="53"/>
        <v>224.09</v>
      </c>
      <c r="G460" s="44">
        <f>SUM(F460:F470)</f>
        <v>399.81729540499987</v>
      </c>
      <c r="H460" s="45"/>
      <c r="I460" s="153">
        <v>0.16200000000000001</v>
      </c>
      <c r="K460" s="215">
        <v>1.1000000000000001</v>
      </c>
      <c r="L460" s="33">
        <v>203.71799999999999</v>
      </c>
      <c r="M460" s="33">
        <f t="shared" si="54"/>
        <v>224.0898</v>
      </c>
      <c r="N460" s="44">
        <f>SUM(M460:M470)</f>
        <v>399.81983850499989</v>
      </c>
      <c r="O460" s="36" t="str">
        <f t="shared" si="55"/>
        <v/>
      </c>
      <c r="P460" s="216">
        <f t="shared" si="56"/>
        <v>0</v>
      </c>
      <c r="Q460" s="216">
        <f t="shared" si="57"/>
        <v>8.9249854973161291E-7</v>
      </c>
      <c r="R460" s="217">
        <f t="shared" si="58"/>
        <v>-6.3606553024619927E-6</v>
      </c>
    </row>
    <row r="461" spans="1:18" ht="51" x14ac:dyDescent="0.25">
      <c r="A461" s="268"/>
      <c r="B461" s="35" t="s">
        <v>2863</v>
      </c>
      <c r="C461" s="35" t="s">
        <v>813</v>
      </c>
      <c r="D461" s="36">
        <v>0.128</v>
      </c>
      <c r="E461" s="33">
        <v>134.55799999999999</v>
      </c>
      <c r="F461" s="33">
        <f t="shared" si="53"/>
        <v>17.22</v>
      </c>
      <c r="G461" s="44"/>
      <c r="H461" s="45"/>
      <c r="I461" s="153">
        <v>0.16200000000000001</v>
      </c>
      <c r="K461" s="215">
        <v>0.128</v>
      </c>
      <c r="L461" s="33">
        <v>134.55799999999999</v>
      </c>
      <c r="M461" s="33">
        <f t="shared" si="54"/>
        <v>17.223423999999998</v>
      </c>
      <c r="N461" s="44"/>
      <c r="O461" s="36" t="str">
        <f t="shared" si="55"/>
        <v/>
      </c>
      <c r="P461" s="216">
        <f t="shared" si="56"/>
        <v>0</v>
      </c>
      <c r="Q461" s="216">
        <f t="shared" si="57"/>
        <v>-1.9883855981417398E-4</v>
      </c>
      <c r="R461" s="217" t="str">
        <f t="shared" si="58"/>
        <v/>
      </c>
    </row>
    <row r="462" spans="1:18" ht="51" x14ac:dyDescent="0.25">
      <c r="A462" s="268"/>
      <c r="B462" s="35" t="s">
        <v>2870</v>
      </c>
      <c r="C462" s="35" t="s">
        <v>815</v>
      </c>
      <c r="D462" s="36">
        <v>0.63980000000000004</v>
      </c>
      <c r="E462" s="30">
        <v>54.34</v>
      </c>
      <c r="F462" s="33">
        <f t="shared" si="53"/>
        <v>34.770000000000003</v>
      </c>
      <c r="G462" s="44"/>
      <c r="H462" s="45"/>
      <c r="I462" s="153">
        <v>0.16200000000000001</v>
      </c>
      <c r="K462" s="215">
        <v>0.63980000000000004</v>
      </c>
      <c r="L462" s="30">
        <v>54.34</v>
      </c>
      <c r="M462" s="33">
        <f t="shared" si="54"/>
        <v>34.766732000000005</v>
      </c>
      <c r="N462" s="44"/>
      <c r="O462" s="36" t="str">
        <f t="shared" si="55"/>
        <v/>
      </c>
      <c r="P462" s="216">
        <f t="shared" si="56"/>
        <v>0</v>
      </c>
      <c r="Q462" s="216">
        <f t="shared" si="57"/>
        <v>9.3989071038191874E-5</v>
      </c>
      <c r="R462" s="217" t="str">
        <f t="shared" si="58"/>
        <v/>
      </c>
    </row>
    <row r="463" spans="1:18" x14ac:dyDescent="0.25">
      <c r="A463" s="268"/>
      <c r="B463" s="35" t="s">
        <v>591</v>
      </c>
      <c r="C463" s="35" t="s">
        <v>583</v>
      </c>
      <c r="D463" s="36">
        <v>0.92130000000000001</v>
      </c>
      <c r="E463" s="30">
        <v>27.160499999999999</v>
      </c>
      <c r="F463" s="33">
        <f t="shared" si="53"/>
        <v>25.02</v>
      </c>
      <c r="G463" s="44"/>
      <c r="H463" s="45"/>
      <c r="I463" s="153">
        <v>0.16200000000000001</v>
      </c>
      <c r="K463" s="215">
        <v>0.92130000000000001</v>
      </c>
      <c r="L463" s="30">
        <v>27.160499999999999</v>
      </c>
      <c r="M463" s="33">
        <f t="shared" si="54"/>
        <v>25.022968649999999</v>
      </c>
      <c r="N463" s="44"/>
      <c r="O463" s="36" t="str">
        <f t="shared" si="55"/>
        <v/>
      </c>
      <c r="P463" s="216">
        <f t="shared" si="56"/>
        <v>0</v>
      </c>
      <c r="Q463" s="216">
        <f t="shared" si="57"/>
        <v>-1.1865107913666684E-4</v>
      </c>
      <c r="R463" s="217" t="str">
        <f t="shared" si="58"/>
        <v/>
      </c>
    </row>
    <row r="464" spans="1:18" x14ac:dyDescent="0.25">
      <c r="A464" s="268"/>
      <c r="B464" s="35" t="s">
        <v>584</v>
      </c>
      <c r="C464" s="35" t="s">
        <v>583</v>
      </c>
      <c r="D464" s="36">
        <v>1.3818999999999999</v>
      </c>
      <c r="E464" s="30">
        <v>20.225499999999997</v>
      </c>
      <c r="F464" s="33">
        <f t="shared" si="53"/>
        <v>27.95</v>
      </c>
      <c r="G464" s="44"/>
      <c r="H464" s="45"/>
      <c r="I464" s="153">
        <v>0.16200000000000001</v>
      </c>
      <c r="K464" s="215">
        <v>1.3818999999999999</v>
      </c>
      <c r="L464" s="30">
        <v>20.225499999999997</v>
      </c>
      <c r="M464" s="33">
        <f t="shared" si="54"/>
        <v>27.949618449999992</v>
      </c>
      <c r="N464" s="44"/>
      <c r="O464" s="36" t="str">
        <f t="shared" si="55"/>
        <v/>
      </c>
      <c r="P464" s="216">
        <f t="shared" si="56"/>
        <v>0</v>
      </c>
      <c r="Q464" s="216">
        <f t="shared" si="57"/>
        <v>1.3651162790950799E-5</v>
      </c>
      <c r="R464" s="217" t="str">
        <f t="shared" si="58"/>
        <v/>
      </c>
    </row>
    <row r="465" spans="1:18" ht="25.5" x14ac:dyDescent="0.25">
      <c r="A465" s="268"/>
      <c r="B465" s="35" t="s">
        <v>812</v>
      </c>
      <c r="C465" s="35" t="s">
        <v>813</v>
      </c>
      <c r="D465" s="36">
        <v>7.1800000000000003E-2</v>
      </c>
      <c r="E465" s="30">
        <v>27.512</v>
      </c>
      <c r="F465" s="33">
        <f>IF(ISNUMBER(E465),E465*$D465,"")</f>
        <v>1.9753616000000001</v>
      </c>
      <c r="G465" s="44"/>
      <c r="H465" s="45"/>
      <c r="I465" s="153">
        <v>0.16200000000000001</v>
      </c>
      <c r="K465" s="215">
        <v>7.1800000000000003E-2</v>
      </c>
      <c r="L465" s="30">
        <v>27.512</v>
      </c>
      <c r="M465" s="33">
        <f t="shared" si="54"/>
        <v>1.9753616000000001</v>
      </c>
      <c r="N465" s="44"/>
      <c r="O465" s="36" t="str">
        <f t="shared" si="55"/>
        <v/>
      </c>
      <c r="P465" s="216">
        <f t="shared" si="56"/>
        <v>0</v>
      </c>
      <c r="Q465" s="216">
        <f t="shared" si="57"/>
        <v>0</v>
      </c>
      <c r="R465" s="217" t="str">
        <f t="shared" si="58"/>
        <v/>
      </c>
    </row>
    <row r="466" spans="1:18" ht="25.5" x14ac:dyDescent="0.25">
      <c r="A466" s="268"/>
      <c r="B466" s="35" t="s">
        <v>814</v>
      </c>
      <c r="C466" s="35" t="s">
        <v>815</v>
      </c>
      <c r="D466" s="36">
        <v>6.6600000000000006E-2</v>
      </c>
      <c r="E466" s="30">
        <v>22.001999999999999</v>
      </c>
      <c r="F466" s="33">
        <f>IF(ISNUMBER(E466),E466*$D466,"")</f>
        <v>1.4653332000000001</v>
      </c>
      <c r="G466" s="44"/>
      <c r="H466" s="45"/>
      <c r="I466" s="153">
        <v>0.16200000000000001</v>
      </c>
      <c r="K466" s="215">
        <v>6.6600000000000006E-2</v>
      </c>
      <c r="L466" s="30">
        <v>22.001999999999999</v>
      </c>
      <c r="M466" s="33">
        <f t="shared" si="54"/>
        <v>1.4653332000000001</v>
      </c>
      <c r="N466" s="44"/>
      <c r="O466" s="36" t="str">
        <f t="shared" si="55"/>
        <v/>
      </c>
      <c r="P466" s="216">
        <f t="shared" si="56"/>
        <v>0</v>
      </c>
      <c r="Q466" s="216">
        <f t="shared" si="57"/>
        <v>0</v>
      </c>
      <c r="R466" s="217" t="str">
        <f t="shared" si="58"/>
        <v/>
      </c>
    </row>
    <row r="467" spans="1:18" ht="51" x14ac:dyDescent="0.25">
      <c r="A467" s="268"/>
      <c r="B467" s="35" t="s">
        <v>3071</v>
      </c>
      <c r="C467" s="35" t="s">
        <v>87</v>
      </c>
      <c r="D467" s="36">
        <f>ROUND(1*(D460),4)</f>
        <v>1.1000000000000001</v>
      </c>
      <c r="E467" s="30">
        <v>8.0531015499999992</v>
      </c>
      <c r="F467" s="33">
        <f>IF(ISNUMBER(E467),E467*$D467,"")</f>
        <v>8.858411705</v>
      </c>
      <c r="G467" s="44"/>
      <c r="H467" s="45"/>
      <c r="I467" s="153">
        <v>0.16200000000000001</v>
      </c>
      <c r="K467" s="215">
        <v>1.1000000000000001</v>
      </c>
      <c r="L467" s="30">
        <v>8.0531015499999992</v>
      </c>
      <c r="M467" s="33">
        <f t="shared" si="54"/>
        <v>8.858411705</v>
      </c>
      <c r="N467" s="44"/>
      <c r="O467" s="36" t="str">
        <f t="shared" si="55"/>
        <v/>
      </c>
      <c r="P467" s="216">
        <f t="shared" si="56"/>
        <v>0</v>
      </c>
      <c r="Q467" s="216">
        <f t="shared" si="57"/>
        <v>0</v>
      </c>
      <c r="R467" s="217" t="str">
        <f t="shared" si="58"/>
        <v/>
      </c>
    </row>
    <row r="468" spans="1:18" ht="38.25" x14ac:dyDescent="0.25">
      <c r="A468" s="268"/>
      <c r="B468" s="35" t="s">
        <v>3068</v>
      </c>
      <c r="C468" s="46" t="s">
        <v>89</v>
      </c>
      <c r="D468" s="36">
        <f>ROUND(D460*20,4)</f>
        <v>22</v>
      </c>
      <c r="E468" s="30">
        <v>2.6576449499999995</v>
      </c>
      <c r="F468" s="33">
        <f>IF(ISNUMBER(E468),E468*$D468,"")</f>
        <v>58.468188899999987</v>
      </c>
      <c r="G468" s="44"/>
      <c r="H468" s="45"/>
      <c r="I468" s="153">
        <v>0.16200000000000001</v>
      </c>
      <c r="K468" s="215">
        <v>22</v>
      </c>
      <c r="L468" s="30">
        <v>2.6576449499999995</v>
      </c>
      <c r="M468" s="33">
        <f t="shared" si="54"/>
        <v>58.468188899999987</v>
      </c>
      <c r="N468" s="44"/>
      <c r="O468" s="36" t="str">
        <f t="shared" si="55"/>
        <v/>
      </c>
      <c r="P468" s="216">
        <f t="shared" si="56"/>
        <v>0</v>
      </c>
      <c r="Q468" s="216">
        <f t="shared" si="57"/>
        <v>0</v>
      </c>
      <c r="R468" s="217" t="str">
        <f t="shared" si="58"/>
        <v/>
      </c>
    </row>
    <row r="469" spans="1:18" x14ac:dyDescent="0.25">
      <c r="A469" s="268"/>
      <c r="B469" s="50"/>
      <c r="C469" s="133"/>
      <c r="D469" s="36"/>
      <c r="E469" s="30" t="s">
        <v>416</v>
      </c>
      <c r="F469" s="33" t="str">
        <f t="shared" ref="F469:F478" si="59">IF(ISNUMBER(E469),ROUND(E469*$D469,2),"")</f>
        <v/>
      </c>
      <c r="G469" s="44"/>
      <c r="H469" s="45"/>
      <c r="I469" s="153">
        <v>0.16200000000000001</v>
      </c>
      <c r="K469" s="215"/>
      <c r="L469" s="30" t="s">
        <v>416</v>
      </c>
      <c r="M469" s="33" t="str">
        <f t="shared" si="54"/>
        <v/>
      </c>
      <c r="N469" s="44"/>
      <c r="O469" s="36" t="str">
        <f t="shared" si="55"/>
        <v/>
      </c>
      <c r="P469" s="216" t="str">
        <f t="shared" si="56"/>
        <v/>
      </c>
      <c r="Q469" s="216" t="str">
        <f t="shared" si="57"/>
        <v/>
      </c>
      <c r="R469" s="217" t="str">
        <f t="shared" si="58"/>
        <v/>
      </c>
    </row>
    <row r="470" spans="1:18" ht="24.95" customHeight="1" x14ac:dyDescent="0.25">
      <c r="A470" s="268"/>
      <c r="B470" s="47" t="s">
        <v>631</v>
      </c>
      <c r="C470" s="133"/>
      <c r="D470" s="36"/>
      <c r="E470" s="30" t="s">
        <v>416</v>
      </c>
      <c r="F470" s="33" t="str">
        <f t="shared" si="59"/>
        <v/>
      </c>
      <c r="G470" s="44"/>
      <c r="H470" s="45"/>
      <c r="I470" s="153">
        <v>0.16200000000000001</v>
      </c>
      <c r="K470" s="215"/>
      <c r="L470" s="30" t="s">
        <v>416</v>
      </c>
      <c r="M470" s="33" t="str">
        <f t="shared" si="54"/>
        <v/>
      </c>
      <c r="N470" s="44"/>
      <c r="O470" s="36" t="str">
        <f t="shared" si="55"/>
        <v/>
      </c>
      <c r="P470" s="216" t="str">
        <f t="shared" si="56"/>
        <v/>
      </c>
      <c r="Q470" s="216" t="str">
        <f t="shared" si="57"/>
        <v/>
      </c>
      <c r="R470" s="217" t="str">
        <f t="shared" si="58"/>
        <v/>
      </c>
    </row>
    <row r="471" spans="1:18" ht="15.75" thickBot="1" x14ac:dyDescent="0.3">
      <c r="A471" s="270"/>
      <c r="B471" s="103"/>
      <c r="C471" s="79"/>
      <c r="D471" s="95"/>
      <c r="E471" s="66" t="s">
        <v>416</v>
      </c>
      <c r="F471" s="66" t="str">
        <f t="shared" si="59"/>
        <v/>
      </c>
      <c r="G471" s="68"/>
      <c r="H471" s="30"/>
      <c r="I471" s="153">
        <v>0.16200000000000001</v>
      </c>
      <c r="K471" s="229"/>
      <c r="L471" s="66" t="s">
        <v>416</v>
      </c>
      <c r="M471" s="66" t="str">
        <f t="shared" si="54"/>
        <v/>
      </c>
      <c r="N471" s="68"/>
      <c r="O471" s="36" t="str">
        <f t="shared" si="55"/>
        <v/>
      </c>
      <c r="P471" s="216" t="str">
        <f t="shared" si="56"/>
        <v/>
      </c>
      <c r="Q471" s="216" t="str">
        <f t="shared" si="57"/>
        <v/>
      </c>
      <c r="R471" s="217" t="str">
        <f t="shared" si="58"/>
        <v/>
      </c>
    </row>
    <row r="472" spans="1:18" ht="26.25" hidden="1" customHeight="1" thickBot="1" x14ac:dyDescent="0.3">
      <c r="A472" s="269" t="s">
        <v>2887</v>
      </c>
      <c r="B472" s="40" t="s">
        <v>416</v>
      </c>
      <c r="C472" s="77" t="s">
        <v>87</v>
      </c>
      <c r="D472" s="93"/>
      <c r="E472" s="41" t="s">
        <v>416</v>
      </c>
      <c r="F472" s="41" t="str">
        <f t="shared" si="59"/>
        <v/>
      </c>
      <c r="G472" s="28"/>
      <c r="H472" s="29"/>
      <c r="I472" s="153">
        <v>0</v>
      </c>
      <c r="K472" s="226"/>
      <c r="L472" s="41" t="s">
        <v>416</v>
      </c>
      <c r="M472" s="41" t="str">
        <f t="shared" si="54"/>
        <v/>
      </c>
      <c r="N472" s="28"/>
      <c r="O472" s="36" t="str">
        <f t="shared" si="55"/>
        <v/>
      </c>
      <c r="P472" s="216" t="str">
        <f t="shared" si="56"/>
        <v/>
      </c>
      <c r="Q472" s="216" t="str">
        <f t="shared" si="57"/>
        <v/>
      </c>
      <c r="R472" s="217" t="str">
        <f t="shared" si="58"/>
        <v/>
      </c>
    </row>
    <row r="473" spans="1:18" ht="15.75" hidden="1" thickBot="1" x14ac:dyDescent="0.3">
      <c r="A473" s="268"/>
      <c r="B473" s="31" t="s">
        <v>416</v>
      </c>
      <c r="C473" s="78"/>
      <c r="D473" s="91"/>
      <c r="E473" s="97" t="s">
        <v>416</v>
      </c>
      <c r="F473" s="98" t="str">
        <f t="shared" si="59"/>
        <v/>
      </c>
      <c r="G473" s="34"/>
      <c r="H473" s="30"/>
      <c r="I473" s="153">
        <v>0</v>
      </c>
      <c r="K473" s="227"/>
      <c r="L473" s="97" t="s">
        <v>416</v>
      </c>
      <c r="M473" s="98" t="str">
        <f t="shared" si="54"/>
        <v/>
      </c>
      <c r="N473" s="34"/>
      <c r="O473" s="36" t="str">
        <f t="shared" si="55"/>
        <v/>
      </c>
      <c r="P473" s="216" t="str">
        <f t="shared" si="56"/>
        <v/>
      </c>
      <c r="Q473" s="216" t="str">
        <f t="shared" si="57"/>
        <v/>
      </c>
      <c r="R473" s="217" t="str">
        <f t="shared" si="58"/>
        <v/>
      </c>
    </row>
    <row r="474" spans="1:18" ht="39" hidden="1" thickBot="1" x14ac:dyDescent="0.3">
      <c r="A474" s="268"/>
      <c r="B474" s="35" t="s">
        <v>8062</v>
      </c>
      <c r="C474" s="35" t="s">
        <v>861</v>
      </c>
      <c r="D474" s="36">
        <v>1.9403999999999999</v>
      </c>
      <c r="E474" s="33">
        <v>55.745999999999995</v>
      </c>
      <c r="F474" s="33">
        <f t="shared" si="59"/>
        <v>108.17</v>
      </c>
      <c r="G474" s="44">
        <f>SUM(F474:F489)</f>
        <v>3073.7120870491012</v>
      </c>
      <c r="H474" s="45"/>
      <c r="I474" s="153">
        <v>0</v>
      </c>
      <c r="K474" s="215">
        <v>1.9403999999999999</v>
      </c>
      <c r="L474" s="33">
        <v>55.745999999999995</v>
      </c>
      <c r="M474" s="33">
        <f t="shared" si="54"/>
        <v>108.16953839999998</v>
      </c>
      <c r="N474" s="44">
        <f>SUM(M474:M489)</f>
        <v>3073.7168089491015</v>
      </c>
      <c r="O474" s="36" t="str">
        <f t="shared" si="55"/>
        <v/>
      </c>
      <c r="P474" s="216">
        <f t="shared" si="56"/>
        <v>0</v>
      </c>
      <c r="Q474" s="216">
        <f t="shared" si="57"/>
        <v>4.2673569383699927E-6</v>
      </c>
      <c r="R474" s="217">
        <f t="shared" si="58"/>
        <v>-1.5362206564617509E-6</v>
      </c>
    </row>
    <row r="475" spans="1:18" ht="26.25" hidden="1" thickBot="1" x14ac:dyDescent="0.3">
      <c r="A475" s="268"/>
      <c r="B475" s="35" t="s">
        <v>1009</v>
      </c>
      <c r="C475" s="35" t="s">
        <v>75</v>
      </c>
      <c r="D475" s="36">
        <v>8.3299999999999999E-2</v>
      </c>
      <c r="E475" s="33">
        <v>7.9229999999999992</v>
      </c>
      <c r="F475" s="33">
        <f t="shared" si="59"/>
        <v>0.66</v>
      </c>
      <c r="G475" s="44"/>
      <c r="H475" s="45"/>
      <c r="I475" s="153">
        <v>0</v>
      </c>
      <c r="K475" s="215">
        <v>8.3299999999999999E-2</v>
      </c>
      <c r="L475" s="33">
        <v>7.9229999999999992</v>
      </c>
      <c r="M475" s="33">
        <f t="shared" si="54"/>
        <v>0.6599858999999999</v>
      </c>
      <c r="N475" s="44"/>
      <c r="O475" s="36" t="str">
        <f t="shared" si="55"/>
        <v/>
      </c>
      <c r="P475" s="216">
        <f t="shared" si="56"/>
        <v>0</v>
      </c>
      <c r="Q475" s="216">
        <f t="shared" si="57"/>
        <v>2.1363636363846972E-5</v>
      </c>
      <c r="R475" s="217" t="str">
        <f t="shared" si="58"/>
        <v/>
      </c>
    </row>
    <row r="476" spans="1:18" ht="26.25" hidden="1" thickBot="1" x14ac:dyDescent="0.3">
      <c r="A476" s="268"/>
      <c r="B476" s="35" t="s">
        <v>3235</v>
      </c>
      <c r="C476" s="35" t="s">
        <v>385</v>
      </c>
      <c r="D476" s="36">
        <v>5.6283000000000003</v>
      </c>
      <c r="E476" s="30">
        <v>2.8594999999999997</v>
      </c>
      <c r="F476" s="33">
        <f t="shared" si="59"/>
        <v>16.09</v>
      </c>
      <c r="G476" s="44"/>
      <c r="H476" s="45"/>
      <c r="I476" s="153">
        <v>0</v>
      </c>
      <c r="K476" s="215">
        <v>5.6283000000000003</v>
      </c>
      <c r="L476" s="30">
        <v>2.8594999999999997</v>
      </c>
      <c r="M476" s="33">
        <f t="shared" si="54"/>
        <v>16.094123849999999</v>
      </c>
      <c r="N476" s="44"/>
      <c r="O476" s="36" t="str">
        <f t="shared" si="55"/>
        <v/>
      </c>
      <c r="P476" s="216">
        <f t="shared" si="56"/>
        <v>0</v>
      </c>
      <c r="Q476" s="216">
        <f t="shared" si="57"/>
        <v>-2.5629894344314508E-4</v>
      </c>
      <c r="R476" s="217" t="str">
        <f t="shared" si="58"/>
        <v/>
      </c>
    </row>
    <row r="477" spans="1:18" ht="15.75" hidden="1" thickBot="1" x14ac:dyDescent="0.3">
      <c r="A477" s="268"/>
      <c r="B477" s="35" t="s">
        <v>1010</v>
      </c>
      <c r="C477" s="35" t="s">
        <v>773</v>
      </c>
      <c r="D477" s="36">
        <v>0.4365</v>
      </c>
      <c r="E477" s="30">
        <v>23.9115</v>
      </c>
      <c r="F477" s="33">
        <f t="shared" si="59"/>
        <v>10.44</v>
      </c>
      <c r="G477" s="44"/>
      <c r="H477" s="45"/>
      <c r="I477" s="153">
        <v>0</v>
      </c>
      <c r="K477" s="215">
        <v>0.4365</v>
      </c>
      <c r="L477" s="30">
        <v>23.9115</v>
      </c>
      <c r="M477" s="33">
        <f t="shared" si="54"/>
        <v>10.43736975</v>
      </c>
      <c r="N477" s="44"/>
      <c r="O477" s="36" t="str">
        <f t="shared" si="55"/>
        <v/>
      </c>
      <c r="P477" s="216">
        <f t="shared" si="56"/>
        <v>0</v>
      </c>
      <c r="Q477" s="216">
        <f t="shared" si="57"/>
        <v>2.5193965517233963E-4</v>
      </c>
      <c r="R477" s="217" t="str">
        <f t="shared" si="58"/>
        <v/>
      </c>
    </row>
    <row r="478" spans="1:18" ht="15.75" hidden="1" thickBot="1" x14ac:dyDescent="0.3">
      <c r="A478" s="268"/>
      <c r="B478" s="35" t="s">
        <v>660</v>
      </c>
      <c r="C478" s="35" t="s">
        <v>583</v>
      </c>
      <c r="D478" s="36">
        <v>1.1919999999999999</v>
      </c>
      <c r="E478" s="30">
        <v>21.337</v>
      </c>
      <c r="F478" s="33">
        <f t="shared" si="59"/>
        <v>25.43</v>
      </c>
      <c r="G478" s="44"/>
      <c r="H478" s="45"/>
      <c r="I478" s="153">
        <v>0</v>
      </c>
      <c r="K478" s="215">
        <v>1.1919999999999999</v>
      </c>
      <c r="L478" s="30">
        <v>21.337</v>
      </c>
      <c r="M478" s="33">
        <f t="shared" si="54"/>
        <v>25.433703999999999</v>
      </c>
      <c r="N478" s="44"/>
      <c r="O478" s="36" t="str">
        <f t="shared" si="55"/>
        <v/>
      </c>
      <c r="P478" s="216">
        <f t="shared" si="56"/>
        <v>0</v>
      </c>
      <c r="Q478" s="216">
        <f t="shared" si="57"/>
        <v>-1.456547384977025E-4</v>
      </c>
      <c r="R478" s="217" t="str">
        <f t="shared" si="58"/>
        <v/>
      </c>
    </row>
    <row r="479" spans="1:18" ht="15.75" hidden="1" thickBot="1" x14ac:dyDescent="0.3">
      <c r="A479" s="268"/>
      <c r="B479" s="35" t="s">
        <v>582</v>
      </c>
      <c r="C479" s="35" t="s">
        <v>583</v>
      </c>
      <c r="D479" s="36">
        <v>5.96</v>
      </c>
      <c r="E479" s="30">
        <v>25.725999999999996</v>
      </c>
      <c r="F479" s="33">
        <f t="shared" ref="F479:F487" si="60">IF(ISNUMBER(E479),E479*$D479,"")</f>
        <v>153.32695999999999</v>
      </c>
      <c r="G479" s="44"/>
      <c r="H479" s="45"/>
      <c r="I479" s="153">
        <v>0</v>
      </c>
      <c r="K479" s="215">
        <v>5.96</v>
      </c>
      <c r="L479" s="30">
        <v>25.725999999999996</v>
      </c>
      <c r="M479" s="33">
        <f t="shared" si="54"/>
        <v>153.32695999999999</v>
      </c>
      <c r="N479" s="44"/>
      <c r="O479" s="36" t="str">
        <f t="shared" si="55"/>
        <v/>
      </c>
      <c r="P479" s="216">
        <f t="shared" si="56"/>
        <v>0</v>
      </c>
      <c r="Q479" s="216">
        <f t="shared" si="57"/>
        <v>0</v>
      </c>
      <c r="R479" s="217" t="str">
        <f t="shared" si="58"/>
        <v/>
      </c>
    </row>
    <row r="480" spans="1:18" ht="15.75" hidden="1" thickBot="1" x14ac:dyDescent="0.3">
      <c r="A480" s="268"/>
      <c r="B480" s="35" t="s">
        <v>591</v>
      </c>
      <c r="C480" s="35" t="s">
        <v>583</v>
      </c>
      <c r="D480" s="36">
        <v>31.5459</v>
      </c>
      <c r="E480" s="30">
        <v>27.160499999999999</v>
      </c>
      <c r="F480" s="33">
        <f t="shared" si="60"/>
        <v>856.80241694999995</v>
      </c>
      <c r="G480" s="44"/>
      <c r="H480" s="45"/>
      <c r="I480" s="153">
        <v>0</v>
      </c>
      <c r="K480" s="215">
        <v>31.5459</v>
      </c>
      <c r="L480" s="30">
        <v>27.160499999999999</v>
      </c>
      <c r="M480" s="33">
        <f t="shared" si="54"/>
        <v>856.80241694999995</v>
      </c>
      <c r="N480" s="44"/>
      <c r="O480" s="36" t="str">
        <f t="shared" si="55"/>
        <v/>
      </c>
      <c r="P480" s="216">
        <f t="shared" si="56"/>
        <v>0</v>
      </c>
      <c r="Q480" s="216">
        <f t="shared" si="57"/>
        <v>0</v>
      </c>
      <c r="R480" s="217" t="str">
        <f t="shared" si="58"/>
        <v/>
      </c>
    </row>
    <row r="481" spans="1:18" ht="15.75" hidden="1" thickBot="1" x14ac:dyDescent="0.3">
      <c r="A481" s="268"/>
      <c r="B481" s="35" t="s">
        <v>584</v>
      </c>
      <c r="C481" s="35" t="s">
        <v>583</v>
      </c>
      <c r="D481" s="36">
        <v>31.5459</v>
      </c>
      <c r="E481" s="30">
        <v>20.225499999999997</v>
      </c>
      <c r="F481" s="33">
        <f t="shared" si="60"/>
        <v>638.03160044999993</v>
      </c>
      <c r="G481" s="44"/>
      <c r="H481" s="45"/>
      <c r="I481" s="153">
        <v>0</v>
      </c>
      <c r="K481" s="215">
        <v>31.5459</v>
      </c>
      <c r="L481" s="30">
        <v>20.225499999999997</v>
      </c>
      <c r="M481" s="33">
        <f t="shared" si="54"/>
        <v>638.03160044999993</v>
      </c>
      <c r="N481" s="44"/>
      <c r="O481" s="36" t="str">
        <f t="shared" si="55"/>
        <v/>
      </c>
      <c r="P481" s="216">
        <f t="shared" si="56"/>
        <v>0</v>
      </c>
      <c r="Q481" s="216">
        <f t="shared" si="57"/>
        <v>0</v>
      </c>
      <c r="R481" s="217" t="str">
        <f t="shared" si="58"/>
        <v/>
      </c>
    </row>
    <row r="482" spans="1:18" ht="26.25" hidden="1" thickBot="1" x14ac:dyDescent="0.3">
      <c r="A482" s="268"/>
      <c r="B482" s="35" t="s">
        <v>1011</v>
      </c>
      <c r="C482" s="35" t="s">
        <v>813</v>
      </c>
      <c r="D482" s="36">
        <v>6.6349999999999998</v>
      </c>
      <c r="E482" s="30">
        <v>1.1304999999999998</v>
      </c>
      <c r="F482" s="33">
        <f t="shared" si="60"/>
        <v>7.5008674999999982</v>
      </c>
      <c r="G482" s="44"/>
      <c r="H482" s="45"/>
      <c r="I482" s="153">
        <v>0</v>
      </c>
      <c r="K482" s="215">
        <v>6.6349999999999998</v>
      </c>
      <c r="L482" s="30">
        <v>1.1304999999999998</v>
      </c>
      <c r="M482" s="33">
        <f t="shared" si="54"/>
        <v>7.5008674999999982</v>
      </c>
      <c r="N482" s="44"/>
      <c r="O482" s="36" t="str">
        <f t="shared" si="55"/>
        <v/>
      </c>
      <c r="P482" s="216">
        <f t="shared" si="56"/>
        <v>0</v>
      </c>
      <c r="Q482" s="216">
        <f t="shared" si="57"/>
        <v>0</v>
      </c>
      <c r="R482" s="217" t="str">
        <f t="shared" si="58"/>
        <v/>
      </c>
    </row>
    <row r="483" spans="1:18" ht="26.25" hidden="1" thickBot="1" x14ac:dyDescent="0.3">
      <c r="A483" s="268"/>
      <c r="B483" s="35" t="s">
        <v>1012</v>
      </c>
      <c r="C483" s="35" t="s">
        <v>815</v>
      </c>
      <c r="D483" s="36">
        <v>18.246200000000002</v>
      </c>
      <c r="E483" s="30">
        <v>0.47499999999999998</v>
      </c>
      <c r="F483" s="33">
        <f t="shared" si="60"/>
        <v>8.6669450000000001</v>
      </c>
      <c r="G483" s="44"/>
      <c r="H483" s="45"/>
      <c r="I483" s="153">
        <v>0</v>
      </c>
      <c r="K483" s="215">
        <v>18.246200000000002</v>
      </c>
      <c r="L483" s="30">
        <v>0.47499999999999998</v>
      </c>
      <c r="M483" s="33">
        <f t="shared" si="54"/>
        <v>8.6669450000000001</v>
      </c>
      <c r="N483" s="44"/>
      <c r="O483" s="36" t="str">
        <f t="shared" si="55"/>
        <v/>
      </c>
      <c r="P483" s="216">
        <f t="shared" si="56"/>
        <v>0</v>
      </c>
      <c r="Q483" s="216">
        <f t="shared" si="57"/>
        <v>0</v>
      </c>
      <c r="R483" s="217" t="str">
        <f t="shared" si="58"/>
        <v/>
      </c>
    </row>
    <row r="484" spans="1:18" ht="26.25" hidden="1" thickBot="1" x14ac:dyDescent="0.3">
      <c r="A484" s="268"/>
      <c r="B484" s="35" t="s">
        <v>1013</v>
      </c>
      <c r="C484" s="35" t="s">
        <v>813</v>
      </c>
      <c r="D484" s="36">
        <v>0.48770000000000002</v>
      </c>
      <c r="E484" s="30">
        <v>22.210999999999999</v>
      </c>
      <c r="F484" s="33">
        <f t="shared" si="60"/>
        <v>10.8323047</v>
      </c>
      <c r="G484" s="44"/>
      <c r="H484" s="45"/>
      <c r="I484" s="153">
        <v>0</v>
      </c>
      <c r="K484" s="215">
        <v>0.48770000000000002</v>
      </c>
      <c r="L484" s="30">
        <v>22.210999999999999</v>
      </c>
      <c r="M484" s="33">
        <f t="shared" si="54"/>
        <v>10.8323047</v>
      </c>
      <c r="N484" s="44"/>
      <c r="O484" s="36" t="str">
        <f t="shared" si="55"/>
        <v/>
      </c>
      <c r="P484" s="216">
        <f t="shared" si="56"/>
        <v>0</v>
      </c>
      <c r="Q484" s="216">
        <f t="shared" si="57"/>
        <v>0</v>
      </c>
      <c r="R484" s="217" t="str">
        <f t="shared" si="58"/>
        <v/>
      </c>
    </row>
    <row r="485" spans="1:18" ht="26.25" hidden="1" thickBot="1" x14ac:dyDescent="0.3">
      <c r="A485" s="268"/>
      <c r="B485" s="35" t="s">
        <v>1014</v>
      </c>
      <c r="C485" s="35" t="s">
        <v>815</v>
      </c>
      <c r="D485" s="36">
        <v>0.70430000000000004</v>
      </c>
      <c r="E485" s="30">
        <v>21.2895</v>
      </c>
      <c r="F485" s="33">
        <f t="shared" si="60"/>
        <v>14.994194850000001</v>
      </c>
      <c r="G485" s="44"/>
      <c r="H485" s="45"/>
      <c r="I485" s="153">
        <v>0</v>
      </c>
      <c r="K485" s="215">
        <v>0.70430000000000004</v>
      </c>
      <c r="L485" s="30">
        <v>21.2895</v>
      </c>
      <c r="M485" s="33">
        <f t="shared" si="54"/>
        <v>14.994194850000001</v>
      </c>
      <c r="N485" s="44"/>
      <c r="O485" s="36" t="str">
        <f t="shared" si="55"/>
        <v/>
      </c>
      <c r="P485" s="216">
        <f t="shared" si="56"/>
        <v>0</v>
      </c>
      <c r="Q485" s="216">
        <f t="shared" si="57"/>
        <v>0</v>
      </c>
      <c r="R485" s="217" t="str">
        <f t="shared" si="58"/>
        <v/>
      </c>
    </row>
    <row r="486" spans="1:18" ht="39" hidden="1" thickBot="1" x14ac:dyDescent="0.3">
      <c r="A486" s="268"/>
      <c r="B486" s="35" t="s">
        <v>1015</v>
      </c>
      <c r="C486" s="35" t="s">
        <v>773</v>
      </c>
      <c r="D486" s="36">
        <v>27.898800000000001</v>
      </c>
      <c r="E486" s="30">
        <v>16.633246</v>
      </c>
      <c r="F486" s="33">
        <f t="shared" si="60"/>
        <v>464.04760350480001</v>
      </c>
      <c r="G486" s="44"/>
      <c r="H486" s="45"/>
      <c r="I486" s="153">
        <v>0</v>
      </c>
      <c r="K486" s="215">
        <v>27.898800000000001</v>
      </c>
      <c r="L486" s="30">
        <v>16.633246</v>
      </c>
      <c r="M486" s="33">
        <f t="shared" si="54"/>
        <v>464.04760350480001</v>
      </c>
      <c r="N486" s="44"/>
      <c r="O486" s="36" t="str">
        <f t="shared" si="55"/>
        <v/>
      </c>
      <c r="P486" s="216">
        <f t="shared" si="56"/>
        <v>0</v>
      </c>
      <c r="Q486" s="216">
        <f t="shared" si="57"/>
        <v>0</v>
      </c>
      <c r="R486" s="217" t="str">
        <f t="shared" si="58"/>
        <v/>
      </c>
    </row>
    <row r="487" spans="1:18" ht="26.25" hidden="1" thickBot="1" x14ac:dyDescent="0.3">
      <c r="A487" s="268"/>
      <c r="B487" s="35" t="s">
        <v>2885</v>
      </c>
      <c r="C487" s="46" t="s">
        <v>87</v>
      </c>
      <c r="D487" s="36">
        <v>1.2</v>
      </c>
      <c r="E487" s="30">
        <v>632.26599507858487</v>
      </c>
      <c r="F487" s="33">
        <f t="shared" si="60"/>
        <v>758.71919409430177</v>
      </c>
      <c r="G487" s="44"/>
      <c r="H487" s="45"/>
      <c r="I487" s="153">
        <v>0</v>
      </c>
      <c r="K487" s="215">
        <v>1.2</v>
      </c>
      <c r="L487" s="30">
        <v>632.26599507858487</v>
      </c>
      <c r="M487" s="33">
        <f t="shared" si="54"/>
        <v>758.71919409430177</v>
      </c>
      <c r="N487" s="44"/>
      <c r="O487" s="36" t="str">
        <f t="shared" si="55"/>
        <v/>
      </c>
      <c r="P487" s="216">
        <f t="shared" si="56"/>
        <v>0</v>
      </c>
      <c r="Q487" s="216">
        <f t="shared" si="57"/>
        <v>0</v>
      </c>
      <c r="R487" s="217" t="str">
        <f t="shared" si="58"/>
        <v/>
      </c>
    </row>
    <row r="488" spans="1:18" ht="15.75" hidden="1" thickBot="1" x14ac:dyDescent="0.3">
      <c r="A488" s="268"/>
      <c r="B488" s="50"/>
      <c r="C488" s="133"/>
      <c r="D488" s="36"/>
      <c r="E488" s="30" t="s">
        <v>416</v>
      </c>
      <c r="F488" s="33" t="str">
        <f t="shared" ref="F488:F495" si="61">IF(ISNUMBER(E488),ROUND(E488*$D488,2),"")</f>
        <v/>
      </c>
      <c r="G488" s="44"/>
      <c r="H488" s="45"/>
      <c r="I488" s="153">
        <v>0</v>
      </c>
      <c r="K488" s="215"/>
      <c r="L488" s="30" t="s">
        <v>416</v>
      </c>
      <c r="M488" s="33" t="str">
        <f t="shared" si="54"/>
        <v/>
      </c>
      <c r="N488" s="44"/>
      <c r="O488" s="36" t="str">
        <f t="shared" si="55"/>
        <v/>
      </c>
      <c r="P488" s="216" t="str">
        <f t="shared" si="56"/>
        <v/>
      </c>
      <c r="Q488" s="216" t="str">
        <f t="shared" si="57"/>
        <v/>
      </c>
      <c r="R488" s="217" t="str">
        <f t="shared" si="58"/>
        <v/>
      </c>
    </row>
    <row r="489" spans="1:18" ht="24.95" hidden="1" customHeight="1" x14ac:dyDescent="0.3">
      <c r="A489" s="268"/>
      <c r="B489" s="47" t="s">
        <v>631</v>
      </c>
      <c r="C489" s="133"/>
      <c r="D489" s="36"/>
      <c r="E489" s="30" t="s">
        <v>416</v>
      </c>
      <c r="F489" s="33" t="str">
        <f t="shared" si="61"/>
        <v/>
      </c>
      <c r="G489" s="44"/>
      <c r="H489" s="45"/>
      <c r="I489" s="153">
        <v>0</v>
      </c>
      <c r="K489" s="215"/>
      <c r="L489" s="30" t="s">
        <v>416</v>
      </c>
      <c r="M489" s="33" t="str">
        <f t="shared" si="54"/>
        <v/>
      </c>
      <c r="N489" s="44"/>
      <c r="O489" s="36" t="str">
        <f t="shared" si="55"/>
        <v/>
      </c>
      <c r="P489" s="216" t="str">
        <f t="shared" si="56"/>
        <v/>
      </c>
      <c r="Q489" s="216" t="str">
        <f t="shared" si="57"/>
        <v/>
      </c>
      <c r="R489" s="217" t="str">
        <f t="shared" si="58"/>
        <v/>
      </c>
    </row>
    <row r="490" spans="1:18" ht="15.75" hidden="1" thickBot="1" x14ac:dyDescent="0.3">
      <c r="A490" s="270"/>
      <c r="B490" s="103"/>
      <c r="C490" s="79"/>
      <c r="D490" s="95"/>
      <c r="E490" s="66" t="s">
        <v>416</v>
      </c>
      <c r="F490" s="66" t="str">
        <f t="shared" si="61"/>
        <v/>
      </c>
      <c r="G490" s="68"/>
      <c r="H490" s="30"/>
      <c r="I490" s="153">
        <v>0</v>
      </c>
      <c r="K490" s="229"/>
      <c r="L490" s="66" t="s">
        <v>416</v>
      </c>
      <c r="M490" s="66" t="str">
        <f t="shared" si="54"/>
        <v/>
      </c>
      <c r="N490" s="68"/>
      <c r="O490" s="36" t="str">
        <f t="shared" si="55"/>
        <v/>
      </c>
      <c r="P490" s="216" t="str">
        <f t="shared" si="56"/>
        <v/>
      </c>
      <c r="Q490" s="216" t="str">
        <f t="shared" si="57"/>
        <v/>
      </c>
      <c r="R490" s="217" t="str">
        <f t="shared" si="58"/>
        <v/>
      </c>
    </row>
    <row r="491" spans="1:18" ht="26.25" hidden="1" customHeight="1" thickBot="1" x14ac:dyDescent="0.3">
      <c r="A491" s="269" t="s">
        <v>3223</v>
      </c>
      <c r="B491" s="40" t="s">
        <v>416</v>
      </c>
      <c r="C491" s="77" t="s">
        <v>87</v>
      </c>
      <c r="D491" s="93"/>
      <c r="E491" s="41" t="s">
        <v>416</v>
      </c>
      <c r="F491" s="41" t="str">
        <f t="shared" si="61"/>
        <v/>
      </c>
      <c r="G491" s="28"/>
      <c r="H491" s="29"/>
      <c r="I491" s="153">
        <v>0</v>
      </c>
      <c r="K491" s="226"/>
      <c r="L491" s="41" t="s">
        <v>416</v>
      </c>
      <c r="M491" s="41" t="str">
        <f t="shared" si="54"/>
        <v/>
      </c>
      <c r="N491" s="28"/>
      <c r="O491" s="36" t="str">
        <f t="shared" si="55"/>
        <v/>
      </c>
      <c r="P491" s="216" t="str">
        <f t="shared" si="56"/>
        <v/>
      </c>
      <c r="Q491" s="216" t="str">
        <f t="shared" si="57"/>
        <v/>
      </c>
      <c r="R491" s="217" t="str">
        <f t="shared" si="58"/>
        <v/>
      </c>
    </row>
    <row r="492" spans="1:18" ht="15.75" hidden="1" thickBot="1" x14ac:dyDescent="0.3">
      <c r="A492" s="268"/>
      <c r="B492" s="31" t="s">
        <v>416</v>
      </c>
      <c r="C492" s="78"/>
      <c r="D492" s="91"/>
      <c r="E492" s="97" t="s">
        <v>416</v>
      </c>
      <c r="F492" s="98" t="str">
        <f t="shared" si="61"/>
        <v/>
      </c>
      <c r="G492" s="34"/>
      <c r="H492" s="30"/>
      <c r="I492" s="153">
        <v>0</v>
      </c>
      <c r="K492" s="227"/>
      <c r="L492" s="97" t="s">
        <v>416</v>
      </c>
      <c r="M492" s="98" t="str">
        <f t="shared" si="54"/>
        <v/>
      </c>
      <c r="N492" s="34"/>
      <c r="O492" s="36" t="str">
        <f t="shared" si="55"/>
        <v/>
      </c>
      <c r="P492" s="216" t="str">
        <f t="shared" si="56"/>
        <v/>
      </c>
      <c r="Q492" s="216" t="str">
        <f t="shared" si="57"/>
        <v/>
      </c>
      <c r="R492" s="217" t="str">
        <f t="shared" si="58"/>
        <v/>
      </c>
    </row>
    <row r="493" spans="1:18" ht="26.25" hidden="1" thickBot="1" x14ac:dyDescent="0.3">
      <c r="A493" s="268"/>
      <c r="B493" s="35" t="s">
        <v>633</v>
      </c>
      <c r="C493" s="35" t="s">
        <v>87</v>
      </c>
      <c r="D493" s="36">
        <v>1.1000000000000001</v>
      </c>
      <c r="E493" s="33">
        <v>203.71799999999999</v>
      </c>
      <c r="F493" s="33">
        <f t="shared" si="61"/>
        <v>224.09</v>
      </c>
      <c r="G493" s="44">
        <f>SUM(F493:F501)</f>
        <v>438.24729540499993</v>
      </c>
      <c r="H493" s="45"/>
      <c r="I493" s="153">
        <v>0</v>
      </c>
      <c r="K493" s="215">
        <v>1.1000000000000001</v>
      </c>
      <c r="L493" s="33">
        <v>203.71799999999999</v>
      </c>
      <c r="M493" s="33">
        <f t="shared" si="54"/>
        <v>224.0898</v>
      </c>
      <c r="N493" s="44">
        <f>SUM(M493:M501)</f>
        <v>438.24747815499984</v>
      </c>
      <c r="O493" s="36" t="str">
        <f t="shared" si="55"/>
        <v/>
      </c>
      <c r="P493" s="216">
        <f t="shared" si="56"/>
        <v>0</v>
      </c>
      <c r="Q493" s="216">
        <f t="shared" si="57"/>
        <v>8.9249854973161291E-7</v>
      </c>
      <c r="R493" s="217">
        <f t="shared" si="58"/>
        <v>-4.1700200270611276E-7</v>
      </c>
    </row>
    <row r="494" spans="1:18" ht="15.75" hidden="1" thickBot="1" x14ac:dyDescent="0.3">
      <c r="A494" s="268"/>
      <c r="B494" s="35" t="s">
        <v>591</v>
      </c>
      <c r="C494" s="35" t="s">
        <v>583</v>
      </c>
      <c r="D494" s="36">
        <v>2.4937999999999998</v>
      </c>
      <c r="E494" s="30">
        <v>27.160499999999999</v>
      </c>
      <c r="F494" s="33">
        <f t="shared" si="61"/>
        <v>67.73</v>
      </c>
      <c r="G494" s="44"/>
      <c r="H494" s="45"/>
      <c r="I494" s="153">
        <v>0</v>
      </c>
      <c r="K494" s="215">
        <v>2.4937999999999998</v>
      </c>
      <c r="L494" s="30">
        <v>27.160499999999999</v>
      </c>
      <c r="M494" s="33">
        <f t="shared" si="54"/>
        <v>67.732854899999992</v>
      </c>
      <c r="N494" s="44"/>
      <c r="O494" s="36" t="str">
        <f t="shared" si="55"/>
        <v/>
      </c>
      <c r="P494" s="216">
        <f t="shared" si="56"/>
        <v>0</v>
      </c>
      <c r="Q494" s="216">
        <f t="shared" si="57"/>
        <v>-4.2151188542671747E-5</v>
      </c>
      <c r="R494" s="217" t="str">
        <f t="shared" si="58"/>
        <v/>
      </c>
    </row>
    <row r="495" spans="1:18" ht="15.75" hidden="1" thickBot="1" x14ac:dyDescent="0.3">
      <c r="A495" s="268"/>
      <c r="B495" s="35" t="s">
        <v>584</v>
      </c>
      <c r="C495" s="35" t="s">
        <v>583</v>
      </c>
      <c r="D495" s="36">
        <v>3.7406999999999999</v>
      </c>
      <c r="E495" s="30">
        <v>20.225499999999997</v>
      </c>
      <c r="F495" s="33">
        <f t="shared" si="61"/>
        <v>75.66</v>
      </c>
      <c r="G495" s="44"/>
      <c r="H495" s="45"/>
      <c r="I495" s="153">
        <v>0</v>
      </c>
      <c r="K495" s="215">
        <v>3.7406999999999999</v>
      </c>
      <c r="L495" s="30">
        <v>20.225499999999997</v>
      </c>
      <c r="M495" s="33">
        <f t="shared" si="54"/>
        <v>75.65752784999998</v>
      </c>
      <c r="N495" s="44"/>
      <c r="O495" s="36" t="str">
        <f t="shared" si="55"/>
        <v/>
      </c>
      <c r="P495" s="216">
        <f t="shared" si="56"/>
        <v>0</v>
      </c>
      <c r="Q495" s="216">
        <f t="shared" si="57"/>
        <v>3.2674464710780171E-5</v>
      </c>
      <c r="R495" s="217" t="str">
        <f t="shared" si="58"/>
        <v/>
      </c>
    </row>
    <row r="496" spans="1:18" ht="39" hidden="1" thickBot="1" x14ac:dyDescent="0.3">
      <c r="A496" s="268"/>
      <c r="B496" s="35" t="s">
        <v>812</v>
      </c>
      <c r="C496" s="35" t="s">
        <v>813</v>
      </c>
      <c r="D496" s="36">
        <v>7.1800000000000003E-2</v>
      </c>
      <c r="E496" s="30">
        <v>27.512</v>
      </c>
      <c r="F496" s="33">
        <f>IF(ISNUMBER(E496),E496*$D496,"")</f>
        <v>1.9753616000000001</v>
      </c>
      <c r="G496" s="44"/>
      <c r="H496" s="45"/>
      <c r="I496" s="153">
        <v>0</v>
      </c>
      <c r="K496" s="215">
        <v>7.1800000000000003E-2</v>
      </c>
      <c r="L496" s="30">
        <v>27.512</v>
      </c>
      <c r="M496" s="33">
        <f t="shared" si="54"/>
        <v>1.9753616000000001</v>
      </c>
      <c r="N496" s="44"/>
      <c r="O496" s="36" t="str">
        <f t="shared" si="55"/>
        <v/>
      </c>
      <c r="P496" s="216">
        <f t="shared" si="56"/>
        <v>0</v>
      </c>
      <c r="Q496" s="216">
        <f t="shared" si="57"/>
        <v>0</v>
      </c>
      <c r="R496" s="217" t="str">
        <f t="shared" si="58"/>
        <v/>
      </c>
    </row>
    <row r="497" spans="1:18" ht="39" hidden="1" thickBot="1" x14ac:dyDescent="0.3">
      <c r="A497" s="268"/>
      <c r="B497" s="35" t="s">
        <v>814</v>
      </c>
      <c r="C497" s="35" t="s">
        <v>815</v>
      </c>
      <c r="D497" s="36">
        <v>6.6600000000000006E-2</v>
      </c>
      <c r="E497" s="30">
        <v>22.001999999999999</v>
      </c>
      <c r="F497" s="33">
        <f>IF(ISNUMBER(E497),E497*$D497,"")</f>
        <v>1.4653332000000001</v>
      </c>
      <c r="G497" s="44"/>
      <c r="H497" s="45"/>
      <c r="I497" s="153">
        <v>0</v>
      </c>
      <c r="K497" s="215">
        <v>6.6600000000000006E-2</v>
      </c>
      <c r="L497" s="30">
        <v>22.001999999999999</v>
      </c>
      <c r="M497" s="33">
        <f t="shared" si="54"/>
        <v>1.4653332000000001</v>
      </c>
      <c r="N497" s="44"/>
      <c r="O497" s="36" t="str">
        <f t="shared" si="55"/>
        <v/>
      </c>
      <c r="P497" s="216">
        <f t="shared" si="56"/>
        <v>0</v>
      </c>
      <c r="Q497" s="216">
        <f t="shared" si="57"/>
        <v>0</v>
      </c>
      <c r="R497" s="217" t="str">
        <f t="shared" si="58"/>
        <v/>
      </c>
    </row>
    <row r="498" spans="1:18" ht="51.75" hidden="1" thickBot="1" x14ac:dyDescent="0.3">
      <c r="A498" s="268"/>
      <c r="B498" s="35" t="s">
        <v>3071</v>
      </c>
      <c r="C498" s="35" t="s">
        <v>87</v>
      </c>
      <c r="D498" s="36">
        <f>ROUND(1*(D493),4)</f>
        <v>1.1000000000000001</v>
      </c>
      <c r="E498" s="30">
        <v>8.0531015499999992</v>
      </c>
      <c r="F498" s="33">
        <f>IF(ISNUMBER(E498),E498*$D498,"")</f>
        <v>8.858411705</v>
      </c>
      <c r="G498" s="44"/>
      <c r="H498" s="45"/>
      <c r="I498" s="153">
        <v>0</v>
      </c>
      <c r="K498" s="215">
        <v>1.1000000000000001</v>
      </c>
      <c r="L498" s="30">
        <v>8.0531015499999992</v>
      </c>
      <c r="M498" s="33">
        <f t="shared" si="54"/>
        <v>8.858411705</v>
      </c>
      <c r="N498" s="44"/>
      <c r="O498" s="36" t="str">
        <f t="shared" si="55"/>
        <v/>
      </c>
      <c r="P498" s="216">
        <f t="shared" si="56"/>
        <v>0</v>
      </c>
      <c r="Q498" s="216">
        <f t="shared" si="57"/>
        <v>0</v>
      </c>
      <c r="R498" s="217" t="str">
        <f t="shared" si="58"/>
        <v/>
      </c>
    </row>
    <row r="499" spans="1:18" ht="39" hidden="1" thickBot="1" x14ac:dyDescent="0.3">
      <c r="A499" s="268"/>
      <c r="B499" s="35" t="s">
        <v>3068</v>
      </c>
      <c r="C499" s="46" t="s">
        <v>89</v>
      </c>
      <c r="D499" s="36">
        <f>ROUND(D493*20,4)</f>
        <v>22</v>
      </c>
      <c r="E499" s="30">
        <v>2.6576449499999995</v>
      </c>
      <c r="F499" s="33">
        <f>IF(ISNUMBER(E499),E499*$D499,"")</f>
        <v>58.468188899999987</v>
      </c>
      <c r="G499" s="44"/>
      <c r="H499" s="45"/>
      <c r="I499" s="153">
        <v>0</v>
      </c>
      <c r="K499" s="215">
        <v>22</v>
      </c>
      <c r="L499" s="30">
        <v>2.6576449499999995</v>
      </c>
      <c r="M499" s="33">
        <f t="shared" si="54"/>
        <v>58.468188899999987</v>
      </c>
      <c r="N499" s="44"/>
      <c r="O499" s="36" t="str">
        <f t="shared" si="55"/>
        <v/>
      </c>
      <c r="P499" s="216">
        <f t="shared" si="56"/>
        <v>0</v>
      </c>
      <c r="Q499" s="216">
        <f t="shared" si="57"/>
        <v>0</v>
      </c>
      <c r="R499" s="217" t="str">
        <f t="shared" si="58"/>
        <v/>
      </c>
    </row>
    <row r="500" spans="1:18" ht="15.75" hidden="1" thickBot="1" x14ac:dyDescent="0.3">
      <c r="A500" s="268"/>
      <c r="B500" s="50"/>
      <c r="C500" s="133"/>
      <c r="D500" s="36"/>
      <c r="E500" s="30" t="s">
        <v>416</v>
      </c>
      <c r="F500" s="33" t="str">
        <f t="shared" ref="F500:F508" si="62">IF(ISNUMBER(E500),ROUND(E500*$D500,2),"")</f>
        <v/>
      </c>
      <c r="G500" s="44"/>
      <c r="H500" s="45"/>
      <c r="I500" s="153">
        <v>0</v>
      </c>
      <c r="K500" s="215"/>
      <c r="L500" s="30" t="s">
        <v>416</v>
      </c>
      <c r="M500" s="33" t="str">
        <f t="shared" si="54"/>
        <v/>
      </c>
      <c r="N500" s="44"/>
      <c r="O500" s="36" t="str">
        <f t="shared" si="55"/>
        <v/>
      </c>
      <c r="P500" s="216" t="str">
        <f t="shared" si="56"/>
        <v/>
      </c>
      <c r="Q500" s="216" t="str">
        <f t="shared" si="57"/>
        <v/>
      </c>
      <c r="R500" s="217" t="str">
        <f t="shared" si="58"/>
        <v/>
      </c>
    </row>
    <row r="501" spans="1:18" ht="24.95" hidden="1" customHeight="1" x14ac:dyDescent="0.3">
      <c r="A501" s="268"/>
      <c r="B501" s="47" t="s">
        <v>631</v>
      </c>
      <c r="C501" s="133"/>
      <c r="D501" s="36"/>
      <c r="E501" s="30" t="s">
        <v>416</v>
      </c>
      <c r="F501" s="33" t="str">
        <f t="shared" si="62"/>
        <v/>
      </c>
      <c r="G501" s="44"/>
      <c r="H501" s="45"/>
      <c r="I501" s="153">
        <v>0</v>
      </c>
      <c r="K501" s="215"/>
      <c r="L501" s="30" t="s">
        <v>416</v>
      </c>
      <c r="M501" s="33" t="str">
        <f t="shared" si="54"/>
        <v/>
      </c>
      <c r="N501" s="44"/>
      <c r="O501" s="36" t="str">
        <f t="shared" si="55"/>
        <v/>
      </c>
      <c r="P501" s="216" t="str">
        <f t="shared" si="56"/>
        <v/>
      </c>
      <c r="Q501" s="216" t="str">
        <f t="shared" si="57"/>
        <v/>
      </c>
      <c r="R501" s="217" t="str">
        <f t="shared" si="58"/>
        <v/>
      </c>
    </row>
    <row r="502" spans="1:18" ht="15.75" hidden="1" thickBot="1" x14ac:dyDescent="0.3">
      <c r="A502" s="270"/>
      <c r="B502" s="103"/>
      <c r="C502" s="79"/>
      <c r="D502" s="95"/>
      <c r="E502" s="66" t="s">
        <v>416</v>
      </c>
      <c r="F502" s="66" t="str">
        <f t="shared" si="62"/>
        <v/>
      </c>
      <c r="G502" s="68"/>
      <c r="H502" s="30"/>
      <c r="I502" s="153">
        <v>0</v>
      </c>
      <c r="K502" s="229"/>
      <c r="L502" s="66" t="s">
        <v>416</v>
      </c>
      <c r="M502" s="66" t="str">
        <f t="shared" si="54"/>
        <v/>
      </c>
      <c r="N502" s="68"/>
      <c r="O502" s="36" t="str">
        <f t="shared" si="55"/>
        <v/>
      </c>
      <c r="P502" s="216" t="str">
        <f t="shared" si="56"/>
        <v/>
      </c>
      <c r="Q502" s="216" t="str">
        <f t="shared" si="57"/>
        <v/>
      </c>
      <c r="R502" s="217" t="str">
        <f t="shared" si="58"/>
        <v/>
      </c>
    </row>
    <row r="503" spans="1:18" ht="26.25" hidden="1" customHeight="1" thickBot="1" x14ac:dyDescent="0.3">
      <c r="A503" s="269" t="s">
        <v>5740</v>
      </c>
      <c r="B503" s="40" t="s">
        <v>416</v>
      </c>
      <c r="C503" s="77" t="s">
        <v>87</v>
      </c>
      <c r="D503" s="93"/>
      <c r="E503" s="41" t="s">
        <v>416</v>
      </c>
      <c r="F503" s="41" t="str">
        <f t="shared" si="62"/>
        <v/>
      </c>
      <c r="G503" s="28"/>
      <c r="H503" s="29"/>
      <c r="I503" s="153">
        <v>0</v>
      </c>
      <c r="K503" s="226"/>
      <c r="L503" s="41" t="s">
        <v>416</v>
      </c>
      <c r="M503" s="41" t="str">
        <f t="shared" si="54"/>
        <v/>
      </c>
      <c r="N503" s="28"/>
      <c r="O503" s="36" t="str">
        <f t="shared" si="55"/>
        <v/>
      </c>
      <c r="P503" s="216" t="str">
        <f t="shared" si="56"/>
        <v/>
      </c>
      <c r="Q503" s="216" t="str">
        <f t="shared" si="57"/>
        <v/>
      </c>
      <c r="R503" s="217" t="str">
        <f t="shared" si="58"/>
        <v/>
      </c>
    </row>
    <row r="504" spans="1:18" ht="15.75" hidden="1" thickBot="1" x14ac:dyDescent="0.3">
      <c r="A504" s="268"/>
      <c r="B504" s="31" t="s">
        <v>416</v>
      </c>
      <c r="C504" s="78"/>
      <c r="D504" s="91"/>
      <c r="E504" s="97" t="s">
        <v>416</v>
      </c>
      <c r="F504" s="98" t="str">
        <f t="shared" si="62"/>
        <v/>
      </c>
      <c r="G504" s="34"/>
      <c r="H504" s="30"/>
      <c r="I504" s="153">
        <v>0</v>
      </c>
      <c r="K504" s="227"/>
      <c r="L504" s="97" t="s">
        <v>416</v>
      </c>
      <c r="M504" s="98" t="str">
        <f t="shared" si="54"/>
        <v/>
      </c>
      <c r="N504" s="34"/>
      <c r="O504" s="36" t="str">
        <f t="shared" si="55"/>
        <v/>
      </c>
      <c r="P504" s="216" t="str">
        <f t="shared" si="56"/>
        <v/>
      </c>
      <c r="Q504" s="216" t="str">
        <f t="shared" si="57"/>
        <v/>
      </c>
      <c r="R504" s="217" t="str">
        <f t="shared" si="58"/>
        <v/>
      </c>
    </row>
    <row r="505" spans="1:18" ht="26.25" hidden="1" thickBot="1" x14ac:dyDescent="0.3">
      <c r="A505" s="268"/>
      <c r="B505" s="35" t="s">
        <v>7985</v>
      </c>
      <c r="C505" s="35" t="s">
        <v>87</v>
      </c>
      <c r="D505" s="36">
        <v>0.85299999999999998</v>
      </c>
      <c r="E505" s="33">
        <v>202.33099999999999</v>
      </c>
      <c r="F505" s="33">
        <f t="shared" si="62"/>
        <v>172.59</v>
      </c>
      <c r="G505" s="44">
        <f>SUM(F505:F512)</f>
        <v>631.10482139755504</v>
      </c>
      <c r="H505" s="45"/>
      <c r="I505" s="153">
        <v>0</v>
      </c>
      <c r="K505" s="215">
        <v>0.85299999999999998</v>
      </c>
      <c r="L505" s="33">
        <v>202.33099999999999</v>
      </c>
      <c r="M505" s="33">
        <f t="shared" si="54"/>
        <v>172.58834299999998</v>
      </c>
      <c r="N505" s="44">
        <f>SUM(M505:M512)</f>
        <v>631.10580859755498</v>
      </c>
      <c r="O505" s="36" t="str">
        <f t="shared" si="55"/>
        <v/>
      </c>
      <c r="P505" s="216">
        <f t="shared" si="56"/>
        <v>0</v>
      </c>
      <c r="Q505" s="216">
        <f t="shared" si="57"/>
        <v>9.6007879948345476E-6</v>
      </c>
      <c r="R505" s="217">
        <f t="shared" si="58"/>
        <v>-1.5642409414429181E-6</v>
      </c>
    </row>
    <row r="506" spans="1:18" ht="15.75" hidden="1" thickBot="1" x14ac:dyDescent="0.3">
      <c r="A506" s="268"/>
      <c r="B506" s="35" t="s">
        <v>8065</v>
      </c>
      <c r="C506" s="35" t="s">
        <v>773</v>
      </c>
      <c r="D506" s="36">
        <v>218.93</v>
      </c>
      <c r="E506" s="33">
        <v>0.627</v>
      </c>
      <c r="F506" s="33">
        <f t="shared" si="62"/>
        <v>137.27000000000001</v>
      </c>
      <c r="G506" s="44"/>
      <c r="H506" s="45"/>
      <c r="I506" s="153">
        <v>0</v>
      </c>
      <c r="K506" s="215">
        <v>218.93</v>
      </c>
      <c r="L506" s="33">
        <v>0.627</v>
      </c>
      <c r="M506" s="33">
        <f t="shared" si="54"/>
        <v>137.26911000000001</v>
      </c>
      <c r="N506" s="44"/>
      <c r="O506" s="36" t="str">
        <f t="shared" si="55"/>
        <v/>
      </c>
      <c r="P506" s="216">
        <f t="shared" si="56"/>
        <v>0</v>
      </c>
      <c r="Q506" s="216">
        <f t="shared" si="57"/>
        <v>6.4835725213097106E-6</v>
      </c>
      <c r="R506" s="217" t="str">
        <f t="shared" si="58"/>
        <v/>
      </c>
    </row>
    <row r="507" spans="1:18" ht="26.25" hidden="1" thickBot="1" x14ac:dyDescent="0.3">
      <c r="A507" s="268"/>
      <c r="B507" s="35" t="s">
        <v>8311</v>
      </c>
      <c r="C507" s="35" t="s">
        <v>87</v>
      </c>
      <c r="D507" s="36">
        <v>0.59709999999999996</v>
      </c>
      <c r="E507" s="30">
        <v>176.453</v>
      </c>
      <c r="F507" s="33">
        <f t="shared" si="62"/>
        <v>105.36</v>
      </c>
      <c r="G507" s="44"/>
      <c r="H507" s="45"/>
      <c r="I507" s="153">
        <v>0</v>
      </c>
      <c r="K507" s="215">
        <v>0.59709999999999996</v>
      </c>
      <c r="L507" s="30">
        <v>176.453</v>
      </c>
      <c r="M507" s="33">
        <f t="shared" si="54"/>
        <v>105.36008629999999</v>
      </c>
      <c r="N507" s="44"/>
      <c r="O507" s="36" t="str">
        <f t="shared" si="55"/>
        <v/>
      </c>
      <c r="P507" s="216">
        <f t="shared" si="56"/>
        <v>0</v>
      </c>
      <c r="Q507" s="216">
        <f t="shared" si="57"/>
        <v>-8.1909643112609842E-7</v>
      </c>
      <c r="R507" s="217" t="str">
        <f t="shared" si="58"/>
        <v/>
      </c>
    </row>
    <row r="508" spans="1:18" ht="15.75" hidden="1" thickBot="1" x14ac:dyDescent="0.3">
      <c r="A508" s="268"/>
      <c r="B508" s="35" t="s">
        <v>584</v>
      </c>
      <c r="C508" s="35" t="s">
        <v>583</v>
      </c>
      <c r="D508" s="36">
        <v>6.2858000000000001</v>
      </c>
      <c r="E508" s="30">
        <v>20.225499999999997</v>
      </c>
      <c r="F508" s="33">
        <f t="shared" si="62"/>
        <v>127.13</v>
      </c>
      <c r="G508" s="44"/>
      <c r="H508" s="45"/>
      <c r="I508" s="153">
        <v>0</v>
      </c>
      <c r="K508" s="215">
        <v>6.2858000000000001</v>
      </c>
      <c r="L508" s="30">
        <v>20.225499999999997</v>
      </c>
      <c r="M508" s="33">
        <f t="shared" si="54"/>
        <v>127.13344789999998</v>
      </c>
      <c r="N508" s="44"/>
      <c r="O508" s="36" t="str">
        <f t="shared" si="55"/>
        <v/>
      </c>
      <c r="P508" s="216">
        <f t="shared" si="56"/>
        <v>0</v>
      </c>
      <c r="Q508" s="216">
        <f t="shared" si="57"/>
        <v>-2.7121057185386377E-5</v>
      </c>
      <c r="R508" s="217" t="str">
        <f t="shared" si="58"/>
        <v/>
      </c>
    </row>
    <row r="509" spans="1:18" ht="51.75" hidden="1" thickBot="1" x14ac:dyDescent="0.3">
      <c r="A509" s="268"/>
      <c r="B509" s="35" t="s">
        <v>3071</v>
      </c>
      <c r="C509" s="35" t="s">
        <v>87</v>
      </c>
      <c r="D509" s="36">
        <f>ROUND(1*(D505+D507),4)</f>
        <v>1.4500999999999999</v>
      </c>
      <c r="E509" s="30">
        <v>8.0531015499999992</v>
      </c>
      <c r="F509" s="33">
        <f>IF(ISNUMBER(E509),E509*$D509,"")</f>
        <v>11.677802557654998</v>
      </c>
      <c r="G509" s="44"/>
      <c r="H509" s="45"/>
      <c r="I509" s="153">
        <v>0</v>
      </c>
      <c r="K509" s="215">
        <v>1.4500999999999999</v>
      </c>
      <c r="L509" s="30">
        <v>8.0531015499999992</v>
      </c>
      <c r="M509" s="33">
        <f t="shared" si="54"/>
        <v>11.677802557654998</v>
      </c>
      <c r="N509" s="44"/>
      <c r="O509" s="36" t="str">
        <f t="shared" si="55"/>
        <v/>
      </c>
      <c r="P509" s="216">
        <f t="shared" si="56"/>
        <v>0</v>
      </c>
      <c r="Q509" s="216">
        <f t="shared" si="57"/>
        <v>0</v>
      </c>
      <c r="R509" s="217" t="str">
        <f t="shared" si="58"/>
        <v/>
      </c>
    </row>
    <row r="510" spans="1:18" ht="39" hidden="1" thickBot="1" x14ac:dyDescent="0.3">
      <c r="A510" s="268"/>
      <c r="B510" s="35" t="s">
        <v>3068</v>
      </c>
      <c r="C510" s="46" t="s">
        <v>89</v>
      </c>
      <c r="D510" s="36">
        <f>ROUND((D505+D507)*20,4)</f>
        <v>29.001999999999999</v>
      </c>
      <c r="E510" s="30">
        <v>2.6576449499999995</v>
      </c>
      <c r="F510" s="33">
        <f>IF(ISNUMBER(E510),E510*$D510,"")</f>
        <v>77.077018839899978</v>
      </c>
      <c r="G510" s="44"/>
      <c r="H510" s="45"/>
      <c r="I510" s="153">
        <v>0</v>
      </c>
      <c r="K510" s="215">
        <v>29.001999999999999</v>
      </c>
      <c r="L510" s="30">
        <v>2.6576449499999995</v>
      </c>
      <c r="M510" s="33">
        <f t="shared" si="54"/>
        <v>77.077018839899978</v>
      </c>
      <c r="N510" s="44"/>
      <c r="O510" s="36" t="str">
        <f t="shared" si="55"/>
        <v/>
      </c>
      <c r="P510" s="216">
        <f t="shared" si="56"/>
        <v>0</v>
      </c>
      <c r="Q510" s="216">
        <f t="shared" si="57"/>
        <v>0</v>
      </c>
      <c r="R510" s="217" t="str">
        <f t="shared" si="58"/>
        <v/>
      </c>
    </row>
    <row r="511" spans="1:18" ht="15.75" hidden="1" thickBot="1" x14ac:dyDescent="0.3">
      <c r="A511" s="268"/>
      <c r="B511" s="50"/>
      <c r="C511" s="133"/>
      <c r="D511" s="36"/>
      <c r="E511" s="30" t="s">
        <v>416</v>
      </c>
      <c r="F511" s="33" t="str">
        <f t="shared" ref="F511:F543" si="63">IF(ISNUMBER(E511),ROUND(E511*$D511,2),"")</f>
        <v/>
      </c>
      <c r="G511" s="44"/>
      <c r="H511" s="45"/>
      <c r="I511" s="153">
        <v>0</v>
      </c>
      <c r="K511" s="215"/>
      <c r="L511" s="30" t="s">
        <v>416</v>
      </c>
      <c r="M511" s="33" t="str">
        <f t="shared" si="54"/>
        <v/>
      </c>
      <c r="N511" s="44"/>
      <c r="O511" s="36" t="str">
        <f t="shared" si="55"/>
        <v/>
      </c>
      <c r="P511" s="216" t="str">
        <f t="shared" si="56"/>
        <v/>
      </c>
      <c r="Q511" s="216" t="str">
        <f t="shared" si="57"/>
        <v/>
      </c>
      <c r="R511" s="217" t="str">
        <f t="shared" si="58"/>
        <v/>
      </c>
    </row>
    <row r="512" spans="1:18" ht="24.95" hidden="1" customHeight="1" x14ac:dyDescent="0.3">
      <c r="A512" s="268"/>
      <c r="B512" s="47" t="s">
        <v>90</v>
      </c>
      <c r="C512" s="133"/>
      <c r="D512" s="36"/>
      <c r="E512" s="30" t="s">
        <v>416</v>
      </c>
      <c r="F512" s="33" t="str">
        <f t="shared" si="63"/>
        <v/>
      </c>
      <c r="G512" s="44"/>
      <c r="H512" s="45"/>
      <c r="I512" s="153">
        <v>0</v>
      </c>
      <c r="K512" s="215"/>
      <c r="L512" s="30" t="s">
        <v>416</v>
      </c>
      <c r="M512" s="33" t="str">
        <f t="shared" si="54"/>
        <v/>
      </c>
      <c r="N512" s="44"/>
      <c r="O512" s="36" t="str">
        <f t="shared" si="55"/>
        <v/>
      </c>
      <c r="P512" s="216" t="str">
        <f t="shared" si="56"/>
        <v/>
      </c>
      <c r="Q512" s="216" t="str">
        <f t="shared" si="57"/>
        <v/>
      </c>
      <c r="R512" s="217" t="str">
        <f t="shared" si="58"/>
        <v/>
      </c>
    </row>
    <row r="513" spans="1:18" ht="15.75" hidden="1" thickBot="1" x14ac:dyDescent="0.3">
      <c r="A513" s="270"/>
      <c r="B513" s="103"/>
      <c r="C513" s="79"/>
      <c r="D513" s="95"/>
      <c r="E513" s="66" t="s">
        <v>416</v>
      </c>
      <c r="F513" s="66" t="str">
        <f t="shared" si="63"/>
        <v/>
      </c>
      <c r="G513" s="68"/>
      <c r="H513" s="30"/>
      <c r="I513" s="153">
        <v>0</v>
      </c>
      <c r="K513" s="229"/>
      <c r="L513" s="66" t="s">
        <v>416</v>
      </c>
      <c r="M513" s="66" t="str">
        <f t="shared" si="54"/>
        <v/>
      </c>
      <c r="N513" s="68"/>
      <c r="O513" s="36" t="str">
        <f t="shared" si="55"/>
        <v/>
      </c>
      <c r="P513" s="216" t="str">
        <f t="shared" si="56"/>
        <v/>
      </c>
      <c r="Q513" s="216" t="str">
        <f t="shared" si="57"/>
        <v/>
      </c>
      <c r="R513" s="217" t="str">
        <f t="shared" si="58"/>
        <v/>
      </c>
    </row>
    <row r="514" spans="1:18" ht="26.25" hidden="1" customHeight="1" thickBot="1" x14ac:dyDescent="0.3">
      <c r="A514" s="269" t="s">
        <v>2900</v>
      </c>
      <c r="B514" s="40" t="s">
        <v>416</v>
      </c>
      <c r="C514" s="77" t="s">
        <v>213</v>
      </c>
      <c r="D514" s="93"/>
      <c r="E514" s="41" t="s">
        <v>416</v>
      </c>
      <c r="F514" s="41" t="str">
        <f t="shared" si="63"/>
        <v/>
      </c>
      <c r="G514" s="28"/>
      <c r="H514" s="29"/>
      <c r="I514" s="153">
        <v>0</v>
      </c>
      <c r="K514" s="226"/>
      <c r="L514" s="41" t="s">
        <v>416</v>
      </c>
      <c r="M514" s="41" t="str">
        <f t="shared" si="54"/>
        <v/>
      </c>
      <c r="N514" s="28"/>
      <c r="O514" s="36" t="str">
        <f t="shared" si="55"/>
        <v/>
      </c>
      <c r="P514" s="216" t="str">
        <f t="shared" si="56"/>
        <v/>
      </c>
      <c r="Q514" s="216" t="str">
        <f t="shared" si="57"/>
        <v/>
      </c>
      <c r="R514" s="217" t="str">
        <f t="shared" si="58"/>
        <v/>
      </c>
    </row>
    <row r="515" spans="1:18" ht="15.75" hidden="1" thickBot="1" x14ac:dyDescent="0.3">
      <c r="A515" s="268"/>
      <c r="B515" s="31" t="s">
        <v>416</v>
      </c>
      <c r="C515" s="78"/>
      <c r="D515" s="91"/>
      <c r="E515" s="97" t="s">
        <v>416</v>
      </c>
      <c r="F515" s="98" t="str">
        <f t="shared" si="63"/>
        <v/>
      </c>
      <c r="G515" s="34"/>
      <c r="H515" s="30"/>
      <c r="I515" s="153">
        <v>0</v>
      </c>
      <c r="K515" s="227"/>
      <c r="L515" s="97" t="s">
        <v>416</v>
      </c>
      <c r="M515" s="98" t="str">
        <f t="shared" si="54"/>
        <v/>
      </c>
      <c r="N515" s="34"/>
      <c r="O515" s="36" t="str">
        <f t="shared" si="55"/>
        <v/>
      </c>
      <c r="P515" s="216" t="str">
        <f t="shared" si="56"/>
        <v/>
      </c>
      <c r="Q515" s="216" t="str">
        <f t="shared" si="57"/>
        <v/>
      </c>
      <c r="R515" s="217" t="str">
        <f t="shared" si="58"/>
        <v/>
      </c>
    </row>
    <row r="516" spans="1:18" ht="15.75" hidden="1" thickBot="1" x14ac:dyDescent="0.3">
      <c r="A516" s="268"/>
      <c r="B516" s="35" t="s">
        <v>1219</v>
      </c>
      <c r="C516" s="35" t="s">
        <v>773</v>
      </c>
      <c r="D516" s="36">
        <v>3.3999999999999998E-3</v>
      </c>
      <c r="E516" s="33">
        <v>21.602999999999998</v>
      </c>
      <c r="F516" s="33">
        <f t="shared" si="63"/>
        <v>7.0000000000000007E-2</v>
      </c>
      <c r="G516" s="44">
        <f>SUM(F516:F518)</f>
        <v>2.4900000000000002</v>
      </c>
      <c r="H516" s="45"/>
      <c r="I516" s="153">
        <v>0</v>
      </c>
      <c r="K516" s="215">
        <v>3.3999999999999998E-3</v>
      </c>
      <c r="L516" s="33">
        <v>21.602999999999998</v>
      </c>
      <c r="M516" s="33">
        <f t="shared" si="54"/>
        <v>7.3450199999999993E-2</v>
      </c>
      <c r="N516" s="44">
        <f>SUM(M516:M518)</f>
        <v>2.4912030499999998</v>
      </c>
      <c r="O516" s="36" t="str">
        <f t="shared" si="55"/>
        <v/>
      </c>
      <c r="P516" s="216">
        <f t="shared" si="56"/>
        <v>0</v>
      </c>
      <c r="Q516" s="216">
        <f t="shared" si="57"/>
        <v>-4.9288571428571126E-2</v>
      </c>
      <c r="R516" s="217">
        <f t="shared" si="58"/>
        <v>-4.8315261044162838E-4</v>
      </c>
    </row>
    <row r="517" spans="1:18" ht="15.75" hidden="1" thickBot="1" x14ac:dyDescent="0.3">
      <c r="A517" s="268"/>
      <c r="B517" s="35" t="s">
        <v>660</v>
      </c>
      <c r="C517" s="35" t="s">
        <v>583</v>
      </c>
      <c r="D517" s="36">
        <v>3.2300000000000002E-2</v>
      </c>
      <c r="E517" s="33">
        <v>21.337</v>
      </c>
      <c r="F517" s="33">
        <f t="shared" si="63"/>
        <v>0.69</v>
      </c>
      <c r="G517" s="44"/>
      <c r="H517" s="45"/>
      <c r="I517" s="153">
        <v>0</v>
      </c>
      <c r="K517" s="215">
        <v>3.2300000000000002E-2</v>
      </c>
      <c r="L517" s="33">
        <v>21.337</v>
      </c>
      <c r="M517" s="33">
        <f t="shared" si="54"/>
        <v>0.68918509999999999</v>
      </c>
      <c r="N517" s="44"/>
      <c r="O517" s="36" t="str">
        <f t="shared" si="55"/>
        <v/>
      </c>
      <c r="P517" s="216">
        <f t="shared" si="56"/>
        <v>0</v>
      </c>
      <c r="Q517" s="216">
        <f t="shared" si="57"/>
        <v>1.1810144927535404E-3</v>
      </c>
      <c r="R517" s="217" t="str">
        <f t="shared" si="58"/>
        <v/>
      </c>
    </row>
    <row r="518" spans="1:18" ht="15.75" hidden="1" thickBot="1" x14ac:dyDescent="0.3">
      <c r="A518" s="268"/>
      <c r="B518" s="35" t="s">
        <v>862</v>
      </c>
      <c r="C518" s="35" t="s">
        <v>583</v>
      </c>
      <c r="D518" s="36">
        <v>6.4500000000000002E-2</v>
      </c>
      <c r="E518" s="30">
        <v>26.799499999999998</v>
      </c>
      <c r="F518" s="33">
        <f t="shared" si="63"/>
        <v>1.73</v>
      </c>
      <c r="G518" s="44"/>
      <c r="H518" s="45"/>
      <c r="I518" s="153">
        <v>0</v>
      </c>
      <c r="K518" s="215">
        <v>6.4500000000000002E-2</v>
      </c>
      <c r="L518" s="30">
        <v>26.799499999999998</v>
      </c>
      <c r="M518" s="33">
        <f t="shared" si="54"/>
        <v>1.7285677499999998</v>
      </c>
      <c r="N518" s="44"/>
      <c r="O518" s="36" t="str">
        <f t="shared" si="55"/>
        <v/>
      </c>
      <c r="P518" s="216">
        <f t="shared" si="56"/>
        <v>0</v>
      </c>
      <c r="Q518" s="216">
        <f t="shared" si="57"/>
        <v>8.2789017341045046E-4</v>
      </c>
      <c r="R518" s="217" t="str">
        <f t="shared" si="58"/>
        <v/>
      </c>
    </row>
    <row r="519" spans="1:18" ht="15.75" hidden="1" thickBot="1" x14ac:dyDescent="0.3">
      <c r="A519" s="270"/>
      <c r="B519" s="103"/>
      <c r="C519" s="79"/>
      <c r="D519" s="95"/>
      <c r="E519" s="66" t="s">
        <v>416</v>
      </c>
      <c r="F519" s="66" t="str">
        <f t="shared" si="63"/>
        <v/>
      </c>
      <c r="G519" s="68"/>
      <c r="H519" s="30"/>
      <c r="I519" s="153">
        <v>0</v>
      </c>
      <c r="K519" s="229"/>
      <c r="L519" s="66" t="s">
        <v>416</v>
      </c>
      <c r="M519" s="66" t="str">
        <f t="shared" si="54"/>
        <v/>
      </c>
      <c r="N519" s="68"/>
      <c r="O519" s="36" t="str">
        <f t="shared" si="55"/>
        <v/>
      </c>
      <c r="P519" s="216" t="str">
        <f t="shared" si="56"/>
        <v/>
      </c>
      <c r="Q519" s="216" t="str">
        <f t="shared" si="57"/>
        <v/>
      </c>
      <c r="R519" s="217" t="str">
        <f t="shared" si="58"/>
        <v/>
      </c>
    </row>
    <row r="520" spans="1:18" ht="26.25" hidden="1" customHeight="1" thickBot="1" x14ac:dyDescent="0.3">
      <c r="A520" s="269" t="s">
        <v>5777</v>
      </c>
      <c r="B520" s="40" t="s">
        <v>416</v>
      </c>
      <c r="C520" s="77" t="s">
        <v>87</v>
      </c>
      <c r="D520" s="93"/>
      <c r="E520" s="41" t="s">
        <v>416</v>
      </c>
      <c r="F520" s="41" t="str">
        <f t="shared" si="63"/>
        <v/>
      </c>
      <c r="G520" s="28"/>
      <c r="H520" s="29"/>
      <c r="I520" s="153">
        <v>0</v>
      </c>
      <c r="K520" s="226"/>
      <c r="L520" s="41" t="s">
        <v>416</v>
      </c>
      <c r="M520" s="41" t="str">
        <f t="shared" ref="M520:M583" si="64">IF(ISNUMBER(L520),K520*L520,"")</f>
        <v/>
      </c>
      <c r="N520" s="28"/>
      <c r="O520" s="36" t="str">
        <f t="shared" ref="O520:O583" si="65">IF(ISBLANK(K520),"",IF($D520&lt;&gt;K520,"SIM",""))</f>
        <v/>
      </c>
      <c r="P520" s="216" t="str">
        <f t="shared" ref="P520:P583" si="66">IF(L520="","",1-L520/$E520)</f>
        <v/>
      </c>
      <c r="Q520" s="216" t="str">
        <f t="shared" ref="Q520:Q583" si="67">IF(M520="","",1-M520/$F520)</f>
        <v/>
      </c>
      <c r="R520" s="217" t="str">
        <f t="shared" ref="R520:R583" si="68">IF(G520="","",1-N520/$G520)</f>
        <v/>
      </c>
    </row>
    <row r="521" spans="1:18" ht="15.75" hidden="1" thickBot="1" x14ac:dyDescent="0.3">
      <c r="A521" s="268"/>
      <c r="B521" s="31" t="s">
        <v>416</v>
      </c>
      <c r="C521" s="78"/>
      <c r="D521" s="91"/>
      <c r="E521" s="97" t="s">
        <v>416</v>
      </c>
      <c r="F521" s="98" t="str">
        <f t="shared" si="63"/>
        <v/>
      </c>
      <c r="G521" s="34"/>
      <c r="H521" s="30"/>
      <c r="I521" s="153">
        <v>0</v>
      </c>
      <c r="K521" s="227"/>
      <c r="L521" s="97" t="s">
        <v>416</v>
      </c>
      <c r="M521" s="98" t="str">
        <f t="shared" si="64"/>
        <v/>
      </c>
      <c r="N521" s="34"/>
      <c r="O521" s="36" t="str">
        <f t="shared" si="65"/>
        <v/>
      </c>
      <c r="P521" s="216" t="str">
        <f t="shared" si="66"/>
        <v/>
      </c>
      <c r="Q521" s="216" t="str">
        <f t="shared" si="67"/>
        <v/>
      </c>
      <c r="R521" s="217" t="str">
        <f t="shared" si="68"/>
        <v/>
      </c>
    </row>
    <row r="522" spans="1:18" ht="15.75" hidden="1" thickBot="1" x14ac:dyDescent="0.3">
      <c r="A522" s="268"/>
      <c r="B522" s="35" t="s">
        <v>591</v>
      </c>
      <c r="C522" s="35" t="s">
        <v>583</v>
      </c>
      <c r="D522" s="36">
        <v>8.2972999999999999</v>
      </c>
      <c r="E522" s="33">
        <v>27.160499999999999</v>
      </c>
      <c r="F522" s="33">
        <f t="shared" si="63"/>
        <v>225.36</v>
      </c>
      <c r="G522" s="44">
        <f>SUM(F522:F524)</f>
        <v>1169.25</v>
      </c>
      <c r="H522" s="45"/>
      <c r="I522" s="153">
        <v>0</v>
      </c>
      <c r="K522" s="215">
        <v>8.2972999999999999</v>
      </c>
      <c r="L522" s="33">
        <v>27.160499999999999</v>
      </c>
      <c r="M522" s="33">
        <f t="shared" si="64"/>
        <v>225.35881664999999</v>
      </c>
      <c r="N522" s="44">
        <f>SUM(M522:M524)</f>
        <v>1169.2422948459043</v>
      </c>
      <c r="O522" s="36" t="str">
        <f t="shared" si="65"/>
        <v/>
      </c>
      <c r="P522" s="216">
        <f t="shared" si="66"/>
        <v>0</v>
      </c>
      <c r="Q522" s="216">
        <f t="shared" si="67"/>
        <v>5.2509318424487361E-6</v>
      </c>
      <c r="R522" s="217">
        <f t="shared" si="68"/>
        <v>6.5898260386276775E-6</v>
      </c>
    </row>
    <row r="523" spans="1:18" ht="15.75" hidden="1" thickBot="1" x14ac:dyDescent="0.3">
      <c r="A523" s="268"/>
      <c r="B523" s="35" t="s">
        <v>584</v>
      </c>
      <c r="C523" s="35" t="s">
        <v>583</v>
      </c>
      <c r="D523" s="36">
        <v>5.5315000000000003</v>
      </c>
      <c r="E523" s="33">
        <v>20.225499999999997</v>
      </c>
      <c r="F523" s="33">
        <f t="shared" si="63"/>
        <v>111.88</v>
      </c>
      <c r="G523" s="44"/>
      <c r="H523" s="45"/>
      <c r="I523" s="153">
        <v>0</v>
      </c>
      <c r="K523" s="215">
        <v>5.5315000000000003</v>
      </c>
      <c r="L523" s="33">
        <v>20.225499999999997</v>
      </c>
      <c r="M523" s="33">
        <f t="shared" si="64"/>
        <v>111.87735324999998</v>
      </c>
      <c r="N523" s="44"/>
      <c r="O523" s="36" t="str">
        <f t="shared" si="65"/>
        <v/>
      </c>
      <c r="P523" s="216">
        <f t="shared" si="66"/>
        <v>0</v>
      </c>
      <c r="Q523" s="216">
        <f t="shared" si="67"/>
        <v>2.3657043260683075E-5</v>
      </c>
      <c r="R523" s="217" t="str">
        <f t="shared" si="68"/>
        <v/>
      </c>
    </row>
    <row r="524" spans="1:18" ht="39" hidden="1" thickBot="1" x14ac:dyDescent="0.3">
      <c r="A524" s="268"/>
      <c r="B524" s="35" t="s">
        <v>5779</v>
      </c>
      <c r="C524" s="49" t="s">
        <v>87</v>
      </c>
      <c r="D524" s="36">
        <v>1.2030000000000001</v>
      </c>
      <c r="E524" s="30">
        <v>691.60941392012001</v>
      </c>
      <c r="F524" s="33">
        <f t="shared" si="63"/>
        <v>832.01</v>
      </c>
      <c r="G524" s="44"/>
      <c r="H524" s="45"/>
      <c r="I524" s="153">
        <v>0</v>
      </c>
      <c r="K524" s="215">
        <v>1.2030000000000001</v>
      </c>
      <c r="L524" s="30">
        <v>691.60941392012001</v>
      </c>
      <c r="M524" s="33">
        <f t="shared" si="64"/>
        <v>832.00612494590439</v>
      </c>
      <c r="N524" s="44"/>
      <c r="O524" s="36" t="str">
        <f t="shared" si="65"/>
        <v/>
      </c>
      <c r="P524" s="216">
        <f t="shared" si="66"/>
        <v>0</v>
      </c>
      <c r="Q524" s="216">
        <f t="shared" si="67"/>
        <v>4.6574609626759411E-6</v>
      </c>
      <c r="R524" s="217" t="str">
        <f t="shared" si="68"/>
        <v/>
      </c>
    </row>
    <row r="525" spans="1:18" ht="15.75" hidden="1" thickBot="1" x14ac:dyDescent="0.3">
      <c r="A525" s="270"/>
      <c r="B525" s="103"/>
      <c r="C525" s="79"/>
      <c r="D525" s="95"/>
      <c r="E525" s="66" t="s">
        <v>416</v>
      </c>
      <c r="F525" s="66" t="str">
        <f t="shared" si="63"/>
        <v/>
      </c>
      <c r="G525" s="68"/>
      <c r="H525" s="30"/>
      <c r="I525" s="153">
        <v>0</v>
      </c>
      <c r="K525" s="229"/>
      <c r="L525" s="66" t="s">
        <v>416</v>
      </c>
      <c r="M525" s="66" t="str">
        <f t="shared" si="64"/>
        <v/>
      </c>
      <c r="N525" s="68"/>
      <c r="O525" s="36" t="str">
        <f t="shared" si="65"/>
        <v/>
      </c>
      <c r="P525" s="216" t="str">
        <f t="shared" si="66"/>
        <v/>
      </c>
      <c r="Q525" s="216" t="str">
        <f t="shared" si="67"/>
        <v/>
      </c>
      <c r="R525" s="217" t="str">
        <f t="shared" si="68"/>
        <v/>
      </c>
    </row>
    <row r="526" spans="1:18" ht="26.25" hidden="1" customHeight="1" thickBot="1" x14ac:dyDescent="0.3">
      <c r="A526" s="269" t="s">
        <v>5778</v>
      </c>
      <c r="B526" s="40" t="s">
        <v>416</v>
      </c>
      <c r="C526" s="77" t="s">
        <v>87</v>
      </c>
      <c r="D526" s="93"/>
      <c r="E526" s="41" t="s">
        <v>416</v>
      </c>
      <c r="F526" s="41" t="str">
        <f t="shared" si="63"/>
        <v/>
      </c>
      <c r="G526" s="28"/>
      <c r="H526" s="29"/>
      <c r="I526" s="153">
        <v>0</v>
      </c>
      <c r="K526" s="226"/>
      <c r="L526" s="41" t="s">
        <v>416</v>
      </c>
      <c r="M526" s="41" t="str">
        <f t="shared" si="64"/>
        <v/>
      </c>
      <c r="N526" s="28"/>
      <c r="O526" s="36" t="str">
        <f t="shared" si="65"/>
        <v/>
      </c>
      <c r="P526" s="216" t="str">
        <f t="shared" si="66"/>
        <v/>
      </c>
      <c r="Q526" s="216" t="str">
        <f t="shared" si="67"/>
        <v/>
      </c>
      <c r="R526" s="217" t="str">
        <f t="shared" si="68"/>
        <v/>
      </c>
    </row>
    <row r="527" spans="1:18" ht="15.75" hidden="1" thickBot="1" x14ac:dyDescent="0.3">
      <c r="A527" s="268"/>
      <c r="B527" s="31" t="s">
        <v>416</v>
      </c>
      <c r="C527" s="78"/>
      <c r="D527" s="91"/>
      <c r="E527" s="97" t="s">
        <v>416</v>
      </c>
      <c r="F527" s="98" t="str">
        <f t="shared" si="63"/>
        <v/>
      </c>
      <c r="G527" s="34"/>
      <c r="H527" s="30"/>
      <c r="I527" s="153">
        <v>0</v>
      </c>
      <c r="K527" s="227"/>
      <c r="L527" s="97" t="s">
        <v>416</v>
      </c>
      <c r="M527" s="98" t="str">
        <f t="shared" si="64"/>
        <v/>
      </c>
      <c r="N527" s="34"/>
      <c r="O527" s="36" t="str">
        <f t="shared" si="65"/>
        <v/>
      </c>
      <c r="P527" s="216" t="str">
        <f t="shared" si="66"/>
        <v/>
      </c>
      <c r="Q527" s="216" t="str">
        <f t="shared" si="67"/>
        <v/>
      </c>
      <c r="R527" s="217" t="str">
        <f t="shared" si="68"/>
        <v/>
      </c>
    </row>
    <row r="528" spans="1:18" ht="15.75" hidden="1" thickBot="1" x14ac:dyDescent="0.3">
      <c r="A528" s="268"/>
      <c r="B528" s="35" t="s">
        <v>591</v>
      </c>
      <c r="C528" s="35" t="s">
        <v>583</v>
      </c>
      <c r="D528" s="36">
        <v>7.4147999999999996</v>
      </c>
      <c r="E528" s="33">
        <v>27.160499999999999</v>
      </c>
      <c r="F528" s="33">
        <f t="shared" si="63"/>
        <v>201.39</v>
      </c>
      <c r="G528" s="44">
        <f>SUM(F528:F530)</f>
        <v>1133.3800000000001</v>
      </c>
      <c r="H528" s="45"/>
      <c r="I528" s="153">
        <v>0</v>
      </c>
      <c r="K528" s="215">
        <v>7.4147999999999996</v>
      </c>
      <c r="L528" s="33">
        <v>27.160499999999999</v>
      </c>
      <c r="M528" s="33">
        <f t="shared" si="64"/>
        <v>201.38967539999999</v>
      </c>
      <c r="N528" s="44">
        <f>SUM(M528:M530)</f>
        <v>1133.3744919459043</v>
      </c>
      <c r="O528" s="36" t="str">
        <f t="shared" si="65"/>
        <v/>
      </c>
      <c r="P528" s="216">
        <f t="shared" si="66"/>
        <v>0</v>
      </c>
      <c r="Q528" s="216">
        <f t="shared" si="67"/>
        <v>1.6117980038421464E-6</v>
      </c>
      <c r="R528" s="217">
        <f t="shared" si="68"/>
        <v>4.8598476202199592E-6</v>
      </c>
    </row>
    <row r="529" spans="1:18" ht="15.75" hidden="1" thickBot="1" x14ac:dyDescent="0.3">
      <c r="A529" s="268"/>
      <c r="B529" s="35" t="s">
        <v>584</v>
      </c>
      <c r="C529" s="35" t="s">
        <v>583</v>
      </c>
      <c r="D529" s="36">
        <v>4.9432</v>
      </c>
      <c r="E529" s="33">
        <v>20.225499999999997</v>
      </c>
      <c r="F529" s="33">
        <f t="shared" si="63"/>
        <v>99.98</v>
      </c>
      <c r="G529" s="44"/>
      <c r="H529" s="45"/>
      <c r="I529" s="153">
        <v>0</v>
      </c>
      <c r="K529" s="215">
        <v>4.9432</v>
      </c>
      <c r="L529" s="33">
        <v>20.225499999999997</v>
      </c>
      <c r="M529" s="33">
        <f t="shared" si="64"/>
        <v>99.978691599999991</v>
      </c>
      <c r="N529" s="44"/>
      <c r="O529" s="36" t="str">
        <f t="shared" si="65"/>
        <v/>
      </c>
      <c r="P529" s="216">
        <f t="shared" si="66"/>
        <v>0</v>
      </c>
      <c r="Q529" s="216">
        <f t="shared" si="67"/>
        <v>1.3086617323576633E-5</v>
      </c>
      <c r="R529" s="217" t="str">
        <f t="shared" si="68"/>
        <v/>
      </c>
    </row>
    <row r="530" spans="1:18" ht="39" hidden="1" thickBot="1" x14ac:dyDescent="0.3">
      <c r="A530" s="268"/>
      <c r="B530" s="35" t="s">
        <v>5779</v>
      </c>
      <c r="C530" s="49" t="s">
        <v>87</v>
      </c>
      <c r="D530" s="36">
        <v>1.2030000000000001</v>
      </c>
      <c r="E530" s="30">
        <v>691.60941392012001</v>
      </c>
      <c r="F530" s="33">
        <f t="shared" si="63"/>
        <v>832.01</v>
      </c>
      <c r="G530" s="44"/>
      <c r="H530" s="45"/>
      <c r="I530" s="153">
        <v>0</v>
      </c>
      <c r="K530" s="215">
        <v>1.2030000000000001</v>
      </c>
      <c r="L530" s="30">
        <v>691.60941392012001</v>
      </c>
      <c r="M530" s="33">
        <f t="shared" si="64"/>
        <v>832.00612494590439</v>
      </c>
      <c r="N530" s="44"/>
      <c r="O530" s="36" t="str">
        <f t="shared" si="65"/>
        <v/>
      </c>
      <c r="P530" s="216">
        <f t="shared" si="66"/>
        <v>0</v>
      </c>
      <c r="Q530" s="216">
        <f t="shared" si="67"/>
        <v>4.6574609626759411E-6</v>
      </c>
      <c r="R530" s="217" t="str">
        <f t="shared" si="68"/>
        <v/>
      </c>
    </row>
    <row r="531" spans="1:18" ht="15.75" hidden="1" thickBot="1" x14ac:dyDescent="0.3">
      <c r="A531" s="270"/>
      <c r="B531" s="103"/>
      <c r="C531" s="79"/>
      <c r="D531" s="95"/>
      <c r="E531" s="66" t="s">
        <v>416</v>
      </c>
      <c r="F531" s="66" t="str">
        <f t="shared" si="63"/>
        <v/>
      </c>
      <c r="G531" s="68"/>
      <c r="H531" s="30"/>
      <c r="I531" s="153">
        <v>0</v>
      </c>
      <c r="K531" s="229"/>
      <c r="L531" s="66" t="s">
        <v>416</v>
      </c>
      <c r="M531" s="66" t="str">
        <f t="shared" si="64"/>
        <v/>
      </c>
      <c r="N531" s="68"/>
      <c r="O531" s="36" t="str">
        <f t="shared" si="65"/>
        <v/>
      </c>
      <c r="P531" s="216" t="str">
        <f t="shared" si="66"/>
        <v/>
      </c>
      <c r="Q531" s="216" t="str">
        <f t="shared" si="67"/>
        <v/>
      </c>
      <c r="R531" s="217" t="str">
        <f t="shared" si="68"/>
        <v/>
      </c>
    </row>
    <row r="532" spans="1:18" ht="26.25" hidden="1" customHeight="1" thickBot="1" x14ac:dyDescent="0.3">
      <c r="A532" s="269" t="s">
        <v>5774</v>
      </c>
      <c r="B532" s="40" t="s">
        <v>416</v>
      </c>
      <c r="C532" s="77" t="s">
        <v>773</v>
      </c>
      <c r="D532" s="93"/>
      <c r="E532" s="41" t="s">
        <v>416</v>
      </c>
      <c r="F532" s="41" t="str">
        <f t="shared" si="63"/>
        <v/>
      </c>
      <c r="G532" s="28"/>
      <c r="H532" s="29"/>
      <c r="I532" s="153">
        <v>0</v>
      </c>
      <c r="K532" s="226"/>
      <c r="L532" s="41" t="s">
        <v>416</v>
      </c>
      <c r="M532" s="41" t="str">
        <f t="shared" si="64"/>
        <v/>
      </c>
      <c r="N532" s="28"/>
      <c r="O532" s="36" t="str">
        <f t="shared" si="65"/>
        <v/>
      </c>
      <c r="P532" s="216" t="str">
        <f t="shared" si="66"/>
        <v/>
      </c>
      <c r="Q532" s="216" t="str">
        <f t="shared" si="67"/>
        <v/>
      </c>
      <c r="R532" s="217" t="str">
        <f t="shared" si="68"/>
        <v/>
      </c>
    </row>
    <row r="533" spans="1:18" ht="15.75" hidden="1" thickBot="1" x14ac:dyDescent="0.3">
      <c r="A533" s="268"/>
      <c r="B533" s="31" t="s">
        <v>416</v>
      </c>
      <c r="C533" s="78"/>
      <c r="D533" s="91"/>
      <c r="E533" s="97" t="s">
        <v>416</v>
      </c>
      <c r="F533" s="98" t="str">
        <f t="shared" si="63"/>
        <v/>
      </c>
      <c r="G533" s="34"/>
      <c r="H533" s="30"/>
      <c r="I533" s="153">
        <v>0</v>
      </c>
      <c r="K533" s="227"/>
      <c r="L533" s="97" t="s">
        <v>416</v>
      </c>
      <c r="M533" s="98" t="str">
        <f t="shared" si="64"/>
        <v/>
      </c>
      <c r="N533" s="34"/>
      <c r="O533" s="36" t="str">
        <f t="shared" si="65"/>
        <v/>
      </c>
      <c r="P533" s="216" t="str">
        <f t="shared" si="66"/>
        <v/>
      </c>
      <c r="Q533" s="216" t="str">
        <f t="shared" si="67"/>
        <v/>
      </c>
      <c r="R533" s="217" t="str">
        <f t="shared" si="68"/>
        <v/>
      </c>
    </row>
    <row r="534" spans="1:18" ht="15.75" hidden="1" thickBot="1" x14ac:dyDescent="0.3">
      <c r="A534" s="268"/>
      <c r="B534" s="35" t="s">
        <v>7958</v>
      </c>
      <c r="C534" s="35" t="s">
        <v>773</v>
      </c>
      <c r="D534" s="36">
        <v>1</v>
      </c>
      <c r="E534" s="33">
        <v>9.4334999999999987</v>
      </c>
      <c r="F534" s="33">
        <f t="shared" si="63"/>
        <v>9.43</v>
      </c>
      <c r="G534" s="44">
        <f>SUM(F534:F536)</f>
        <v>12.03</v>
      </c>
      <c r="H534" s="45"/>
      <c r="I534" s="153">
        <v>0</v>
      </c>
      <c r="K534" s="215">
        <v>1</v>
      </c>
      <c r="L534" s="33">
        <v>9.4334999999999987</v>
      </c>
      <c r="M534" s="33">
        <f t="shared" si="64"/>
        <v>9.4334999999999987</v>
      </c>
      <c r="N534" s="44">
        <f>SUM(M534:M536)</f>
        <v>12.032453</v>
      </c>
      <c r="O534" s="36" t="str">
        <f t="shared" si="65"/>
        <v/>
      </c>
      <c r="P534" s="216">
        <f t="shared" si="66"/>
        <v>0</v>
      </c>
      <c r="Q534" s="216">
        <f t="shared" si="67"/>
        <v>-3.7115588547176337E-4</v>
      </c>
      <c r="R534" s="217">
        <f t="shared" si="68"/>
        <v>-2.0390689941818252E-4</v>
      </c>
    </row>
    <row r="535" spans="1:18" ht="15.75" hidden="1" thickBot="1" x14ac:dyDescent="0.3">
      <c r="A535" s="268"/>
      <c r="B535" s="35" t="s">
        <v>591</v>
      </c>
      <c r="C535" s="35" t="s">
        <v>583</v>
      </c>
      <c r="D535" s="36">
        <v>6.2700000000000006E-2</v>
      </c>
      <c r="E535" s="33">
        <v>27.160499999999999</v>
      </c>
      <c r="F535" s="33">
        <f t="shared" si="63"/>
        <v>1.7</v>
      </c>
      <c r="G535" s="44"/>
      <c r="H535" s="45"/>
      <c r="I535" s="153">
        <v>0</v>
      </c>
      <c r="K535" s="215">
        <v>6.2700000000000006E-2</v>
      </c>
      <c r="L535" s="33">
        <v>27.160499999999999</v>
      </c>
      <c r="M535" s="33">
        <f t="shared" si="64"/>
        <v>1.7029633500000001</v>
      </c>
      <c r="N535" s="44"/>
      <c r="O535" s="36" t="str">
        <f t="shared" si="65"/>
        <v/>
      </c>
      <c r="P535" s="216">
        <f t="shared" si="66"/>
        <v>0</v>
      </c>
      <c r="Q535" s="216">
        <f t="shared" si="67"/>
        <v>-1.7431470588236131E-3</v>
      </c>
      <c r="R535" s="217" t="str">
        <f t="shared" si="68"/>
        <v/>
      </c>
    </row>
    <row r="536" spans="1:18" ht="15.75" hidden="1" thickBot="1" x14ac:dyDescent="0.3">
      <c r="A536" s="268"/>
      <c r="B536" s="35" t="s">
        <v>584</v>
      </c>
      <c r="C536" s="35" t="s">
        <v>583</v>
      </c>
      <c r="D536" s="36">
        <v>4.4299999999999999E-2</v>
      </c>
      <c r="E536" s="30">
        <v>20.225499999999997</v>
      </c>
      <c r="F536" s="33">
        <f t="shared" si="63"/>
        <v>0.9</v>
      </c>
      <c r="G536" s="44"/>
      <c r="H536" s="45"/>
      <c r="I536" s="153">
        <v>0</v>
      </c>
      <c r="K536" s="215">
        <v>4.4299999999999999E-2</v>
      </c>
      <c r="L536" s="30">
        <v>20.225499999999997</v>
      </c>
      <c r="M536" s="33">
        <f t="shared" si="64"/>
        <v>0.89598964999999986</v>
      </c>
      <c r="N536" s="44"/>
      <c r="O536" s="36" t="str">
        <f t="shared" si="65"/>
        <v/>
      </c>
      <c r="P536" s="216">
        <f t="shared" si="66"/>
        <v>0</v>
      </c>
      <c r="Q536" s="216">
        <f t="shared" si="67"/>
        <v>4.4559444444446372E-3</v>
      </c>
      <c r="R536" s="217" t="str">
        <f t="shared" si="68"/>
        <v/>
      </c>
    </row>
    <row r="537" spans="1:18" ht="15.75" hidden="1" thickBot="1" x14ac:dyDescent="0.3">
      <c r="A537" s="270"/>
      <c r="B537" s="103"/>
      <c r="C537" s="79"/>
      <c r="D537" s="95"/>
      <c r="E537" s="66" t="s">
        <v>416</v>
      </c>
      <c r="F537" s="66" t="str">
        <f t="shared" si="63"/>
        <v/>
      </c>
      <c r="G537" s="68"/>
      <c r="H537" s="30"/>
      <c r="I537" s="153">
        <v>0</v>
      </c>
      <c r="K537" s="229"/>
      <c r="L537" s="66" t="s">
        <v>416</v>
      </c>
      <c r="M537" s="66" t="str">
        <f t="shared" si="64"/>
        <v/>
      </c>
      <c r="N537" s="68"/>
      <c r="O537" s="36" t="str">
        <f t="shared" si="65"/>
        <v/>
      </c>
      <c r="P537" s="216" t="str">
        <f t="shared" si="66"/>
        <v/>
      </c>
      <c r="Q537" s="216" t="str">
        <f t="shared" si="67"/>
        <v/>
      </c>
      <c r="R537" s="217" t="str">
        <f t="shared" si="68"/>
        <v/>
      </c>
    </row>
    <row r="538" spans="1:18" ht="26.25" hidden="1" customHeight="1" thickBot="1" x14ac:dyDescent="0.3">
      <c r="A538" s="269" t="s">
        <v>5775</v>
      </c>
      <c r="B538" s="40" t="s">
        <v>416</v>
      </c>
      <c r="C538" s="77" t="s">
        <v>773</v>
      </c>
      <c r="D538" s="93"/>
      <c r="E538" s="41" t="s">
        <v>416</v>
      </c>
      <c r="F538" s="41" t="str">
        <f t="shared" si="63"/>
        <v/>
      </c>
      <c r="G538" s="28"/>
      <c r="H538" s="29"/>
      <c r="I538" s="153">
        <v>0</v>
      </c>
      <c r="K538" s="226"/>
      <c r="L538" s="41" t="s">
        <v>416</v>
      </c>
      <c r="M538" s="41" t="str">
        <f t="shared" si="64"/>
        <v/>
      </c>
      <c r="N538" s="28"/>
      <c r="O538" s="36" t="str">
        <f t="shared" si="65"/>
        <v/>
      </c>
      <c r="P538" s="216" t="str">
        <f t="shared" si="66"/>
        <v/>
      </c>
      <c r="Q538" s="216" t="str">
        <f t="shared" si="67"/>
        <v/>
      </c>
      <c r="R538" s="217" t="str">
        <f t="shared" si="68"/>
        <v/>
      </c>
    </row>
    <row r="539" spans="1:18" ht="15.75" hidden="1" thickBot="1" x14ac:dyDescent="0.3">
      <c r="A539" s="268"/>
      <c r="B539" s="31" t="s">
        <v>416</v>
      </c>
      <c r="C539" s="78"/>
      <c r="D539" s="91"/>
      <c r="E539" s="97" t="s">
        <v>416</v>
      </c>
      <c r="F539" s="98" t="str">
        <f t="shared" si="63"/>
        <v/>
      </c>
      <c r="G539" s="34"/>
      <c r="H539" s="30"/>
      <c r="I539" s="153">
        <v>0</v>
      </c>
      <c r="K539" s="227"/>
      <c r="L539" s="97" t="s">
        <v>416</v>
      </c>
      <c r="M539" s="98" t="str">
        <f t="shared" si="64"/>
        <v/>
      </c>
      <c r="N539" s="34"/>
      <c r="O539" s="36" t="str">
        <f t="shared" si="65"/>
        <v/>
      </c>
      <c r="P539" s="216" t="str">
        <f t="shared" si="66"/>
        <v/>
      </c>
      <c r="Q539" s="216" t="str">
        <f t="shared" si="67"/>
        <v/>
      </c>
      <c r="R539" s="217" t="str">
        <f t="shared" si="68"/>
        <v/>
      </c>
    </row>
    <row r="540" spans="1:18" ht="15.75" hidden="1" thickBot="1" x14ac:dyDescent="0.3">
      <c r="A540" s="268"/>
      <c r="B540" s="35" t="s">
        <v>7958</v>
      </c>
      <c r="C540" s="35" t="s">
        <v>773</v>
      </c>
      <c r="D540" s="36">
        <v>1</v>
      </c>
      <c r="E540" s="33">
        <v>9.4334999999999987</v>
      </c>
      <c r="F540" s="33">
        <f t="shared" si="63"/>
        <v>9.43</v>
      </c>
      <c r="G540" s="44">
        <f>SUM(F540:F542)</f>
        <v>11.469999999999999</v>
      </c>
      <c r="H540" s="45"/>
      <c r="I540" s="153">
        <v>0</v>
      </c>
      <c r="K540" s="215">
        <v>1</v>
      </c>
      <c r="L540" s="33">
        <v>9.4334999999999987</v>
      </c>
      <c r="M540" s="33">
        <f t="shared" si="64"/>
        <v>9.4334999999999987</v>
      </c>
      <c r="N540" s="44">
        <f>SUM(M540:M542)</f>
        <v>11.473643999999998</v>
      </c>
      <c r="O540" s="36" t="str">
        <f t="shared" si="65"/>
        <v/>
      </c>
      <c r="P540" s="216">
        <f t="shared" si="66"/>
        <v>0</v>
      </c>
      <c r="Q540" s="216">
        <f t="shared" si="67"/>
        <v>-3.7115588547176337E-4</v>
      </c>
      <c r="R540" s="217">
        <f t="shared" si="68"/>
        <v>-3.1769834350470205E-4</v>
      </c>
    </row>
    <row r="541" spans="1:18" ht="15.75" hidden="1" thickBot="1" x14ac:dyDescent="0.3">
      <c r="A541" s="268"/>
      <c r="B541" s="35" t="s">
        <v>591</v>
      </c>
      <c r="C541" s="35" t="s">
        <v>583</v>
      </c>
      <c r="D541" s="36">
        <v>4.9200000000000001E-2</v>
      </c>
      <c r="E541" s="33">
        <v>27.160499999999999</v>
      </c>
      <c r="F541" s="33">
        <f t="shared" si="63"/>
        <v>1.34</v>
      </c>
      <c r="G541" s="44"/>
      <c r="H541" s="45"/>
      <c r="I541" s="153">
        <v>0</v>
      </c>
      <c r="K541" s="215">
        <v>4.9200000000000001E-2</v>
      </c>
      <c r="L541" s="33">
        <v>27.160499999999999</v>
      </c>
      <c r="M541" s="33">
        <f t="shared" si="64"/>
        <v>1.3362966000000001</v>
      </c>
      <c r="N541" s="44"/>
      <c r="O541" s="36" t="str">
        <f t="shared" si="65"/>
        <v/>
      </c>
      <c r="P541" s="216">
        <f t="shared" si="66"/>
        <v>0</v>
      </c>
      <c r="Q541" s="216">
        <f t="shared" si="67"/>
        <v>2.7637313432835597E-3</v>
      </c>
      <c r="R541" s="217" t="str">
        <f t="shared" si="68"/>
        <v/>
      </c>
    </row>
    <row r="542" spans="1:18" ht="15.75" hidden="1" thickBot="1" x14ac:dyDescent="0.3">
      <c r="A542" s="268"/>
      <c r="B542" s="35" t="s">
        <v>584</v>
      </c>
      <c r="C542" s="35" t="s">
        <v>583</v>
      </c>
      <c r="D542" s="36">
        <v>3.4799999999999998E-2</v>
      </c>
      <c r="E542" s="30">
        <v>20.225499999999997</v>
      </c>
      <c r="F542" s="33">
        <f t="shared" si="63"/>
        <v>0.7</v>
      </c>
      <c r="G542" s="44"/>
      <c r="H542" s="45"/>
      <c r="I542" s="153">
        <v>0</v>
      </c>
      <c r="K542" s="215">
        <v>3.4799999999999998E-2</v>
      </c>
      <c r="L542" s="30">
        <v>20.225499999999997</v>
      </c>
      <c r="M542" s="33">
        <f t="shared" si="64"/>
        <v>0.70384739999999979</v>
      </c>
      <c r="N542" s="44"/>
      <c r="O542" s="36" t="str">
        <f t="shared" si="65"/>
        <v/>
      </c>
      <c r="P542" s="216">
        <f t="shared" si="66"/>
        <v>0</v>
      </c>
      <c r="Q542" s="216">
        <f t="shared" si="67"/>
        <v>-5.4962857142855093E-3</v>
      </c>
      <c r="R542" s="217" t="str">
        <f t="shared" si="68"/>
        <v/>
      </c>
    </row>
    <row r="543" spans="1:18" ht="15.75" hidden="1" thickBot="1" x14ac:dyDescent="0.3">
      <c r="A543" s="270"/>
      <c r="B543" s="103"/>
      <c r="C543" s="79"/>
      <c r="D543" s="95"/>
      <c r="E543" s="66" t="s">
        <v>416</v>
      </c>
      <c r="F543" s="66" t="str">
        <f t="shared" si="63"/>
        <v/>
      </c>
      <c r="G543" s="68"/>
      <c r="H543" s="30"/>
      <c r="I543" s="153">
        <v>0</v>
      </c>
      <c r="K543" s="229"/>
      <c r="L543" s="66" t="s">
        <v>416</v>
      </c>
      <c r="M543" s="66" t="str">
        <f t="shared" si="64"/>
        <v/>
      </c>
      <c r="N543" s="68"/>
      <c r="O543" s="36" t="str">
        <f t="shared" si="65"/>
        <v/>
      </c>
      <c r="P543" s="216" t="str">
        <f t="shared" si="66"/>
        <v/>
      </c>
      <c r="Q543" s="216" t="str">
        <f t="shared" si="67"/>
        <v/>
      </c>
      <c r="R543" s="217" t="str">
        <f t="shared" si="68"/>
        <v/>
      </c>
    </row>
    <row r="544" spans="1:18" ht="15.75" hidden="1" thickBot="1" x14ac:dyDescent="0.3">
      <c r="A544" s="269" t="s">
        <v>3222</v>
      </c>
      <c r="B544" s="40" t="s">
        <v>416</v>
      </c>
      <c r="C544" s="25" t="s">
        <v>861</v>
      </c>
      <c r="D544" s="93"/>
      <c r="E544" s="27" t="s">
        <v>416</v>
      </c>
      <c r="F544" s="27" t="str">
        <f t="shared" ref="F544:F550" si="69">IF(ISNUMBER(E544),E544*$D544,"")</f>
        <v/>
      </c>
      <c r="G544" s="28"/>
      <c r="H544" s="29"/>
      <c r="I544" s="153">
        <v>0</v>
      </c>
      <c r="K544" s="226"/>
      <c r="L544" s="27" t="s">
        <v>416</v>
      </c>
      <c r="M544" s="27" t="str">
        <f t="shared" si="64"/>
        <v/>
      </c>
      <c r="N544" s="28"/>
      <c r="O544" s="36" t="str">
        <f t="shared" si="65"/>
        <v/>
      </c>
      <c r="P544" s="216" t="str">
        <f t="shared" si="66"/>
        <v/>
      </c>
      <c r="Q544" s="216" t="str">
        <f t="shared" si="67"/>
        <v/>
      </c>
      <c r="R544" s="217" t="str">
        <f t="shared" si="68"/>
        <v/>
      </c>
    </row>
    <row r="545" spans="1:18" ht="15.75" hidden="1" thickBot="1" x14ac:dyDescent="0.3">
      <c r="A545" s="268"/>
      <c r="B545" s="31" t="s">
        <v>416</v>
      </c>
      <c r="C545" s="31"/>
      <c r="D545" s="91"/>
      <c r="E545" s="30" t="s">
        <v>416</v>
      </c>
      <c r="F545" s="30" t="str">
        <f t="shared" si="69"/>
        <v/>
      </c>
      <c r="G545" s="34"/>
      <c r="H545" s="30"/>
      <c r="I545" s="153">
        <v>0</v>
      </c>
      <c r="K545" s="227"/>
      <c r="L545" s="30" t="s">
        <v>416</v>
      </c>
      <c r="M545" s="30" t="str">
        <f t="shared" si="64"/>
        <v/>
      </c>
      <c r="N545" s="34"/>
      <c r="O545" s="36" t="str">
        <f t="shared" si="65"/>
        <v/>
      </c>
      <c r="P545" s="216" t="str">
        <f t="shared" si="66"/>
        <v/>
      </c>
      <c r="Q545" s="216" t="str">
        <f t="shared" si="67"/>
        <v/>
      </c>
      <c r="R545" s="217" t="str">
        <f t="shared" si="68"/>
        <v/>
      </c>
    </row>
    <row r="546" spans="1:18" ht="15.75" hidden="1" thickBot="1" x14ac:dyDescent="0.3">
      <c r="A546" s="268"/>
      <c r="B546" s="35" t="s">
        <v>591</v>
      </c>
      <c r="C546" s="35" t="s">
        <v>583</v>
      </c>
      <c r="D546" s="36">
        <v>5.0700000000000002E-2</v>
      </c>
      <c r="E546" s="30">
        <v>27.160499999999999</v>
      </c>
      <c r="F546" s="33">
        <f t="shared" si="69"/>
        <v>1.3770373499999999</v>
      </c>
      <c r="G546" s="44">
        <f>SUM(F546:F549)</f>
        <v>2.9933977500000002</v>
      </c>
      <c r="H546" s="45"/>
      <c r="I546" s="153">
        <v>0</v>
      </c>
      <c r="K546" s="215">
        <v>5.0700000000000002E-2</v>
      </c>
      <c r="L546" s="30">
        <v>27.160499999999999</v>
      </c>
      <c r="M546" s="33">
        <f t="shared" si="64"/>
        <v>1.3770373499999999</v>
      </c>
      <c r="N546" s="44">
        <f>SUM(M546:M549)</f>
        <v>2.9933977500000002</v>
      </c>
      <c r="O546" s="36" t="str">
        <f t="shared" si="65"/>
        <v/>
      </c>
      <c r="P546" s="216">
        <f t="shared" si="66"/>
        <v>0</v>
      </c>
      <c r="Q546" s="216">
        <f t="shared" si="67"/>
        <v>0</v>
      </c>
      <c r="R546" s="217">
        <f t="shared" si="68"/>
        <v>0</v>
      </c>
    </row>
    <row r="547" spans="1:18" ht="15.75" hidden="1" thickBot="1" x14ac:dyDescent="0.3">
      <c r="A547" s="268"/>
      <c r="B547" s="35" t="s">
        <v>584</v>
      </c>
      <c r="C547" s="35" t="s">
        <v>583</v>
      </c>
      <c r="D547" s="36">
        <v>7.5999999999999998E-2</v>
      </c>
      <c r="E547" s="33">
        <v>20.225499999999997</v>
      </c>
      <c r="F547" s="33">
        <f t="shared" si="69"/>
        <v>1.5371379999999997</v>
      </c>
      <c r="G547" s="44"/>
      <c r="H547" s="45"/>
      <c r="I547" s="153">
        <v>0</v>
      </c>
      <c r="K547" s="215">
        <v>7.5999999999999998E-2</v>
      </c>
      <c r="L547" s="33">
        <v>20.225499999999997</v>
      </c>
      <c r="M547" s="33">
        <f t="shared" si="64"/>
        <v>1.5371379999999997</v>
      </c>
      <c r="N547" s="44"/>
      <c r="O547" s="36" t="str">
        <f t="shared" si="65"/>
        <v/>
      </c>
      <c r="P547" s="216">
        <f t="shared" si="66"/>
        <v>0</v>
      </c>
      <c r="Q547" s="216">
        <f t="shared" si="67"/>
        <v>0</v>
      </c>
      <c r="R547" s="217" t="str">
        <f t="shared" si="68"/>
        <v/>
      </c>
    </row>
    <row r="548" spans="1:18" ht="39" hidden="1" thickBot="1" x14ac:dyDescent="0.3">
      <c r="A548" s="268"/>
      <c r="B548" s="35" t="s">
        <v>812</v>
      </c>
      <c r="C548" s="35" t="s">
        <v>813</v>
      </c>
      <c r="D548" s="36">
        <v>1.6000000000000001E-3</v>
      </c>
      <c r="E548" s="30">
        <v>27.512</v>
      </c>
      <c r="F548" s="33">
        <f t="shared" si="69"/>
        <v>4.4019200000000001E-2</v>
      </c>
      <c r="G548" s="44"/>
      <c r="H548" s="45"/>
      <c r="I548" s="153">
        <v>0</v>
      </c>
      <c r="K548" s="215">
        <v>1.6000000000000001E-3</v>
      </c>
      <c r="L548" s="30">
        <v>27.512</v>
      </c>
      <c r="M548" s="33">
        <f t="shared" si="64"/>
        <v>4.4019200000000001E-2</v>
      </c>
      <c r="N548" s="44"/>
      <c r="O548" s="36" t="str">
        <f t="shared" si="65"/>
        <v/>
      </c>
      <c r="P548" s="216">
        <f t="shared" si="66"/>
        <v>0</v>
      </c>
      <c r="Q548" s="216">
        <f t="shared" si="67"/>
        <v>0</v>
      </c>
      <c r="R548" s="217" t="str">
        <f t="shared" si="68"/>
        <v/>
      </c>
    </row>
    <row r="549" spans="1:18" ht="39" hidden="1" thickBot="1" x14ac:dyDescent="0.3">
      <c r="A549" s="268"/>
      <c r="B549" s="35" t="s">
        <v>814</v>
      </c>
      <c r="C549" s="35" t="s">
        <v>815</v>
      </c>
      <c r="D549" s="36">
        <v>1.6000000000000001E-3</v>
      </c>
      <c r="E549" s="30">
        <v>22.001999999999999</v>
      </c>
      <c r="F549" s="33">
        <f t="shared" si="69"/>
        <v>3.5203199999999997E-2</v>
      </c>
      <c r="G549" s="44"/>
      <c r="H549" s="45"/>
      <c r="I549" s="153">
        <v>0</v>
      </c>
      <c r="K549" s="215">
        <v>1.6000000000000001E-3</v>
      </c>
      <c r="L549" s="30">
        <v>22.001999999999999</v>
      </c>
      <c r="M549" s="33">
        <f t="shared" si="64"/>
        <v>3.5203199999999997E-2</v>
      </c>
      <c r="N549" s="44"/>
      <c r="O549" s="36" t="str">
        <f t="shared" si="65"/>
        <v/>
      </c>
      <c r="P549" s="216">
        <f t="shared" si="66"/>
        <v>0</v>
      </c>
      <c r="Q549" s="216">
        <f t="shared" si="67"/>
        <v>0</v>
      </c>
      <c r="R549" s="217" t="str">
        <f t="shared" si="68"/>
        <v/>
      </c>
    </row>
    <row r="550" spans="1:18" ht="15.75" hidden="1" thickBot="1" x14ac:dyDescent="0.3">
      <c r="A550" s="270"/>
      <c r="B550" s="54" t="s">
        <v>416</v>
      </c>
      <c r="C550" s="54"/>
      <c r="D550" s="95"/>
      <c r="E550" s="66" t="s">
        <v>416</v>
      </c>
      <c r="F550" s="67" t="str">
        <f t="shared" si="69"/>
        <v/>
      </c>
      <c r="G550" s="68"/>
      <c r="H550" s="30"/>
      <c r="I550" s="153">
        <v>0</v>
      </c>
      <c r="K550" s="229"/>
      <c r="L550" s="66" t="s">
        <v>416</v>
      </c>
      <c r="M550" s="67" t="str">
        <f t="shared" si="64"/>
        <v/>
      </c>
      <c r="N550" s="68"/>
      <c r="O550" s="36" t="str">
        <f t="shared" si="65"/>
        <v/>
      </c>
      <c r="P550" s="216" t="str">
        <f t="shared" si="66"/>
        <v/>
      </c>
      <c r="Q550" s="216" t="str">
        <f t="shared" si="67"/>
        <v/>
      </c>
      <c r="R550" s="217" t="str">
        <f t="shared" si="68"/>
        <v/>
      </c>
    </row>
    <row r="551" spans="1:18" ht="26.25" hidden="1" customHeight="1" thickBot="1" x14ac:dyDescent="0.3">
      <c r="A551" s="269" t="s">
        <v>2894</v>
      </c>
      <c r="B551" s="40" t="s">
        <v>416</v>
      </c>
      <c r="C551" s="77" t="s">
        <v>87</v>
      </c>
      <c r="D551" s="93"/>
      <c r="E551" s="41" t="s">
        <v>416</v>
      </c>
      <c r="F551" s="41" t="str">
        <f>IF(ISNUMBER(E551),ROUND(E551*$D551,2),"")</f>
        <v/>
      </c>
      <c r="G551" s="28"/>
      <c r="H551" s="29"/>
      <c r="I551" s="153">
        <v>0</v>
      </c>
      <c r="K551" s="226"/>
      <c r="L551" s="41" t="s">
        <v>416</v>
      </c>
      <c r="M551" s="41" t="str">
        <f t="shared" si="64"/>
        <v/>
      </c>
      <c r="N551" s="28"/>
      <c r="O551" s="36" t="str">
        <f t="shared" si="65"/>
        <v/>
      </c>
      <c r="P551" s="216" t="str">
        <f t="shared" si="66"/>
        <v/>
      </c>
      <c r="Q551" s="216" t="str">
        <f t="shared" si="67"/>
        <v/>
      </c>
      <c r="R551" s="217" t="str">
        <f t="shared" si="68"/>
        <v/>
      </c>
    </row>
    <row r="552" spans="1:18" ht="15.75" hidden="1" thickBot="1" x14ac:dyDescent="0.3">
      <c r="A552" s="268"/>
      <c r="B552" s="31" t="s">
        <v>416</v>
      </c>
      <c r="C552" s="78"/>
      <c r="D552" s="91"/>
      <c r="E552" s="97" t="s">
        <v>416</v>
      </c>
      <c r="F552" s="98" t="str">
        <f>IF(ISNUMBER(E552),ROUND(E552*$D552,2),"")</f>
        <v/>
      </c>
      <c r="G552" s="34"/>
      <c r="H552" s="30"/>
      <c r="I552" s="153">
        <v>0</v>
      </c>
      <c r="K552" s="227"/>
      <c r="L552" s="97" t="s">
        <v>416</v>
      </c>
      <c r="M552" s="98" t="str">
        <f t="shared" si="64"/>
        <v/>
      </c>
      <c r="N552" s="34"/>
      <c r="O552" s="36" t="str">
        <f t="shared" si="65"/>
        <v/>
      </c>
      <c r="P552" s="216" t="str">
        <f t="shared" si="66"/>
        <v/>
      </c>
      <c r="Q552" s="216" t="str">
        <f t="shared" si="67"/>
        <v/>
      </c>
      <c r="R552" s="217" t="str">
        <f t="shared" si="68"/>
        <v/>
      </c>
    </row>
    <row r="553" spans="1:18" ht="26.25" hidden="1" thickBot="1" x14ac:dyDescent="0.3">
      <c r="A553" s="268"/>
      <c r="B553" s="35" t="s">
        <v>7985</v>
      </c>
      <c r="C553" s="35" t="s">
        <v>87</v>
      </c>
      <c r="D553" s="36">
        <v>1.17</v>
      </c>
      <c r="E553" s="33">
        <v>202.33099999999999</v>
      </c>
      <c r="F553" s="33">
        <f>IF(ISNUMBER(E553),ROUND(E553*$D553,2),"")</f>
        <v>236.73</v>
      </c>
      <c r="G553" s="44">
        <f>SUM(F553:F562)</f>
        <v>724.61284064350002</v>
      </c>
      <c r="H553" s="45"/>
      <c r="I553" s="153">
        <v>0</v>
      </c>
      <c r="K553" s="215">
        <v>1.17</v>
      </c>
      <c r="L553" s="33">
        <v>202.33099999999999</v>
      </c>
      <c r="M553" s="33">
        <f t="shared" si="64"/>
        <v>236.72726999999998</v>
      </c>
      <c r="N553" s="44">
        <f>SUM(M553:M562)</f>
        <v>724.61461064349999</v>
      </c>
      <c r="O553" s="36" t="str">
        <f t="shared" si="65"/>
        <v/>
      </c>
      <c r="P553" s="216">
        <f t="shared" si="66"/>
        <v>0</v>
      </c>
      <c r="Q553" s="216">
        <f t="shared" si="67"/>
        <v>1.1532125205993005E-5</v>
      </c>
      <c r="R553" s="217">
        <f t="shared" si="68"/>
        <v>-2.4426837348379138E-6</v>
      </c>
    </row>
    <row r="554" spans="1:18" ht="15.75" hidden="1" thickBot="1" x14ac:dyDescent="0.3">
      <c r="A554" s="268"/>
      <c r="B554" s="35" t="s">
        <v>8040</v>
      </c>
      <c r="C554" s="35" t="s">
        <v>773</v>
      </c>
      <c r="D554" s="36">
        <v>117.22</v>
      </c>
      <c r="E554" s="30">
        <v>1.216</v>
      </c>
      <c r="F554" s="33">
        <f>IF(ISNUMBER(E554),ROUND(E554*$D554,2),"")</f>
        <v>142.54</v>
      </c>
      <c r="G554" s="44"/>
      <c r="H554" s="45"/>
      <c r="I554" s="153">
        <v>0</v>
      </c>
      <c r="K554" s="215">
        <v>117.22</v>
      </c>
      <c r="L554" s="30">
        <v>1.216</v>
      </c>
      <c r="M554" s="33">
        <f t="shared" si="64"/>
        <v>142.53951999999998</v>
      </c>
      <c r="N554" s="44"/>
      <c r="O554" s="36" t="str">
        <f t="shared" si="65"/>
        <v/>
      </c>
      <c r="P554" s="216">
        <f t="shared" si="66"/>
        <v>0</v>
      </c>
      <c r="Q554" s="216">
        <f t="shared" si="67"/>
        <v>3.3674757963231272E-6</v>
      </c>
      <c r="R554" s="217" t="str">
        <f t="shared" si="68"/>
        <v/>
      </c>
    </row>
    <row r="555" spans="1:18" ht="15.75" hidden="1" thickBot="1" x14ac:dyDescent="0.3">
      <c r="A555" s="268"/>
      <c r="B555" s="35" t="s">
        <v>8065</v>
      </c>
      <c r="C555" s="35" t="s">
        <v>773</v>
      </c>
      <c r="D555" s="36">
        <v>263.74</v>
      </c>
      <c r="E555" s="30">
        <v>0.627</v>
      </c>
      <c r="F555" s="33">
        <f>IF(ISNUMBER(E555),ROUND(E555*$D555,2),"")</f>
        <v>165.36</v>
      </c>
      <c r="G555" s="44"/>
      <c r="H555" s="45"/>
      <c r="I555" s="153">
        <v>0</v>
      </c>
      <c r="K555" s="215">
        <v>263.74</v>
      </c>
      <c r="L555" s="30">
        <v>0.627</v>
      </c>
      <c r="M555" s="33">
        <f t="shared" si="64"/>
        <v>165.36498</v>
      </c>
      <c r="N555" s="44"/>
      <c r="O555" s="36" t="str">
        <f t="shared" si="65"/>
        <v/>
      </c>
      <c r="P555" s="216">
        <f t="shared" si="66"/>
        <v>0</v>
      </c>
      <c r="Q555" s="216">
        <f t="shared" si="67"/>
        <v>-3.0116110304678756E-5</v>
      </c>
      <c r="R555" s="217" t="str">
        <f t="shared" si="68"/>
        <v/>
      </c>
    </row>
    <row r="556" spans="1:18" ht="26.25" hidden="1" thickBot="1" x14ac:dyDescent="0.3">
      <c r="A556" s="268"/>
      <c r="B556" s="35" t="s">
        <v>1271</v>
      </c>
      <c r="C556" s="35" t="s">
        <v>583</v>
      </c>
      <c r="D556" s="36">
        <v>5.16</v>
      </c>
      <c r="E556" s="30">
        <v>20.291999999999998</v>
      </c>
      <c r="F556" s="33">
        <f>IF(ISNUMBER(E556),E556*$D556,"")</f>
        <v>104.70671999999999</v>
      </c>
      <c r="G556" s="44"/>
      <c r="H556" s="45"/>
      <c r="I556" s="153">
        <v>0</v>
      </c>
      <c r="K556" s="215">
        <v>5.16</v>
      </c>
      <c r="L556" s="30">
        <v>20.291999999999998</v>
      </c>
      <c r="M556" s="33">
        <f t="shared" si="64"/>
        <v>104.70671999999999</v>
      </c>
      <c r="N556" s="44"/>
      <c r="O556" s="36" t="str">
        <f t="shared" si="65"/>
        <v/>
      </c>
      <c r="P556" s="216">
        <f t="shared" si="66"/>
        <v>0</v>
      </c>
      <c r="Q556" s="216">
        <f t="shared" si="67"/>
        <v>0</v>
      </c>
      <c r="R556" s="217" t="str">
        <f t="shared" si="68"/>
        <v/>
      </c>
    </row>
    <row r="557" spans="1:18" ht="39" hidden="1" thickBot="1" x14ac:dyDescent="0.3">
      <c r="A557" s="268"/>
      <c r="B557" s="35" t="s">
        <v>84</v>
      </c>
      <c r="C557" s="35" t="s">
        <v>813</v>
      </c>
      <c r="D557" s="36">
        <v>1.2</v>
      </c>
      <c r="E557" s="30">
        <v>1.6435</v>
      </c>
      <c r="F557" s="33">
        <f>IF(ISNUMBER(E557),E557*$D557,"")</f>
        <v>1.9722</v>
      </c>
      <c r="G557" s="44"/>
      <c r="H557" s="45"/>
      <c r="I557" s="153">
        <v>0</v>
      </c>
      <c r="K557" s="215">
        <v>1.2</v>
      </c>
      <c r="L557" s="30">
        <v>1.6435</v>
      </c>
      <c r="M557" s="33">
        <f t="shared" si="64"/>
        <v>1.9722</v>
      </c>
      <c r="N557" s="44"/>
      <c r="O557" s="36" t="str">
        <f t="shared" si="65"/>
        <v/>
      </c>
      <c r="P557" s="216">
        <f t="shared" si="66"/>
        <v>0</v>
      </c>
      <c r="Q557" s="216">
        <f t="shared" si="67"/>
        <v>0</v>
      </c>
      <c r="R557" s="217" t="str">
        <f t="shared" si="68"/>
        <v/>
      </c>
    </row>
    <row r="558" spans="1:18" ht="39" hidden="1" thickBot="1" x14ac:dyDescent="0.3">
      <c r="A558" s="268"/>
      <c r="B558" s="35" t="s">
        <v>85</v>
      </c>
      <c r="C558" s="35" t="s">
        <v>815</v>
      </c>
      <c r="D558" s="36">
        <v>3.96</v>
      </c>
      <c r="E558" s="30">
        <v>0.42749999999999999</v>
      </c>
      <c r="F558" s="33">
        <f>IF(ISNUMBER(E558),E558*$D558,"")</f>
        <v>1.6928999999999998</v>
      </c>
      <c r="G558" s="44"/>
      <c r="H558" s="45"/>
      <c r="I558" s="153">
        <v>0</v>
      </c>
      <c r="K558" s="215">
        <v>3.96</v>
      </c>
      <c r="L558" s="30">
        <v>0.42749999999999999</v>
      </c>
      <c r="M558" s="33">
        <f t="shared" si="64"/>
        <v>1.6928999999999998</v>
      </c>
      <c r="N558" s="44"/>
      <c r="O558" s="36" t="str">
        <f t="shared" si="65"/>
        <v/>
      </c>
      <c r="P558" s="216">
        <f t="shared" si="66"/>
        <v>0</v>
      </c>
      <c r="Q558" s="216">
        <f t="shared" si="67"/>
        <v>0</v>
      </c>
      <c r="R558" s="217" t="str">
        <f t="shared" si="68"/>
        <v/>
      </c>
    </row>
    <row r="559" spans="1:18" ht="51.75" hidden="1" thickBot="1" x14ac:dyDescent="0.3">
      <c r="A559" s="268"/>
      <c r="B559" s="35" t="s">
        <v>3071</v>
      </c>
      <c r="C559" s="35" t="s">
        <v>87</v>
      </c>
      <c r="D559" s="36">
        <f>ROUND(1*(D553),4)</f>
        <v>1.17</v>
      </c>
      <c r="E559" s="30">
        <v>8.0531015499999992</v>
      </c>
      <c r="F559" s="33">
        <f>IF(ISNUMBER(E559),E559*$D559,"")</f>
        <v>9.4221288134999988</v>
      </c>
      <c r="G559" s="44"/>
      <c r="H559" s="45"/>
      <c r="I559" s="153">
        <v>0</v>
      </c>
      <c r="K559" s="215">
        <v>1.17</v>
      </c>
      <c r="L559" s="30">
        <v>8.0531015499999992</v>
      </c>
      <c r="M559" s="33">
        <f t="shared" si="64"/>
        <v>9.4221288134999988</v>
      </c>
      <c r="N559" s="44"/>
      <c r="O559" s="36" t="str">
        <f t="shared" si="65"/>
        <v/>
      </c>
      <c r="P559" s="216">
        <f t="shared" si="66"/>
        <v>0</v>
      </c>
      <c r="Q559" s="216">
        <f t="shared" si="67"/>
        <v>0</v>
      </c>
      <c r="R559" s="217" t="str">
        <f t="shared" si="68"/>
        <v/>
      </c>
    </row>
    <row r="560" spans="1:18" ht="39" hidden="1" thickBot="1" x14ac:dyDescent="0.3">
      <c r="A560" s="268"/>
      <c r="B560" s="35" t="s">
        <v>3068</v>
      </c>
      <c r="C560" s="46" t="s">
        <v>89</v>
      </c>
      <c r="D560" s="36">
        <f>ROUND(D553*20,4)</f>
        <v>23.4</v>
      </c>
      <c r="E560" s="30">
        <v>2.6576449499999995</v>
      </c>
      <c r="F560" s="33">
        <f>IF(ISNUMBER(E560),E560*$D560,"")</f>
        <v>62.188891829999982</v>
      </c>
      <c r="G560" s="44"/>
      <c r="H560" s="45"/>
      <c r="I560" s="153">
        <v>0</v>
      </c>
      <c r="K560" s="215">
        <v>23.4</v>
      </c>
      <c r="L560" s="30">
        <v>2.6576449499999995</v>
      </c>
      <c r="M560" s="33">
        <f t="shared" si="64"/>
        <v>62.188891829999982</v>
      </c>
      <c r="N560" s="44"/>
      <c r="O560" s="36" t="str">
        <f t="shared" si="65"/>
        <v/>
      </c>
      <c r="P560" s="216">
        <f t="shared" si="66"/>
        <v>0</v>
      </c>
      <c r="Q560" s="216">
        <f t="shared" si="67"/>
        <v>0</v>
      </c>
      <c r="R560" s="217" t="str">
        <f t="shared" si="68"/>
        <v/>
      </c>
    </row>
    <row r="561" spans="1:18" ht="15.75" hidden="1" thickBot="1" x14ac:dyDescent="0.3">
      <c r="A561" s="268"/>
      <c r="B561" s="50"/>
      <c r="C561" s="133"/>
      <c r="D561" s="36"/>
      <c r="E561" s="30" t="s">
        <v>416</v>
      </c>
      <c r="F561" s="33" t="str">
        <f t="shared" ref="F561:F586" si="70">IF(ISNUMBER(E561),ROUND(E561*$D561,2),"")</f>
        <v/>
      </c>
      <c r="G561" s="44"/>
      <c r="H561" s="45"/>
      <c r="I561" s="153">
        <v>0</v>
      </c>
      <c r="K561" s="215"/>
      <c r="L561" s="30" t="s">
        <v>416</v>
      </c>
      <c r="M561" s="33" t="str">
        <f t="shared" si="64"/>
        <v/>
      </c>
      <c r="N561" s="44"/>
      <c r="O561" s="36" t="str">
        <f t="shared" si="65"/>
        <v/>
      </c>
      <c r="P561" s="216" t="str">
        <f t="shared" si="66"/>
        <v/>
      </c>
      <c r="Q561" s="216" t="str">
        <f t="shared" si="67"/>
        <v/>
      </c>
      <c r="R561" s="217" t="str">
        <f t="shared" si="68"/>
        <v/>
      </c>
    </row>
    <row r="562" spans="1:18" ht="24.95" hidden="1" customHeight="1" x14ac:dyDescent="0.3">
      <c r="A562" s="268"/>
      <c r="B562" s="47" t="s">
        <v>631</v>
      </c>
      <c r="C562" s="133"/>
      <c r="D562" s="36"/>
      <c r="E562" s="30" t="s">
        <v>416</v>
      </c>
      <c r="F562" s="33" t="str">
        <f t="shared" si="70"/>
        <v/>
      </c>
      <c r="G562" s="44"/>
      <c r="H562" s="45"/>
      <c r="I562" s="153">
        <v>0</v>
      </c>
      <c r="K562" s="215"/>
      <c r="L562" s="30" t="s">
        <v>416</v>
      </c>
      <c r="M562" s="33" t="str">
        <f t="shared" si="64"/>
        <v/>
      </c>
      <c r="N562" s="44"/>
      <c r="O562" s="36" t="str">
        <f t="shared" si="65"/>
        <v/>
      </c>
      <c r="P562" s="216" t="str">
        <f t="shared" si="66"/>
        <v/>
      </c>
      <c r="Q562" s="216" t="str">
        <f t="shared" si="67"/>
        <v/>
      </c>
      <c r="R562" s="217" t="str">
        <f t="shared" si="68"/>
        <v/>
      </c>
    </row>
    <row r="563" spans="1:18" ht="15.75" hidden="1" thickBot="1" x14ac:dyDescent="0.3">
      <c r="A563" s="270"/>
      <c r="B563" s="103"/>
      <c r="C563" s="79"/>
      <c r="D563" s="95"/>
      <c r="E563" s="66" t="s">
        <v>416</v>
      </c>
      <c r="F563" s="66" t="str">
        <f t="shared" si="70"/>
        <v/>
      </c>
      <c r="G563" s="68"/>
      <c r="H563" s="30"/>
      <c r="I563" s="153">
        <v>0</v>
      </c>
      <c r="K563" s="229"/>
      <c r="L563" s="66" t="s">
        <v>416</v>
      </c>
      <c r="M563" s="66" t="str">
        <f t="shared" si="64"/>
        <v/>
      </c>
      <c r="N563" s="68"/>
      <c r="O563" s="36" t="str">
        <f t="shared" si="65"/>
        <v/>
      </c>
      <c r="P563" s="216" t="str">
        <f t="shared" si="66"/>
        <v/>
      </c>
      <c r="Q563" s="216" t="str">
        <f t="shared" si="67"/>
        <v/>
      </c>
      <c r="R563" s="217" t="str">
        <f t="shared" si="68"/>
        <v/>
      </c>
    </row>
    <row r="564" spans="1:18" ht="26.25" hidden="1" customHeight="1" thickBot="1" x14ac:dyDescent="0.3">
      <c r="A564" s="269" t="s">
        <v>6816</v>
      </c>
      <c r="B564" s="40" t="s">
        <v>416</v>
      </c>
      <c r="C564" s="77" t="s">
        <v>773</v>
      </c>
      <c r="D564" s="93"/>
      <c r="E564" s="41" t="s">
        <v>416</v>
      </c>
      <c r="F564" s="41" t="str">
        <f t="shared" si="70"/>
        <v/>
      </c>
      <c r="G564" s="28"/>
      <c r="H564" s="29"/>
      <c r="I564" s="153">
        <v>0</v>
      </c>
      <c r="K564" s="226"/>
      <c r="L564" s="41" t="s">
        <v>416</v>
      </c>
      <c r="M564" s="41" t="str">
        <f t="shared" si="64"/>
        <v/>
      </c>
      <c r="N564" s="28"/>
      <c r="O564" s="36" t="str">
        <f t="shared" si="65"/>
        <v/>
      </c>
      <c r="P564" s="216" t="str">
        <f t="shared" si="66"/>
        <v/>
      </c>
      <c r="Q564" s="216" t="str">
        <f t="shared" si="67"/>
        <v/>
      </c>
      <c r="R564" s="217" t="str">
        <f t="shared" si="68"/>
        <v/>
      </c>
    </row>
    <row r="565" spans="1:18" ht="15.75" hidden="1" thickBot="1" x14ac:dyDescent="0.3">
      <c r="A565" s="268"/>
      <c r="B565" s="31" t="s">
        <v>416</v>
      </c>
      <c r="C565" s="78"/>
      <c r="D565" s="91"/>
      <c r="E565" s="97" t="s">
        <v>416</v>
      </c>
      <c r="F565" s="98" t="str">
        <f t="shared" si="70"/>
        <v/>
      </c>
      <c r="G565" s="34"/>
      <c r="H565" s="30"/>
      <c r="I565" s="153">
        <v>0</v>
      </c>
      <c r="K565" s="227"/>
      <c r="L565" s="97" t="s">
        <v>416</v>
      </c>
      <c r="M565" s="98" t="str">
        <f t="shared" si="64"/>
        <v/>
      </c>
      <c r="N565" s="34"/>
      <c r="O565" s="36" t="str">
        <f t="shared" si="65"/>
        <v/>
      </c>
      <c r="P565" s="216" t="str">
        <f t="shared" si="66"/>
        <v/>
      </c>
      <c r="Q565" s="216" t="str">
        <f t="shared" si="67"/>
        <v/>
      </c>
      <c r="R565" s="217" t="str">
        <f t="shared" si="68"/>
        <v/>
      </c>
    </row>
    <row r="566" spans="1:18" ht="15.75" hidden="1" thickBot="1" x14ac:dyDescent="0.3">
      <c r="A566" s="268"/>
      <c r="B566" s="35" t="s">
        <v>1277</v>
      </c>
      <c r="C566" s="35" t="s">
        <v>773</v>
      </c>
      <c r="D566" s="36">
        <v>1.07</v>
      </c>
      <c r="E566" s="33">
        <v>8.9205000000000005</v>
      </c>
      <c r="F566" s="33">
        <f t="shared" si="70"/>
        <v>9.5399999999999991</v>
      </c>
      <c r="G566" s="44">
        <f>SUM(F566:F568)</f>
        <v>11.299999999999999</v>
      </c>
      <c r="H566" s="45"/>
      <c r="I566" s="153">
        <v>0</v>
      </c>
      <c r="K566" s="215">
        <v>1.07</v>
      </c>
      <c r="L566" s="33">
        <v>8.9205000000000005</v>
      </c>
      <c r="M566" s="33">
        <f t="shared" si="64"/>
        <v>9.5449350000000006</v>
      </c>
      <c r="N566" s="44">
        <f>SUM(M566:M568)</f>
        <v>11.303792550000001</v>
      </c>
      <c r="O566" s="36" t="str">
        <f t="shared" si="65"/>
        <v/>
      </c>
      <c r="P566" s="216">
        <f t="shared" si="66"/>
        <v>0</v>
      </c>
      <c r="Q566" s="216">
        <f t="shared" si="67"/>
        <v>-5.1729559748436849E-4</v>
      </c>
      <c r="R566" s="217">
        <f t="shared" si="68"/>
        <v>-3.3562389380548119E-4</v>
      </c>
    </row>
    <row r="567" spans="1:18" ht="15.75" hidden="1" thickBot="1" x14ac:dyDescent="0.3">
      <c r="A567" s="268"/>
      <c r="B567" s="35" t="s">
        <v>775</v>
      </c>
      <c r="C567" s="35" t="s">
        <v>583</v>
      </c>
      <c r="D567" s="36">
        <v>9.4999999999999998E-3</v>
      </c>
      <c r="E567" s="33">
        <v>20.196999999999999</v>
      </c>
      <c r="F567" s="33">
        <f t="shared" si="70"/>
        <v>0.19</v>
      </c>
      <c r="G567" s="44"/>
      <c r="H567" s="45"/>
      <c r="I567" s="153">
        <v>0</v>
      </c>
      <c r="K567" s="215">
        <v>9.4999999999999998E-3</v>
      </c>
      <c r="L567" s="33">
        <v>20.196999999999999</v>
      </c>
      <c r="M567" s="33">
        <f t="shared" si="64"/>
        <v>0.1918715</v>
      </c>
      <c r="N567" s="44"/>
      <c r="O567" s="36" t="str">
        <f t="shared" si="65"/>
        <v/>
      </c>
      <c r="P567" s="216">
        <f t="shared" si="66"/>
        <v>0</v>
      </c>
      <c r="Q567" s="216">
        <f t="shared" si="67"/>
        <v>-9.8499999999999144E-3</v>
      </c>
      <c r="R567" s="217" t="str">
        <f t="shared" si="68"/>
        <v/>
      </c>
    </row>
    <row r="568" spans="1:18" ht="15.75" hidden="1" thickBot="1" x14ac:dyDescent="0.3">
      <c r="A568" s="268"/>
      <c r="B568" s="35" t="s">
        <v>776</v>
      </c>
      <c r="C568" s="35" t="s">
        <v>583</v>
      </c>
      <c r="D568" s="36">
        <v>5.8099999999999999E-2</v>
      </c>
      <c r="E568" s="30">
        <v>26.970499999999998</v>
      </c>
      <c r="F568" s="33">
        <f t="shared" si="70"/>
        <v>1.57</v>
      </c>
      <c r="G568" s="44"/>
      <c r="H568" s="45"/>
      <c r="I568" s="153">
        <v>0</v>
      </c>
      <c r="K568" s="215">
        <v>5.8099999999999999E-2</v>
      </c>
      <c r="L568" s="30">
        <v>26.970499999999998</v>
      </c>
      <c r="M568" s="33">
        <f t="shared" si="64"/>
        <v>1.5669860499999999</v>
      </c>
      <c r="N568" s="44"/>
      <c r="O568" s="36" t="str">
        <f t="shared" si="65"/>
        <v/>
      </c>
      <c r="P568" s="216">
        <f t="shared" si="66"/>
        <v>0</v>
      </c>
      <c r="Q568" s="216">
        <f t="shared" si="67"/>
        <v>1.9197133757963281E-3</v>
      </c>
      <c r="R568" s="217" t="str">
        <f t="shared" si="68"/>
        <v/>
      </c>
    </row>
    <row r="569" spans="1:18" ht="15.75" hidden="1" thickBot="1" x14ac:dyDescent="0.3">
      <c r="A569" s="270"/>
      <c r="B569" s="103"/>
      <c r="C569" s="79"/>
      <c r="D569" s="95"/>
      <c r="E569" s="66" t="s">
        <v>416</v>
      </c>
      <c r="F569" s="66" t="str">
        <f t="shared" si="70"/>
        <v/>
      </c>
      <c r="G569" s="68"/>
      <c r="H569" s="30"/>
      <c r="I569" s="153">
        <v>0</v>
      </c>
      <c r="K569" s="229"/>
      <c r="L569" s="66" t="s">
        <v>416</v>
      </c>
      <c r="M569" s="66" t="str">
        <f t="shared" si="64"/>
        <v/>
      </c>
      <c r="N569" s="68"/>
      <c r="O569" s="36" t="str">
        <f t="shared" si="65"/>
        <v/>
      </c>
      <c r="P569" s="216" t="str">
        <f t="shared" si="66"/>
        <v/>
      </c>
      <c r="Q569" s="216" t="str">
        <f t="shared" si="67"/>
        <v/>
      </c>
      <c r="R569" s="217" t="str">
        <f t="shared" si="68"/>
        <v/>
      </c>
    </row>
    <row r="570" spans="1:18" ht="26.25" hidden="1" customHeight="1" thickBot="1" x14ac:dyDescent="0.3">
      <c r="A570" s="269" t="s">
        <v>6972</v>
      </c>
      <c r="B570" s="40" t="s">
        <v>416</v>
      </c>
      <c r="C570" s="77" t="s">
        <v>773</v>
      </c>
      <c r="D570" s="93"/>
      <c r="E570" s="41" t="s">
        <v>416</v>
      </c>
      <c r="F570" s="41" t="str">
        <f t="shared" si="70"/>
        <v/>
      </c>
      <c r="G570" s="28"/>
      <c r="H570" s="29"/>
      <c r="I570" s="153">
        <v>0</v>
      </c>
      <c r="K570" s="226"/>
      <c r="L570" s="41" t="s">
        <v>416</v>
      </c>
      <c r="M570" s="41" t="str">
        <f t="shared" si="64"/>
        <v/>
      </c>
      <c r="N570" s="28"/>
      <c r="O570" s="36" t="str">
        <f t="shared" si="65"/>
        <v/>
      </c>
      <c r="P570" s="216" t="str">
        <f t="shared" si="66"/>
        <v/>
      </c>
      <c r="Q570" s="216" t="str">
        <f t="shared" si="67"/>
        <v/>
      </c>
      <c r="R570" s="217" t="str">
        <f t="shared" si="68"/>
        <v/>
      </c>
    </row>
    <row r="571" spans="1:18" ht="15.75" hidden="1" thickBot="1" x14ac:dyDescent="0.3">
      <c r="A571" s="268"/>
      <c r="B571" s="31" t="s">
        <v>416</v>
      </c>
      <c r="C571" s="78"/>
      <c r="D571" s="91"/>
      <c r="E571" s="97" t="s">
        <v>416</v>
      </c>
      <c r="F571" s="98" t="str">
        <f t="shared" si="70"/>
        <v/>
      </c>
      <c r="G571" s="34"/>
      <c r="H571" s="30"/>
      <c r="I571" s="153">
        <v>0</v>
      </c>
      <c r="K571" s="227"/>
      <c r="L571" s="97" t="s">
        <v>416</v>
      </c>
      <c r="M571" s="98" t="str">
        <f t="shared" si="64"/>
        <v/>
      </c>
      <c r="N571" s="34"/>
      <c r="O571" s="36" t="str">
        <f t="shared" si="65"/>
        <v/>
      </c>
      <c r="P571" s="216" t="str">
        <f t="shared" si="66"/>
        <v/>
      </c>
      <c r="Q571" s="216" t="str">
        <f t="shared" si="67"/>
        <v/>
      </c>
      <c r="R571" s="217" t="str">
        <f t="shared" si="68"/>
        <v/>
      </c>
    </row>
    <row r="572" spans="1:18" ht="26.25" hidden="1" thickBot="1" x14ac:dyDescent="0.3">
      <c r="A572" s="268"/>
      <c r="B572" s="35" t="s">
        <v>3060</v>
      </c>
      <c r="C572" s="35" t="s">
        <v>773</v>
      </c>
      <c r="D572" s="36">
        <v>0.02</v>
      </c>
      <c r="E572" s="33">
        <v>21.042499999999997</v>
      </c>
      <c r="F572" s="33">
        <f t="shared" si="70"/>
        <v>0.42</v>
      </c>
      <c r="G572" s="44">
        <f>SUM(F572:F575)</f>
        <v>9.89</v>
      </c>
      <c r="H572" s="45"/>
      <c r="I572" s="153">
        <v>0</v>
      </c>
      <c r="K572" s="215">
        <v>0.02</v>
      </c>
      <c r="L572" s="33">
        <v>21.042499999999997</v>
      </c>
      <c r="M572" s="33">
        <f t="shared" si="64"/>
        <v>0.42084999999999995</v>
      </c>
      <c r="N572" s="44">
        <f>SUM(M572:M575)</f>
        <v>9.8852772500000015</v>
      </c>
      <c r="O572" s="36" t="str">
        <f t="shared" si="65"/>
        <v/>
      </c>
      <c r="P572" s="216">
        <f t="shared" si="66"/>
        <v>0</v>
      </c>
      <c r="Q572" s="216">
        <f t="shared" si="67"/>
        <v>-2.0238095238094278E-3</v>
      </c>
      <c r="R572" s="217">
        <f t="shared" si="68"/>
        <v>4.7752780586440835E-4</v>
      </c>
    </row>
    <row r="573" spans="1:18" ht="15.75" hidden="1" thickBot="1" x14ac:dyDescent="0.3">
      <c r="A573" s="268"/>
      <c r="B573" s="35" t="s">
        <v>775</v>
      </c>
      <c r="C573" s="35" t="s">
        <v>583</v>
      </c>
      <c r="D573" s="36">
        <v>2.0999999999999999E-3</v>
      </c>
      <c r="E573" s="33">
        <v>20.196999999999999</v>
      </c>
      <c r="F573" s="33">
        <f t="shared" si="70"/>
        <v>0.04</v>
      </c>
      <c r="G573" s="44"/>
      <c r="H573" s="45"/>
      <c r="I573" s="153">
        <v>0</v>
      </c>
      <c r="K573" s="215">
        <v>2.0999999999999999E-3</v>
      </c>
      <c r="L573" s="33">
        <v>20.196999999999999</v>
      </c>
      <c r="M573" s="33">
        <f t="shared" si="64"/>
        <v>4.2413699999999999E-2</v>
      </c>
      <c r="N573" s="44"/>
      <c r="O573" s="36" t="str">
        <f t="shared" si="65"/>
        <v/>
      </c>
      <c r="P573" s="216">
        <f t="shared" si="66"/>
        <v>0</v>
      </c>
      <c r="Q573" s="216">
        <f t="shared" si="67"/>
        <v>-6.0342499999999966E-2</v>
      </c>
      <c r="R573" s="217" t="str">
        <f t="shared" si="68"/>
        <v/>
      </c>
    </row>
    <row r="574" spans="1:18" ht="15.75" hidden="1" thickBot="1" x14ac:dyDescent="0.3">
      <c r="A574" s="268"/>
      <c r="B574" s="35" t="s">
        <v>776</v>
      </c>
      <c r="C574" s="35" t="s">
        <v>583</v>
      </c>
      <c r="D574" s="36">
        <v>1.06E-2</v>
      </c>
      <c r="E574" s="33">
        <v>26.970499999999998</v>
      </c>
      <c r="F574" s="33">
        <f t="shared" si="70"/>
        <v>0.28999999999999998</v>
      </c>
      <c r="G574" s="44"/>
      <c r="H574" s="45"/>
      <c r="I574" s="153">
        <v>0</v>
      </c>
      <c r="K574" s="215">
        <v>1.06E-2</v>
      </c>
      <c r="L574" s="33">
        <v>26.970499999999998</v>
      </c>
      <c r="M574" s="33">
        <f t="shared" si="64"/>
        <v>0.28588729999999996</v>
      </c>
      <c r="N574" s="44"/>
      <c r="O574" s="36" t="str">
        <f t="shared" si="65"/>
        <v/>
      </c>
      <c r="P574" s="216">
        <f t="shared" si="66"/>
        <v>0</v>
      </c>
      <c r="Q574" s="216">
        <f t="shared" si="67"/>
        <v>1.4181724137931173E-2</v>
      </c>
      <c r="R574" s="217" t="str">
        <f t="shared" si="68"/>
        <v/>
      </c>
    </row>
    <row r="575" spans="1:18" ht="26.25" hidden="1" thickBot="1" x14ac:dyDescent="0.3">
      <c r="A575" s="268"/>
      <c r="B575" s="35" t="s">
        <v>2881</v>
      </c>
      <c r="C575" s="49" t="s">
        <v>773</v>
      </c>
      <c r="D575" s="36">
        <v>1</v>
      </c>
      <c r="E575" s="30">
        <v>9.136126250000002</v>
      </c>
      <c r="F575" s="33">
        <f t="shared" si="70"/>
        <v>9.14</v>
      </c>
      <c r="G575" s="44"/>
      <c r="H575" s="45"/>
      <c r="I575" s="153">
        <v>0</v>
      </c>
      <c r="K575" s="215">
        <v>1</v>
      </c>
      <c r="L575" s="30">
        <v>9.136126250000002</v>
      </c>
      <c r="M575" s="33">
        <f t="shared" si="64"/>
        <v>9.136126250000002</v>
      </c>
      <c r="N575" s="44"/>
      <c r="O575" s="36" t="str">
        <f t="shared" si="65"/>
        <v/>
      </c>
      <c r="P575" s="216">
        <f t="shared" si="66"/>
        <v>0</v>
      </c>
      <c r="Q575" s="216">
        <f t="shared" si="67"/>
        <v>4.2382385120331989E-4</v>
      </c>
      <c r="R575" s="217" t="str">
        <f t="shared" si="68"/>
        <v/>
      </c>
    </row>
    <row r="576" spans="1:18" ht="15.75" hidden="1" thickBot="1" x14ac:dyDescent="0.3">
      <c r="A576" s="270"/>
      <c r="B576" s="103"/>
      <c r="C576" s="79"/>
      <c r="D576" s="95"/>
      <c r="E576" s="66" t="s">
        <v>416</v>
      </c>
      <c r="F576" s="66" t="str">
        <f t="shared" si="70"/>
        <v/>
      </c>
      <c r="G576" s="68"/>
      <c r="H576" s="30"/>
      <c r="I576" s="153">
        <v>0</v>
      </c>
      <c r="K576" s="229"/>
      <c r="L576" s="66" t="s">
        <v>416</v>
      </c>
      <c r="M576" s="66" t="str">
        <f t="shared" si="64"/>
        <v/>
      </c>
      <c r="N576" s="68"/>
      <c r="O576" s="36" t="str">
        <f t="shared" si="65"/>
        <v/>
      </c>
      <c r="P576" s="216" t="str">
        <f t="shared" si="66"/>
        <v/>
      </c>
      <c r="Q576" s="216" t="str">
        <f t="shared" si="67"/>
        <v/>
      </c>
      <c r="R576" s="217" t="str">
        <f t="shared" si="68"/>
        <v/>
      </c>
    </row>
    <row r="577" spans="1:18" ht="26.25" hidden="1" customHeight="1" thickBot="1" x14ac:dyDescent="0.3">
      <c r="A577" s="269" t="s">
        <v>3067</v>
      </c>
      <c r="B577" s="40" t="s">
        <v>416</v>
      </c>
      <c r="C577" s="77" t="s">
        <v>1269</v>
      </c>
      <c r="D577" s="93"/>
      <c r="E577" s="41" t="s">
        <v>416</v>
      </c>
      <c r="F577" s="41" t="str">
        <f t="shared" si="70"/>
        <v/>
      </c>
      <c r="G577" s="28"/>
      <c r="H577" s="29"/>
      <c r="I577" s="153">
        <v>0</v>
      </c>
      <c r="K577" s="226"/>
      <c r="L577" s="41" t="s">
        <v>416</v>
      </c>
      <c r="M577" s="41" t="str">
        <f t="shared" si="64"/>
        <v/>
      </c>
      <c r="N577" s="28"/>
      <c r="O577" s="36" t="str">
        <f t="shared" si="65"/>
        <v/>
      </c>
      <c r="P577" s="216" t="str">
        <f t="shared" si="66"/>
        <v/>
      </c>
      <c r="Q577" s="216" t="str">
        <f t="shared" si="67"/>
        <v/>
      </c>
      <c r="R577" s="217" t="str">
        <f t="shared" si="68"/>
        <v/>
      </c>
    </row>
    <row r="578" spans="1:18" ht="15.75" hidden="1" thickBot="1" x14ac:dyDescent="0.3">
      <c r="A578" s="268"/>
      <c r="B578" s="31" t="s">
        <v>416</v>
      </c>
      <c r="C578" s="78"/>
      <c r="D578" s="91"/>
      <c r="E578" s="97" t="s">
        <v>416</v>
      </c>
      <c r="F578" s="98" t="str">
        <f t="shared" si="70"/>
        <v/>
      </c>
      <c r="G578" s="34"/>
      <c r="H578" s="30"/>
      <c r="I578" s="153">
        <v>0</v>
      </c>
      <c r="K578" s="227"/>
      <c r="L578" s="97" t="s">
        <v>416</v>
      </c>
      <c r="M578" s="98" t="str">
        <f t="shared" si="64"/>
        <v/>
      </c>
      <c r="N578" s="34"/>
      <c r="O578" s="36" t="str">
        <f t="shared" si="65"/>
        <v/>
      </c>
      <c r="P578" s="216" t="str">
        <f t="shared" si="66"/>
        <v/>
      </c>
      <c r="Q578" s="216" t="str">
        <f t="shared" si="67"/>
        <v/>
      </c>
      <c r="R578" s="217" t="str">
        <f t="shared" si="68"/>
        <v/>
      </c>
    </row>
    <row r="579" spans="1:18" ht="51.75" hidden="1" thickBot="1" x14ac:dyDescent="0.3">
      <c r="A579" s="268"/>
      <c r="B579" s="35" t="s">
        <v>939</v>
      </c>
      <c r="C579" s="35" t="s">
        <v>813</v>
      </c>
      <c r="D579" s="36">
        <v>1.52E-2</v>
      </c>
      <c r="E579" s="33">
        <v>169.09049999999999</v>
      </c>
      <c r="F579" s="33">
        <f t="shared" si="70"/>
        <v>2.57</v>
      </c>
      <c r="G579" s="44">
        <f>SUM(F579:F580)</f>
        <v>2.9</v>
      </c>
      <c r="H579" s="45"/>
      <c r="I579" s="153">
        <v>0</v>
      </c>
      <c r="K579" s="215">
        <v>1.52E-2</v>
      </c>
      <c r="L579" s="33">
        <v>169.09049999999999</v>
      </c>
      <c r="M579" s="33">
        <f t="shared" si="64"/>
        <v>2.5701755999999998</v>
      </c>
      <c r="N579" s="44">
        <f>SUM(M579:M580)</f>
        <v>2.9030698499999996</v>
      </c>
      <c r="O579" s="36" t="str">
        <f t="shared" si="65"/>
        <v/>
      </c>
      <c r="P579" s="216">
        <f t="shared" si="66"/>
        <v>0</v>
      </c>
      <c r="Q579" s="216">
        <f t="shared" si="67"/>
        <v>-6.8326848249089522E-5</v>
      </c>
      <c r="R579" s="217">
        <f t="shared" si="68"/>
        <v>-1.0585689655171482E-3</v>
      </c>
    </row>
    <row r="580" spans="1:18" ht="51.75" hidden="1" thickBot="1" x14ac:dyDescent="0.3">
      <c r="A580" s="268"/>
      <c r="B580" s="35" t="s">
        <v>940</v>
      </c>
      <c r="C580" s="35" t="s">
        <v>815</v>
      </c>
      <c r="D580" s="36">
        <v>6.4999999999999997E-3</v>
      </c>
      <c r="E580" s="33">
        <v>51.214499999999994</v>
      </c>
      <c r="F580" s="33">
        <f t="shared" si="70"/>
        <v>0.33</v>
      </c>
      <c r="G580" s="44"/>
      <c r="H580" s="45"/>
      <c r="I580" s="153">
        <v>0</v>
      </c>
      <c r="K580" s="215">
        <v>6.4999999999999997E-3</v>
      </c>
      <c r="L580" s="33">
        <v>51.214499999999994</v>
      </c>
      <c r="M580" s="33">
        <f t="shared" si="64"/>
        <v>0.33289424999999995</v>
      </c>
      <c r="N580" s="44"/>
      <c r="O580" s="36" t="str">
        <f t="shared" si="65"/>
        <v/>
      </c>
      <c r="P580" s="216">
        <f t="shared" si="66"/>
        <v>0</v>
      </c>
      <c r="Q580" s="216">
        <f t="shared" si="67"/>
        <v>-8.7704545454543315E-3</v>
      </c>
      <c r="R580" s="217" t="str">
        <f t="shared" si="68"/>
        <v/>
      </c>
    </row>
    <row r="581" spans="1:18" ht="15.75" hidden="1" thickBot="1" x14ac:dyDescent="0.3">
      <c r="A581" s="270"/>
      <c r="B581" s="103"/>
      <c r="C581" s="79"/>
      <c r="D581" s="95"/>
      <c r="E581" s="66" t="s">
        <v>416</v>
      </c>
      <c r="F581" s="66" t="str">
        <f t="shared" si="70"/>
        <v/>
      </c>
      <c r="G581" s="68"/>
      <c r="H581" s="30"/>
      <c r="I581" s="153">
        <v>0</v>
      </c>
      <c r="K581" s="229"/>
      <c r="L581" s="66" t="s">
        <v>416</v>
      </c>
      <c r="M581" s="66" t="str">
        <f t="shared" si="64"/>
        <v/>
      </c>
      <c r="N581" s="68"/>
      <c r="O581" s="36" t="str">
        <f t="shared" si="65"/>
        <v/>
      </c>
      <c r="P581" s="216" t="str">
        <f t="shared" si="66"/>
        <v/>
      </c>
      <c r="Q581" s="216" t="str">
        <f t="shared" si="67"/>
        <v/>
      </c>
      <c r="R581" s="217" t="str">
        <f t="shared" si="68"/>
        <v/>
      </c>
    </row>
    <row r="582" spans="1:18" ht="26.25" hidden="1" customHeight="1" thickBot="1" x14ac:dyDescent="0.3">
      <c r="A582" s="269" t="s">
        <v>2899</v>
      </c>
      <c r="B582" s="40" t="s">
        <v>416</v>
      </c>
      <c r="C582" s="77" t="s">
        <v>87</v>
      </c>
      <c r="D582" s="93"/>
      <c r="E582" s="41" t="s">
        <v>416</v>
      </c>
      <c r="F582" s="41" t="str">
        <f t="shared" si="70"/>
        <v/>
      </c>
      <c r="G582" s="28"/>
      <c r="H582" s="29"/>
      <c r="I582" s="153">
        <v>0</v>
      </c>
      <c r="K582" s="226"/>
      <c r="L582" s="41" t="s">
        <v>416</v>
      </c>
      <c r="M582" s="41" t="str">
        <f t="shared" si="64"/>
        <v/>
      </c>
      <c r="N582" s="28"/>
      <c r="O582" s="36" t="str">
        <f t="shared" si="65"/>
        <v/>
      </c>
      <c r="P582" s="216" t="str">
        <f t="shared" si="66"/>
        <v/>
      </c>
      <c r="Q582" s="216" t="str">
        <f t="shared" si="67"/>
        <v/>
      </c>
      <c r="R582" s="217" t="str">
        <f t="shared" si="68"/>
        <v/>
      </c>
    </row>
    <row r="583" spans="1:18" ht="15.75" hidden="1" thickBot="1" x14ac:dyDescent="0.3">
      <c r="A583" s="268"/>
      <c r="B583" s="31" t="s">
        <v>416</v>
      </c>
      <c r="C583" s="78"/>
      <c r="D583" s="91"/>
      <c r="E583" s="97" t="s">
        <v>416</v>
      </c>
      <c r="F583" s="98" t="str">
        <f t="shared" si="70"/>
        <v/>
      </c>
      <c r="G583" s="34"/>
      <c r="H583" s="30"/>
      <c r="I583" s="153">
        <v>0</v>
      </c>
      <c r="K583" s="227"/>
      <c r="L583" s="97" t="s">
        <v>416</v>
      </c>
      <c r="M583" s="98" t="str">
        <f t="shared" si="64"/>
        <v/>
      </c>
      <c r="N583" s="34"/>
      <c r="O583" s="36" t="str">
        <f t="shared" si="65"/>
        <v/>
      </c>
      <c r="P583" s="216" t="str">
        <f t="shared" si="66"/>
        <v/>
      </c>
      <c r="Q583" s="216" t="str">
        <f t="shared" si="67"/>
        <v/>
      </c>
      <c r="R583" s="217" t="str">
        <f t="shared" si="68"/>
        <v/>
      </c>
    </row>
    <row r="584" spans="1:18" ht="26.25" hidden="1" thickBot="1" x14ac:dyDescent="0.3">
      <c r="A584" s="268"/>
      <c r="B584" s="35" t="s">
        <v>7985</v>
      </c>
      <c r="C584" s="35" t="s">
        <v>87</v>
      </c>
      <c r="D584" s="36">
        <v>1.19</v>
      </c>
      <c r="E584" s="33">
        <v>202.33099999999999</v>
      </c>
      <c r="F584" s="33">
        <f t="shared" si="70"/>
        <v>240.77</v>
      </c>
      <c r="G584" s="44">
        <f>SUM(F584:F593)</f>
        <v>708.47405065450005</v>
      </c>
      <c r="H584" s="45"/>
      <c r="I584" s="153">
        <v>0</v>
      </c>
      <c r="K584" s="215">
        <v>1.19</v>
      </c>
      <c r="L584" s="33">
        <v>202.33099999999999</v>
      </c>
      <c r="M584" s="33">
        <f t="shared" ref="M584:M643" si="71">IF(ISNUMBER(L584),K584*L584,"")</f>
        <v>240.77388999999997</v>
      </c>
      <c r="N584" s="44">
        <f>SUM(M584:M593)</f>
        <v>708.48128065449998</v>
      </c>
      <c r="O584" s="36" t="str">
        <f t="shared" ref="O584:O643" si="72">IF(ISBLANK(K584),"",IF($D584&lt;&gt;K584,"SIM",""))</f>
        <v/>
      </c>
      <c r="P584" s="216">
        <f t="shared" ref="P584:P643" si="73">IF(L584="","",1-L584/$E584)</f>
        <v>0</v>
      </c>
      <c r="Q584" s="216">
        <f t="shared" ref="Q584:Q643" si="74">IF(M584="","",1-M584/$F584)</f>
        <v>-1.61564979024309E-5</v>
      </c>
      <c r="R584" s="217">
        <f t="shared" ref="R584:R643" si="75">IF(G584="","",1-N584/$G584)</f>
        <v>-1.0205031494514571E-5</v>
      </c>
    </row>
    <row r="585" spans="1:18" ht="15.75" hidden="1" thickBot="1" x14ac:dyDescent="0.3">
      <c r="A585" s="268"/>
      <c r="B585" s="35" t="s">
        <v>8040</v>
      </c>
      <c r="C585" s="35" t="s">
        <v>773</v>
      </c>
      <c r="D585" s="36">
        <v>158.94999999999999</v>
      </c>
      <c r="E585" s="30">
        <v>1.216</v>
      </c>
      <c r="F585" s="33">
        <f t="shared" si="70"/>
        <v>193.28</v>
      </c>
      <c r="G585" s="44"/>
      <c r="H585" s="45"/>
      <c r="I585" s="153">
        <v>0</v>
      </c>
      <c r="K585" s="215">
        <v>158.94999999999999</v>
      </c>
      <c r="L585" s="30">
        <v>1.216</v>
      </c>
      <c r="M585" s="33">
        <f t="shared" si="71"/>
        <v>193.28319999999999</v>
      </c>
      <c r="N585" s="44"/>
      <c r="O585" s="36" t="str">
        <f t="shared" si="72"/>
        <v/>
      </c>
      <c r="P585" s="216">
        <f t="shared" si="73"/>
        <v>0</v>
      </c>
      <c r="Q585" s="216">
        <f t="shared" si="74"/>
        <v>-1.655629139074577E-5</v>
      </c>
      <c r="R585" s="217" t="str">
        <f t="shared" si="75"/>
        <v/>
      </c>
    </row>
    <row r="586" spans="1:18" ht="15.75" hidden="1" thickBot="1" x14ac:dyDescent="0.3">
      <c r="A586" s="268"/>
      <c r="B586" s="35" t="s">
        <v>8065</v>
      </c>
      <c r="C586" s="35" t="s">
        <v>773</v>
      </c>
      <c r="D586" s="36">
        <v>178.82</v>
      </c>
      <c r="E586" s="30">
        <v>0.627</v>
      </c>
      <c r="F586" s="33">
        <f t="shared" si="70"/>
        <v>112.12</v>
      </c>
      <c r="G586" s="44"/>
      <c r="H586" s="45"/>
      <c r="I586" s="153">
        <v>0</v>
      </c>
      <c r="K586" s="215">
        <v>178.82</v>
      </c>
      <c r="L586" s="30">
        <v>0.627</v>
      </c>
      <c r="M586" s="33">
        <f t="shared" si="71"/>
        <v>112.12013999999999</v>
      </c>
      <c r="N586" s="44"/>
      <c r="O586" s="36" t="str">
        <f t="shared" si="72"/>
        <v/>
      </c>
      <c r="P586" s="216">
        <f t="shared" si="73"/>
        <v>0</v>
      </c>
      <c r="Q586" s="216">
        <f t="shared" si="74"/>
        <v>-1.2486621476792692E-6</v>
      </c>
      <c r="R586" s="217" t="str">
        <f t="shared" si="75"/>
        <v/>
      </c>
    </row>
    <row r="587" spans="1:18" ht="26.25" hidden="1" thickBot="1" x14ac:dyDescent="0.3">
      <c r="A587" s="268"/>
      <c r="B587" s="35" t="s">
        <v>1271</v>
      </c>
      <c r="C587" s="35" t="s">
        <v>583</v>
      </c>
      <c r="D587" s="36">
        <v>4.26</v>
      </c>
      <c r="E587" s="30">
        <v>20.291999999999998</v>
      </c>
      <c r="F587" s="33">
        <f>IF(ISNUMBER(E587),E587*$D587,"")</f>
        <v>86.443919999999991</v>
      </c>
      <c r="G587" s="44"/>
      <c r="H587" s="45"/>
      <c r="I587" s="153">
        <v>0</v>
      </c>
      <c r="K587" s="215">
        <v>4.26</v>
      </c>
      <c r="L587" s="30">
        <v>20.291999999999998</v>
      </c>
      <c r="M587" s="33">
        <f t="shared" si="71"/>
        <v>86.443919999999991</v>
      </c>
      <c r="N587" s="44"/>
      <c r="O587" s="36" t="str">
        <f t="shared" si="72"/>
        <v/>
      </c>
      <c r="P587" s="216">
        <f t="shared" si="73"/>
        <v>0</v>
      </c>
      <c r="Q587" s="216">
        <f t="shared" si="74"/>
        <v>0</v>
      </c>
      <c r="R587" s="217" t="str">
        <f t="shared" si="75"/>
        <v/>
      </c>
    </row>
    <row r="588" spans="1:18" ht="39" hidden="1" thickBot="1" x14ac:dyDescent="0.3">
      <c r="A588" s="268"/>
      <c r="B588" s="35" t="s">
        <v>84</v>
      </c>
      <c r="C588" s="35" t="s">
        <v>813</v>
      </c>
      <c r="D588" s="36">
        <v>0.99</v>
      </c>
      <c r="E588" s="30">
        <v>1.6435</v>
      </c>
      <c r="F588" s="33">
        <f>IF(ISNUMBER(E588),E588*$D588,"")</f>
        <v>1.627065</v>
      </c>
      <c r="G588" s="44"/>
      <c r="H588" s="45"/>
      <c r="I588" s="153">
        <v>0</v>
      </c>
      <c r="K588" s="215">
        <v>0.99</v>
      </c>
      <c r="L588" s="30">
        <v>1.6435</v>
      </c>
      <c r="M588" s="33">
        <f t="shared" si="71"/>
        <v>1.627065</v>
      </c>
      <c r="N588" s="44"/>
      <c r="O588" s="36" t="str">
        <f t="shared" si="72"/>
        <v/>
      </c>
      <c r="P588" s="216">
        <f t="shared" si="73"/>
        <v>0</v>
      </c>
      <c r="Q588" s="216">
        <f t="shared" si="74"/>
        <v>0</v>
      </c>
      <c r="R588" s="217" t="str">
        <f t="shared" si="75"/>
        <v/>
      </c>
    </row>
    <row r="589" spans="1:18" ht="39" hidden="1" thickBot="1" x14ac:dyDescent="0.3">
      <c r="A589" s="268"/>
      <c r="B589" s="35" t="s">
        <v>85</v>
      </c>
      <c r="C589" s="35" t="s">
        <v>815</v>
      </c>
      <c r="D589" s="36">
        <v>3.27</v>
      </c>
      <c r="E589" s="30">
        <v>0.42749999999999999</v>
      </c>
      <c r="F589" s="33">
        <f>IF(ISNUMBER(E589),E589*$D589,"")</f>
        <v>1.3979250000000001</v>
      </c>
      <c r="G589" s="44"/>
      <c r="H589" s="45"/>
      <c r="I589" s="153">
        <v>0</v>
      </c>
      <c r="K589" s="215">
        <v>3.27</v>
      </c>
      <c r="L589" s="30">
        <v>0.42749999999999999</v>
      </c>
      <c r="M589" s="33">
        <f t="shared" si="71"/>
        <v>1.3979250000000001</v>
      </c>
      <c r="N589" s="44"/>
      <c r="O589" s="36" t="str">
        <f t="shared" si="72"/>
        <v/>
      </c>
      <c r="P589" s="216">
        <f t="shared" si="73"/>
        <v>0</v>
      </c>
      <c r="Q589" s="216">
        <f t="shared" si="74"/>
        <v>0</v>
      </c>
      <c r="R589" s="217" t="str">
        <f t="shared" si="75"/>
        <v/>
      </c>
    </row>
    <row r="590" spans="1:18" ht="51.75" hidden="1" thickBot="1" x14ac:dyDescent="0.3">
      <c r="A590" s="268"/>
      <c r="B590" s="35" t="s">
        <v>3071</v>
      </c>
      <c r="C590" s="35" t="s">
        <v>87</v>
      </c>
      <c r="D590" s="36">
        <f>ROUND(1*(D584),4)</f>
        <v>1.19</v>
      </c>
      <c r="E590" s="30">
        <v>8.0531015499999992</v>
      </c>
      <c r="F590" s="33">
        <f>IF(ISNUMBER(E590),E590*$D590,"")</f>
        <v>9.5831908444999989</v>
      </c>
      <c r="G590" s="44"/>
      <c r="H590" s="45"/>
      <c r="I590" s="153">
        <v>0</v>
      </c>
      <c r="K590" s="215">
        <v>1.19</v>
      </c>
      <c r="L590" s="30">
        <v>8.0531015499999992</v>
      </c>
      <c r="M590" s="33">
        <f t="shared" si="71"/>
        <v>9.5831908444999989</v>
      </c>
      <c r="N590" s="44"/>
      <c r="O590" s="36" t="str">
        <f t="shared" si="72"/>
        <v/>
      </c>
      <c r="P590" s="216">
        <f t="shared" si="73"/>
        <v>0</v>
      </c>
      <c r="Q590" s="216">
        <f t="shared" si="74"/>
        <v>0</v>
      </c>
      <c r="R590" s="217" t="str">
        <f t="shared" si="75"/>
        <v/>
      </c>
    </row>
    <row r="591" spans="1:18" ht="39" hidden="1" thickBot="1" x14ac:dyDescent="0.3">
      <c r="A591" s="268"/>
      <c r="B591" s="35" t="s">
        <v>3068</v>
      </c>
      <c r="C591" s="46" t="s">
        <v>89</v>
      </c>
      <c r="D591" s="36">
        <f>ROUND(D584*20,4)</f>
        <v>23.8</v>
      </c>
      <c r="E591" s="30">
        <v>2.6576449499999995</v>
      </c>
      <c r="F591" s="33">
        <f>IF(ISNUMBER(E591),E591*$D591,"")</f>
        <v>63.251949809999992</v>
      </c>
      <c r="G591" s="44"/>
      <c r="H591" s="45"/>
      <c r="I591" s="153">
        <v>0</v>
      </c>
      <c r="K591" s="215">
        <v>23.8</v>
      </c>
      <c r="L591" s="30">
        <v>2.6576449499999995</v>
      </c>
      <c r="M591" s="33">
        <f t="shared" si="71"/>
        <v>63.251949809999992</v>
      </c>
      <c r="N591" s="44"/>
      <c r="O591" s="36" t="str">
        <f t="shared" si="72"/>
        <v/>
      </c>
      <c r="P591" s="216">
        <f t="shared" si="73"/>
        <v>0</v>
      </c>
      <c r="Q591" s="216">
        <f t="shared" si="74"/>
        <v>0</v>
      </c>
      <c r="R591" s="217" t="str">
        <f t="shared" si="75"/>
        <v/>
      </c>
    </row>
    <row r="592" spans="1:18" ht="15.75" hidden="1" thickBot="1" x14ac:dyDescent="0.3">
      <c r="A592" s="268"/>
      <c r="B592" s="50"/>
      <c r="C592" s="133"/>
      <c r="D592" s="36"/>
      <c r="E592" s="30" t="s">
        <v>416</v>
      </c>
      <c r="F592" s="33" t="str">
        <f>IF(ISNUMBER(E592),ROUND(E592*$D592,2),"")</f>
        <v/>
      </c>
      <c r="G592" s="44"/>
      <c r="H592" s="45"/>
      <c r="I592" s="153">
        <v>0</v>
      </c>
      <c r="K592" s="215"/>
      <c r="L592" s="30" t="s">
        <v>416</v>
      </c>
      <c r="M592" s="33" t="str">
        <f t="shared" si="71"/>
        <v/>
      </c>
      <c r="N592" s="44"/>
      <c r="O592" s="36" t="str">
        <f t="shared" si="72"/>
        <v/>
      </c>
      <c r="P592" s="216" t="str">
        <f t="shared" si="73"/>
        <v/>
      </c>
      <c r="Q592" s="216" t="str">
        <f t="shared" si="74"/>
        <v/>
      </c>
      <c r="R592" s="217" t="str">
        <f t="shared" si="75"/>
        <v/>
      </c>
    </row>
    <row r="593" spans="1:18" ht="24.95" hidden="1" customHeight="1" x14ac:dyDescent="0.3">
      <c r="A593" s="268"/>
      <c r="B593" s="47" t="s">
        <v>631</v>
      </c>
      <c r="C593" s="133"/>
      <c r="D593" s="36"/>
      <c r="E593" s="30" t="s">
        <v>416</v>
      </c>
      <c r="F593" s="33" t="str">
        <f>IF(ISNUMBER(E593),ROUND(E593*$D593,2),"")</f>
        <v/>
      </c>
      <c r="G593" s="44"/>
      <c r="H593" s="45"/>
      <c r="I593" s="153">
        <v>0</v>
      </c>
      <c r="K593" s="215"/>
      <c r="L593" s="30" t="s">
        <v>416</v>
      </c>
      <c r="M593" s="33" t="str">
        <f t="shared" si="71"/>
        <v/>
      </c>
      <c r="N593" s="44"/>
      <c r="O593" s="36" t="str">
        <f t="shared" si="72"/>
        <v/>
      </c>
      <c r="P593" s="216" t="str">
        <f t="shared" si="73"/>
        <v/>
      </c>
      <c r="Q593" s="216" t="str">
        <f t="shared" si="74"/>
        <v/>
      </c>
      <c r="R593" s="217" t="str">
        <f t="shared" si="75"/>
        <v/>
      </c>
    </row>
    <row r="594" spans="1:18" ht="15.75" hidden="1" thickBot="1" x14ac:dyDescent="0.3">
      <c r="A594" s="270"/>
      <c r="B594" s="103"/>
      <c r="C594" s="79"/>
      <c r="D594" s="95"/>
      <c r="E594" s="66" t="s">
        <v>416</v>
      </c>
      <c r="F594" s="66" t="str">
        <f>IF(ISNUMBER(E594),ROUND(E594*$D594,2),"")</f>
        <v/>
      </c>
      <c r="G594" s="68"/>
      <c r="H594" s="30"/>
      <c r="I594" s="153">
        <v>0</v>
      </c>
      <c r="K594" s="229"/>
      <c r="L594" s="66" t="s">
        <v>416</v>
      </c>
      <c r="M594" s="66" t="str">
        <f t="shared" si="71"/>
        <v/>
      </c>
      <c r="N594" s="68"/>
      <c r="O594" s="36" t="str">
        <f t="shared" si="72"/>
        <v/>
      </c>
      <c r="P594" s="216" t="str">
        <f t="shared" si="73"/>
        <v/>
      </c>
      <c r="Q594" s="216" t="str">
        <f t="shared" si="74"/>
        <v/>
      </c>
      <c r="R594" s="217" t="str">
        <f t="shared" si="75"/>
        <v/>
      </c>
    </row>
    <row r="595" spans="1:18" ht="15.75" hidden="1" thickBot="1" x14ac:dyDescent="0.3">
      <c r="A595" s="269" t="s">
        <v>6820</v>
      </c>
      <c r="B595" s="40" t="s">
        <v>416</v>
      </c>
      <c r="C595" s="25" t="s">
        <v>773</v>
      </c>
      <c r="D595" s="93"/>
      <c r="E595" s="41" t="s">
        <v>416</v>
      </c>
      <c r="F595" s="41" t="str">
        <f t="shared" ref="F595:F607" si="76">IF(ISNUMBER(E595),E595*$D595,"")</f>
        <v/>
      </c>
      <c r="G595" s="28"/>
      <c r="H595" s="29"/>
      <c r="I595" s="153">
        <v>0</v>
      </c>
      <c r="K595" s="226"/>
      <c r="L595" s="41" t="s">
        <v>416</v>
      </c>
      <c r="M595" s="41" t="str">
        <f t="shared" si="71"/>
        <v/>
      </c>
      <c r="N595" s="28"/>
      <c r="O595" s="36" t="str">
        <f t="shared" si="72"/>
        <v/>
      </c>
      <c r="P595" s="216" t="str">
        <f t="shared" si="73"/>
        <v/>
      </c>
      <c r="Q595" s="216" t="str">
        <f t="shared" si="74"/>
        <v/>
      </c>
      <c r="R595" s="217" t="str">
        <f t="shared" si="75"/>
        <v/>
      </c>
    </row>
    <row r="596" spans="1:18" ht="15.75" hidden="1" thickBot="1" x14ac:dyDescent="0.3">
      <c r="A596" s="268"/>
      <c r="B596" s="31" t="s">
        <v>416</v>
      </c>
      <c r="C596" s="31"/>
      <c r="D596" s="91"/>
      <c r="E596" s="42" t="s">
        <v>416</v>
      </c>
      <c r="F596" s="30" t="str">
        <f t="shared" si="76"/>
        <v/>
      </c>
      <c r="G596" s="34"/>
      <c r="H596" s="30"/>
      <c r="I596" s="153">
        <v>0</v>
      </c>
      <c r="K596" s="227"/>
      <c r="L596" s="42" t="s">
        <v>416</v>
      </c>
      <c r="M596" s="30" t="str">
        <f t="shared" si="71"/>
        <v/>
      </c>
      <c r="N596" s="34"/>
      <c r="O596" s="36" t="str">
        <f t="shared" si="72"/>
        <v/>
      </c>
      <c r="P596" s="216" t="str">
        <f t="shared" si="73"/>
        <v/>
      </c>
      <c r="Q596" s="216" t="str">
        <f t="shared" si="74"/>
        <v/>
      </c>
      <c r="R596" s="217" t="str">
        <f t="shared" si="75"/>
        <v/>
      </c>
    </row>
    <row r="597" spans="1:18" ht="26.25" hidden="1" thickBot="1" x14ac:dyDescent="0.3">
      <c r="A597" s="268"/>
      <c r="B597" s="35" t="s">
        <v>7957</v>
      </c>
      <c r="C597" s="35" t="s">
        <v>773</v>
      </c>
      <c r="D597" s="36">
        <v>1.1100000000000001</v>
      </c>
      <c r="E597" s="33">
        <v>10.1365</v>
      </c>
      <c r="F597" s="33">
        <f t="shared" si="76"/>
        <v>11.251515000000001</v>
      </c>
      <c r="G597" s="44">
        <f>SUM(F597:F598)</f>
        <v>11.351305850000001</v>
      </c>
      <c r="H597" s="45"/>
      <c r="I597" s="153">
        <v>0</v>
      </c>
      <c r="K597" s="215">
        <v>1.1100000000000001</v>
      </c>
      <c r="L597" s="33">
        <v>10.1365</v>
      </c>
      <c r="M597" s="33">
        <f t="shared" si="71"/>
        <v>11.251515000000001</v>
      </c>
      <c r="N597" s="44">
        <f>SUM(M597:M598)</f>
        <v>11.351305850000001</v>
      </c>
      <c r="O597" s="36" t="str">
        <f t="shared" si="72"/>
        <v/>
      </c>
      <c r="P597" s="216">
        <f t="shared" si="73"/>
        <v>0</v>
      </c>
      <c r="Q597" s="216">
        <f t="shared" si="74"/>
        <v>0</v>
      </c>
      <c r="R597" s="217">
        <f t="shared" si="75"/>
        <v>0</v>
      </c>
    </row>
    <row r="598" spans="1:18" ht="15.75" hidden="1" thickBot="1" x14ac:dyDescent="0.3">
      <c r="A598" s="268"/>
      <c r="B598" s="35" t="s">
        <v>776</v>
      </c>
      <c r="C598" s="35" t="s">
        <v>583</v>
      </c>
      <c r="D598" s="36">
        <v>3.7000000000000002E-3</v>
      </c>
      <c r="E598" s="33">
        <v>26.970499999999998</v>
      </c>
      <c r="F598" s="33">
        <f t="shared" si="76"/>
        <v>9.979085E-2</v>
      </c>
      <c r="G598" s="44"/>
      <c r="H598" s="45"/>
      <c r="I598" s="153">
        <v>0</v>
      </c>
      <c r="K598" s="215">
        <v>3.7000000000000002E-3</v>
      </c>
      <c r="L598" s="33">
        <v>26.970499999999998</v>
      </c>
      <c r="M598" s="33">
        <f t="shared" si="71"/>
        <v>9.979085E-2</v>
      </c>
      <c r="N598" s="44"/>
      <c r="O598" s="36" t="str">
        <f t="shared" si="72"/>
        <v/>
      </c>
      <c r="P598" s="216">
        <f t="shared" si="73"/>
        <v>0</v>
      </c>
      <c r="Q598" s="216">
        <f t="shared" si="74"/>
        <v>0</v>
      </c>
      <c r="R598" s="217" t="str">
        <f t="shared" si="75"/>
        <v/>
      </c>
    </row>
    <row r="599" spans="1:18" ht="15.75" hidden="1" thickBot="1" x14ac:dyDescent="0.3">
      <c r="A599" s="268"/>
      <c r="B599" s="35" t="s">
        <v>416</v>
      </c>
      <c r="C599" s="35"/>
      <c r="D599" s="92"/>
      <c r="E599" s="30" t="s">
        <v>416</v>
      </c>
      <c r="F599" s="30" t="str">
        <f t="shared" si="76"/>
        <v/>
      </c>
      <c r="G599" s="34"/>
      <c r="H599" s="30"/>
      <c r="I599" s="153">
        <v>0</v>
      </c>
      <c r="K599" s="228"/>
      <c r="L599" s="30" t="s">
        <v>416</v>
      </c>
      <c r="M599" s="30" t="str">
        <f t="shared" si="71"/>
        <v/>
      </c>
      <c r="N599" s="34"/>
      <c r="O599" s="36" t="str">
        <f t="shared" si="72"/>
        <v/>
      </c>
      <c r="P599" s="216" t="str">
        <f t="shared" si="73"/>
        <v/>
      </c>
      <c r="Q599" s="216" t="str">
        <f t="shared" si="74"/>
        <v/>
      </c>
      <c r="R599" s="217" t="str">
        <f t="shared" si="75"/>
        <v/>
      </c>
    </row>
    <row r="600" spans="1:18" ht="15.75" thickBot="1" x14ac:dyDescent="0.3">
      <c r="A600" s="269" t="s">
        <v>6814</v>
      </c>
      <c r="B600" s="40" t="s">
        <v>416</v>
      </c>
      <c r="C600" s="25" t="s">
        <v>773</v>
      </c>
      <c r="D600" s="93"/>
      <c r="E600" s="27" t="s">
        <v>416</v>
      </c>
      <c r="F600" s="27" t="str">
        <f t="shared" si="76"/>
        <v/>
      </c>
      <c r="G600" s="28"/>
      <c r="H600" s="29"/>
      <c r="I600" s="153">
        <v>47.597700000000003</v>
      </c>
      <c r="K600" s="226"/>
      <c r="L600" s="27" t="s">
        <v>416</v>
      </c>
      <c r="M600" s="27" t="str">
        <f t="shared" si="71"/>
        <v/>
      </c>
      <c r="N600" s="28"/>
      <c r="O600" s="36" t="str">
        <f t="shared" si="72"/>
        <v/>
      </c>
      <c r="P600" s="216" t="str">
        <f t="shared" si="73"/>
        <v/>
      </c>
      <c r="Q600" s="216" t="str">
        <f t="shared" si="74"/>
        <v/>
      </c>
      <c r="R600" s="217" t="str">
        <f t="shared" si="75"/>
        <v/>
      </c>
    </row>
    <row r="601" spans="1:18" x14ac:dyDescent="0.25">
      <c r="A601" s="268"/>
      <c r="B601" s="31" t="s">
        <v>416</v>
      </c>
      <c r="C601" s="31"/>
      <c r="D601" s="91"/>
      <c r="E601" s="30" t="s">
        <v>416</v>
      </c>
      <c r="F601" s="30" t="str">
        <f t="shared" si="76"/>
        <v/>
      </c>
      <c r="G601" s="34"/>
      <c r="H601" s="30"/>
      <c r="I601" s="153">
        <v>47.597700000000003</v>
      </c>
      <c r="K601" s="227"/>
      <c r="L601" s="30" t="s">
        <v>416</v>
      </c>
      <c r="M601" s="30" t="str">
        <f t="shared" si="71"/>
        <v/>
      </c>
      <c r="N601" s="34"/>
      <c r="O601" s="36" t="str">
        <f t="shared" si="72"/>
        <v/>
      </c>
      <c r="P601" s="216" t="str">
        <f t="shared" si="73"/>
        <v/>
      </c>
      <c r="Q601" s="216" t="str">
        <f t="shared" si="74"/>
        <v/>
      </c>
      <c r="R601" s="217" t="str">
        <f t="shared" si="75"/>
        <v/>
      </c>
    </row>
    <row r="602" spans="1:18" ht="38.25" x14ac:dyDescent="0.25">
      <c r="A602" s="268"/>
      <c r="B602" s="35" t="s">
        <v>774</v>
      </c>
      <c r="C602" s="35" t="s">
        <v>213</v>
      </c>
      <c r="D602" s="36">
        <v>2.1179999999999999</v>
      </c>
      <c r="E602" s="30">
        <v>0.20899999999999999</v>
      </c>
      <c r="F602" s="33">
        <f t="shared" si="76"/>
        <v>0.44266199999999994</v>
      </c>
      <c r="G602" s="44">
        <f>SUM(F602:F606)</f>
        <v>14.775673950000002</v>
      </c>
      <c r="H602" s="45"/>
      <c r="I602" s="153">
        <v>47.597700000000003</v>
      </c>
      <c r="K602" s="215">
        <v>2.1179999999999999</v>
      </c>
      <c r="L602" s="30">
        <v>0.20899999999999999</v>
      </c>
      <c r="M602" s="33">
        <f t="shared" si="71"/>
        <v>0.44266199999999994</v>
      </c>
      <c r="N602" s="44">
        <f>SUM(M602:M606)</f>
        <v>14.775673950000002</v>
      </c>
      <c r="O602" s="36" t="str">
        <f t="shared" si="72"/>
        <v/>
      </c>
      <c r="P602" s="216">
        <f t="shared" si="73"/>
        <v>0</v>
      </c>
      <c r="Q602" s="216">
        <f t="shared" si="74"/>
        <v>0</v>
      </c>
      <c r="R602" s="217">
        <f t="shared" si="75"/>
        <v>0</v>
      </c>
    </row>
    <row r="603" spans="1:18" ht="25.5" x14ac:dyDescent="0.25">
      <c r="A603" s="268"/>
      <c r="B603" s="35" t="s">
        <v>3060</v>
      </c>
      <c r="C603" s="35" t="s">
        <v>773</v>
      </c>
      <c r="D603" s="36">
        <v>2.5000000000000001E-2</v>
      </c>
      <c r="E603" s="30">
        <v>21.042499999999997</v>
      </c>
      <c r="F603" s="33">
        <f t="shared" si="76"/>
        <v>0.52606249999999999</v>
      </c>
      <c r="G603" s="44"/>
      <c r="H603" s="45"/>
      <c r="I603" s="153">
        <v>47.597700000000003</v>
      </c>
      <c r="K603" s="215">
        <v>2.5000000000000001E-2</v>
      </c>
      <c r="L603" s="30">
        <v>21.042499999999997</v>
      </c>
      <c r="M603" s="33">
        <f t="shared" si="71"/>
        <v>0.52606249999999999</v>
      </c>
      <c r="N603" s="44"/>
      <c r="O603" s="36" t="str">
        <f t="shared" si="72"/>
        <v/>
      </c>
      <c r="P603" s="216">
        <f t="shared" si="73"/>
        <v>0</v>
      </c>
      <c r="Q603" s="216">
        <f t="shared" si="74"/>
        <v>0</v>
      </c>
      <c r="R603" s="217" t="str">
        <f t="shared" si="75"/>
        <v/>
      </c>
    </row>
    <row r="604" spans="1:18" x14ac:dyDescent="0.25">
      <c r="A604" s="268"/>
      <c r="B604" s="35" t="s">
        <v>775</v>
      </c>
      <c r="C604" s="35" t="s">
        <v>583</v>
      </c>
      <c r="D604" s="36">
        <v>1.3599999999999999E-2</v>
      </c>
      <c r="E604" s="33">
        <v>20.196999999999999</v>
      </c>
      <c r="F604" s="33">
        <f t="shared" si="76"/>
        <v>0.27467919999999996</v>
      </c>
      <c r="G604" s="44"/>
      <c r="H604" s="45"/>
      <c r="I604" s="153">
        <v>47.597700000000003</v>
      </c>
      <c r="K604" s="215">
        <v>1.3599999999999999E-2</v>
      </c>
      <c r="L604" s="33">
        <v>20.196999999999999</v>
      </c>
      <c r="M604" s="33">
        <f t="shared" si="71"/>
        <v>0.27467919999999996</v>
      </c>
      <c r="N604" s="44"/>
      <c r="O604" s="36" t="str">
        <f t="shared" si="72"/>
        <v/>
      </c>
      <c r="P604" s="216">
        <f t="shared" si="73"/>
        <v>0</v>
      </c>
      <c r="Q604" s="216">
        <f t="shared" si="74"/>
        <v>0</v>
      </c>
      <c r="R604" s="217" t="str">
        <f t="shared" si="75"/>
        <v/>
      </c>
    </row>
    <row r="605" spans="1:18" ht="15.75" customHeight="1" x14ac:dyDescent="0.25">
      <c r="A605" s="268"/>
      <c r="B605" s="35" t="s">
        <v>776</v>
      </c>
      <c r="C605" s="35" t="s">
        <v>583</v>
      </c>
      <c r="D605" s="36">
        <v>8.3599999999999994E-2</v>
      </c>
      <c r="E605" s="30">
        <v>26.970499999999998</v>
      </c>
      <c r="F605" s="33">
        <f t="shared" si="76"/>
        <v>2.2547337999999995</v>
      </c>
      <c r="G605" s="44"/>
      <c r="H605" s="45"/>
      <c r="I605" s="153">
        <v>47.597700000000003</v>
      </c>
      <c r="K605" s="215">
        <v>8.3599999999999994E-2</v>
      </c>
      <c r="L605" s="30">
        <v>26.970499999999998</v>
      </c>
      <c r="M605" s="33">
        <f t="shared" si="71"/>
        <v>2.2547337999999995</v>
      </c>
      <c r="N605" s="44"/>
      <c r="O605" s="36" t="str">
        <f t="shared" si="72"/>
        <v/>
      </c>
      <c r="P605" s="216">
        <f t="shared" si="73"/>
        <v>0</v>
      </c>
      <c r="Q605" s="216">
        <f t="shared" si="74"/>
        <v>0</v>
      </c>
      <c r="R605" s="217" t="str">
        <f t="shared" si="75"/>
        <v/>
      </c>
    </row>
    <row r="606" spans="1:18" ht="25.5" x14ac:dyDescent="0.25">
      <c r="A606" s="268"/>
      <c r="B606" s="35" t="s">
        <v>2882</v>
      </c>
      <c r="C606" s="46" t="s">
        <v>773</v>
      </c>
      <c r="D606" s="36">
        <v>1</v>
      </c>
      <c r="E606" s="30">
        <v>11.277536450000001</v>
      </c>
      <c r="F606" s="33">
        <f t="shared" si="76"/>
        <v>11.277536450000001</v>
      </c>
      <c r="G606" s="44"/>
      <c r="H606" s="45"/>
      <c r="I606" s="153">
        <v>47.597700000000003</v>
      </c>
      <c r="K606" s="215">
        <v>1</v>
      </c>
      <c r="L606" s="30">
        <v>11.277536450000001</v>
      </c>
      <c r="M606" s="33">
        <f t="shared" si="71"/>
        <v>11.277536450000001</v>
      </c>
      <c r="N606" s="44"/>
      <c r="O606" s="36" t="str">
        <f t="shared" si="72"/>
        <v/>
      </c>
      <c r="P606" s="216">
        <f t="shared" si="73"/>
        <v>0</v>
      </c>
      <c r="Q606" s="216">
        <f t="shared" si="74"/>
        <v>0</v>
      </c>
      <c r="R606" s="217" t="str">
        <f t="shared" si="75"/>
        <v/>
      </c>
    </row>
    <row r="607" spans="1:18" ht="15.75" thickBot="1" x14ac:dyDescent="0.3">
      <c r="A607" s="270"/>
      <c r="B607" s="160"/>
      <c r="C607" s="155"/>
      <c r="D607" s="65"/>
      <c r="E607" s="66" t="s">
        <v>416</v>
      </c>
      <c r="F607" s="67" t="str">
        <f t="shared" si="76"/>
        <v/>
      </c>
      <c r="G607" s="161"/>
      <c r="H607" s="45"/>
      <c r="I607" s="153">
        <v>47.597700000000003</v>
      </c>
      <c r="K607" s="222"/>
      <c r="L607" s="66" t="s">
        <v>416</v>
      </c>
      <c r="M607" s="67" t="str">
        <f t="shared" si="71"/>
        <v/>
      </c>
      <c r="N607" s="161"/>
      <c r="O607" s="36" t="str">
        <f t="shared" si="72"/>
        <v/>
      </c>
      <c r="P607" s="216" t="str">
        <f t="shared" si="73"/>
        <v/>
      </c>
      <c r="Q607" s="216" t="str">
        <f t="shared" si="74"/>
        <v/>
      </c>
      <c r="R607" s="217" t="str">
        <f t="shared" si="75"/>
        <v/>
      </c>
    </row>
    <row r="608" spans="1:18" ht="26.25" hidden="1" customHeight="1" thickBot="1" x14ac:dyDescent="0.3">
      <c r="A608" s="269" t="s">
        <v>3073</v>
      </c>
      <c r="B608" s="40" t="s">
        <v>416</v>
      </c>
      <c r="C608" s="77" t="s">
        <v>1141</v>
      </c>
      <c r="D608" s="93"/>
      <c r="E608" s="41" t="s">
        <v>416</v>
      </c>
      <c r="F608" s="41" t="str">
        <f t="shared" ref="F608:F629" si="77">IF(ISNUMBER(E608),ROUND(E608*$D608,2),"")</f>
        <v/>
      </c>
      <c r="G608" s="28"/>
      <c r="H608" s="29"/>
      <c r="I608" s="153">
        <v>0</v>
      </c>
      <c r="K608" s="226"/>
      <c r="L608" s="41" t="s">
        <v>416</v>
      </c>
      <c r="M608" s="41" t="str">
        <f t="shared" si="71"/>
        <v/>
      </c>
      <c r="N608" s="28"/>
      <c r="O608" s="36" t="str">
        <f t="shared" si="72"/>
        <v/>
      </c>
      <c r="P608" s="216" t="str">
        <f t="shared" si="73"/>
        <v/>
      </c>
      <c r="Q608" s="216" t="str">
        <f t="shared" si="74"/>
        <v/>
      </c>
      <c r="R608" s="217" t="str">
        <f t="shared" si="75"/>
        <v/>
      </c>
    </row>
    <row r="609" spans="1:18" ht="15.75" hidden="1" thickBot="1" x14ac:dyDescent="0.3">
      <c r="A609" s="268"/>
      <c r="B609" s="31" t="s">
        <v>416</v>
      </c>
      <c r="C609" s="78"/>
      <c r="D609" s="91"/>
      <c r="E609" s="97" t="s">
        <v>416</v>
      </c>
      <c r="F609" s="98" t="str">
        <f t="shared" si="77"/>
        <v/>
      </c>
      <c r="G609" s="34"/>
      <c r="H609" s="30"/>
      <c r="I609" s="153">
        <v>0</v>
      </c>
      <c r="K609" s="227"/>
      <c r="L609" s="97" t="s">
        <v>416</v>
      </c>
      <c r="M609" s="98" t="str">
        <f t="shared" si="71"/>
        <v/>
      </c>
      <c r="N609" s="34"/>
      <c r="O609" s="36" t="str">
        <f t="shared" si="72"/>
        <v/>
      </c>
      <c r="P609" s="216" t="str">
        <f t="shared" si="73"/>
        <v/>
      </c>
      <c r="Q609" s="216" t="str">
        <f t="shared" si="74"/>
        <v/>
      </c>
      <c r="R609" s="217" t="str">
        <f t="shared" si="75"/>
        <v/>
      </c>
    </row>
    <row r="610" spans="1:18" ht="51.75" hidden="1" thickBot="1" x14ac:dyDescent="0.3">
      <c r="A610" s="268"/>
      <c r="B610" s="35" t="s">
        <v>2864</v>
      </c>
      <c r="C610" s="35" t="s">
        <v>813</v>
      </c>
      <c r="D610" s="36">
        <v>0.1071</v>
      </c>
      <c r="E610" s="33">
        <v>252.10149999999999</v>
      </c>
      <c r="F610" s="33">
        <f t="shared" si="77"/>
        <v>27</v>
      </c>
      <c r="G610" s="44">
        <f>SUM(F610:F612)</f>
        <v>35.769999999999996</v>
      </c>
      <c r="H610" s="45"/>
      <c r="I610" s="153">
        <v>0</v>
      </c>
      <c r="K610" s="215">
        <v>0.1071</v>
      </c>
      <c r="L610" s="33">
        <v>252.10149999999999</v>
      </c>
      <c r="M610" s="33">
        <f t="shared" si="71"/>
        <v>27.000070649999998</v>
      </c>
      <c r="N610" s="44">
        <f>SUM(M610:M612)</f>
        <v>35.766722899999998</v>
      </c>
      <c r="O610" s="36" t="str">
        <f t="shared" si="72"/>
        <v/>
      </c>
      <c r="P610" s="216">
        <f t="shared" si="73"/>
        <v>0</v>
      </c>
      <c r="Q610" s="216">
        <f t="shared" si="74"/>
        <v>-2.6166666666771476E-6</v>
      </c>
      <c r="R610" s="217">
        <f t="shared" si="75"/>
        <v>9.1615879228346131E-5</v>
      </c>
    </row>
    <row r="611" spans="1:18" ht="51.75" hidden="1" thickBot="1" x14ac:dyDescent="0.3">
      <c r="A611" s="268"/>
      <c r="B611" s="35" t="s">
        <v>2871</v>
      </c>
      <c r="C611" s="35" t="s">
        <v>815</v>
      </c>
      <c r="D611" s="36">
        <v>4.5900000000000003E-2</v>
      </c>
      <c r="E611" s="33">
        <v>56.201999999999991</v>
      </c>
      <c r="F611" s="33">
        <f t="shared" si="77"/>
        <v>2.58</v>
      </c>
      <c r="G611" s="44"/>
      <c r="H611" s="45"/>
      <c r="I611" s="153">
        <v>0</v>
      </c>
      <c r="K611" s="215">
        <v>4.5900000000000003E-2</v>
      </c>
      <c r="L611" s="33">
        <v>56.201999999999991</v>
      </c>
      <c r="M611" s="33">
        <f t="shared" si="71"/>
        <v>2.5796717999999998</v>
      </c>
      <c r="N611" s="44"/>
      <c r="O611" s="36" t="str">
        <f t="shared" si="72"/>
        <v/>
      </c>
      <c r="P611" s="216">
        <f t="shared" si="73"/>
        <v>0</v>
      </c>
      <c r="Q611" s="216">
        <f t="shared" si="74"/>
        <v>1.2720930232568151E-4</v>
      </c>
      <c r="R611" s="217" t="str">
        <f t="shared" si="75"/>
        <v/>
      </c>
    </row>
    <row r="612" spans="1:18" ht="15.75" hidden="1" thickBot="1" x14ac:dyDescent="0.3">
      <c r="A612" s="268"/>
      <c r="B612" s="35" t="s">
        <v>584</v>
      </c>
      <c r="C612" s="35" t="s">
        <v>583</v>
      </c>
      <c r="D612" s="36">
        <v>0.30590000000000001</v>
      </c>
      <c r="E612" s="30">
        <v>20.225499999999997</v>
      </c>
      <c r="F612" s="33">
        <f t="shared" si="77"/>
        <v>6.19</v>
      </c>
      <c r="G612" s="44"/>
      <c r="H612" s="45"/>
      <c r="I612" s="153">
        <v>0</v>
      </c>
      <c r="K612" s="215">
        <v>0.30590000000000001</v>
      </c>
      <c r="L612" s="30">
        <v>20.225499999999997</v>
      </c>
      <c r="M612" s="33">
        <f t="shared" si="71"/>
        <v>6.1869804499999992</v>
      </c>
      <c r="N612" s="44"/>
      <c r="O612" s="36" t="str">
        <f t="shared" si="72"/>
        <v/>
      </c>
      <c r="P612" s="216">
        <f t="shared" si="73"/>
        <v>0</v>
      </c>
      <c r="Q612" s="216">
        <f t="shared" si="74"/>
        <v>4.8781098546057944E-4</v>
      </c>
      <c r="R612" s="217" t="str">
        <f t="shared" si="75"/>
        <v/>
      </c>
    </row>
    <row r="613" spans="1:18" ht="15.75" hidden="1" thickBot="1" x14ac:dyDescent="0.3">
      <c r="A613" s="270"/>
      <c r="B613" s="103"/>
      <c r="C613" s="79"/>
      <c r="D613" s="95"/>
      <c r="E613" s="66" t="s">
        <v>416</v>
      </c>
      <c r="F613" s="66" t="str">
        <f t="shared" si="77"/>
        <v/>
      </c>
      <c r="G613" s="68"/>
      <c r="H613" s="30"/>
      <c r="I613" s="153">
        <v>0</v>
      </c>
      <c r="K613" s="229"/>
      <c r="L613" s="66" t="s">
        <v>416</v>
      </c>
      <c r="M613" s="66" t="str">
        <f t="shared" si="71"/>
        <v/>
      </c>
      <c r="N613" s="68"/>
      <c r="O613" s="36" t="str">
        <f t="shared" si="72"/>
        <v/>
      </c>
      <c r="P613" s="216" t="str">
        <f t="shared" si="73"/>
        <v/>
      </c>
      <c r="Q613" s="216" t="str">
        <f t="shared" si="74"/>
        <v/>
      </c>
      <c r="R613" s="217" t="str">
        <f t="shared" si="75"/>
        <v/>
      </c>
    </row>
    <row r="614" spans="1:18" ht="26.25" hidden="1" customHeight="1" thickBot="1" x14ac:dyDescent="0.3">
      <c r="A614" s="269" t="s">
        <v>3069</v>
      </c>
      <c r="B614" s="40" t="s">
        <v>416</v>
      </c>
      <c r="C614" s="77" t="s">
        <v>1270</v>
      </c>
      <c r="D614" s="93"/>
      <c r="E614" s="41" t="s">
        <v>416</v>
      </c>
      <c r="F614" s="41" t="str">
        <f t="shared" si="77"/>
        <v/>
      </c>
      <c r="G614" s="28"/>
      <c r="H614" s="29"/>
      <c r="I614" s="153">
        <v>0</v>
      </c>
      <c r="K614" s="226"/>
      <c r="L614" s="41" t="s">
        <v>416</v>
      </c>
      <c r="M614" s="41" t="str">
        <f t="shared" si="71"/>
        <v/>
      </c>
      <c r="N614" s="28"/>
      <c r="O614" s="36" t="str">
        <f t="shared" si="72"/>
        <v/>
      </c>
      <c r="P614" s="216" t="str">
        <f t="shared" si="73"/>
        <v/>
      </c>
      <c r="Q614" s="216" t="str">
        <f t="shared" si="74"/>
        <v/>
      </c>
      <c r="R614" s="217" t="str">
        <f t="shared" si="75"/>
        <v/>
      </c>
    </row>
    <row r="615" spans="1:18" ht="15.75" hidden="1" thickBot="1" x14ac:dyDescent="0.3">
      <c r="A615" s="268"/>
      <c r="B615" s="31" t="s">
        <v>416</v>
      </c>
      <c r="C615" s="78"/>
      <c r="D615" s="91"/>
      <c r="E615" s="97" t="s">
        <v>416</v>
      </c>
      <c r="F615" s="98" t="str">
        <f t="shared" si="77"/>
        <v/>
      </c>
      <c r="G615" s="34"/>
      <c r="H615" s="30"/>
      <c r="I615" s="153">
        <v>0</v>
      </c>
      <c r="K615" s="227"/>
      <c r="L615" s="97" t="s">
        <v>416</v>
      </c>
      <c r="M615" s="98" t="str">
        <f t="shared" si="71"/>
        <v/>
      </c>
      <c r="N615" s="34"/>
      <c r="O615" s="36" t="str">
        <f t="shared" si="72"/>
        <v/>
      </c>
      <c r="P615" s="216" t="str">
        <f t="shared" si="73"/>
        <v/>
      </c>
      <c r="Q615" s="216" t="str">
        <f t="shared" si="74"/>
        <v/>
      </c>
      <c r="R615" s="217" t="str">
        <f t="shared" si="75"/>
        <v/>
      </c>
    </row>
    <row r="616" spans="1:18" ht="51.75" hidden="1" thickBot="1" x14ac:dyDescent="0.3">
      <c r="A616" s="268"/>
      <c r="B616" s="35" t="s">
        <v>2864</v>
      </c>
      <c r="C616" s="35" t="s">
        <v>813</v>
      </c>
      <c r="D616" s="36">
        <v>9.2999999999999992E-3</v>
      </c>
      <c r="E616" s="33">
        <v>252.10149999999999</v>
      </c>
      <c r="F616" s="33">
        <f t="shared" si="77"/>
        <v>2.34</v>
      </c>
      <c r="G616" s="44">
        <f>SUM(F616:F617)</f>
        <v>2.56</v>
      </c>
      <c r="H616" s="45"/>
      <c r="I616" s="153">
        <v>0</v>
      </c>
      <c r="K616" s="215">
        <v>9.2999999999999992E-3</v>
      </c>
      <c r="L616" s="33">
        <v>252.10149999999999</v>
      </c>
      <c r="M616" s="33">
        <f t="shared" si="71"/>
        <v>2.3445439499999998</v>
      </c>
      <c r="N616" s="44">
        <f>SUM(M616:M617)</f>
        <v>2.5693519499999997</v>
      </c>
      <c r="O616" s="36" t="str">
        <f t="shared" si="72"/>
        <v/>
      </c>
      <c r="P616" s="216">
        <f t="shared" si="73"/>
        <v>0</v>
      </c>
      <c r="Q616" s="216">
        <f t="shared" si="74"/>
        <v>-1.9418589743589454E-3</v>
      </c>
      <c r="R616" s="217">
        <f t="shared" si="75"/>
        <v>-3.6531054687498621E-3</v>
      </c>
    </row>
    <row r="617" spans="1:18" ht="51.75" hidden="1" thickBot="1" x14ac:dyDescent="0.3">
      <c r="A617" s="268"/>
      <c r="B617" s="35" t="s">
        <v>2871</v>
      </c>
      <c r="C617" s="35" t="s">
        <v>815</v>
      </c>
      <c r="D617" s="36">
        <v>4.0000000000000001E-3</v>
      </c>
      <c r="E617" s="33">
        <v>56.201999999999991</v>
      </c>
      <c r="F617" s="33">
        <f t="shared" si="77"/>
        <v>0.22</v>
      </c>
      <c r="G617" s="44"/>
      <c r="H617" s="45"/>
      <c r="I617" s="153">
        <v>0</v>
      </c>
      <c r="K617" s="215">
        <v>4.0000000000000001E-3</v>
      </c>
      <c r="L617" s="33">
        <v>56.201999999999991</v>
      </c>
      <c r="M617" s="33">
        <f t="shared" si="71"/>
        <v>0.22480799999999998</v>
      </c>
      <c r="N617" s="44"/>
      <c r="O617" s="36" t="str">
        <f t="shared" si="72"/>
        <v/>
      </c>
      <c r="P617" s="216">
        <f t="shared" si="73"/>
        <v>0</v>
      </c>
      <c r="Q617" s="216">
        <f t="shared" si="74"/>
        <v>-2.1854545454545349E-2</v>
      </c>
      <c r="R617" s="217" t="str">
        <f t="shared" si="75"/>
        <v/>
      </c>
    </row>
    <row r="618" spans="1:18" ht="15.75" hidden="1" thickBot="1" x14ac:dyDescent="0.3">
      <c r="A618" s="270"/>
      <c r="B618" s="103"/>
      <c r="C618" s="79"/>
      <c r="D618" s="95"/>
      <c r="E618" s="66" t="s">
        <v>416</v>
      </c>
      <c r="F618" s="66" t="str">
        <f t="shared" si="77"/>
        <v/>
      </c>
      <c r="G618" s="68"/>
      <c r="H618" s="30"/>
      <c r="I618" s="153">
        <v>0</v>
      </c>
      <c r="K618" s="229"/>
      <c r="L618" s="66" t="s">
        <v>416</v>
      </c>
      <c r="M618" s="66" t="str">
        <f t="shared" si="71"/>
        <v/>
      </c>
      <c r="N618" s="68"/>
      <c r="O618" s="36" t="str">
        <f t="shared" si="72"/>
        <v/>
      </c>
      <c r="P618" s="216" t="str">
        <f t="shared" si="73"/>
        <v/>
      </c>
      <c r="Q618" s="216" t="str">
        <f t="shared" si="74"/>
        <v/>
      </c>
      <c r="R618" s="217" t="str">
        <f t="shared" si="75"/>
        <v/>
      </c>
    </row>
    <row r="619" spans="1:18" ht="26.25" hidden="1" customHeight="1" thickBot="1" x14ac:dyDescent="0.3">
      <c r="A619" s="269" t="s">
        <v>3070</v>
      </c>
      <c r="B619" s="40" t="s">
        <v>416</v>
      </c>
      <c r="C619" s="77" t="s">
        <v>1270</v>
      </c>
      <c r="D619" s="93"/>
      <c r="E619" s="41" t="s">
        <v>416</v>
      </c>
      <c r="F619" s="41" t="str">
        <f t="shared" si="77"/>
        <v/>
      </c>
      <c r="G619" s="28"/>
      <c r="H619" s="29"/>
      <c r="I619" s="153">
        <v>0</v>
      </c>
      <c r="K619" s="226"/>
      <c r="L619" s="41" t="s">
        <v>416</v>
      </c>
      <c r="M619" s="41" t="str">
        <f t="shared" si="71"/>
        <v/>
      </c>
      <c r="N619" s="28"/>
      <c r="O619" s="36" t="str">
        <f t="shared" si="72"/>
        <v/>
      </c>
      <c r="P619" s="216" t="str">
        <f t="shared" si="73"/>
        <v/>
      </c>
      <c r="Q619" s="216" t="str">
        <f t="shared" si="74"/>
        <v/>
      </c>
      <c r="R619" s="217" t="str">
        <f t="shared" si="75"/>
        <v/>
      </c>
    </row>
    <row r="620" spans="1:18" ht="15.75" hidden="1" thickBot="1" x14ac:dyDescent="0.3">
      <c r="A620" s="268"/>
      <c r="B620" s="31" t="s">
        <v>416</v>
      </c>
      <c r="C620" s="78"/>
      <c r="D620" s="91"/>
      <c r="E620" s="97" t="s">
        <v>416</v>
      </c>
      <c r="F620" s="98" t="str">
        <f t="shared" si="77"/>
        <v/>
      </c>
      <c r="G620" s="34"/>
      <c r="H620" s="30"/>
      <c r="I620" s="153">
        <v>0</v>
      </c>
      <c r="K620" s="227"/>
      <c r="L620" s="97" t="s">
        <v>416</v>
      </c>
      <c r="M620" s="98" t="str">
        <f t="shared" si="71"/>
        <v/>
      </c>
      <c r="N620" s="34"/>
      <c r="O620" s="36" t="str">
        <f t="shared" si="72"/>
        <v/>
      </c>
      <c r="P620" s="216" t="str">
        <f t="shared" si="73"/>
        <v/>
      </c>
      <c r="Q620" s="216" t="str">
        <f t="shared" si="74"/>
        <v/>
      </c>
      <c r="R620" s="217" t="str">
        <f t="shared" si="75"/>
        <v/>
      </c>
    </row>
    <row r="621" spans="1:18" ht="51.75" hidden="1" thickBot="1" x14ac:dyDescent="0.3">
      <c r="A621" s="268"/>
      <c r="B621" s="35" t="s">
        <v>2864</v>
      </c>
      <c r="C621" s="35" t="s">
        <v>813</v>
      </c>
      <c r="D621" s="36">
        <v>3.7000000000000002E-3</v>
      </c>
      <c r="E621" s="33">
        <v>252.10149999999999</v>
      </c>
      <c r="F621" s="33">
        <f t="shared" si="77"/>
        <v>0.93</v>
      </c>
      <c r="G621" s="44">
        <f>SUM(F621:F622)</f>
        <v>1.02</v>
      </c>
      <c r="H621" s="45"/>
      <c r="I621" s="153">
        <v>0</v>
      </c>
      <c r="K621" s="215">
        <v>3.7000000000000002E-3</v>
      </c>
      <c r="L621" s="33">
        <v>252.10149999999999</v>
      </c>
      <c r="M621" s="33">
        <f t="shared" si="71"/>
        <v>0.93277555000000001</v>
      </c>
      <c r="N621" s="44">
        <f>SUM(M621:M622)</f>
        <v>1.02269875</v>
      </c>
      <c r="O621" s="36" t="str">
        <f t="shared" si="72"/>
        <v/>
      </c>
      <c r="P621" s="216">
        <f t="shared" si="73"/>
        <v>0</v>
      </c>
      <c r="Q621" s="216">
        <f t="shared" si="74"/>
        <v>-2.984462365591245E-3</v>
      </c>
      <c r="R621" s="217">
        <f t="shared" si="75"/>
        <v>-2.6458333333332362E-3</v>
      </c>
    </row>
    <row r="622" spans="1:18" ht="51.75" hidden="1" thickBot="1" x14ac:dyDescent="0.3">
      <c r="A622" s="268"/>
      <c r="B622" s="35" t="s">
        <v>2871</v>
      </c>
      <c r="C622" s="35" t="s">
        <v>815</v>
      </c>
      <c r="D622" s="36">
        <v>1.6000000000000001E-3</v>
      </c>
      <c r="E622" s="33">
        <v>56.201999999999991</v>
      </c>
      <c r="F622" s="33">
        <f t="shared" si="77"/>
        <v>0.09</v>
      </c>
      <c r="G622" s="44"/>
      <c r="H622" s="45"/>
      <c r="I622" s="153">
        <v>0</v>
      </c>
      <c r="K622" s="215">
        <v>1.6000000000000001E-3</v>
      </c>
      <c r="L622" s="33">
        <v>56.201999999999991</v>
      </c>
      <c r="M622" s="33">
        <f t="shared" si="71"/>
        <v>8.9923199999999995E-2</v>
      </c>
      <c r="N622" s="44"/>
      <c r="O622" s="36" t="str">
        <f t="shared" si="72"/>
        <v/>
      </c>
      <c r="P622" s="216">
        <f t="shared" si="73"/>
        <v>0</v>
      </c>
      <c r="Q622" s="216">
        <f t="shared" si="74"/>
        <v>8.5333333333337258E-4</v>
      </c>
      <c r="R622" s="217" t="str">
        <f t="shared" si="75"/>
        <v/>
      </c>
    </row>
    <row r="623" spans="1:18" ht="15.75" hidden="1" thickBot="1" x14ac:dyDescent="0.3">
      <c r="A623" s="270"/>
      <c r="B623" s="103"/>
      <c r="C623" s="79"/>
      <c r="D623" s="95"/>
      <c r="E623" s="66" t="s">
        <v>416</v>
      </c>
      <c r="F623" s="66" t="str">
        <f t="shared" si="77"/>
        <v/>
      </c>
      <c r="G623" s="68"/>
      <c r="H623" s="30"/>
      <c r="I623" s="153">
        <v>0</v>
      </c>
      <c r="K623" s="229"/>
      <c r="L623" s="66" t="s">
        <v>416</v>
      </c>
      <c r="M623" s="66" t="str">
        <f t="shared" si="71"/>
        <v/>
      </c>
      <c r="N623" s="68"/>
      <c r="O623" s="36" t="str">
        <f t="shared" si="72"/>
        <v/>
      </c>
      <c r="P623" s="216" t="str">
        <f t="shared" si="73"/>
        <v/>
      </c>
      <c r="Q623" s="216" t="str">
        <f t="shared" si="74"/>
        <v/>
      </c>
      <c r="R623" s="217" t="str">
        <f t="shared" si="75"/>
        <v/>
      </c>
    </row>
    <row r="624" spans="1:18" ht="26.25" hidden="1" customHeight="1" thickBot="1" x14ac:dyDescent="0.3">
      <c r="A624" s="269" t="s">
        <v>3074</v>
      </c>
      <c r="B624" s="40" t="s">
        <v>416</v>
      </c>
      <c r="C624" s="77" t="s">
        <v>1141</v>
      </c>
      <c r="D624" s="93"/>
      <c r="E624" s="41" t="s">
        <v>416</v>
      </c>
      <c r="F624" s="41" t="str">
        <f t="shared" si="77"/>
        <v/>
      </c>
      <c r="G624" s="28"/>
      <c r="H624" s="29"/>
      <c r="I624" s="153">
        <v>0</v>
      </c>
      <c r="K624" s="226"/>
      <c r="L624" s="41" t="s">
        <v>416</v>
      </c>
      <c r="M624" s="41" t="str">
        <f t="shared" si="71"/>
        <v/>
      </c>
      <c r="N624" s="28"/>
      <c r="O624" s="36" t="str">
        <f t="shared" si="72"/>
        <v/>
      </c>
      <c r="P624" s="216" t="str">
        <f t="shared" si="73"/>
        <v/>
      </c>
      <c r="Q624" s="216" t="str">
        <f t="shared" si="74"/>
        <v/>
      </c>
      <c r="R624" s="217" t="str">
        <f t="shared" si="75"/>
        <v/>
      </c>
    </row>
    <row r="625" spans="1:18" ht="15.75" hidden="1" thickBot="1" x14ac:dyDescent="0.3">
      <c r="A625" s="268"/>
      <c r="B625" s="31" t="s">
        <v>416</v>
      </c>
      <c r="C625" s="78"/>
      <c r="D625" s="91"/>
      <c r="E625" s="97" t="s">
        <v>416</v>
      </c>
      <c r="F625" s="98" t="str">
        <f t="shared" si="77"/>
        <v/>
      </c>
      <c r="G625" s="34"/>
      <c r="H625" s="30"/>
      <c r="I625" s="153">
        <v>0</v>
      </c>
      <c r="K625" s="227"/>
      <c r="L625" s="97" t="s">
        <v>416</v>
      </c>
      <c r="M625" s="98" t="str">
        <f t="shared" si="71"/>
        <v/>
      </c>
      <c r="N625" s="34"/>
      <c r="O625" s="36" t="str">
        <f t="shared" si="72"/>
        <v/>
      </c>
      <c r="P625" s="216" t="str">
        <f t="shared" si="73"/>
        <v/>
      </c>
      <c r="Q625" s="216" t="str">
        <f t="shared" si="74"/>
        <v/>
      </c>
      <c r="R625" s="217" t="str">
        <f t="shared" si="75"/>
        <v/>
      </c>
    </row>
    <row r="626" spans="1:18" ht="51.75" hidden="1" thickBot="1" x14ac:dyDescent="0.3">
      <c r="A626" s="268"/>
      <c r="B626" s="35" t="s">
        <v>2864</v>
      </c>
      <c r="C626" s="35" t="s">
        <v>813</v>
      </c>
      <c r="D626" s="36">
        <v>8.1199999999999994E-2</v>
      </c>
      <c r="E626" s="33">
        <v>252.10149999999999</v>
      </c>
      <c r="F626" s="33">
        <f t="shared" si="77"/>
        <v>20.47</v>
      </c>
      <c r="G626" s="44">
        <f>SUM(F626:F628)</f>
        <v>27.12</v>
      </c>
      <c r="H626" s="45"/>
      <c r="I626" s="153">
        <v>0</v>
      </c>
      <c r="K626" s="215">
        <v>8.1199999999999994E-2</v>
      </c>
      <c r="L626" s="33">
        <v>252.10149999999999</v>
      </c>
      <c r="M626" s="33">
        <f t="shared" si="71"/>
        <v>20.470641799999999</v>
      </c>
      <c r="N626" s="44">
        <f>SUM(M626:M628)</f>
        <v>27.120809949999995</v>
      </c>
      <c r="O626" s="36" t="str">
        <f t="shared" si="72"/>
        <v/>
      </c>
      <c r="P626" s="216">
        <f t="shared" si="73"/>
        <v>0</v>
      </c>
      <c r="Q626" s="216">
        <f t="shared" si="74"/>
        <v>-3.1353199804629028E-5</v>
      </c>
      <c r="R626" s="217">
        <f t="shared" si="75"/>
        <v>-2.986541297911316E-5</v>
      </c>
    </row>
    <row r="627" spans="1:18" ht="51.75" hidden="1" thickBot="1" x14ac:dyDescent="0.3">
      <c r="A627" s="268"/>
      <c r="B627" s="35" t="s">
        <v>2871</v>
      </c>
      <c r="C627" s="35" t="s">
        <v>815</v>
      </c>
      <c r="D627" s="36">
        <v>3.4799999999999998E-2</v>
      </c>
      <c r="E627" s="33">
        <v>56.201999999999991</v>
      </c>
      <c r="F627" s="33">
        <f t="shared" si="77"/>
        <v>1.96</v>
      </c>
      <c r="G627" s="44"/>
      <c r="H627" s="45"/>
      <c r="I627" s="153">
        <v>0</v>
      </c>
      <c r="K627" s="215">
        <v>3.4799999999999998E-2</v>
      </c>
      <c r="L627" s="33">
        <v>56.201999999999991</v>
      </c>
      <c r="M627" s="33">
        <f t="shared" si="71"/>
        <v>1.9558295999999995</v>
      </c>
      <c r="N627" s="44"/>
      <c r="O627" s="36" t="str">
        <f t="shared" si="72"/>
        <v/>
      </c>
      <c r="P627" s="216">
        <f t="shared" si="73"/>
        <v>0</v>
      </c>
      <c r="Q627" s="216">
        <f t="shared" si="74"/>
        <v>2.1277551020411067E-3</v>
      </c>
      <c r="R627" s="217" t="str">
        <f t="shared" si="75"/>
        <v/>
      </c>
    </row>
    <row r="628" spans="1:18" ht="15.75" hidden="1" thickBot="1" x14ac:dyDescent="0.3">
      <c r="A628" s="268"/>
      <c r="B628" s="35" t="s">
        <v>584</v>
      </c>
      <c r="C628" s="35" t="s">
        <v>583</v>
      </c>
      <c r="D628" s="36">
        <v>0.2321</v>
      </c>
      <c r="E628" s="30">
        <v>20.225499999999997</v>
      </c>
      <c r="F628" s="33">
        <f t="shared" si="77"/>
        <v>4.6900000000000004</v>
      </c>
      <c r="G628" s="44"/>
      <c r="H628" s="45"/>
      <c r="I628" s="153">
        <v>0</v>
      </c>
      <c r="K628" s="215">
        <v>0.2321</v>
      </c>
      <c r="L628" s="30">
        <v>20.225499999999997</v>
      </c>
      <c r="M628" s="33">
        <f t="shared" si="71"/>
        <v>4.6943385499999994</v>
      </c>
      <c r="N628" s="44"/>
      <c r="O628" s="36" t="str">
        <f t="shared" si="72"/>
        <v/>
      </c>
      <c r="P628" s="216">
        <f t="shared" si="73"/>
        <v>0</v>
      </c>
      <c r="Q628" s="216">
        <f t="shared" si="74"/>
        <v>-9.2506396588465378E-4</v>
      </c>
      <c r="R628" s="217" t="str">
        <f t="shared" si="75"/>
        <v/>
      </c>
    </row>
    <row r="629" spans="1:18" ht="15.75" hidden="1" thickBot="1" x14ac:dyDescent="0.3">
      <c r="A629" s="270"/>
      <c r="B629" s="103"/>
      <c r="C629" s="79"/>
      <c r="D629" s="95"/>
      <c r="E629" s="66" t="s">
        <v>416</v>
      </c>
      <c r="F629" s="66" t="str">
        <f t="shared" si="77"/>
        <v/>
      </c>
      <c r="G629" s="68"/>
      <c r="H629" s="30"/>
      <c r="I629" s="153">
        <v>0</v>
      </c>
      <c r="K629" s="229"/>
      <c r="L629" s="66" t="s">
        <v>416</v>
      </c>
      <c r="M629" s="66" t="str">
        <f t="shared" si="71"/>
        <v/>
      </c>
      <c r="N629" s="68"/>
      <c r="O629" s="36" t="str">
        <f t="shared" si="72"/>
        <v/>
      </c>
      <c r="P629" s="216" t="str">
        <f t="shared" si="73"/>
        <v/>
      </c>
      <c r="Q629" s="216" t="str">
        <f t="shared" si="74"/>
        <v/>
      </c>
      <c r="R629" s="217" t="str">
        <f t="shared" si="75"/>
        <v/>
      </c>
    </row>
    <row r="630" spans="1:18" ht="15.75" thickBot="1" x14ac:dyDescent="0.3">
      <c r="A630" s="269" t="s">
        <v>5739</v>
      </c>
      <c r="B630" s="40" t="s">
        <v>416</v>
      </c>
      <c r="C630" s="25" t="s">
        <v>87</v>
      </c>
      <c r="D630" s="93"/>
      <c r="E630" s="41" t="s">
        <v>416</v>
      </c>
      <c r="F630" s="41" t="str">
        <f t="shared" ref="F630:F643" si="78">IF(ISNUMBER(E630),E630*$D630,"")</f>
        <v/>
      </c>
      <c r="G630" s="28"/>
      <c r="H630" s="29"/>
      <c r="I630" s="153">
        <v>1.6545000000000001</v>
      </c>
      <c r="K630" s="226"/>
      <c r="L630" s="41" t="s">
        <v>416</v>
      </c>
      <c r="M630" s="41" t="str">
        <f t="shared" si="71"/>
        <v/>
      </c>
      <c r="N630" s="28"/>
      <c r="O630" s="36" t="str">
        <f t="shared" si="72"/>
        <v/>
      </c>
      <c r="P630" s="216" t="str">
        <f t="shared" si="73"/>
        <v/>
      </c>
      <c r="Q630" s="216" t="str">
        <f t="shared" si="74"/>
        <v/>
      </c>
      <c r="R630" s="217" t="str">
        <f t="shared" si="75"/>
        <v/>
      </c>
    </row>
    <row r="631" spans="1:18" x14ac:dyDescent="0.25">
      <c r="A631" s="268"/>
      <c r="B631" s="31" t="s">
        <v>416</v>
      </c>
      <c r="C631" s="31"/>
      <c r="D631" s="91"/>
      <c r="E631" s="42" t="s">
        <v>416</v>
      </c>
      <c r="F631" s="30" t="str">
        <f t="shared" si="78"/>
        <v/>
      </c>
      <c r="G631" s="34"/>
      <c r="H631" s="30"/>
      <c r="I631" s="153">
        <v>1.6545000000000001</v>
      </c>
      <c r="K631" s="227"/>
      <c r="L631" s="42" t="s">
        <v>416</v>
      </c>
      <c r="M631" s="30" t="str">
        <f t="shared" si="71"/>
        <v/>
      </c>
      <c r="N631" s="34"/>
      <c r="O631" s="36" t="str">
        <f t="shared" si="72"/>
        <v/>
      </c>
      <c r="P631" s="216" t="str">
        <f t="shared" si="73"/>
        <v/>
      </c>
      <c r="Q631" s="216" t="str">
        <f t="shared" si="74"/>
        <v/>
      </c>
      <c r="R631" s="217" t="str">
        <f t="shared" si="75"/>
        <v/>
      </c>
    </row>
    <row r="632" spans="1:18" ht="25.5" x14ac:dyDescent="0.25">
      <c r="A632" s="268"/>
      <c r="B632" s="35" t="s">
        <v>7985</v>
      </c>
      <c r="C632" s="35" t="s">
        <v>87</v>
      </c>
      <c r="D632" s="36">
        <v>0.71189999999999998</v>
      </c>
      <c r="E632" s="33">
        <v>202.33099999999999</v>
      </c>
      <c r="F632" s="33">
        <f t="shared" si="78"/>
        <v>144.03943889999999</v>
      </c>
      <c r="G632" s="44">
        <f>SUM(F632:F640)</f>
        <v>642.96511536752996</v>
      </c>
      <c r="H632" s="45"/>
      <c r="I632" s="153">
        <v>1.6545000000000001</v>
      </c>
      <c r="K632" s="215">
        <v>0.71189999999999998</v>
      </c>
      <c r="L632" s="33">
        <v>202.33099999999999</v>
      </c>
      <c r="M632" s="33">
        <f t="shared" si="71"/>
        <v>144.03943889999999</v>
      </c>
      <c r="N632" s="44">
        <f>SUM(M632:M640)</f>
        <v>642.96511536752996</v>
      </c>
      <c r="O632" s="36" t="str">
        <f t="shared" si="72"/>
        <v/>
      </c>
      <c r="P632" s="216">
        <f t="shared" si="73"/>
        <v>0</v>
      </c>
      <c r="Q632" s="216">
        <f t="shared" si="74"/>
        <v>0</v>
      </c>
      <c r="R632" s="217">
        <f t="shared" si="75"/>
        <v>0</v>
      </c>
    </row>
    <row r="633" spans="1:18" x14ac:dyDescent="0.25">
      <c r="A633" s="268"/>
      <c r="B633" s="35" t="s">
        <v>8065</v>
      </c>
      <c r="C633" s="35" t="s">
        <v>773</v>
      </c>
      <c r="D633" s="36">
        <v>391.16629999999998</v>
      </c>
      <c r="E633" s="33">
        <v>0.627</v>
      </c>
      <c r="F633" s="33">
        <f t="shared" si="78"/>
        <v>245.26127009999999</v>
      </c>
      <c r="G633" s="44"/>
      <c r="H633" s="45"/>
      <c r="I633" s="153">
        <v>1.6545000000000001</v>
      </c>
      <c r="K633" s="215">
        <v>391.16629999999998</v>
      </c>
      <c r="L633" s="33">
        <v>0.627</v>
      </c>
      <c r="M633" s="33">
        <f t="shared" si="71"/>
        <v>245.26127009999999</v>
      </c>
      <c r="N633" s="44"/>
      <c r="O633" s="36" t="str">
        <f t="shared" si="72"/>
        <v/>
      </c>
      <c r="P633" s="216">
        <f t="shared" si="73"/>
        <v>0</v>
      </c>
      <c r="Q633" s="216">
        <f t="shared" si="74"/>
        <v>0</v>
      </c>
      <c r="R633" s="217" t="str">
        <f t="shared" si="75"/>
        <v/>
      </c>
    </row>
    <row r="634" spans="1:18" ht="25.5" x14ac:dyDescent="0.25">
      <c r="A634" s="268"/>
      <c r="B634" s="35" t="s">
        <v>8311</v>
      </c>
      <c r="C634" s="35" t="s">
        <v>87</v>
      </c>
      <c r="D634" s="36">
        <v>0.5927</v>
      </c>
      <c r="E634" s="33">
        <v>176.453</v>
      </c>
      <c r="F634" s="33">
        <f t="shared" si="78"/>
        <v>104.5836931</v>
      </c>
      <c r="G634" s="44"/>
      <c r="H634" s="45"/>
      <c r="I634" s="153">
        <v>1.6545000000000001</v>
      </c>
      <c r="K634" s="215">
        <v>0.5927</v>
      </c>
      <c r="L634" s="33">
        <v>176.453</v>
      </c>
      <c r="M634" s="33">
        <f t="shared" si="71"/>
        <v>104.5836931</v>
      </c>
      <c r="N634" s="44"/>
      <c r="O634" s="36" t="str">
        <f t="shared" si="72"/>
        <v/>
      </c>
      <c r="P634" s="216">
        <f t="shared" si="73"/>
        <v>0</v>
      </c>
      <c r="Q634" s="216">
        <f t="shared" si="74"/>
        <v>0</v>
      </c>
      <c r="R634" s="217" t="str">
        <f t="shared" si="75"/>
        <v/>
      </c>
    </row>
    <row r="635" spans="1:18" x14ac:dyDescent="0.25">
      <c r="A635" s="268"/>
      <c r="B635" s="35" t="s">
        <v>584</v>
      </c>
      <c r="C635" s="35" t="s">
        <v>583</v>
      </c>
      <c r="D635" s="36">
        <v>1.9633</v>
      </c>
      <c r="E635" s="30">
        <v>20.225499999999997</v>
      </c>
      <c r="F635" s="33">
        <f t="shared" si="78"/>
        <v>39.708724149999995</v>
      </c>
      <c r="G635" s="44"/>
      <c r="H635" s="45"/>
      <c r="I635" s="153">
        <v>1.6545000000000001</v>
      </c>
      <c r="K635" s="215">
        <v>1.9633</v>
      </c>
      <c r="L635" s="30">
        <v>20.225499999999997</v>
      </c>
      <c r="M635" s="33">
        <f t="shared" si="71"/>
        <v>39.708724149999995</v>
      </c>
      <c r="N635" s="44"/>
      <c r="O635" s="36" t="str">
        <f t="shared" si="72"/>
        <v/>
      </c>
      <c r="P635" s="216">
        <f t="shared" si="73"/>
        <v>0</v>
      </c>
      <c r="Q635" s="216">
        <f t="shared" si="74"/>
        <v>0</v>
      </c>
      <c r="R635" s="217" t="str">
        <f t="shared" si="75"/>
        <v/>
      </c>
    </row>
    <row r="636" spans="1:18" ht="25.5" x14ac:dyDescent="0.25">
      <c r="A636" s="268"/>
      <c r="B636" s="35" t="s">
        <v>1271</v>
      </c>
      <c r="C636" s="35" t="s">
        <v>583</v>
      </c>
      <c r="D636" s="36">
        <v>1.24</v>
      </c>
      <c r="E636" s="30">
        <v>20.291999999999998</v>
      </c>
      <c r="F636" s="94">
        <f t="shared" si="78"/>
        <v>25.162079999999996</v>
      </c>
      <c r="G636" s="44"/>
      <c r="H636" s="45"/>
      <c r="I636" s="153">
        <v>1.6545000000000001</v>
      </c>
      <c r="K636" s="215">
        <v>1.24</v>
      </c>
      <c r="L636" s="30">
        <v>20.291999999999998</v>
      </c>
      <c r="M636" s="94">
        <f t="shared" si="71"/>
        <v>25.162079999999996</v>
      </c>
      <c r="N636" s="44"/>
      <c r="O636" s="36" t="str">
        <f t="shared" si="72"/>
        <v/>
      </c>
      <c r="P636" s="216">
        <f t="shared" si="73"/>
        <v>0</v>
      </c>
      <c r="Q636" s="216">
        <f t="shared" si="74"/>
        <v>0</v>
      </c>
      <c r="R636" s="217" t="str">
        <f t="shared" si="75"/>
        <v/>
      </c>
    </row>
    <row r="637" spans="1:18" ht="38.25" x14ac:dyDescent="0.25">
      <c r="A637" s="268"/>
      <c r="B637" s="35" t="s">
        <v>1218</v>
      </c>
      <c r="C637" s="35" t="s">
        <v>813</v>
      </c>
      <c r="D637" s="36">
        <v>0.63819999999999999</v>
      </c>
      <c r="E637" s="30">
        <v>5.1395</v>
      </c>
      <c r="F637" s="94">
        <f t="shared" si="78"/>
        <v>3.2800289</v>
      </c>
      <c r="G637" s="44"/>
      <c r="H637" s="45"/>
      <c r="I637" s="153">
        <v>1.6545000000000001</v>
      </c>
      <c r="K637" s="215">
        <v>0.63819999999999999</v>
      </c>
      <c r="L637" s="30">
        <v>5.1395</v>
      </c>
      <c r="M637" s="94">
        <f t="shared" si="71"/>
        <v>3.2800289</v>
      </c>
      <c r="N637" s="44"/>
      <c r="O637" s="36" t="str">
        <f t="shared" si="72"/>
        <v/>
      </c>
      <c r="P637" s="216">
        <f t="shared" si="73"/>
        <v>0</v>
      </c>
      <c r="Q637" s="216">
        <f t="shared" si="74"/>
        <v>0</v>
      </c>
      <c r="R637" s="217" t="str">
        <f t="shared" si="75"/>
        <v/>
      </c>
    </row>
    <row r="638" spans="1:18" ht="38.25" x14ac:dyDescent="0.25">
      <c r="A638" s="268"/>
      <c r="B638" s="35" t="s">
        <v>1272</v>
      </c>
      <c r="C638" s="35" t="s">
        <v>815</v>
      </c>
      <c r="D638" s="36">
        <v>0.6018</v>
      </c>
      <c r="E638" s="30">
        <v>1.7954999999999999</v>
      </c>
      <c r="F638" s="33">
        <f t="shared" si="78"/>
        <v>1.0805319</v>
      </c>
      <c r="G638" s="44"/>
      <c r="H638" s="45"/>
      <c r="I638" s="153">
        <v>1.6545000000000001</v>
      </c>
      <c r="K638" s="215">
        <v>0.6018</v>
      </c>
      <c r="L638" s="30">
        <v>1.7954999999999999</v>
      </c>
      <c r="M638" s="33">
        <f t="shared" si="71"/>
        <v>1.0805319</v>
      </c>
      <c r="N638" s="44"/>
      <c r="O638" s="36" t="str">
        <f t="shared" si="72"/>
        <v/>
      </c>
      <c r="P638" s="216">
        <f t="shared" si="73"/>
        <v>0</v>
      </c>
      <c r="Q638" s="216">
        <f t="shared" si="74"/>
        <v>0</v>
      </c>
      <c r="R638" s="217" t="str">
        <f t="shared" si="75"/>
        <v/>
      </c>
    </row>
    <row r="639" spans="1:18" ht="51" x14ac:dyDescent="0.25">
      <c r="A639" s="268"/>
      <c r="B639" s="35" t="s">
        <v>3071</v>
      </c>
      <c r="C639" s="35" t="s">
        <v>87</v>
      </c>
      <c r="D639" s="36">
        <f>ROUND(1*(D632+D634),4)</f>
        <v>1.3046</v>
      </c>
      <c r="E639" s="30">
        <v>8.0531015499999992</v>
      </c>
      <c r="F639" s="33">
        <f t="shared" si="78"/>
        <v>10.50607628213</v>
      </c>
      <c r="G639" s="44"/>
      <c r="H639" s="45"/>
      <c r="I639" s="153">
        <v>1.6545000000000001</v>
      </c>
      <c r="K639" s="215">
        <v>1.3046</v>
      </c>
      <c r="L639" s="30">
        <v>8.0531015499999992</v>
      </c>
      <c r="M639" s="33">
        <f t="shared" si="71"/>
        <v>10.50607628213</v>
      </c>
      <c r="N639" s="44"/>
      <c r="O639" s="36" t="str">
        <f t="shared" si="72"/>
        <v/>
      </c>
      <c r="P639" s="216">
        <f t="shared" si="73"/>
        <v>0</v>
      </c>
      <c r="Q639" s="216">
        <f t="shared" si="74"/>
        <v>0</v>
      </c>
      <c r="R639" s="217" t="str">
        <f t="shared" si="75"/>
        <v/>
      </c>
    </row>
    <row r="640" spans="1:18" ht="38.25" x14ac:dyDescent="0.25">
      <c r="A640" s="268"/>
      <c r="B640" s="35" t="s">
        <v>3068</v>
      </c>
      <c r="C640" s="46" t="s">
        <v>89</v>
      </c>
      <c r="D640" s="36">
        <f>ROUND((D632+D634)*20,4)</f>
        <v>26.091999999999999</v>
      </c>
      <c r="E640" s="30">
        <v>2.6576449499999995</v>
      </c>
      <c r="F640" s="33">
        <f t="shared" si="78"/>
        <v>69.343272035399977</v>
      </c>
      <c r="G640" s="44"/>
      <c r="H640" s="45"/>
      <c r="I640" s="153">
        <v>1.6545000000000001</v>
      </c>
      <c r="K640" s="215">
        <v>26.091999999999999</v>
      </c>
      <c r="L640" s="30">
        <v>2.6576449499999995</v>
      </c>
      <c r="M640" s="33">
        <f t="shared" si="71"/>
        <v>69.343272035399977</v>
      </c>
      <c r="N640" s="44"/>
      <c r="O640" s="36" t="str">
        <f t="shared" si="72"/>
        <v/>
      </c>
      <c r="P640" s="216">
        <f t="shared" si="73"/>
        <v>0</v>
      </c>
      <c r="Q640" s="216">
        <f t="shared" si="74"/>
        <v>0</v>
      </c>
      <c r="R640" s="217" t="str">
        <f t="shared" si="75"/>
        <v/>
      </c>
    </row>
    <row r="641" spans="1:18" x14ac:dyDescent="0.25">
      <c r="A641" s="268"/>
      <c r="B641" s="50"/>
      <c r="C641" s="46"/>
      <c r="D641" s="36"/>
      <c r="E641" s="30" t="s">
        <v>416</v>
      </c>
      <c r="F641" s="33" t="str">
        <f t="shared" si="78"/>
        <v/>
      </c>
      <c r="G641" s="44"/>
      <c r="H641" s="45"/>
      <c r="I641" s="153">
        <v>1.6545000000000001</v>
      </c>
      <c r="K641" s="215"/>
      <c r="L641" s="30" t="s">
        <v>416</v>
      </c>
      <c r="M641" s="33" t="str">
        <f t="shared" si="71"/>
        <v/>
      </c>
      <c r="N641" s="44"/>
      <c r="O641" s="36" t="str">
        <f t="shared" si="72"/>
        <v/>
      </c>
      <c r="P641" s="216" t="str">
        <f t="shared" si="73"/>
        <v/>
      </c>
      <c r="Q641" s="216" t="str">
        <f t="shared" si="74"/>
        <v/>
      </c>
      <c r="R641" s="217" t="str">
        <f t="shared" si="75"/>
        <v/>
      </c>
    </row>
    <row r="642" spans="1:18" ht="25.5" x14ac:dyDescent="0.25">
      <c r="A642" s="268"/>
      <c r="B642" s="47" t="s">
        <v>90</v>
      </c>
      <c r="C642" s="46"/>
      <c r="D642" s="36"/>
      <c r="E642" s="30" t="s">
        <v>416</v>
      </c>
      <c r="F642" s="33" t="str">
        <f t="shared" si="78"/>
        <v/>
      </c>
      <c r="G642" s="44"/>
      <c r="H642" s="45"/>
      <c r="I642" s="153">
        <v>1.6545000000000001</v>
      </c>
      <c r="K642" s="215"/>
      <c r="L642" s="30" t="s">
        <v>416</v>
      </c>
      <c r="M642" s="33" t="str">
        <f t="shared" si="71"/>
        <v/>
      </c>
      <c r="N642" s="44"/>
      <c r="O642" s="36" t="str">
        <f t="shared" si="72"/>
        <v/>
      </c>
      <c r="P642" s="216" t="str">
        <f t="shared" si="73"/>
        <v/>
      </c>
      <c r="Q642" s="216" t="str">
        <f t="shared" si="74"/>
        <v/>
      </c>
      <c r="R642" s="217" t="str">
        <f t="shared" si="75"/>
        <v/>
      </c>
    </row>
    <row r="643" spans="1:18" ht="15.75" thickBot="1" x14ac:dyDescent="0.3">
      <c r="A643" s="270"/>
      <c r="B643" s="54" t="s">
        <v>416</v>
      </c>
      <c r="C643" s="54"/>
      <c r="D643" s="95"/>
      <c r="E643" s="66" t="s">
        <v>416</v>
      </c>
      <c r="F643" s="66" t="str">
        <f t="shared" si="78"/>
        <v/>
      </c>
      <c r="G643" s="68"/>
      <c r="H643" s="30"/>
      <c r="I643" s="153">
        <v>1.6545000000000001</v>
      </c>
      <c r="K643" s="229"/>
      <c r="L643" s="66" t="s">
        <v>416</v>
      </c>
      <c r="M643" s="66" t="str">
        <f t="shared" si="71"/>
        <v/>
      </c>
      <c r="N643" s="68"/>
      <c r="O643" s="65" t="str">
        <f t="shared" si="72"/>
        <v/>
      </c>
      <c r="P643" s="224" t="str">
        <f t="shared" si="73"/>
        <v/>
      </c>
      <c r="Q643" s="224" t="str">
        <f t="shared" si="74"/>
        <v/>
      </c>
      <c r="R643" s="225" t="str">
        <f t="shared" si="75"/>
        <v/>
      </c>
    </row>
  </sheetData>
  <autoFilter ref="A5:I643">
    <filterColumn colId="8">
      <filters>
        <filter val="0,0038"/>
        <filter val="0,0384"/>
        <filter val="0,0896"/>
        <filter val="0,1620"/>
        <filter val="0,2698"/>
        <filter val="1,6545"/>
        <filter val="12,0000"/>
        <filter val="15,0000"/>
        <filter val="30,0000"/>
        <filter val="300,0000"/>
        <filter val="47,5977"/>
      </filters>
    </filterColumn>
  </autoFilter>
  <mergeCells count="74">
    <mergeCell ref="K1:R1"/>
    <mergeCell ref="K2:R2"/>
    <mergeCell ref="A630:A643"/>
    <mergeCell ref="A600:A607"/>
    <mergeCell ref="A608:A613"/>
    <mergeCell ref="A614:A618"/>
    <mergeCell ref="A619:A623"/>
    <mergeCell ref="A624:A629"/>
    <mergeCell ref="A520:A525"/>
    <mergeCell ref="A526:A531"/>
    <mergeCell ref="A532:A537"/>
    <mergeCell ref="A577:A581"/>
    <mergeCell ref="A582:A594"/>
    <mergeCell ref="A538:A543"/>
    <mergeCell ref="A544:A550"/>
    <mergeCell ref="A551:A563"/>
    <mergeCell ref="A564:A569"/>
    <mergeCell ref="A570:A576"/>
    <mergeCell ref="A427:A438"/>
    <mergeCell ref="A439:A457"/>
    <mergeCell ref="A458:A471"/>
    <mergeCell ref="A503:A513"/>
    <mergeCell ref="A514:A519"/>
    <mergeCell ref="A48:A60"/>
    <mergeCell ref="A6:A15"/>
    <mergeCell ref="A16:A20"/>
    <mergeCell ref="A21:A26"/>
    <mergeCell ref="A27:A37"/>
    <mergeCell ref="A38:A47"/>
    <mergeCell ref="A274:A284"/>
    <mergeCell ref="A285:A292"/>
    <mergeCell ref="A293:A298"/>
    <mergeCell ref="A213:A226"/>
    <mergeCell ref="A266:A273"/>
    <mergeCell ref="A61:A68"/>
    <mergeCell ref="A69:A78"/>
    <mergeCell ref="A79:A85"/>
    <mergeCell ref="A86:A95"/>
    <mergeCell ref="A96:A105"/>
    <mergeCell ref="A106:A111"/>
    <mergeCell ref="A112:A117"/>
    <mergeCell ref="A118:A123"/>
    <mergeCell ref="A124:A129"/>
    <mergeCell ref="A180:A185"/>
    <mergeCell ref="A168:A173"/>
    <mergeCell ref="A174:A179"/>
    <mergeCell ref="A130:A135"/>
    <mergeCell ref="A136:A141"/>
    <mergeCell ref="A186:A190"/>
    <mergeCell ref="A191:A194"/>
    <mergeCell ref="A195:A202"/>
    <mergeCell ref="A142:A155"/>
    <mergeCell ref="A156:A167"/>
    <mergeCell ref="A203:A207"/>
    <mergeCell ref="A208:A212"/>
    <mergeCell ref="A227:A240"/>
    <mergeCell ref="A241:A255"/>
    <mergeCell ref="A256:A265"/>
    <mergeCell ref="A595:A599"/>
    <mergeCell ref="A299:A312"/>
    <mergeCell ref="A313:A326"/>
    <mergeCell ref="A327:A338"/>
    <mergeCell ref="A339:A345"/>
    <mergeCell ref="A346:A352"/>
    <mergeCell ref="A416:A426"/>
    <mergeCell ref="A404:A415"/>
    <mergeCell ref="A392:A403"/>
    <mergeCell ref="A353:A360"/>
    <mergeCell ref="A361:A366"/>
    <mergeCell ref="A367:A372"/>
    <mergeCell ref="A373:A381"/>
    <mergeCell ref="A382:A391"/>
    <mergeCell ref="A472:A490"/>
    <mergeCell ref="A491:A502"/>
  </mergeCells>
  <conditionalFormatting sqref="C18:C19 C23:C25 C27:D37 C40:C46 C50:C55 C66:C67 C71:C73 C81:C84 C88:C90 C98:C100 C108:C110 C114:C116 C120:C122 C126:C128 C132:C134 C138:C140 C144:C150 C158:C162 C170:C172 C176:C178 C182:C184 C188:C189 C193 C197:C201 C205:C206 C210:C211 C215:C221 C229:C235 C243:C250 C258:C260 C268:C272 C276:C279 C287:C290 C295:C297 C301:C307 C315:C321 C329:C333 C341:C344 C348:C351 C355:C358 C364:C365 C370:C371 C379:C380 C384:C390 C394:C398 C406:C410 C418:C421 C429:C433 C441:C452 C460:C466 C474:C485 C493:C497 C505:C508 C516:C518 C522:C523 C528:C529 C534:C536 C540:C542 C546:C549 C553:C558 C566:C568 C572:C574 C579:C580 C584:C589 C597:C598 C602:C605 C610:C612 C616:C617 C621:C622 C626:C628 C632:C638">
    <cfRule type="containsText" dxfId="45" priority="26" operator="containsText" text="Pesquisa de Preços">
      <formula>NOT(ISERROR(SEARCH("Pesquisa de Preços",C18)))</formula>
    </cfRule>
  </conditionalFormatting>
  <conditionalFormatting sqref="C6:D10 C63:C64 C375:C377">
    <cfRule type="containsText" dxfId="44" priority="27" operator="containsText" text="Pesquisa de Preços">
      <formula>NOT(ISERROR(SEARCH("Pesquisa de Preços",C6)))</formula>
    </cfRule>
  </conditionalFormatting>
  <conditionalFormatting sqref="C15:D15">
    <cfRule type="containsText" dxfId="43" priority="443" operator="containsText" text="Pesquisa de Preços">
      <formula>NOT(ISERROR(SEARCH("Pesquisa de Preços",C15)))</formula>
    </cfRule>
  </conditionalFormatting>
  <conditionalFormatting sqref="F4">
    <cfRule type="containsText" dxfId="42" priority="409" operator="containsText" text="Pesquisa">
      <formula>NOT(ISERROR(SEARCH("Pesquisa",F4)))</formula>
    </cfRule>
  </conditionalFormatting>
  <conditionalFormatting sqref="K6:K10">
    <cfRule type="containsText" dxfId="41" priority="5" operator="containsText" text="Pesquisa de Preços">
      <formula>NOT(ISERROR(SEARCH("Pesquisa de Preços",K6)))</formula>
    </cfRule>
  </conditionalFormatting>
  <conditionalFormatting sqref="K15">
    <cfRule type="containsText" dxfId="40" priority="8" operator="containsText" text="Pesquisa de Preços">
      <formula>NOT(ISERROR(SEARCH("Pesquisa de Preços",K15)))</formula>
    </cfRule>
  </conditionalFormatting>
  <conditionalFormatting sqref="K27:K37">
    <cfRule type="containsText" dxfId="39" priority="1" operator="containsText" text="Pesquisa de Preços">
      <formula>NOT(ISERROR(SEARCH("Pesquisa de Preços",K27)))</formula>
    </cfRule>
  </conditionalFormatting>
  <conditionalFormatting sqref="P6">
    <cfRule type="dataBar" priority="22">
      <dataBar>
        <cfvo type="min"/>
        <cfvo type="max"/>
        <color rgb="FFFFCC99"/>
      </dataBar>
      <extLst>
        <ext xmlns:x14="http://schemas.microsoft.com/office/spreadsheetml/2009/9/main" uri="{B025F937-C7B1-47D3-B67F-A62EFF666E3E}">
          <x14:id>{F7E1BE04-DEE8-4D6A-A7FA-67EA5A8B7C9A}</x14:id>
        </ext>
      </extLst>
    </cfRule>
  </conditionalFormatting>
  <conditionalFormatting sqref="P7:P643">
    <cfRule type="dataBar" priority="19">
      <dataBar>
        <cfvo type="min"/>
        <cfvo type="max"/>
        <color rgb="FFFFCC99"/>
      </dataBar>
      <extLst>
        <ext xmlns:x14="http://schemas.microsoft.com/office/spreadsheetml/2009/9/main" uri="{B025F937-C7B1-47D3-B67F-A62EFF666E3E}">
          <x14:id>{10E63218-E15B-446F-BBFA-C6513B99FFA1}</x14:id>
        </ext>
      </extLst>
    </cfRule>
  </conditionalFormatting>
  <conditionalFormatting sqref="Q6">
    <cfRule type="dataBar" priority="21">
      <dataBar>
        <cfvo type="min"/>
        <cfvo type="max"/>
        <color rgb="FFFFCC99"/>
      </dataBar>
      <extLst>
        <ext xmlns:x14="http://schemas.microsoft.com/office/spreadsheetml/2009/9/main" uri="{B025F937-C7B1-47D3-B67F-A62EFF666E3E}">
          <x14:id>{0F457748-9A6A-46B1-A6D6-70DA81381D0C}</x14:id>
        </ext>
      </extLst>
    </cfRule>
  </conditionalFormatting>
  <conditionalFormatting sqref="Q7:Q643">
    <cfRule type="dataBar" priority="18">
      <dataBar>
        <cfvo type="min"/>
        <cfvo type="max"/>
        <color rgb="FFFFCC99"/>
      </dataBar>
      <extLst>
        <ext xmlns:x14="http://schemas.microsoft.com/office/spreadsheetml/2009/9/main" uri="{B025F937-C7B1-47D3-B67F-A62EFF666E3E}">
          <x14:id>{1D7DFC8C-6B0F-46BA-B534-3079F5BA8D6D}</x14:id>
        </ext>
      </extLst>
    </cfRule>
  </conditionalFormatting>
  <conditionalFormatting sqref="R6">
    <cfRule type="dataBar" priority="20">
      <dataBar>
        <cfvo type="min"/>
        <cfvo type="max"/>
        <color rgb="FFFFCC99"/>
      </dataBar>
      <extLst>
        <ext xmlns:x14="http://schemas.microsoft.com/office/spreadsheetml/2009/9/main" uri="{B025F937-C7B1-47D3-B67F-A62EFF666E3E}">
          <x14:id>{9BE218F8-2189-46E3-9E57-B1F209922E61}</x14:id>
        </ext>
      </extLst>
    </cfRule>
  </conditionalFormatting>
  <conditionalFormatting sqref="R7:R643">
    <cfRule type="dataBar" priority="17">
      <dataBar>
        <cfvo type="min"/>
        <cfvo type="max"/>
        <color rgb="FFFFCC99"/>
      </dataBar>
      <extLst>
        <ext xmlns:x14="http://schemas.microsoft.com/office/spreadsheetml/2009/9/main" uri="{B025F937-C7B1-47D3-B67F-A62EFF666E3E}">
          <x14:id>{2A5C4E5D-E512-4B74-A90A-5970094FCF1E}</x14:id>
        </ext>
      </extLst>
    </cfRule>
  </conditionalFormatting>
  <printOptions horizontalCentered="1"/>
  <pageMargins left="0.19685039370078741" right="0.19685039370078741" top="0.98425196850393704" bottom="0.59055118110236227" header="0.19685039370078741" footer="0.19685039370078741"/>
  <pageSetup paperSize="9" scale="45"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3" manualBreakCount="3">
    <brk id="343" max="11" man="1"/>
    <brk id="438" max="11" man="1"/>
    <brk id="471" max="11" man="1"/>
  </rowBreaks>
  <drawing r:id="rId2"/>
  <legacyDrawingHF r:id="rId3"/>
  <extLst>
    <ext xmlns:x14="http://schemas.microsoft.com/office/spreadsheetml/2009/9/main" uri="{78C0D931-6437-407d-A8EE-F0AAD7539E65}">
      <x14:conditionalFormattings>
        <x14:conditionalFormatting xmlns:xm="http://schemas.microsoft.com/office/excel/2006/main">
          <x14:cfRule type="dataBar" id="{F7E1BE04-DEE8-4D6A-A7FA-67EA5A8B7C9A}">
            <x14:dataBar minLength="0" maxLength="100" negativeBarColorSameAsPositive="1" axisPosition="none">
              <x14:cfvo type="min"/>
              <x14:cfvo type="max"/>
            </x14:dataBar>
          </x14:cfRule>
          <xm:sqref>P6</xm:sqref>
        </x14:conditionalFormatting>
        <x14:conditionalFormatting xmlns:xm="http://schemas.microsoft.com/office/excel/2006/main">
          <x14:cfRule type="dataBar" id="{10E63218-E15B-446F-BBFA-C6513B99FFA1}">
            <x14:dataBar minLength="0" maxLength="100" negativeBarColorSameAsPositive="1" axisPosition="none">
              <x14:cfvo type="min"/>
              <x14:cfvo type="max"/>
            </x14:dataBar>
          </x14:cfRule>
          <xm:sqref>P7:P643</xm:sqref>
        </x14:conditionalFormatting>
        <x14:conditionalFormatting xmlns:xm="http://schemas.microsoft.com/office/excel/2006/main">
          <x14:cfRule type="dataBar" id="{0F457748-9A6A-46B1-A6D6-70DA81381D0C}">
            <x14:dataBar minLength="0" maxLength="100" negativeBarColorSameAsPositive="1" axisPosition="none">
              <x14:cfvo type="min"/>
              <x14:cfvo type="max"/>
            </x14:dataBar>
          </x14:cfRule>
          <xm:sqref>Q6</xm:sqref>
        </x14:conditionalFormatting>
        <x14:conditionalFormatting xmlns:xm="http://schemas.microsoft.com/office/excel/2006/main">
          <x14:cfRule type="dataBar" id="{1D7DFC8C-6B0F-46BA-B534-3079F5BA8D6D}">
            <x14:dataBar minLength="0" maxLength="100" negativeBarColorSameAsPositive="1" axisPosition="none">
              <x14:cfvo type="min"/>
              <x14:cfvo type="max"/>
            </x14:dataBar>
          </x14:cfRule>
          <xm:sqref>Q7:Q643</xm:sqref>
        </x14:conditionalFormatting>
        <x14:conditionalFormatting xmlns:xm="http://schemas.microsoft.com/office/excel/2006/main">
          <x14:cfRule type="dataBar" id="{9BE218F8-2189-46E3-9E57-B1F209922E61}">
            <x14:dataBar minLength="0" maxLength="100" negativeBarColorSameAsPositive="1" axisPosition="none">
              <x14:cfvo type="min"/>
              <x14:cfvo type="max"/>
            </x14:dataBar>
          </x14:cfRule>
          <xm:sqref>R6</xm:sqref>
        </x14:conditionalFormatting>
        <x14:conditionalFormatting xmlns:xm="http://schemas.microsoft.com/office/excel/2006/main">
          <x14:cfRule type="dataBar" id="{2A5C4E5D-E512-4B74-A90A-5970094FCF1E}">
            <x14:dataBar minLength="0" maxLength="100" negativeBarColorSameAsPositive="1" axisPosition="none">
              <x14:cfvo type="min"/>
              <x14:cfvo type="max"/>
            </x14:dataBar>
          </x14:cfRule>
          <xm:sqref>R7:R643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filterMode="1">
    <pageSetUpPr fitToPage="1"/>
  </sheetPr>
  <dimension ref="A1:R139"/>
  <sheetViews>
    <sheetView topLeftCell="C1" zoomScale="80" zoomScaleNormal="80" zoomScaleSheetLayoutView="40" workbookViewId="0">
      <pane ySplit="5" topLeftCell="A6" activePane="bottomLeft" state="frozen"/>
      <selection pane="bottomLeft" activeCell="K6" sqref="K6:L139"/>
    </sheetView>
  </sheetViews>
  <sheetFormatPr defaultRowHeight="15" x14ac:dyDescent="0.25"/>
  <cols>
    <col min="1" max="1" width="46.85546875" customWidth="1"/>
    <col min="2" max="2" width="65.7109375" style="4" customWidth="1"/>
    <col min="3" max="3" width="15.7109375" customWidth="1"/>
    <col min="4" max="4" width="20.7109375" customWidth="1"/>
    <col min="5" max="5" width="15.7109375" customWidth="1"/>
    <col min="6" max="7" width="17.7109375" customWidth="1"/>
    <col min="8" max="8" width="5.7109375" customWidth="1"/>
    <col min="9" max="9" width="14.42578125" customWidth="1"/>
    <col min="11" max="18" width="15.7109375" customWidth="1"/>
  </cols>
  <sheetData>
    <row r="1" spans="1:18" ht="24.95" customHeight="1" x14ac:dyDescent="0.25">
      <c r="A1" s="80" t="s">
        <v>8514</v>
      </c>
      <c r="B1" s="104"/>
      <c r="C1" s="80"/>
      <c r="D1" s="80"/>
      <c r="E1" s="80"/>
      <c r="F1" s="80"/>
      <c r="G1" s="80"/>
      <c r="H1" s="81"/>
      <c r="I1" s="83"/>
      <c r="K1" s="254" t="str">
        <f>Composições!L1</f>
        <v>Altri Construtora LTDA</v>
      </c>
      <c r="L1" s="254"/>
      <c r="M1" s="254"/>
      <c r="N1" s="254"/>
      <c r="O1" s="254"/>
      <c r="P1" s="254"/>
      <c r="Q1" s="254"/>
      <c r="R1" s="254"/>
    </row>
    <row r="2" spans="1:18" ht="24.95" customHeight="1" x14ac:dyDescent="0.25">
      <c r="A2" s="9" t="s">
        <v>1278</v>
      </c>
      <c r="B2" s="10"/>
      <c r="C2" s="134"/>
      <c r="D2" s="10"/>
      <c r="E2" s="10"/>
      <c r="F2" s="10"/>
      <c r="G2" s="10"/>
      <c r="H2" s="12"/>
      <c r="I2" s="83"/>
      <c r="K2" s="255"/>
      <c r="L2" s="255"/>
      <c r="M2" s="255"/>
      <c r="N2" s="255"/>
      <c r="O2" s="255"/>
      <c r="P2" s="255"/>
      <c r="Q2" s="255"/>
      <c r="R2" s="255"/>
    </row>
    <row r="3" spans="1:18" ht="20.100000000000001" customHeight="1" x14ac:dyDescent="0.25">
      <c r="A3" s="13" t="s">
        <v>8515</v>
      </c>
      <c r="B3" s="13"/>
      <c r="C3" s="135"/>
      <c r="D3" s="13"/>
      <c r="E3" s="13"/>
      <c r="F3" s="13"/>
      <c r="G3" s="13"/>
      <c r="H3" s="13"/>
      <c r="I3" s="83"/>
      <c r="K3" s="36"/>
      <c r="L3" s="30"/>
    </row>
    <row r="4" spans="1:18" ht="20.100000000000001" customHeight="1" thickBot="1" x14ac:dyDescent="0.3">
      <c r="A4" s="84"/>
      <c r="B4" s="85"/>
      <c r="C4" s="131"/>
      <c r="D4" s="85"/>
      <c r="E4" s="85"/>
      <c r="F4" s="85"/>
      <c r="G4" s="85"/>
      <c r="H4" s="86"/>
      <c r="I4" s="87"/>
      <c r="K4" s="36"/>
      <c r="L4" s="30"/>
      <c r="N4" s="86"/>
    </row>
    <row r="5" spans="1:18" ht="65.099999999999994" customHeight="1" thickBot="1" x14ac:dyDescent="0.3">
      <c r="A5" s="101" t="s">
        <v>2</v>
      </c>
      <c r="B5" s="102" t="s">
        <v>3</v>
      </c>
      <c r="C5" s="132" t="s">
        <v>4</v>
      </c>
      <c r="D5" s="102" t="s">
        <v>5</v>
      </c>
      <c r="E5" s="102" t="s">
        <v>6</v>
      </c>
      <c r="F5" s="20" t="s">
        <v>7</v>
      </c>
      <c r="G5" s="20" t="s">
        <v>1268</v>
      </c>
      <c r="H5" s="23"/>
      <c r="I5" s="88" t="s">
        <v>9</v>
      </c>
      <c r="K5" s="209" t="s">
        <v>5</v>
      </c>
      <c r="L5" s="210" t="s">
        <v>6</v>
      </c>
      <c r="M5" s="231" t="s">
        <v>7</v>
      </c>
      <c r="N5" s="210" t="s">
        <v>1268</v>
      </c>
      <c r="O5" s="232" t="s">
        <v>8576</v>
      </c>
      <c r="P5" s="210" t="s">
        <v>8577</v>
      </c>
      <c r="Q5" s="210" t="s">
        <v>8578</v>
      </c>
      <c r="R5" s="211" t="s">
        <v>8579</v>
      </c>
    </row>
    <row r="6" spans="1:18" ht="15.75" thickBot="1" x14ac:dyDescent="0.3">
      <c r="A6" s="269" t="s">
        <v>3068</v>
      </c>
      <c r="B6" s="40" t="s">
        <v>416</v>
      </c>
      <c r="C6" s="77" t="s">
        <v>89</v>
      </c>
      <c r="D6" s="93"/>
      <c r="E6" s="41" t="s">
        <v>416</v>
      </c>
      <c r="F6" s="41" t="str">
        <f t="shared" ref="F6:F19" si="0">IF(ISNUMBER(E6),ROUND(E6*$D6,2),"")</f>
        <v/>
      </c>
      <c r="G6" s="28"/>
      <c r="H6" s="29"/>
      <c r="I6" s="153">
        <v>53.475333999999997</v>
      </c>
      <c r="K6" s="226"/>
      <c r="L6" s="41" t="s">
        <v>416</v>
      </c>
      <c r="M6" s="41" t="str">
        <f t="shared" ref="M6:M19" si="1">IF(ISNUMBER(L6),ROUND(L6*$D6,2),"")</f>
        <v/>
      </c>
      <c r="N6" s="28"/>
      <c r="O6" s="212" t="str">
        <f>IF(ISBLANK(K6),"",IF($D6&lt;&gt;K6,"SIM",""))</f>
        <v/>
      </c>
      <c r="P6" s="213" t="str">
        <f>IF(L6="","",1-L6/$E6)</f>
        <v/>
      </c>
      <c r="Q6" s="213" t="str">
        <f>IF(M6="","",1-M6/$F6)</f>
        <v/>
      </c>
      <c r="R6" s="214" t="str">
        <f>IF(G6="","",1-N6/$G6)</f>
        <v/>
      </c>
    </row>
    <row r="7" spans="1:18" x14ac:dyDescent="0.25">
      <c r="A7" s="268"/>
      <c r="B7" s="31" t="s">
        <v>416</v>
      </c>
      <c r="C7" s="78"/>
      <c r="D7" s="91"/>
      <c r="E7" s="42" t="s">
        <v>416</v>
      </c>
      <c r="F7" s="30" t="str">
        <f t="shared" si="0"/>
        <v/>
      </c>
      <c r="G7" s="34"/>
      <c r="H7" s="30"/>
      <c r="I7" s="153">
        <v>53.475333999999997</v>
      </c>
      <c r="K7" s="227"/>
      <c r="L7" s="42" t="s">
        <v>416</v>
      </c>
      <c r="M7" s="30" t="str">
        <f t="shared" si="1"/>
        <v/>
      </c>
      <c r="N7" s="34"/>
      <c r="O7" s="212" t="str">
        <f t="shared" ref="O7:O70" si="2">IF(ISBLANK(K7),"",IF($D7&lt;&gt;K7,"SIM",""))</f>
        <v/>
      </c>
      <c r="P7" s="213" t="str">
        <f t="shared" ref="P7:P70" si="3">IF(L7="","",1-L7/$E7)</f>
        <v/>
      </c>
      <c r="Q7" s="213" t="str">
        <f t="shared" ref="Q7:Q70" si="4">IF(M7="","",1-M7/$F7)</f>
        <v/>
      </c>
      <c r="R7" s="214" t="str">
        <f t="shared" ref="R7:R70" si="5">IF(G7="","",1-N7/$G7)</f>
        <v/>
      </c>
    </row>
    <row r="8" spans="1:18" ht="51" x14ac:dyDescent="0.25">
      <c r="A8" s="268"/>
      <c r="B8" s="35" t="s">
        <v>939</v>
      </c>
      <c r="C8" s="49" t="s">
        <v>813</v>
      </c>
      <c r="D8" s="36">
        <v>1.3899999999999999E-2</v>
      </c>
      <c r="E8" s="33">
        <v>169.09049999999999</v>
      </c>
      <c r="F8" s="33">
        <f t="shared" si="0"/>
        <v>2.35</v>
      </c>
      <c r="G8" s="44">
        <f>SUM(F8:F9)</f>
        <v>2.66</v>
      </c>
      <c r="H8" s="45"/>
      <c r="I8" s="153">
        <v>53.475333999999997</v>
      </c>
      <c r="K8" s="215">
        <v>1.3899999999999999E-2</v>
      </c>
      <c r="L8" s="33">
        <v>169.09049999999999</v>
      </c>
      <c r="M8" s="33">
        <f t="shared" si="1"/>
        <v>2.35</v>
      </c>
      <c r="N8" s="44">
        <f>SUM(M8:M9)</f>
        <v>2.66</v>
      </c>
      <c r="O8" s="36" t="str">
        <f t="shared" si="2"/>
        <v/>
      </c>
      <c r="P8" s="216">
        <f t="shared" si="3"/>
        <v>0</v>
      </c>
      <c r="Q8" s="216">
        <f t="shared" si="4"/>
        <v>0</v>
      </c>
      <c r="R8" s="217">
        <f t="shared" si="5"/>
        <v>0</v>
      </c>
    </row>
    <row r="9" spans="1:18" ht="51" x14ac:dyDescent="0.25">
      <c r="A9" s="268"/>
      <c r="B9" s="35" t="s">
        <v>940</v>
      </c>
      <c r="C9" s="49" t="s">
        <v>815</v>
      </c>
      <c r="D9" s="36">
        <v>6.0000000000000001E-3</v>
      </c>
      <c r="E9" s="33">
        <v>51.214499999999994</v>
      </c>
      <c r="F9" s="33">
        <f t="shared" si="0"/>
        <v>0.31</v>
      </c>
      <c r="G9" s="44"/>
      <c r="H9" s="45"/>
      <c r="I9" s="153">
        <v>53.475333999999997</v>
      </c>
      <c r="K9" s="215">
        <v>6.0000000000000001E-3</v>
      </c>
      <c r="L9" s="33">
        <v>51.214499999999994</v>
      </c>
      <c r="M9" s="33">
        <f t="shared" si="1"/>
        <v>0.31</v>
      </c>
      <c r="N9" s="44"/>
      <c r="O9" s="36" t="str">
        <f t="shared" si="2"/>
        <v/>
      </c>
      <c r="P9" s="216">
        <f t="shared" si="3"/>
        <v>0</v>
      </c>
      <c r="Q9" s="216">
        <f t="shared" si="4"/>
        <v>0</v>
      </c>
      <c r="R9" s="217" t="str">
        <f t="shared" si="5"/>
        <v/>
      </c>
    </row>
    <row r="10" spans="1:18" ht="15.75" thickBot="1" x14ac:dyDescent="0.3">
      <c r="A10" s="270"/>
      <c r="B10" s="54" t="s">
        <v>416</v>
      </c>
      <c r="C10" s="79"/>
      <c r="D10" s="95"/>
      <c r="E10" s="66" t="s">
        <v>416</v>
      </c>
      <c r="F10" s="66" t="str">
        <f t="shared" si="0"/>
        <v/>
      </c>
      <c r="G10" s="68"/>
      <c r="H10" s="30"/>
      <c r="I10" s="153">
        <v>53.475333999999997</v>
      </c>
      <c r="K10" s="229"/>
      <c r="L10" s="66" t="s">
        <v>416</v>
      </c>
      <c r="M10" s="66" t="str">
        <f t="shared" si="1"/>
        <v/>
      </c>
      <c r="N10" s="68"/>
      <c r="O10" s="36" t="str">
        <f t="shared" si="2"/>
        <v/>
      </c>
      <c r="P10" s="216" t="str">
        <f t="shared" si="3"/>
        <v/>
      </c>
      <c r="Q10" s="216" t="str">
        <f t="shared" si="4"/>
        <v/>
      </c>
      <c r="R10" s="217" t="str">
        <f t="shared" si="5"/>
        <v/>
      </c>
    </row>
    <row r="11" spans="1:18" ht="15.75" hidden="1" thickBot="1" x14ac:dyDescent="0.3">
      <c r="A11" s="269" t="s">
        <v>6815</v>
      </c>
      <c r="B11" s="40" t="s">
        <v>416</v>
      </c>
      <c r="C11" s="77" t="s">
        <v>773</v>
      </c>
      <c r="D11" s="93"/>
      <c r="E11" s="27" t="s">
        <v>416</v>
      </c>
      <c r="F11" s="25" t="str">
        <f t="shared" si="0"/>
        <v/>
      </c>
      <c r="G11" s="28"/>
      <c r="H11" s="29"/>
      <c r="I11" s="153">
        <v>0</v>
      </c>
      <c r="K11" s="226"/>
      <c r="L11" s="27" t="s">
        <v>416</v>
      </c>
      <c r="M11" s="25" t="str">
        <f t="shared" si="1"/>
        <v/>
      </c>
      <c r="N11" s="28"/>
      <c r="O11" s="36" t="str">
        <f t="shared" si="2"/>
        <v/>
      </c>
      <c r="P11" s="216" t="str">
        <f t="shared" si="3"/>
        <v/>
      </c>
      <c r="Q11" s="216" t="str">
        <f t="shared" si="4"/>
        <v/>
      </c>
      <c r="R11" s="217" t="str">
        <f t="shared" si="5"/>
        <v/>
      </c>
    </row>
    <row r="12" spans="1:18" ht="15.75" hidden="1" thickBot="1" x14ac:dyDescent="0.3">
      <c r="A12" s="268"/>
      <c r="B12" s="31" t="s">
        <v>416</v>
      </c>
      <c r="C12" s="78"/>
      <c r="D12" s="91"/>
      <c r="E12" s="30" t="s">
        <v>416</v>
      </c>
      <c r="F12" s="30" t="str">
        <f t="shared" si="0"/>
        <v/>
      </c>
      <c r="G12" s="34"/>
      <c r="H12" s="30"/>
      <c r="I12" s="153">
        <v>0</v>
      </c>
      <c r="K12" s="227"/>
      <c r="L12" s="30" t="s">
        <v>416</v>
      </c>
      <c r="M12" s="30" t="str">
        <f t="shared" si="1"/>
        <v/>
      </c>
      <c r="N12" s="34"/>
      <c r="O12" s="36" t="str">
        <f t="shared" si="2"/>
        <v/>
      </c>
      <c r="P12" s="216" t="str">
        <f t="shared" si="3"/>
        <v/>
      </c>
      <c r="Q12" s="216" t="str">
        <f t="shared" si="4"/>
        <v/>
      </c>
      <c r="R12" s="217" t="str">
        <f t="shared" si="5"/>
        <v/>
      </c>
    </row>
    <row r="13" spans="1:18" ht="15.75" hidden="1" thickBot="1" x14ac:dyDescent="0.3">
      <c r="A13" s="268"/>
      <c r="B13" s="35" t="s">
        <v>1277</v>
      </c>
      <c r="C13" s="49" t="s">
        <v>773</v>
      </c>
      <c r="D13" s="36">
        <v>1.07</v>
      </c>
      <c r="E13" s="30">
        <v>8.9205000000000005</v>
      </c>
      <c r="F13" s="33">
        <f t="shared" si="0"/>
        <v>9.5399999999999991</v>
      </c>
      <c r="G13" s="44">
        <f>SUM(F13:F15)</f>
        <v>12.319999999999999</v>
      </c>
      <c r="H13" s="45"/>
      <c r="I13" s="153">
        <v>0</v>
      </c>
      <c r="K13" s="215">
        <v>1.07</v>
      </c>
      <c r="L13" s="30">
        <v>8.9205000000000005</v>
      </c>
      <c r="M13" s="33">
        <f t="shared" si="1"/>
        <v>9.5399999999999991</v>
      </c>
      <c r="N13" s="44">
        <f>SUM(M13:M15)</f>
        <v>12.319999999999999</v>
      </c>
      <c r="O13" s="36" t="str">
        <f t="shared" si="2"/>
        <v/>
      </c>
      <c r="P13" s="216">
        <f t="shared" si="3"/>
        <v>0</v>
      </c>
      <c r="Q13" s="216">
        <f t="shared" si="4"/>
        <v>0</v>
      </c>
      <c r="R13" s="217">
        <f t="shared" si="5"/>
        <v>0</v>
      </c>
    </row>
    <row r="14" spans="1:18" ht="15.75" hidden="1" thickBot="1" x14ac:dyDescent="0.3">
      <c r="A14" s="268"/>
      <c r="B14" s="35" t="s">
        <v>775</v>
      </c>
      <c r="C14" s="49" t="s">
        <v>583</v>
      </c>
      <c r="D14" s="36">
        <v>1.3100000000000001E-2</v>
      </c>
      <c r="E14" s="33">
        <v>20.196999999999999</v>
      </c>
      <c r="F14" s="33">
        <f t="shared" si="0"/>
        <v>0.26</v>
      </c>
      <c r="G14" s="44"/>
      <c r="H14" s="45"/>
      <c r="I14" s="153">
        <v>0</v>
      </c>
      <c r="K14" s="215">
        <v>1.3100000000000001E-2</v>
      </c>
      <c r="L14" s="33">
        <v>20.196999999999999</v>
      </c>
      <c r="M14" s="33">
        <f t="shared" si="1"/>
        <v>0.26</v>
      </c>
      <c r="N14" s="44"/>
      <c r="O14" s="36" t="str">
        <f t="shared" si="2"/>
        <v/>
      </c>
      <c r="P14" s="216">
        <f t="shared" si="3"/>
        <v>0</v>
      </c>
      <c r="Q14" s="216">
        <f t="shared" si="4"/>
        <v>0</v>
      </c>
      <c r="R14" s="217" t="str">
        <f t="shared" si="5"/>
        <v/>
      </c>
    </row>
    <row r="15" spans="1:18" ht="15.75" hidden="1" thickBot="1" x14ac:dyDescent="0.3">
      <c r="A15" s="268"/>
      <c r="B15" s="35" t="s">
        <v>776</v>
      </c>
      <c r="C15" s="49" t="s">
        <v>583</v>
      </c>
      <c r="D15" s="36">
        <v>9.3299999999999994E-2</v>
      </c>
      <c r="E15" s="30">
        <v>26.970499999999998</v>
      </c>
      <c r="F15" s="33">
        <f t="shared" si="0"/>
        <v>2.52</v>
      </c>
      <c r="G15" s="44"/>
      <c r="H15" s="45"/>
      <c r="I15" s="153">
        <v>0</v>
      </c>
      <c r="K15" s="215">
        <v>9.3299999999999994E-2</v>
      </c>
      <c r="L15" s="30">
        <v>26.970499999999998</v>
      </c>
      <c r="M15" s="33">
        <f t="shared" si="1"/>
        <v>2.52</v>
      </c>
      <c r="N15" s="44"/>
      <c r="O15" s="36" t="str">
        <f t="shared" si="2"/>
        <v/>
      </c>
      <c r="P15" s="216">
        <f t="shared" si="3"/>
        <v>0</v>
      </c>
      <c r="Q15" s="216">
        <f t="shared" si="4"/>
        <v>0</v>
      </c>
      <c r="R15" s="217" t="str">
        <f t="shared" si="5"/>
        <v/>
      </c>
    </row>
    <row r="16" spans="1:18" ht="15.75" hidden="1" thickBot="1" x14ac:dyDescent="0.3">
      <c r="A16" s="270"/>
      <c r="B16" s="54" t="s">
        <v>416</v>
      </c>
      <c r="C16" s="79"/>
      <c r="D16" s="95"/>
      <c r="E16" s="66" t="s">
        <v>416</v>
      </c>
      <c r="F16" s="67" t="str">
        <f t="shared" si="0"/>
        <v/>
      </c>
      <c r="G16" s="68"/>
      <c r="H16" s="30"/>
      <c r="I16" s="153">
        <v>0</v>
      </c>
      <c r="K16" s="229"/>
      <c r="L16" s="66" t="s">
        <v>416</v>
      </c>
      <c r="M16" s="67" t="str">
        <f t="shared" si="1"/>
        <v/>
      </c>
      <c r="N16" s="68"/>
      <c r="O16" s="36" t="str">
        <f t="shared" si="2"/>
        <v/>
      </c>
      <c r="P16" s="216" t="str">
        <f t="shared" si="3"/>
        <v/>
      </c>
      <c r="Q16" s="216" t="str">
        <f t="shared" si="4"/>
        <v/>
      </c>
      <c r="R16" s="217" t="str">
        <f t="shared" si="5"/>
        <v/>
      </c>
    </row>
    <row r="17" spans="1:18" ht="15.75" customHeight="1" thickBot="1" x14ac:dyDescent="0.3">
      <c r="A17" s="269" t="s">
        <v>3071</v>
      </c>
      <c r="B17" s="40" t="s">
        <v>416</v>
      </c>
      <c r="C17" s="77" t="s">
        <v>87</v>
      </c>
      <c r="D17" s="93"/>
      <c r="E17" s="27" t="s">
        <v>416</v>
      </c>
      <c r="F17" s="25" t="str">
        <f t="shared" si="0"/>
        <v/>
      </c>
      <c r="G17" s="28"/>
      <c r="H17" s="29"/>
      <c r="I17" s="153">
        <v>2.6737666999999998</v>
      </c>
      <c r="K17" s="226"/>
      <c r="L17" s="27" t="s">
        <v>416</v>
      </c>
      <c r="M17" s="25" t="str">
        <f t="shared" si="1"/>
        <v/>
      </c>
      <c r="N17" s="28"/>
      <c r="O17" s="36" t="str">
        <f t="shared" si="2"/>
        <v/>
      </c>
      <c r="P17" s="216" t="str">
        <f t="shared" si="3"/>
        <v/>
      </c>
      <c r="Q17" s="216" t="str">
        <f t="shared" si="4"/>
        <v/>
      </c>
      <c r="R17" s="217" t="str">
        <f t="shared" si="5"/>
        <v/>
      </c>
    </row>
    <row r="18" spans="1:18" x14ac:dyDescent="0.25">
      <c r="A18" s="268"/>
      <c r="B18" s="31" t="s">
        <v>416</v>
      </c>
      <c r="C18" s="78"/>
      <c r="D18" s="91"/>
      <c r="E18" s="30" t="s">
        <v>416</v>
      </c>
      <c r="F18" s="30" t="str">
        <f t="shared" si="0"/>
        <v/>
      </c>
      <c r="G18" s="34"/>
      <c r="H18" s="30"/>
      <c r="I18" s="153">
        <v>2.6737666999999998</v>
      </c>
      <c r="K18" s="227"/>
      <c r="L18" s="30" t="s">
        <v>416</v>
      </c>
      <c r="M18" s="30" t="str">
        <f t="shared" si="1"/>
        <v/>
      </c>
      <c r="N18" s="34"/>
      <c r="O18" s="36" t="str">
        <f t="shared" si="2"/>
        <v/>
      </c>
      <c r="P18" s="216" t="str">
        <f t="shared" si="3"/>
        <v/>
      </c>
      <c r="Q18" s="216" t="str">
        <f t="shared" si="4"/>
        <v/>
      </c>
      <c r="R18" s="217" t="str">
        <f t="shared" si="5"/>
        <v/>
      </c>
    </row>
    <row r="19" spans="1:18" ht="51" x14ac:dyDescent="0.25">
      <c r="A19" s="268"/>
      <c r="B19" s="35" t="s">
        <v>961</v>
      </c>
      <c r="C19" s="49" t="s">
        <v>813</v>
      </c>
      <c r="D19" s="36">
        <v>8.3000000000000001E-3</v>
      </c>
      <c r="E19" s="30">
        <v>185.68700000000001</v>
      </c>
      <c r="F19" s="33">
        <f t="shared" si="0"/>
        <v>1.54</v>
      </c>
      <c r="G19" s="44">
        <f>SUM(F19:F22)</f>
        <v>8.0518994499999987</v>
      </c>
      <c r="H19" s="45"/>
      <c r="I19" s="153">
        <v>2.6737666999999998</v>
      </c>
      <c r="K19" s="215">
        <v>8.3000000000000001E-3</v>
      </c>
      <c r="L19" s="30">
        <v>185.68700000000001</v>
      </c>
      <c r="M19" s="33">
        <f t="shared" si="1"/>
        <v>1.54</v>
      </c>
      <c r="N19" s="44">
        <f>SUM(M19:M22)</f>
        <v>8.0518994499999987</v>
      </c>
      <c r="O19" s="36" t="str">
        <f t="shared" si="2"/>
        <v/>
      </c>
      <c r="P19" s="216">
        <f t="shared" si="3"/>
        <v>0</v>
      </c>
      <c r="Q19" s="216">
        <f t="shared" si="4"/>
        <v>0</v>
      </c>
      <c r="R19" s="217">
        <f t="shared" si="5"/>
        <v>0</v>
      </c>
    </row>
    <row r="20" spans="1:18" ht="38.25" x14ac:dyDescent="0.25">
      <c r="A20" s="268"/>
      <c r="B20" s="35" t="s">
        <v>2872</v>
      </c>
      <c r="C20" s="49" t="s">
        <v>815</v>
      </c>
      <c r="D20" s="36">
        <v>1.5100000000000001E-2</v>
      </c>
      <c r="E20" s="30">
        <v>63.412499999999994</v>
      </c>
      <c r="F20" s="33">
        <f>IF(ISNUMBER(E20),E20*$D20,"")</f>
        <v>0.95752874999999993</v>
      </c>
      <c r="G20" s="44"/>
      <c r="H20" s="45"/>
      <c r="I20" s="153">
        <v>2.6737666999999998</v>
      </c>
      <c r="K20" s="215">
        <v>1.5100000000000001E-2</v>
      </c>
      <c r="L20" s="30">
        <v>63.412499999999994</v>
      </c>
      <c r="M20" s="33">
        <f>IF(ISNUMBER(L20),L20*$D20,"")</f>
        <v>0.95752874999999993</v>
      </c>
      <c r="N20" s="44"/>
      <c r="O20" s="36" t="str">
        <f t="shared" si="2"/>
        <v/>
      </c>
      <c r="P20" s="216">
        <f t="shared" si="3"/>
        <v>0</v>
      </c>
      <c r="Q20" s="216">
        <f t="shared" si="4"/>
        <v>0</v>
      </c>
      <c r="R20" s="217" t="str">
        <f t="shared" si="5"/>
        <v/>
      </c>
    </row>
    <row r="21" spans="1:18" ht="51" x14ac:dyDescent="0.25">
      <c r="A21" s="268"/>
      <c r="B21" s="35" t="s">
        <v>939</v>
      </c>
      <c r="C21" s="49" t="s">
        <v>813</v>
      </c>
      <c r="D21" s="36">
        <v>2.6700000000000002E-2</v>
      </c>
      <c r="E21" s="30">
        <v>169.09049999999999</v>
      </c>
      <c r="F21" s="33">
        <f>IF(ISNUMBER(E21),E21*$D21,"")</f>
        <v>4.5147163499999996</v>
      </c>
      <c r="G21" s="44"/>
      <c r="H21" s="45"/>
      <c r="I21" s="153">
        <v>2.6737666999999998</v>
      </c>
      <c r="K21" s="215">
        <v>2.6700000000000002E-2</v>
      </c>
      <c r="L21" s="30">
        <v>169.09049999999999</v>
      </c>
      <c r="M21" s="33">
        <f>IF(ISNUMBER(L21),L21*$D21,"")</f>
        <v>4.5147163499999996</v>
      </c>
      <c r="N21" s="44"/>
      <c r="O21" s="36" t="str">
        <f t="shared" si="2"/>
        <v/>
      </c>
      <c r="P21" s="216">
        <f t="shared" si="3"/>
        <v>0</v>
      </c>
      <c r="Q21" s="216">
        <f t="shared" si="4"/>
        <v>0</v>
      </c>
      <c r="R21" s="217" t="str">
        <f t="shared" si="5"/>
        <v/>
      </c>
    </row>
    <row r="22" spans="1:18" ht="51" x14ac:dyDescent="0.25">
      <c r="A22" s="268"/>
      <c r="B22" s="35" t="s">
        <v>940</v>
      </c>
      <c r="C22" s="49" t="s">
        <v>815</v>
      </c>
      <c r="D22" s="36">
        <v>2.0299999999999999E-2</v>
      </c>
      <c r="E22" s="30">
        <v>51.214499999999994</v>
      </c>
      <c r="F22" s="33">
        <f>IF(ISNUMBER(E22),E22*$D22,"")</f>
        <v>1.0396543499999997</v>
      </c>
      <c r="G22" s="44"/>
      <c r="H22" s="45"/>
      <c r="I22" s="153">
        <v>2.6737666999999998</v>
      </c>
      <c r="K22" s="215">
        <v>2.0299999999999999E-2</v>
      </c>
      <c r="L22" s="30">
        <v>51.214499999999994</v>
      </c>
      <c r="M22" s="33">
        <f>IF(ISNUMBER(L22),L22*$D22,"")</f>
        <v>1.0396543499999997</v>
      </c>
      <c r="N22" s="44"/>
      <c r="O22" s="36" t="str">
        <f t="shared" si="2"/>
        <v/>
      </c>
      <c r="P22" s="216">
        <f t="shared" si="3"/>
        <v>0</v>
      </c>
      <c r="Q22" s="216">
        <f t="shared" si="4"/>
        <v>0</v>
      </c>
      <c r="R22" s="217" t="str">
        <f t="shared" si="5"/>
        <v/>
      </c>
    </row>
    <row r="23" spans="1:18" ht="15.75" thickBot="1" x14ac:dyDescent="0.3">
      <c r="A23" s="270"/>
      <c r="B23" s="54" t="s">
        <v>416</v>
      </c>
      <c r="C23" s="79"/>
      <c r="D23" s="95"/>
      <c r="E23" s="66" t="s">
        <v>416</v>
      </c>
      <c r="F23" s="67" t="str">
        <f t="shared" ref="F23:F30" si="6">IF(ISNUMBER(E23),ROUND(E23*$D23,2),"")</f>
        <v/>
      </c>
      <c r="G23" s="68"/>
      <c r="H23" s="30"/>
      <c r="I23" s="153">
        <v>2.6737666999999998</v>
      </c>
      <c r="K23" s="229"/>
      <c r="L23" s="66" t="s">
        <v>416</v>
      </c>
      <c r="M23" s="67" t="str">
        <f t="shared" ref="M23:M30" si="7">IF(ISNUMBER(L23),ROUND(L23*$D23,2),"")</f>
        <v/>
      </c>
      <c r="N23" s="68"/>
      <c r="O23" s="36" t="str">
        <f t="shared" si="2"/>
        <v/>
      </c>
      <c r="P23" s="216" t="str">
        <f t="shared" si="3"/>
        <v/>
      </c>
      <c r="Q23" s="216" t="str">
        <f t="shared" si="4"/>
        <v/>
      </c>
      <c r="R23" s="217" t="str">
        <f t="shared" si="5"/>
        <v/>
      </c>
    </row>
    <row r="24" spans="1:18" ht="15.75" hidden="1" thickBot="1" x14ac:dyDescent="0.3">
      <c r="A24" s="269" t="s">
        <v>1197</v>
      </c>
      <c r="B24" s="40" t="s">
        <v>416</v>
      </c>
      <c r="C24" s="77" t="s">
        <v>87</v>
      </c>
      <c r="D24" s="93"/>
      <c r="E24" s="41" t="s">
        <v>416</v>
      </c>
      <c r="F24" s="41" t="str">
        <f t="shared" si="6"/>
        <v/>
      </c>
      <c r="G24" s="28"/>
      <c r="H24" s="29"/>
      <c r="I24" s="153">
        <v>0</v>
      </c>
      <c r="K24" s="226"/>
      <c r="L24" s="41" t="s">
        <v>416</v>
      </c>
      <c r="M24" s="41" t="str">
        <f t="shared" si="7"/>
        <v/>
      </c>
      <c r="N24" s="28"/>
      <c r="O24" s="36" t="str">
        <f t="shared" si="2"/>
        <v/>
      </c>
      <c r="P24" s="216" t="str">
        <f t="shared" si="3"/>
        <v/>
      </c>
      <c r="Q24" s="216" t="str">
        <f t="shared" si="4"/>
        <v/>
      </c>
      <c r="R24" s="217" t="str">
        <f t="shared" si="5"/>
        <v/>
      </c>
    </row>
    <row r="25" spans="1:18" ht="15.75" hidden="1" thickBot="1" x14ac:dyDescent="0.3">
      <c r="A25" s="268"/>
      <c r="B25" s="31" t="s">
        <v>416</v>
      </c>
      <c r="C25" s="78"/>
      <c r="D25" s="91"/>
      <c r="E25" s="97" t="s">
        <v>416</v>
      </c>
      <c r="F25" s="98" t="str">
        <f t="shared" si="6"/>
        <v/>
      </c>
      <c r="G25" s="34"/>
      <c r="H25" s="30"/>
      <c r="I25" s="153">
        <v>0</v>
      </c>
      <c r="K25" s="227"/>
      <c r="L25" s="97" t="s">
        <v>416</v>
      </c>
      <c r="M25" s="98" t="str">
        <f t="shared" si="7"/>
        <v/>
      </c>
      <c r="N25" s="34"/>
      <c r="O25" s="36" t="str">
        <f t="shared" si="2"/>
        <v/>
      </c>
      <c r="P25" s="216" t="str">
        <f t="shared" si="3"/>
        <v/>
      </c>
      <c r="Q25" s="216" t="str">
        <f t="shared" si="4"/>
        <v/>
      </c>
      <c r="R25" s="217" t="str">
        <f t="shared" si="5"/>
        <v/>
      </c>
    </row>
    <row r="26" spans="1:18" ht="26.25" hidden="1" thickBot="1" x14ac:dyDescent="0.3">
      <c r="A26" s="268"/>
      <c r="B26" s="35" t="s">
        <v>7985</v>
      </c>
      <c r="C26" s="49" t="s">
        <v>87</v>
      </c>
      <c r="D26" s="36">
        <v>1.36</v>
      </c>
      <c r="E26" s="33">
        <v>202.33099999999999</v>
      </c>
      <c r="F26" s="33">
        <f t="shared" si="6"/>
        <v>275.17</v>
      </c>
      <c r="G26" s="44">
        <f>SUM(F26:F32)</f>
        <v>748.61221810799998</v>
      </c>
      <c r="H26" s="45"/>
      <c r="I26" s="153">
        <v>0</v>
      </c>
      <c r="K26" s="215">
        <v>1.36</v>
      </c>
      <c r="L26" s="33">
        <v>202.33099999999999</v>
      </c>
      <c r="M26" s="33">
        <f t="shared" si="7"/>
        <v>275.17</v>
      </c>
      <c r="N26" s="44">
        <f>SUM(M26:M32)</f>
        <v>748.61221810799998</v>
      </c>
      <c r="O26" s="36" t="str">
        <f t="shared" si="2"/>
        <v/>
      </c>
      <c r="P26" s="216">
        <f t="shared" si="3"/>
        <v>0</v>
      </c>
      <c r="Q26" s="216">
        <f t="shared" si="4"/>
        <v>0</v>
      </c>
      <c r="R26" s="217">
        <f t="shared" si="5"/>
        <v>0</v>
      </c>
    </row>
    <row r="27" spans="1:18" ht="15.75" hidden="1" thickBot="1" x14ac:dyDescent="0.3">
      <c r="A27" s="268"/>
      <c r="B27" s="35" t="s">
        <v>8065</v>
      </c>
      <c r="C27" s="49" t="s">
        <v>773</v>
      </c>
      <c r="D27" s="36">
        <v>459.85</v>
      </c>
      <c r="E27" s="33">
        <v>0.627</v>
      </c>
      <c r="F27" s="33">
        <f t="shared" si="6"/>
        <v>288.33</v>
      </c>
      <c r="G27" s="44"/>
      <c r="H27" s="45"/>
      <c r="I27" s="153">
        <v>0</v>
      </c>
      <c r="K27" s="215">
        <v>459.85</v>
      </c>
      <c r="L27" s="33">
        <v>0.627</v>
      </c>
      <c r="M27" s="33">
        <f t="shared" si="7"/>
        <v>288.33</v>
      </c>
      <c r="N27" s="44"/>
      <c r="O27" s="36" t="str">
        <f t="shared" si="2"/>
        <v/>
      </c>
      <c r="P27" s="216">
        <f t="shared" si="3"/>
        <v>0</v>
      </c>
      <c r="Q27" s="216">
        <f t="shared" si="4"/>
        <v>0</v>
      </c>
      <c r="R27" s="217" t="str">
        <f t="shared" si="5"/>
        <v/>
      </c>
    </row>
    <row r="28" spans="1:18" ht="26.25" hidden="1" thickBot="1" x14ac:dyDescent="0.3">
      <c r="A28" s="268"/>
      <c r="B28" s="35" t="s">
        <v>1271</v>
      </c>
      <c r="C28" s="49" t="s">
        <v>583</v>
      </c>
      <c r="D28" s="36">
        <v>4.8499999999999996</v>
      </c>
      <c r="E28" s="30">
        <v>20.291999999999998</v>
      </c>
      <c r="F28" s="33">
        <f t="shared" si="6"/>
        <v>98.42</v>
      </c>
      <c r="G28" s="44"/>
      <c r="H28" s="45"/>
      <c r="I28" s="153">
        <v>0</v>
      </c>
      <c r="K28" s="215">
        <v>4.8499999999999996</v>
      </c>
      <c r="L28" s="30">
        <v>20.291999999999998</v>
      </c>
      <c r="M28" s="33">
        <f t="shared" si="7"/>
        <v>98.42</v>
      </c>
      <c r="N28" s="44"/>
      <c r="O28" s="36" t="str">
        <f t="shared" si="2"/>
        <v/>
      </c>
      <c r="P28" s="216">
        <f t="shared" si="3"/>
        <v>0</v>
      </c>
      <c r="Q28" s="216">
        <f t="shared" si="4"/>
        <v>0</v>
      </c>
      <c r="R28" s="217" t="str">
        <f t="shared" si="5"/>
        <v/>
      </c>
    </row>
    <row r="29" spans="1:18" ht="39" hidden="1" thickBot="1" x14ac:dyDescent="0.3">
      <c r="A29" s="268"/>
      <c r="B29" s="35" t="s">
        <v>84</v>
      </c>
      <c r="C29" s="49" t="s">
        <v>813</v>
      </c>
      <c r="D29" s="36">
        <v>1.1299999999999999</v>
      </c>
      <c r="E29" s="30">
        <v>1.6435</v>
      </c>
      <c r="F29" s="33">
        <f t="shared" si="6"/>
        <v>1.86</v>
      </c>
      <c r="G29" s="44"/>
      <c r="H29" s="45"/>
      <c r="I29" s="153">
        <v>0</v>
      </c>
      <c r="K29" s="215">
        <v>1.1299999999999999</v>
      </c>
      <c r="L29" s="30">
        <v>1.6435</v>
      </c>
      <c r="M29" s="33">
        <f t="shared" si="7"/>
        <v>1.86</v>
      </c>
      <c r="N29" s="44"/>
      <c r="O29" s="36" t="str">
        <f t="shared" si="2"/>
        <v/>
      </c>
      <c r="P29" s="216">
        <f t="shared" si="3"/>
        <v>0</v>
      </c>
      <c r="Q29" s="216">
        <f t="shared" si="4"/>
        <v>0</v>
      </c>
      <c r="R29" s="217" t="str">
        <f t="shared" si="5"/>
        <v/>
      </c>
    </row>
    <row r="30" spans="1:18" ht="39" hidden="1" thickBot="1" x14ac:dyDescent="0.3">
      <c r="A30" s="268"/>
      <c r="B30" s="35" t="s">
        <v>85</v>
      </c>
      <c r="C30" s="49" t="s">
        <v>815</v>
      </c>
      <c r="D30" s="36">
        <v>3.72</v>
      </c>
      <c r="E30" s="30">
        <v>0.42749999999999999</v>
      </c>
      <c r="F30" s="33">
        <f t="shared" si="6"/>
        <v>1.59</v>
      </c>
      <c r="G30" s="44"/>
      <c r="H30" s="45"/>
      <c r="I30" s="153">
        <v>0</v>
      </c>
      <c r="K30" s="215">
        <v>3.72</v>
      </c>
      <c r="L30" s="30">
        <v>0.42749999999999999</v>
      </c>
      <c r="M30" s="33">
        <f t="shared" si="7"/>
        <v>1.59</v>
      </c>
      <c r="N30" s="44"/>
      <c r="O30" s="36" t="str">
        <f t="shared" si="2"/>
        <v/>
      </c>
      <c r="P30" s="216">
        <f t="shared" si="3"/>
        <v>0</v>
      </c>
      <c r="Q30" s="216">
        <f t="shared" si="4"/>
        <v>0</v>
      </c>
      <c r="R30" s="217" t="str">
        <f t="shared" si="5"/>
        <v/>
      </c>
    </row>
    <row r="31" spans="1:18" ht="51.75" hidden="1" thickBot="1" x14ac:dyDescent="0.3">
      <c r="A31" s="268"/>
      <c r="B31" s="35" t="s">
        <v>3071</v>
      </c>
      <c r="C31" s="35" t="s">
        <v>87</v>
      </c>
      <c r="D31" s="36">
        <f>D26</f>
        <v>1.36</v>
      </c>
      <c r="E31" s="30">
        <v>8.0531015499999992</v>
      </c>
      <c r="F31" s="33">
        <f>IF(ISNUMBER(E31),E31*$D31,"")</f>
        <v>10.952218108</v>
      </c>
      <c r="G31" s="44"/>
      <c r="H31" s="45"/>
      <c r="I31" s="153">
        <v>0</v>
      </c>
      <c r="K31" s="215">
        <v>1.36</v>
      </c>
      <c r="L31" s="30">
        <v>8.0531015499999992</v>
      </c>
      <c r="M31" s="33">
        <f>IF(ISNUMBER(L31),L31*$D31,"")</f>
        <v>10.952218108</v>
      </c>
      <c r="N31" s="44"/>
      <c r="O31" s="36" t="str">
        <f t="shared" si="2"/>
        <v/>
      </c>
      <c r="P31" s="216">
        <f t="shared" si="3"/>
        <v>0</v>
      </c>
      <c r="Q31" s="216">
        <f t="shared" si="4"/>
        <v>0</v>
      </c>
      <c r="R31" s="217" t="str">
        <f t="shared" si="5"/>
        <v/>
      </c>
    </row>
    <row r="32" spans="1:18" ht="39" hidden="1" thickBot="1" x14ac:dyDescent="0.3">
      <c r="A32" s="268"/>
      <c r="B32" s="35" t="s">
        <v>3068</v>
      </c>
      <c r="C32" s="49" t="s">
        <v>89</v>
      </c>
      <c r="D32" s="36">
        <f>20*D26</f>
        <v>27.200000000000003</v>
      </c>
      <c r="E32" s="33">
        <v>2.6576449499999995</v>
      </c>
      <c r="F32" s="33">
        <f t="shared" ref="F32:F52" si="8">IF(ISNUMBER(E32),ROUND(E32*$D32,2),"")</f>
        <v>72.290000000000006</v>
      </c>
      <c r="G32" s="44"/>
      <c r="H32" s="45"/>
      <c r="I32" s="153">
        <v>0</v>
      </c>
      <c r="K32" s="215">
        <v>27.200000000000003</v>
      </c>
      <c r="L32" s="33">
        <v>2.6576449499999995</v>
      </c>
      <c r="M32" s="33">
        <f t="shared" ref="M32:M52" si="9">IF(ISNUMBER(L32),ROUND(L32*$D32,2),"")</f>
        <v>72.290000000000006</v>
      </c>
      <c r="N32" s="44"/>
      <c r="O32" s="36" t="str">
        <f t="shared" si="2"/>
        <v/>
      </c>
      <c r="P32" s="216">
        <f t="shared" si="3"/>
        <v>0</v>
      </c>
      <c r="Q32" s="216">
        <f t="shared" si="4"/>
        <v>0</v>
      </c>
      <c r="R32" s="217" t="str">
        <f t="shared" si="5"/>
        <v/>
      </c>
    </row>
    <row r="33" spans="1:18" ht="15.75" hidden="1" thickBot="1" x14ac:dyDescent="0.3">
      <c r="A33" s="268"/>
      <c r="B33" s="50"/>
      <c r="C33" s="133"/>
      <c r="D33" s="36"/>
      <c r="E33" s="30" t="s">
        <v>416</v>
      </c>
      <c r="F33" s="33" t="str">
        <f t="shared" si="8"/>
        <v/>
      </c>
      <c r="G33" s="44"/>
      <c r="H33" s="45"/>
      <c r="I33" s="153">
        <v>0</v>
      </c>
      <c r="K33" s="215"/>
      <c r="L33" s="30" t="s">
        <v>416</v>
      </c>
      <c r="M33" s="33" t="str">
        <f t="shared" si="9"/>
        <v/>
      </c>
      <c r="N33" s="44"/>
      <c r="O33" s="36" t="str">
        <f t="shared" si="2"/>
        <v/>
      </c>
      <c r="P33" s="216" t="str">
        <f t="shared" si="3"/>
        <v/>
      </c>
      <c r="Q33" s="216" t="str">
        <f t="shared" si="4"/>
        <v/>
      </c>
      <c r="R33" s="217" t="str">
        <f t="shared" si="5"/>
        <v/>
      </c>
    </row>
    <row r="34" spans="1:18" ht="15.75" hidden="1" thickBot="1" x14ac:dyDescent="0.3">
      <c r="A34" s="268"/>
      <c r="B34" s="47" t="s">
        <v>631</v>
      </c>
      <c r="C34" s="133"/>
      <c r="D34" s="36"/>
      <c r="E34" s="30" t="s">
        <v>416</v>
      </c>
      <c r="F34" s="33" t="str">
        <f t="shared" si="8"/>
        <v/>
      </c>
      <c r="G34" s="44"/>
      <c r="H34" s="45"/>
      <c r="I34" s="153">
        <v>0</v>
      </c>
      <c r="K34" s="215"/>
      <c r="L34" s="30" t="s">
        <v>416</v>
      </c>
      <c r="M34" s="33" t="str">
        <f t="shared" si="9"/>
        <v/>
      </c>
      <c r="N34" s="44"/>
      <c r="O34" s="36" t="str">
        <f t="shared" si="2"/>
        <v/>
      </c>
      <c r="P34" s="216" t="str">
        <f t="shared" si="3"/>
        <v/>
      </c>
      <c r="Q34" s="216" t="str">
        <f t="shared" si="4"/>
        <v/>
      </c>
      <c r="R34" s="217" t="str">
        <f t="shared" si="5"/>
        <v/>
      </c>
    </row>
    <row r="35" spans="1:18" ht="15.75" hidden="1" thickBot="1" x14ac:dyDescent="0.3">
      <c r="A35" s="270"/>
      <c r="B35" s="103" t="s">
        <v>5549</v>
      </c>
      <c r="C35" s="79"/>
      <c r="D35" s="95"/>
      <c r="E35" s="66" t="s">
        <v>416</v>
      </c>
      <c r="F35" s="66" t="str">
        <f t="shared" si="8"/>
        <v/>
      </c>
      <c r="G35" s="68"/>
      <c r="H35" s="30"/>
      <c r="I35" s="153">
        <v>0</v>
      </c>
      <c r="K35" s="229"/>
      <c r="L35" s="66" t="s">
        <v>416</v>
      </c>
      <c r="M35" s="66" t="str">
        <f t="shared" si="9"/>
        <v/>
      </c>
      <c r="N35" s="68"/>
      <c r="O35" s="36" t="str">
        <f t="shared" si="2"/>
        <v/>
      </c>
      <c r="P35" s="216" t="str">
        <f t="shared" si="3"/>
        <v/>
      </c>
      <c r="Q35" s="216" t="str">
        <f t="shared" si="4"/>
        <v/>
      </c>
      <c r="R35" s="217" t="str">
        <f t="shared" si="5"/>
        <v/>
      </c>
    </row>
    <row r="36" spans="1:18" ht="27.75" hidden="1" customHeight="1" thickBot="1" x14ac:dyDescent="0.3">
      <c r="A36" s="269" t="s">
        <v>3219</v>
      </c>
      <c r="B36" s="40" t="s">
        <v>416</v>
      </c>
      <c r="C36" s="77" t="s">
        <v>861</v>
      </c>
      <c r="D36" s="93"/>
      <c r="E36" s="41" t="s">
        <v>416</v>
      </c>
      <c r="F36" s="41" t="str">
        <f t="shared" si="8"/>
        <v/>
      </c>
      <c r="G36" s="28"/>
      <c r="H36" s="29"/>
      <c r="I36" s="153">
        <v>0</v>
      </c>
      <c r="K36" s="226"/>
      <c r="L36" s="41" t="s">
        <v>416</v>
      </c>
      <c r="M36" s="41" t="str">
        <f t="shared" si="9"/>
        <v/>
      </c>
      <c r="N36" s="28"/>
      <c r="O36" s="36" t="str">
        <f t="shared" si="2"/>
        <v/>
      </c>
      <c r="P36" s="216" t="str">
        <f t="shared" si="3"/>
        <v/>
      </c>
      <c r="Q36" s="216" t="str">
        <f t="shared" si="4"/>
        <v/>
      </c>
      <c r="R36" s="217" t="str">
        <f t="shared" si="5"/>
        <v/>
      </c>
    </row>
    <row r="37" spans="1:18" ht="27.75" hidden="1" customHeight="1" x14ac:dyDescent="0.3">
      <c r="A37" s="268"/>
      <c r="B37" s="31" t="s">
        <v>416</v>
      </c>
      <c r="C37" s="78"/>
      <c r="D37" s="91"/>
      <c r="E37" s="97" t="s">
        <v>416</v>
      </c>
      <c r="F37" s="98" t="str">
        <f t="shared" si="8"/>
        <v/>
      </c>
      <c r="G37" s="34"/>
      <c r="H37" s="30"/>
      <c r="I37" s="153">
        <v>0</v>
      </c>
      <c r="K37" s="227"/>
      <c r="L37" s="97" t="s">
        <v>416</v>
      </c>
      <c r="M37" s="98" t="str">
        <f t="shared" si="9"/>
        <v/>
      </c>
      <c r="N37" s="34"/>
      <c r="O37" s="36" t="str">
        <f t="shared" si="2"/>
        <v/>
      </c>
      <c r="P37" s="216" t="str">
        <f t="shared" si="3"/>
        <v/>
      </c>
      <c r="Q37" s="216" t="str">
        <f t="shared" si="4"/>
        <v/>
      </c>
      <c r="R37" s="217" t="str">
        <f t="shared" si="5"/>
        <v/>
      </c>
    </row>
    <row r="38" spans="1:18" ht="27.75" hidden="1" customHeight="1" x14ac:dyDescent="0.3">
      <c r="A38" s="268"/>
      <c r="B38" s="35" t="s">
        <v>3235</v>
      </c>
      <c r="C38" s="49" t="s">
        <v>385</v>
      </c>
      <c r="D38" s="36">
        <v>4.4320000000000004</v>
      </c>
      <c r="E38" s="33">
        <v>2.8594999999999997</v>
      </c>
      <c r="F38" s="33">
        <f t="shared" si="8"/>
        <v>12.67</v>
      </c>
      <c r="G38" s="44">
        <f>SUM(F38:F44)</f>
        <v>262.85000000000008</v>
      </c>
      <c r="H38" s="45"/>
      <c r="I38" s="153">
        <v>0</v>
      </c>
      <c r="K38" s="215">
        <v>4.4320000000000004</v>
      </c>
      <c r="L38" s="33">
        <v>2.8594999999999997</v>
      </c>
      <c r="M38" s="33">
        <f t="shared" si="9"/>
        <v>12.67</v>
      </c>
      <c r="N38" s="44">
        <f>SUM(M38:M44)</f>
        <v>262.85000000000008</v>
      </c>
      <c r="O38" s="36" t="str">
        <f t="shared" si="2"/>
        <v/>
      </c>
      <c r="P38" s="216">
        <f t="shared" si="3"/>
        <v>0</v>
      </c>
      <c r="Q38" s="216">
        <f t="shared" si="4"/>
        <v>0</v>
      </c>
      <c r="R38" s="217">
        <f t="shared" si="5"/>
        <v>0</v>
      </c>
    </row>
    <row r="39" spans="1:18" ht="27.75" hidden="1" customHeight="1" x14ac:dyDescent="0.3">
      <c r="A39" s="268"/>
      <c r="B39" s="35" t="s">
        <v>1219</v>
      </c>
      <c r="C39" s="49" t="s">
        <v>773</v>
      </c>
      <c r="D39" s="36">
        <v>8.5999999999999993E-2</v>
      </c>
      <c r="E39" s="33">
        <v>21.602999999999998</v>
      </c>
      <c r="F39" s="33">
        <f t="shared" si="8"/>
        <v>1.86</v>
      </c>
      <c r="G39" s="44"/>
      <c r="H39" s="45"/>
      <c r="I39" s="153">
        <v>0</v>
      </c>
      <c r="K39" s="215">
        <v>8.5999999999999993E-2</v>
      </c>
      <c r="L39" s="33">
        <v>21.602999999999998</v>
      </c>
      <c r="M39" s="33">
        <f t="shared" si="9"/>
        <v>1.86</v>
      </c>
      <c r="N39" s="44"/>
      <c r="O39" s="36" t="str">
        <f t="shared" si="2"/>
        <v/>
      </c>
      <c r="P39" s="216">
        <f t="shared" si="3"/>
        <v>0</v>
      </c>
      <c r="Q39" s="216">
        <f t="shared" si="4"/>
        <v>0</v>
      </c>
      <c r="R39" s="217" t="str">
        <f t="shared" si="5"/>
        <v/>
      </c>
    </row>
    <row r="40" spans="1:18" ht="27.75" hidden="1" customHeight="1" x14ac:dyDescent="0.3">
      <c r="A40" s="268"/>
      <c r="B40" s="35" t="s">
        <v>8381</v>
      </c>
      <c r="C40" s="49" t="s">
        <v>385</v>
      </c>
      <c r="D40" s="36">
        <v>6.53</v>
      </c>
      <c r="E40" s="30">
        <v>34.152500000000003</v>
      </c>
      <c r="F40" s="33">
        <f t="shared" si="8"/>
        <v>223.02</v>
      </c>
      <c r="G40" s="44"/>
      <c r="H40" s="45"/>
      <c r="I40" s="153">
        <v>0</v>
      </c>
      <c r="K40" s="215">
        <v>6.53</v>
      </c>
      <c r="L40" s="30">
        <v>34.152500000000003</v>
      </c>
      <c r="M40" s="33">
        <f t="shared" si="9"/>
        <v>223.02</v>
      </c>
      <c r="N40" s="44"/>
      <c r="O40" s="36" t="str">
        <f t="shared" si="2"/>
        <v/>
      </c>
      <c r="P40" s="216">
        <f t="shared" si="3"/>
        <v>0</v>
      </c>
      <c r="Q40" s="216">
        <f t="shared" si="4"/>
        <v>0</v>
      </c>
      <c r="R40" s="217" t="str">
        <f t="shared" si="5"/>
        <v/>
      </c>
    </row>
    <row r="41" spans="1:18" ht="27.75" hidden="1" customHeight="1" x14ac:dyDescent="0.3">
      <c r="A41" s="268"/>
      <c r="B41" s="35" t="s">
        <v>660</v>
      </c>
      <c r="C41" s="49" t="s">
        <v>583</v>
      </c>
      <c r="D41" s="36">
        <v>0.14299999999999999</v>
      </c>
      <c r="E41" s="30">
        <v>21.337</v>
      </c>
      <c r="F41" s="33">
        <f t="shared" si="8"/>
        <v>3.05</v>
      </c>
      <c r="G41" s="44"/>
      <c r="H41" s="45"/>
      <c r="I41" s="153">
        <v>0</v>
      </c>
      <c r="K41" s="215">
        <v>0.14299999999999999</v>
      </c>
      <c r="L41" s="30">
        <v>21.337</v>
      </c>
      <c r="M41" s="33">
        <f t="shared" si="9"/>
        <v>3.05</v>
      </c>
      <c r="N41" s="44"/>
      <c r="O41" s="36" t="str">
        <f t="shared" si="2"/>
        <v/>
      </c>
      <c r="P41" s="216">
        <f t="shared" si="3"/>
        <v>0</v>
      </c>
      <c r="Q41" s="216">
        <f t="shared" si="4"/>
        <v>0</v>
      </c>
      <c r="R41" s="217" t="str">
        <f t="shared" si="5"/>
        <v/>
      </c>
    </row>
    <row r="42" spans="1:18" ht="27.75" hidden="1" customHeight="1" x14ac:dyDescent="0.3">
      <c r="A42" s="268"/>
      <c r="B42" s="35" t="s">
        <v>862</v>
      </c>
      <c r="C42" s="49" t="s">
        <v>583</v>
      </c>
      <c r="D42" s="36">
        <v>0.71499999999999997</v>
      </c>
      <c r="E42" s="30">
        <v>26.799499999999998</v>
      </c>
      <c r="F42" s="33">
        <f t="shared" si="8"/>
        <v>19.16</v>
      </c>
      <c r="G42" s="44"/>
      <c r="H42" s="45"/>
      <c r="I42" s="153">
        <v>0</v>
      </c>
      <c r="K42" s="215">
        <v>0.71499999999999997</v>
      </c>
      <c r="L42" s="30">
        <v>26.799499999999998</v>
      </c>
      <c r="M42" s="33">
        <f t="shared" si="9"/>
        <v>19.16</v>
      </c>
      <c r="N42" s="44"/>
      <c r="O42" s="36" t="str">
        <f t="shared" si="2"/>
        <v/>
      </c>
      <c r="P42" s="216">
        <f t="shared" si="3"/>
        <v>0</v>
      </c>
      <c r="Q42" s="216">
        <f t="shared" si="4"/>
        <v>0</v>
      </c>
      <c r="R42" s="217" t="str">
        <f t="shared" si="5"/>
        <v/>
      </c>
    </row>
    <row r="43" spans="1:18" ht="27.75" hidden="1" customHeight="1" x14ac:dyDescent="0.3">
      <c r="A43" s="268"/>
      <c r="B43" s="35" t="s">
        <v>1013</v>
      </c>
      <c r="C43" s="49" t="s">
        <v>813</v>
      </c>
      <c r="D43" s="36">
        <v>0.05</v>
      </c>
      <c r="E43" s="30">
        <v>22.210999999999999</v>
      </c>
      <c r="F43" s="33">
        <f t="shared" si="8"/>
        <v>1.1100000000000001</v>
      </c>
      <c r="G43" s="44"/>
      <c r="H43" s="45"/>
      <c r="I43" s="153">
        <v>0</v>
      </c>
      <c r="K43" s="215">
        <v>0.05</v>
      </c>
      <c r="L43" s="30">
        <v>22.210999999999999</v>
      </c>
      <c r="M43" s="33">
        <f t="shared" si="9"/>
        <v>1.1100000000000001</v>
      </c>
      <c r="N43" s="44"/>
      <c r="O43" s="36" t="str">
        <f t="shared" si="2"/>
        <v/>
      </c>
      <c r="P43" s="216">
        <f t="shared" si="3"/>
        <v>0</v>
      </c>
      <c r="Q43" s="216">
        <f t="shared" si="4"/>
        <v>0</v>
      </c>
      <c r="R43" s="217" t="str">
        <f t="shared" si="5"/>
        <v/>
      </c>
    </row>
    <row r="44" spans="1:18" ht="27.75" hidden="1" customHeight="1" x14ac:dyDescent="0.3">
      <c r="A44" s="268"/>
      <c r="B44" s="35" t="s">
        <v>1014</v>
      </c>
      <c r="C44" s="49" t="s">
        <v>815</v>
      </c>
      <c r="D44" s="36">
        <v>9.2999999999999999E-2</v>
      </c>
      <c r="E44" s="33">
        <v>21.2895</v>
      </c>
      <c r="F44" s="33">
        <f t="shared" si="8"/>
        <v>1.98</v>
      </c>
      <c r="G44" s="44"/>
      <c r="H44" s="45"/>
      <c r="I44" s="153">
        <v>0</v>
      </c>
      <c r="K44" s="215">
        <v>9.2999999999999999E-2</v>
      </c>
      <c r="L44" s="33">
        <v>21.2895</v>
      </c>
      <c r="M44" s="33">
        <f t="shared" si="9"/>
        <v>1.98</v>
      </c>
      <c r="N44" s="44"/>
      <c r="O44" s="36" t="str">
        <f t="shared" si="2"/>
        <v/>
      </c>
      <c r="P44" s="216">
        <f t="shared" si="3"/>
        <v>0</v>
      </c>
      <c r="Q44" s="216">
        <f t="shared" si="4"/>
        <v>0</v>
      </c>
      <c r="R44" s="217" t="str">
        <f t="shared" si="5"/>
        <v/>
      </c>
    </row>
    <row r="45" spans="1:18" ht="27.75" hidden="1" customHeight="1" thickBot="1" x14ac:dyDescent="0.3">
      <c r="A45" s="270"/>
      <c r="B45" s="103"/>
      <c r="C45" s="79"/>
      <c r="D45" s="95"/>
      <c r="E45" s="66" t="s">
        <v>416</v>
      </c>
      <c r="F45" s="66" t="str">
        <f t="shared" si="8"/>
        <v/>
      </c>
      <c r="G45" s="68"/>
      <c r="H45" s="30"/>
      <c r="I45" s="153">
        <v>0</v>
      </c>
      <c r="K45" s="229"/>
      <c r="L45" s="66" t="s">
        <v>416</v>
      </c>
      <c r="M45" s="66" t="str">
        <f t="shared" si="9"/>
        <v/>
      </c>
      <c r="N45" s="68"/>
      <c r="O45" s="36" t="str">
        <f t="shared" si="2"/>
        <v/>
      </c>
      <c r="P45" s="216" t="str">
        <f t="shared" si="3"/>
        <v/>
      </c>
      <c r="Q45" s="216" t="str">
        <f t="shared" si="4"/>
        <v/>
      </c>
      <c r="R45" s="217" t="str">
        <f t="shared" si="5"/>
        <v/>
      </c>
    </row>
    <row r="46" spans="1:18" ht="15.75" hidden="1" thickBot="1" x14ac:dyDescent="0.3">
      <c r="A46" s="269" t="s">
        <v>2896</v>
      </c>
      <c r="B46" s="40" t="s">
        <v>416</v>
      </c>
      <c r="C46" s="77" t="s">
        <v>87</v>
      </c>
      <c r="D46" s="93"/>
      <c r="E46" s="41" t="s">
        <v>416</v>
      </c>
      <c r="F46" s="41" t="str">
        <f t="shared" si="8"/>
        <v/>
      </c>
      <c r="G46" s="28"/>
      <c r="H46" s="29"/>
      <c r="I46" s="153">
        <v>0</v>
      </c>
      <c r="K46" s="226"/>
      <c r="L46" s="41" t="s">
        <v>416</v>
      </c>
      <c r="M46" s="41" t="str">
        <f t="shared" si="9"/>
        <v/>
      </c>
      <c r="N46" s="28"/>
      <c r="O46" s="36" t="str">
        <f t="shared" si="2"/>
        <v/>
      </c>
      <c r="P46" s="216" t="str">
        <f t="shared" si="3"/>
        <v/>
      </c>
      <c r="Q46" s="216" t="str">
        <f t="shared" si="4"/>
        <v/>
      </c>
      <c r="R46" s="217" t="str">
        <f t="shared" si="5"/>
        <v/>
      </c>
    </row>
    <row r="47" spans="1:18" ht="15.75" hidden="1" thickBot="1" x14ac:dyDescent="0.3">
      <c r="A47" s="268"/>
      <c r="B47" s="31" t="s">
        <v>416</v>
      </c>
      <c r="C47" s="78"/>
      <c r="D47" s="91"/>
      <c r="E47" s="97" t="s">
        <v>416</v>
      </c>
      <c r="F47" s="98" t="str">
        <f t="shared" si="8"/>
        <v/>
      </c>
      <c r="G47" s="34"/>
      <c r="H47" s="30"/>
      <c r="I47" s="153">
        <v>0</v>
      </c>
      <c r="K47" s="227"/>
      <c r="L47" s="97" t="s">
        <v>416</v>
      </c>
      <c r="M47" s="98" t="str">
        <f t="shared" si="9"/>
        <v/>
      </c>
      <c r="N47" s="34"/>
      <c r="O47" s="36" t="str">
        <f t="shared" si="2"/>
        <v/>
      </c>
      <c r="P47" s="216" t="str">
        <f t="shared" si="3"/>
        <v/>
      </c>
      <c r="Q47" s="216" t="str">
        <f t="shared" si="4"/>
        <v/>
      </c>
      <c r="R47" s="217" t="str">
        <f t="shared" si="5"/>
        <v/>
      </c>
    </row>
    <row r="48" spans="1:18" ht="26.25" hidden="1" thickBot="1" x14ac:dyDescent="0.3">
      <c r="A48" s="268"/>
      <c r="B48" s="35" t="s">
        <v>1140</v>
      </c>
      <c r="C48" s="49" t="s">
        <v>87</v>
      </c>
      <c r="D48" s="36">
        <v>0.95</v>
      </c>
      <c r="E48" s="33">
        <v>204.97199999999998</v>
      </c>
      <c r="F48" s="33">
        <f t="shared" si="8"/>
        <v>194.72</v>
      </c>
      <c r="G48" s="44">
        <f>SUM(F48:F57)</f>
        <v>611.02044647249988</v>
      </c>
      <c r="H48" s="45"/>
      <c r="I48" s="153">
        <v>0</v>
      </c>
      <c r="K48" s="215">
        <v>0.95</v>
      </c>
      <c r="L48" s="33">
        <v>204.97199999999998</v>
      </c>
      <c r="M48" s="33">
        <f t="shared" si="9"/>
        <v>194.72</v>
      </c>
      <c r="N48" s="44">
        <f>SUM(M48:M57)</f>
        <v>611.02044647249988</v>
      </c>
      <c r="O48" s="36" t="str">
        <f t="shared" si="2"/>
        <v/>
      </c>
      <c r="P48" s="216">
        <f t="shared" si="3"/>
        <v>0</v>
      </c>
      <c r="Q48" s="216">
        <f t="shared" si="4"/>
        <v>0</v>
      </c>
      <c r="R48" s="217">
        <f t="shared" si="5"/>
        <v>0</v>
      </c>
    </row>
    <row r="49" spans="1:18" ht="15.75" hidden="1" thickBot="1" x14ac:dyDescent="0.3">
      <c r="A49" s="268"/>
      <c r="B49" s="35" t="s">
        <v>8065</v>
      </c>
      <c r="C49" s="49" t="s">
        <v>773</v>
      </c>
      <c r="D49" s="36">
        <v>426.49</v>
      </c>
      <c r="E49" s="33">
        <v>0.627</v>
      </c>
      <c r="F49" s="33">
        <f t="shared" si="8"/>
        <v>267.41000000000003</v>
      </c>
      <c r="G49" s="44"/>
      <c r="H49" s="45"/>
      <c r="I49" s="153">
        <v>0</v>
      </c>
      <c r="K49" s="215">
        <v>426.49</v>
      </c>
      <c r="L49" s="33">
        <v>0.627</v>
      </c>
      <c r="M49" s="33">
        <f t="shared" si="9"/>
        <v>267.41000000000003</v>
      </c>
      <c r="N49" s="44"/>
      <c r="O49" s="36" t="str">
        <f t="shared" si="2"/>
        <v/>
      </c>
      <c r="P49" s="216">
        <f t="shared" si="3"/>
        <v>0</v>
      </c>
      <c r="Q49" s="216">
        <f t="shared" si="4"/>
        <v>0</v>
      </c>
      <c r="R49" s="217" t="str">
        <f t="shared" si="5"/>
        <v/>
      </c>
    </row>
    <row r="50" spans="1:18" ht="26.25" hidden="1" thickBot="1" x14ac:dyDescent="0.3">
      <c r="A50" s="268"/>
      <c r="B50" s="35" t="s">
        <v>1271</v>
      </c>
      <c r="C50" s="49" t="s">
        <v>583</v>
      </c>
      <c r="D50" s="36">
        <v>4.32</v>
      </c>
      <c r="E50" s="30">
        <v>20.291999999999998</v>
      </c>
      <c r="F50" s="33">
        <f t="shared" si="8"/>
        <v>87.66</v>
      </c>
      <c r="G50" s="44"/>
      <c r="H50" s="45"/>
      <c r="I50" s="153">
        <v>0</v>
      </c>
      <c r="K50" s="215">
        <v>4.32</v>
      </c>
      <c r="L50" s="30">
        <v>20.291999999999998</v>
      </c>
      <c r="M50" s="33">
        <f t="shared" si="9"/>
        <v>87.66</v>
      </c>
      <c r="N50" s="44"/>
      <c r="O50" s="36" t="str">
        <f t="shared" si="2"/>
        <v/>
      </c>
      <c r="P50" s="216">
        <f t="shared" si="3"/>
        <v>0</v>
      </c>
      <c r="Q50" s="216">
        <f t="shared" si="4"/>
        <v>0</v>
      </c>
      <c r="R50" s="217" t="str">
        <f t="shared" si="5"/>
        <v/>
      </c>
    </row>
    <row r="51" spans="1:18" ht="39" hidden="1" thickBot="1" x14ac:dyDescent="0.3">
      <c r="A51" s="268"/>
      <c r="B51" s="35" t="s">
        <v>84</v>
      </c>
      <c r="C51" s="49" t="s">
        <v>813</v>
      </c>
      <c r="D51" s="36">
        <v>1.01</v>
      </c>
      <c r="E51" s="30">
        <v>1.6435</v>
      </c>
      <c r="F51" s="33">
        <f t="shared" si="8"/>
        <v>1.66</v>
      </c>
      <c r="G51" s="44"/>
      <c r="H51" s="45"/>
      <c r="I51" s="153">
        <v>0</v>
      </c>
      <c r="K51" s="215">
        <v>1.01</v>
      </c>
      <c r="L51" s="30">
        <v>1.6435</v>
      </c>
      <c r="M51" s="33">
        <f t="shared" si="9"/>
        <v>1.66</v>
      </c>
      <c r="N51" s="44"/>
      <c r="O51" s="36" t="str">
        <f t="shared" si="2"/>
        <v/>
      </c>
      <c r="P51" s="216">
        <f t="shared" si="3"/>
        <v>0</v>
      </c>
      <c r="Q51" s="216">
        <f t="shared" si="4"/>
        <v>0</v>
      </c>
      <c r="R51" s="217" t="str">
        <f t="shared" si="5"/>
        <v/>
      </c>
    </row>
    <row r="52" spans="1:18" ht="39" hidden="1" thickBot="1" x14ac:dyDescent="0.3">
      <c r="A52" s="268"/>
      <c r="B52" s="35" t="s">
        <v>85</v>
      </c>
      <c r="C52" s="49" t="s">
        <v>815</v>
      </c>
      <c r="D52" s="36">
        <v>3.31</v>
      </c>
      <c r="E52" s="30">
        <v>0.42749999999999999</v>
      </c>
      <c r="F52" s="33">
        <f t="shared" si="8"/>
        <v>1.42</v>
      </c>
      <c r="G52" s="44"/>
      <c r="H52" s="45"/>
      <c r="I52" s="153">
        <v>0</v>
      </c>
      <c r="K52" s="215">
        <v>3.31</v>
      </c>
      <c r="L52" s="30">
        <v>0.42749999999999999</v>
      </c>
      <c r="M52" s="33">
        <f t="shared" si="9"/>
        <v>1.42</v>
      </c>
      <c r="N52" s="44"/>
      <c r="O52" s="36" t="str">
        <f t="shared" si="2"/>
        <v/>
      </c>
      <c r="P52" s="216">
        <f t="shared" si="3"/>
        <v>0</v>
      </c>
      <c r="Q52" s="216">
        <f t="shared" si="4"/>
        <v>0</v>
      </c>
      <c r="R52" s="217" t="str">
        <f t="shared" si="5"/>
        <v/>
      </c>
    </row>
    <row r="53" spans="1:18" ht="51.75" hidden="1" thickBot="1" x14ac:dyDescent="0.3">
      <c r="A53" s="268"/>
      <c r="B53" s="35" t="s">
        <v>3071</v>
      </c>
      <c r="C53" s="35" t="s">
        <v>87</v>
      </c>
      <c r="D53" s="36">
        <f>D48</f>
        <v>0.95</v>
      </c>
      <c r="E53" s="30">
        <v>8.0531015499999992</v>
      </c>
      <c r="F53" s="33">
        <f>IF(ISNUMBER(E53),E53*$D53,"")</f>
        <v>7.6504464724999988</v>
      </c>
      <c r="G53" s="44"/>
      <c r="H53" s="45"/>
      <c r="I53" s="153">
        <v>0</v>
      </c>
      <c r="K53" s="215">
        <v>0.95</v>
      </c>
      <c r="L53" s="30">
        <v>8.0531015499999992</v>
      </c>
      <c r="M53" s="33">
        <f>IF(ISNUMBER(L53),L53*$D53,"")</f>
        <v>7.6504464724999988</v>
      </c>
      <c r="N53" s="44"/>
      <c r="O53" s="36" t="str">
        <f t="shared" si="2"/>
        <v/>
      </c>
      <c r="P53" s="216">
        <f t="shared" si="3"/>
        <v>0</v>
      </c>
      <c r="Q53" s="216">
        <f t="shared" si="4"/>
        <v>0</v>
      </c>
      <c r="R53" s="217" t="str">
        <f t="shared" si="5"/>
        <v/>
      </c>
    </row>
    <row r="54" spans="1:18" ht="39" hidden="1" thickBot="1" x14ac:dyDescent="0.3">
      <c r="A54" s="268"/>
      <c r="B54" s="35" t="s">
        <v>3068</v>
      </c>
      <c r="C54" s="49" t="s">
        <v>89</v>
      </c>
      <c r="D54" s="36">
        <f>20*D48</f>
        <v>19</v>
      </c>
      <c r="E54" s="33">
        <v>2.6576449499999995</v>
      </c>
      <c r="F54" s="33">
        <f t="shared" ref="F54:F66" si="10">IF(ISNUMBER(E54),ROUND(E54*$D54,2),"")</f>
        <v>50.5</v>
      </c>
      <c r="G54" s="44"/>
      <c r="H54" s="45"/>
      <c r="I54" s="153">
        <v>0</v>
      </c>
      <c r="K54" s="215">
        <v>19</v>
      </c>
      <c r="L54" s="33">
        <v>2.6576449499999995</v>
      </c>
      <c r="M54" s="33">
        <f t="shared" ref="M54:M66" si="11">IF(ISNUMBER(L54),ROUND(L54*$D54,2),"")</f>
        <v>50.5</v>
      </c>
      <c r="N54" s="44"/>
      <c r="O54" s="36" t="str">
        <f t="shared" si="2"/>
        <v/>
      </c>
      <c r="P54" s="216">
        <f t="shared" si="3"/>
        <v>0</v>
      </c>
      <c r="Q54" s="216">
        <f t="shared" si="4"/>
        <v>0</v>
      </c>
      <c r="R54" s="217" t="str">
        <f t="shared" si="5"/>
        <v/>
      </c>
    </row>
    <row r="55" spans="1:18" ht="15.75" hidden="1" thickBot="1" x14ac:dyDescent="0.3">
      <c r="A55" s="268"/>
      <c r="B55" s="50"/>
      <c r="C55" s="133"/>
      <c r="D55" s="36"/>
      <c r="E55" s="30" t="s">
        <v>416</v>
      </c>
      <c r="F55" s="33" t="str">
        <f t="shared" si="10"/>
        <v/>
      </c>
      <c r="G55" s="44"/>
      <c r="H55" s="45"/>
      <c r="I55" s="153">
        <v>0</v>
      </c>
      <c r="K55" s="215"/>
      <c r="L55" s="30" t="s">
        <v>416</v>
      </c>
      <c r="M55" s="33" t="str">
        <f t="shared" si="11"/>
        <v/>
      </c>
      <c r="N55" s="44"/>
      <c r="O55" s="36" t="str">
        <f t="shared" si="2"/>
        <v/>
      </c>
      <c r="P55" s="216" t="str">
        <f t="shared" si="3"/>
        <v/>
      </c>
      <c r="Q55" s="216" t="str">
        <f t="shared" si="4"/>
        <v/>
      </c>
      <c r="R55" s="217" t="str">
        <f t="shared" si="5"/>
        <v/>
      </c>
    </row>
    <row r="56" spans="1:18" ht="15.75" hidden="1" thickBot="1" x14ac:dyDescent="0.3">
      <c r="A56" s="268"/>
      <c r="B56" s="47" t="s">
        <v>631</v>
      </c>
      <c r="C56" s="133"/>
      <c r="D56" s="36"/>
      <c r="E56" s="30" t="s">
        <v>416</v>
      </c>
      <c r="F56" s="33" t="str">
        <f t="shared" si="10"/>
        <v/>
      </c>
      <c r="G56" s="44"/>
      <c r="H56" s="45"/>
      <c r="I56" s="153">
        <v>0</v>
      </c>
      <c r="K56" s="215"/>
      <c r="L56" s="30" t="s">
        <v>416</v>
      </c>
      <c r="M56" s="33" t="str">
        <f t="shared" si="11"/>
        <v/>
      </c>
      <c r="N56" s="44"/>
      <c r="O56" s="36" t="str">
        <f t="shared" si="2"/>
        <v/>
      </c>
      <c r="P56" s="216" t="str">
        <f t="shared" si="3"/>
        <v/>
      </c>
      <c r="Q56" s="216" t="str">
        <f t="shared" si="4"/>
        <v/>
      </c>
      <c r="R56" s="217" t="str">
        <f t="shared" si="5"/>
        <v/>
      </c>
    </row>
    <row r="57" spans="1:18" ht="15.75" hidden="1" thickBot="1" x14ac:dyDescent="0.3">
      <c r="A57" s="268"/>
      <c r="B57" s="47" t="s">
        <v>3225</v>
      </c>
      <c r="C57" s="49"/>
      <c r="D57" s="92"/>
      <c r="E57" s="30" t="s">
        <v>416</v>
      </c>
      <c r="F57" s="30" t="str">
        <f t="shared" si="10"/>
        <v/>
      </c>
      <c r="G57" s="44"/>
      <c r="H57" s="45"/>
      <c r="I57" s="153">
        <v>0</v>
      </c>
      <c r="K57" s="228"/>
      <c r="L57" s="30" t="s">
        <v>416</v>
      </c>
      <c r="M57" s="30" t="str">
        <f t="shared" si="11"/>
        <v/>
      </c>
      <c r="N57" s="44"/>
      <c r="O57" s="36" t="str">
        <f t="shared" si="2"/>
        <v/>
      </c>
      <c r="P57" s="216" t="str">
        <f t="shared" si="3"/>
        <v/>
      </c>
      <c r="Q57" s="216" t="str">
        <f t="shared" si="4"/>
        <v/>
      </c>
      <c r="R57" s="217" t="str">
        <f t="shared" si="5"/>
        <v/>
      </c>
    </row>
    <row r="58" spans="1:18" ht="15.75" hidden="1" thickBot="1" x14ac:dyDescent="0.3">
      <c r="A58" s="270"/>
      <c r="B58" s="103"/>
      <c r="C58" s="79"/>
      <c r="D58" s="95"/>
      <c r="E58" s="66" t="s">
        <v>416</v>
      </c>
      <c r="F58" s="66" t="str">
        <f t="shared" si="10"/>
        <v/>
      </c>
      <c r="G58" s="68"/>
      <c r="H58" s="30"/>
      <c r="I58" s="153">
        <v>0</v>
      </c>
      <c r="K58" s="229"/>
      <c r="L58" s="66" t="s">
        <v>416</v>
      </c>
      <c r="M58" s="66" t="str">
        <f t="shared" si="11"/>
        <v/>
      </c>
      <c r="N58" s="68"/>
      <c r="O58" s="36" t="str">
        <f t="shared" si="2"/>
        <v/>
      </c>
      <c r="P58" s="216" t="str">
        <f t="shared" si="3"/>
        <v/>
      </c>
      <c r="Q58" s="216" t="str">
        <f t="shared" si="4"/>
        <v/>
      </c>
      <c r="R58" s="217" t="str">
        <f t="shared" si="5"/>
        <v/>
      </c>
    </row>
    <row r="59" spans="1:18" ht="15.75" hidden="1" thickBot="1" x14ac:dyDescent="0.3">
      <c r="A59" s="269" t="s">
        <v>110</v>
      </c>
      <c r="B59" s="40" t="s">
        <v>416</v>
      </c>
      <c r="C59" s="77" t="s">
        <v>87</v>
      </c>
      <c r="D59" s="93"/>
      <c r="E59" s="41" t="s">
        <v>416</v>
      </c>
      <c r="F59" s="41" t="str">
        <f t="shared" si="10"/>
        <v/>
      </c>
      <c r="G59" s="28"/>
      <c r="H59" s="29"/>
      <c r="I59" s="153">
        <v>0</v>
      </c>
      <c r="K59" s="226"/>
      <c r="L59" s="41" t="s">
        <v>416</v>
      </c>
      <c r="M59" s="41" t="str">
        <f t="shared" si="11"/>
        <v/>
      </c>
      <c r="N59" s="28"/>
      <c r="O59" s="36" t="str">
        <f t="shared" si="2"/>
        <v/>
      </c>
      <c r="P59" s="216" t="str">
        <f t="shared" si="3"/>
        <v/>
      </c>
      <c r="Q59" s="216" t="str">
        <f t="shared" si="4"/>
        <v/>
      </c>
      <c r="R59" s="217" t="str">
        <f t="shared" si="5"/>
        <v/>
      </c>
    </row>
    <row r="60" spans="1:18" ht="15.75" hidden="1" thickBot="1" x14ac:dyDescent="0.3">
      <c r="A60" s="268"/>
      <c r="B60" s="31" t="s">
        <v>416</v>
      </c>
      <c r="C60" s="78"/>
      <c r="D60" s="91"/>
      <c r="E60" s="97" t="s">
        <v>416</v>
      </c>
      <c r="F60" s="98" t="str">
        <f t="shared" si="10"/>
        <v/>
      </c>
      <c r="G60" s="34"/>
      <c r="H60" s="30"/>
      <c r="I60" s="153">
        <v>0</v>
      </c>
      <c r="K60" s="227"/>
      <c r="L60" s="97" t="s">
        <v>416</v>
      </c>
      <c r="M60" s="98" t="str">
        <f t="shared" si="11"/>
        <v/>
      </c>
      <c r="N60" s="34"/>
      <c r="O60" s="36" t="str">
        <f t="shared" si="2"/>
        <v/>
      </c>
      <c r="P60" s="216" t="str">
        <f t="shared" si="3"/>
        <v/>
      </c>
      <c r="Q60" s="216" t="str">
        <f t="shared" si="4"/>
        <v/>
      </c>
      <c r="R60" s="217" t="str">
        <f t="shared" si="5"/>
        <v/>
      </c>
    </row>
    <row r="61" spans="1:18" ht="26.25" hidden="1" thickBot="1" x14ac:dyDescent="0.3">
      <c r="A61" s="268"/>
      <c r="B61" s="35" t="s">
        <v>7985</v>
      </c>
      <c r="C61" s="49" t="s">
        <v>87</v>
      </c>
      <c r="D61" s="36">
        <v>1.1599999999999999</v>
      </c>
      <c r="E61" s="33">
        <v>202.33099999999999</v>
      </c>
      <c r="F61" s="33">
        <f t="shared" si="10"/>
        <v>234.7</v>
      </c>
      <c r="G61" s="44">
        <f>SUM(F61:F71)</f>
        <v>734.72159779799995</v>
      </c>
      <c r="H61" s="45"/>
      <c r="I61" s="153">
        <v>0</v>
      </c>
      <c r="K61" s="215">
        <v>1.1599999999999999</v>
      </c>
      <c r="L61" s="33">
        <v>202.33099999999999</v>
      </c>
      <c r="M61" s="33">
        <f t="shared" si="11"/>
        <v>234.7</v>
      </c>
      <c r="N61" s="44">
        <f>SUM(M61:M71)</f>
        <v>734.72159779799995</v>
      </c>
      <c r="O61" s="36" t="str">
        <f t="shared" si="2"/>
        <v/>
      </c>
      <c r="P61" s="216">
        <f t="shared" si="3"/>
        <v>0</v>
      </c>
      <c r="Q61" s="216">
        <f t="shared" si="4"/>
        <v>0</v>
      </c>
      <c r="R61" s="217">
        <f t="shared" si="5"/>
        <v>0</v>
      </c>
    </row>
    <row r="62" spans="1:18" ht="15.75" hidden="1" thickBot="1" x14ac:dyDescent="0.3">
      <c r="A62" s="268"/>
      <c r="B62" s="35" t="s">
        <v>8040</v>
      </c>
      <c r="C62" s="49" t="s">
        <v>773</v>
      </c>
      <c r="D62" s="36">
        <v>174.1</v>
      </c>
      <c r="E62" s="33">
        <v>1.216</v>
      </c>
      <c r="F62" s="33">
        <f t="shared" si="10"/>
        <v>211.71</v>
      </c>
      <c r="G62" s="44"/>
      <c r="H62" s="45"/>
      <c r="I62" s="153">
        <v>0</v>
      </c>
      <c r="K62" s="215">
        <v>174.1</v>
      </c>
      <c r="L62" s="33">
        <v>1.216</v>
      </c>
      <c r="M62" s="33">
        <f t="shared" si="11"/>
        <v>211.71</v>
      </c>
      <c r="N62" s="44"/>
      <c r="O62" s="36" t="str">
        <f t="shared" si="2"/>
        <v/>
      </c>
      <c r="P62" s="216">
        <f t="shared" si="3"/>
        <v>0</v>
      </c>
      <c r="Q62" s="216">
        <f t="shared" si="4"/>
        <v>0</v>
      </c>
      <c r="R62" s="217" t="str">
        <f t="shared" si="5"/>
        <v/>
      </c>
    </row>
    <row r="63" spans="1:18" ht="15.75" hidden="1" thickBot="1" x14ac:dyDescent="0.3">
      <c r="A63" s="268"/>
      <c r="B63" s="35" t="s">
        <v>8065</v>
      </c>
      <c r="C63" s="49" t="s">
        <v>773</v>
      </c>
      <c r="D63" s="36">
        <v>195.86</v>
      </c>
      <c r="E63" s="30">
        <v>0.627</v>
      </c>
      <c r="F63" s="33">
        <f t="shared" si="10"/>
        <v>122.8</v>
      </c>
      <c r="G63" s="44"/>
      <c r="H63" s="45"/>
      <c r="I63" s="153">
        <v>0</v>
      </c>
      <c r="K63" s="215">
        <v>195.86</v>
      </c>
      <c r="L63" s="30">
        <v>0.627</v>
      </c>
      <c r="M63" s="33">
        <f t="shared" si="11"/>
        <v>122.8</v>
      </c>
      <c r="N63" s="44"/>
      <c r="O63" s="36" t="str">
        <f t="shared" si="2"/>
        <v/>
      </c>
      <c r="P63" s="216">
        <f t="shared" si="3"/>
        <v>0</v>
      </c>
      <c r="Q63" s="216">
        <f t="shared" si="4"/>
        <v>0</v>
      </c>
      <c r="R63" s="217" t="str">
        <f t="shared" si="5"/>
        <v/>
      </c>
    </row>
    <row r="64" spans="1:18" ht="26.25" hidden="1" thickBot="1" x14ac:dyDescent="0.3">
      <c r="A64" s="268"/>
      <c r="B64" s="35" t="s">
        <v>1271</v>
      </c>
      <c r="C64" s="49" t="s">
        <v>583</v>
      </c>
      <c r="D64" s="36">
        <v>4.5</v>
      </c>
      <c r="E64" s="30">
        <v>20.291999999999998</v>
      </c>
      <c r="F64" s="33">
        <f t="shared" si="10"/>
        <v>91.31</v>
      </c>
      <c r="G64" s="44"/>
      <c r="H64" s="45"/>
      <c r="I64" s="153">
        <v>0</v>
      </c>
      <c r="K64" s="215">
        <v>4.5</v>
      </c>
      <c r="L64" s="30">
        <v>20.291999999999998</v>
      </c>
      <c r="M64" s="33">
        <f t="shared" si="11"/>
        <v>91.31</v>
      </c>
      <c r="N64" s="44"/>
      <c r="O64" s="36" t="str">
        <f t="shared" si="2"/>
        <v/>
      </c>
      <c r="P64" s="216">
        <f t="shared" si="3"/>
        <v>0</v>
      </c>
      <c r="Q64" s="216">
        <f t="shared" si="4"/>
        <v>0</v>
      </c>
      <c r="R64" s="217" t="str">
        <f t="shared" si="5"/>
        <v/>
      </c>
    </row>
    <row r="65" spans="1:18" ht="39" hidden="1" thickBot="1" x14ac:dyDescent="0.3">
      <c r="A65" s="268"/>
      <c r="B65" s="35" t="s">
        <v>84</v>
      </c>
      <c r="C65" s="49" t="s">
        <v>813</v>
      </c>
      <c r="D65" s="36">
        <v>1.05</v>
      </c>
      <c r="E65" s="30">
        <v>1.6435</v>
      </c>
      <c r="F65" s="33">
        <f t="shared" si="10"/>
        <v>1.73</v>
      </c>
      <c r="G65" s="44"/>
      <c r="H65" s="45"/>
      <c r="I65" s="153">
        <v>0</v>
      </c>
      <c r="K65" s="215">
        <v>1.05</v>
      </c>
      <c r="L65" s="30">
        <v>1.6435</v>
      </c>
      <c r="M65" s="33">
        <f t="shared" si="11"/>
        <v>1.73</v>
      </c>
      <c r="N65" s="44"/>
      <c r="O65" s="36" t="str">
        <f t="shared" si="2"/>
        <v/>
      </c>
      <c r="P65" s="216">
        <f t="shared" si="3"/>
        <v>0</v>
      </c>
      <c r="Q65" s="216">
        <f t="shared" si="4"/>
        <v>0</v>
      </c>
      <c r="R65" s="217" t="str">
        <f t="shared" si="5"/>
        <v/>
      </c>
    </row>
    <row r="66" spans="1:18" ht="39" hidden="1" thickBot="1" x14ac:dyDescent="0.3">
      <c r="A66" s="268"/>
      <c r="B66" s="35" t="s">
        <v>85</v>
      </c>
      <c r="C66" s="49" t="s">
        <v>815</v>
      </c>
      <c r="D66" s="36">
        <v>3.45</v>
      </c>
      <c r="E66" s="30">
        <v>0.42749999999999999</v>
      </c>
      <c r="F66" s="33">
        <f t="shared" si="10"/>
        <v>1.47</v>
      </c>
      <c r="G66" s="44"/>
      <c r="H66" s="45"/>
      <c r="I66" s="153">
        <v>0</v>
      </c>
      <c r="K66" s="215">
        <v>3.45</v>
      </c>
      <c r="L66" s="30">
        <v>0.42749999999999999</v>
      </c>
      <c r="M66" s="33">
        <f t="shared" si="11"/>
        <v>1.47</v>
      </c>
      <c r="N66" s="44"/>
      <c r="O66" s="36" t="str">
        <f t="shared" si="2"/>
        <v/>
      </c>
      <c r="P66" s="216">
        <f t="shared" si="3"/>
        <v>0</v>
      </c>
      <c r="Q66" s="216">
        <f t="shared" si="4"/>
        <v>0</v>
      </c>
      <c r="R66" s="217" t="str">
        <f t="shared" si="5"/>
        <v/>
      </c>
    </row>
    <row r="67" spans="1:18" ht="51.75" hidden="1" thickBot="1" x14ac:dyDescent="0.3">
      <c r="A67" s="268"/>
      <c r="B67" s="35" t="s">
        <v>3071</v>
      </c>
      <c r="C67" s="35" t="s">
        <v>87</v>
      </c>
      <c r="D67" s="36">
        <f>D61</f>
        <v>1.1599999999999999</v>
      </c>
      <c r="E67" s="30">
        <v>8.0531015499999992</v>
      </c>
      <c r="F67" s="33">
        <f>IF(ISNUMBER(E67),E67*$D67,"")</f>
        <v>9.3415977979999987</v>
      </c>
      <c r="G67" s="44"/>
      <c r="H67" s="45"/>
      <c r="I67" s="153">
        <v>0</v>
      </c>
      <c r="K67" s="215">
        <v>1.1599999999999999</v>
      </c>
      <c r="L67" s="30">
        <v>8.0531015499999992</v>
      </c>
      <c r="M67" s="33">
        <f>IF(ISNUMBER(L67),L67*$D67,"")</f>
        <v>9.3415977979999987</v>
      </c>
      <c r="N67" s="44"/>
      <c r="O67" s="36" t="str">
        <f t="shared" si="2"/>
        <v/>
      </c>
      <c r="P67" s="216">
        <f t="shared" si="3"/>
        <v>0</v>
      </c>
      <c r="Q67" s="216">
        <f t="shared" si="4"/>
        <v>0</v>
      </c>
      <c r="R67" s="217" t="str">
        <f t="shared" si="5"/>
        <v/>
      </c>
    </row>
    <row r="68" spans="1:18" ht="39" hidden="1" thickBot="1" x14ac:dyDescent="0.3">
      <c r="A68" s="268"/>
      <c r="B68" s="35" t="s">
        <v>3068</v>
      </c>
      <c r="C68" s="49" t="s">
        <v>89</v>
      </c>
      <c r="D68" s="36">
        <f>20*D61</f>
        <v>23.2</v>
      </c>
      <c r="E68" s="33">
        <v>2.6576449499999995</v>
      </c>
      <c r="F68" s="33">
        <f t="shared" ref="F68:F87" si="12">IF(ISNUMBER(E68),ROUND(E68*$D68,2),"")</f>
        <v>61.66</v>
      </c>
      <c r="G68" s="44"/>
      <c r="H68" s="45"/>
      <c r="I68" s="153">
        <v>0</v>
      </c>
      <c r="K68" s="215">
        <v>23.2</v>
      </c>
      <c r="L68" s="33">
        <v>2.6576449499999995</v>
      </c>
      <c r="M68" s="33">
        <f t="shared" ref="M68:M87" si="13">IF(ISNUMBER(L68),ROUND(L68*$D68,2),"")</f>
        <v>61.66</v>
      </c>
      <c r="N68" s="44"/>
      <c r="O68" s="36" t="str">
        <f t="shared" si="2"/>
        <v/>
      </c>
      <c r="P68" s="216">
        <f t="shared" si="3"/>
        <v>0</v>
      </c>
      <c r="Q68" s="216">
        <f t="shared" si="4"/>
        <v>0</v>
      </c>
      <c r="R68" s="217" t="str">
        <f t="shared" si="5"/>
        <v/>
      </c>
    </row>
    <row r="69" spans="1:18" ht="15.75" hidden="1" thickBot="1" x14ac:dyDescent="0.3">
      <c r="A69" s="268"/>
      <c r="B69" s="50"/>
      <c r="C69" s="133"/>
      <c r="D69" s="36"/>
      <c r="E69" s="30" t="s">
        <v>416</v>
      </c>
      <c r="F69" s="33" t="str">
        <f t="shared" si="12"/>
        <v/>
      </c>
      <c r="G69" s="44"/>
      <c r="H69" s="45"/>
      <c r="I69" s="153">
        <v>0</v>
      </c>
      <c r="K69" s="215"/>
      <c r="L69" s="30" t="s">
        <v>416</v>
      </c>
      <c r="M69" s="33" t="str">
        <f t="shared" si="13"/>
        <v/>
      </c>
      <c r="N69" s="44"/>
      <c r="O69" s="36" t="str">
        <f t="shared" si="2"/>
        <v/>
      </c>
      <c r="P69" s="216" t="str">
        <f t="shared" si="3"/>
        <v/>
      </c>
      <c r="Q69" s="216" t="str">
        <f t="shared" si="4"/>
        <v/>
      </c>
      <c r="R69" s="217" t="str">
        <f t="shared" si="5"/>
        <v/>
      </c>
    </row>
    <row r="70" spans="1:18" ht="15.75" hidden="1" thickBot="1" x14ac:dyDescent="0.3">
      <c r="A70" s="268"/>
      <c r="B70" s="47" t="s">
        <v>631</v>
      </c>
      <c r="C70" s="133"/>
      <c r="D70" s="36"/>
      <c r="E70" s="30" t="s">
        <v>416</v>
      </c>
      <c r="F70" s="33" t="str">
        <f t="shared" si="12"/>
        <v/>
      </c>
      <c r="G70" s="44"/>
      <c r="H70" s="45"/>
      <c r="I70" s="153">
        <v>0</v>
      </c>
      <c r="K70" s="215"/>
      <c r="L70" s="30" t="s">
        <v>416</v>
      </c>
      <c r="M70" s="33" t="str">
        <f t="shared" si="13"/>
        <v/>
      </c>
      <c r="N70" s="44"/>
      <c r="O70" s="36" t="str">
        <f t="shared" si="2"/>
        <v/>
      </c>
      <c r="P70" s="216" t="str">
        <f t="shared" si="3"/>
        <v/>
      </c>
      <c r="Q70" s="216" t="str">
        <f t="shared" si="4"/>
        <v/>
      </c>
      <c r="R70" s="217" t="str">
        <f t="shared" si="5"/>
        <v/>
      </c>
    </row>
    <row r="71" spans="1:18" ht="15.75" hidden="1" thickBot="1" x14ac:dyDescent="0.3">
      <c r="A71" s="268"/>
      <c r="B71" s="47" t="s">
        <v>3225</v>
      </c>
      <c r="C71" s="49"/>
      <c r="D71" s="92"/>
      <c r="E71" s="30" t="s">
        <v>416</v>
      </c>
      <c r="F71" s="30" t="str">
        <f t="shared" si="12"/>
        <v/>
      </c>
      <c r="G71" s="44"/>
      <c r="H71" s="45"/>
      <c r="I71" s="153">
        <v>0</v>
      </c>
      <c r="K71" s="228"/>
      <c r="L71" s="30" t="s">
        <v>416</v>
      </c>
      <c r="M71" s="30" t="str">
        <f t="shared" si="13"/>
        <v/>
      </c>
      <c r="N71" s="44"/>
      <c r="O71" s="36" t="str">
        <f t="shared" ref="O71:O134" si="14">IF(ISBLANK(K71),"",IF($D71&lt;&gt;K71,"SIM",""))</f>
        <v/>
      </c>
      <c r="P71" s="216" t="str">
        <f t="shared" ref="P71:P134" si="15">IF(L71="","",1-L71/$E71)</f>
        <v/>
      </c>
      <c r="Q71" s="216" t="str">
        <f t="shared" ref="Q71:Q134" si="16">IF(M71="","",1-M71/$F71)</f>
        <v/>
      </c>
      <c r="R71" s="217" t="str">
        <f t="shared" ref="R71:R134" si="17">IF(G71="","",1-N71/$G71)</f>
        <v/>
      </c>
    </row>
    <row r="72" spans="1:18" ht="15.75" hidden="1" thickBot="1" x14ac:dyDescent="0.3">
      <c r="A72" s="270"/>
      <c r="B72" s="103"/>
      <c r="C72" s="79"/>
      <c r="D72" s="95"/>
      <c r="E72" s="66" t="s">
        <v>416</v>
      </c>
      <c r="F72" s="66" t="str">
        <f t="shared" si="12"/>
        <v/>
      </c>
      <c r="G72" s="68"/>
      <c r="H72" s="30"/>
      <c r="I72" s="153">
        <v>0</v>
      </c>
      <c r="K72" s="229"/>
      <c r="L72" s="66" t="s">
        <v>416</v>
      </c>
      <c r="M72" s="66" t="str">
        <f t="shared" si="13"/>
        <v/>
      </c>
      <c r="N72" s="68"/>
      <c r="O72" s="36" t="str">
        <f t="shared" si="14"/>
        <v/>
      </c>
      <c r="P72" s="216" t="str">
        <f t="shared" si="15"/>
        <v/>
      </c>
      <c r="Q72" s="216" t="str">
        <f t="shared" si="16"/>
        <v/>
      </c>
      <c r="R72" s="217" t="str">
        <f t="shared" si="17"/>
        <v/>
      </c>
    </row>
    <row r="73" spans="1:18" ht="27.75" customHeight="1" thickBot="1" x14ac:dyDescent="0.3">
      <c r="A73" s="269" t="s">
        <v>6813</v>
      </c>
      <c r="B73" s="40" t="s">
        <v>416</v>
      </c>
      <c r="C73" s="77" t="s">
        <v>773</v>
      </c>
      <c r="D73" s="93"/>
      <c r="E73" s="41" t="s">
        <v>416</v>
      </c>
      <c r="F73" s="41" t="str">
        <f t="shared" si="12"/>
        <v/>
      </c>
      <c r="G73" s="28"/>
      <c r="H73" s="29"/>
      <c r="I73" s="153">
        <v>2.5927462400000003</v>
      </c>
      <c r="K73" s="226"/>
      <c r="L73" s="41" t="s">
        <v>416</v>
      </c>
      <c r="M73" s="41" t="str">
        <f t="shared" si="13"/>
        <v/>
      </c>
      <c r="N73" s="28"/>
      <c r="O73" s="36" t="str">
        <f t="shared" si="14"/>
        <v/>
      </c>
      <c r="P73" s="216" t="str">
        <f t="shared" si="15"/>
        <v/>
      </c>
      <c r="Q73" s="216" t="str">
        <f t="shared" si="16"/>
        <v/>
      </c>
      <c r="R73" s="217" t="str">
        <f t="shared" si="17"/>
        <v/>
      </c>
    </row>
    <row r="74" spans="1:18" ht="27.75" customHeight="1" x14ac:dyDescent="0.25">
      <c r="A74" s="268"/>
      <c r="B74" s="31" t="s">
        <v>416</v>
      </c>
      <c r="C74" s="78"/>
      <c r="D74" s="91"/>
      <c r="E74" s="97" t="s">
        <v>416</v>
      </c>
      <c r="F74" s="98" t="str">
        <f t="shared" si="12"/>
        <v/>
      </c>
      <c r="G74" s="34"/>
      <c r="H74" s="30"/>
      <c r="I74" s="153">
        <v>2.5927462400000003</v>
      </c>
      <c r="K74" s="227"/>
      <c r="L74" s="97" t="s">
        <v>416</v>
      </c>
      <c r="M74" s="98" t="str">
        <f t="shared" si="13"/>
        <v/>
      </c>
      <c r="N74" s="34"/>
      <c r="O74" s="36" t="str">
        <f t="shared" si="14"/>
        <v/>
      </c>
      <c r="P74" s="216" t="str">
        <f t="shared" si="15"/>
        <v/>
      </c>
      <c r="Q74" s="216" t="str">
        <f t="shared" si="16"/>
        <v/>
      </c>
      <c r="R74" s="217" t="str">
        <f t="shared" si="17"/>
        <v/>
      </c>
    </row>
    <row r="75" spans="1:18" ht="27.75" customHeight="1" x14ac:dyDescent="0.25">
      <c r="A75" s="268"/>
      <c r="B75" s="35" t="s">
        <v>774</v>
      </c>
      <c r="C75" s="49" t="s">
        <v>213</v>
      </c>
      <c r="D75" s="36">
        <v>2.8159999999999998</v>
      </c>
      <c r="E75" s="33">
        <v>0.20899999999999999</v>
      </c>
      <c r="F75" s="33">
        <f t="shared" si="12"/>
        <v>0.59</v>
      </c>
      <c r="G75" s="44">
        <f>SUM(F75:F79)</f>
        <v>16.649999999999999</v>
      </c>
      <c r="H75" s="45"/>
      <c r="I75" s="153">
        <v>2.5927462400000003</v>
      </c>
      <c r="K75" s="215">
        <v>2.8159999999999998</v>
      </c>
      <c r="L75" s="33">
        <v>0.20899999999999999</v>
      </c>
      <c r="M75" s="33">
        <f t="shared" si="13"/>
        <v>0.59</v>
      </c>
      <c r="N75" s="44">
        <f>SUM(M75:M79)</f>
        <v>16.649999999999999</v>
      </c>
      <c r="O75" s="36" t="str">
        <f t="shared" si="14"/>
        <v/>
      </c>
      <c r="P75" s="216">
        <f t="shared" si="15"/>
        <v>0</v>
      </c>
      <c r="Q75" s="216">
        <f t="shared" si="16"/>
        <v>0</v>
      </c>
      <c r="R75" s="217">
        <f t="shared" si="17"/>
        <v>0</v>
      </c>
    </row>
    <row r="76" spans="1:18" ht="27.75" customHeight="1" x14ac:dyDescent="0.25">
      <c r="A76" s="268"/>
      <c r="B76" s="35" t="s">
        <v>3060</v>
      </c>
      <c r="C76" s="49" t="s">
        <v>773</v>
      </c>
      <c r="D76" s="36">
        <v>2.5000000000000001E-2</v>
      </c>
      <c r="E76" s="33">
        <v>21.042499999999997</v>
      </c>
      <c r="F76" s="33">
        <f t="shared" si="12"/>
        <v>0.53</v>
      </c>
      <c r="G76" s="44"/>
      <c r="H76" s="45"/>
      <c r="I76" s="153">
        <v>2.5927462400000003</v>
      </c>
      <c r="K76" s="215">
        <v>2.5000000000000001E-2</v>
      </c>
      <c r="L76" s="33">
        <v>21.042499999999997</v>
      </c>
      <c r="M76" s="33">
        <f t="shared" si="13"/>
        <v>0.53</v>
      </c>
      <c r="N76" s="44"/>
      <c r="O76" s="36" t="str">
        <f t="shared" si="14"/>
        <v/>
      </c>
      <c r="P76" s="216">
        <f t="shared" si="15"/>
        <v>0</v>
      </c>
      <c r="Q76" s="216">
        <f t="shared" si="16"/>
        <v>0</v>
      </c>
      <c r="R76" s="217" t="str">
        <f t="shared" si="17"/>
        <v/>
      </c>
    </row>
    <row r="77" spans="1:18" ht="27.75" customHeight="1" x14ac:dyDescent="0.25">
      <c r="A77" s="268"/>
      <c r="B77" s="35" t="s">
        <v>775</v>
      </c>
      <c r="C77" s="49" t="s">
        <v>583</v>
      </c>
      <c r="D77" s="36">
        <v>1.72E-2</v>
      </c>
      <c r="E77" s="30">
        <v>20.196999999999999</v>
      </c>
      <c r="F77" s="33">
        <f t="shared" si="12"/>
        <v>0.35</v>
      </c>
      <c r="G77" s="44"/>
      <c r="H77" s="45"/>
      <c r="I77" s="153">
        <v>2.5927462400000003</v>
      </c>
      <c r="K77" s="215">
        <v>1.72E-2</v>
      </c>
      <c r="L77" s="30">
        <v>20.196999999999999</v>
      </c>
      <c r="M77" s="33">
        <f t="shared" si="13"/>
        <v>0.35</v>
      </c>
      <c r="N77" s="44"/>
      <c r="O77" s="36" t="str">
        <f t="shared" si="14"/>
        <v/>
      </c>
      <c r="P77" s="216">
        <f t="shared" si="15"/>
        <v>0</v>
      </c>
      <c r="Q77" s="216">
        <f t="shared" si="16"/>
        <v>0</v>
      </c>
      <c r="R77" s="217" t="str">
        <f t="shared" si="17"/>
        <v/>
      </c>
    </row>
    <row r="78" spans="1:18" ht="27.75" customHeight="1" x14ac:dyDescent="0.25">
      <c r="A78" s="268"/>
      <c r="B78" s="35" t="s">
        <v>776</v>
      </c>
      <c r="C78" s="49" t="s">
        <v>583</v>
      </c>
      <c r="D78" s="36">
        <v>0.1055</v>
      </c>
      <c r="E78" s="30">
        <v>26.970499999999998</v>
      </c>
      <c r="F78" s="33">
        <f t="shared" si="12"/>
        <v>2.85</v>
      </c>
      <c r="G78" s="44"/>
      <c r="H78" s="45"/>
      <c r="I78" s="153">
        <v>2.5927462400000003</v>
      </c>
      <c r="K78" s="215">
        <v>0.1055</v>
      </c>
      <c r="L78" s="30">
        <v>26.970499999999998</v>
      </c>
      <c r="M78" s="33">
        <f t="shared" si="13"/>
        <v>2.85</v>
      </c>
      <c r="N78" s="44"/>
      <c r="O78" s="36" t="str">
        <f t="shared" si="14"/>
        <v/>
      </c>
      <c r="P78" s="216">
        <f t="shared" si="15"/>
        <v>0</v>
      </c>
      <c r="Q78" s="216">
        <f t="shared" si="16"/>
        <v>0</v>
      </c>
      <c r="R78" s="217" t="str">
        <f t="shared" si="17"/>
        <v/>
      </c>
    </row>
    <row r="79" spans="1:18" ht="27.75" customHeight="1" x14ac:dyDescent="0.25">
      <c r="A79" s="268"/>
      <c r="B79" s="35" t="s">
        <v>6815</v>
      </c>
      <c r="C79" s="46" t="s">
        <v>773</v>
      </c>
      <c r="D79" s="36">
        <v>1</v>
      </c>
      <c r="E79" s="30">
        <v>12.325863350000002</v>
      </c>
      <c r="F79" s="33">
        <f t="shared" si="12"/>
        <v>12.33</v>
      </c>
      <c r="G79" s="44"/>
      <c r="H79" s="45"/>
      <c r="I79" s="153">
        <v>2.5927462400000003</v>
      </c>
      <c r="K79" s="215">
        <v>1</v>
      </c>
      <c r="L79" s="30">
        <v>12.325863350000002</v>
      </c>
      <c r="M79" s="33">
        <f t="shared" si="13"/>
        <v>12.33</v>
      </c>
      <c r="N79" s="44"/>
      <c r="O79" s="36" t="str">
        <f t="shared" si="14"/>
        <v/>
      </c>
      <c r="P79" s="216">
        <f t="shared" si="15"/>
        <v>0</v>
      </c>
      <c r="Q79" s="216">
        <f t="shared" si="16"/>
        <v>0</v>
      </c>
      <c r="R79" s="217" t="str">
        <f t="shared" si="17"/>
        <v/>
      </c>
    </row>
    <row r="80" spans="1:18" ht="27.75" customHeight="1" thickBot="1" x14ac:dyDescent="0.3">
      <c r="A80" s="270"/>
      <c r="B80" s="103"/>
      <c r="C80" s="79"/>
      <c r="D80" s="95"/>
      <c r="E80" s="66" t="s">
        <v>416</v>
      </c>
      <c r="F80" s="66" t="str">
        <f t="shared" si="12"/>
        <v/>
      </c>
      <c r="G80" s="68"/>
      <c r="H80" s="30"/>
      <c r="I80" s="153">
        <v>2.5927462400000003</v>
      </c>
      <c r="K80" s="229"/>
      <c r="L80" s="66" t="s">
        <v>416</v>
      </c>
      <c r="M80" s="66" t="str">
        <f t="shared" si="13"/>
        <v/>
      </c>
      <c r="N80" s="68"/>
      <c r="O80" s="36" t="str">
        <f t="shared" si="14"/>
        <v/>
      </c>
      <c r="P80" s="216" t="str">
        <f t="shared" si="15"/>
        <v/>
      </c>
      <c r="Q80" s="216" t="str">
        <f t="shared" si="16"/>
        <v/>
      </c>
      <c r="R80" s="217" t="str">
        <f t="shared" si="17"/>
        <v/>
      </c>
    </row>
    <row r="81" spans="1:18" ht="15.75" thickBot="1" x14ac:dyDescent="0.3">
      <c r="A81" s="269" t="s">
        <v>5739</v>
      </c>
      <c r="B81" s="40" t="s">
        <v>416</v>
      </c>
      <c r="C81" s="77" t="s">
        <v>87</v>
      </c>
      <c r="D81" s="93"/>
      <c r="E81" s="41" t="s">
        <v>416</v>
      </c>
      <c r="F81" s="41" t="str">
        <f t="shared" si="12"/>
        <v/>
      </c>
      <c r="G81" s="28"/>
      <c r="H81" s="29"/>
      <c r="I81" s="153">
        <v>0.10751999999999999</v>
      </c>
      <c r="K81" s="226"/>
      <c r="L81" s="41" t="s">
        <v>416</v>
      </c>
      <c r="M81" s="41" t="str">
        <f t="shared" si="13"/>
        <v/>
      </c>
      <c r="N81" s="28"/>
      <c r="O81" s="36" t="str">
        <f t="shared" si="14"/>
        <v/>
      </c>
      <c r="P81" s="216" t="str">
        <f t="shared" si="15"/>
        <v/>
      </c>
      <c r="Q81" s="216" t="str">
        <f t="shared" si="16"/>
        <v/>
      </c>
      <c r="R81" s="217" t="str">
        <f t="shared" si="17"/>
        <v/>
      </c>
    </row>
    <row r="82" spans="1:18" x14ac:dyDescent="0.25">
      <c r="A82" s="268"/>
      <c r="B82" s="31" t="s">
        <v>416</v>
      </c>
      <c r="C82" s="78"/>
      <c r="D82" s="91"/>
      <c r="E82" s="97" t="s">
        <v>416</v>
      </c>
      <c r="F82" s="98" t="str">
        <f t="shared" si="12"/>
        <v/>
      </c>
      <c r="G82" s="34"/>
      <c r="H82" s="30"/>
      <c r="I82" s="153">
        <v>0.10751999999999999</v>
      </c>
      <c r="K82" s="227"/>
      <c r="L82" s="97" t="s">
        <v>416</v>
      </c>
      <c r="M82" s="98" t="str">
        <f t="shared" si="13"/>
        <v/>
      </c>
      <c r="N82" s="34"/>
      <c r="O82" s="36" t="str">
        <f t="shared" si="14"/>
        <v/>
      </c>
      <c r="P82" s="216" t="str">
        <f t="shared" si="15"/>
        <v/>
      </c>
      <c r="Q82" s="216" t="str">
        <f t="shared" si="16"/>
        <v/>
      </c>
      <c r="R82" s="217" t="str">
        <f t="shared" si="17"/>
        <v/>
      </c>
    </row>
    <row r="83" spans="1:18" ht="25.5" x14ac:dyDescent="0.25">
      <c r="A83" s="268"/>
      <c r="B83" s="35" t="s">
        <v>7985</v>
      </c>
      <c r="C83" s="49" t="s">
        <v>87</v>
      </c>
      <c r="D83" s="36">
        <v>0.71189999999999998</v>
      </c>
      <c r="E83" s="33">
        <v>202.33099999999999</v>
      </c>
      <c r="F83" s="33">
        <f t="shared" si="12"/>
        <v>144.04</v>
      </c>
      <c r="G83" s="44">
        <f>SUM(F83:F91)</f>
        <v>642.95663708212999</v>
      </c>
      <c r="H83" s="45"/>
      <c r="I83" s="153">
        <v>0.10751999999999999</v>
      </c>
      <c r="K83" s="215">
        <v>0.71189999999999998</v>
      </c>
      <c r="L83" s="33">
        <v>202.33099999999999</v>
      </c>
      <c r="M83" s="33">
        <f t="shared" si="13"/>
        <v>144.04</v>
      </c>
      <c r="N83" s="44">
        <f>SUM(M83:M91)</f>
        <v>642.95663708212999</v>
      </c>
      <c r="O83" s="36" t="str">
        <f t="shared" si="14"/>
        <v/>
      </c>
      <c r="P83" s="216">
        <f t="shared" si="15"/>
        <v>0</v>
      </c>
      <c r="Q83" s="216">
        <f t="shared" si="16"/>
        <v>0</v>
      </c>
      <c r="R83" s="217">
        <f t="shared" si="17"/>
        <v>0</v>
      </c>
    </row>
    <row r="84" spans="1:18" x14ac:dyDescent="0.25">
      <c r="A84" s="268"/>
      <c r="B84" s="35" t="s">
        <v>8065</v>
      </c>
      <c r="C84" s="49" t="s">
        <v>773</v>
      </c>
      <c r="D84" s="36">
        <v>391.16629999999998</v>
      </c>
      <c r="E84" s="33">
        <v>0.627</v>
      </c>
      <c r="F84" s="33">
        <f t="shared" si="12"/>
        <v>245.26</v>
      </c>
      <c r="G84" s="44"/>
      <c r="H84" s="45"/>
      <c r="I84" s="153">
        <v>0.10751999999999999</v>
      </c>
      <c r="K84" s="215">
        <v>391.16629999999998</v>
      </c>
      <c r="L84" s="33">
        <v>0.627</v>
      </c>
      <c r="M84" s="33">
        <f t="shared" si="13"/>
        <v>245.26</v>
      </c>
      <c r="N84" s="44"/>
      <c r="O84" s="36" t="str">
        <f t="shared" si="14"/>
        <v/>
      </c>
      <c r="P84" s="216">
        <f t="shared" si="15"/>
        <v>0</v>
      </c>
      <c r="Q84" s="216">
        <f t="shared" si="16"/>
        <v>0</v>
      </c>
      <c r="R84" s="217" t="str">
        <f t="shared" si="17"/>
        <v/>
      </c>
    </row>
    <row r="85" spans="1:18" ht="25.5" x14ac:dyDescent="0.25">
      <c r="A85" s="268"/>
      <c r="B85" s="35" t="s">
        <v>8311</v>
      </c>
      <c r="C85" s="49" t="s">
        <v>87</v>
      </c>
      <c r="D85" s="36">
        <v>0.5927</v>
      </c>
      <c r="E85" s="30">
        <v>176.453</v>
      </c>
      <c r="F85" s="33">
        <f t="shared" si="12"/>
        <v>104.58</v>
      </c>
      <c r="G85" s="44"/>
      <c r="H85" s="45"/>
      <c r="I85" s="153">
        <v>0.10751999999999999</v>
      </c>
      <c r="K85" s="215">
        <v>0.5927</v>
      </c>
      <c r="L85" s="30">
        <v>176.453</v>
      </c>
      <c r="M85" s="33">
        <f t="shared" si="13"/>
        <v>104.58</v>
      </c>
      <c r="N85" s="44"/>
      <c r="O85" s="36" t="str">
        <f t="shared" si="14"/>
        <v/>
      </c>
      <c r="P85" s="216">
        <f t="shared" si="15"/>
        <v>0</v>
      </c>
      <c r="Q85" s="216">
        <f t="shared" si="16"/>
        <v>0</v>
      </c>
      <c r="R85" s="217" t="str">
        <f t="shared" si="17"/>
        <v/>
      </c>
    </row>
    <row r="86" spans="1:18" x14ac:dyDescent="0.25">
      <c r="A86" s="268"/>
      <c r="B86" s="35" t="s">
        <v>584</v>
      </c>
      <c r="C86" s="49" t="s">
        <v>583</v>
      </c>
      <c r="D86" s="36">
        <v>1.9633</v>
      </c>
      <c r="E86" s="30">
        <v>20.225499999999997</v>
      </c>
      <c r="F86" s="33">
        <f t="shared" si="12"/>
        <v>39.71</v>
      </c>
      <c r="G86" s="44"/>
      <c r="H86" s="45"/>
      <c r="I86" s="153">
        <v>0.10751999999999999</v>
      </c>
      <c r="K86" s="215">
        <v>1.9633</v>
      </c>
      <c r="L86" s="30">
        <v>20.225499999999997</v>
      </c>
      <c r="M86" s="33">
        <f t="shared" si="13"/>
        <v>39.71</v>
      </c>
      <c r="N86" s="44"/>
      <c r="O86" s="36" t="str">
        <f t="shared" si="14"/>
        <v/>
      </c>
      <c r="P86" s="216">
        <f t="shared" si="15"/>
        <v>0</v>
      </c>
      <c r="Q86" s="216">
        <f t="shared" si="16"/>
        <v>0</v>
      </c>
      <c r="R86" s="217" t="str">
        <f t="shared" si="17"/>
        <v/>
      </c>
    </row>
    <row r="87" spans="1:18" ht="25.5" x14ac:dyDescent="0.25">
      <c r="A87" s="268"/>
      <c r="B87" s="35" t="s">
        <v>1271</v>
      </c>
      <c r="C87" s="49" t="s">
        <v>583</v>
      </c>
      <c r="D87" s="36">
        <v>1.24</v>
      </c>
      <c r="E87" s="30">
        <v>20.291999999999998</v>
      </c>
      <c r="F87" s="33">
        <f t="shared" si="12"/>
        <v>25.16</v>
      </c>
      <c r="G87" s="44"/>
      <c r="H87" s="45"/>
      <c r="I87" s="153">
        <v>0.10751999999999999</v>
      </c>
      <c r="K87" s="215">
        <v>1.24</v>
      </c>
      <c r="L87" s="30">
        <v>20.291999999999998</v>
      </c>
      <c r="M87" s="33">
        <f t="shared" si="13"/>
        <v>25.16</v>
      </c>
      <c r="N87" s="44"/>
      <c r="O87" s="36" t="str">
        <f t="shared" si="14"/>
        <v/>
      </c>
      <c r="P87" s="216">
        <f t="shared" si="15"/>
        <v>0</v>
      </c>
      <c r="Q87" s="216">
        <f t="shared" si="16"/>
        <v>0</v>
      </c>
      <c r="R87" s="217" t="str">
        <f t="shared" si="17"/>
        <v/>
      </c>
    </row>
    <row r="88" spans="1:18" ht="38.25" x14ac:dyDescent="0.25">
      <c r="A88" s="268"/>
      <c r="B88" s="35" t="s">
        <v>1218</v>
      </c>
      <c r="C88" s="49" t="s">
        <v>813</v>
      </c>
      <c r="D88" s="36">
        <v>0.63819999999999999</v>
      </c>
      <c r="E88" s="30">
        <v>5.1395</v>
      </c>
      <c r="F88" s="33">
        <f>IF(ISNUMBER(E88),E88*$D88,"")</f>
        <v>3.2800289</v>
      </c>
      <c r="G88" s="44"/>
      <c r="H88" s="45"/>
      <c r="I88" s="153">
        <v>0.10751999999999999</v>
      </c>
      <c r="K88" s="215">
        <v>0.63819999999999999</v>
      </c>
      <c r="L88" s="30">
        <v>5.1395</v>
      </c>
      <c r="M88" s="33">
        <f>IF(ISNUMBER(L88),L88*$D88,"")</f>
        <v>3.2800289</v>
      </c>
      <c r="N88" s="44"/>
      <c r="O88" s="36" t="str">
        <f t="shared" si="14"/>
        <v/>
      </c>
      <c r="P88" s="216">
        <f t="shared" si="15"/>
        <v>0</v>
      </c>
      <c r="Q88" s="216">
        <f t="shared" si="16"/>
        <v>0</v>
      </c>
      <c r="R88" s="217" t="str">
        <f t="shared" si="17"/>
        <v/>
      </c>
    </row>
    <row r="89" spans="1:18" ht="38.25" x14ac:dyDescent="0.25">
      <c r="A89" s="268"/>
      <c r="B89" s="35" t="s">
        <v>1272</v>
      </c>
      <c r="C89" s="49" t="s">
        <v>815</v>
      </c>
      <c r="D89" s="36">
        <v>0.6018</v>
      </c>
      <c r="E89" s="30">
        <v>1.7954999999999999</v>
      </c>
      <c r="F89" s="33">
        <f>IF(ISNUMBER(E89),E89*$D89,"")</f>
        <v>1.0805319</v>
      </c>
      <c r="G89" s="44"/>
      <c r="H89" s="45"/>
      <c r="I89" s="153">
        <v>0.10751999999999999</v>
      </c>
      <c r="K89" s="215">
        <v>0.6018</v>
      </c>
      <c r="L89" s="30">
        <v>1.7954999999999999</v>
      </c>
      <c r="M89" s="33">
        <f>IF(ISNUMBER(L89),L89*$D89,"")</f>
        <v>1.0805319</v>
      </c>
      <c r="N89" s="44"/>
      <c r="O89" s="36" t="str">
        <f t="shared" si="14"/>
        <v/>
      </c>
      <c r="P89" s="216">
        <f t="shared" si="15"/>
        <v>0</v>
      </c>
      <c r="Q89" s="216">
        <f t="shared" si="16"/>
        <v>0</v>
      </c>
      <c r="R89" s="217" t="str">
        <f t="shared" si="17"/>
        <v/>
      </c>
    </row>
    <row r="90" spans="1:18" ht="51" x14ac:dyDescent="0.25">
      <c r="A90" s="268"/>
      <c r="B90" s="35" t="s">
        <v>3071</v>
      </c>
      <c r="C90" s="35" t="s">
        <v>87</v>
      </c>
      <c r="D90" s="36">
        <f>D83+D85</f>
        <v>1.3046</v>
      </c>
      <c r="E90" s="30">
        <v>8.0531015499999992</v>
      </c>
      <c r="F90" s="33">
        <f>IF(ISNUMBER(E90),E90*$D90,"")</f>
        <v>10.50607628213</v>
      </c>
      <c r="G90" s="44"/>
      <c r="H90" s="45"/>
      <c r="I90" s="153">
        <v>0.10751999999999999</v>
      </c>
      <c r="K90" s="215">
        <v>1.3046</v>
      </c>
      <c r="L90" s="30">
        <v>8.0531015499999992</v>
      </c>
      <c r="M90" s="33">
        <f>IF(ISNUMBER(L90),L90*$D90,"")</f>
        <v>10.50607628213</v>
      </c>
      <c r="N90" s="44"/>
      <c r="O90" s="36" t="str">
        <f t="shared" si="14"/>
        <v/>
      </c>
      <c r="P90" s="216">
        <f t="shared" si="15"/>
        <v>0</v>
      </c>
      <c r="Q90" s="216">
        <f t="shared" si="16"/>
        <v>0</v>
      </c>
      <c r="R90" s="217" t="str">
        <f t="shared" si="17"/>
        <v/>
      </c>
    </row>
    <row r="91" spans="1:18" ht="38.25" x14ac:dyDescent="0.25">
      <c r="A91" s="268"/>
      <c r="B91" s="35" t="s">
        <v>3068</v>
      </c>
      <c r="C91" s="49" t="s">
        <v>89</v>
      </c>
      <c r="D91" s="36">
        <f>20*(D83+D85)</f>
        <v>26.091999999999999</v>
      </c>
      <c r="E91" s="33">
        <v>2.6576449499999995</v>
      </c>
      <c r="F91" s="33">
        <f t="shared" ref="F91:F101" si="18">IF(ISNUMBER(E91),ROUND(E91*$D91,2),"")</f>
        <v>69.34</v>
      </c>
      <c r="G91" s="44"/>
      <c r="H91" s="45"/>
      <c r="I91" s="153">
        <v>0.10751999999999999</v>
      </c>
      <c r="K91" s="215">
        <v>26.091999999999999</v>
      </c>
      <c r="L91" s="33">
        <v>2.6576449499999995</v>
      </c>
      <c r="M91" s="33">
        <f t="shared" ref="M91:M101" si="19">IF(ISNUMBER(L91),ROUND(L91*$D91,2),"")</f>
        <v>69.34</v>
      </c>
      <c r="N91" s="44"/>
      <c r="O91" s="36" t="str">
        <f t="shared" si="14"/>
        <v/>
      </c>
      <c r="P91" s="216">
        <f t="shared" si="15"/>
        <v>0</v>
      </c>
      <c r="Q91" s="216">
        <f t="shared" si="16"/>
        <v>0</v>
      </c>
      <c r="R91" s="217" t="str">
        <f t="shared" si="17"/>
        <v/>
      </c>
    </row>
    <row r="92" spans="1:18" x14ac:dyDescent="0.25">
      <c r="A92" s="268"/>
      <c r="B92" s="50"/>
      <c r="C92" s="133"/>
      <c r="D92" s="36"/>
      <c r="E92" s="30" t="s">
        <v>416</v>
      </c>
      <c r="F92" s="33" t="str">
        <f t="shared" si="18"/>
        <v/>
      </c>
      <c r="G92" s="44"/>
      <c r="H92" s="45"/>
      <c r="I92" s="153">
        <v>0.10751999999999999</v>
      </c>
      <c r="K92" s="215"/>
      <c r="L92" s="30" t="s">
        <v>416</v>
      </c>
      <c r="M92" s="33" t="str">
        <f t="shared" si="19"/>
        <v/>
      </c>
      <c r="N92" s="44"/>
      <c r="O92" s="36" t="str">
        <f t="shared" si="14"/>
        <v/>
      </c>
      <c r="P92" s="216" t="str">
        <f t="shared" si="15"/>
        <v/>
      </c>
      <c r="Q92" s="216" t="str">
        <f t="shared" si="16"/>
        <v/>
      </c>
      <c r="R92" s="217" t="str">
        <f t="shared" si="17"/>
        <v/>
      </c>
    </row>
    <row r="93" spans="1:18" x14ac:dyDescent="0.25">
      <c r="A93" s="268"/>
      <c r="B93" s="47" t="s">
        <v>631</v>
      </c>
      <c r="C93" s="133"/>
      <c r="D93" s="36"/>
      <c r="E93" s="30" t="s">
        <v>416</v>
      </c>
      <c r="F93" s="33" t="str">
        <f t="shared" si="18"/>
        <v/>
      </c>
      <c r="G93" s="44"/>
      <c r="H93" s="45"/>
      <c r="I93" s="153">
        <v>0.10751999999999999</v>
      </c>
      <c r="K93" s="215"/>
      <c r="L93" s="30" t="s">
        <v>416</v>
      </c>
      <c r="M93" s="33" t="str">
        <f t="shared" si="19"/>
        <v/>
      </c>
      <c r="N93" s="44"/>
      <c r="O93" s="36" t="str">
        <f t="shared" si="14"/>
        <v/>
      </c>
      <c r="P93" s="216" t="str">
        <f t="shared" si="15"/>
        <v/>
      </c>
      <c r="Q93" s="216" t="str">
        <f t="shared" si="16"/>
        <v/>
      </c>
      <c r="R93" s="217" t="str">
        <f t="shared" si="17"/>
        <v/>
      </c>
    </row>
    <row r="94" spans="1:18" ht="15.75" thickBot="1" x14ac:dyDescent="0.3">
      <c r="A94" s="270"/>
      <c r="B94" s="103"/>
      <c r="C94" s="79"/>
      <c r="D94" s="95"/>
      <c r="E94" s="66" t="s">
        <v>416</v>
      </c>
      <c r="F94" s="66" t="str">
        <f t="shared" si="18"/>
        <v/>
      </c>
      <c r="G94" s="68"/>
      <c r="H94" s="30"/>
      <c r="I94" s="153">
        <v>0.10751999999999999</v>
      </c>
      <c r="K94" s="229"/>
      <c r="L94" s="66" t="s">
        <v>416</v>
      </c>
      <c r="M94" s="66" t="str">
        <f t="shared" si="19"/>
        <v/>
      </c>
      <c r="N94" s="68"/>
      <c r="O94" s="36" t="str">
        <f t="shared" si="14"/>
        <v/>
      </c>
      <c r="P94" s="216" t="str">
        <f t="shared" si="15"/>
        <v/>
      </c>
      <c r="Q94" s="216" t="str">
        <f t="shared" si="16"/>
        <v/>
      </c>
      <c r="R94" s="217" t="str">
        <f t="shared" si="17"/>
        <v/>
      </c>
    </row>
    <row r="95" spans="1:18" ht="15.75" hidden="1" thickBot="1" x14ac:dyDescent="0.3">
      <c r="A95" s="269" t="s">
        <v>5738</v>
      </c>
      <c r="B95" s="40" t="s">
        <v>416</v>
      </c>
      <c r="C95" s="77" t="s">
        <v>87</v>
      </c>
      <c r="D95" s="93"/>
      <c r="E95" s="41" t="s">
        <v>416</v>
      </c>
      <c r="F95" s="41" t="str">
        <f t="shared" si="18"/>
        <v/>
      </c>
      <c r="G95" s="28"/>
      <c r="H95" s="29"/>
      <c r="I95" s="153">
        <v>0</v>
      </c>
      <c r="K95" s="226"/>
      <c r="L95" s="41" t="s">
        <v>416</v>
      </c>
      <c r="M95" s="41" t="str">
        <f t="shared" si="19"/>
        <v/>
      </c>
      <c r="N95" s="28"/>
      <c r="O95" s="36" t="str">
        <f t="shared" si="14"/>
        <v/>
      </c>
      <c r="P95" s="216" t="str">
        <f t="shared" si="15"/>
        <v/>
      </c>
      <c r="Q95" s="216" t="str">
        <f t="shared" si="16"/>
        <v/>
      </c>
      <c r="R95" s="217" t="str">
        <f t="shared" si="17"/>
        <v/>
      </c>
    </row>
    <row r="96" spans="1:18" ht="15.75" hidden="1" thickBot="1" x14ac:dyDescent="0.3">
      <c r="A96" s="268"/>
      <c r="B96" s="31" t="s">
        <v>416</v>
      </c>
      <c r="C96" s="78"/>
      <c r="D96" s="91"/>
      <c r="E96" s="97" t="s">
        <v>416</v>
      </c>
      <c r="F96" s="98" t="str">
        <f t="shared" si="18"/>
        <v/>
      </c>
      <c r="G96" s="34"/>
      <c r="H96" s="30"/>
      <c r="I96" s="153">
        <v>0</v>
      </c>
      <c r="K96" s="227"/>
      <c r="L96" s="97" t="s">
        <v>416</v>
      </c>
      <c r="M96" s="98" t="str">
        <f t="shared" si="19"/>
        <v/>
      </c>
      <c r="N96" s="34"/>
      <c r="O96" s="36" t="str">
        <f t="shared" si="14"/>
        <v/>
      </c>
      <c r="P96" s="216" t="str">
        <f t="shared" si="15"/>
        <v/>
      </c>
      <c r="Q96" s="216" t="str">
        <f t="shared" si="16"/>
        <v/>
      </c>
      <c r="R96" s="217" t="str">
        <f t="shared" si="17"/>
        <v/>
      </c>
    </row>
    <row r="97" spans="1:18" ht="26.25" hidden="1" thickBot="1" x14ac:dyDescent="0.3">
      <c r="A97" s="268"/>
      <c r="B97" s="35" t="s">
        <v>7985</v>
      </c>
      <c r="C97" s="49" t="s">
        <v>87</v>
      </c>
      <c r="D97" s="36">
        <v>0.72750000000000004</v>
      </c>
      <c r="E97" s="33">
        <v>202.33099999999999</v>
      </c>
      <c r="F97" s="33">
        <f t="shared" si="18"/>
        <v>147.19999999999999</v>
      </c>
      <c r="G97" s="44">
        <f>SUM(F97:F105)</f>
        <v>632.27402777328496</v>
      </c>
      <c r="H97" s="45"/>
      <c r="I97" s="153">
        <v>0</v>
      </c>
      <c r="K97" s="215">
        <v>0.72750000000000004</v>
      </c>
      <c r="L97" s="33">
        <v>202.33099999999999</v>
      </c>
      <c r="M97" s="33">
        <f t="shared" si="19"/>
        <v>147.19999999999999</v>
      </c>
      <c r="N97" s="44">
        <f>SUM(M97:M105)</f>
        <v>632.27402777328496</v>
      </c>
      <c r="O97" s="36" t="str">
        <f t="shared" si="14"/>
        <v/>
      </c>
      <c r="P97" s="216">
        <f t="shared" si="15"/>
        <v>0</v>
      </c>
      <c r="Q97" s="216">
        <f t="shared" si="16"/>
        <v>0</v>
      </c>
      <c r="R97" s="217">
        <f t="shared" si="17"/>
        <v>0</v>
      </c>
    </row>
    <row r="98" spans="1:18" ht="15.75" hidden="1" thickBot="1" x14ac:dyDescent="0.3">
      <c r="A98" s="268"/>
      <c r="B98" s="35" t="s">
        <v>8065</v>
      </c>
      <c r="C98" s="49" t="s">
        <v>773</v>
      </c>
      <c r="D98" s="36">
        <v>364.94330000000002</v>
      </c>
      <c r="E98" s="33">
        <v>0.627</v>
      </c>
      <c r="F98" s="33">
        <f t="shared" si="18"/>
        <v>228.82</v>
      </c>
      <c r="G98" s="44"/>
      <c r="H98" s="45"/>
      <c r="I98" s="153">
        <v>0</v>
      </c>
      <c r="K98" s="215">
        <v>364.94330000000002</v>
      </c>
      <c r="L98" s="33">
        <v>0.627</v>
      </c>
      <c r="M98" s="33">
        <f t="shared" si="19"/>
        <v>228.82</v>
      </c>
      <c r="N98" s="44"/>
      <c r="O98" s="36" t="str">
        <f t="shared" si="14"/>
        <v/>
      </c>
      <c r="P98" s="216">
        <f t="shared" si="15"/>
        <v>0</v>
      </c>
      <c r="Q98" s="216">
        <f t="shared" si="16"/>
        <v>0</v>
      </c>
      <c r="R98" s="217" t="str">
        <f t="shared" si="17"/>
        <v/>
      </c>
    </row>
    <row r="99" spans="1:18" ht="26.25" hidden="1" thickBot="1" x14ac:dyDescent="0.3">
      <c r="A99" s="268"/>
      <c r="B99" s="35" t="s">
        <v>8311</v>
      </c>
      <c r="C99" s="49" t="s">
        <v>87</v>
      </c>
      <c r="D99" s="36">
        <v>0.59719999999999995</v>
      </c>
      <c r="E99" s="30">
        <v>176.453</v>
      </c>
      <c r="F99" s="33">
        <f t="shared" si="18"/>
        <v>105.38</v>
      </c>
      <c r="G99" s="44"/>
      <c r="H99" s="45"/>
      <c r="I99" s="153">
        <v>0</v>
      </c>
      <c r="K99" s="215">
        <v>0.59719999999999995</v>
      </c>
      <c r="L99" s="30">
        <v>176.453</v>
      </c>
      <c r="M99" s="33">
        <f t="shared" si="19"/>
        <v>105.38</v>
      </c>
      <c r="N99" s="44"/>
      <c r="O99" s="36" t="str">
        <f t="shared" si="14"/>
        <v/>
      </c>
      <c r="P99" s="216">
        <f t="shared" si="15"/>
        <v>0</v>
      </c>
      <c r="Q99" s="216">
        <f t="shared" si="16"/>
        <v>0</v>
      </c>
      <c r="R99" s="217" t="str">
        <f t="shared" si="17"/>
        <v/>
      </c>
    </row>
    <row r="100" spans="1:18" ht="15.75" hidden="1" thickBot="1" x14ac:dyDescent="0.3">
      <c r="A100" s="268"/>
      <c r="B100" s="35" t="s">
        <v>584</v>
      </c>
      <c r="C100" s="49" t="s">
        <v>583</v>
      </c>
      <c r="D100" s="36">
        <v>1.9792000000000001</v>
      </c>
      <c r="E100" s="30">
        <v>20.225499999999997</v>
      </c>
      <c r="F100" s="33">
        <f t="shared" si="18"/>
        <v>40.03</v>
      </c>
      <c r="G100" s="44"/>
      <c r="H100" s="45"/>
      <c r="I100" s="153">
        <v>0</v>
      </c>
      <c r="K100" s="215">
        <v>1.9792000000000001</v>
      </c>
      <c r="L100" s="30">
        <v>20.225499999999997</v>
      </c>
      <c r="M100" s="33">
        <f t="shared" si="19"/>
        <v>40.03</v>
      </c>
      <c r="N100" s="44"/>
      <c r="O100" s="36" t="str">
        <f t="shared" si="14"/>
        <v/>
      </c>
      <c r="P100" s="216">
        <f t="shared" si="15"/>
        <v>0</v>
      </c>
      <c r="Q100" s="216">
        <f t="shared" si="16"/>
        <v>0</v>
      </c>
      <c r="R100" s="217" t="str">
        <f t="shared" si="17"/>
        <v/>
      </c>
    </row>
    <row r="101" spans="1:18" ht="26.25" hidden="1" thickBot="1" x14ac:dyDescent="0.3">
      <c r="A101" s="268"/>
      <c r="B101" s="35" t="s">
        <v>1271</v>
      </c>
      <c r="C101" s="49" t="s">
        <v>583</v>
      </c>
      <c r="D101" s="36">
        <v>1.2501</v>
      </c>
      <c r="E101" s="30">
        <v>20.291999999999998</v>
      </c>
      <c r="F101" s="33">
        <f t="shared" si="18"/>
        <v>25.37</v>
      </c>
      <c r="G101" s="44"/>
      <c r="H101" s="45"/>
      <c r="I101" s="153">
        <v>0</v>
      </c>
      <c r="K101" s="215">
        <v>1.2501</v>
      </c>
      <c r="L101" s="30">
        <v>20.291999999999998</v>
      </c>
      <c r="M101" s="33">
        <f t="shared" si="19"/>
        <v>25.37</v>
      </c>
      <c r="N101" s="44"/>
      <c r="O101" s="36" t="str">
        <f t="shared" si="14"/>
        <v/>
      </c>
      <c r="P101" s="216">
        <f t="shared" si="15"/>
        <v>0</v>
      </c>
      <c r="Q101" s="216">
        <f t="shared" si="16"/>
        <v>0</v>
      </c>
      <c r="R101" s="217" t="str">
        <f t="shared" si="17"/>
        <v/>
      </c>
    </row>
    <row r="102" spans="1:18" ht="39" hidden="1" thickBot="1" x14ac:dyDescent="0.3">
      <c r="A102" s="268"/>
      <c r="B102" s="35" t="s">
        <v>1218</v>
      </c>
      <c r="C102" s="49" t="s">
        <v>813</v>
      </c>
      <c r="D102" s="36">
        <v>0.64339999999999997</v>
      </c>
      <c r="E102" s="30">
        <v>5.1395</v>
      </c>
      <c r="F102" s="33">
        <f>IF(ISNUMBER(E102),E102*$D102,"")</f>
        <v>3.3067542999999997</v>
      </c>
      <c r="G102" s="44"/>
      <c r="H102" s="45"/>
      <c r="I102" s="153">
        <v>0</v>
      </c>
      <c r="K102" s="215">
        <v>0.64339999999999997</v>
      </c>
      <c r="L102" s="30">
        <v>5.1395</v>
      </c>
      <c r="M102" s="33">
        <f>IF(ISNUMBER(L102),L102*$D102,"")</f>
        <v>3.3067542999999997</v>
      </c>
      <c r="N102" s="44"/>
      <c r="O102" s="36" t="str">
        <f t="shared" si="14"/>
        <v/>
      </c>
      <c r="P102" s="216">
        <f t="shared" si="15"/>
        <v>0</v>
      </c>
      <c r="Q102" s="216">
        <f t="shared" si="16"/>
        <v>0</v>
      </c>
      <c r="R102" s="217" t="str">
        <f t="shared" si="17"/>
        <v/>
      </c>
    </row>
    <row r="103" spans="1:18" ht="39" hidden="1" thickBot="1" x14ac:dyDescent="0.3">
      <c r="A103" s="268"/>
      <c r="B103" s="35" t="s">
        <v>1272</v>
      </c>
      <c r="C103" s="49" t="s">
        <v>815</v>
      </c>
      <c r="D103" s="36">
        <v>0.60670000000000002</v>
      </c>
      <c r="E103" s="30">
        <v>1.7954999999999999</v>
      </c>
      <c r="F103" s="33">
        <f>IF(ISNUMBER(E103),E103*$D103,"")</f>
        <v>1.0893298499999999</v>
      </c>
      <c r="G103" s="44"/>
      <c r="H103" s="45"/>
      <c r="I103" s="153">
        <v>0</v>
      </c>
      <c r="K103" s="215">
        <v>0.60670000000000002</v>
      </c>
      <c r="L103" s="30">
        <v>1.7954999999999999</v>
      </c>
      <c r="M103" s="33">
        <f>IF(ISNUMBER(L103),L103*$D103,"")</f>
        <v>1.0893298499999999</v>
      </c>
      <c r="N103" s="44"/>
      <c r="O103" s="36" t="str">
        <f t="shared" si="14"/>
        <v/>
      </c>
      <c r="P103" s="216">
        <f t="shared" si="15"/>
        <v>0</v>
      </c>
      <c r="Q103" s="216">
        <f t="shared" si="16"/>
        <v>0</v>
      </c>
      <c r="R103" s="217" t="str">
        <f t="shared" si="17"/>
        <v/>
      </c>
    </row>
    <row r="104" spans="1:18" ht="51.75" hidden="1" thickBot="1" x14ac:dyDescent="0.3">
      <c r="A104" s="268"/>
      <c r="B104" s="35" t="s">
        <v>3071</v>
      </c>
      <c r="C104" s="35" t="s">
        <v>87</v>
      </c>
      <c r="D104" s="36">
        <f>D97+D99</f>
        <v>1.3247</v>
      </c>
      <c r="E104" s="30">
        <v>8.0531015499999992</v>
      </c>
      <c r="F104" s="33">
        <f>IF(ISNUMBER(E104),E104*$D104,"")</f>
        <v>10.667943623284998</v>
      </c>
      <c r="G104" s="44"/>
      <c r="H104" s="45"/>
      <c r="I104" s="153">
        <v>0</v>
      </c>
      <c r="K104" s="215">
        <v>1.3247</v>
      </c>
      <c r="L104" s="30">
        <v>8.0531015499999992</v>
      </c>
      <c r="M104" s="33">
        <f>IF(ISNUMBER(L104),L104*$D104,"")</f>
        <v>10.667943623284998</v>
      </c>
      <c r="N104" s="44"/>
      <c r="O104" s="36" t="str">
        <f t="shared" si="14"/>
        <v/>
      </c>
      <c r="P104" s="216">
        <f t="shared" si="15"/>
        <v>0</v>
      </c>
      <c r="Q104" s="216">
        <f t="shared" si="16"/>
        <v>0</v>
      </c>
      <c r="R104" s="217" t="str">
        <f t="shared" si="17"/>
        <v/>
      </c>
    </row>
    <row r="105" spans="1:18" ht="39" hidden="1" thickBot="1" x14ac:dyDescent="0.3">
      <c r="A105" s="268"/>
      <c r="B105" s="35" t="s">
        <v>3068</v>
      </c>
      <c r="C105" s="49" t="s">
        <v>89</v>
      </c>
      <c r="D105" s="36">
        <f>20*(D97+D99)</f>
        <v>26.494</v>
      </c>
      <c r="E105" s="33">
        <v>2.6576449499999995</v>
      </c>
      <c r="F105" s="33">
        <f t="shared" ref="F105:F115" si="20">IF(ISNUMBER(E105),ROUND(E105*$D105,2),"")</f>
        <v>70.41</v>
      </c>
      <c r="G105" s="44"/>
      <c r="H105" s="45"/>
      <c r="I105" s="153">
        <v>0</v>
      </c>
      <c r="K105" s="215">
        <v>26.494</v>
      </c>
      <c r="L105" s="33">
        <v>2.6576449499999995</v>
      </c>
      <c r="M105" s="33">
        <f t="shared" ref="M105:M115" si="21">IF(ISNUMBER(L105),ROUND(L105*$D105,2),"")</f>
        <v>70.41</v>
      </c>
      <c r="N105" s="44"/>
      <c r="O105" s="36" t="str">
        <f t="shared" si="14"/>
        <v/>
      </c>
      <c r="P105" s="216">
        <f t="shared" si="15"/>
        <v>0</v>
      </c>
      <c r="Q105" s="216">
        <f t="shared" si="16"/>
        <v>0</v>
      </c>
      <c r="R105" s="217" t="str">
        <f t="shared" si="17"/>
        <v/>
      </c>
    </row>
    <row r="106" spans="1:18" ht="15.75" hidden="1" thickBot="1" x14ac:dyDescent="0.3">
      <c r="A106" s="268"/>
      <c r="B106" s="50"/>
      <c r="C106" s="133"/>
      <c r="D106" s="36"/>
      <c r="E106" s="30" t="s">
        <v>416</v>
      </c>
      <c r="F106" s="33" t="str">
        <f t="shared" si="20"/>
        <v/>
      </c>
      <c r="G106" s="44"/>
      <c r="H106" s="45"/>
      <c r="I106" s="153">
        <v>0</v>
      </c>
      <c r="K106" s="215"/>
      <c r="L106" s="30" t="s">
        <v>416</v>
      </c>
      <c r="M106" s="33" t="str">
        <f t="shared" si="21"/>
        <v/>
      </c>
      <c r="N106" s="44"/>
      <c r="O106" s="36" t="str">
        <f t="shared" si="14"/>
        <v/>
      </c>
      <c r="P106" s="216" t="str">
        <f t="shared" si="15"/>
        <v/>
      </c>
      <c r="Q106" s="216" t="str">
        <f t="shared" si="16"/>
        <v/>
      </c>
      <c r="R106" s="217" t="str">
        <f t="shared" si="17"/>
        <v/>
      </c>
    </row>
    <row r="107" spans="1:18" ht="15.75" hidden="1" thickBot="1" x14ac:dyDescent="0.3">
      <c r="A107" s="268"/>
      <c r="B107" s="47" t="s">
        <v>631</v>
      </c>
      <c r="C107" s="133"/>
      <c r="D107" s="36"/>
      <c r="E107" s="30" t="s">
        <v>416</v>
      </c>
      <c r="F107" s="33" t="str">
        <f t="shared" si="20"/>
        <v/>
      </c>
      <c r="G107" s="44"/>
      <c r="H107" s="45"/>
      <c r="I107" s="153">
        <v>0</v>
      </c>
      <c r="K107" s="215"/>
      <c r="L107" s="30" t="s">
        <v>416</v>
      </c>
      <c r="M107" s="33" t="str">
        <f t="shared" si="21"/>
        <v/>
      </c>
      <c r="N107" s="44"/>
      <c r="O107" s="36" t="str">
        <f t="shared" si="14"/>
        <v/>
      </c>
      <c r="P107" s="216" t="str">
        <f t="shared" si="15"/>
        <v/>
      </c>
      <c r="Q107" s="216" t="str">
        <f t="shared" si="16"/>
        <v/>
      </c>
      <c r="R107" s="217" t="str">
        <f t="shared" si="17"/>
        <v/>
      </c>
    </row>
    <row r="108" spans="1:18" ht="15.75" hidden="1" thickBot="1" x14ac:dyDescent="0.3">
      <c r="A108" s="270"/>
      <c r="B108" s="103"/>
      <c r="C108" s="79"/>
      <c r="D108" s="95"/>
      <c r="E108" s="66" t="s">
        <v>416</v>
      </c>
      <c r="F108" s="66" t="str">
        <f t="shared" si="20"/>
        <v/>
      </c>
      <c r="G108" s="68"/>
      <c r="H108" s="30"/>
      <c r="I108" s="153">
        <v>0</v>
      </c>
      <c r="K108" s="229"/>
      <c r="L108" s="66" t="s">
        <v>416</v>
      </c>
      <c r="M108" s="66" t="str">
        <f t="shared" si="21"/>
        <v/>
      </c>
      <c r="N108" s="68"/>
      <c r="O108" s="36" t="str">
        <f t="shared" si="14"/>
        <v/>
      </c>
      <c r="P108" s="216" t="str">
        <f t="shared" si="15"/>
        <v/>
      </c>
      <c r="Q108" s="216" t="str">
        <f t="shared" si="16"/>
        <v/>
      </c>
      <c r="R108" s="217" t="str">
        <f t="shared" si="17"/>
        <v/>
      </c>
    </row>
    <row r="109" spans="1:18" ht="15.75" hidden="1" thickBot="1" x14ac:dyDescent="0.3">
      <c r="A109" s="269" t="s">
        <v>5779</v>
      </c>
      <c r="B109" s="40" t="s">
        <v>416</v>
      </c>
      <c r="C109" s="77" t="s">
        <v>87</v>
      </c>
      <c r="D109" s="93"/>
      <c r="E109" s="41" t="s">
        <v>416</v>
      </c>
      <c r="F109" s="41" t="str">
        <f t="shared" si="20"/>
        <v/>
      </c>
      <c r="G109" s="28"/>
      <c r="H109" s="29"/>
      <c r="I109" s="153">
        <v>0</v>
      </c>
      <c r="K109" s="226"/>
      <c r="L109" s="41" t="s">
        <v>416</v>
      </c>
      <c r="M109" s="41" t="str">
        <f t="shared" si="21"/>
        <v/>
      </c>
      <c r="N109" s="28"/>
      <c r="O109" s="36" t="str">
        <f t="shared" si="14"/>
        <v/>
      </c>
      <c r="P109" s="216" t="str">
        <f t="shared" si="15"/>
        <v/>
      </c>
      <c r="Q109" s="216" t="str">
        <f t="shared" si="16"/>
        <v/>
      </c>
      <c r="R109" s="217" t="str">
        <f t="shared" si="17"/>
        <v/>
      </c>
    </row>
    <row r="110" spans="1:18" ht="15.75" hidden="1" thickBot="1" x14ac:dyDescent="0.3">
      <c r="A110" s="268"/>
      <c r="B110" s="31" t="s">
        <v>416</v>
      </c>
      <c r="C110" s="78"/>
      <c r="D110" s="91"/>
      <c r="E110" s="97" t="s">
        <v>416</v>
      </c>
      <c r="F110" s="98" t="str">
        <f t="shared" si="20"/>
        <v/>
      </c>
      <c r="G110" s="34"/>
      <c r="H110" s="30"/>
      <c r="I110" s="153">
        <v>0</v>
      </c>
      <c r="K110" s="227"/>
      <c r="L110" s="97" t="s">
        <v>416</v>
      </c>
      <c r="M110" s="98" t="str">
        <f t="shared" si="21"/>
        <v/>
      </c>
      <c r="N110" s="34"/>
      <c r="O110" s="36" t="str">
        <f t="shared" si="14"/>
        <v/>
      </c>
      <c r="P110" s="216" t="str">
        <f t="shared" si="15"/>
        <v/>
      </c>
      <c r="Q110" s="216" t="str">
        <f t="shared" si="16"/>
        <v/>
      </c>
      <c r="R110" s="217" t="str">
        <f t="shared" si="17"/>
        <v/>
      </c>
    </row>
    <row r="111" spans="1:18" ht="26.25" hidden="1" thickBot="1" x14ac:dyDescent="0.3">
      <c r="A111" s="268"/>
      <c r="B111" s="35" t="s">
        <v>1140</v>
      </c>
      <c r="C111" s="49" t="s">
        <v>87</v>
      </c>
      <c r="D111" s="36">
        <v>0.63019999999999998</v>
      </c>
      <c r="E111" s="33">
        <v>204.97199999999998</v>
      </c>
      <c r="F111" s="33">
        <f t="shared" si="20"/>
        <v>129.16999999999999</v>
      </c>
      <c r="G111" s="44">
        <f>SUM(F111:F120)</f>
        <v>691.61044427852005</v>
      </c>
      <c r="H111" s="45"/>
      <c r="I111" s="153">
        <v>0</v>
      </c>
      <c r="K111" s="215">
        <v>0.63019999999999998</v>
      </c>
      <c r="L111" s="33">
        <v>204.97199999999998</v>
      </c>
      <c r="M111" s="33">
        <f t="shared" si="21"/>
        <v>129.16999999999999</v>
      </c>
      <c r="N111" s="44">
        <f>SUM(M111:M120)</f>
        <v>691.61044427852005</v>
      </c>
      <c r="O111" s="36" t="str">
        <f t="shared" si="14"/>
        <v/>
      </c>
      <c r="P111" s="216">
        <f t="shared" si="15"/>
        <v>0</v>
      </c>
      <c r="Q111" s="216">
        <f t="shared" si="16"/>
        <v>0</v>
      </c>
      <c r="R111" s="217">
        <f t="shared" si="17"/>
        <v>0</v>
      </c>
    </row>
    <row r="112" spans="1:18" ht="15.75" hidden="1" thickBot="1" x14ac:dyDescent="0.3">
      <c r="A112" s="268"/>
      <c r="B112" s="35" t="s">
        <v>8040</v>
      </c>
      <c r="C112" s="49" t="s">
        <v>773</v>
      </c>
      <c r="D112" s="36">
        <v>15.125500000000001</v>
      </c>
      <c r="E112" s="33">
        <v>1.216</v>
      </c>
      <c r="F112" s="33">
        <f t="shared" si="20"/>
        <v>18.39</v>
      </c>
      <c r="G112" s="44"/>
      <c r="H112" s="45"/>
      <c r="I112" s="153">
        <v>0</v>
      </c>
      <c r="K112" s="215">
        <v>15.125500000000001</v>
      </c>
      <c r="L112" s="33">
        <v>1.216</v>
      </c>
      <c r="M112" s="33">
        <f t="shared" si="21"/>
        <v>18.39</v>
      </c>
      <c r="N112" s="44"/>
      <c r="O112" s="36" t="str">
        <f t="shared" si="14"/>
        <v/>
      </c>
      <c r="P112" s="216">
        <f t="shared" si="15"/>
        <v>0</v>
      </c>
      <c r="Q112" s="216">
        <f t="shared" si="16"/>
        <v>0</v>
      </c>
      <c r="R112" s="217" t="str">
        <f t="shared" si="17"/>
        <v/>
      </c>
    </row>
    <row r="113" spans="1:18" ht="15.75" hidden="1" thickBot="1" x14ac:dyDescent="0.3">
      <c r="A113" s="268"/>
      <c r="B113" s="35" t="s">
        <v>8065</v>
      </c>
      <c r="C113" s="49" t="s">
        <v>773</v>
      </c>
      <c r="D113" s="36">
        <v>420.15269999999998</v>
      </c>
      <c r="E113" s="30">
        <v>0.627</v>
      </c>
      <c r="F113" s="33">
        <f t="shared" si="20"/>
        <v>263.44</v>
      </c>
      <c r="G113" s="44"/>
      <c r="H113" s="45"/>
      <c r="I113" s="153">
        <v>0</v>
      </c>
      <c r="K113" s="215">
        <v>420.15269999999998</v>
      </c>
      <c r="L113" s="30">
        <v>0.627</v>
      </c>
      <c r="M113" s="33">
        <f t="shared" si="21"/>
        <v>263.44</v>
      </c>
      <c r="N113" s="44"/>
      <c r="O113" s="36" t="str">
        <f t="shared" si="14"/>
        <v/>
      </c>
      <c r="P113" s="216">
        <f t="shared" si="15"/>
        <v>0</v>
      </c>
      <c r="Q113" s="216">
        <f t="shared" si="16"/>
        <v>0</v>
      </c>
      <c r="R113" s="217" t="str">
        <f t="shared" si="17"/>
        <v/>
      </c>
    </row>
    <row r="114" spans="1:18" ht="26.25" hidden="1" thickBot="1" x14ac:dyDescent="0.3">
      <c r="A114" s="268"/>
      <c r="B114" s="35" t="s">
        <v>633</v>
      </c>
      <c r="C114" s="49" t="s">
        <v>87</v>
      </c>
      <c r="D114" s="36">
        <v>0.58819999999999995</v>
      </c>
      <c r="E114" s="30">
        <v>203.71799999999999</v>
      </c>
      <c r="F114" s="33">
        <f t="shared" si="20"/>
        <v>119.83</v>
      </c>
      <c r="G114" s="44"/>
      <c r="H114" s="45"/>
      <c r="I114" s="153">
        <v>0</v>
      </c>
      <c r="K114" s="215">
        <v>0.58819999999999995</v>
      </c>
      <c r="L114" s="30">
        <v>203.71799999999999</v>
      </c>
      <c r="M114" s="33">
        <f t="shared" si="21"/>
        <v>119.83</v>
      </c>
      <c r="N114" s="44"/>
      <c r="O114" s="36" t="str">
        <f t="shared" si="14"/>
        <v/>
      </c>
      <c r="P114" s="216">
        <f t="shared" si="15"/>
        <v>0</v>
      </c>
      <c r="Q114" s="216">
        <f t="shared" si="16"/>
        <v>0</v>
      </c>
      <c r="R114" s="217" t="str">
        <f t="shared" si="17"/>
        <v/>
      </c>
    </row>
    <row r="115" spans="1:18" ht="15.75" hidden="1" thickBot="1" x14ac:dyDescent="0.3">
      <c r="A115" s="268"/>
      <c r="B115" s="35" t="s">
        <v>584</v>
      </c>
      <c r="C115" s="49" t="s">
        <v>583</v>
      </c>
      <c r="D115" s="36">
        <v>2.5491999999999999</v>
      </c>
      <c r="E115" s="30">
        <v>20.225499999999997</v>
      </c>
      <c r="F115" s="33">
        <f t="shared" si="20"/>
        <v>51.56</v>
      </c>
      <c r="G115" s="44"/>
      <c r="H115" s="45"/>
      <c r="I115" s="153">
        <v>0</v>
      </c>
      <c r="K115" s="215">
        <v>2.5491999999999999</v>
      </c>
      <c r="L115" s="30">
        <v>20.225499999999997</v>
      </c>
      <c r="M115" s="33">
        <f t="shared" si="21"/>
        <v>51.56</v>
      </c>
      <c r="N115" s="44"/>
      <c r="O115" s="36" t="str">
        <f t="shared" si="14"/>
        <v/>
      </c>
      <c r="P115" s="216">
        <f t="shared" si="15"/>
        <v>0</v>
      </c>
      <c r="Q115" s="216">
        <f t="shared" si="16"/>
        <v>0</v>
      </c>
      <c r="R115" s="217" t="str">
        <f t="shared" si="17"/>
        <v/>
      </c>
    </row>
    <row r="116" spans="1:18" ht="26.25" hidden="1" thickBot="1" x14ac:dyDescent="0.3">
      <c r="A116" s="268"/>
      <c r="B116" s="35" t="s">
        <v>1271</v>
      </c>
      <c r="C116" s="49" t="s">
        <v>583</v>
      </c>
      <c r="D116" s="36">
        <v>1.6069</v>
      </c>
      <c r="E116" s="30">
        <v>20.291999999999998</v>
      </c>
      <c r="F116" s="33">
        <f>IF(ISNUMBER(E116),E116*$D116,"")</f>
        <v>32.607214799999994</v>
      </c>
      <c r="G116" s="44"/>
      <c r="H116" s="45"/>
      <c r="I116" s="153">
        <v>0</v>
      </c>
      <c r="K116" s="215">
        <v>1.6069</v>
      </c>
      <c r="L116" s="30">
        <v>20.291999999999998</v>
      </c>
      <c r="M116" s="33">
        <f>IF(ISNUMBER(L116),L116*$D116,"")</f>
        <v>32.607214799999994</v>
      </c>
      <c r="N116" s="44"/>
      <c r="O116" s="36" t="str">
        <f t="shared" si="14"/>
        <v/>
      </c>
      <c r="P116" s="216">
        <f t="shared" si="15"/>
        <v>0</v>
      </c>
      <c r="Q116" s="216">
        <f t="shared" si="16"/>
        <v>0</v>
      </c>
      <c r="R116" s="217" t="str">
        <f t="shared" si="17"/>
        <v/>
      </c>
    </row>
    <row r="117" spans="1:18" ht="39" hidden="1" thickBot="1" x14ac:dyDescent="0.3">
      <c r="A117" s="268"/>
      <c r="B117" s="35" t="s">
        <v>84</v>
      </c>
      <c r="C117" s="49" t="s">
        <v>813</v>
      </c>
      <c r="D117" s="36">
        <v>1.1137999999999999</v>
      </c>
      <c r="E117" s="30">
        <v>1.6435</v>
      </c>
      <c r="F117" s="33">
        <f>IF(ISNUMBER(E117),E117*$D117,"")</f>
        <v>1.8305302999999997</v>
      </c>
      <c r="G117" s="44"/>
      <c r="H117" s="45"/>
      <c r="I117" s="153">
        <v>0</v>
      </c>
      <c r="K117" s="215">
        <v>1.1137999999999999</v>
      </c>
      <c r="L117" s="30">
        <v>1.6435</v>
      </c>
      <c r="M117" s="33">
        <f>IF(ISNUMBER(L117),L117*$D117,"")</f>
        <v>1.8305302999999997</v>
      </c>
      <c r="N117" s="44"/>
      <c r="O117" s="36" t="str">
        <f t="shared" si="14"/>
        <v/>
      </c>
      <c r="P117" s="216">
        <f t="shared" si="15"/>
        <v>0</v>
      </c>
      <c r="Q117" s="216">
        <f t="shared" si="16"/>
        <v>0</v>
      </c>
      <c r="R117" s="217" t="str">
        <f t="shared" si="17"/>
        <v/>
      </c>
    </row>
    <row r="118" spans="1:18" ht="39" hidden="1" thickBot="1" x14ac:dyDescent="0.3">
      <c r="A118" s="268"/>
      <c r="B118" s="35" t="s">
        <v>85</v>
      </c>
      <c r="C118" s="49" t="s">
        <v>815</v>
      </c>
      <c r="D118" s="36">
        <v>0.49309999999999998</v>
      </c>
      <c r="E118" s="30">
        <v>0.42749999999999999</v>
      </c>
      <c r="F118" s="33">
        <f>IF(ISNUMBER(E118),E118*$D118,"")</f>
        <v>0.21080024999999999</v>
      </c>
      <c r="G118" s="44"/>
      <c r="H118" s="45"/>
      <c r="I118" s="153">
        <v>0</v>
      </c>
      <c r="K118" s="215">
        <v>0.49309999999999998</v>
      </c>
      <c r="L118" s="30">
        <v>0.42749999999999999</v>
      </c>
      <c r="M118" s="33">
        <f>IF(ISNUMBER(L118),L118*$D118,"")</f>
        <v>0.21080024999999999</v>
      </c>
      <c r="N118" s="44"/>
      <c r="O118" s="36" t="str">
        <f t="shared" si="14"/>
        <v/>
      </c>
      <c r="P118" s="216">
        <f t="shared" si="15"/>
        <v>0</v>
      </c>
      <c r="Q118" s="216">
        <f t="shared" si="16"/>
        <v>0</v>
      </c>
      <c r="R118" s="217" t="str">
        <f t="shared" si="17"/>
        <v/>
      </c>
    </row>
    <row r="119" spans="1:18" ht="51.75" hidden="1" thickBot="1" x14ac:dyDescent="0.3">
      <c r="A119" s="268"/>
      <c r="B119" s="35" t="s">
        <v>3071</v>
      </c>
      <c r="C119" s="35" t="s">
        <v>87</v>
      </c>
      <c r="D119" s="36">
        <f>D111+D114</f>
        <v>1.2183999999999999</v>
      </c>
      <c r="E119" s="30">
        <v>8.0531015499999992</v>
      </c>
      <c r="F119" s="33">
        <f>IF(ISNUMBER(E119),E119*$D119,"")</f>
        <v>9.811898928519998</v>
      </c>
      <c r="G119" s="44"/>
      <c r="H119" s="45"/>
      <c r="I119" s="153">
        <v>0</v>
      </c>
      <c r="K119" s="215">
        <v>1.2183999999999999</v>
      </c>
      <c r="L119" s="30">
        <v>8.0531015499999992</v>
      </c>
      <c r="M119" s="33">
        <f>IF(ISNUMBER(L119),L119*$D119,"")</f>
        <v>9.811898928519998</v>
      </c>
      <c r="N119" s="44"/>
      <c r="O119" s="36" t="str">
        <f t="shared" si="14"/>
        <v/>
      </c>
      <c r="P119" s="216">
        <f t="shared" si="15"/>
        <v>0</v>
      </c>
      <c r="Q119" s="216">
        <f t="shared" si="16"/>
        <v>0</v>
      </c>
      <c r="R119" s="217" t="str">
        <f t="shared" si="17"/>
        <v/>
      </c>
    </row>
    <row r="120" spans="1:18" ht="39" hidden="1" thickBot="1" x14ac:dyDescent="0.3">
      <c r="A120" s="268"/>
      <c r="B120" s="35" t="s">
        <v>3068</v>
      </c>
      <c r="C120" s="49" t="s">
        <v>89</v>
      </c>
      <c r="D120" s="36">
        <f>20*(D111+D114)</f>
        <v>24.367999999999999</v>
      </c>
      <c r="E120" s="33">
        <v>2.6576449499999995</v>
      </c>
      <c r="F120" s="33">
        <f t="shared" ref="F120:F139" si="22">IF(ISNUMBER(E120),ROUND(E120*$D120,2),"")</f>
        <v>64.760000000000005</v>
      </c>
      <c r="G120" s="44"/>
      <c r="H120" s="45"/>
      <c r="I120" s="153">
        <v>0</v>
      </c>
      <c r="K120" s="215">
        <v>24.367999999999999</v>
      </c>
      <c r="L120" s="33">
        <v>2.6576449499999995</v>
      </c>
      <c r="M120" s="33">
        <f t="shared" ref="M120:M139" si="23">IF(ISNUMBER(L120),ROUND(L120*$D120,2),"")</f>
        <v>64.760000000000005</v>
      </c>
      <c r="N120" s="44"/>
      <c r="O120" s="36" t="str">
        <f t="shared" si="14"/>
        <v/>
      </c>
      <c r="P120" s="216">
        <f t="shared" si="15"/>
        <v>0</v>
      </c>
      <c r="Q120" s="216">
        <f t="shared" si="16"/>
        <v>0</v>
      </c>
      <c r="R120" s="217" t="str">
        <f t="shared" si="17"/>
        <v/>
      </c>
    </row>
    <row r="121" spans="1:18" ht="15.75" hidden="1" thickBot="1" x14ac:dyDescent="0.3">
      <c r="A121" s="268"/>
      <c r="B121" s="50"/>
      <c r="C121" s="133"/>
      <c r="D121" s="36"/>
      <c r="E121" s="30" t="s">
        <v>416</v>
      </c>
      <c r="F121" s="33" t="str">
        <f t="shared" si="22"/>
        <v/>
      </c>
      <c r="G121" s="44"/>
      <c r="H121" s="45"/>
      <c r="I121" s="153">
        <v>0</v>
      </c>
      <c r="K121" s="215"/>
      <c r="L121" s="30" t="s">
        <v>416</v>
      </c>
      <c r="M121" s="33" t="str">
        <f t="shared" si="23"/>
        <v/>
      </c>
      <c r="N121" s="44"/>
      <c r="O121" s="36" t="str">
        <f t="shared" si="14"/>
        <v/>
      </c>
      <c r="P121" s="216" t="str">
        <f t="shared" si="15"/>
        <v/>
      </c>
      <c r="Q121" s="216" t="str">
        <f t="shared" si="16"/>
        <v/>
      </c>
      <c r="R121" s="217" t="str">
        <f t="shared" si="17"/>
        <v/>
      </c>
    </row>
    <row r="122" spans="1:18" ht="15.75" hidden="1" thickBot="1" x14ac:dyDescent="0.3">
      <c r="A122" s="268"/>
      <c r="B122" s="47" t="s">
        <v>631</v>
      </c>
      <c r="C122" s="133"/>
      <c r="D122" s="36"/>
      <c r="E122" s="30" t="s">
        <v>416</v>
      </c>
      <c r="F122" s="33" t="str">
        <f t="shared" si="22"/>
        <v/>
      </c>
      <c r="G122" s="44"/>
      <c r="H122" s="45"/>
      <c r="I122" s="153">
        <v>0</v>
      </c>
      <c r="K122" s="215"/>
      <c r="L122" s="30" t="s">
        <v>416</v>
      </c>
      <c r="M122" s="33" t="str">
        <f t="shared" si="23"/>
        <v/>
      </c>
      <c r="N122" s="44"/>
      <c r="O122" s="36" t="str">
        <f t="shared" si="14"/>
        <v/>
      </c>
      <c r="P122" s="216" t="str">
        <f t="shared" si="15"/>
        <v/>
      </c>
      <c r="Q122" s="216" t="str">
        <f t="shared" si="16"/>
        <v/>
      </c>
      <c r="R122" s="217" t="str">
        <f t="shared" si="17"/>
        <v/>
      </c>
    </row>
    <row r="123" spans="1:18" ht="15.75" hidden="1" thickBot="1" x14ac:dyDescent="0.3">
      <c r="A123" s="270"/>
      <c r="B123" s="103"/>
      <c r="C123" s="79"/>
      <c r="D123" s="95"/>
      <c r="E123" s="66" t="s">
        <v>416</v>
      </c>
      <c r="F123" s="66" t="str">
        <f t="shared" si="22"/>
        <v/>
      </c>
      <c r="G123" s="68"/>
      <c r="H123" s="30"/>
      <c r="I123" s="153">
        <v>0</v>
      </c>
      <c r="K123" s="229"/>
      <c r="L123" s="66" t="s">
        <v>416</v>
      </c>
      <c r="M123" s="66" t="str">
        <f t="shared" si="23"/>
        <v/>
      </c>
      <c r="N123" s="68"/>
      <c r="O123" s="36" t="str">
        <f t="shared" si="14"/>
        <v/>
      </c>
      <c r="P123" s="216" t="str">
        <f t="shared" si="15"/>
        <v/>
      </c>
      <c r="Q123" s="216" t="str">
        <f t="shared" si="16"/>
        <v/>
      </c>
      <c r="R123" s="217" t="str">
        <f t="shared" si="17"/>
        <v/>
      </c>
    </row>
    <row r="124" spans="1:18" ht="15.75" hidden="1" thickBot="1" x14ac:dyDescent="0.3">
      <c r="A124" s="269" t="s">
        <v>6820</v>
      </c>
      <c r="B124" s="40" t="s">
        <v>416</v>
      </c>
      <c r="C124" s="77" t="s">
        <v>773</v>
      </c>
      <c r="D124" s="93"/>
      <c r="E124" s="27" t="s">
        <v>416</v>
      </c>
      <c r="F124" s="25" t="str">
        <f t="shared" si="22"/>
        <v/>
      </c>
      <c r="G124" s="28"/>
      <c r="H124" s="29"/>
      <c r="I124" s="153">
        <v>0</v>
      </c>
      <c r="K124" s="226"/>
      <c r="L124" s="27" t="s">
        <v>416</v>
      </c>
      <c r="M124" s="25" t="str">
        <f t="shared" si="23"/>
        <v/>
      </c>
      <c r="N124" s="28"/>
      <c r="O124" s="36" t="str">
        <f t="shared" si="14"/>
        <v/>
      </c>
      <c r="P124" s="216" t="str">
        <f t="shared" si="15"/>
        <v/>
      </c>
      <c r="Q124" s="216" t="str">
        <f t="shared" si="16"/>
        <v/>
      </c>
      <c r="R124" s="217" t="str">
        <f t="shared" si="17"/>
        <v/>
      </c>
    </row>
    <row r="125" spans="1:18" ht="15.75" hidden="1" thickBot="1" x14ac:dyDescent="0.3">
      <c r="A125" s="268"/>
      <c r="B125" s="31" t="s">
        <v>416</v>
      </c>
      <c r="C125" s="78"/>
      <c r="D125" s="91"/>
      <c r="E125" s="30" t="s">
        <v>416</v>
      </c>
      <c r="F125" s="30" t="str">
        <f t="shared" si="22"/>
        <v/>
      </c>
      <c r="G125" s="34"/>
      <c r="H125" s="30"/>
      <c r="I125" s="153">
        <v>0</v>
      </c>
      <c r="K125" s="227"/>
      <c r="L125" s="30" t="s">
        <v>416</v>
      </c>
      <c r="M125" s="30" t="str">
        <f t="shared" si="23"/>
        <v/>
      </c>
      <c r="N125" s="34"/>
      <c r="O125" s="36" t="str">
        <f t="shared" si="14"/>
        <v/>
      </c>
      <c r="P125" s="216" t="str">
        <f t="shared" si="15"/>
        <v/>
      </c>
      <c r="Q125" s="216" t="str">
        <f t="shared" si="16"/>
        <v/>
      </c>
      <c r="R125" s="217" t="str">
        <f t="shared" si="17"/>
        <v/>
      </c>
    </row>
    <row r="126" spans="1:18" ht="26.25" hidden="1" thickBot="1" x14ac:dyDescent="0.3">
      <c r="A126" s="268"/>
      <c r="B126" s="35" t="s">
        <v>7957</v>
      </c>
      <c r="C126" s="49" t="s">
        <v>773</v>
      </c>
      <c r="D126" s="36">
        <v>1.1100000000000001</v>
      </c>
      <c r="E126" s="30">
        <v>10.1365</v>
      </c>
      <c r="F126" s="33">
        <f t="shared" si="22"/>
        <v>11.25</v>
      </c>
      <c r="G126" s="44">
        <f>SUM(F126:F127)</f>
        <v>11.35</v>
      </c>
      <c r="H126" s="45"/>
      <c r="I126" s="153">
        <v>0</v>
      </c>
      <c r="K126" s="215">
        <v>1.1100000000000001</v>
      </c>
      <c r="L126" s="30">
        <v>10.1365</v>
      </c>
      <c r="M126" s="33">
        <f t="shared" si="23"/>
        <v>11.25</v>
      </c>
      <c r="N126" s="44">
        <f>SUM(M126:M127)</f>
        <v>11.35</v>
      </c>
      <c r="O126" s="36" t="str">
        <f t="shared" si="14"/>
        <v/>
      </c>
      <c r="P126" s="216">
        <f t="shared" si="15"/>
        <v>0</v>
      </c>
      <c r="Q126" s="216">
        <f t="shared" si="16"/>
        <v>0</v>
      </c>
      <c r="R126" s="217">
        <f t="shared" si="17"/>
        <v>0</v>
      </c>
    </row>
    <row r="127" spans="1:18" ht="15.75" hidden="1" thickBot="1" x14ac:dyDescent="0.3">
      <c r="A127" s="268"/>
      <c r="B127" s="35" t="s">
        <v>776</v>
      </c>
      <c r="C127" s="49" t="s">
        <v>583</v>
      </c>
      <c r="D127" s="36">
        <v>3.7000000000000002E-3</v>
      </c>
      <c r="E127" s="30">
        <v>26.970499999999998</v>
      </c>
      <c r="F127" s="33">
        <f t="shared" si="22"/>
        <v>0.1</v>
      </c>
      <c r="G127" s="44"/>
      <c r="H127" s="45"/>
      <c r="I127" s="153">
        <v>0</v>
      </c>
      <c r="K127" s="215">
        <v>3.7000000000000002E-3</v>
      </c>
      <c r="L127" s="30">
        <v>26.970499999999998</v>
      </c>
      <c r="M127" s="33">
        <f t="shared" si="23"/>
        <v>0.1</v>
      </c>
      <c r="N127" s="44"/>
      <c r="O127" s="36" t="str">
        <f t="shared" si="14"/>
        <v/>
      </c>
      <c r="P127" s="216">
        <f t="shared" si="15"/>
        <v>0</v>
      </c>
      <c r="Q127" s="216">
        <f t="shared" si="16"/>
        <v>0</v>
      </c>
      <c r="R127" s="217" t="str">
        <f t="shared" si="17"/>
        <v/>
      </c>
    </row>
    <row r="128" spans="1:18" ht="15.75" hidden="1" thickBot="1" x14ac:dyDescent="0.3">
      <c r="A128" s="270"/>
      <c r="B128" s="54" t="s">
        <v>416</v>
      </c>
      <c r="C128" s="79"/>
      <c r="D128" s="95"/>
      <c r="E128" s="66" t="s">
        <v>416</v>
      </c>
      <c r="F128" s="67" t="str">
        <f t="shared" si="22"/>
        <v/>
      </c>
      <c r="G128" s="68"/>
      <c r="H128" s="30"/>
      <c r="I128" s="153">
        <v>0</v>
      </c>
      <c r="K128" s="229"/>
      <c r="L128" s="66" t="s">
        <v>416</v>
      </c>
      <c r="M128" s="67" t="str">
        <f t="shared" si="23"/>
        <v/>
      </c>
      <c r="N128" s="68"/>
      <c r="O128" s="36" t="str">
        <f t="shared" si="14"/>
        <v/>
      </c>
      <c r="P128" s="216" t="str">
        <f t="shared" si="15"/>
        <v/>
      </c>
      <c r="Q128" s="216" t="str">
        <f t="shared" si="16"/>
        <v/>
      </c>
      <c r="R128" s="217" t="str">
        <f t="shared" si="17"/>
        <v/>
      </c>
    </row>
    <row r="129" spans="1:18" ht="15.75" thickBot="1" x14ac:dyDescent="0.3">
      <c r="A129" s="269" t="s">
        <v>6816</v>
      </c>
      <c r="B129" s="40" t="s">
        <v>416</v>
      </c>
      <c r="C129" s="77" t="s">
        <v>773</v>
      </c>
      <c r="D129" s="93"/>
      <c r="E129" s="27" t="s">
        <v>416</v>
      </c>
      <c r="F129" s="25" t="str">
        <f t="shared" si="22"/>
        <v/>
      </c>
      <c r="G129" s="28"/>
      <c r="H129" s="29"/>
      <c r="I129" s="153">
        <v>47.597700000000003</v>
      </c>
      <c r="K129" s="226"/>
      <c r="L129" s="27" t="s">
        <v>416</v>
      </c>
      <c r="M129" s="25" t="str">
        <f t="shared" si="23"/>
        <v/>
      </c>
      <c r="N129" s="28"/>
      <c r="O129" s="36" t="str">
        <f t="shared" si="14"/>
        <v/>
      </c>
      <c r="P129" s="216" t="str">
        <f t="shared" si="15"/>
        <v/>
      </c>
      <c r="Q129" s="216" t="str">
        <f t="shared" si="16"/>
        <v/>
      </c>
      <c r="R129" s="217" t="str">
        <f t="shared" si="17"/>
        <v/>
      </c>
    </row>
    <row r="130" spans="1:18" x14ac:dyDescent="0.25">
      <c r="A130" s="268"/>
      <c r="B130" s="31" t="s">
        <v>416</v>
      </c>
      <c r="C130" s="78"/>
      <c r="D130" s="91"/>
      <c r="E130" s="30" t="s">
        <v>416</v>
      </c>
      <c r="F130" s="30" t="str">
        <f t="shared" si="22"/>
        <v/>
      </c>
      <c r="G130" s="34"/>
      <c r="H130" s="30"/>
      <c r="I130" s="153">
        <v>47.597700000000003</v>
      </c>
      <c r="K130" s="227"/>
      <c r="L130" s="30" t="s">
        <v>416</v>
      </c>
      <c r="M130" s="30" t="str">
        <f t="shared" si="23"/>
        <v/>
      </c>
      <c r="N130" s="34"/>
      <c r="O130" s="36" t="str">
        <f t="shared" si="14"/>
        <v/>
      </c>
      <c r="P130" s="216" t="str">
        <f t="shared" si="15"/>
        <v/>
      </c>
      <c r="Q130" s="216" t="str">
        <f t="shared" si="16"/>
        <v/>
      </c>
      <c r="R130" s="217" t="str">
        <f t="shared" si="17"/>
        <v/>
      </c>
    </row>
    <row r="131" spans="1:18" x14ac:dyDescent="0.25">
      <c r="A131" s="268"/>
      <c r="B131" s="35" t="s">
        <v>1277</v>
      </c>
      <c r="C131" s="49" t="s">
        <v>773</v>
      </c>
      <c r="D131" s="36">
        <v>1.07</v>
      </c>
      <c r="E131" s="30">
        <v>8.9205000000000005</v>
      </c>
      <c r="F131" s="33">
        <f t="shared" si="22"/>
        <v>9.5399999999999991</v>
      </c>
      <c r="G131" s="44">
        <f>SUM(F131:F133)</f>
        <v>11.28</v>
      </c>
      <c r="H131" s="45"/>
      <c r="I131" s="153">
        <v>47.597700000000003</v>
      </c>
      <c r="K131" s="215">
        <v>1.07</v>
      </c>
      <c r="L131" s="30">
        <v>8.9205000000000005</v>
      </c>
      <c r="M131" s="33">
        <f t="shared" si="23"/>
        <v>9.5399999999999991</v>
      </c>
      <c r="N131" s="44">
        <f>SUM(M131:M133)</f>
        <v>11.28</v>
      </c>
      <c r="O131" s="36" t="str">
        <f t="shared" si="14"/>
        <v/>
      </c>
      <c r="P131" s="216">
        <f t="shared" si="15"/>
        <v>0</v>
      </c>
      <c r="Q131" s="216">
        <f t="shared" si="16"/>
        <v>0</v>
      </c>
      <c r="R131" s="217">
        <f t="shared" si="17"/>
        <v>0</v>
      </c>
    </row>
    <row r="132" spans="1:18" x14ac:dyDescent="0.25">
      <c r="A132" s="268"/>
      <c r="B132" s="35" t="s">
        <v>775</v>
      </c>
      <c r="C132" s="49" t="s">
        <v>583</v>
      </c>
      <c r="D132" s="36">
        <v>8.2000000000000007E-3</v>
      </c>
      <c r="E132" s="33">
        <v>20.196999999999999</v>
      </c>
      <c r="F132" s="33">
        <f t="shared" si="22"/>
        <v>0.17</v>
      </c>
      <c r="G132" s="44"/>
      <c r="H132" s="45"/>
      <c r="I132" s="153">
        <v>47.597700000000003</v>
      </c>
      <c r="K132" s="215">
        <v>8.2000000000000007E-3</v>
      </c>
      <c r="L132" s="33">
        <v>20.196999999999999</v>
      </c>
      <c r="M132" s="33">
        <f t="shared" si="23"/>
        <v>0.17</v>
      </c>
      <c r="N132" s="44"/>
      <c r="O132" s="36" t="str">
        <f t="shared" si="14"/>
        <v/>
      </c>
      <c r="P132" s="216">
        <f t="shared" si="15"/>
        <v>0</v>
      </c>
      <c r="Q132" s="216">
        <f t="shared" si="16"/>
        <v>0</v>
      </c>
      <c r="R132" s="217" t="str">
        <f t="shared" si="17"/>
        <v/>
      </c>
    </row>
    <row r="133" spans="1:18" x14ac:dyDescent="0.25">
      <c r="A133" s="268"/>
      <c r="B133" s="35" t="s">
        <v>776</v>
      </c>
      <c r="C133" s="49" t="s">
        <v>583</v>
      </c>
      <c r="D133" s="36">
        <v>5.8099999999999999E-2</v>
      </c>
      <c r="E133" s="30">
        <v>26.970499999999998</v>
      </c>
      <c r="F133" s="33">
        <f t="shared" si="22"/>
        <v>1.57</v>
      </c>
      <c r="G133" s="44"/>
      <c r="H133" s="45"/>
      <c r="I133" s="153">
        <v>47.597700000000003</v>
      </c>
      <c r="K133" s="215">
        <v>5.8099999999999999E-2</v>
      </c>
      <c r="L133" s="30">
        <v>26.970499999999998</v>
      </c>
      <c r="M133" s="33">
        <f t="shared" si="23"/>
        <v>1.57</v>
      </c>
      <c r="N133" s="44"/>
      <c r="O133" s="36" t="str">
        <f t="shared" si="14"/>
        <v/>
      </c>
      <c r="P133" s="216">
        <f t="shared" si="15"/>
        <v>0</v>
      </c>
      <c r="Q133" s="216">
        <f t="shared" si="16"/>
        <v>0</v>
      </c>
      <c r="R133" s="217" t="str">
        <f t="shared" si="17"/>
        <v/>
      </c>
    </row>
    <row r="134" spans="1:18" ht="15.75" thickBot="1" x14ac:dyDescent="0.3">
      <c r="A134" s="270"/>
      <c r="B134" s="54" t="s">
        <v>416</v>
      </c>
      <c r="C134" s="79"/>
      <c r="D134" s="95"/>
      <c r="E134" s="66" t="s">
        <v>416</v>
      </c>
      <c r="F134" s="67" t="str">
        <f t="shared" si="22"/>
        <v/>
      </c>
      <c r="G134" s="68"/>
      <c r="H134" s="30"/>
      <c r="I134" s="153">
        <v>47.597700000000003</v>
      </c>
      <c r="K134" s="229"/>
      <c r="L134" s="66" t="s">
        <v>416</v>
      </c>
      <c r="M134" s="67" t="str">
        <f t="shared" si="23"/>
        <v/>
      </c>
      <c r="N134" s="68"/>
      <c r="O134" s="65" t="str">
        <f t="shared" si="14"/>
        <v/>
      </c>
      <c r="P134" s="224" t="str">
        <f t="shared" si="15"/>
        <v/>
      </c>
      <c r="Q134" s="224" t="str">
        <f t="shared" si="16"/>
        <v/>
      </c>
      <c r="R134" s="225" t="str">
        <f t="shared" si="17"/>
        <v/>
      </c>
    </row>
    <row r="135" spans="1:18" ht="15.75" hidden="1" thickBot="1" x14ac:dyDescent="0.3">
      <c r="A135" s="269" t="s">
        <v>6819</v>
      </c>
      <c r="B135" s="40" t="s">
        <v>416</v>
      </c>
      <c r="C135" s="77" t="s">
        <v>773</v>
      </c>
      <c r="D135" s="93"/>
      <c r="E135" s="27" t="s">
        <v>416</v>
      </c>
      <c r="F135" s="25" t="str">
        <f t="shared" si="22"/>
        <v/>
      </c>
      <c r="G135" s="28"/>
      <c r="H135" s="29"/>
      <c r="I135" s="153">
        <v>0</v>
      </c>
      <c r="K135" s="230"/>
      <c r="L135" s="70" t="s">
        <v>416</v>
      </c>
      <c r="M135" s="89" t="str">
        <f t="shared" si="23"/>
        <v/>
      </c>
      <c r="N135" s="71"/>
      <c r="O135" s="36" t="str">
        <f t="shared" ref="O135:O139" si="24">IF(ISBLANK(K135),"",IF($D135&lt;&gt;K135,"SIM",""))</f>
        <v/>
      </c>
      <c r="P135" s="216" t="str">
        <f t="shared" ref="P135:P139" si="25">IF(L135="","",1-L135/$E135)</f>
        <v/>
      </c>
      <c r="Q135" s="216" t="str">
        <f t="shared" ref="Q135:Q139" si="26">IF(M135="","",1-M135/$F135)</f>
        <v/>
      </c>
      <c r="R135" s="217" t="str">
        <f t="shared" ref="R135:R139" si="27">IF(G135="","",1-N135/$G135)</f>
        <v/>
      </c>
    </row>
    <row r="136" spans="1:18" hidden="1" x14ac:dyDescent="0.25">
      <c r="A136" s="268"/>
      <c r="B136" s="31" t="s">
        <v>416</v>
      </c>
      <c r="C136" s="78"/>
      <c r="D136" s="91"/>
      <c r="E136" s="30" t="s">
        <v>416</v>
      </c>
      <c r="F136" s="30" t="str">
        <f t="shared" si="22"/>
        <v/>
      </c>
      <c r="G136" s="34"/>
      <c r="H136" s="30"/>
      <c r="I136" s="153">
        <v>0</v>
      </c>
      <c r="K136" s="227"/>
      <c r="L136" s="30" t="s">
        <v>416</v>
      </c>
      <c r="M136" s="30" t="str">
        <f t="shared" si="23"/>
        <v/>
      </c>
      <c r="N136" s="34"/>
      <c r="O136" s="36" t="str">
        <f t="shared" si="24"/>
        <v/>
      </c>
      <c r="P136" s="216" t="str">
        <f t="shared" si="25"/>
        <v/>
      </c>
      <c r="Q136" s="216" t="str">
        <f t="shared" si="26"/>
        <v/>
      </c>
      <c r="R136" s="217" t="str">
        <f t="shared" si="27"/>
        <v/>
      </c>
    </row>
    <row r="137" spans="1:18" hidden="1" x14ac:dyDescent="0.25">
      <c r="A137" s="268"/>
      <c r="B137" s="35" t="s">
        <v>647</v>
      </c>
      <c r="C137" s="49" t="s">
        <v>773</v>
      </c>
      <c r="D137" s="36">
        <v>1.1100000000000001</v>
      </c>
      <c r="E137" s="30">
        <v>8.17</v>
      </c>
      <c r="F137" s="33">
        <f t="shared" si="22"/>
        <v>9.07</v>
      </c>
      <c r="G137" s="44">
        <f>SUM(F137:F138)</f>
        <v>9.14</v>
      </c>
      <c r="H137" s="45"/>
      <c r="I137" s="153">
        <v>0</v>
      </c>
      <c r="K137" s="215">
        <v>1.1100000000000001</v>
      </c>
      <c r="L137" s="30">
        <v>8.17</v>
      </c>
      <c r="M137" s="33">
        <f t="shared" si="23"/>
        <v>9.07</v>
      </c>
      <c r="N137" s="44">
        <f>SUM(M137:M138)</f>
        <v>9.14</v>
      </c>
      <c r="O137" s="36" t="str">
        <f t="shared" si="24"/>
        <v/>
      </c>
      <c r="P137" s="216">
        <f t="shared" si="25"/>
        <v>0</v>
      </c>
      <c r="Q137" s="216">
        <f t="shared" si="26"/>
        <v>0</v>
      </c>
      <c r="R137" s="217">
        <f t="shared" si="27"/>
        <v>0</v>
      </c>
    </row>
    <row r="138" spans="1:18" hidden="1" x14ac:dyDescent="0.25">
      <c r="A138" s="268"/>
      <c r="B138" s="35" t="s">
        <v>776</v>
      </c>
      <c r="C138" s="49" t="s">
        <v>583</v>
      </c>
      <c r="D138" s="36">
        <v>2.5000000000000001E-3</v>
      </c>
      <c r="E138" s="30">
        <v>26.970499999999998</v>
      </c>
      <c r="F138" s="33">
        <f t="shared" si="22"/>
        <v>7.0000000000000007E-2</v>
      </c>
      <c r="G138" s="44"/>
      <c r="H138" s="45"/>
      <c r="I138" s="153">
        <v>0</v>
      </c>
      <c r="K138" s="215">
        <v>2.5000000000000001E-3</v>
      </c>
      <c r="L138" s="30">
        <v>26.970499999999998</v>
      </c>
      <c r="M138" s="33">
        <f t="shared" si="23"/>
        <v>7.0000000000000007E-2</v>
      </c>
      <c r="N138" s="44"/>
      <c r="O138" s="36" t="str">
        <f t="shared" si="24"/>
        <v/>
      </c>
      <c r="P138" s="216">
        <f t="shared" si="25"/>
        <v>0</v>
      </c>
      <c r="Q138" s="216">
        <f t="shared" si="26"/>
        <v>0</v>
      </c>
      <c r="R138" s="217" t="str">
        <f t="shared" si="27"/>
        <v/>
      </c>
    </row>
    <row r="139" spans="1:18" ht="15.75" hidden="1" thickBot="1" x14ac:dyDescent="0.3">
      <c r="A139" s="270"/>
      <c r="B139" s="54" t="s">
        <v>416</v>
      </c>
      <c r="C139" s="79"/>
      <c r="D139" s="95"/>
      <c r="E139" s="66" t="s">
        <v>416</v>
      </c>
      <c r="F139" s="67" t="str">
        <f t="shared" si="22"/>
        <v/>
      </c>
      <c r="G139" s="68"/>
      <c r="H139" s="30"/>
      <c r="I139" s="153">
        <v>0</v>
      </c>
      <c r="K139" s="229"/>
      <c r="L139" s="66" t="s">
        <v>416</v>
      </c>
      <c r="M139" s="67" t="str">
        <f t="shared" si="23"/>
        <v/>
      </c>
      <c r="N139" s="68"/>
      <c r="O139" s="65" t="str">
        <f t="shared" si="24"/>
        <v/>
      </c>
      <c r="P139" s="224" t="str">
        <f t="shared" si="25"/>
        <v/>
      </c>
      <c r="Q139" s="224" t="str">
        <f t="shared" si="26"/>
        <v/>
      </c>
      <c r="R139" s="225" t="str">
        <f t="shared" si="27"/>
        <v/>
      </c>
    </row>
  </sheetData>
  <autoFilter ref="A5:I139">
    <filterColumn colId="8">
      <filters>
        <filter val="0,1075"/>
        <filter val="2,5927"/>
        <filter val="2,6738"/>
        <filter val="47,5977"/>
        <filter val="53,4753"/>
      </filters>
    </filterColumn>
  </autoFilter>
  <mergeCells count="16">
    <mergeCell ref="K1:R1"/>
    <mergeCell ref="K2:R2"/>
    <mergeCell ref="A135:A139"/>
    <mergeCell ref="A129:A134"/>
    <mergeCell ref="A109:A123"/>
    <mergeCell ref="A124:A128"/>
    <mergeCell ref="A95:A108"/>
    <mergeCell ref="A73:A80"/>
    <mergeCell ref="A81:A94"/>
    <mergeCell ref="A46:A58"/>
    <mergeCell ref="A59:A72"/>
    <mergeCell ref="A6:A10"/>
    <mergeCell ref="A11:A16"/>
    <mergeCell ref="A17:A23"/>
    <mergeCell ref="A24:A35"/>
    <mergeCell ref="A36:A45"/>
  </mergeCells>
  <conditionalFormatting sqref="F4">
    <cfRule type="containsText" dxfId="38" priority="186" operator="containsText" text="Pesquisa">
      <formula>NOT(ISERROR(SEARCH("Pesquisa",F4)))</formula>
    </cfRule>
  </conditionalFormatting>
  <conditionalFormatting sqref="P6:P139">
    <cfRule type="dataBar" priority="3">
      <dataBar>
        <cfvo type="min"/>
        <cfvo type="max"/>
        <color rgb="FFFFCC99"/>
      </dataBar>
      <extLst>
        <ext xmlns:x14="http://schemas.microsoft.com/office/spreadsheetml/2009/9/main" uri="{B025F937-C7B1-47D3-B67F-A62EFF666E3E}">
          <x14:id>{A34FBD6A-4B2A-403D-8CE5-A7E592E4EE57}</x14:id>
        </ext>
      </extLst>
    </cfRule>
  </conditionalFormatting>
  <conditionalFormatting sqref="Q6:Q139">
    <cfRule type="dataBar" priority="2">
      <dataBar>
        <cfvo type="min"/>
        <cfvo type="max"/>
        <color rgb="FFFFCC99"/>
      </dataBar>
      <extLst>
        <ext xmlns:x14="http://schemas.microsoft.com/office/spreadsheetml/2009/9/main" uri="{B025F937-C7B1-47D3-B67F-A62EFF666E3E}">
          <x14:id>{99F243B2-E690-4BCB-8F6F-0DA4295F456E}</x14:id>
        </ext>
      </extLst>
    </cfRule>
  </conditionalFormatting>
  <conditionalFormatting sqref="R6:R139">
    <cfRule type="dataBar" priority="1">
      <dataBar>
        <cfvo type="min"/>
        <cfvo type="max"/>
        <color rgb="FFFFCC99"/>
      </dataBar>
      <extLst>
        <ext xmlns:x14="http://schemas.microsoft.com/office/spreadsheetml/2009/9/main" uri="{B025F937-C7B1-47D3-B67F-A62EFF666E3E}">
          <x14:id>{10190A04-2D29-48CB-BFB8-607983E3342D}</x14:id>
        </ext>
      </extLst>
    </cfRule>
  </conditionalFormatting>
  <printOptions horizontalCentered="1"/>
  <pageMargins left="0.19685039370078741" right="0.19685039370078741" top="0.98425196850393704" bottom="0.59055118110236227" header="0.19685039370078741" footer="0.19685039370078741"/>
  <pageSetup paperSize="9" scale="71"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1" manualBreakCount="1">
    <brk id="80" max="11" man="1"/>
  </rowBreaks>
  <drawing r:id="rId2"/>
  <legacyDrawingHF r:id="rId3"/>
  <extLst>
    <ext xmlns:x14="http://schemas.microsoft.com/office/spreadsheetml/2009/9/main" uri="{78C0D931-6437-407d-A8EE-F0AAD7539E65}">
      <x14:conditionalFormattings>
        <x14:conditionalFormatting xmlns:xm="http://schemas.microsoft.com/office/excel/2006/main">
          <x14:cfRule type="dataBar" id="{A34FBD6A-4B2A-403D-8CE5-A7E592E4EE57}">
            <x14:dataBar minLength="0" maxLength="100" negativeBarColorSameAsPositive="1" axisPosition="none">
              <x14:cfvo type="min"/>
              <x14:cfvo type="max"/>
            </x14:dataBar>
          </x14:cfRule>
          <xm:sqref>P6:P139</xm:sqref>
        </x14:conditionalFormatting>
        <x14:conditionalFormatting xmlns:xm="http://schemas.microsoft.com/office/excel/2006/main">
          <x14:cfRule type="dataBar" id="{99F243B2-E690-4BCB-8F6F-0DA4295F456E}">
            <x14:dataBar minLength="0" maxLength="100" negativeBarColorSameAsPositive="1" axisPosition="none">
              <x14:cfvo type="min"/>
              <x14:cfvo type="max"/>
            </x14:dataBar>
          </x14:cfRule>
          <xm:sqref>Q6:Q139</xm:sqref>
        </x14:conditionalFormatting>
        <x14:conditionalFormatting xmlns:xm="http://schemas.microsoft.com/office/excel/2006/main">
          <x14:cfRule type="dataBar" id="{10190A04-2D29-48CB-BFB8-607983E3342D}">
            <x14:dataBar minLength="0" maxLength="100" negativeBarColorSameAsPositive="1" axisPosition="none">
              <x14:cfvo type="min"/>
              <x14:cfvo type="max"/>
            </x14:dataBar>
          </x14:cfRule>
          <xm:sqref>R6:R139</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7" filterMode="1"/>
  <dimension ref="A1:S3496"/>
  <sheetViews>
    <sheetView tabSelected="1" topLeftCell="D1" zoomScale="80" zoomScaleNormal="80" workbookViewId="0">
      <pane ySplit="5" topLeftCell="A323" activePane="bottomLeft" state="frozen"/>
      <selection pane="bottomLeft" activeCell="Q6" sqref="Q6"/>
    </sheetView>
  </sheetViews>
  <sheetFormatPr defaultRowHeight="15" x14ac:dyDescent="0.25"/>
  <cols>
    <col min="1" max="1" width="14.7109375" customWidth="1"/>
    <col min="2" max="2" width="80.7109375" style="4" customWidth="1"/>
    <col min="3" max="4" width="15.7109375" customWidth="1"/>
    <col min="5" max="6" width="20.7109375" customWidth="1"/>
    <col min="7" max="7" width="15.7109375" customWidth="1"/>
    <col min="8" max="9" width="20.7109375" customWidth="1"/>
    <col min="10" max="10" width="11.28515625" customWidth="1"/>
    <col min="11" max="19" width="15.7109375" customWidth="1"/>
  </cols>
  <sheetData>
    <row r="1" spans="1:19" ht="24.95" customHeight="1" x14ac:dyDescent="0.25">
      <c r="A1" s="105" t="s">
        <v>8514</v>
      </c>
      <c r="B1" s="126"/>
      <c r="C1" s="105"/>
      <c r="D1" s="105"/>
      <c r="E1" s="105"/>
      <c r="F1" s="105"/>
      <c r="G1" s="105"/>
      <c r="H1" s="105"/>
      <c r="I1" s="105"/>
      <c r="J1" s="154" t="s">
        <v>3084</v>
      </c>
      <c r="K1" s="271" t="str">
        <f>Composições!L1</f>
        <v>Altri Construtora LTDA</v>
      </c>
      <c r="L1" s="271"/>
      <c r="M1" s="271"/>
      <c r="N1" s="271"/>
      <c r="O1" s="271"/>
      <c r="P1" s="271"/>
      <c r="Q1" s="271"/>
      <c r="R1" s="271"/>
      <c r="S1" s="271"/>
    </row>
    <row r="2" spans="1:19" ht="24.95" customHeight="1" x14ac:dyDescent="0.25">
      <c r="A2" s="106" t="s">
        <v>1279</v>
      </c>
      <c r="B2" s="127"/>
      <c r="C2" s="106"/>
      <c r="D2" s="106"/>
      <c r="E2" s="106"/>
      <c r="F2" s="106"/>
      <c r="G2" s="106"/>
      <c r="H2" s="106"/>
      <c r="I2" s="106"/>
      <c r="J2" s="154" t="s">
        <v>3085</v>
      </c>
      <c r="K2" s="106"/>
      <c r="L2" s="233"/>
      <c r="M2" s="106"/>
      <c r="N2" s="233"/>
      <c r="O2" s="233"/>
      <c r="P2" s="233"/>
      <c r="Q2" s="233"/>
      <c r="R2" s="233"/>
      <c r="S2" s="233"/>
    </row>
    <row r="3" spans="1:19" ht="20.100000000000001" customHeight="1" x14ac:dyDescent="0.25">
      <c r="A3" s="107" t="s">
        <v>8515</v>
      </c>
      <c r="B3" s="107"/>
      <c r="C3" s="107"/>
      <c r="D3" s="107"/>
      <c r="E3" s="107"/>
      <c r="F3" s="107"/>
      <c r="G3" s="107"/>
      <c r="H3" s="107"/>
      <c r="I3" s="107"/>
      <c r="J3" s="154" t="s">
        <v>1280</v>
      </c>
      <c r="K3" s="107"/>
      <c r="L3" s="107"/>
      <c r="M3" s="107"/>
      <c r="N3" s="107"/>
      <c r="O3" s="107"/>
      <c r="P3" s="107"/>
      <c r="Q3" s="107"/>
      <c r="R3" s="107"/>
      <c r="S3" s="107"/>
    </row>
    <row r="4" spans="1:19" ht="18" customHeight="1" thickBot="1" x14ac:dyDescent="0.3">
      <c r="A4" s="108"/>
      <c r="B4" s="109"/>
      <c r="C4" s="110"/>
      <c r="D4" s="110"/>
      <c r="E4" s="111"/>
      <c r="F4" s="111"/>
      <c r="G4" s="109"/>
      <c r="H4" s="109"/>
      <c r="I4" s="109"/>
      <c r="J4" s="112"/>
      <c r="K4" s="107"/>
      <c r="L4" s="107"/>
      <c r="M4" s="107"/>
      <c r="N4" s="107"/>
      <c r="O4" s="107"/>
      <c r="P4" s="107"/>
      <c r="Q4" s="107"/>
      <c r="R4" s="107"/>
      <c r="S4" s="107"/>
    </row>
    <row r="5" spans="1:19" ht="45" customHeight="1" thickBot="1" x14ac:dyDescent="0.3">
      <c r="A5" s="101" t="s">
        <v>1</v>
      </c>
      <c r="B5" s="102" t="s">
        <v>2</v>
      </c>
      <c r="C5" s="102" t="s">
        <v>4</v>
      </c>
      <c r="D5" s="170" t="s">
        <v>1281</v>
      </c>
      <c r="E5" s="171" t="s">
        <v>6</v>
      </c>
      <c r="F5" s="171" t="s">
        <v>2861</v>
      </c>
      <c r="G5" s="171" t="s">
        <v>1283</v>
      </c>
      <c r="H5" s="171" t="s">
        <v>1284</v>
      </c>
      <c r="I5" s="171" t="s">
        <v>3247</v>
      </c>
      <c r="J5" s="113"/>
      <c r="K5" s="19" t="s">
        <v>1281</v>
      </c>
      <c r="L5" s="19" t="s">
        <v>8580</v>
      </c>
      <c r="M5" s="234" t="s">
        <v>6</v>
      </c>
      <c r="N5" s="234" t="s">
        <v>1283</v>
      </c>
      <c r="O5" s="234" t="s">
        <v>8581</v>
      </c>
      <c r="P5" s="234" t="s">
        <v>8582</v>
      </c>
      <c r="Q5" s="234" t="s">
        <v>8583</v>
      </c>
      <c r="R5" s="19" t="s">
        <v>8580</v>
      </c>
      <c r="S5" s="235" t="s">
        <v>8584</v>
      </c>
    </row>
    <row r="6" spans="1:19" x14ac:dyDescent="0.25">
      <c r="A6" s="172" t="s">
        <v>10</v>
      </c>
      <c r="B6" s="173" t="s">
        <v>1285</v>
      </c>
      <c r="C6" s="174" t="s">
        <v>1286</v>
      </c>
      <c r="D6" s="174">
        <v>120</v>
      </c>
      <c r="E6" s="136">
        <f ca="1">OFFSET(INDEX(Composições!A:J,MATCH(Orçamentária!A6,Composições!A:A,0),8),2,0)</f>
        <v>104.08199999999999</v>
      </c>
      <c r="F6" s="137">
        <f ca="1">IF(ISNUMBER(E6),D6*E6,"")</f>
        <v>12489.84</v>
      </c>
      <c r="G6" s="138">
        <f>BDI!$B$17</f>
        <v>0.191</v>
      </c>
      <c r="H6" s="139">
        <f ca="1">IF(ISNUMBER(E6),ROUND(E6*(1+G6),2),"")</f>
        <v>123.96</v>
      </c>
      <c r="I6" s="137">
        <f ca="1">IF(ISNUMBER(E6),ROUND(H6*D6,2),"")</f>
        <v>14875.2</v>
      </c>
      <c r="J6" s="117"/>
      <c r="K6" s="253">
        <v>120</v>
      </c>
      <c r="L6" s="236" t="str">
        <f>IF(D6&lt;&gt;K6,"ERRO","-")</f>
        <v>-</v>
      </c>
      <c r="M6" s="136">
        <f ca="1">OFFSET(INDEX(Composições!A:S,MATCH(A6,Composições!A:A,0),15),2,0)</f>
        <v>89.094191999999993</v>
      </c>
      <c r="N6" s="237">
        <v>0.191</v>
      </c>
      <c r="O6" s="236">
        <f ca="1">ROUND(M6*(1+N6),2)</f>
        <v>106.11</v>
      </c>
      <c r="P6" s="238">
        <f ca="1">ROUND(K6*O6,2)</f>
        <v>12733.2</v>
      </c>
      <c r="Q6" s="236">
        <v>12733.2</v>
      </c>
      <c r="R6" s="236">
        <f ca="1">P6-Q6</f>
        <v>0</v>
      </c>
      <c r="S6" s="239">
        <f ca="1">IF(ISNUMBER(O6),1-P6/$I6,"")</f>
        <v>0.14399806389157788</v>
      </c>
    </row>
    <row r="7" spans="1:19" x14ac:dyDescent="0.25">
      <c r="A7" s="172" t="s">
        <v>12</v>
      </c>
      <c r="B7" s="173" t="s">
        <v>1287</v>
      </c>
      <c r="C7" s="174" t="s">
        <v>1286</v>
      </c>
      <c r="D7" s="174">
        <v>480</v>
      </c>
      <c r="E7" s="136">
        <f ca="1">OFFSET(INDEX(Composições!A:J,MATCH(Orçamentária!A7,Composições!A:A,0),8),2,0)</f>
        <v>44.564499999999995</v>
      </c>
      <c r="F7" s="137">
        <f t="shared" ref="F7:F70" ca="1" si="0">IF(ISNUMBER(E7),D7*E7,"")</f>
        <v>21390.959999999999</v>
      </c>
      <c r="G7" s="138">
        <f>BDI!$B$17</f>
        <v>0.191</v>
      </c>
      <c r="H7" s="139">
        <f t="shared" ref="H7:H70" ca="1" si="1">IF(ISNUMBER(E7),ROUND(E7*(1+G7),2),"")</f>
        <v>53.08</v>
      </c>
      <c r="I7" s="137">
        <f t="shared" ref="I7:I70" ca="1" si="2">IF(ISNUMBER(E7),ROUND(H7*D7,2),"")</f>
        <v>25478.400000000001</v>
      </c>
      <c r="J7" s="117"/>
      <c r="K7" s="253">
        <v>480</v>
      </c>
      <c r="L7" s="236" t="str">
        <f t="shared" ref="L7:L9" si="3">IF(D7&lt;&gt;K7,"ERRO","-")</f>
        <v>-</v>
      </c>
      <c r="M7" s="136">
        <f ca="1">OFFSET(INDEX(Composições!A:S,MATCH(A7,Composições!A:A,0),15),2,0)</f>
        <v>38.147211999999996</v>
      </c>
      <c r="N7" s="237">
        <v>0.191</v>
      </c>
      <c r="O7" s="236">
        <f t="shared" ref="O7:O9" ca="1" si="4">ROUND(M7*(1+N7),2)</f>
        <v>45.43</v>
      </c>
      <c r="P7" s="238">
        <f t="shared" ref="P7:P9" ca="1" si="5">ROUND(K7*O7,2)</f>
        <v>21806.400000000001</v>
      </c>
      <c r="Q7" s="236">
        <v>21806.400000000001</v>
      </c>
      <c r="R7" s="236">
        <f t="shared" ref="R7:R9" ca="1" si="6">P7-Q7</f>
        <v>0</v>
      </c>
      <c r="S7" s="239">
        <f t="shared" ref="S7:S9" ca="1" si="7">IF(ISNUMBER(O7),1-P7/$I7,"")</f>
        <v>0.14412207987942727</v>
      </c>
    </row>
    <row r="8" spans="1:19" x14ac:dyDescent="0.25">
      <c r="A8" s="172" t="s">
        <v>13</v>
      </c>
      <c r="B8" s="173" t="s">
        <v>1288</v>
      </c>
      <c r="C8" s="174" t="s">
        <v>16</v>
      </c>
      <c r="D8" s="174">
        <v>1</v>
      </c>
      <c r="E8" s="136">
        <f ca="1">OFFSET(INDEX(Composições!A:J,MATCH(Orçamentária!A8,Composições!A:A,0),8),2,0)</f>
        <v>1891.336</v>
      </c>
      <c r="F8" s="137">
        <f t="shared" ca="1" si="0"/>
        <v>1891.336</v>
      </c>
      <c r="G8" s="138">
        <f>BDI!$B$17</f>
        <v>0.191</v>
      </c>
      <c r="H8" s="139">
        <f t="shared" ca="1" si="1"/>
        <v>2252.58</v>
      </c>
      <c r="I8" s="137">
        <f t="shared" ca="1" si="2"/>
        <v>2252.58</v>
      </c>
      <c r="J8" s="117"/>
      <c r="K8" s="253">
        <v>1</v>
      </c>
      <c r="L8" s="236" t="str">
        <f t="shared" si="3"/>
        <v>-</v>
      </c>
      <c r="M8" s="136">
        <f ca="1">OFFSET(INDEX(Composições!A:S,MATCH(A8,Composições!A:A,0),15),2,0)</f>
        <v>1618.983616</v>
      </c>
      <c r="N8" s="237">
        <v>0.191</v>
      </c>
      <c r="O8" s="236">
        <f t="shared" ca="1" si="4"/>
        <v>1928.21</v>
      </c>
      <c r="P8" s="238">
        <f t="shared" ca="1" si="5"/>
        <v>1928.21</v>
      </c>
      <c r="Q8" s="236">
        <v>1928.21</v>
      </c>
      <c r="R8" s="236">
        <f t="shared" ca="1" si="6"/>
        <v>0</v>
      </c>
      <c r="S8" s="239">
        <f t="shared" ca="1" si="7"/>
        <v>0.14399932521819425</v>
      </c>
    </row>
    <row r="9" spans="1:19" x14ac:dyDescent="0.25">
      <c r="A9" s="172" t="s">
        <v>14</v>
      </c>
      <c r="B9" s="173" t="s">
        <v>1289</v>
      </c>
      <c r="C9" s="174" t="s">
        <v>16</v>
      </c>
      <c r="D9" s="174">
        <v>1</v>
      </c>
      <c r="E9" s="136">
        <f ca="1">OFFSET(INDEX(Composições!A:J,MATCH(Orçamentária!A9,Composições!A:A,0),8),2,0)</f>
        <v>2623.8900000000003</v>
      </c>
      <c r="F9" s="137">
        <f t="shared" ca="1" si="0"/>
        <v>2623.8900000000003</v>
      </c>
      <c r="G9" s="138">
        <f>BDI!$B$17</f>
        <v>0.191</v>
      </c>
      <c r="H9" s="139">
        <f t="shared" ca="1" si="1"/>
        <v>3125.05</v>
      </c>
      <c r="I9" s="137">
        <f t="shared" ca="1" si="2"/>
        <v>3125.05</v>
      </c>
      <c r="J9" s="118"/>
      <c r="K9" s="253">
        <v>1</v>
      </c>
      <c r="L9" s="236" t="str">
        <f t="shared" si="3"/>
        <v>-</v>
      </c>
      <c r="M9" s="136">
        <f ca="1">OFFSET(INDEX(Composições!A:S,MATCH(A9,Composições!A:A,0),15),2,0)</f>
        <v>2246.0498400000001</v>
      </c>
      <c r="N9" s="237">
        <v>0.191</v>
      </c>
      <c r="O9" s="236">
        <f t="shared" ca="1" si="4"/>
        <v>2675.05</v>
      </c>
      <c r="P9" s="238">
        <f t="shared" ca="1" si="5"/>
        <v>2675.05</v>
      </c>
      <c r="Q9" s="236">
        <v>2675.05</v>
      </c>
      <c r="R9" s="236">
        <f t="shared" ca="1" si="6"/>
        <v>0</v>
      </c>
      <c r="S9" s="239">
        <f t="shared" ca="1" si="7"/>
        <v>0.14399769603686341</v>
      </c>
    </row>
    <row r="10" spans="1:19" hidden="1" x14ac:dyDescent="0.25">
      <c r="A10" s="114" t="s">
        <v>17</v>
      </c>
      <c r="B10" s="115" t="s">
        <v>1290</v>
      </c>
      <c r="C10" s="116" t="s">
        <v>80</v>
      </c>
      <c r="D10" s="116">
        <v>0</v>
      </c>
      <c r="E10" s="136">
        <f ca="1">OFFSET(INDEX(Composições!A:J,MATCH(Orçamentária!A10,Composições!A:A,0),8),2,0)</f>
        <v>53.131354899999991</v>
      </c>
      <c r="F10" s="137">
        <f t="shared" ca="1" si="0"/>
        <v>0</v>
      </c>
      <c r="G10" s="138" t="e">
        <f>IF(A10&lt;&gt;"",IF(AND(#REF!="Padrão",$H$4=#REF!),BDI!$B$17,IF(AND(#REF!="Padrão",$H$4=#REF!),BDI!#REF!,IF(AND(#REF!="Diferenciado",$H$4=#REF!),BDI!$E$17,IF(AND(#REF!="Diferenciado",$H$4=#REF!),BDI!#REF!,IF(#REF!="ZERO",0))))),"")</f>
        <v>#REF!</v>
      </c>
      <c r="H10" s="139" t="e">
        <f t="shared" ca="1" si="1"/>
        <v>#REF!</v>
      </c>
      <c r="I10" s="137" t="e">
        <f t="shared" ca="1" si="2"/>
        <v>#REF!</v>
      </c>
      <c r="J10" s="118"/>
      <c r="K10" s="116">
        <v>0</v>
      </c>
      <c r="M10" s="136" t="e">
        <f ca="1">OFFSET(INDEX([1]Composições!I:R,MATCH([1]Orçamentária!I10,[1]Composições!I:I,0),8),2,0)</f>
        <v>#REF!</v>
      </c>
      <c r="N10" t="e">
        <v>#REF!</v>
      </c>
      <c r="Q10" t="e">
        <v>#REF!</v>
      </c>
    </row>
    <row r="11" spans="1:19" hidden="1" x14ac:dyDescent="0.25">
      <c r="A11" s="114" t="s">
        <v>18</v>
      </c>
      <c r="B11" s="115" t="s">
        <v>1291</v>
      </c>
      <c r="C11" s="116" t="s">
        <v>80</v>
      </c>
      <c r="D11" s="116">
        <v>0</v>
      </c>
      <c r="E11" s="136">
        <f ca="1">OFFSET(INDEX(Composições!A:J,MATCH(Orçamentária!A11,Composições!A:A,0),8),2,0)</f>
        <v>298.24014999999997</v>
      </c>
      <c r="F11" s="137">
        <f t="shared" ca="1" si="0"/>
        <v>0</v>
      </c>
      <c r="G11" s="138" t="e">
        <f>IF(A11&lt;&gt;"",IF(AND(#REF!="Padrão",$H$4=#REF!),BDI!$B$17,IF(AND(#REF!="Padrão",$H$4=#REF!),BDI!#REF!,IF(AND(#REF!="Diferenciado",$H$4=#REF!),BDI!$E$17,IF(AND(#REF!="Diferenciado",$H$4=#REF!),BDI!#REF!,IF(#REF!="ZERO",0))))),"")</f>
        <v>#REF!</v>
      </c>
      <c r="H11" s="139" t="e">
        <f t="shared" ca="1" si="1"/>
        <v>#REF!</v>
      </c>
      <c r="I11" s="137" t="e">
        <f t="shared" ca="1" si="2"/>
        <v>#REF!</v>
      </c>
      <c r="J11" s="118"/>
      <c r="K11" s="116">
        <v>0</v>
      </c>
      <c r="M11" s="136" t="e">
        <f ca="1">OFFSET(INDEX([1]Composições!I:R,MATCH([1]Orçamentária!I11,[1]Composições!I:I,0),8),2,0)</f>
        <v>#REF!</v>
      </c>
      <c r="N11" t="e">
        <v>#REF!</v>
      </c>
      <c r="Q11" t="e">
        <v>#REF!</v>
      </c>
    </row>
    <row r="12" spans="1:19" hidden="1" x14ac:dyDescent="0.25">
      <c r="A12" s="114" t="s">
        <v>19</v>
      </c>
      <c r="B12" s="115" t="s">
        <v>1292</v>
      </c>
      <c r="C12" s="116" t="s">
        <v>70</v>
      </c>
      <c r="D12" s="116">
        <v>0</v>
      </c>
      <c r="E12" s="136">
        <f ca="1">OFFSET(INDEX(Composições!A:J,MATCH(Orçamentária!A12,Composições!A:A,0),8),2,0)</f>
        <v>18.35324</v>
      </c>
      <c r="F12" s="137">
        <f t="shared" ca="1" si="0"/>
        <v>0</v>
      </c>
      <c r="G12" s="138" t="e">
        <f>IF(A12&lt;&gt;"",IF(AND(#REF!="Padrão",$H$4=#REF!),BDI!$B$17,IF(AND(#REF!="Padrão",$H$4=#REF!),BDI!#REF!,IF(AND(#REF!="Diferenciado",$H$4=#REF!),BDI!$E$17,IF(AND(#REF!="Diferenciado",$H$4=#REF!),BDI!#REF!,IF(#REF!="ZERO",0))))),"")</f>
        <v>#REF!</v>
      </c>
      <c r="H12" s="139" t="e">
        <f t="shared" ca="1" si="1"/>
        <v>#REF!</v>
      </c>
      <c r="I12" s="137" t="e">
        <f t="shared" ca="1" si="2"/>
        <v>#REF!</v>
      </c>
      <c r="J12" s="118"/>
      <c r="K12" s="116">
        <v>0</v>
      </c>
      <c r="M12" s="136" t="e">
        <f ca="1">OFFSET(INDEX([1]Composições!I:R,MATCH([1]Orçamentária!I12,[1]Composições!I:I,0),8),2,0)</f>
        <v>#REF!</v>
      </c>
      <c r="N12" t="e">
        <v>#REF!</v>
      </c>
      <c r="Q12" t="e">
        <v>#REF!</v>
      </c>
    </row>
    <row r="13" spans="1:19" x14ac:dyDescent="0.25">
      <c r="A13" s="172" t="s">
        <v>20</v>
      </c>
      <c r="B13" s="173" t="s">
        <v>1293</v>
      </c>
      <c r="C13" s="174" t="s">
        <v>70</v>
      </c>
      <c r="D13" s="174">
        <v>17</v>
      </c>
      <c r="E13" s="136">
        <f ca="1">OFFSET(INDEX(Composições!A:J,MATCH(Orçamentária!A13,Composições!A:A,0),8),2,0)</f>
        <v>7.1678516499999985</v>
      </c>
      <c r="F13" s="137">
        <f t="shared" ca="1" si="0"/>
        <v>121.85347804999998</v>
      </c>
      <c r="G13" s="138">
        <f>BDI!$B$17</f>
        <v>0.191</v>
      </c>
      <c r="H13" s="139">
        <f t="shared" ca="1" si="1"/>
        <v>8.5399999999999991</v>
      </c>
      <c r="I13" s="137">
        <f t="shared" ca="1" si="2"/>
        <v>145.18</v>
      </c>
      <c r="J13" s="118"/>
      <c r="K13" s="253">
        <v>17</v>
      </c>
      <c r="L13" s="236" t="str">
        <f t="shared" ref="L13:L14" si="8">IF(D13&lt;&gt;K13,"ERRO","-")</f>
        <v>-</v>
      </c>
      <c r="M13" s="136">
        <f ca="1">OFFSET(INDEX(Composições!A:S,MATCH(A13,Composições!A:A,0),15),2,0)</f>
        <v>6.1356810123999983</v>
      </c>
      <c r="N13" s="237">
        <v>0.191</v>
      </c>
      <c r="O13" s="236">
        <f t="shared" ref="O13:O14" ca="1" si="9">ROUND(M13*(1+N13),2)</f>
        <v>7.31</v>
      </c>
      <c r="P13" s="238">
        <f t="shared" ref="P13:P14" ca="1" si="10">ROUND(K13*O13,2)</f>
        <v>124.27</v>
      </c>
      <c r="Q13" s="236">
        <v>124.27</v>
      </c>
      <c r="R13" s="236">
        <f t="shared" ref="R13:R14" ca="1" si="11">P13-Q13</f>
        <v>0</v>
      </c>
      <c r="S13" s="239">
        <f t="shared" ref="S13:S14" ca="1" si="12">IF(ISNUMBER(O13),1-P13/$I13,"")</f>
        <v>0.14402810304449654</v>
      </c>
    </row>
    <row r="14" spans="1:19" x14ac:dyDescent="0.25">
      <c r="A14" s="172" t="s">
        <v>21</v>
      </c>
      <c r="B14" s="173" t="s">
        <v>5418</v>
      </c>
      <c r="C14" s="174" t="s">
        <v>70</v>
      </c>
      <c r="D14" s="174">
        <v>388</v>
      </c>
      <c r="E14" s="136">
        <f ca="1">OFFSET(INDEX(Composições!A:J,MATCH(Orçamentária!A14,Composições!A:A,0),8),2,0)</f>
        <v>1.5599959499999998</v>
      </c>
      <c r="F14" s="137">
        <f t="shared" ca="1" si="0"/>
        <v>605.27842859999987</v>
      </c>
      <c r="G14" s="138">
        <f>BDI!$B$17</f>
        <v>0.191</v>
      </c>
      <c r="H14" s="139">
        <f t="shared" ca="1" si="1"/>
        <v>1.86</v>
      </c>
      <c r="I14" s="137">
        <f t="shared" ca="1" si="2"/>
        <v>721.68</v>
      </c>
      <c r="J14" s="118"/>
      <c r="K14" s="253">
        <v>388</v>
      </c>
      <c r="L14" s="236" t="str">
        <f t="shared" si="8"/>
        <v>-</v>
      </c>
      <c r="M14" s="136">
        <f ca="1">OFFSET(INDEX(Composições!A:S,MATCH(A14,Composições!A:A,0),15),2,0)</f>
        <v>1.3353565331999997</v>
      </c>
      <c r="N14" s="237">
        <v>0.191</v>
      </c>
      <c r="O14" s="236">
        <f t="shared" ca="1" si="9"/>
        <v>1.59</v>
      </c>
      <c r="P14" s="238">
        <f t="shared" ca="1" si="10"/>
        <v>616.91999999999996</v>
      </c>
      <c r="Q14" s="236">
        <v>616.91999999999996</v>
      </c>
      <c r="R14" s="236">
        <f t="shared" ca="1" si="11"/>
        <v>0</v>
      </c>
      <c r="S14" s="239">
        <f t="shared" ca="1" si="12"/>
        <v>0.14516129032258063</v>
      </c>
    </row>
    <row r="15" spans="1:19" hidden="1" x14ac:dyDescent="0.25">
      <c r="A15" s="114" t="s">
        <v>22</v>
      </c>
      <c r="B15" s="115" t="s">
        <v>1294</v>
      </c>
      <c r="C15" s="116" t="s">
        <v>69</v>
      </c>
      <c r="D15" s="116">
        <v>0</v>
      </c>
      <c r="E15" s="136">
        <f ca="1">OFFSET(INDEX(Composições!A:J,MATCH(Orçamentária!A15,Composições!A:A,0),8),2,0)</f>
        <v>3.2372769999999997</v>
      </c>
      <c r="F15" s="137">
        <f t="shared" ca="1" si="0"/>
        <v>0</v>
      </c>
      <c r="G15" s="138" t="e">
        <f>IF(A15&lt;&gt;"",IF(AND(#REF!="Padrão",$H$4=#REF!),BDI!$B$17,IF(AND(#REF!="Padrão",$H$4=#REF!),BDI!#REF!,IF(AND(#REF!="Diferenciado",$H$4=#REF!),BDI!$E$17,IF(AND(#REF!="Diferenciado",$H$4=#REF!),BDI!#REF!,IF(#REF!="ZERO",0))))),"")</f>
        <v>#REF!</v>
      </c>
      <c r="H15" s="139" t="e">
        <f t="shared" ca="1" si="1"/>
        <v>#REF!</v>
      </c>
      <c r="I15" s="137" t="e">
        <f t="shared" ca="1" si="2"/>
        <v>#REF!</v>
      </c>
      <c r="J15" s="118"/>
      <c r="K15" s="116">
        <v>0</v>
      </c>
      <c r="M15" s="136" t="e">
        <f ca="1">OFFSET(INDEX([1]Composições!I:R,MATCH([1]Orçamentária!I15,[1]Composições!I:I,0),8),2,0)</f>
        <v>#REF!</v>
      </c>
      <c r="N15" t="e">
        <v>#REF!</v>
      </c>
      <c r="Q15" t="e">
        <v>#REF!</v>
      </c>
    </row>
    <row r="16" spans="1:19" hidden="1" x14ac:dyDescent="0.25">
      <c r="A16" s="114" t="s">
        <v>23</v>
      </c>
      <c r="B16" s="115" t="s">
        <v>1295</v>
      </c>
      <c r="C16" s="116" t="s">
        <v>70</v>
      </c>
      <c r="D16" s="116">
        <v>0</v>
      </c>
      <c r="E16" s="136">
        <f ca="1">OFFSET(INDEX(Composições!A:J,MATCH(Orçamentária!A16,Composições!A:A,0),8),2,0)</f>
        <v>11.695665649999999</v>
      </c>
      <c r="F16" s="137">
        <f t="shared" ca="1" si="0"/>
        <v>0</v>
      </c>
      <c r="G16" s="138" t="e">
        <f>IF(A16&lt;&gt;"",IF(AND(#REF!="Padrão",$H$4=#REF!),BDI!$B$17,IF(AND(#REF!="Padrão",$H$4=#REF!),BDI!#REF!,IF(AND(#REF!="Diferenciado",$H$4=#REF!),BDI!$E$17,IF(AND(#REF!="Diferenciado",$H$4=#REF!),BDI!#REF!,IF(#REF!="ZERO",0))))),"")</f>
        <v>#REF!</v>
      </c>
      <c r="H16" s="139" t="e">
        <f t="shared" ca="1" si="1"/>
        <v>#REF!</v>
      </c>
      <c r="I16" s="137" t="e">
        <f t="shared" ca="1" si="2"/>
        <v>#REF!</v>
      </c>
      <c r="J16" s="118"/>
      <c r="K16" s="116">
        <v>0</v>
      </c>
      <c r="M16" s="136" t="e">
        <f ca="1">OFFSET(INDEX([1]Composições!I:R,MATCH([1]Orçamentária!I16,[1]Composições!I:I,0),8),2,0)</f>
        <v>#REF!</v>
      </c>
      <c r="N16" t="e">
        <v>#REF!</v>
      </c>
      <c r="Q16" t="e">
        <v>#REF!</v>
      </c>
    </row>
    <row r="17" spans="1:19" hidden="1" x14ac:dyDescent="0.25">
      <c r="A17" s="114" t="s">
        <v>24</v>
      </c>
      <c r="B17" s="115" t="s">
        <v>1296</v>
      </c>
      <c r="C17" s="116" t="s">
        <v>70</v>
      </c>
      <c r="D17" s="116">
        <v>0</v>
      </c>
      <c r="E17" s="136">
        <f ca="1">OFFSET(INDEX(Composições!A:J,MATCH(Orçamentária!A17,Composições!A:A,0),8),2,0)</f>
        <v>3.1455478499999998</v>
      </c>
      <c r="F17" s="137">
        <f t="shared" ca="1" si="0"/>
        <v>0</v>
      </c>
      <c r="G17" s="138" t="e">
        <f>IF(A17&lt;&gt;"",IF(AND(#REF!="Padrão",$H$4=#REF!),BDI!$B$17,IF(AND(#REF!="Padrão",$H$4=#REF!),BDI!#REF!,IF(AND(#REF!="Diferenciado",$H$4=#REF!),BDI!$E$17,IF(AND(#REF!="Diferenciado",$H$4=#REF!),BDI!#REF!,IF(#REF!="ZERO",0))))),"")</f>
        <v>#REF!</v>
      </c>
      <c r="H17" s="139" t="e">
        <f t="shared" ca="1" si="1"/>
        <v>#REF!</v>
      </c>
      <c r="I17" s="137" t="e">
        <f t="shared" ca="1" si="2"/>
        <v>#REF!</v>
      </c>
      <c r="J17" s="118"/>
      <c r="K17" s="116">
        <v>0</v>
      </c>
      <c r="M17" s="136" t="e">
        <f ca="1">OFFSET(INDEX([1]Composições!I:R,MATCH([1]Orçamentária!I17,[1]Composições!I:I,0),8),2,0)</f>
        <v>#REF!</v>
      </c>
      <c r="N17" t="e">
        <v>#REF!</v>
      </c>
      <c r="Q17" t="e">
        <v>#REF!</v>
      </c>
    </row>
    <row r="18" spans="1:19" hidden="1" x14ac:dyDescent="0.25">
      <c r="A18" s="114" t="s">
        <v>25</v>
      </c>
      <c r="B18" s="115" t="s">
        <v>1297</v>
      </c>
      <c r="C18" s="116" t="s">
        <v>69</v>
      </c>
      <c r="D18" s="116">
        <v>0</v>
      </c>
      <c r="E18" s="136">
        <f ca="1">OFFSET(INDEX(Composições!A:J,MATCH(Orçamentária!A18,Composições!A:A,0),8),2,0)</f>
        <v>0.47343344999999992</v>
      </c>
      <c r="F18" s="137">
        <f t="shared" ca="1" si="0"/>
        <v>0</v>
      </c>
      <c r="G18" s="138" t="e">
        <f>IF(A18&lt;&gt;"",IF(AND(#REF!="Padrão",$H$4=#REF!),BDI!$B$17,IF(AND(#REF!="Padrão",$H$4=#REF!),BDI!#REF!,IF(AND(#REF!="Diferenciado",$H$4=#REF!),BDI!$E$17,IF(AND(#REF!="Diferenciado",$H$4=#REF!),BDI!#REF!,IF(#REF!="ZERO",0))))),"")</f>
        <v>#REF!</v>
      </c>
      <c r="H18" s="139" t="e">
        <f t="shared" ca="1" si="1"/>
        <v>#REF!</v>
      </c>
      <c r="I18" s="137" t="e">
        <f t="shared" ca="1" si="2"/>
        <v>#REF!</v>
      </c>
      <c r="J18" s="118"/>
      <c r="K18" s="116">
        <v>0</v>
      </c>
      <c r="M18" s="136" t="e">
        <f ca="1">OFFSET(INDEX([1]Composições!I:R,MATCH([1]Orçamentária!I18,[1]Composições!I:I,0),8),2,0)</f>
        <v>#REF!</v>
      </c>
      <c r="N18" t="e">
        <v>#REF!</v>
      </c>
      <c r="Q18" t="e">
        <v>#REF!</v>
      </c>
    </row>
    <row r="19" spans="1:19" hidden="1" x14ac:dyDescent="0.25">
      <c r="A19" s="114" t="s">
        <v>26</v>
      </c>
      <c r="B19" s="115" t="s">
        <v>1298</v>
      </c>
      <c r="C19" s="116" t="s">
        <v>80</v>
      </c>
      <c r="D19" s="116">
        <v>0</v>
      </c>
      <c r="E19" s="136">
        <f ca="1">OFFSET(INDEX(Composições!A:J,MATCH(Orçamentária!A19,Composições!A:A,0),8),2,0)</f>
        <v>270.43004759999997</v>
      </c>
      <c r="F19" s="137">
        <f t="shared" ca="1" si="0"/>
        <v>0</v>
      </c>
      <c r="G19" s="138" t="e">
        <f>IF(A19&lt;&gt;"",IF(AND(#REF!="Padrão",$H$4=#REF!),BDI!$B$17,IF(AND(#REF!="Padrão",$H$4=#REF!),BDI!#REF!,IF(AND(#REF!="Diferenciado",$H$4=#REF!),BDI!$E$17,IF(AND(#REF!="Diferenciado",$H$4=#REF!),BDI!#REF!,IF(#REF!="ZERO",0))))),"")</f>
        <v>#REF!</v>
      </c>
      <c r="H19" s="139" t="e">
        <f t="shared" ca="1" si="1"/>
        <v>#REF!</v>
      </c>
      <c r="I19" s="137" t="e">
        <f t="shared" ca="1" si="2"/>
        <v>#REF!</v>
      </c>
      <c r="J19" s="118"/>
      <c r="K19" s="116">
        <v>0</v>
      </c>
      <c r="M19" s="136" t="e">
        <f ca="1">OFFSET(INDEX([1]Composições!I:R,MATCH([1]Orçamentária!I19,[1]Composições!I:I,0),8),2,0)</f>
        <v>#REF!</v>
      </c>
      <c r="N19" t="e">
        <v>#REF!</v>
      </c>
      <c r="Q19" t="e">
        <v>#REF!</v>
      </c>
    </row>
    <row r="20" spans="1:19" hidden="1" x14ac:dyDescent="0.25">
      <c r="A20" s="114" t="s">
        <v>1299</v>
      </c>
      <c r="B20" s="115" t="s">
        <v>1300</v>
      </c>
      <c r="C20" s="116" t="s">
        <v>16</v>
      </c>
      <c r="D20" s="116">
        <v>0</v>
      </c>
      <c r="E20" s="136" t="s">
        <v>416</v>
      </c>
      <c r="F20" s="137" t="str">
        <f t="shared" si="0"/>
        <v/>
      </c>
      <c r="G20" s="138" t="e">
        <f>IF(A20&lt;&gt;"",IF(AND(#REF!="Padrão",$H$4=#REF!),BDI!$B$17,IF(AND(#REF!="Padrão",$H$4=#REF!),BDI!#REF!,IF(AND(#REF!="Diferenciado",$H$4=#REF!),BDI!$E$17,IF(AND(#REF!="Diferenciado",$H$4=#REF!),BDI!#REF!,IF(#REF!="ZERO",0))))),"")</f>
        <v>#REF!</v>
      </c>
      <c r="H20" s="139" t="str">
        <f t="shared" si="1"/>
        <v/>
      </c>
      <c r="I20" s="137" t="str">
        <f t="shared" si="2"/>
        <v/>
      </c>
      <c r="J20" s="118"/>
      <c r="K20" s="116">
        <v>0</v>
      </c>
      <c r="M20" s="136" t="s">
        <v>416</v>
      </c>
      <c r="N20" t="e">
        <v>#REF!</v>
      </c>
      <c r="Q20" t="s">
        <v>416</v>
      </c>
    </row>
    <row r="21" spans="1:19" hidden="1" x14ac:dyDescent="0.25">
      <c r="A21" s="114" t="s">
        <v>29</v>
      </c>
      <c r="B21" s="115" t="s">
        <v>1301</v>
      </c>
      <c r="C21" s="116" t="s">
        <v>70</v>
      </c>
      <c r="D21" s="116">
        <v>0</v>
      </c>
      <c r="E21" s="136">
        <f ca="1">OFFSET(INDEX(Composições!A:J,MATCH(Orçamentária!A21,Composições!A:A,0),8),2,0)</f>
        <v>16.083024999999996</v>
      </c>
      <c r="F21" s="137">
        <f t="shared" ca="1" si="0"/>
        <v>0</v>
      </c>
      <c r="G21" s="138" t="e">
        <f>IF(A21&lt;&gt;"",IF(AND(#REF!="Padrão",$H$4=#REF!),BDI!$B$17,IF(AND(#REF!="Padrão",$H$4=#REF!),BDI!#REF!,IF(AND(#REF!="Diferenciado",$H$4=#REF!),BDI!$E$17,IF(AND(#REF!="Diferenciado",$H$4=#REF!),BDI!#REF!,IF(#REF!="ZERO",0))))),"")</f>
        <v>#REF!</v>
      </c>
      <c r="H21" s="139" t="e">
        <f t="shared" ca="1" si="1"/>
        <v>#REF!</v>
      </c>
      <c r="I21" s="137" t="e">
        <f t="shared" ca="1" si="2"/>
        <v>#REF!</v>
      </c>
      <c r="J21" s="118"/>
      <c r="K21" s="116">
        <v>0</v>
      </c>
      <c r="M21" s="136" t="e">
        <f ca="1">OFFSET(INDEX([1]Composições!I:R,MATCH([1]Orçamentária!I21,[1]Composições!I:I,0),8),2,0)</f>
        <v>#REF!</v>
      </c>
      <c r="N21" t="e">
        <v>#REF!</v>
      </c>
      <c r="Q21" t="e">
        <v>#REF!</v>
      </c>
    </row>
    <row r="22" spans="1:19" hidden="1" x14ac:dyDescent="0.25">
      <c r="A22" s="114" t="s">
        <v>30</v>
      </c>
      <c r="B22" s="115" t="s">
        <v>1302</v>
      </c>
      <c r="C22" s="116" t="s">
        <v>70</v>
      </c>
      <c r="D22" s="116">
        <v>0</v>
      </c>
      <c r="E22" s="136">
        <f ca="1">OFFSET(INDEX(Composições!A:J,MATCH(Orçamentária!A22,Composições!A:A,0),8),2,0)</f>
        <v>24.299574999999997</v>
      </c>
      <c r="F22" s="137">
        <f t="shared" ca="1" si="0"/>
        <v>0</v>
      </c>
      <c r="G22" s="138" t="e">
        <f>IF(A22&lt;&gt;"",IF(AND(#REF!="Padrão",$H$4=#REF!),BDI!$B$17,IF(AND(#REF!="Padrão",$H$4=#REF!),BDI!#REF!,IF(AND(#REF!="Diferenciado",$H$4=#REF!),BDI!$E$17,IF(AND(#REF!="Diferenciado",$H$4=#REF!),BDI!#REF!,IF(#REF!="ZERO",0))))),"")</f>
        <v>#REF!</v>
      </c>
      <c r="H22" s="139" t="e">
        <f t="shared" ca="1" si="1"/>
        <v>#REF!</v>
      </c>
      <c r="I22" s="137" t="e">
        <f t="shared" ca="1" si="2"/>
        <v>#REF!</v>
      </c>
      <c r="J22" s="118"/>
      <c r="K22" s="116">
        <v>0</v>
      </c>
      <c r="M22" s="136" t="e">
        <f ca="1">OFFSET(INDEX([1]Composições!I:R,MATCH([1]Orçamentária!I22,[1]Composições!I:I,0),8),2,0)</f>
        <v>#REF!</v>
      </c>
      <c r="N22" t="e">
        <v>#REF!</v>
      </c>
      <c r="Q22" t="e">
        <v>#REF!</v>
      </c>
    </row>
    <row r="23" spans="1:19" hidden="1" x14ac:dyDescent="0.25">
      <c r="A23" s="114" t="s">
        <v>31</v>
      </c>
      <c r="B23" s="115" t="s">
        <v>1303</v>
      </c>
      <c r="C23" s="116" t="s">
        <v>16</v>
      </c>
      <c r="D23" s="116">
        <v>0</v>
      </c>
      <c r="E23" s="136">
        <f ca="1">OFFSET(INDEX(Composições!A:J,MATCH(Orçamentária!A23,Composições!A:A,0),8),2,0)</f>
        <v>9.1766199999999998</v>
      </c>
      <c r="F23" s="137">
        <f t="shared" ca="1" si="0"/>
        <v>0</v>
      </c>
      <c r="G23" s="138" t="e">
        <f>IF(A23&lt;&gt;"",IF(AND(#REF!="Padrão",$H$4=#REF!),BDI!$B$17,IF(AND(#REF!="Padrão",$H$4=#REF!),BDI!#REF!,IF(AND(#REF!="Diferenciado",$H$4=#REF!),BDI!$E$17,IF(AND(#REF!="Diferenciado",$H$4=#REF!),BDI!#REF!,IF(#REF!="ZERO",0))))),"")</f>
        <v>#REF!</v>
      </c>
      <c r="H23" s="139" t="e">
        <f t="shared" ca="1" si="1"/>
        <v>#REF!</v>
      </c>
      <c r="I23" s="137" t="e">
        <f t="shared" ca="1" si="2"/>
        <v>#REF!</v>
      </c>
      <c r="J23" s="118"/>
      <c r="K23" s="116">
        <v>0</v>
      </c>
      <c r="M23" s="136" t="e">
        <f ca="1">OFFSET(INDEX([1]Composições!I:R,MATCH([1]Orçamentária!I23,[1]Composições!I:I,0),8),2,0)</f>
        <v>#REF!</v>
      </c>
      <c r="N23" t="e">
        <v>#REF!</v>
      </c>
      <c r="Q23" t="e">
        <v>#REF!</v>
      </c>
    </row>
    <row r="24" spans="1:19" hidden="1" x14ac:dyDescent="0.25">
      <c r="A24" s="114" t="s">
        <v>32</v>
      </c>
      <c r="B24" s="115" t="s">
        <v>1304</v>
      </c>
      <c r="C24" s="116" t="s">
        <v>69</v>
      </c>
      <c r="D24" s="116">
        <v>0</v>
      </c>
      <c r="E24" s="136">
        <f ca="1">OFFSET(INDEX(Composições!A:J,MATCH(Orçamentária!A24,Composições!A:A,0),8),2,0)</f>
        <v>5.1214500000000003</v>
      </c>
      <c r="F24" s="137">
        <f t="shared" ca="1" si="0"/>
        <v>0</v>
      </c>
      <c r="G24" s="138" t="e">
        <f>IF(A24&lt;&gt;"",IF(AND(#REF!="Padrão",$H$4=#REF!),BDI!$B$17,IF(AND(#REF!="Padrão",$H$4=#REF!),BDI!#REF!,IF(AND(#REF!="Diferenciado",$H$4=#REF!),BDI!$E$17,IF(AND(#REF!="Diferenciado",$H$4=#REF!),BDI!#REF!,IF(#REF!="ZERO",0))))),"")</f>
        <v>#REF!</v>
      </c>
      <c r="H24" s="139" t="e">
        <f t="shared" ca="1" si="1"/>
        <v>#REF!</v>
      </c>
      <c r="I24" s="137" t="e">
        <f t="shared" ca="1" si="2"/>
        <v>#REF!</v>
      </c>
      <c r="J24" s="118"/>
      <c r="K24" s="116">
        <v>0</v>
      </c>
      <c r="M24" s="136" t="e">
        <f ca="1">OFFSET(INDEX([1]Composições!I:R,MATCH([1]Orçamentária!I24,[1]Composições!I:I,0),8),2,0)</f>
        <v>#REF!</v>
      </c>
      <c r="N24" t="e">
        <v>#REF!</v>
      </c>
      <c r="Q24" t="e">
        <v>#REF!</v>
      </c>
    </row>
    <row r="25" spans="1:19" hidden="1" x14ac:dyDescent="0.25">
      <c r="A25" s="114" t="s">
        <v>33</v>
      </c>
      <c r="B25" s="115" t="s">
        <v>1305</v>
      </c>
      <c r="C25" s="116" t="s">
        <v>70</v>
      </c>
      <c r="D25" s="116">
        <v>0</v>
      </c>
      <c r="E25" s="136">
        <f ca="1">OFFSET(INDEX(Composições!A:J,MATCH(Orçamentária!A25,Composições!A:A,0),8),2,0)</f>
        <v>2.2941549999999999</v>
      </c>
      <c r="F25" s="137">
        <f t="shared" ca="1" si="0"/>
        <v>0</v>
      </c>
      <c r="G25" s="138" t="e">
        <f>IF(A25&lt;&gt;"",IF(AND(#REF!="Padrão",$H$4=#REF!),BDI!$B$17,IF(AND(#REF!="Padrão",$H$4=#REF!),BDI!#REF!,IF(AND(#REF!="Diferenciado",$H$4=#REF!),BDI!$E$17,IF(AND(#REF!="Diferenciado",$H$4=#REF!),BDI!#REF!,IF(#REF!="ZERO",0))))),"")</f>
        <v>#REF!</v>
      </c>
      <c r="H25" s="139" t="e">
        <f t="shared" ca="1" si="1"/>
        <v>#REF!</v>
      </c>
      <c r="I25" s="137" t="e">
        <f t="shared" ca="1" si="2"/>
        <v>#REF!</v>
      </c>
      <c r="J25" s="118"/>
      <c r="K25" s="116">
        <v>0</v>
      </c>
      <c r="M25" s="136" t="e">
        <f ca="1">OFFSET(INDEX([1]Composições!I:R,MATCH([1]Orçamentária!I25,[1]Composições!I:I,0),8),2,0)</f>
        <v>#REF!</v>
      </c>
      <c r="N25" t="e">
        <v>#REF!</v>
      </c>
      <c r="Q25" t="e">
        <v>#REF!</v>
      </c>
    </row>
    <row r="26" spans="1:19" hidden="1" x14ac:dyDescent="0.25">
      <c r="A26" s="114" t="s">
        <v>34</v>
      </c>
      <c r="B26" s="115" t="s">
        <v>1306</v>
      </c>
      <c r="C26" s="116" t="s">
        <v>69</v>
      </c>
      <c r="D26" s="116">
        <v>0</v>
      </c>
      <c r="E26" s="136">
        <f ca="1">OFFSET(INDEX(Composições!A:J,MATCH(Orçamentária!A26,Composições!A:A,0),8),2,0)</f>
        <v>3.5537106000000001</v>
      </c>
      <c r="F26" s="137">
        <f t="shared" ca="1" si="0"/>
        <v>0</v>
      </c>
      <c r="G26" s="138" t="e">
        <f>IF(A26&lt;&gt;"",IF(AND(#REF!="Padrão",$H$4=#REF!),BDI!$B$17,IF(AND(#REF!="Padrão",$H$4=#REF!),BDI!#REF!,IF(AND(#REF!="Diferenciado",$H$4=#REF!),BDI!$E$17,IF(AND(#REF!="Diferenciado",$H$4=#REF!),BDI!#REF!,IF(#REF!="ZERO",0))))),"")</f>
        <v>#REF!</v>
      </c>
      <c r="H26" s="139" t="e">
        <f t="shared" ca="1" si="1"/>
        <v>#REF!</v>
      </c>
      <c r="I26" s="137" t="e">
        <f t="shared" ca="1" si="2"/>
        <v>#REF!</v>
      </c>
      <c r="J26" s="118"/>
      <c r="K26" s="116">
        <v>0</v>
      </c>
      <c r="M26" s="136" t="e">
        <f ca="1">OFFSET(INDEX([1]Composições!I:R,MATCH([1]Orçamentária!I26,[1]Composições!I:I,0),8),2,0)</f>
        <v>#REF!</v>
      </c>
      <c r="N26" t="e">
        <v>#REF!</v>
      </c>
      <c r="Q26" t="e">
        <v>#REF!</v>
      </c>
    </row>
    <row r="27" spans="1:19" hidden="1" x14ac:dyDescent="0.25">
      <c r="A27" s="114" t="s">
        <v>35</v>
      </c>
      <c r="B27" s="115" t="s">
        <v>1307</v>
      </c>
      <c r="C27" s="116" t="s">
        <v>16</v>
      </c>
      <c r="D27" s="116">
        <v>0</v>
      </c>
      <c r="E27" s="136">
        <f ca="1">OFFSET(INDEX(Composições!A:J,MATCH(Orçamentária!A27,Composições!A:A,0),8),2,0)</f>
        <v>26.031899999999993</v>
      </c>
      <c r="F27" s="137">
        <f t="shared" ca="1" si="0"/>
        <v>0</v>
      </c>
      <c r="G27" s="138" t="e">
        <f>IF(A27&lt;&gt;"",IF(AND(#REF!="Padrão",$H$4=#REF!),BDI!$B$17,IF(AND(#REF!="Padrão",$H$4=#REF!),BDI!#REF!,IF(AND(#REF!="Diferenciado",$H$4=#REF!),BDI!$E$17,IF(AND(#REF!="Diferenciado",$H$4=#REF!),BDI!#REF!,IF(#REF!="ZERO",0))))),"")</f>
        <v>#REF!</v>
      </c>
      <c r="H27" s="139" t="e">
        <f t="shared" ca="1" si="1"/>
        <v>#REF!</v>
      </c>
      <c r="I27" s="137" t="e">
        <f t="shared" ca="1" si="2"/>
        <v>#REF!</v>
      </c>
      <c r="J27" s="118"/>
      <c r="K27" s="116">
        <v>0</v>
      </c>
      <c r="M27" s="136" t="e">
        <f ca="1">OFFSET(INDEX([1]Composições!I:R,MATCH([1]Orçamentária!I27,[1]Composições!I:I,0),8),2,0)</f>
        <v>#REF!</v>
      </c>
      <c r="N27" t="e">
        <v>#REF!</v>
      </c>
      <c r="Q27" t="e">
        <v>#REF!</v>
      </c>
    </row>
    <row r="28" spans="1:19" hidden="1" x14ac:dyDescent="0.25">
      <c r="A28" s="114" t="s">
        <v>36</v>
      </c>
      <c r="B28" s="115" t="s">
        <v>1308</v>
      </c>
      <c r="C28" s="116" t="s">
        <v>70</v>
      </c>
      <c r="D28" s="116">
        <v>0</v>
      </c>
      <c r="E28" s="136">
        <f ca="1">OFFSET(INDEX(Composições!A:J,MATCH(Orçamentária!A28,Composições!A:A,0),8),2,0)</f>
        <v>40.492799999999988</v>
      </c>
      <c r="F28" s="137">
        <f t="shared" ca="1" si="0"/>
        <v>0</v>
      </c>
      <c r="G28" s="138" t="e">
        <f>IF(A28&lt;&gt;"",IF(AND(#REF!="Padrão",$H$4=#REF!),BDI!$B$17,IF(AND(#REF!="Padrão",$H$4=#REF!),BDI!#REF!,IF(AND(#REF!="Diferenciado",$H$4=#REF!),BDI!$E$17,IF(AND(#REF!="Diferenciado",$H$4=#REF!),BDI!#REF!,IF(#REF!="ZERO",0))))),"")</f>
        <v>#REF!</v>
      </c>
      <c r="H28" s="139" t="e">
        <f t="shared" ca="1" si="1"/>
        <v>#REF!</v>
      </c>
      <c r="I28" s="137" t="e">
        <f t="shared" ca="1" si="2"/>
        <v>#REF!</v>
      </c>
      <c r="J28" s="118"/>
      <c r="K28" s="116">
        <v>0</v>
      </c>
      <c r="M28" s="136" t="e">
        <f ca="1">OFFSET(INDEX([1]Composições!I:R,MATCH([1]Orçamentária!I28,[1]Composições!I:I,0),8),2,0)</f>
        <v>#REF!</v>
      </c>
      <c r="N28" t="e">
        <v>#REF!</v>
      </c>
      <c r="Q28" t="e">
        <v>#REF!</v>
      </c>
    </row>
    <row r="29" spans="1:19" hidden="1" x14ac:dyDescent="0.25">
      <c r="A29" s="114" t="s">
        <v>37</v>
      </c>
      <c r="B29" s="115" t="s">
        <v>1309</v>
      </c>
      <c r="C29" s="116" t="s">
        <v>70</v>
      </c>
      <c r="D29" s="116">
        <v>0</v>
      </c>
      <c r="E29" s="136">
        <f ca="1">OFFSET(INDEX(Composições!A:J,MATCH(Orçamentária!A29,Composições!A:A,0),8),2,0)</f>
        <v>7.1678516499999985</v>
      </c>
      <c r="F29" s="137">
        <f t="shared" ca="1" si="0"/>
        <v>0</v>
      </c>
      <c r="G29" s="138" t="e">
        <f>IF(A29&lt;&gt;"",IF(AND(#REF!="Padrão",$H$4=#REF!),BDI!$B$17,IF(AND(#REF!="Padrão",$H$4=#REF!),BDI!#REF!,IF(AND(#REF!="Diferenciado",$H$4=#REF!),BDI!$E$17,IF(AND(#REF!="Diferenciado",$H$4=#REF!),BDI!#REF!,IF(#REF!="ZERO",0))))),"")</f>
        <v>#REF!</v>
      </c>
      <c r="H29" s="139" t="e">
        <f t="shared" ca="1" si="1"/>
        <v>#REF!</v>
      </c>
      <c r="I29" s="137" t="e">
        <f t="shared" ca="1" si="2"/>
        <v>#REF!</v>
      </c>
      <c r="J29" s="118"/>
      <c r="K29" s="116">
        <v>0</v>
      </c>
      <c r="M29" s="136" t="e">
        <f ca="1">OFFSET(INDEX([1]Composições!I:R,MATCH([1]Orçamentária!I29,[1]Composições!I:I,0),8),2,0)</f>
        <v>#REF!</v>
      </c>
      <c r="N29" t="e">
        <v>#REF!</v>
      </c>
      <c r="Q29" t="e">
        <v>#REF!</v>
      </c>
    </row>
    <row r="30" spans="1:19" x14ac:dyDescent="0.25">
      <c r="A30" s="172" t="s">
        <v>38</v>
      </c>
      <c r="B30" s="173" t="s">
        <v>1310</v>
      </c>
      <c r="C30" s="174" t="s">
        <v>69</v>
      </c>
      <c r="D30" s="174">
        <v>271</v>
      </c>
      <c r="E30" s="136">
        <f ca="1">OFFSET(INDEX(Composições!A:J,MATCH(Orçamentária!A30,Composições!A:A,0),8),2,0)</f>
        <v>10.757562499999999</v>
      </c>
      <c r="F30" s="137">
        <f t="shared" ca="1" si="0"/>
        <v>2915.2994374999998</v>
      </c>
      <c r="G30" s="138">
        <f>BDI!$B$17</f>
        <v>0.191</v>
      </c>
      <c r="H30" s="139">
        <f t="shared" ca="1" si="1"/>
        <v>12.81</v>
      </c>
      <c r="I30" s="137">
        <f t="shared" ca="1" si="2"/>
        <v>3471.51</v>
      </c>
      <c r="J30" s="118"/>
      <c r="K30" s="253">
        <v>271</v>
      </c>
      <c r="L30" s="236" t="str">
        <f>IF(D30&lt;&gt;K30,"ERRO","-")</f>
        <v>-</v>
      </c>
      <c r="M30" s="136">
        <f ca="1">OFFSET(INDEX(Composições!A:S,MATCH(A30,Composições!A:A,0),15),2,0)</f>
        <v>9.2084734999999984</v>
      </c>
      <c r="N30" s="237">
        <v>0.191</v>
      </c>
      <c r="O30" s="236">
        <f ca="1">ROUND(M30*(1+N30),2)</f>
        <v>10.97</v>
      </c>
      <c r="P30" s="238">
        <f ca="1">ROUND(K30*O30,2)</f>
        <v>2972.87</v>
      </c>
      <c r="Q30" s="236">
        <v>2972.87</v>
      </c>
      <c r="R30" s="236">
        <f ca="1">P30-Q30</f>
        <v>0</v>
      </c>
      <c r="S30" s="239">
        <f ca="1">IF(ISNUMBER(O30),1-P30/$I30,"")</f>
        <v>0.14363778298204533</v>
      </c>
    </row>
    <row r="31" spans="1:19" hidden="1" x14ac:dyDescent="0.25">
      <c r="A31" s="114" t="s">
        <v>39</v>
      </c>
      <c r="B31" s="115" t="s">
        <v>1311</v>
      </c>
      <c r="C31" s="116" t="s">
        <v>70</v>
      </c>
      <c r="D31" s="116">
        <v>0</v>
      </c>
      <c r="E31" s="136">
        <f ca="1">OFFSET(INDEX(Composições!A:J,MATCH(Orçamentária!A31,Composições!A:A,0),8),2,0)</f>
        <v>11.470774999999998</v>
      </c>
      <c r="F31" s="137">
        <f t="shared" ca="1" si="0"/>
        <v>0</v>
      </c>
      <c r="G31" s="138" t="e">
        <f>IF(A31&lt;&gt;"",IF(AND(#REF!="Padrão",$H$4=#REF!),BDI!$B$17,IF(AND(#REF!="Padrão",$H$4=#REF!),BDI!#REF!,IF(AND(#REF!="Diferenciado",$H$4=#REF!),BDI!$E$17,IF(AND(#REF!="Diferenciado",$H$4=#REF!),BDI!#REF!,IF(#REF!="ZERO",0))))),"")</f>
        <v>#REF!</v>
      </c>
      <c r="H31" s="139" t="e">
        <f t="shared" ca="1" si="1"/>
        <v>#REF!</v>
      </c>
      <c r="I31" s="137" t="e">
        <f t="shared" ca="1" si="2"/>
        <v>#REF!</v>
      </c>
      <c r="J31" s="118"/>
      <c r="K31" s="116">
        <v>0</v>
      </c>
      <c r="M31" s="136" t="e">
        <f ca="1">OFFSET(INDEX([1]Composições!I:R,MATCH([1]Orçamentária!I31,[1]Composições!I:I,0),8),2,0)</f>
        <v>#REF!</v>
      </c>
      <c r="N31" t="e">
        <v>#REF!</v>
      </c>
      <c r="Q31" t="e">
        <v>#REF!</v>
      </c>
    </row>
    <row r="32" spans="1:19" hidden="1" x14ac:dyDescent="0.25">
      <c r="A32" s="114" t="s">
        <v>40</v>
      </c>
      <c r="B32" s="115" t="s">
        <v>1312</v>
      </c>
      <c r="C32" s="116" t="s">
        <v>16</v>
      </c>
      <c r="D32" s="116">
        <v>0</v>
      </c>
      <c r="E32" s="136">
        <f ca="1">OFFSET(INDEX(Composições!A:J,MATCH(Orçamentária!A32,Composições!A:A,0),8),2,0)</f>
        <v>8.3505000000000003</v>
      </c>
      <c r="F32" s="137">
        <f t="shared" ca="1" si="0"/>
        <v>0</v>
      </c>
      <c r="G32" s="138" t="e">
        <f>IF(A32&lt;&gt;"",IF(AND(#REF!="Padrão",$H$4=#REF!),BDI!$B$17,IF(AND(#REF!="Padrão",$H$4=#REF!),BDI!#REF!,IF(AND(#REF!="Diferenciado",$H$4=#REF!),BDI!$E$17,IF(AND(#REF!="Diferenciado",$H$4=#REF!),BDI!#REF!,IF(#REF!="ZERO",0))))),"")</f>
        <v>#REF!</v>
      </c>
      <c r="H32" s="139" t="e">
        <f t="shared" ca="1" si="1"/>
        <v>#REF!</v>
      </c>
      <c r="I32" s="137" t="e">
        <f t="shared" ca="1" si="2"/>
        <v>#REF!</v>
      </c>
      <c r="J32" s="118"/>
      <c r="K32" s="116">
        <v>0</v>
      </c>
      <c r="M32" s="136" t="e">
        <f ca="1">OFFSET(INDEX([1]Composições!I:R,MATCH([1]Orçamentária!I32,[1]Composições!I:I,0),8),2,0)</f>
        <v>#REF!</v>
      </c>
      <c r="N32" t="e">
        <v>#REF!</v>
      </c>
      <c r="Q32" t="e">
        <v>#REF!</v>
      </c>
    </row>
    <row r="33" spans="1:17" hidden="1" x14ac:dyDescent="0.25">
      <c r="A33" s="114" t="s">
        <v>41</v>
      </c>
      <c r="B33" s="115" t="s">
        <v>1313</v>
      </c>
      <c r="C33" s="116" t="s">
        <v>16</v>
      </c>
      <c r="D33" s="116">
        <v>0</v>
      </c>
      <c r="E33" s="136">
        <f ca="1">OFFSET(INDEX(Composições!A:J,MATCH(Orçamentária!A33,Composições!A:A,0),8),2,0)</f>
        <v>6.4314999999999989</v>
      </c>
      <c r="F33" s="137">
        <f t="shared" ca="1" si="0"/>
        <v>0</v>
      </c>
      <c r="G33" s="138" t="e">
        <f>IF(A33&lt;&gt;"",IF(AND(#REF!="Padrão",$H$4=#REF!),BDI!$B$17,IF(AND(#REF!="Padrão",$H$4=#REF!),BDI!#REF!,IF(AND(#REF!="Diferenciado",$H$4=#REF!),BDI!$E$17,IF(AND(#REF!="Diferenciado",$H$4=#REF!),BDI!#REF!,IF(#REF!="ZERO",0))))),"")</f>
        <v>#REF!</v>
      </c>
      <c r="H33" s="139" t="e">
        <f t="shared" ca="1" si="1"/>
        <v>#REF!</v>
      </c>
      <c r="I33" s="137" t="e">
        <f t="shared" ca="1" si="2"/>
        <v>#REF!</v>
      </c>
      <c r="J33" s="118"/>
      <c r="K33" s="116">
        <v>0</v>
      </c>
      <c r="M33" s="136" t="e">
        <f ca="1">OFFSET(INDEX([1]Composições!I:R,MATCH([1]Orçamentária!I33,[1]Composições!I:I,0),8),2,0)</f>
        <v>#REF!</v>
      </c>
      <c r="N33" t="e">
        <v>#REF!</v>
      </c>
      <c r="Q33" t="e">
        <v>#REF!</v>
      </c>
    </row>
    <row r="34" spans="1:17" hidden="1" x14ac:dyDescent="0.25">
      <c r="A34" s="114" t="s">
        <v>42</v>
      </c>
      <c r="B34" s="115" t="s">
        <v>5419</v>
      </c>
      <c r="C34" s="116" t="s">
        <v>16</v>
      </c>
      <c r="D34" s="116">
        <v>0</v>
      </c>
      <c r="E34" s="136">
        <f ca="1">OFFSET(INDEX(Composições!A:J,MATCH(Orçamentária!A34,Composições!A:A,0),8),2,0)</f>
        <v>8.7938298499999981</v>
      </c>
      <c r="F34" s="137">
        <f t="shared" ca="1" si="0"/>
        <v>0</v>
      </c>
      <c r="G34" s="138" t="e">
        <f>IF(A34&lt;&gt;"",IF(AND(#REF!="Padrão",$H$4=#REF!),BDI!$B$17,IF(AND(#REF!="Padrão",$H$4=#REF!),BDI!#REF!,IF(AND(#REF!="Diferenciado",$H$4=#REF!),BDI!$E$17,IF(AND(#REF!="Diferenciado",$H$4=#REF!),BDI!#REF!,IF(#REF!="ZERO",0))))),"")</f>
        <v>#REF!</v>
      </c>
      <c r="H34" s="139" t="e">
        <f t="shared" ca="1" si="1"/>
        <v>#REF!</v>
      </c>
      <c r="I34" s="137" t="e">
        <f t="shared" ca="1" si="2"/>
        <v>#REF!</v>
      </c>
      <c r="J34" s="118"/>
      <c r="K34" s="116">
        <v>0</v>
      </c>
      <c r="M34" s="136" t="e">
        <f ca="1">OFFSET(INDEX([1]Composições!I:R,MATCH([1]Orçamentária!I34,[1]Composições!I:I,0),8),2,0)</f>
        <v>#REF!</v>
      </c>
      <c r="N34" t="e">
        <v>#REF!</v>
      </c>
      <c r="Q34" t="e">
        <v>#REF!</v>
      </c>
    </row>
    <row r="35" spans="1:17" hidden="1" x14ac:dyDescent="0.25">
      <c r="A35" s="114" t="s">
        <v>43</v>
      </c>
      <c r="B35" s="115" t="s">
        <v>1314</v>
      </c>
      <c r="C35" s="116" t="s">
        <v>70</v>
      </c>
      <c r="D35" s="116">
        <v>0</v>
      </c>
      <c r="E35" s="136">
        <f ca="1">OFFSET(INDEX(Composições!A:J,MATCH(Orçamentária!A35,Composições!A:A,0),8),2,0)</f>
        <v>20.647394999999996</v>
      </c>
      <c r="F35" s="137">
        <f t="shared" ca="1" si="0"/>
        <v>0</v>
      </c>
      <c r="G35" s="138" t="e">
        <f>IF(A35&lt;&gt;"",IF(AND(#REF!="Padrão",$H$4=#REF!),BDI!$B$17,IF(AND(#REF!="Padrão",$H$4=#REF!),BDI!#REF!,IF(AND(#REF!="Diferenciado",$H$4=#REF!),BDI!$E$17,IF(AND(#REF!="Diferenciado",$H$4=#REF!),BDI!#REF!,IF(#REF!="ZERO",0))))),"")</f>
        <v>#REF!</v>
      </c>
      <c r="H35" s="139" t="e">
        <f t="shared" ca="1" si="1"/>
        <v>#REF!</v>
      </c>
      <c r="I35" s="137" t="e">
        <f t="shared" ca="1" si="2"/>
        <v>#REF!</v>
      </c>
      <c r="J35" s="118"/>
      <c r="K35" s="116">
        <v>0</v>
      </c>
      <c r="M35" s="136" t="e">
        <f ca="1">OFFSET(INDEX([1]Composições!I:R,MATCH([1]Orçamentária!I35,[1]Composições!I:I,0),8),2,0)</f>
        <v>#REF!</v>
      </c>
      <c r="N35" t="e">
        <v>#REF!</v>
      </c>
      <c r="Q35" t="e">
        <v>#REF!</v>
      </c>
    </row>
    <row r="36" spans="1:17" hidden="1" x14ac:dyDescent="0.25">
      <c r="A36" s="114" t="s">
        <v>44</v>
      </c>
      <c r="B36" s="115" t="s">
        <v>1315</v>
      </c>
      <c r="C36" s="116" t="s">
        <v>16</v>
      </c>
      <c r="D36" s="116">
        <v>0</v>
      </c>
      <c r="E36" s="136">
        <f ca="1">OFFSET(INDEX(Composições!A:J,MATCH(Orçamentária!A36,Composições!A:A,0),8),2,0)</f>
        <v>11.677064649999998</v>
      </c>
      <c r="F36" s="137">
        <f t="shared" ca="1" si="0"/>
        <v>0</v>
      </c>
      <c r="G36" s="138" t="e">
        <f>IF(A36&lt;&gt;"",IF(AND(#REF!="Padrão",$H$4=#REF!),BDI!$B$17,IF(AND(#REF!="Padrão",$H$4=#REF!),BDI!#REF!,IF(AND(#REF!="Diferenciado",$H$4=#REF!),BDI!$E$17,IF(AND(#REF!="Diferenciado",$H$4=#REF!),BDI!#REF!,IF(#REF!="ZERO",0))))),"")</f>
        <v>#REF!</v>
      </c>
      <c r="H36" s="139" t="e">
        <f t="shared" ca="1" si="1"/>
        <v>#REF!</v>
      </c>
      <c r="I36" s="137" t="e">
        <f t="shared" ca="1" si="2"/>
        <v>#REF!</v>
      </c>
      <c r="J36" s="118"/>
      <c r="K36" s="116">
        <v>0</v>
      </c>
      <c r="M36" s="136" t="e">
        <f ca="1">OFFSET(INDEX([1]Composições!I:R,MATCH([1]Orçamentária!I36,[1]Composições!I:I,0),8),2,0)</f>
        <v>#REF!</v>
      </c>
      <c r="N36" t="e">
        <v>#REF!</v>
      </c>
      <c r="Q36" t="e">
        <v>#REF!</v>
      </c>
    </row>
    <row r="37" spans="1:17" hidden="1" x14ac:dyDescent="0.25">
      <c r="A37" s="114" t="s">
        <v>45</v>
      </c>
      <c r="B37" s="115" t="s">
        <v>1316</v>
      </c>
      <c r="C37" s="116" t="s">
        <v>16</v>
      </c>
      <c r="D37" s="116">
        <v>0</v>
      </c>
      <c r="E37" s="136">
        <f ca="1">OFFSET(INDEX(Composições!A:J,MATCH(Orçamentária!A37,Composições!A:A,0),8),2,0)</f>
        <v>6.1773797499999992</v>
      </c>
      <c r="F37" s="137">
        <f t="shared" ca="1" si="0"/>
        <v>0</v>
      </c>
      <c r="G37" s="138" t="e">
        <f>IF(A37&lt;&gt;"",IF(AND(#REF!="Padrão",$H$4=#REF!),BDI!$B$17,IF(AND(#REF!="Padrão",$H$4=#REF!),BDI!#REF!,IF(AND(#REF!="Diferenciado",$H$4=#REF!),BDI!$E$17,IF(AND(#REF!="Diferenciado",$H$4=#REF!),BDI!#REF!,IF(#REF!="ZERO",0))))),"")</f>
        <v>#REF!</v>
      </c>
      <c r="H37" s="139" t="e">
        <f t="shared" ca="1" si="1"/>
        <v>#REF!</v>
      </c>
      <c r="I37" s="137" t="e">
        <f t="shared" ca="1" si="2"/>
        <v>#REF!</v>
      </c>
      <c r="J37" s="118"/>
      <c r="K37" s="116">
        <v>0</v>
      </c>
      <c r="M37" s="136" t="e">
        <f ca="1">OFFSET(INDEX([1]Composições!I:R,MATCH([1]Orçamentária!I37,[1]Composições!I:I,0),8),2,0)</f>
        <v>#REF!</v>
      </c>
      <c r="N37" t="e">
        <v>#REF!</v>
      </c>
      <c r="Q37" t="e">
        <v>#REF!</v>
      </c>
    </row>
    <row r="38" spans="1:17" hidden="1" x14ac:dyDescent="0.25">
      <c r="A38" s="114" t="s">
        <v>47</v>
      </c>
      <c r="B38" s="115" t="s">
        <v>1317</v>
      </c>
      <c r="C38" s="116" t="s">
        <v>16</v>
      </c>
      <c r="D38" s="116">
        <v>0</v>
      </c>
      <c r="E38" s="136">
        <f ca="1">OFFSET(INDEX(Composições!A:J,MATCH(Orçamentária!A38,Composições!A:A,0),8),2,0)</f>
        <v>8.5150266999999999</v>
      </c>
      <c r="F38" s="137">
        <f t="shared" ca="1" si="0"/>
        <v>0</v>
      </c>
      <c r="G38" s="138" t="e">
        <f>IF(A38&lt;&gt;"",IF(AND(#REF!="Padrão",$H$4=#REF!),BDI!$B$17,IF(AND(#REF!="Padrão",$H$4=#REF!),BDI!#REF!,IF(AND(#REF!="Diferenciado",$H$4=#REF!),BDI!$E$17,IF(AND(#REF!="Diferenciado",$H$4=#REF!),BDI!#REF!,IF(#REF!="ZERO",0))))),"")</f>
        <v>#REF!</v>
      </c>
      <c r="H38" s="139" t="e">
        <f t="shared" ca="1" si="1"/>
        <v>#REF!</v>
      </c>
      <c r="I38" s="137" t="e">
        <f t="shared" ca="1" si="2"/>
        <v>#REF!</v>
      </c>
      <c r="J38" s="118"/>
      <c r="K38" s="116">
        <v>0</v>
      </c>
      <c r="M38" s="136" t="e">
        <f ca="1">OFFSET(INDEX([1]Composições!I:R,MATCH([1]Orçamentária!I38,[1]Composições!I:I,0),8),2,0)</f>
        <v>#REF!</v>
      </c>
      <c r="N38" t="e">
        <v>#REF!</v>
      </c>
      <c r="Q38" t="e">
        <v>#REF!</v>
      </c>
    </row>
    <row r="39" spans="1:17" hidden="1" x14ac:dyDescent="0.25">
      <c r="A39" s="114" t="s">
        <v>48</v>
      </c>
      <c r="B39" s="115" t="s">
        <v>1318</v>
      </c>
      <c r="C39" s="116" t="s">
        <v>70</v>
      </c>
      <c r="D39" s="116">
        <v>0</v>
      </c>
      <c r="E39" s="136">
        <f ca="1">OFFSET(INDEX(Composições!A:J,MATCH(Orçamentária!A39,Composições!A:A,0),8),2,0)</f>
        <v>15.557446999999996</v>
      </c>
      <c r="F39" s="137">
        <f t="shared" ca="1" si="0"/>
        <v>0</v>
      </c>
      <c r="G39" s="138" t="e">
        <f>IF(A39&lt;&gt;"",IF(AND(#REF!="Padrão",$H$4=#REF!),BDI!$B$17,IF(AND(#REF!="Padrão",$H$4=#REF!),BDI!#REF!,IF(AND(#REF!="Diferenciado",$H$4=#REF!),BDI!$E$17,IF(AND(#REF!="Diferenciado",$H$4=#REF!),BDI!#REF!,IF(#REF!="ZERO",0))))),"")</f>
        <v>#REF!</v>
      </c>
      <c r="H39" s="139" t="e">
        <f t="shared" ca="1" si="1"/>
        <v>#REF!</v>
      </c>
      <c r="I39" s="137" t="e">
        <f t="shared" ca="1" si="2"/>
        <v>#REF!</v>
      </c>
      <c r="J39" s="118"/>
      <c r="K39" s="116">
        <v>0</v>
      </c>
      <c r="M39" s="136" t="e">
        <f ca="1">OFFSET(INDEX([1]Composições!I:R,MATCH([1]Orçamentária!I39,[1]Composições!I:I,0),8),2,0)</f>
        <v>#REF!</v>
      </c>
      <c r="N39" t="e">
        <v>#REF!</v>
      </c>
      <c r="Q39" t="e">
        <v>#REF!</v>
      </c>
    </row>
    <row r="40" spans="1:17" hidden="1" x14ac:dyDescent="0.25">
      <c r="A40" s="114" t="s">
        <v>49</v>
      </c>
      <c r="B40" s="115" t="s">
        <v>1319</v>
      </c>
      <c r="C40" s="116" t="s">
        <v>70</v>
      </c>
      <c r="D40" s="116">
        <v>0</v>
      </c>
      <c r="E40" s="136">
        <f ca="1">OFFSET(INDEX(Composições!A:J,MATCH(Orçamentária!A40,Composições!A:A,0),8),2,0)</f>
        <v>10.0244</v>
      </c>
      <c r="F40" s="137">
        <f t="shared" ca="1" si="0"/>
        <v>0</v>
      </c>
      <c r="G40" s="138" t="e">
        <f>IF(A40&lt;&gt;"",IF(AND(#REF!="Padrão",$H$4=#REF!),BDI!$B$17,IF(AND(#REF!="Padrão",$H$4=#REF!),BDI!#REF!,IF(AND(#REF!="Diferenciado",$H$4=#REF!),BDI!$E$17,IF(AND(#REF!="Diferenciado",$H$4=#REF!),BDI!#REF!,IF(#REF!="ZERO",0))))),"")</f>
        <v>#REF!</v>
      </c>
      <c r="H40" s="139" t="e">
        <f t="shared" ca="1" si="1"/>
        <v>#REF!</v>
      </c>
      <c r="I40" s="137" t="e">
        <f t="shared" ca="1" si="2"/>
        <v>#REF!</v>
      </c>
      <c r="J40" s="118"/>
      <c r="K40" s="116">
        <v>0</v>
      </c>
      <c r="M40" s="136" t="e">
        <f ca="1">OFFSET(INDEX([1]Composições!I:R,MATCH([1]Orçamentária!I40,[1]Composições!I:I,0),8),2,0)</f>
        <v>#REF!</v>
      </c>
      <c r="N40" t="e">
        <v>#REF!</v>
      </c>
      <c r="Q40" t="e">
        <v>#REF!</v>
      </c>
    </row>
    <row r="41" spans="1:17" hidden="1" x14ac:dyDescent="0.25">
      <c r="A41" s="114" t="s">
        <v>50</v>
      </c>
      <c r="B41" s="115" t="s">
        <v>1320</v>
      </c>
      <c r="C41" s="116" t="s">
        <v>69</v>
      </c>
      <c r="D41" s="116">
        <v>0</v>
      </c>
      <c r="E41" s="136">
        <f ca="1">OFFSET(INDEX(Composições!A:J,MATCH(Orçamentária!A41,Composições!A:A,0),8),2,0)</f>
        <v>3.5537106000000001</v>
      </c>
      <c r="F41" s="137">
        <f t="shared" ca="1" si="0"/>
        <v>0</v>
      </c>
      <c r="G41" s="138" t="e">
        <f>IF(A41&lt;&gt;"",IF(AND(#REF!="Padrão",$H$4=#REF!),BDI!$B$17,IF(AND(#REF!="Padrão",$H$4=#REF!),BDI!#REF!,IF(AND(#REF!="Diferenciado",$H$4=#REF!),BDI!$E$17,IF(AND(#REF!="Diferenciado",$H$4=#REF!),BDI!#REF!,IF(#REF!="ZERO",0))))),"")</f>
        <v>#REF!</v>
      </c>
      <c r="H41" s="139" t="e">
        <f t="shared" ca="1" si="1"/>
        <v>#REF!</v>
      </c>
      <c r="I41" s="137" t="e">
        <f t="shared" ca="1" si="2"/>
        <v>#REF!</v>
      </c>
      <c r="J41" s="118"/>
      <c r="K41" s="116">
        <v>0</v>
      </c>
      <c r="M41" s="136" t="e">
        <f ca="1">OFFSET(INDEX([1]Composições!I:R,MATCH([1]Orçamentária!I41,[1]Composições!I:I,0),8),2,0)</f>
        <v>#REF!</v>
      </c>
      <c r="N41" t="e">
        <v>#REF!</v>
      </c>
      <c r="Q41" t="e">
        <v>#REF!</v>
      </c>
    </row>
    <row r="42" spans="1:17" hidden="1" x14ac:dyDescent="0.25">
      <c r="A42" s="114" t="s">
        <v>51</v>
      </c>
      <c r="B42" s="115" t="s">
        <v>1321</v>
      </c>
      <c r="C42" s="116" t="s">
        <v>70</v>
      </c>
      <c r="D42" s="116">
        <v>0</v>
      </c>
      <c r="E42" s="136">
        <f ca="1">OFFSET(INDEX(Composições!A:J,MATCH(Orçamentária!A42,Composições!A:A,0),8),2,0)</f>
        <v>8.0901999999999994</v>
      </c>
      <c r="F42" s="137">
        <f t="shared" ca="1" si="0"/>
        <v>0</v>
      </c>
      <c r="G42" s="138" t="e">
        <f>IF(A42&lt;&gt;"",IF(AND(#REF!="Padrão",$H$4=#REF!),BDI!$B$17,IF(AND(#REF!="Padrão",$H$4=#REF!),BDI!#REF!,IF(AND(#REF!="Diferenciado",$H$4=#REF!),BDI!$E$17,IF(AND(#REF!="Diferenciado",$H$4=#REF!),BDI!#REF!,IF(#REF!="ZERO",0))))),"")</f>
        <v>#REF!</v>
      </c>
      <c r="H42" s="139" t="e">
        <f t="shared" ca="1" si="1"/>
        <v>#REF!</v>
      </c>
      <c r="I42" s="137" t="e">
        <f t="shared" ca="1" si="2"/>
        <v>#REF!</v>
      </c>
      <c r="J42" s="118"/>
      <c r="K42" s="116">
        <v>0</v>
      </c>
      <c r="M42" s="136" t="e">
        <f ca="1">OFFSET(INDEX([1]Composições!I:R,MATCH([1]Orçamentária!I42,[1]Composições!I:I,0),8),2,0)</f>
        <v>#REF!</v>
      </c>
      <c r="N42" t="e">
        <v>#REF!</v>
      </c>
      <c r="Q42" t="e">
        <v>#REF!</v>
      </c>
    </row>
    <row r="43" spans="1:17" hidden="1" x14ac:dyDescent="0.25">
      <c r="A43" s="114" t="s">
        <v>52</v>
      </c>
      <c r="B43" s="115" t="s">
        <v>1322</v>
      </c>
      <c r="C43" s="116" t="s">
        <v>70</v>
      </c>
      <c r="D43" s="116">
        <v>0</v>
      </c>
      <c r="E43" s="136">
        <f ca="1">OFFSET(INDEX(Composições!A:J,MATCH(Orçamentária!A43,Composições!A:A,0),8),2,0)</f>
        <v>4.6799878499999998</v>
      </c>
      <c r="F43" s="137">
        <f t="shared" ca="1" si="0"/>
        <v>0</v>
      </c>
      <c r="G43" s="138" t="e">
        <f>IF(A43&lt;&gt;"",IF(AND(#REF!="Padrão",$H$4=#REF!),BDI!$B$17,IF(AND(#REF!="Padrão",$H$4=#REF!),BDI!#REF!,IF(AND(#REF!="Diferenciado",$H$4=#REF!),BDI!$E$17,IF(AND(#REF!="Diferenciado",$H$4=#REF!),BDI!#REF!,IF(#REF!="ZERO",0))))),"")</f>
        <v>#REF!</v>
      </c>
      <c r="H43" s="139" t="e">
        <f t="shared" ca="1" si="1"/>
        <v>#REF!</v>
      </c>
      <c r="I43" s="137" t="e">
        <f t="shared" ca="1" si="2"/>
        <v>#REF!</v>
      </c>
      <c r="J43" s="118"/>
      <c r="K43" s="116">
        <v>0</v>
      </c>
      <c r="M43" s="136" t="e">
        <f ca="1">OFFSET(INDEX([1]Composições!I:R,MATCH([1]Orçamentária!I43,[1]Composições!I:I,0),8),2,0)</f>
        <v>#REF!</v>
      </c>
      <c r="N43" t="e">
        <v>#REF!</v>
      </c>
      <c r="Q43" t="e">
        <v>#REF!</v>
      </c>
    </row>
    <row r="44" spans="1:17" hidden="1" x14ac:dyDescent="0.25">
      <c r="A44" s="114" t="s">
        <v>54</v>
      </c>
      <c r="B44" s="115" t="s">
        <v>1323</v>
      </c>
      <c r="C44" s="116" t="s">
        <v>16</v>
      </c>
      <c r="D44" s="116">
        <v>0</v>
      </c>
      <c r="E44" s="136">
        <f ca="1">OFFSET(INDEX(Composições!A:J,MATCH(Orçamentária!A44,Composições!A:A,0),8),2,0)</f>
        <v>72.095499999999987</v>
      </c>
      <c r="F44" s="137">
        <f t="shared" ca="1" si="0"/>
        <v>0</v>
      </c>
      <c r="G44" s="138" t="e">
        <f>IF(A44&lt;&gt;"",IF(AND(#REF!="Padrão",$H$4=#REF!),BDI!$B$17,IF(AND(#REF!="Padrão",$H$4=#REF!),BDI!#REF!,IF(AND(#REF!="Diferenciado",$H$4=#REF!),BDI!$E$17,IF(AND(#REF!="Diferenciado",$H$4=#REF!),BDI!#REF!,IF(#REF!="ZERO",0))))),"")</f>
        <v>#REF!</v>
      </c>
      <c r="H44" s="139" t="e">
        <f t="shared" ca="1" si="1"/>
        <v>#REF!</v>
      </c>
      <c r="I44" s="137" t="e">
        <f t="shared" ca="1" si="2"/>
        <v>#REF!</v>
      </c>
      <c r="J44" s="118"/>
      <c r="K44" s="116">
        <v>0</v>
      </c>
      <c r="M44" s="136" t="e">
        <f ca="1">OFFSET(INDEX([1]Composições!I:R,MATCH([1]Orçamentária!I44,[1]Composições!I:I,0),8),2,0)</f>
        <v>#REF!</v>
      </c>
      <c r="N44" t="e">
        <v>#REF!</v>
      </c>
      <c r="Q44" t="e">
        <v>#REF!</v>
      </c>
    </row>
    <row r="45" spans="1:17" hidden="1" x14ac:dyDescent="0.25">
      <c r="A45" s="114" t="s">
        <v>55</v>
      </c>
      <c r="B45" s="115" t="s">
        <v>1324</v>
      </c>
      <c r="C45" s="116" t="s">
        <v>70</v>
      </c>
      <c r="D45" s="116">
        <v>0</v>
      </c>
      <c r="E45" s="136">
        <f ca="1">OFFSET(INDEX(Composições!A:J,MATCH(Orçamentária!A45,Composições!A:A,0),8),2,0)</f>
        <v>4.0450999999999997</v>
      </c>
      <c r="F45" s="137">
        <f t="shared" ca="1" si="0"/>
        <v>0</v>
      </c>
      <c r="G45" s="138" t="e">
        <f>IF(A45&lt;&gt;"",IF(AND(#REF!="Padrão",$H$4=#REF!),BDI!$B$17,IF(AND(#REF!="Padrão",$H$4=#REF!),BDI!#REF!,IF(AND(#REF!="Diferenciado",$H$4=#REF!),BDI!$E$17,IF(AND(#REF!="Diferenciado",$H$4=#REF!),BDI!#REF!,IF(#REF!="ZERO",0))))),"")</f>
        <v>#REF!</v>
      </c>
      <c r="H45" s="139" t="e">
        <f t="shared" ca="1" si="1"/>
        <v>#REF!</v>
      </c>
      <c r="I45" s="137" t="e">
        <f t="shared" ca="1" si="2"/>
        <v>#REF!</v>
      </c>
      <c r="J45" s="118"/>
      <c r="K45" s="116">
        <v>0</v>
      </c>
      <c r="M45" s="136" t="e">
        <f ca="1">OFFSET(INDEX([1]Composições!I:R,MATCH([1]Orçamentária!I45,[1]Composições!I:I,0),8),2,0)</f>
        <v>#REF!</v>
      </c>
      <c r="N45" t="e">
        <v>#REF!</v>
      </c>
      <c r="Q45" t="e">
        <v>#REF!</v>
      </c>
    </row>
    <row r="46" spans="1:17" hidden="1" x14ac:dyDescent="0.25">
      <c r="A46" s="114" t="s">
        <v>56</v>
      </c>
      <c r="B46" s="115" t="s">
        <v>1325</v>
      </c>
      <c r="C46" s="116" t="s">
        <v>69</v>
      </c>
      <c r="D46" s="116">
        <v>0</v>
      </c>
      <c r="E46" s="136">
        <f ca="1">OFFSET(INDEX(Composições!A:J,MATCH(Orçamentária!A46,Composições!A:A,0),8),2,0)</f>
        <v>1.7677086999999998</v>
      </c>
      <c r="F46" s="137">
        <f t="shared" ca="1" si="0"/>
        <v>0</v>
      </c>
      <c r="G46" s="138" t="e">
        <f>IF(A46&lt;&gt;"",IF(AND(#REF!="Padrão",$H$4=#REF!),BDI!$B$17,IF(AND(#REF!="Padrão",$H$4=#REF!),BDI!#REF!,IF(AND(#REF!="Diferenciado",$H$4=#REF!),BDI!$E$17,IF(AND(#REF!="Diferenciado",$H$4=#REF!),BDI!#REF!,IF(#REF!="ZERO",0))))),"")</f>
        <v>#REF!</v>
      </c>
      <c r="H46" s="139" t="e">
        <f t="shared" ca="1" si="1"/>
        <v>#REF!</v>
      </c>
      <c r="I46" s="137" t="e">
        <f t="shared" ca="1" si="2"/>
        <v>#REF!</v>
      </c>
      <c r="J46" s="118"/>
      <c r="K46" s="116">
        <v>0</v>
      </c>
      <c r="M46" s="136" t="e">
        <f ca="1">OFFSET(INDEX([1]Composições!I:R,MATCH([1]Orçamentária!I46,[1]Composições!I:I,0),8),2,0)</f>
        <v>#REF!</v>
      </c>
      <c r="N46" t="e">
        <v>#REF!</v>
      </c>
      <c r="Q46" t="e">
        <v>#REF!</v>
      </c>
    </row>
    <row r="47" spans="1:17" hidden="1" x14ac:dyDescent="0.25">
      <c r="A47" s="114" t="s">
        <v>57</v>
      </c>
      <c r="B47" s="115" t="s">
        <v>1326</v>
      </c>
      <c r="C47" s="116" t="s">
        <v>70</v>
      </c>
      <c r="D47" s="116">
        <v>0</v>
      </c>
      <c r="E47" s="136">
        <f ca="1">OFFSET(INDEX(Composições!A:J,MATCH(Orçamentária!A47,Composições!A:A,0),8),2,0)</f>
        <v>7.2055124999999993</v>
      </c>
      <c r="F47" s="137">
        <f t="shared" ca="1" si="0"/>
        <v>0</v>
      </c>
      <c r="G47" s="138" t="e">
        <f>IF(A47&lt;&gt;"",IF(AND(#REF!="Padrão",$H$4=#REF!),BDI!$B$17,IF(AND(#REF!="Padrão",$H$4=#REF!),BDI!#REF!,IF(AND(#REF!="Diferenciado",$H$4=#REF!),BDI!$E$17,IF(AND(#REF!="Diferenciado",$H$4=#REF!),BDI!#REF!,IF(#REF!="ZERO",0))))),"")</f>
        <v>#REF!</v>
      </c>
      <c r="H47" s="139" t="e">
        <f t="shared" ca="1" si="1"/>
        <v>#REF!</v>
      </c>
      <c r="I47" s="137" t="e">
        <f t="shared" ca="1" si="2"/>
        <v>#REF!</v>
      </c>
      <c r="J47" s="118"/>
      <c r="K47" s="116">
        <v>0</v>
      </c>
      <c r="M47" s="136" t="e">
        <f ca="1">OFFSET(INDEX([1]Composições!I:R,MATCH([1]Orçamentária!I47,[1]Composições!I:I,0),8),2,0)</f>
        <v>#REF!</v>
      </c>
      <c r="N47" t="e">
        <v>#REF!</v>
      </c>
      <c r="Q47" t="e">
        <v>#REF!</v>
      </c>
    </row>
    <row r="48" spans="1:17" hidden="1" x14ac:dyDescent="0.25">
      <c r="A48" s="114" t="s">
        <v>58</v>
      </c>
      <c r="B48" s="115" t="s">
        <v>1327</v>
      </c>
      <c r="C48" s="116" t="s">
        <v>69</v>
      </c>
      <c r="D48" s="116">
        <v>0</v>
      </c>
      <c r="E48" s="136">
        <f ca="1">OFFSET(INDEX(Composições!A:J,MATCH(Orçamentária!A48,Composições!A:A,0),8),2,0)</f>
        <v>11.124025</v>
      </c>
      <c r="F48" s="137">
        <f t="shared" ca="1" si="0"/>
        <v>0</v>
      </c>
      <c r="G48" s="138" t="e">
        <f>IF(A48&lt;&gt;"",IF(AND(#REF!="Padrão",$H$4=#REF!),BDI!$B$17,IF(AND(#REF!="Padrão",$H$4=#REF!),BDI!#REF!,IF(AND(#REF!="Diferenciado",$H$4=#REF!),BDI!$E$17,IF(AND(#REF!="Diferenciado",$H$4=#REF!),BDI!#REF!,IF(#REF!="ZERO",0))))),"")</f>
        <v>#REF!</v>
      </c>
      <c r="H48" s="139" t="e">
        <f t="shared" ca="1" si="1"/>
        <v>#REF!</v>
      </c>
      <c r="I48" s="137" t="e">
        <f t="shared" ca="1" si="2"/>
        <v>#REF!</v>
      </c>
      <c r="J48" s="118"/>
      <c r="K48" s="116">
        <v>0</v>
      </c>
      <c r="M48" s="136" t="e">
        <f ca="1">OFFSET(INDEX([1]Composições!I:R,MATCH([1]Orçamentária!I48,[1]Composições!I:I,0),8),2,0)</f>
        <v>#REF!</v>
      </c>
      <c r="N48" t="e">
        <v>#REF!</v>
      </c>
      <c r="Q48" t="e">
        <v>#REF!</v>
      </c>
    </row>
    <row r="49" spans="1:19" x14ac:dyDescent="0.25">
      <c r="A49" s="172" t="s">
        <v>59</v>
      </c>
      <c r="B49" s="173" t="s">
        <v>1328</v>
      </c>
      <c r="C49" s="174" t="s">
        <v>16</v>
      </c>
      <c r="D49" s="174">
        <v>21</v>
      </c>
      <c r="E49" s="136">
        <f ca="1">OFFSET(INDEX(Composições!A:J,MATCH(Orçamentária!A49,Composições!A:A,0),8),2,0)</f>
        <v>52.344999999999999</v>
      </c>
      <c r="F49" s="137">
        <f t="shared" ca="1" si="0"/>
        <v>1099.2449999999999</v>
      </c>
      <c r="G49" s="138">
        <f>BDI!$B$17</f>
        <v>0.191</v>
      </c>
      <c r="H49" s="139">
        <f t="shared" ca="1" si="1"/>
        <v>62.34</v>
      </c>
      <c r="I49" s="137">
        <f t="shared" ca="1" si="2"/>
        <v>1309.1400000000001</v>
      </c>
      <c r="J49" s="118"/>
      <c r="K49" s="253">
        <v>21</v>
      </c>
      <c r="L49" s="236" t="str">
        <f>IF(D49&lt;&gt;K49,"ERRO","-")</f>
        <v>-</v>
      </c>
      <c r="M49" s="136">
        <f ca="1">OFFSET(INDEX(Composições!A:S,MATCH(A49,Composições!A:A,0),15),2,0)</f>
        <v>44.807319999999997</v>
      </c>
      <c r="N49" s="237">
        <v>0.191</v>
      </c>
      <c r="O49" s="236">
        <f ca="1">ROUND(M49*(1+N49),2)</f>
        <v>53.37</v>
      </c>
      <c r="P49" s="238">
        <f ca="1">ROUND(K49*O49,2)</f>
        <v>1120.77</v>
      </c>
      <c r="Q49" s="236">
        <v>1120.77</v>
      </c>
      <c r="R49" s="236">
        <f ca="1">P49-Q49</f>
        <v>0</v>
      </c>
      <c r="S49" s="239">
        <f ca="1">IF(ISNUMBER(O49),1-P49/$I49,"")</f>
        <v>0.14388835418671808</v>
      </c>
    </row>
    <row r="50" spans="1:19" hidden="1" x14ac:dyDescent="0.25">
      <c r="A50" s="114" t="s">
        <v>60</v>
      </c>
      <c r="B50" s="115" t="s">
        <v>1329</v>
      </c>
      <c r="C50" s="116" t="s">
        <v>70</v>
      </c>
      <c r="D50" s="116">
        <v>0</v>
      </c>
      <c r="E50" s="136">
        <f ca="1">OFFSET(INDEX(Composições!A:J,MATCH(Orçamentária!A50,Composições!A:A,0),8),2,0)</f>
        <v>17.937405999999999</v>
      </c>
      <c r="F50" s="137">
        <f t="shared" ca="1" si="0"/>
        <v>0</v>
      </c>
      <c r="G50" s="138" t="e">
        <f>IF(A50&lt;&gt;"",IF(AND(#REF!="Padrão",$H$4=#REF!),BDI!$B$17,IF(AND(#REF!="Padrão",$H$4=#REF!),BDI!#REF!,IF(AND(#REF!="Diferenciado",$H$4=#REF!),BDI!$E$17,IF(AND(#REF!="Diferenciado",$H$4=#REF!),BDI!#REF!,IF(#REF!="ZERO",0))))),"")</f>
        <v>#REF!</v>
      </c>
      <c r="H50" s="139" t="e">
        <f t="shared" ca="1" si="1"/>
        <v>#REF!</v>
      </c>
      <c r="I50" s="137" t="e">
        <f t="shared" ca="1" si="2"/>
        <v>#REF!</v>
      </c>
      <c r="J50" s="118"/>
      <c r="K50" s="116">
        <v>0</v>
      </c>
      <c r="M50" s="136" t="e">
        <f ca="1">OFFSET(INDEX([1]Composições!I:R,MATCH([1]Orçamentária!I50,[1]Composições!I:I,0),8),2,0)</f>
        <v>#REF!</v>
      </c>
      <c r="N50" t="e">
        <v>#REF!</v>
      </c>
      <c r="Q50" t="e">
        <v>#REF!</v>
      </c>
    </row>
    <row r="51" spans="1:19" hidden="1" x14ac:dyDescent="0.25">
      <c r="A51" s="114" t="s">
        <v>61</v>
      </c>
      <c r="B51" s="115" t="s">
        <v>1330</v>
      </c>
      <c r="C51" s="116" t="s">
        <v>80</v>
      </c>
      <c r="D51" s="116">
        <v>0</v>
      </c>
      <c r="E51" s="136">
        <f ca="1">OFFSET(INDEX(Composições!A:J,MATCH(Orçamentária!A51,Composições!A:A,0),8),2,0)</f>
        <v>20.225499999999997</v>
      </c>
      <c r="F51" s="137">
        <f t="shared" ca="1" si="0"/>
        <v>0</v>
      </c>
      <c r="G51" s="138" t="e">
        <f>IF(A51&lt;&gt;"",IF(AND(#REF!="Padrão",$H$4=#REF!),BDI!$B$17,IF(AND(#REF!="Padrão",$H$4=#REF!),BDI!#REF!,IF(AND(#REF!="Diferenciado",$H$4=#REF!),BDI!$E$17,IF(AND(#REF!="Diferenciado",$H$4=#REF!),BDI!#REF!,IF(#REF!="ZERO",0))))),"")</f>
        <v>#REF!</v>
      </c>
      <c r="H51" s="139" t="e">
        <f t="shared" ca="1" si="1"/>
        <v>#REF!</v>
      </c>
      <c r="I51" s="137" t="e">
        <f t="shared" ca="1" si="2"/>
        <v>#REF!</v>
      </c>
      <c r="J51" s="118"/>
      <c r="K51" s="116">
        <v>0</v>
      </c>
      <c r="M51" s="136" t="e">
        <f ca="1">OFFSET(INDEX([1]Composições!I:R,MATCH([1]Orçamentária!I51,[1]Composições!I:I,0),8),2,0)</f>
        <v>#REF!</v>
      </c>
      <c r="N51" t="e">
        <v>#REF!</v>
      </c>
      <c r="Q51" t="e">
        <v>#REF!</v>
      </c>
    </row>
    <row r="52" spans="1:19" hidden="1" x14ac:dyDescent="0.25">
      <c r="A52" s="114" t="s">
        <v>1331</v>
      </c>
      <c r="B52" s="115" t="s">
        <v>1332</v>
      </c>
      <c r="C52" s="116" t="s">
        <v>16</v>
      </c>
      <c r="D52" s="116">
        <v>0</v>
      </c>
      <c r="E52" s="136" t="s">
        <v>416</v>
      </c>
      <c r="F52" s="137" t="str">
        <f t="shared" si="0"/>
        <v/>
      </c>
      <c r="G52" s="138" t="e">
        <f>IF(A52&lt;&gt;"",IF(AND(#REF!="Padrão",$H$4=#REF!),BDI!$B$17,IF(AND(#REF!="Padrão",$H$4=#REF!),BDI!#REF!,IF(AND(#REF!="Diferenciado",$H$4=#REF!),BDI!$E$17,IF(AND(#REF!="Diferenciado",$H$4=#REF!),BDI!#REF!,IF(#REF!="ZERO",0))))),"")</f>
        <v>#REF!</v>
      </c>
      <c r="H52" s="139" t="str">
        <f t="shared" si="1"/>
        <v/>
      </c>
      <c r="I52" s="137" t="str">
        <f t="shared" si="2"/>
        <v/>
      </c>
      <c r="J52" s="118"/>
      <c r="K52" s="116">
        <v>0</v>
      </c>
      <c r="M52" s="136" t="s">
        <v>416</v>
      </c>
      <c r="N52" t="e">
        <v>#REF!</v>
      </c>
      <c r="Q52" t="s">
        <v>416</v>
      </c>
    </row>
    <row r="53" spans="1:19" hidden="1" x14ac:dyDescent="0.25">
      <c r="A53" s="114" t="s">
        <v>62</v>
      </c>
      <c r="B53" s="115" t="s">
        <v>1333</v>
      </c>
      <c r="C53" s="116" t="s">
        <v>1334</v>
      </c>
      <c r="D53" s="116">
        <v>0</v>
      </c>
      <c r="E53" s="136">
        <f ca="1">OFFSET(INDEX(Composições!A:J,MATCH(Orçamentária!A53,Composições!A:A,0),8),2,0)</f>
        <v>6.327</v>
      </c>
      <c r="F53" s="137">
        <f t="shared" ca="1" si="0"/>
        <v>0</v>
      </c>
      <c r="G53" s="138" t="e">
        <f>IF(A53&lt;&gt;"",IF(AND(#REF!="Padrão",$H$4=#REF!),BDI!$B$17,IF(AND(#REF!="Padrão",$H$4=#REF!),BDI!#REF!,IF(AND(#REF!="Diferenciado",$H$4=#REF!),BDI!$E$17,IF(AND(#REF!="Diferenciado",$H$4=#REF!),BDI!#REF!,IF(#REF!="ZERO",0))))),"")</f>
        <v>#REF!</v>
      </c>
      <c r="H53" s="139" t="e">
        <f t="shared" ca="1" si="1"/>
        <v>#REF!</v>
      </c>
      <c r="I53" s="137" t="e">
        <f t="shared" ca="1" si="2"/>
        <v>#REF!</v>
      </c>
      <c r="J53" s="118"/>
      <c r="K53" s="116">
        <v>0</v>
      </c>
      <c r="M53" s="136" t="e">
        <f ca="1">OFFSET(INDEX([1]Composições!I:R,MATCH([1]Orçamentária!I53,[1]Composições!I:I,0),8),2,0)</f>
        <v>#REF!</v>
      </c>
      <c r="N53" t="e">
        <v>#REF!</v>
      </c>
      <c r="Q53" t="e">
        <v>#REF!</v>
      </c>
    </row>
    <row r="54" spans="1:19" hidden="1" x14ac:dyDescent="0.25">
      <c r="A54" s="114" t="s">
        <v>64</v>
      </c>
      <c r="B54" s="115" t="s">
        <v>1335</v>
      </c>
      <c r="C54" s="116" t="s">
        <v>1336</v>
      </c>
      <c r="D54" s="116">
        <v>0</v>
      </c>
      <c r="E54" s="136">
        <f ca="1">OFFSET(INDEX(Composições!A:J,MATCH(Orçamentária!A54,Composições!A:A,0),8),2,0)</f>
        <v>19</v>
      </c>
      <c r="F54" s="137">
        <f t="shared" ca="1" si="0"/>
        <v>0</v>
      </c>
      <c r="G54" s="138" t="e">
        <f>IF(A54&lt;&gt;"",IF(AND(#REF!="Padrão",$H$4=#REF!),BDI!$B$17,IF(AND(#REF!="Padrão",$H$4=#REF!),BDI!#REF!,IF(AND(#REF!="Diferenciado",$H$4=#REF!),BDI!$E$17,IF(AND(#REF!="Diferenciado",$H$4=#REF!),BDI!#REF!,IF(#REF!="ZERO",0))))),"")</f>
        <v>#REF!</v>
      </c>
      <c r="H54" s="139" t="e">
        <f t="shared" ca="1" si="1"/>
        <v>#REF!</v>
      </c>
      <c r="I54" s="137" t="e">
        <f t="shared" ca="1" si="2"/>
        <v>#REF!</v>
      </c>
      <c r="J54" s="118"/>
      <c r="K54" s="116">
        <v>0</v>
      </c>
      <c r="M54" s="136" t="e">
        <f ca="1">OFFSET(INDEX([1]Composições!I:R,MATCH([1]Orçamentária!I54,[1]Composições!I:I,0),8),2,0)</f>
        <v>#REF!</v>
      </c>
      <c r="N54" t="e">
        <v>#REF!</v>
      </c>
      <c r="Q54" t="e">
        <v>#REF!</v>
      </c>
    </row>
    <row r="55" spans="1:19" hidden="1" x14ac:dyDescent="0.25">
      <c r="A55" s="114" t="s">
        <v>1337</v>
      </c>
      <c r="B55" s="115" t="s">
        <v>1338</v>
      </c>
      <c r="C55" s="116" t="s">
        <v>69</v>
      </c>
      <c r="D55" s="116">
        <v>0</v>
      </c>
      <c r="E55" s="136" t="s">
        <v>416</v>
      </c>
      <c r="F55" s="137" t="str">
        <f t="shared" si="0"/>
        <v/>
      </c>
      <c r="G55" s="138" t="e">
        <f>IF(A55&lt;&gt;"",IF(AND(#REF!="Padrão",$H$4=#REF!),BDI!$B$17,IF(AND(#REF!="Padrão",$H$4=#REF!),BDI!#REF!,IF(AND(#REF!="Diferenciado",$H$4=#REF!),BDI!$E$17,IF(AND(#REF!="Diferenciado",$H$4=#REF!),BDI!#REF!,IF(#REF!="ZERO",0))))),"")</f>
        <v>#REF!</v>
      </c>
      <c r="H55" s="139" t="str">
        <f t="shared" si="1"/>
        <v/>
      </c>
      <c r="I55" s="137" t="str">
        <f t="shared" si="2"/>
        <v/>
      </c>
      <c r="J55" s="118"/>
      <c r="K55" s="116">
        <v>0</v>
      </c>
      <c r="M55" s="136" t="s">
        <v>416</v>
      </c>
      <c r="N55" t="e">
        <v>#REF!</v>
      </c>
      <c r="Q55" t="s">
        <v>416</v>
      </c>
    </row>
    <row r="56" spans="1:19" hidden="1" x14ac:dyDescent="0.25">
      <c r="A56" s="114" t="s">
        <v>66</v>
      </c>
      <c r="B56" s="115" t="s">
        <v>1339</v>
      </c>
      <c r="C56" s="116" t="s">
        <v>69</v>
      </c>
      <c r="D56" s="116">
        <v>0</v>
      </c>
      <c r="E56" s="136">
        <f ca="1">OFFSET(INDEX(Composições!A:J,MATCH(Orçamentária!A56,Composições!A:A,0),8),2,0)</f>
        <v>5.7740999999999998</v>
      </c>
      <c r="F56" s="137">
        <f t="shared" ca="1" si="0"/>
        <v>0</v>
      </c>
      <c r="G56" s="138" t="e">
        <f>IF(A56&lt;&gt;"",IF(AND(#REF!="Padrão",$H$4=#REF!),BDI!$B$17,IF(AND(#REF!="Padrão",$H$4=#REF!),BDI!#REF!,IF(AND(#REF!="Diferenciado",$H$4=#REF!),BDI!$E$17,IF(AND(#REF!="Diferenciado",$H$4=#REF!),BDI!#REF!,IF(#REF!="ZERO",0))))),"")</f>
        <v>#REF!</v>
      </c>
      <c r="H56" s="139" t="e">
        <f t="shared" ca="1" si="1"/>
        <v>#REF!</v>
      </c>
      <c r="I56" s="137" t="e">
        <f t="shared" ca="1" si="2"/>
        <v>#REF!</v>
      </c>
      <c r="J56" s="118"/>
      <c r="K56" s="116">
        <v>0</v>
      </c>
      <c r="M56" s="136" t="e">
        <f ca="1">OFFSET(INDEX([1]Composições!I:R,MATCH([1]Orçamentária!I56,[1]Composições!I:I,0),8),2,0)</f>
        <v>#REF!</v>
      </c>
      <c r="N56" t="e">
        <v>#REF!</v>
      </c>
      <c r="Q56" t="e">
        <v>#REF!</v>
      </c>
    </row>
    <row r="57" spans="1:19" hidden="1" x14ac:dyDescent="0.25">
      <c r="A57" s="114" t="s">
        <v>1340</v>
      </c>
      <c r="B57" s="115" t="s">
        <v>1341</v>
      </c>
      <c r="C57" s="116" t="s">
        <v>16</v>
      </c>
      <c r="D57" s="116">
        <v>0</v>
      </c>
      <c r="E57" s="136" t="s">
        <v>416</v>
      </c>
      <c r="F57" s="137" t="str">
        <f t="shared" si="0"/>
        <v/>
      </c>
      <c r="G57" s="138" t="e">
        <f>IF(A57&lt;&gt;"",IF(AND(#REF!="Padrão",$H$4=#REF!),BDI!$B$17,IF(AND(#REF!="Padrão",$H$4=#REF!),BDI!#REF!,IF(AND(#REF!="Diferenciado",$H$4=#REF!),BDI!$E$17,IF(AND(#REF!="Diferenciado",$H$4=#REF!),BDI!#REF!,IF(#REF!="ZERO",0))))),"")</f>
        <v>#REF!</v>
      </c>
      <c r="H57" s="139" t="str">
        <f t="shared" si="1"/>
        <v/>
      </c>
      <c r="I57" s="137" t="str">
        <f t="shared" si="2"/>
        <v/>
      </c>
      <c r="J57" s="118"/>
      <c r="K57" s="116">
        <v>0</v>
      </c>
      <c r="M57" s="136" t="s">
        <v>416</v>
      </c>
      <c r="N57" t="e">
        <v>#REF!</v>
      </c>
      <c r="Q57" t="s">
        <v>416</v>
      </c>
    </row>
    <row r="58" spans="1:19" hidden="1" x14ac:dyDescent="0.25">
      <c r="A58" s="114" t="s">
        <v>1342</v>
      </c>
      <c r="B58" s="115" t="s">
        <v>1343</v>
      </c>
      <c r="C58" s="116" t="s">
        <v>1336</v>
      </c>
      <c r="D58" s="116">
        <v>0</v>
      </c>
      <c r="E58" s="136" t="s">
        <v>416</v>
      </c>
      <c r="F58" s="137" t="str">
        <f t="shared" si="0"/>
        <v/>
      </c>
      <c r="G58" s="138" t="e">
        <f>IF(A58&lt;&gt;"",IF(AND(#REF!="Padrão",$H$4=#REF!),BDI!$B$17,IF(AND(#REF!="Padrão",$H$4=#REF!),BDI!#REF!,IF(AND(#REF!="Diferenciado",$H$4=#REF!),BDI!$E$17,IF(AND(#REF!="Diferenciado",$H$4=#REF!),BDI!#REF!,IF(#REF!="ZERO",0))))),"")</f>
        <v>#REF!</v>
      </c>
      <c r="H58" s="139" t="str">
        <f t="shared" si="1"/>
        <v/>
      </c>
      <c r="I58" s="137" t="str">
        <f t="shared" si="2"/>
        <v/>
      </c>
      <c r="J58" s="117"/>
      <c r="K58" s="116">
        <v>0</v>
      </c>
      <c r="M58" s="136" t="s">
        <v>416</v>
      </c>
      <c r="N58" t="e">
        <v>#REF!</v>
      </c>
      <c r="Q58" t="s">
        <v>416</v>
      </c>
    </row>
    <row r="59" spans="1:19" hidden="1" x14ac:dyDescent="0.25">
      <c r="A59" s="114" t="s">
        <v>1344</v>
      </c>
      <c r="B59" s="115" t="s">
        <v>1345</v>
      </c>
      <c r="C59" s="116" t="s">
        <v>16</v>
      </c>
      <c r="D59" s="116">
        <v>0</v>
      </c>
      <c r="E59" s="136" t="s">
        <v>416</v>
      </c>
      <c r="F59" s="137" t="str">
        <f t="shared" si="0"/>
        <v/>
      </c>
      <c r="G59" s="138" t="e">
        <f>IF(A59&lt;&gt;"",IF(AND(#REF!="Padrão",$H$4=#REF!),BDI!$B$17,IF(AND(#REF!="Padrão",$H$4=#REF!),BDI!#REF!,IF(AND(#REF!="Diferenciado",$H$4=#REF!),BDI!$E$17,IF(AND(#REF!="Diferenciado",$H$4=#REF!),BDI!#REF!,IF(#REF!="ZERO",0))))),"")</f>
        <v>#REF!</v>
      </c>
      <c r="H59" s="139" t="str">
        <f t="shared" si="1"/>
        <v/>
      </c>
      <c r="I59" s="137" t="str">
        <f t="shared" si="2"/>
        <v/>
      </c>
      <c r="J59" s="117"/>
      <c r="K59" s="116">
        <v>0</v>
      </c>
      <c r="M59" s="136" t="s">
        <v>416</v>
      </c>
      <c r="N59" t="e">
        <v>#REF!</v>
      </c>
      <c r="Q59" t="s">
        <v>416</v>
      </c>
    </row>
    <row r="60" spans="1:19" hidden="1" x14ac:dyDescent="0.25">
      <c r="A60" s="114" t="s">
        <v>1346</v>
      </c>
      <c r="B60" s="115" t="s">
        <v>1347</v>
      </c>
      <c r="C60" s="116" t="s">
        <v>1336</v>
      </c>
      <c r="D60" s="116">
        <v>0</v>
      </c>
      <c r="E60" s="136" t="s">
        <v>416</v>
      </c>
      <c r="F60" s="137" t="str">
        <f t="shared" si="0"/>
        <v/>
      </c>
      <c r="G60" s="138" t="e">
        <f>IF(A60&lt;&gt;"",IF(AND(#REF!="Padrão",$H$4=#REF!),BDI!$B$17,IF(AND(#REF!="Padrão",$H$4=#REF!),BDI!#REF!,IF(AND(#REF!="Diferenciado",$H$4=#REF!),BDI!$E$17,IF(AND(#REF!="Diferenciado",$H$4=#REF!),BDI!#REF!,IF(#REF!="ZERO",0))))),"")</f>
        <v>#REF!</v>
      </c>
      <c r="H60" s="139" t="str">
        <f t="shared" si="1"/>
        <v/>
      </c>
      <c r="I60" s="137" t="str">
        <f t="shared" si="2"/>
        <v/>
      </c>
      <c r="J60" s="117"/>
      <c r="K60" s="116">
        <v>0</v>
      </c>
      <c r="M60" s="136" t="s">
        <v>416</v>
      </c>
      <c r="N60" t="e">
        <v>#REF!</v>
      </c>
      <c r="Q60" t="s">
        <v>416</v>
      </c>
    </row>
    <row r="61" spans="1:19" hidden="1" x14ac:dyDescent="0.25">
      <c r="A61" s="114" t="s">
        <v>1348</v>
      </c>
      <c r="B61" s="115" t="s">
        <v>1349</v>
      </c>
      <c r="C61" s="116" t="s">
        <v>16</v>
      </c>
      <c r="D61" s="116">
        <v>0</v>
      </c>
      <c r="E61" s="136" t="s">
        <v>416</v>
      </c>
      <c r="F61" s="137" t="str">
        <f t="shared" si="0"/>
        <v/>
      </c>
      <c r="G61" s="138" t="e">
        <f>IF(A61&lt;&gt;"",IF(AND(#REF!="Padrão",$H$4=#REF!),BDI!$B$17,IF(AND(#REF!="Padrão",$H$4=#REF!),BDI!#REF!,IF(AND(#REF!="Diferenciado",$H$4=#REF!),BDI!$E$17,IF(AND(#REF!="Diferenciado",$H$4=#REF!),BDI!#REF!,IF(#REF!="ZERO",0))))),"")</f>
        <v>#REF!</v>
      </c>
      <c r="H61" s="139" t="str">
        <f t="shared" si="1"/>
        <v/>
      </c>
      <c r="I61" s="137" t="str">
        <f t="shared" si="2"/>
        <v/>
      </c>
      <c r="J61" s="117"/>
      <c r="K61" s="116">
        <v>0</v>
      </c>
      <c r="M61" s="136" t="s">
        <v>416</v>
      </c>
      <c r="N61" t="e">
        <v>#REF!</v>
      </c>
      <c r="Q61" t="s">
        <v>416</v>
      </c>
    </row>
    <row r="62" spans="1:19" ht="25.5" hidden="1" x14ac:dyDescent="0.25">
      <c r="A62" s="114" t="s">
        <v>68</v>
      </c>
      <c r="B62" s="115" t="s">
        <v>1350</v>
      </c>
      <c r="C62" s="116" t="s">
        <v>70</v>
      </c>
      <c r="D62" s="116">
        <v>0</v>
      </c>
      <c r="E62" s="136">
        <f ca="1">OFFSET(INDEX(Composições!A:J,MATCH(Orçamentária!A62,Composições!A:A,0),8),2,0)</f>
        <v>28.244449999999993</v>
      </c>
      <c r="F62" s="137">
        <f t="shared" ca="1" si="0"/>
        <v>0</v>
      </c>
      <c r="G62" s="138" t="e">
        <f>IF(A62&lt;&gt;"",IF(AND(#REF!="Padrão",$H$4=#REF!),BDI!$B$17,IF(AND(#REF!="Padrão",$H$4=#REF!),BDI!#REF!,IF(AND(#REF!="Diferenciado",$H$4=#REF!),BDI!$E$17,IF(AND(#REF!="Diferenciado",$H$4=#REF!),BDI!#REF!,IF(#REF!="ZERO",0))))),"")</f>
        <v>#REF!</v>
      </c>
      <c r="H62" s="139" t="e">
        <f t="shared" ca="1" si="1"/>
        <v>#REF!</v>
      </c>
      <c r="I62" s="137" t="e">
        <f t="shared" ca="1" si="2"/>
        <v>#REF!</v>
      </c>
      <c r="J62" s="117"/>
      <c r="K62" s="116">
        <v>0</v>
      </c>
      <c r="M62" s="136" t="e">
        <f ca="1">OFFSET(INDEX([1]Composições!I:R,MATCH([1]Orçamentária!I62,[1]Composições!I:I,0),8),2,0)</f>
        <v>#REF!</v>
      </c>
      <c r="N62" t="e">
        <v>#REF!</v>
      </c>
      <c r="Q62" t="e">
        <v>#REF!</v>
      </c>
    </row>
    <row r="63" spans="1:19" hidden="1" x14ac:dyDescent="0.25">
      <c r="A63" s="114" t="s">
        <v>1351</v>
      </c>
      <c r="B63" s="115" t="s">
        <v>1352</v>
      </c>
      <c r="C63" s="116" t="s">
        <v>16</v>
      </c>
      <c r="D63" s="116">
        <v>0</v>
      </c>
      <c r="E63" s="136" t="s">
        <v>416</v>
      </c>
      <c r="F63" s="137" t="str">
        <f t="shared" si="0"/>
        <v/>
      </c>
      <c r="G63" s="138" t="e">
        <f>IF(A63&lt;&gt;"",IF(AND(#REF!="Padrão",$H$4=#REF!),BDI!$B$17,IF(AND(#REF!="Padrão",$H$4=#REF!),BDI!#REF!,IF(AND(#REF!="Diferenciado",$H$4=#REF!),BDI!$E$17,IF(AND(#REF!="Diferenciado",$H$4=#REF!),BDI!#REF!,IF(#REF!="ZERO",0))))),"")</f>
        <v>#REF!</v>
      </c>
      <c r="H63" s="139" t="str">
        <f t="shared" si="1"/>
        <v/>
      </c>
      <c r="I63" s="137" t="str">
        <f t="shared" si="2"/>
        <v/>
      </c>
      <c r="J63" s="117"/>
      <c r="K63" s="116">
        <v>0</v>
      </c>
      <c r="M63" s="136" t="s">
        <v>416</v>
      </c>
      <c r="N63" t="e">
        <v>#REF!</v>
      </c>
      <c r="Q63" t="s">
        <v>416</v>
      </c>
    </row>
    <row r="64" spans="1:19" hidden="1" x14ac:dyDescent="0.25">
      <c r="A64" s="114" t="s">
        <v>1353</v>
      </c>
      <c r="B64" s="115" t="s">
        <v>1354</v>
      </c>
      <c r="C64" s="116" t="s">
        <v>16</v>
      </c>
      <c r="D64" s="116">
        <v>0</v>
      </c>
      <c r="E64" s="136" t="s">
        <v>416</v>
      </c>
      <c r="F64" s="137" t="str">
        <f t="shared" si="0"/>
        <v/>
      </c>
      <c r="G64" s="138" t="e">
        <f>IF(A64&lt;&gt;"",IF(AND(#REF!="Padrão",$H$4=#REF!),BDI!$B$17,IF(AND(#REF!="Padrão",$H$4=#REF!),BDI!#REF!,IF(AND(#REF!="Diferenciado",$H$4=#REF!),BDI!$E$17,IF(AND(#REF!="Diferenciado",$H$4=#REF!),BDI!#REF!,IF(#REF!="ZERO",0))))),"")</f>
        <v>#REF!</v>
      </c>
      <c r="H64" s="139" t="str">
        <f t="shared" si="1"/>
        <v/>
      </c>
      <c r="I64" s="137" t="str">
        <f t="shared" si="2"/>
        <v/>
      </c>
      <c r="J64" s="117"/>
      <c r="K64" s="116">
        <v>0</v>
      </c>
      <c r="M64" s="136" t="s">
        <v>416</v>
      </c>
      <c r="N64" t="e">
        <v>#REF!</v>
      </c>
      <c r="Q64" t="s">
        <v>416</v>
      </c>
    </row>
    <row r="65" spans="1:17" hidden="1" x14ac:dyDescent="0.25">
      <c r="A65" s="114" t="s">
        <v>1355</v>
      </c>
      <c r="B65" s="115" t="s">
        <v>1356</v>
      </c>
      <c r="C65" s="116" t="s">
        <v>16</v>
      </c>
      <c r="D65" s="116">
        <v>0</v>
      </c>
      <c r="E65" s="136" t="s">
        <v>416</v>
      </c>
      <c r="F65" s="137" t="str">
        <f t="shared" si="0"/>
        <v/>
      </c>
      <c r="G65" s="138" t="e">
        <f>IF(A65&lt;&gt;"",IF(AND(#REF!="Padrão",$H$4=#REF!),BDI!$B$17,IF(AND(#REF!="Padrão",$H$4=#REF!),BDI!#REF!,IF(AND(#REF!="Diferenciado",$H$4=#REF!),BDI!$E$17,IF(AND(#REF!="Diferenciado",$H$4=#REF!),BDI!#REF!,IF(#REF!="ZERO",0))))),"")</f>
        <v>#REF!</v>
      </c>
      <c r="H65" s="139" t="str">
        <f t="shared" si="1"/>
        <v/>
      </c>
      <c r="I65" s="137" t="str">
        <f t="shared" si="2"/>
        <v/>
      </c>
      <c r="J65" s="117"/>
      <c r="K65" s="116">
        <v>0</v>
      </c>
      <c r="M65" s="136" t="s">
        <v>416</v>
      </c>
      <c r="N65" t="e">
        <v>#REF!</v>
      </c>
      <c r="Q65" t="s">
        <v>416</v>
      </c>
    </row>
    <row r="66" spans="1:17" hidden="1" x14ac:dyDescent="0.25">
      <c r="A66" s="114" t="s">
        <v>1357</v>
      </c>
      <c r="B66" s="115" t="s">
        <v>1358</v>
      </c>
      <c r="C66" s="116" t="s">
        <v>16</v>
      </c>
      <c r="D66" s="116">
        <v>0</v>
      </c>
      <c r="E66" s="136" t="s">
        <v>416</v>
      </c>
      <c r="F66" s="137" t="str">
        <f t="shared" si="0"/>
        <v/>
      </c>
      <c r="G66" s="138" t="e">
        <f>IF(A66&lt;&gt;"",IF(AND(#REF!="Padrão",$H$4=#REF!),BDI!$B$17,IF(AND(#REF!="Padrão",$H$4=#REF!),BDI!#REF!,IF(AND(#REF!="Diferenciado",$H$4=#REF!),BDI!$E$17,IF(AND(#REF!="Diferenciado",$H$4=#REF!),BDI!#REF!,IF(#REF!="ZERO",0))))),"")</f>
        <v>#REF!</v>
      </c>
      <c r="H66" s="139" t="str">
        <f t="shared" si="1"/>
        <v/>
      </c>
      <c r="I66" s="137" t="str">
        <f t="shared" si="2"/>
        <v/>
      </c>
      <c r="J66" s="117"/>
      <c r="K66" s="116">
        <v>0</v>
      </c>
      <c r="M66" s="136" t="s">
        <v>416</v>
      </c>
      <c r="N66" t="e">
        <v>#REF!</v>
      </c>
      <c r="Q66" t="s">
        <v>416</v>
      </c>
    </row>
    <row r="67" spans="1:17" hidden="1" x14ac:dyDescent="0.25">
      <c r="A67" s="114" t="s">
        <v>1359</v>
      </c>
      <c r="B67" s="115" t="s">
        <v>1360</v>
      </c>
      <c r="C67" s="116" t="s">
        <v>16</v>
      </c>
      <c r="D67" s="116">
        <v>0</v>
      </c>
      <c r="E67" s="136" t="s">
        <v>416</v>
      </c>
      <c r="F67" s="137" t="str">
        <f t="shared" si="0"/>
        <v/>
      </c>
      <c r="G67" s="138" t="e">
        <f>IF(A67&lt;&gt;"",IF(AND(#REF!="Padrão",$H$4=#REF!),BDI!$B$17,IF(AND(#REF!="Padrão",$H$4=#REF!),BDI!#REF!,IF(AND(#REF!="Diferenciado",$H$4=#REF!),BDI!$E$17,IF(AND(#REF!="Diferenciado",$H$4=#REF!),BDI!#REF!,IF(#REF!="ZERO",0))))),"")</f>
        <v>#REF!</v>
      </c>
      <c r="H67" s="139" t="str">
        <f t="shared" si="1"/>
        <v/>
      </c>
      <c r="I67" s="137" t="str">
        <f t="shared" si="2"/>
        <v/>
      </c>
      <c r="J67" s="117"/>
      <c r="K67" s="116">
        <v>0</v>
      </c>
      <c r="M67" s="136" t="s">
        <v>416</v>
      </c>
      <c r="N67" t="e">
        <v>#REF!</v>
      </c>
      <c r="Q67" t="s">
        <v>416</v>
      </c>
    </row>
    <row r="68" spans="1:17" hidden="1" x14ac:dyDescent="0.25">
      <c r="A68" s="114" t="s">
        <v>1361</v>
      </c>
      <c r="B68" s="115" t="s">
        <v>1362</v>
      </c>
      <c r="C68" s="116" t="s">
        <v>1334</v>
      </c>
      <c r="D68" s="116">
        <v>0</v>
      </c>
      <c r="E68" s="136" t="s">
        <v>416</v>
      </c>
      <c r="F68" s="137" t="str">
        <f t="shared" si="0"/>
        <v/>
      </c>
      <c r="G68" s="138" t="e">
        <f>IF(A68&lt;&gt;"",IF(AND(#REF!="Padrão",$H$4=#REF!),BDI!$B$17,IF(AND(#REF!="Padrão",$H$4=#REF!),BDI!#REF!,IF(AND(#REF!="Diferenciado",$H$4=#REF!),BDI!$E$17,IF(AND(#REF!="Diferenciado",$H$4=#REF!),BDI!#REF!,IF(#REF!="ZERO",0))))),"")</f>
        <v>#REF!</v>
      </c>
      <c r="H68" s="139" t="str">
        <f t="shared" si="1"/>
        <v/>
      </c>
      <c r="I68" s="137" t="str">
        <f t="shared" si="2"/>
        <v/>
      </c>
      <c r="J68" s="117"/>
      <c r="K68" s="116">
        <v>0</v>
      </c>
      <c r="M68" s="136" t="s">
        <v>416</v>
      </c>
      <c r="N68" t="e">
        <v>#REF!</v>
      </c>
      <c r="Q68" t="s">
        <v>416</v>
      </c>
    </row>
    <row r="69" spans="1:17" hidden="1" x14ac:dyDescent="0.25">
      <c r="A69" s="114" t="s">
        <v>1363</v>
      </c>
      <c r="B69" s="115" t="s">
        <v>1364</v>
      </c>
      <c r="C69" s="116" t="s">
        <v>16</v>
      </c>
      <c r="D69" s="116">
        <v>0</v>
      </c>
      <c r="E69" s="136" t="s">
        <v>416</v>
      </c>
      <c r="F69" s="137" t="str">
        <f t="shared" si="0"/>
        <v/>
      </c>
      <c r="G69" s="138" t="e">
        <f>IF(A69&lt;&gt;"",IF(AND(#REF!="Padrão",$H$4=#REF!),BDI!$B$17,IF(AND(#REF!="Padrão",$H$4=#REF!),BDI!#REF!,IF(AND(#REF!="Diferenciado",$H$4=#REF!),BDI!$E$17,IF(AND(#REF!="Diferenciado",$H$4=#REF!),BDI!#REF!,IF(#REF!="ZERO",0))))),"")</f>
        <v>#REF!</v>
      </c>
      <c r="H69" s="139" t="str">
        <f t="shared" si="1"/>
        <v/>
      </c>
      <c r="I69" s="137" t="str">
        <f t="shared" si="2"/>
        <v/>
      </c>
      <c r="J69" s="117"/>
      <c r="K69" s="116">
        <v>0</v>
      </c>
      <c r="M69" s="136" t="s">
        <v>416</v>
      </c>
      <c r="N69" t="e">
        <v>#REF!</v>
      </c>
      <c r="Q69" t="s">
        <v>416</v>
      </c>
    </row>
    <row r="70" spans="1:17" hidden="1" x14ac:dyDescent="0.25">
      <c r="A70" s="114" t="s">
        <v>1365</v>
      </c>
      <c r="B70" s="115" t="s">
        <v>1366</v>
      </c>
      <c r="C70" s="116" t="s">
        <v>16</v>
      </c>
      <c r="D70" s="116">
        <v>0</v>
      </c>
      <c r="E70" s="136" t="s">
        <v>416</v>
      </c>
      <c r="F70" s="137" t="str">
        <f t="shared" si="0"/>
        <v/>
      </c>
      <c r="G70" s="138" t="e">
        <f>IF(A70&lt;&gt;"",IF(AND(#REF!="Padrão",$H$4=#REF!),BDI!$B$17,IF(AND(#REF!="Padrão",$H$4=#REF!),BDI!#REF!,IF(AND(#REF!="Diferenciado",$H$4=#REF!),BDI!$E$17,IF(AND(#REF!="Diferenciado",$H$4=#REF!),BDI!#REF!,IF(#REF!="ZERO",0))))),"")</f>
        <v>#REF!</v>
      </c>
      <c r="H70" s="139" t="str">
        <f t="shared" si="1"/>
        <v/>
      </c>
      <c r="I70" s="137" t="str">
        <f t="shared" si="2"/>
        <v/>
      </c>
      <c r="J70" s="117"/>
      <c r="K70" s="116">
        <v>0</v>
      </c>
      <c r="M70" s="136" t="s">
        <v>416</v>
      </c>
      <c r="N70" t="e">
        <v>#REF!</v>
      </c>
      <c r="Q70" t="s">
        <v>416</v>
      </c>
    </row>
    <row r="71" spans="1:17" hidden="1" x14ac:dyDescent="0.25">
      <c r="A71" s="114" t="s">
        <v>1367</v>
      </c>
      <c r="B71" s="115" t="s">
        <v>1368</v>
      </c>
      <c r="C71" s="116" t="s">
        <v>16</v>
      </c>
      <c r="D71" s="116">
        <v>0</v>
      </c>
      <c r="E71" s="136" t="s">
        <v>416</v>
      </c>
      <c r="F71" s="137" t="str">
        <f t="shared" ref="F71:F134" si="13">IF(ISNUMBER(E71),D71*E71,"")</f>
        <v/>
      </c>
      <c r="G71" s="138" t="e">
        <f>IF(A71&lt;&gt;"",IF(AND(#REF!="Padrão",$H$4=#REF!),BDI!$B$17,IF(AND(#REF!="Padrão",$H$4=#REF!),BDI!#REF!,IF(AND(#REF!="Diferenciado",$H$4=#REF!),BDI!$E$17,IF(AND(#REF!="Diferenciado",$H$4=#REF!),BDI!#REF!,IF(#REF!="ZERO",0))))),"")</f>
        <v>#REF!</v>
      </c>
      <c r="H71" s="139" t="str">
        <f t="shared" ref="H71:H134" si="14">IF(ISNUMBER(E71),ROUND(E71*(1+G71),2),"")</f>
        <v/>
      </c>
      <c r="I71" s="137" t="str">
        <f t="shared" ref="I71:I134" si="15">IF(ISNUMBER(E71),ROUND(H71*D71,2),"")</f>
        <v/>
      </c>
      <c r="J71" s="117"/>
      <c r="K71" s="116">
        <v>0</v>
      </c>
      <c r="M71" s="136" t="s">
        <v>416</v>
      </c>
      <c r="N71" t="e">
        <v>#REF!</v>
      </c>
      <c r="Q71" t="s">
        <v>416</v>
      </c>
    </row>
    <row r="72" spans="1:17" hidden="1" x14ac:dyDescent="0.25">
      <c r="A72" s="114" t="s">
        <v>1369</v>
      </c>
      <c r="B72" s="115" t="s">
        <v>1370</v>
      </c>
      <c r="C72" s="116" t="s">
        <v>1371</v>
      </c>
      <c r="D72" s="116">
        <v>0</v>
      </c>
      <c r="E72" s="136" t="s">
        <v>416</v>
      </c>
      <c r="F72" s="137" t="str">
        <f t="shared" si="13"/>
        <v/>
      </c>
      <c r="G72" s="138" t="e">
        <f>IF(A72&lt;&gt;"",IF(AND(#REF!="Padrão",$H$4=#REF!),BDI!$B$17,IF(AND(#REF!="Padrão",$H$4=#REF!),BDI!#REF!,IF(AND(#REF!="Diferenciado",$H$4=#REF!),BDI!$E$17,IF(AND(#REF!="Diferenciado",$H$4=#REF!),BDI!#REF!,IF(#REF!="ZERO",0))))),"")</f>
        <v>#REF!</v>
      </c>
      <c r="H72" s="139" t="str">
        <f t="shared" si="14"/>
        <v/>
      </c>
      <c r="I72" s="137" t="str">
        <f t="shared" si="15"/>
        <v/>
      </c>
      <c r="J72" s="117"/>
      <c r="K72" s="116">
        <v>0</v>
      </c>
      <c r="M72" s="136" t="s">
        <v>416</v>
      </c>
      <c r="N72" t="e">
        <v>#REF!</v>
      </c>
      <c r="Q72" t="s">
        <v>416</v>
      </c>
    </row>
    <row r="73" spans="1:17" hidden="1" x14ac:dyDescent="0.25">
      <c r="A73" s="114" t="s">
        <v>1372</v>
      </c>
      <c r="B73" s="115" t="s">
        <v>1373</v>
      </c>
      <c r="C73" s="116" t="s">
        <v>1336</v>
      </c>
      <c r="D73" s="116">
        <v>0</v>
      </c>
      <c r="E73" s="136" t="s">
        <v>416</v>
      </c>
      <c r="F73" s="137" t="str">
        <f t="shared" si="13"/>
        <v/>
      </c>
      <c r="G73" s="138" t="e">
        <f>IF(A73&lt;&gt;"",IF(AND(#REF!="Padrão",$H$4=#REF!),BDI!$B$17,IF(AND(#REF!="Padrão",$H$4=#REF!),BDI!#REF!,IF(AND(#REF!="Diferenciado",$H$4=#REF!),BDI!$E$17,IF(AND(#REF!="Diferenciado",$H$4=#REF!),BDI!#REF!,IF(#REF!="ZERO",0))))),"")</f>
        <v>#REF!</v>
      </c>
      <c r="H73" s="139" t="str">
        <f t="shared" si="14"/>
        <v/>
      </c>
      <c r="I73" s="137" t="str">
        <f t="shared" si="15"/>
        <v/>
      </c>
      <c r="J73" s="117"/>
      <c r="K73" s="116">
        <v>0</v>
      </c>
      <c r="M73" s="136" t="s">
        <v>416</v>
      </c>
      <c r="N73" t="e">
        <v>#REF!</v>
      </c>
      <c r="Q73" t="s">
        <v>416</v>
      </c>
    </row>
    <row r="74" spans="1:17" hidden="1" x14ac:dyDescent="0.25">
      <c r="A74" s="114" t="s">
        <v>1374</v>
      </c>
      <c r="B74" s="115" t="s">
        <v>5420</v>
      </c>
      <c r="C74" s="116" t="s">
        <v>16</v>
      </c>
      <c r="D74" s="116">
        <v>0</v>
      </c>
      <c r="E74" s="136" t="s">
        <v>416</v>
      </c>
      <c r="F74" s="137" t="str">
        <f t="shared" si="13"/>
        <v/>
      </c>
      <c r="G74" s="138" t="e">
        <f>IF(A74&lt;&gt;"",IF(AND(#REF!="Padrão",$H$4=#REF!),BDI!$B$17,IF(AND(#REF!="Padrão",$H$4=#REF!),BDI!#REF!,IF(AND(#REF!="Diferenciado",$H$4=#REF!),BDI!$E$17,IF(AND(#REF!="Diferenciado",$H$4=#REF!),BDI!#REF!,IF(#REF!="ZERO",0))))),"")</f>
        <v>#REF!</v>
      </c>
      <c r="H74" s="139" t="str">
        <f t="shared" si="14"/>
        <v/>
      </c>
      <c r="I74" s="137" t="str">
        <f t="shared" si="15"/>
        <v/>
      </c>
      <c r="J74" s="117"/>
      <c r="K74" s="116">
        <v>0</v>
      </c>
      <c r="M74" s="136" t="s">
        <v>416</v>
      </c>
      <c r="N74" t="e">
        <v>#REF!</v>
      </c>
      <c r="Q74" t="s">
        <v>416</v>
      </c>
    </row>
    <row r="75" spans="1:17" hidden="1" x14ac:dyDescent="0.25">
      <c r="A75" s="114" t="s">
        <v>71</v>
      </c>
      <c r="B75" s="115" t="s">
        <v>1375</v>
      </c>
      <c r="C75" s="116" t="s">
        <v>70</v>
      </c>
      <c r="D75" s="116">
        <v>0</v>
      </c>
      <c r="E75" s="136">
        <f ca="1">OFFSET(INDEX(Composições!A:J,MATCH(Orçamentária!A75,Composições!A:A,0),8),2,0)</f>
        <v>83.14817050000002</v>
      </c>
      <c r="F75" s="137">
        <f t="shared" ca="1" si="13"/>
        <v>0</v>
      </c>
      <c r="G75" s="138" t="e">
        <f>IF(A75&lt;&gt;"",IF(AND(#REF!="Padrão",$H$4=#REF!),BDI!$B$17,IF(AND(#REF!="Padrão",$H$4=#REF!),BDI!#REF!,IF(AND(#REF!="Diferenciado",$H$4=#REF!),BDI!$E$17,IF(AND(#REF!="Diferenciado",$H$4=#REF!),BDI!#REF!,IF(#REF!="ZERO",0))))),"")</f>
        <v>#REF!</v>
      </c>
      <c r="H75" s="139" t="e">
        <f t="shared" ca="1" si="14"/>
        <v>#REF!</v>
      </c>
      <c r="I75" s="137" t="e">
        <f t="shared" ca="1" si="15"/>
        <v>#REF!</v>
      </c>
      <c r="J75" s="117"/>
      <c r="K75" s="116">
        <v>0</v>
      </c>
      <c r="M75" s="136" t="e">
        <f ca="1">OFFSET(INDEX([1]Composições!I:R,MATCH([1]Orçamentária!I75,[1]Composições!I:I,0),8),2,0)</f>
        <v>#REF!</v>
      </c>
      <c r="N75" t="e">
        <v>#REF!</v>
      </c>
      <c r="Q75" t="e">
        <v>#REF!</v>
      </c>
    </row>
    <row r="76" spans="1:17" hidden="1" x14ac:dyDescent="0.25">
      <c r="A76" s="114" t="s">
        <v>1376</v>
      </c>
      <c r="B76" s="115" t="s">
        <v>1377</v>
      </c>
      <c r="C76" s="116" t="s">
        <v>16</v>
      </c>
      <c r="D76" s="116">
        <v>0</v>
      </c>
      <c r="E76" s="136" t="s">
        <v>416</v>
      </c>
      <c r="F76" s="137" t="str">
        <f t="shared" si="13"/>
        <v/>
      </c>
      <c r="G76" s="138" t="e">
        <f>IF(A76&lt;&gt;"",IF(AND(#REF!="Padrão",$H$4=#REF!),BDI!$B$17,IF(AND(#REF!="Padrão",$H$4=#REF!),BDI!#REF!,IF(AND(#REF!="Diferenciado",$H$4=#REF!),BDI!$E$17,IF(AND(#REF!="Diferenciado",$H$4=#REF!),BDI!#REF!,IF(#REF!="ZERO",0))))),"")</f>
        <v>#REF!</v>
      </c>
      <c r="H76" s="139" t="str">
        <f t="shared" si="14"/>
        <v/>
      </c>
      <c r="I76" s="137" t="str">
        <f t="shared" si="15"/>
        <v/>
      </c>
      <c r="J76" s="117"/>
      <c r="K76" s="116">
        <v>0</v>
      </c>
      <c r="M76" s="136" t="s">
        <v>416</v>
      </c>
      <c r="N76" t="e">
        <v>#REF!</v>
      </c>
      <c r="Q76" t="s">
        <v>416</v>
      </c>
    </row>
    <row r="77" spans="1:17" hidden="1" x14ac:dyDescent="0.25">
      <c r="A77" s="114" t="s">
        <v>1378</v>
      </c>
      <c r="B77" s="115" t="s">
        <v>1379</v>
      </c>
      <c r="C77" s="116" t="s">
        <v>16</v>
      </c>
      <c r="D77" s="116">
        <v>0</v>
      </c>
      <c r="E77" s="136" t="s">
        <v>416</v>
      </c>
      <c r="F77" s="137" t="str">
        <f t="shared" si="13"/>
        <v/>
      </c>
      <c r="G77" s="138" t="e">
        <f>IF(A77&lt;&gt;"",IF(AND(#REF!="Padrão",$H$4=#REF!),BDI!$B$17,IF(AND(#REF!="Padrão",$H$4=#REF!),BDI!#REF!,IF(AND(#REF!="Diferenciado",$H$4=#REF!),BDI!$E$17,IF(AND(#REF!="Diferenciado",$H$4=#REF!),BDI!#REF!,IF(#REF!="ZERO",0))))),"")</f>
        <v>#REF!</v>
      </c>
      <c r="H77" s="139" t="str">
        <f t="shared" si="14"/>
        <v/>
      </c>
      <c r="I77" s="137" t="str">
        <f t="shared" si="15"/>
        <v/>
      </c>
      <c r="J77" s="117"/>
      <c r="K77" s="116">
        <v>0</v>
      </c>
      <c r="M77" s="136" t="s">
        <v>416</v>
      </c>
      <c r="N77" t="e">
        <v>#REF!</v>
      </c>
      <c r="Q77" t="s">
        <v>416</v>
      </c>
    </row>
    <row r="78" spans="1:17" hidden="1" x14ac:dyDescent="0.25">
      <c r="A78" s="114" t="s">
        <v>77</v>
      </c>
      <c r="B78" s="115" t="s">
        <v>5495</v>
      </c>
      <c r="C78" s="116" t="s">
        <v>70</v>
      </c>
      <c r="D78" s="116">
        <v>0</v>
      </c>
      <c r="E78" s="136">
        <f ca="1">OFFSET(INDEX(Composições!A:J,MATCH(Orçamentária!A78,Composições!A:A,0),8),2,0)</f>
        <v>2.467511</v>
      </c>
      <c r="F78" s="137">
        <f t="shared" ca="1" si="13"/>
        <v>0</v>
      </c>
      <c r="G78" s="138" t="e">
        <f>IF(A78&lt;&gt;"",IF(AND(#REF!="Padrão",$H$4=#REF!),BDI!$B$17,IF(AND(#REF!="Padrão",$H$4=#REF!),BDI!#REF!,IF(AND(#REF!="Diferenciado",$H$4=#REF!),BDI!$E$17,IF(AND(#REF!="Diferenciado",$H$4=#REF!),BDI!#REF!,IF(#REF!="ZERO",0))))),"")</f>
        <v>#REF!</v>
      </c>
      <c r="H78" s="139" t="e">
        <f t="shared" ca="1" si="14"/>
        <v>#REF!</v>
      </c>
      <c r="I78" s="137" t="e">
        <f t="shared" ca="1" si="15"/>
        <v>#REF!</v>
      </c>
      <c r="J78" s="117"/>
      <c r="K78" s="116">
        <v>0</v>
      </c>
      <c r="M78" s="136" t="e">
        <f ca="1">OFFSET(INDEX([1]Composições!I:R,MATCH([1]Orçamentária!I78,[1]Composições!I:I,0),8),2,0)</f>
        <v>#REF!</v>
      </c>
      <c r="N78" t="e">
        <v>#REF!</v>
      </c>
      <c r="Q78" t="e">
        <v>#REF!</v>
      </c>
    </row>
    <row r="79" spans="1:17" hidden="1" x14ac:dyDescent="0.25">
      <c r="A79" s="114" t="s">
        <v>78</v>
      </c>
      <c r="B79" s="115" t="s">
        <v>1380</v>
      </c>
      <c r="C79" s="116" t="s">
        <v>69</v>
      </c>
      <c r="D79" s="116">
        <v>0</v>
      </c>
      <c r="E79" s="136">
        <f ca="1">OFFSET(INDEX(Composições!A:J,MATCH(Orçamentária!A79,Composições!A:A,0),8),2,0)</f>
        <v>20.663349636765499</v>
      </c>
      <c r="F79" s="137">
        <f t="shared" ca="1" si="13"/>
        <v>0</v>
      </c>
      <c r="G79" s="138" t="e">
        <f>IF(A79&lt;&gt;"",IF(AND(#REF!="Padrão",$H$4=#REF!),BDI!$B$17,IF(AND(#REF!="Padrão",$H$4=#REF!),BDI!#REF!,IF(AND(#REF!="Diferenciado",$H$4=#REF!),BDI!$E$17,IF(AND(#REF!="Diferenciado",$H$4=#REF!),BDI!#REF!,IF(#REF!="ZERO",0))))),"")</f>
        <v>#REF!</v>
      </c>
      <c r="H79" s="139" t="e">
        <f t="shared" ca="1" si="14"/>
        <v>#REF!</v>
      </c>
      <c r="I79" s="137" t="e">
        <f t="shared" ca="1" si="15"/>
        <v>#REF!</v>
      </c>
      <c r="J79" s="117"/>
      <c r="K79" s="116">
        <v>0</v>
      </c>
      <c r="M79" s="136" t="e">
        <f ca="1">OFFSET(INDEX([1]Composições!I:R,MATCH([1]Orçamentária!I79,[1]Composições!I:I,0),8),2,0)</f>
        <v>#REF!</v>
      </c>
      <c r="N79" t="e">
        <v>#REF!</v>
      </c>
      <c r="Q79" t="e">
        <v>#REF!</v>
      </c>
    </row>
    <row r="80" spans="1:17" hidden="1" x14ac:dyDescent="0.25">
      <c r="A80" s="114" t="s">
        <v>81</v>
      </c>
      <c r="B80" s="115" t="s">
        <v>7548</v>
      </c>
      <c r="C80" s="116" t="s">
        <v>16</v>
      </c>
      <c r="D80" s="116">
        <v>0</v>
      </c>
      <c r="E80" s="136">
        <f ca="1">OFFSET(INDEX(Composições!A:J,MATCH(Orçamentária!A80,Composições!A:A,0),8),2,0)</f>
        <v>100.656927</v>
      </c>
      <c r="F80" s="137">
        <f t="shared" ca="1" si="13"/>
        <v>0</v>
      </c>
      <c r="G80" s="138" t="e">
        <f>IF(A80&lt;&gt;"",IF(AND(#REF!="Padrão",$H$4=#REF!),BDI!$B$17,IF(AND(#REF!="Padrão",$H$4=#REF!),BDI!#REF!,IF(AND(#REF!="Diferenciado",$H$4=#REF!),BDI!$E$17,IF(AND(#REF!="Diferenciado",$H$4=#REF!),BDI!#REF!,IF(#REF!="ZERO",0))))),"")</f>
        <v>#REF!</v>
      </c>
      <c r="H80" s="139" t="e">
        <f t="shared" ca="1" si="14"/>
        <v>#REF!</v>
      </c>
      <c r="I80" s="137" t="e">
        <f t="shared" ca="1" si="15"/>
        <v>#REF!</v>
      </c>
      <c r="J80" s="117"/>
      <c r="K80" s="116">
        <v>0</v>
      </c>
      <c r="M80" s="136" t="e">
        <f ca="1">OFFSET(INDEX([1]Composições!I:R,MATCH([1]Orçamentária!I80,[1]Composições!I:I,0),8),2,0)</f>
        <v>#REF!</v>
      </c>
      <c r="N80" t="e">
        <v>#REF!</v>
      </c>
      <c r="Q80" t="e">
        <v>#REF!</v>
      </c>
    </row>
    <row r="81" spans="1:17" hidden="1" x14ac:dyDescent="0.25">
      <c r="A81" s="114" t="s">
        <v>82</v>
      </c>
      <c r="B81" s="115" t="s">
        <v>7549</v>
      </c>
      <c r="C81" s="116" t="s">
        <v>16</v>
      </c>
      <c r="D81" s="116">
        <v>0</v>
      </c>
      <c r="E81" s="136">
        <f ca="1">OFFSET(INDEX(Composições!A:J,MATCH(Orçamentária!A81,Composições!A:A,0),8),2,0)</f>
        <v>128.56084949999999</v>
      </c>
      <c r="F81" s="137">
        <f t="shared" ca="1" si="13"/>
        <v>0</v>
      </c>
      <c r="G81" s="138" t="e">
        <f>IF(A81&lt;&gt;"",IF(AND(#REF!="Padrão",$H$4=#REF!),BDI!$B$17,IF(AND(#REF!="Padrão",$H$4=#REF!),BDI!#REF!,IF(AND(#REF!="Diferenciado",$H$4=#REF!),BDI!$E$17,IF(AND(#REF!="Diferenciado",$H$4=#REF!),BDI!#REF!,IF(#REF!="ZERO",0))))),"")</f>
        <v>#REF!</v>
      </c>
      <c r="H81" s="139" t="e">
        <f t="shared" ca="1" si="14"/>
        <v>#REF!</v>
      </c>
      <c r="I81" s="137" t="e">
        <f t="shared" ca="1" si="15"/>
        <v>#REF!</v>
      </c>
      <c r="J81" s="117"/>
      <c r="K81" s="116">
        <v>0</v>
      </c>
      <c r="M81" s="136" t="e">
        <f ca="1">OFFSET(INDEX([1]Composições!I:R,MATCH([1]Orçamentária!I81,[1]Composições!I:I,0),8),2,0)</f>
        <v>#REF!</v>
      </c>
      <c r="N81" t="e">
        <v>#REF!</v>
      </c>
      <c r="Q81" t="e">
        <v>#REF!</v>
      </c>
    </row>
    <row r="82" spans="1:17" hidden="1" x14ac:dyDescent="0.25">
      <c r="A82" s="114" t="s">
        <v>83</v>
      </c>
      <c r="B82" s="115" t="s">
        <v>1381</v>
      </c>
      <c r="C82" s="116" t="s">
        <v>80</v>
      </c>
      <c r="D82" s="116">
        <v>0</v>
      </c>
      <c r="E82" s="136">
        <f ca="1">OFFSET(INDEX(Composições!A:J,MATCH(Orçamentária!A82,Composições!A:A,0),8),2,0)</f>
        <v>881.20200397747999</v>
      </c>
      <c r="F82" s="137">
        <f t="shared" ca="1" si="13"/>
        <v>0</v>
      </c>
      <c r="G82" s="138" t="e">
        <f>IF(A82&lt;&gt;"",IF(AND(#REF!="Padrão",$H$4=#REF!),BDI!$B$17,IF(AND(#REF!="Padrão",$H$4=#REF!),BDI!#REF!,IF(AND(#REF!="Diferenciado",$H$4=#REF!),BDI!$E$17,IF(AND(#REF!="Diferenciado",$H$4=#REF!),BDI!#REF!,IF(#REF!="ZERO",0))))),"")</f>
        <v>#REF!</v>
      </c>
      <c r="H82" s="139" t="e">
        <f t="shared" ca="1" si="14"/>
        <v>#REF!</v>
      </c>
      <c r="I82" s="137" t="e">
        <f t="shared" ca="1" si="15"/>
        <v>#REF!</v>
      </c>
      <c r="J82" s="117"/>
      <c r="K82" s="116">
        <v>0</v>
      </c>
      <c r="M82" s="136" t="e">
        <f ca="1">OFFSET(INDEX([1]Composições!I:R,MATCH([1]Orçamentária!I82,[1]Composições!I:I,0),8),2,0)</f>
        <v>#REF!</v>
      </c>
      <c r="N82" t="e">
        <v>#REF!</v>
      </c>
      <c r="Q82" t="e">
        <v>#REF!</v>
      </c>
    </row>
    <row r="83" spans="1:17" hidden="1" x14ac:dyDescent="0.25">
      <c r="A83" s="114" t="s">
        <v>91</v>
      </c>
      <c r="B83" s="115" t="s">
        <v>7550</v>
      </c>
      <c r="C83" s="116" t="s">
        <v>80</v>
      </c>
      <c r="D83" s="116">
        <v>0</v>
      </c>
      <c r="E83" s="136">
        <f ca="1">OFFSET(INDEX(Composições!A:J,MATCH(Orçamentária!A83,Composições!A:A,0),8),2,0)</f>
        <v>920.49739506213996</v>
      </c>
      <c r="F83" s="137">
        <f t="shared" ca="1" si="13"/>
        <v>0</v>
      </c>
      <c r="G83" s="138" t="e">
        <f>IF(A83&lt;&gt;"",IF(AND(#REF!="Padrão",$H$4=#REF!),BDI!$B$17,IF(AND(#REF!="Padrão",$H$4=#REF!),BDI!#REF!,IF(AND(#REF!="Diferenciado",$H$4=#REF!),BDI!$E$17,IF(AND(#REF!="Diferenciado",$H$4=#REF!),BDI!#REF!,IF(#REF!="ZERO",0))))),"")</f>
        <v>#REF!</v>
      </c>
      <c r="H83" s="139" t="e">
        <f t="shared" ca="1" si="14"/>
        <v>#REF!</v>
      </c>
      <c r="I83" s="137" t="e">
        <f t="shared" ca="1" si="15"/>
        <v>#REF!</v>
      </c>
      <c r="J83" s="117"/>
      <c r="K83" s="116">
        <v>0</v>
      </c>
      <c r="M83" s="136" t="e">
        <f ca="1">OFFSET(INDEX([1]Composições!I:R,MATCH([1]Orçamentária!I83,[1]Composições!I:I,0),8),2,0)</f>
        <v>#REF!</v>
      </c>
      <c r="N83" t="e">
        <v>#REF!</v>
      </c>
      <c r="Q83" t="e">
        <v>#REF!</v>
      </c>
    </row>
    <row r="84" spans="1:17" hidden="1" x14ac:dyDescent="0.25">
      <c r="A84" s="114" t="s">
        <v>92</v>
      </c>
      <c r="B84" s="115" t="s">
        <v>1382</v>
      </c>
      <c r="C84" s="116" t="s">
        <v>1334</v>
      </c>
      <c r="D84" s="116">
        <v>0</v>
      </c>
      <c r="E84" s="136">
        <f ca="1">OFFSET(INDEX(Composições!A:J,MATCH(Orçamentária!A84,Composições!A:A,0),8),2,0)</f>
        <v>20.672000000000001</v>
      </c>
      <c r="F84" s="137">
        <f t="shared" ca="1" si="13"/>
        <v>0</v>
      </c>
      <c r="G84" s="138" t="e">
        <f>IF(A84&lt;&gt;"",IF(AND(#REF!="Padrão",$H$4=#REF!),BDI!$B$17,IF(AND(#REF!="Padrão",$H$4=#REF!),BDI!#REF!,IF(AND(#REF!="Diferenciado",$H$4=#REF!),BDI!$E$17,IF(AND(#REF!="Diferenciado",$H$4=#REF!),BDI!#REF!,IF(#REF!="ZERO",0))))),"")</f>
        <v>#REF!</v>
      </c>
      <c r="H84" s="139" t="e">
        <f t="shared" ca="1" si="14"/>
        <v>#REF!</v>
      </c>
      <c r="I84" s="137" t="e">
        <f t="shared" ca="1" si="15"/>
        <v>#REF!</v>
      </c>
      <c r="J84" s="117"/>
      <c r="K84" s="116">
        <v>0</v>
      </c>
      <c r="M84" s="136" t="e">
        <f ca="1">OFFSET(INDEX([1]Composições!I:R,MATCH([1]Orçamentária!I84,[1]Composições!I:I,0),8),2,0)</f>
        <v>#REF!</v>
      </c>
      <c r="N84" t="e">
        <v>#REF!</v>
      </c>
      <c r="Q84" t="e">
        <v>#REF!</v>
      </c>
    </row>
    <row r="85" spans="1:17" hidden="1" x14ac:dyDescent="0.25">
      <c r="A85" s="114" t="s">
        <v>94</v>
      </c>
      <c r="B85" s="115" t="s">
        <v>1383</v>
      </c>
      <c r="C85" s="116" t="s">
        <v>28</v>
      </c>
      <c r="D85" s="116">
        <v>0</v>
      </c>
      <c r="E85" s="136">
        <f ca="1">OFFSET(INDEX(Composições!A:J,MATCH(Orçamentária!A85,Composições!A:A,0),8),2,0)</f>
        <v>15.324924999999997</v>
      </c>
      <c r="F85" s="137">
        <f t="shared" ca="1" si="13"/>
        <v>0</v>
      </c>
      <c r="G85" s="138" t="e">
        <f>IF(A85&lt;&gt;"",IF(AND(#REF!="Padrão",$H$4=#REF!),BDI!$B$17,IF(AND(#REF!="Padrão",$H$4=#REF!),BDI!#REF!,IF(AND(#REF!="Diferenciado",$H$4=#REF!),BDI!$E$17,IF(AND(#REF!="Diferenciado",$H$4=#REF!),BDI!#REF!,IF(#REF!="ZERO",0))))),"")</f>
        <v>#REF!</v>
      </c>
      <c r="H85" s="139" t="e">
        <f t="shared" ca="1" si="14"/>
        <v>#REF!</v>
      </c>
      <c r="I85" s="137" t="e">
        <f t="shared" ca="1" si="15"/>
        <v>#REF!</v>
      </c>
      <c r="J85" s="117"/>
      <c r="K85" s="116">
        <v>0</v>
      </c>
      <c r="M85" s="136" t="e">
        <f ca="1">OFFSET(INDEX([1]Composições!I:R,MATCH([1]Orçamentária!I85,[1]Composições!I:I,0),8),2,0)</f>
        <v>#REF!</v>
      </c>
      <c r="N85" t="e">
        <v>#REF!</v>
      </c>
      <c r="Q85" t="e">
        <v>#REF!</v>
      </c>
    </row>
    <row r="86" spans="1:17" hidden="1" x14ac:dyDescent="0.25">
      <c r="A86" s="114" t="s">
        <v>104</v>
      </c>
      <c r="B86" s="115" t="s">
        <v>1384</v>
      </c>
      <c r="C86" s="116" t="s">
        <v>70</v>
      </c>
      <c r="D86" s="116">
        <v>0</v>
      </c>
      <c r="E86" s="136">
        <f ca="1">OFFSET(INDEX(Composições!A:J,MATCH(Orçamentária!A86,Composições!A:A,0),8),2,0)</f>
        <v>193.04211718899998</v>
      </c>
      <c r="F86" s="137">
        <f t="shared" ca="1" si="13"/>
        <v>0</v>
      </c>
      <c r="G86" s="138" t="e">
        <f>IF(A86&lt;&gt;"",IF(AND(#REF!="Padrão",$H$4=#REF!),BDI!$B$17,IF(AND(#REF!="Padrão",$H$4=#REF!),BDI!#REF!,IF(AND(#REF!="Diferenciado",$H$4=#REF!),BDI!$E$17,IF(AND(#REF!="Diferenciado",$H$4=#REF!),BDI!#REF!,IF(#REF!="ZERO",0))))),"")</f>
        <v>#REF!</v>
      </c>
      <c r="H86" s="139" t="e">
        <f t="shared" ca="1" si="14"/>
        <v>#REF!</v>
      </c>
      <c r="I86" s="137" t="e">
        <f t="shared" ca="1" si="15"/>
        <v>#REF!</v>
      </c>
      <c r="J86" s="117"/>
      <c r="K86" s="116">
        <v>0</v>
      </c>
      <c r="M86" s="136" t="e">
        <f ca="1">OFFSET(INDEX([1]Composições!I:R,MATCH([1]Orçamentária!I86,[1]Composições!I:I,0),8),2,0)</f>
        <v>#REF!</v>
      </c>
      <c r="N86" t="e">
        <v>#REF!</v>
      </c>
      <c r="Q86" t="e">
        <v>#REF!</v>
      </c>
    </row>
    <row r="87" spans="1:17" hidden="1" x14ac:dyDescent="0.25">
      <c r="A87" s="114" t="s">
        <v>105</v>
      </c>
      <c r="B87" s="115" t="s">
        <v>1385</v>
      </c>
      <c r="C87" s="116" t="s">
        <v>69</v>
      </c>
      <c r="D87" s="116">
        <v>0</v>
      </c>
      <c r="E87" s="136">
        <f ca="1">OFFSET(INDEX(Composições!A:J,MATCH(Orçamentária!A87,Composições!A:A,0),8),2,0)</f>
        <v>27.234093155999997</v>
      </c>
      <c r="F87" s="137">
        <f t="shared" ca="1" si="13"/>
        <v>0</v>
      </c>
      <c r="G87" s="138" t="e">
        <f>IF(A87&lt;&gt;"",IF(AND(#REF!="Padrão",$H$4=#REF!),BDI!$B$17,IF(AND(#REF!="Padrão",$H$4=#REF!),BDI!#REF!,IF(AND(#REF!="Diferenciado",$H$4=#REF!),BDI!$E$17,IF(AND(#REF!="Diferenciado",$H$4=#REF!),BDI!#REF!,IF(#REF!="ZERO",0))))),"")</f>
        <v>#REF!</v>
      </c>
      <c r="H87" s="139" t="e">
        <f t="shared" ca="1" si="14"/>
        <v>#REF!</v>
      </c>
      <c r="I87" s="137" t="e">
        <f t="shared" ca="1" si="15"/>
        <v>#REF!</v>
      </c>
      <c r="J87" s="117"/>
      <c r="K87" s="116">
        <v>0</v>
      </c>
      <c r="M87" s="136" t="e">
        <f ca="1">OFFSET(INDEX([1]Composições!I:R,MATCH([1]Orçamentária!I87,[1]Composições!I:I,0),8),2,0)</f>
        <v>#REF!</v>
      </c>
      <c r="N87" t="e">
        <v>#REF!</v>
      </c>
      <c r="Q87" t="e">
        <v>#REF!</v>
      </c>
    </row>
    <row r="88" spans="1:17" hidden="1" x14ac:dyDescent="0.25">
      <c r="A88" s="114" t="s">
        <v>108</v>
      </c>
      <c r="B88" s="115" t="s">
        <v>1386</v>
      </c>
      <c r="C88" s="116" t="s">
        <v>70</v>
      </c>
      <c r="D88" s="116">
        <v>0</v>
      </c>
      <c r="E88" s="136">
        <f ca="1">OFFSET(INDEX(Composições!A:J,MATCH(Orçamentária!A88,Composições!A:A,0),8),2,0)</f>
        <v>28.850929999999998</v>
      </c>
      <c r="F88" s="137">
        <f t="shared" ca="1" si="13"/>
        <v>0</v>
      </c>
      <c r="G88" s="138" t="e">
        <f>IF(A88&lt;&gt;"",IF(AND(#REF!="Padrão",$H$4=#REF!),BDI!$B$17,IF(AND(#REF!="Padrão",$H$4=#REF!),BDI!#REF!,IF(AND(#REF!="Diferenciado",$H$4=#REF!),BDI!$E$17,IF(AND(#REF!="Diferenciado",$H$4=#REF!),BDI!#REF!,IF(#REF!="ZERO",0))))),"")</f>
        <v>#REF!</v>
      </c>
      <c r="H88" s="139" t="e">
        <f t="shared" ca="1" si="14"/>
        <v>#REF!</v>
      </c>
      <c r="I88" s="137" t="e">
        <f t="shared" ca="1" si="15"/>
        <v>#REF!</v>
      </c>
      <c r="J88" s="117"/>
      <c r="K88" s="116">
        <v>0</v>
      </c>
      <c r="M88" s="136" t="e">
        <f ca="1">OFFSET(INDEX([1]Composições!I:R,MATCH([1]Orçamentária!I88,[1]Composições!I:I,0),8),2,0)</f>
        <v>#REF!</v>
      </c>
      <c r="N88" t="e">
        <v>#REF!</v>
      </c>
      <c r="Q88" t="e">
        <v>#REF!</v>
      </c>
    </row>
    <row r="89" spans="1:17" hidden="1" x14ac:dyDescent="0.25">
      <c r="A89" s="114" t="s">
        <v>109</v>
      </c>
      <c r="B89" s="115" t="s">
        <v>1387</v>
      </c>
      <c r="C89" s="116" t="s">
        <v>70</v>
      </c>
      <c r="D89" s="116">
        <v>0</v>
      </c>
      <c r="E89" s="136">
        <f ca="1">OFFSET(INDEX(Composições!A:J,MATCH(Orçamentária!A89,Composições!A:A,0),8),2,0)</f>
        <v>86.719148344805788</v>
      </c>
      <c r="F89" s="137">
        <f t="shared" ca="1" si="13"/>
        <v>0</v>
      </c>
      <c r="G89" s="138" t="e">
        <f>IF(A89&lt;&gt;"",IF(AND(#REF!="Padrão",$H$4=#REF!),BDI!$B$17,IF(AND(#REF!="Padrão",$H$4=#REF!),BDI!#REF!,IF(AND(#REF!="Diferenciado",$H$4=#REF!),BDI!$E$17,IF(AND(#REF!="Diferenciado",$H$4=#REF!),BDI!#REF!,IF(#REF!="ZERO",0))))),"")</f>
        <v>#REF!</v>
      </c>
      <c r="H89" s="139" t="e">
        <f t="shared" ca="1" si="14"/>
        <v>#REF!</v>
      </c>
      <c r="I89" s="137" t="e">
        <f t="shared" ca="1" si="15"/>
        <v>#REF!</v>
      </c>
      <c r="J89" s="117"/>
      <c r="K89" s="116">
        <v>0</v>
      </c>
      <c r="M89" s="136" t="e">
        <f ca="1">OFFSET(INDEX([1]Composições!I:R,MATCH([1]Orçamentária!I89,[1]Composições!I:I,0),8),2,0)</f>
        <v>#REF!</v>
      </c>
      <c r="N89" t="e">
        <v>#REF!</v>
      </c>
      <c r="Q89" t="e">
        <v>#REF!</v>
      </c>
    </row>
    <row r="90" spans="1:17" hidden="1" x14ac:dyDescent="0.25">
      <c r="A90" s="114" t="s">
        <v>111</v>
      </c>
      <c r="B90" s="115" t="s">
        <v>1388</v>
      </c>
      <c r="C90" s="116" t="s">
        <v>70</v>
      </c>
      <c r="D90" s="116">
        <v>0</v>
      </c>
      <c r="E90" s="136">
        <f ca="1">OFFSET(INDEX(Composições!A:J,MATCH(Orçamentária!A90,Composições!A:A,0),8),2,0)</f>
        <v>57.077645399999994</v>
      </c>
      <c r="F90" s="137">
        <f t="shared" ca="1" si="13"/>
        <v>0</v>
      </c>
      <c r="G90" s="138" t="e">
        <f>IF(A90&lt;&gt;"",IF(AND(#REF!="Padrão",$H$4=#REF!),BDI!$B$17,IF(AND(#REF!="Padrão",$H$4=#REF!),BDI!#REF!,IF(AND(#REF!="Diferenciado",$H$4=#REF!),BDI!$E$17,IF(AND(#REF!="Diferenciado",$H$4=#REF!),BDI!#REF!,IF(#REF!="ZERO",0))))),"")</f>
        <v>#REF!</v>
      </c>
      <c r="H90" s="139" t="e">
        <f t="shared" ca="1" si="14"/>
        <v>#REF!</v>
      </c>
      <c r="I90" s="137" t="e">
        <f t="shared" ca="1" si="15"/>
        <v>#REF!</v>
      </c>
      <c r="J90" s="117"/>
      <c r="K90" s="116">
        <v>0</v>
      </c>
      <c r="M90" s="136" t="e">
        <f ca="1">OFFSET(INDEX([1]Composições!I:R,MATCH([1]Orçamentária!I90,[1]Composições!I:I,0),8),2,0)</f>
        <v>#REF!</v>
      </c>
      <c r="N90" t="e">
        <v>#REF!</v>
      </c>
      <c r="Q90" t="e">
        <v>#REF!</v>
      </c>
    </row>
    <row r="91" spans="1:17" hidden="1" x14ac:dyDescent="0.25">
      <c r="A91" s="114" t="s">
        <v>112</v>
      </c>
      <c r="B91" s="115" t="s">
        <v>1389</v>
      </c>
      <c r="C91" s="116" t="s">
        <v>69</v>
      </c>
      <c r="D91" s="116">
        <v>0</v>
      </c>
      <c r="E91" s="136">
        <f ca="1">OFFSET(INDEX(Composições!A:J,MATCH(Orçamentária!A91,Composições!A:A,0),8),2,0)</f>
        <v>26.602964775374797</v>
      </c>
      <c r="F91" s="137">
        <f t="shared" ca="1" si="13"/>
        <v>0</v>
      </c>
      <c r="G91" s="138" t="e">
        <f>IF(A91&lt;&gt;"",IF(AND(#REF!="Padrão",$H$4=#REF!),BDI!$B$17,IF(AND(#REF!="Padrão",$H$4=#REF!),BDI!#REF!,IF(AND(#REF!="Diferenciado",$H$4=#REF!),BDI!$E$17,IF(AND(#REF!="Diferenciado",$H$4=#REF!),BDI!#REF!,IF(#REF!="ZERO",0))))),"")</f>
        <v>#REF!</v>
      </c>
      <c r="H91" s="139" t="e">
        <f t="shared" ca="1" si="14"/>
        <v>#REF!</v>
      </c>
      <c r="I91" s="137" t="e">
        <f t="shared" ca="1" si="15"/>
        <v>#REF!</v>
      </c>
      <c r="J91" s="117"/>
      <c r="K91" s="116">
        <v>0</v>
      </c>
      <c r="M91" s="136" t="e">
        <f ca="1">OFFSET(INDEX([1]Composições!I:R,MATCH([1]Orçamentária!I91,[1]Composições!I:I,0),8),2,0)</f>
        <v>#REF!</v>
      </c>
      <c r="N91" t="e">
        <v>#REF!</v>
      </c>
      <c r="Q91" t="e">
        <v>#REF!</v>
      </c>
    </row>
    <row r="92" spans="1:17" hidden="1" x14ac:dyDescent="0.25">
      <c r="A92" s="114" t="s">
        <v>114</v>
      </c>
      <c r="B92" s="115" t="s">
        <v>1390</v>
      </c>
      <c r="C92" s="116" t="s">
        <v>70</v>
      </c>
      <c r="D92" s="116">
        <v>0</v>
      </c>
      <c r="E92" s="136">
        <f ca="1">OFFSET(INDEX(Composições!A:J,MATCH(Orçamentária!A92,Composições!A:A,0),8),2,0)</f>
        <v>83.216490700000008</v>
      </c>
      <c r="F92" s="137">
        <f t="shared" ca="1" si="13"/>
        <v>0</v>
      </c>
      <c r="G92" s="138" t="e">
        <f>IF(A92&lt;&gt;"",IF(AND(#REF!="Padrão",$H$4=#REF!),BDI!$B$17,IF(AND(#REF!="Padrão",$H$4=#REF!),BDI!#REF!,IF(AND(#REF!="Diferenciado",$H$4=#REF!),BDI!$E$17,IF(AND(#REF!="Diferenciado",$H$4=#REF!),BDI!#REF!,IF(#REF!="ZERO",0))))),"")</f>
        <v>#REF!</v>
      </c>
      <c r="H92" s="139" t="e">
        <f t="shared" ca="1" si="14"/>
        <v>#REF!</v>
      </c>
      <c r="I92" s="137" t="e">
        <f t="shared" ca="1" si="15"/>
        <v>#REF!</v>
      </c>
      <c r="J92" s="117"/>
      <c r="K92" s="116">
        <v>0</v>
      </c>
      <c r="M92" s="136" t="e">
        <f ca="1">OFFSET(INDEX([1]Composições!I:R,MATCH([1]Orçamentária!I92,[1]Composições!I:I,0),8),2,0)</f>
        <v>#REF!</v>
      </c>
      <c r="N92" t="e">
        <v>#REF!</v>
      </c>
      <c r="Q92" t="e">
        <v>#REF!</v>
      </c>
    </row>
    <row r="93" spans="1:17" hidden="1" x14ac:dyDescent="0.25">
      <c r="A93" s="114" t="s">
        <v>115</v>
      </c>
      <c r="B93" s="115" t="s">
        <v>1391</v>
      </c>
      <c r="C93" s="116" t="s">
        <v>70</v>
      </c>
      <c r="D93" s="116">
        <v>0</v>
      </c>
      <c r="E93" s="136">
        <f ca="1">OFFSET(INDEX(Composições!A:J,MATCH(Orçamentária!A93,Composições!A:A,0),8),2,0)</f>
        <v>5.7121343499999986</v>
      </c>
      <c r="F93" s="137">
        <f t="shared" ca="1" si="13"/>
        <v>0</v>
      </c>
      <c r="G93" s="138" t="e">
        <f>IF(A93&lt;&gt;"",IF(AND(#REF!="Padrão",$H$4=#REF!),BDI!$B$17,IF(AND(#REF!="Padrão",$H$4=#REF!),BDI!#REF!,IF(AND(#REF!="Diferenciado",$H$4=#REF!),BDI!$E$17,IF(AND(#REF!="Diferenciado",$H$4=#REF!),BDI!#REF!,IF(#REF!="ZERO",0))))),"")</f>
        <v>#REF!</v>
      </c>
      <c r="H93" s="139" t="e">
        <f t="shared" ca="1" si="14"/>
        <v>#REF!</v>
      </c>
      <c r="I93" s="137" t="e">
        <f t="shared" ca="1" si="15"/>
        <v>#REF!</v>
      </c>
      <c r="J93" s="117"/>
      <c r="K93" s="116">
        <v>0</v>
      </c>
      <c r="M93" s="136" t="e">
        <f ca="1">OFFSET(INDEX([1]Composições!I:R,MATCH([1]Orçamentária!I93,[1]Composições!I:I,0),8),2,0)</f>
        <v>#REF!</v>
      </c>
      <c r="N93" t="e">
        <v>#REF!</v>
      </c>
      <c r="Q93" t="e">
        <v>#REF!</v>
      </c>
    </row>
    <row r="94" spans="1:17" hidden="1" x14ac:dyDescent="0.25">
      <c r="A94" s="114" t="s">
        <v>116</v>
      </c>
      <c r="B94" s="115" t="s">
        <v>1392</v>
      </c>
      <c r="C94" s="116" t="s">
        <v>70</v>
      </c>
      <c r="D94" s="116">
        <v>0</v>
      </c>
      <c r="E94" s="136">
        <f ca="1">OFFSET(INDEX(Composições!A:J,MATCH(Orçamentária!A94,Composições!A:A,0),8),2,0)</f>
        <v>85.735808613224592</v>
      </c>
      <c r="F94" s="137">
        <f t="shared" ca="1" si="13"/>
        <v>0</v>
      </c>
      <c r="G94" s="138" t="e">
        <f>IF(A94&lt;&gt;"",IF(AND(#REF!="Padrão",$H$4=#REF!),BDI!$B$17,IF(AND(#REF!="Padrão",$H$4=#REF!),BDI!#REF!,IF(AND(#REF!="Diferenciado",$H$4=#REF!),BDI!$E$17,IF(AND(#REF!="Diferenciado",$H$4=#REF!),BDI!#REF!,IF(#REF!="ZERO",0))))),"")</f>
        <v>#REF!</v>
      </c>
      <c r="H94" s="139" t="e">
        <f t="shared" ca="1" si="14"/>
        <v>#REF!</v>
      </c>
      <c r="I94" s="137" t="e">
        <f t="shared" ca="1" si="15"/>
        <v>#REF!</v>
      </c>
      <c r="J94" s="117"/>
      <c r="K94" s="116">
        <v>0</v>
      </c>
      <c r="M94" s="136" t="e">
        <f ca="1">OFFSET(INDEX([1]Composições!I:R,MATCH([1]Orçamentária!I94,[1]Composições!I:I,0),8),2,0)</f>
        <v>#REF!</v>
      </c>
      <c r="N94" t="e">
        <v>#REF!</v>
      </c>
      <c r="Q94" t="e">
        <v>#REF!</v>
      </c>
    </row>
    <row r="95" spans="1:17" hidden="1" x14ac:dyDescent="0.25">
      <c r="A95" s="114" t="s">
        <v>117</v>
      </c>
      <c r="B95" s="115" t="s">
        <v>1393</v>
      </c>
      <c r="C95" s="116" t="s">
        <v>70</v>
      </c>
      <c r="D95" s="116">
        <v>0</v>
      </c>
      <c r="E95" s="136">
        <f ca="1">OFFSET(INDEX(Composições!A:J,MATCH(Orçamentária!A95,Composições!A:A,0),8),2,0)</f>
        <v>19.130335744</v>
      </c>
      <c r="F95" s="137">
        <f t="shared" ca="1" si="13"/>
        <v>0</v>
      </c>
      <c r="G95" s="138" t="e">
        <f>IF(A95&lt;&gt;"",IF(AND(#REF!="Padrão",$H$4=#REF!),BDI!$B$17,IF(AND(#REF!="Padrão",$H$4=#REF!),BDI!#REF!,IF(AND(#REF!="Diferenciado",$H$4=#REF!),BDI!$E$17,IF(AND(#REF!="Diferenciado",$H$4=#REF!),BDI!#REF!,IF(#REF!="ZERO",0))))),"")</f>
        <v>#REF!</v>
      </c>
      <c r="H95" s="139" t="e">
        <f t="shared" ca="1" si="14"/>
        <v>#REF!</v>
      </c>
      <c r="I95" s="137" t="e">
        <f t="shared" ca="1" si="15"/>
        <v>#REF!</v>
      </c>
      <c r="J95" s="117"/>
      <c r="K95" s="116">
        <v>0</v>
      </c>
      <c r="M95" s="136" t="e">
        <f ca="1">OFFSET(INDEX([1]Composições!I:R,MATCH([1]Orçamentária!I95,[1]Composições!I:I,0),8),2,0)</f>
        <v>#REF!</v>
      </c>
      <c r="N95" t="e">
        <v>#REF!</v>
      </c>
      <c r="Q95" t="e">
        <v>#REF!</v>
      </c>
    </row>
    <row r="96" spans="1:17" hidden="1" x14ac:dyDescent="0.25">
      <c r="A96" s="114" t="s">
        <v>119</v>
      </c>
      <c r="B96" s="115" t="s">
        <v>1394</v>
      </c>
      <c r="C96" s="116" t="s">
        <v>70</v>
      </c>
      <c r="D96" s="116">
        <v>0</v>
      </c>
      <c r="E96" s="136">
        <f ca="1">OFFSET(INDEX(Composições!A:J,MATCH(Orçamentária!A96,Composições!A:A,0),8),2,0)</f>
        <v>5.1427551301713983</v>
      </c>
      <c r="F96" s="137">
        <f t="shared" ca="1" si="13"/>
        <v>0</v>
      </c>
      <c r="G96" s="138" t="e">
        <f>IF(A96&lt;&gt;"",IF(AND(#REF!="Padrão",$H$4=#REF!),BDI!$B$17,IF(AND(#REF!="Padrão",$H$4=#REF!),BDI!#REF!,IF(AND(#REF!="Diferenciado",$H$4=#REF!),BDI!$E$17,IF(AND(#REF!="Diferenciado",$H$4=#REF!),BDI!#REF!,IF(#REF!="ZERO",0))))),"")</f>
        <v>#REF!</v>
      </c>
      <c r="H96" s="139" t="e">
        <f t="shared" ca="1" si="14"/>
        <v>#REF!</v>
      </c>
      <c r="I96" s="137" t="e">
        <f t="shared" ca="1" si="15"/>
        <v>#REF!</v>
      </c>
      <c r="J96" s="117"/>
      <c r="K96" s="116">
        <v>0</v>
      </c>
      <c r="M96" s="136" t="e">
        <f ca="1">OFFSET(INDEX([1]Composições!I:R,MATCH([1]Orçamentária!I96,[1]Composições!I:I,0),8),2,0)</f>
        <v>#REF!</v>
      </c>
      <c r="N96" t="e">
        <v>#REF!</v>
      </c>
      <c r="Q96" t="e">
        <v>#REF!</v>
      </c>
    </row>
    <row r="97" spans="1:19" hidden="1" x14ac:dyDescent="0.25">
      <c r="A97" s="114" t="s">
        <v>121</v>
      </c>
      <c r="B97" s="115" t="s">
        <v>122</v>
      </c>
      <c r="C97" s="116" t="s">
        <v>70</v>
      </c>
      <c r="D97" s="116">
        <v>0</v>
      </c>
      <c r="E97" s="136">
        <f ca="1">OFFSET(INDEX(Composições!A:J,MATCH(Orçamentária!A97,Composições!A:A,0),8),2,0)</f>
        <v>12.40624</v>
      </c>
      <c r="F97" s="137">
        <f t="shared" ca="1" si="13"/>
        <v>0</v>
      </c>
      <c r="G97" s="138" t="e">
        <f>IF(A97&lt;&gt;"",IF(AND(#REF!="Padrão",$H$4=#REF!),BDI!$B$17,IF(AND(#REF!="Padrão",$H$4=#REF!),BDI!#REF!,IF(AND(#REF!="Diferenciado",$H$4=#REF!),BDI!$E$17,IF(AND(#REF!="Diferenciado",$H$4=#REF!),BDI!#REF!,IF(#REF!="ZERO",0))))),"")</f>
        <v>#REF!</v>
      </c>
      <c r="H97" s="139" t="e">
        <f t="shared" ca="1" si="14"/>
        <v>#REF!</v>
      </c>
      <c r="I97" s="137" t="e">
        <f t="shared" ca="1" si="15"/>
        <v>#REF!</v>
      </c>
      <c r="J97" s="117"/>
      <c r="K97" s="116">
        <v>0</v>
      </c>
      <c r="M97" s="136" t="e">
        <f ca="1">OFFSET(INDEX([1]Composições!I:R,MATCH([1]Orçamentária!I97,[1]Composições!I:I,0),8),2,0)</f>
        <v>#REF!</v>
      </c>
      <c r="N97" t="e">
        <v>#REF!</v>
      </c>
      <c r="Q97" t="e">
        <v>#REF!</v>
      </c>
    </row>
    <row r="98" spans="1:19" hidden="1" x14ac:dyDescent="0.25">
      <c r="A98" s="114" t="s">
        <v>124</v>
      </c>
      <c r="B98" s="115" t="s">
        <v>7551</v>
      </c>
      <c r="C98" s="116" t="s">
        <v>70</v>
      </c>
      <c r="D98" s="116">
        <v>0</v>
      </c>
      <c r="E98" s="136">
        <f ca="1">OFFSET(INDEX(Composições!A:J,MATCH(Orçamentária!A98,Composições!A:A,0),8),2,0)</f>
        <v>44.027124899999997</v>
      </c>
      <c r="F98" s="137">
        <f t="shared" ca="1" si="13"/>
        <v>0</v>
      </c>
      <c r="G98" s="138" t="e">
        <f>IF(A98&lt;&gt;"",IF(AND(#REF!="Padrão",$H$4=#REF!),BDI!$B$17,IF(AND(#REF!="Padrão",$H$4=#REF!),BDI!#REF!,IF(AND(#REF!="Diferenciado",$H$4=#REF!),BDI!$E$17,IF(AND(#REF!="Diferenciado",$H$4=#REF!),BDI!#REF!,IF(#REF!="ZERO",0))))),"")</f>
        <v>#REF!</v>
      </c>
      <c r="H98" s="139" t="e">
        <f t="shared" ca="1" si="14"/>
        <v>#REF!</v>
      </c>
      <c r="I98" s="137" t="e">
        <f t="shared" ca="1" si="15"/>
        <v>#REF!</v>
      </c>
      <c r="J98" s="117"/>
      <c r="K98" s="116">
        <v>0</v>
      </c>
      <c r="M98" s="136" t="e">
        <f ca="1">OFFSET(INDEX([1]Composições!I:R,MATCH([1]Orçamentária!I98,[1]Composições!I:I,0),8),2,0)</f>
        <v>#REF!</v>
      </c>
      <c r="N98" t="e">
        <v>#REF!</v>
      </c>
      <c r="Q98" t="e">
        <v>#REF!</v>
      </c>
    </row>
    <row r="99" spans="1:19" hidden="1" x14ac:dyDescent="0.25">
      <c r="A99" s="114" t="s">
        <v>127</v>
      </c>
      <c r="B99" s="115" t="s">
        <v>7552</v>
      </c>
      <c r="C99" s="116" t="s">
        <v>70</v>
      </c>
      <c r="D99" s="116">
        <v>0</v>
      </c>
      <c r="E99" s="136">
        <f ca="1">OFFSET(INDEX(Composições!A:J,MATCH(Orçamentária!A99,Composições!A:A,0),8),2,0)</f>
        <v>14.795943625</v>
      </c>
      <c r="F99" s="137">
        <f t="shared" ca="1" si="13"/>
        <v>0</v>
      </c>
      <c r="G99" s="138" t="e">
        <f>IF(A99&lt;&gt;"",IF(AND(#REF!="Padrão",$H$4=#REF!),BDI!$B$17,IF(AND(#REF!="Padrão",$H$4=#REF!),BDI!#REF!,IF(AND(#REF!="Diferenciado",$H$4=#REF!),BDI!$E$17,IF(AND(#REF!="Diferenciado",$H$4=#REF!),BDI!#REF!,IF(#REF!="ZERO",0))))),"")</f>
        <v>#REF!</v>
      </c>
      <c r="H99" s="139" t="e">
        <f t="shared" ca="1" si="14"/>
        <v>#REF!</v>
      </c>
      <c r="I99" s="137" t="e">
        <f t="shared" ca="1" si="15"/>
        <v>#REF!</v>
      </c>
      <c r="J99" s="117"/>
      <c r="K99" s="116">
        <v>0</v>
      </c>
      <c r="M99" s="136" t="e">
        <f ca="1">OFFSET(INDEX([1]Composições!I:R,MATCH([1]Orçamentária!I99,[1]Composições!I:I,0),8),2,0)</f>
        <v>#REF!</v>
      </c>
      <c r="N99" t="e">
        <v>#REF!</v>
      </c>
      <c r="Q99" t="e">
        <v>#REF!</v>
      </c>
    </row>
    <row r="100" spans="1:19" hidden="1" x14ac:dyDescent="0.25">
      <c r="A100" s="114" t="s">
        <v>128</v>
      </c>
      <c r="B100" s="115" t="s">
        <v>1395</v>
      </c>
      <c r="C100" s="116" t="s">
        <v>69</v>
      </c>
      <c r="D100" s="116">
        <v>0</v>
      </c>
      <c r="E100" s="136">
        <f ca="1">OFFSET(INDEX(Composições!A:J,MATCH(Orçamentária!A100,Composições!A:A,0),8),2,0)</f>
        <v>16.8428027</v>
      </c>
      <c r="F100" s="137">
        <f t="shared" ca="1" si="13"/>
        <v>0</v>
      </c>
      <c r="G100" s="138" t="e">
        <f>IF(A100&lt;&gt;"",IF(AND(#REF!="Padrão",$H$4=#REF!),BDI!$B$17,IF(AND(#REF!="Padrão",$H$4=#REF!),BDI!#REF!,IF(AND(#REF!="Diferenciado",$H$4=#REF!),BDI!$E$17,IF(AND(#REF!="Diferenciado",$H$4=#REF!),BDI!#REF!,IF(#REF!="ZERO",0))))),"")</f>
        <v>#REF!</v>
      </c>
      <c r="H100" s="139" t="e">
        <f t="shared" ca="1" si="14"/>
        <v>#REF!</v>
      </c>
      <c r="I100" s="137" t="e">
        <f t="shared" ca="1" si="15"/>
        <v>#REF!</v>
      </c>
      <c r="J100" s="117"/>
      <c r="K100" s="116">
        <v>0</v>
      </c>
      <c r="M100" s="136" t="e">
        <f ca="1">OFFSET(INDEX([1]Composições!I:R,MATCH([1]Orçamentária!I100,[1]Composições!I:I,0),8),2,0)</f>
        <v>#REF!</v>
      </c>
      <c r="N100" t="e">
        <v>#REF!</v>
      </c>
      <c r="Q100" t="e">
        <v>#REF!</v>
      </c>
    </row>
    <row r="101" spans="1:19" hidden="1" x14ac:dyDescent="0.25">
      <c r="A101" s="114" t="s">
        <v>132</v>
      </c>
      <c r="B101" s="115" t="s">
        <v>1396</v>
      </c>
      <c r="C101" s="116" t="s">
        <v>70</v>
      </c>
      <c r="D101" s="116">
        <v>0</v>
      </c>
      <c r="E101" s="136">
        <f ca="1">OFFSET(INDEX(Composições!A:J,MATCH(Orçamentária!A101,Composições!A:A,0),8),2,0)</f>
        <v>3.5842074999999998</v>
      </c>
      <c r="F101" s="137">
        <f t="shared" ca="1" si="13"/>
        <v>0</v>
      </c>
      <c r="G101" s="138" t="e">
        <f>IF(A101&lt;&gt;"",IF(AND(#REF!="Padrão",$H$4=#REF!),BDI!$B$17,IF(AND(#REF!="Padrão",$H$4=#REF!),BDI!#REF!,IF(AND(#REF!="Diferenciado",$H$4=#REF!),BDI!$E$17,IF(AND(#REF!="Diferenciado",$H$4=#REF!),BDI!#REF!,IF(#REF!="ZERO",0))))),"")</f>
        <v>#REF!</v>
      </c>
      <c r="H101" s="139" t="e">
        <f t="shared" ca="1" si="14"/>
        <v>#REF!</v>
      </c>
      <c r="I101" s="137" t="e">
        <f t="shared" ca="1" si="15"/>
        <v>#REF!</v>
      </c>
      <c r="J101" s="117"/>
      <c r="K101" s="116">
        <v>0</v>
      </c>
      <c r="M101" s="136" t="e">
        <f ca="1">OFFSET(INDEX([1]Composições!I:R,MATCH([1]Orçamentária!I101,[1]Composições!I:I,0),8),2,0)</f>
        <v>#REF!</v>
      </c>
      <c r="N101" t="e">
        <v>#REF!</v>
      </c>
      <c r="Q101" t="e">
        <v>#REF!</v>
      </c>
    </row>
    <row r="102" spans="1:19" hidden="1" x14ac:dyDescent="0.25">
      <c r="A102" s="114" t="s">
        <v>134</v>
      </c>
      <c r="B102" s="115" t="s">
        <v>5421</v>
      </c>
      <c r="C102" s="116" t="s">
        <v>70</v>
      </c>
      <c r="D102" s="116">
        <v>0</v>
      </c>
      <c r="E102" s="136">
        <f ca="1">OFFSET(INDEX(Composições!A:J,MATCH(Orçamentária!A102,Composições!A:A,0),8),2,0)</f>
        <v>12.318712700000001</v>
      </c>
      <c r="F102" s="137">
        <f t="shared" ca="1" si="13"/>
        <v>0</v>
      </c>
      <c r="G102" s="138" t="e">
        <f>IF(A102&lt;&gt;"",IF(AND(#REF!="Padrão",$H$4=#REF!),BDI!$B$17,IF(AND(#REF!="Padrão",$H$4=#REF!),BDI!#REF!,IF(AND(#REF!="Diferenciado",$H$4=#REF!),BDI!$E$17,IF(AND(#REF!="Diferenciado",$H$4=#REF!),BDI!#REF!,IF(#REF!="ZERO",0))))),"")</f>
        <v>#REF!</v>
      </c>
      <c r="H102" s="139" t="e">
        <f t="shared" ca="1" si="14"/>
        <v>#REF!</v>
      </c>
      <c r="I102" s="137" t="e">
        <f t="shared" ca="1" si="15"/>
        <v>#REF!</v>
      </c>
      <c r="J102" s="117"/>
      <c r="K102" s="116">
        <v>0</v>
      </c>
      <c r="M102" s="136" t="e">
        <f ca="1">OFFSET(INDEX([1]Composições!I:R,MATCH([1]Orçamentária!I102,[1]Composições!I:I,0),8),2,0)</f>
        <v>#REF!</v>
      </c>
      <c r="N102" t="e">
        <v>#REF!</v>
      </c>
      <c r="Q102" t="e">
        <v>#REF!</v>
      </c>
    </row>
    <row r="103" spans="1:19" hidden="1" x14ac:dyDescent="0.25">
      <c r="A103" s="114" t="s">
        <v>139</v>
      </c>
      <c r="B103" s="115" t="s">
        <v>1397</v>
      </c>
      <c r="C103" s="116" t="s">
        <v>70</v>
      </c>
      <c r="D103" s="116">
        <v>0</v>
      </c>
      <c r="E103" s="136">
        <f ca="1">OFFSET(INDEX(Composições!A:J,MATCH(Orçamentária!A103,Composições!A:A,0),8),2,0)</f>
        <v>22.098640459999999</v>
      </c>
      <c r="F103" s="137">
        <f t="shared" ca="1" si="13"/>
        <v>0</v>
      </c>
      <c r="G103" s="138" t="e">
        <f>IF(A103&lt;&gt;"",IF(AND(#REF!="Padrão",$H$4=#REF!),BDI!$B$17,IF(AND(#REF!="Padrão",$H$4=#REF!),BDI!#REF!,IF(AND(#REF!="Diferenciado",$H$4=#REF!),BDI!$E$17,IF(AND(#REF!="Diferenciado",$H$4=#REF!),BDI!#REF!,IF(#REF!="ZERO",0))))),"")</f>
        <v>#REF!</v>
      </c>
      <c r="H103" s="139" t="e">
        <f t="shared" ca="1" si="14"/>
        <v>#REF!</v>
      </c>
      <c r="I103" s="137" t="e">
        <f t="shared" ca="1" si="15"/>
        <v>#REF!</v>
      </c>
      <c r="J103" s="117"/>
      <c r="K103" s="116">
        <v>0</v>
      </c>
      <c r="M103" s="136" t="e">
        <f ca="1">OFFSET(INDEX([1]Composições!I:R,MATCH([1]Orçamentária!I103,[1]Composições!I:I,0),8),2,0)</f>
        <v>#REF!</v>
      </c>
      <c r="N103" t="e">
        <v>#REF!</v>
      </c>
      <c r="Q103" t="e">
        <v>#REF!</v>
      </c>
    </row>
    <row r="104" spans="1:19" x14ac:dyDescent="0.25">
      <c r="A104" s="172" t="s">
        <v>140</v>
      </c>
      <c r="B104" s="173" t="s">
        <v>1398</v>
      </c>
      <c r="C104" s="174" t="s">
        <v>70</v>
      </c>
      <c r="D104" s="174">
        <v>71</v>
      </c>
      <c r="E104" s="136">
        <f ca="1">OFFSET(INDEX(Composições!A:J,MATCH(Orçamentária!A104,Composições!A:A,0),8),2,0)</f>
        <v>17.345461759999999</v>
      </c>
      <c r="F104" s="137">
        <f t="shared" ca="1" si="13"/>
        <v>1231.52778496</v>
      </c>
      <c r="G104" s="138">
        <f>BDI!$B$17</f>
        <v>0.191</v>
      </c>
      <c r="H104" s="139">
        <f t="shared" ca="1" si="14"/>
        <v>20.66</v>
      </c>
      <c r="I104" s="137">
        <f t="shared" ca="1" si="15"/>
        <v>1466.86</v>
      </c>
      <c r="J104" s="117"/>
      <c r="K104" s="253">
        <v>71</v>
      </c>
      <c r="L104" s="236" t="str">
        <f>IF(D104&lt;&gt;K104,"ERRO","-")</f>
        <v>-</v>
      </c>
      <c r="M104" s="136">
        <f ca="1">OFFSET(INDEX(Composições!A:S,MATCH(A104,Composições!A:A,0),15),2,0)</f>
        <v>14.84771526656</v>
      </c>
      <c r="N104" s="237">
        <v>0.191</v>
      </c>
      <c r="O104" s="236">
        <f ca="1">ROUND(M104*(1+N104),2)</f>
        <v>17.68</v>
      </c>
      <c r="P104" s="238">
        <f ca="1">ROUND(K104*O104,2)</f>
        <v>1255.28</v>
      </c>
      <c r="Q104" s="236">
        <v>1255.28</v>
      </c>
      <c r="R104" s="236">
        <f ca="1">P104-Q104</f>
        <v>0</v>
      </c>
      <c r="S104" s="239">
        <f ca="1">IF(ISNUMBER(O104),1-P104/$I104,"")</f>
        <v>0.14424007744433687</v>
      </c>
    </row>
    <row r="105" spans="1:19" hidden="1" x14ac:dyDescent="0.25">
      <c r="A105" s="114" t="s">
        <v>141</v>
      </c>
      <c r="B105" s="115" t="s">
        <v>1399</v>
      </c>
      <c r="C105" s="116" t="s">
        <v>70</v>
      </c>
      <c r="D105" s="116">
        <v>0</v>
      </c>
      <c r="E105" s="136">
        <f ca="1">OFFSET(INDEX(Composições!A:J,MATCH(Orçamentária!A105,Composições!A:A,0),8),2,0)</f>
        <v>15.793464999999999</v>
      </c>
      <c r="F105" s="137">
        <f t="shared" ca="1" si="13"/>
        <v>0</v>
      </c>
      <c r="G105" s="138" t="e">
        <f>IF(A105&lt;&gt;"",IF(AND(#REF!="Padrão",$H$4=#REF!),BDI!$B$17,IF(AND(#REF!="Padrão",$H$4=#REF!),BDI!#REF!,IF(AND(#REF!="Diferenciado",$H$4=#REF!),BDI!$E$17,IF(AND(#REF!="Diferenciado",$H$4=#REF!),BDI!#REF!,IF(#REF!="ZERO",0))))),"")</f>
        <v>#REF!</v>
      </c>
      <c r="H105" s="139" t="e">
        <f t="shared" ca="1" si="14"/>
        <v>#REF!</v>
      </c>
      <c r="I105" s="137" t="e">
        <f t="shared" ca="1" si="15"/>
        <v>#REF!</v>
      </c>
      <c r="J105" s="117"/>
      <c r="K105" s="116">
        <v>0</v>
      </c>
      <c r="M105" s="136" t="e">
        <f ca="1">OFFSET(INDEX([1]Composições!I:R,MATCH([1]Orçamentária!I105,[1]Composições!I:I,0),8),2,0)</f>
        <v>#REF!</v>
      </c>
      <c r="N105" t="e">
        <v>#REF!</v>
      </c>
      <c r="Q105" t="e">
        <v>#REF!</v>
      </c>
    </row>
    <row r="106" spans="1:19" hidden="1" x14ac:dyDescent="0.25">
      <c r="A106" s="114" t="s">
        <v>142</v>
      </c>
      <c r="B106" s="115" t="s">
        <v>1400</v>
      </c>
      <c r="C106" s="116" t="s">
        <v>70</v>
      </c>
      <c r="D106" s="116">
        <v>0</v>
      </c>
      <c r="E106" s="136">
        <f ca="1">OFFSET(INDEX(Composições!A:J,MATCH(Orçamentária!A106,Composições!A:A,0),8),2,0)</f>
        <v>20.280877400000001</v>
      </c>
      <c r="F106" s="137">
        <f t="shared" ca="1" si="13"/>
        <v>0</v>
      </c>
      <c r="G106" s="138" t="e">
        <f>IF(A106&lt;&gt;"",IF(AND(#REF!="Padrão",$H$4=#REF!),BDI!$B$17,IF(AND(#REF!="Padrão",$H$4=#REF!),BDI!#REF!,IF(AND(#REF!="Diferenciado",$H$4=#REF!),BDI!$E$17,IF(AND(#REF!="Diferenciado",$H$4=#REF!),BDI!#REF!,IF(#REF!="ZERO",0))))),"")</f>
        <v>#REF!</v>
      </c>
      <c r="H106" s="139" t="e">
        <f t="shared" ca="1" si="14"/>
        <v>#REF!</v>
      </c>
      <c r="I106" s="137" t="e">
        <f t="shared" ca="1" si="15"/>
        <v>#REF!</v>
      </c>
      <c r="J106" s="117"/>
      <c r="K106" s="116">
        <v>0</v>
      </c>
      <c r="M106" s="136" t="e">
        <f ca="1">OFFSET(INDEX([1]Composições!I:R,MATCH([1]Orçamentária!I106,[1]Composições!I:I,0),8),2,0)</f>
        <v>#REF!</v>
      </c>
      <c r="N106" t="e">
        <v>#REF!</v>
      </c>
      <c r="Q106" t="e">
        <v>#REF!</v>
      </c>
    </row>
    <row r="107" spans="1:19" hidden="1" x14ac:dyDescent="0.25">
      <c r="A107" s="114" t="s">
        <v>144</v>
      </c>
      <c r="B107" s="115" t="s">
        <v>1401</v>
      </c>
      <c r="C107" s="116" t="s">
        <v>70</v>
      </c>
      <c r="D107" s="116">
        <v>0</v>
      </c>
      <c r="E107" s="136">
        <f ca="1">OFFSET(INDEX(Composições!A:J,MATCH(Orçamentária!A107,Composições!A:A,0),8),2,0)</f>
        <v>16.3599842</v>
      </c>
      <c r="F107" s="137">
        <f t="shared" ca="1" si="13"/>
        <v>0</v>
      </c>
      <c r="G107" s="138" t="e">
        <f>IF(A107&lt;&gt;"",IF(AND(#REF!="Padrão",$H$4=#REF!),BDI!$B$17,IF(AND(#REF!="Padrão",$H$4=#REF!),BDI!#REF!,IF(AND(#REF!="Diferenciado",$H$4=#REF!),BDI!$E$17,IF(AND(#REF!="Diferenciado",$H$4=#REF!),BDI!#REF!,IF(#REF!="ZERO",0))))),"")</f>
        <v>#REF!</v>
      </c>
      <c r="H107" s="139" t="e">
        <f t="shared" ca="1" si="14"/>
        <v>#REF!</v>
      </c>
      <c r="I107" s="137" t="e">
        <f t="shared" ca="1" si="15"/>
        <v>#REF!</v>
      </c>
      <c r="J107" s="117"/>
      <c r="K107" s="116">
        <v>0</v>
      </c>
      <c r="M107" s="136" t="e">
        <f ca="1">OFFSET(INDEX([1]Composições!I:R,MATCH([1]Orçamentária!I107,[1]Composições!I:I,0),8),2,0)</f>
        <v>#REF!</v>
      </c>
      <c r="N107" t="e">
        <v>#REF!</v>
      </c>
      <c r="Q107" t="e">
        <v>#REF!</v>
      </c>
    </row>
    <row r="108" spans="1:19" x14ac:dyDescent="0.25">
      <c r="A108" s="172" t="s">
        <v>146</v>
      </c>
      <c r="B108" s="173" t="s">
        <v>1402</v>
      </c>
      <c r="C108" s="174" t="s">
        <v>70</v>
      </c>
      <c r="D108" s="174">
        <v>356</v>
      </c>
      <c r="E108" s="136">
        <f ca="1">OFFSET(INDEX(Composições!A:J,MATCH(Orçamentária!A108,Composições!A:A,0),8),2,0)</f>
        <v>17.831680499999997</v>
      </c>
      <c r="F108" s="137">
        <f t="shared" ca="1" si="13"/>
        <v>6348.0782579999986</v>
      </c>
      <c r="G108" s="138">
        <f>BDI!$B$17</f>
        <v>0.191</v>
      </c>
      <c r="H108" s="139">
        <f t="shared" ca="1" si="14"/>
        <v>21.24</v>
      </c>
      <c r="I108" s="137">
        <f t="shared" ca="1" si="15"/>
        <v>7561.44</v>
      </c>
      <c r="J108" s="117"/>
      <c r="K108" s="253">
        <v>356</v>
      </c>
      <c r="L108" s="236" t="str">
        <f>IF(D108&lt;&gt;K108,"ERRO","-")</f>
        <v>-</v>
      </c>
      <c r="M108" s="136">
        <f ca="1">OFFSET(INDEX(Composições!A:S,MATCH(A108,Composições!A:A,0),15),2,0)</f>
        <v>15.263918508</v>
      </c>
      <c r="N108" s="237">
        <v>0.191</v>
      </c>
      <c r="O108" s="236">
        <f ca="1">ROUND(M108*(1+N108),2)</f>
        <v>18.18</v>
      </c>
      <c r="P108" s="238">
        <f ca="1">ROUND(K108*O108,2)</f>
        <v>6472.08</v>
      </c>
      <c r="Q108" s="236">
        <v>6472.08</v>
      </c>
      <c r="R108" s="236">
        <f ca="1">P108-Q108</f>
        <v>0</v>
      </c>
      <c r="S108" s="239">
        <f ca="1">IF(ISNUMBER(O108),1-P108/$I108,"")</f>
        <v>0.14406779661016944</v>
      </c>
    </row>
    <row r="109" spans="1:19" hidden="1" x14ac:dyDescent="0.25">
      <c r="A109" s="114" t="s">
        <v>147</v>
      </c>
      <c r="B109" s="115" t="s">
        <v>1403</v>
      </c>
      <c r="C109" s="116" t="s">
        <v>70</v>
      </c>
      <c r="D109" s="116">
        <v>0</v>
      </c>
      <c r="E109" s="136">
        <f ca="1">OFFSET(INDEX(Composições!A:J,MATCH(Orçamentária!A109,Composições!A:A,0),8),2,0)</f>
        <v>78.271829999999994</v>
      </c>
      <c r="F109" s="137">
        <f t="shared" ca="1" si="13"/>
        <v>0</v>
      </c>
      <c r="G109" s="138" t="e">
        <f>IF(A109&lt;&gt;"",IF(AND(#REF!="Padrão",$H$4=#REF!),BDI!$B$17,IF(AND(#REF!="Padrão",$H$4=#REF!),BDI!#REF!,IF(AND(#REF!="Diferenciado",$H$4=#REF!),BDI!$E$17,IF(AND(#REF!="Diferenciado",$H$4=#REF!),BDI!#REF!,IF(#REF!="ZERO",0))))),"")</f>
        <v>#REF!</v>
      </c>
      <c r="H109" s="139" t="e">
        <f t="shared" ca="1" si="14"/>
        <v>#REF!</v>
      </c>
      <c r="I109" s="137" t="e">
        <f t="shared" ca="1" si="15"/>
        <v>#REF!</v>
      </c>
      <c r="J109" s="117"/>
      <c r="K109" s="116">
        <v>0</v>
      </c>
      <c r="M109" s="136" t="e">
        <f ca="1">OFFSET(INDEX([1]Composições!I:R,MATCH([1]Orçamentária!I109,[1]Composições!I:I,0),8),2,0)</f>
        <v>#REF!</v>
      </c>
      <c r="N109" t="e">
        <v>#REF!</v>
      </c>
      <c r="Q109" t="e">
        <v>#REF!</v>
      </c>
    </row>
    <row r="110" spans="1:19" hidden="1" x14ac:dyDescent="0.25">
      <c r="A110" s="114" t="s">
        <v>149</v>
      </c>
      <c r="B110" s="115" t="s">
        <v>1404</v>
      </c>
      <c r="C110" s="116" t="s">
        <v>70</v>
      </c>
      <c r="D110" s="116">
        <v>0</v>
      </c>
      <c r="E110" s="136">
        <f ca="1">OFFSET(INDEX(Composições!A:J,MATCH(Orçamentária!A110,Composições!A:A,0),8),2,0)</f>
        <v>59.467599399352494</v>
      </c>
      <c r="F110" s="137">
        <f t="shared" ca="1" si="13"/>
        <v>0</v>
      </c>
      <c r="G110" s="138" t="e">
        <f>IF(A110&lt;&gt;"",IF(AND(#REF!="Padrão",$H$4=#REF!),BDI!$B$17,IF(AND(#REF!="Padrão",$H$4=#REF!),BDI!#REF!,IF(AND(#REF!="Diferenciado",$H$4=#REF!),BDI!$E$17,IF(AND(#REF!="Diferenciado",$H$4=#REF!),BDI!#REF!,IF(#REF!="ZERO",0))))),"")</f>
        <v>#REF!</v>
      </c>
      <c r="H110" s="139" t="e">
        <f t="shared" ca="1" si="14"/>
        <v>#REF!</v>
      </c>
      <c r="I110" s="137" t="e">
        <f t="shared" ca="1" si="15"/>
        <v>#REF!</v>
      </c>
      <c r="J110" s="117"/>
      <c r="K110" s="116">
        <v>0</v>
      </c>
      <c r="M110" s="136" t="e">
        <f ca="1">OFFSET(INDEX([1]Composições!I:R,MATCH([1]Orçamentária!I110,[1]Composições!I:I,0),8),2,0)</f>
        <v>#REF!</v>
      </c>
      <c r="N110" t="e">
        <v>#REF!</v>
      </c>
      <c r="Q110" t="e">
        <v>#REF!</v>
      </c>
    </row>
    <row r="111" spans="1:19" hidden="1" x14ac:dyDescent="0.25">
      <c r="A111" s="114" t="s">
        <v>151</v>
      </c>
      <c r="B111" s="115" t="s">
        <v>7553</v>
      </c>
      <c r="C111" s="116" t="s">
        <v>70</v>
      </c>
      <c r="D111" s="116">
        <v>0</v>
      </c>
      <c r="E111" s="136">
        <f ca="1">OFFSET(INDEX(Composições!A:J,MATCH(Orçamentária!A111,Composições!A:A,0),8),2,0)</f>
        <v>38.331915743017497</v>
      </c>
      <c r="F111" s="137">
        <f t="shared" ca="1" si="13"/>
        <v>0</v>
      </c>
      <c r="G111" s="138" t="e">
        <f>IF(A111&lt;&gt;"",IF(AND(#REF!="Padrão",$H$4=#REF!),BDI!$B$17,IF(AND(#REF!="Padrão",$H$4=#REF!),BDI!#REF!,IF(AND(#REF!="Diferenciado",$H$4=#REF!),BDI!$E$17,IF(AND(#REF!="Diferenciado",$H$4=#REF!),BDI!#REF!,IF(#REF!="ZERO",0))))),"")</f>
        <v>#REF!</v>
      </c>
      <c r="H111" s="139" t="e">
        <f t="shared" ca="1" si="14"/>
        <v>#REF!</v>
      </c>
      <c r="I111" s="137" t="e">
        <f t="shared" ca="1" si="15"/>
        <v>#REF!</v>
      </c>
      <c r="J111" s="117"/>
      <c r="K111" s="116">
        <v>0</v>
      </c>
      <c r="M111" s="136" t="e">
        <f ca="1">OFFSET(INDEX([1]Composições!I:R,MATCH([1]Orçamentária!I111,[1]Composições!I:I,0),8),2,0)</f>
        <v>#REF!</v>
      </c>
      <c r="N111" t="e">
        <v>#REF!</v>
      </c>
      <c r="Q111" t="e">
        <v>#REF!</v>
      </c>
    </row>
    <row r="112" spans="1:19" hidden="1" x14ac:dyDescent="0.25">
      <c r="A112" s="114" t="s">
        <v>152</v>
      </c>
      <c r="B112" s="115" t="s">
        <v>1405</v>
      </c>
      <c r="C112" s="116" t="s">
        <v>70</v>
      </c>
      <c r="D112" s="116">
        <v>0</v>
      </c>
      <c r="E112" s="136">
        <f ca="1">OFFSET(INDEX(Composições!A:J,MATCH(Orçamentária!A112,Composições!A:A,0),8),2,0)</f>
        <v>60.177122999999987</v>
      </c>
      <c r="F112" s="137">
        <f t="shared" ca="1" si="13"/>
        <v>0</v>
      </c>
      <c r="G112" s="138" t="e">
        <f>IF(A112&lt;&gt;"",IF(AND(#REF!="Padrão",$H$4=#REF!),BDI!$B$17,IF(AND(#REF!="Padrão",$H$4=#REF!),BDI!#REF!,IF(AND(#REF!="Diferenciado",$H$4=#REF!),BDI!$E$17,IF(AND(#REF!="Diferenciado",$H$4=#REF!),BDI!#REF!,IF(#REF!="ZERO",0))))),"")</f>
        <v>#REF!</v>
      </c>
      <c r="H112" s="139" t="e">
        <f t="shared" ca="1" si="14"/>
        <v>#REF!</v>
      </c>
      <c r="I112" s="137" t="e">
        <f t="shared" ca="1" si="15"/>
        <v>#REF!</v>
      </c>
      <c r="J112" s="117"/>
      <c r="K112" s="116">
        <v>0</v>
      </c>
      <c r="M112" s="136" t="e">
        <f ca="1">OFFSET(INDEX([1]Composições!I:R,MATCH([1]Orçamentária!I112,[1]Composições!I:I,0),8),2,0)</f>
        <v>#REF!</v>
      </c>
      <c r="N112" t="e">
        <v>#REF!</v>
      </c>
      <c r="Q112" t="e">
        <v>#REF!</v>
      </c>
    </row>
    <row r="113" spans="1:17" hidden="1" x14ac:dyDescent="0.25">
      <c r="A113" s="114" t="s">
        <v>154</v>
      </c>
      <c r="B113" s="115" t="s">
        <v>1406</v>
      </c>
      <c r="C113" s="116" t="s">
        <v>70</v>
      </c>
      <c r="D113" s="116">
        <v>0</v>
      </c>
      <c r="E113" s="136">
        <f ca="1">OFFSET(INDEX(Composições!A:J,MATCH(Orçamentária!A113,Composições!A:A,0),8),2,0)</f>
        <v>130.87674999999999</v>
      </c>
      <c r="F113" s="137">
        <f t="shared" ca="1" si="13"/>
        <v>0</v>
      </c>
      <c r="G113" s="138" t="e">
        <f>IF(A113&lt;&gt;"",IF(AND(#REF!="Padrão",$H$4=#REF!),BDI!$B$17,IF(AND(#REF!="Padrão",$H$4=#REF!),BDI!#REF!,IF(AND(#REF!="Diferenciado",$H$4=#REF!),BDI!$E$17,IF(AND(#REF!="Diferenciado",$H$4=#REF!),BDI!#REF!,IF(#REF!="ZERO",0))))),"")</f>
        <v>#REF!</v>
      </c>
      <c r="H113" s="139" t="e">
        <f t="shared" ca="1" si="14"/>
        <v>#REF!</v>
      </c>
      <c r="I113" s="137" t="e">
        <f t="shared" ca="1" si="15"/>
        <v>#REF!</v>
      </c>
      <c r="J113" s="117"/>
      <c r="K113" s="116">
        <v>0</v>
      </c>
      <c r="M113" s="136" t="e">
        <f ca="1">OFFSET(INDEX([1]Composições!I:R,MATCH([1]Orçamentária!I113,[1]Composições!I:I,0),8),2,0)</f>
        <v>#REF!</v>
      </c>
      <c r="N113" t="e">
        <v>#REF!</v>
      </c>
      <c r="Q113" t="e">
        <v>#REF!</v>
      </c>
    </row>
    <row r="114" spans="1:17" hidden="1" x14ac:dyDescent="0.25">
      <c r="A114" s="114" t="s">
        <v>157</v>
      </c>
      <c r="B114" s="115" t="s">
        <v>1407</v>
      </c>
      <c r="C114" s="116" t="s">
        <v>70</v>
      </c>
      <c r="D114" s="116">
        <v>0</v>
      </c>
      <c r="E114" s="136">
        <f ca="1">OFFSET(INDEX(Composições!A:J,MATCH(Orçamentária!A114,Composições!A:A,0),8),2,0)</f>
        <v>150.9292379</v>
      </c>
      <c r="F114" s="137">
        <f t="shared" ca="1" si="13"/>
        <v>0</v>
      </c>
      <c r="G114" s="138" t="e">
        <f>IF(A114&lt;&gt;"",IF(AND(#REF!="Padrão",$H$4=#REF!),BDI!$B$17,IF(AND(#REF!="Padrão",$H$4=#REF!),BDI!#REF!,IF(AND(#REF!="Diferenciado",$H$4=#REF!),BDI!$E$17,IF(AND(#REF!="Diferenciado",$H$4=#REF!),BDI!#REF!,IF(#REF!="ZERO",0))))),"")</f>
        <v>#REF!</v>
      </c>
      <c r="H114" s="139" t="e">
        <f t="shared" ca="1" si="14"/>
        <v>#REF!</v>
      </c>
      <c r="I114" s="137" t="e">
        <f t="shared" ca="1" si="15"/>
        <v>#REF!</v>
      </c>
      <c r="J114" s="117"/>
      <c r="K114" s="116">
        <v>0</v>
      </c>
      <c r="M114" s="136" t="e">
        <f ca="1">OFFSET(INDEX([1]Composições!I:R,MATCH([1]Orçamentária!I114,[1]Composições!I:I,0),8),2,0)</f>
        <v>#REF!</v>
      </c>
      <c r="N114" t="e">
        <v>#REF!</v>
      </c>
      <c r="Q114" t="e">
        <v>#REF!</v>
      </c>
    </row>
    <row r="115" spans="1:17" hidden="1" x14ac:dyDescent="0.25">
      <c r="A115" s="114" t="s">
        <v>160</v>
      </c>
      <c r="B115" s="115" t="s">
        <v>1408</v>
      </c>
      <c r="C115" s="116" t="s">
        <v>70</v>
      </c>
      <c r="D115" s="116">
        <v>0</v>
      </c>
      <c r="E115" s="136">
        <f ca="1">OFFSET(INDEX(Composições!A:J,MATCH(Orçamentária!A115,Composições!A:A,0),8),2,0)</f>
        <v>60.177122999999987</v>
      </c>
      <c r="F115" s="137">
        <f t="shared" ca="1" si="13"/>
        <v>0</v>
      </c>
      <c r="G115" s="138" t="e">
        <f>IF(A115&lt;&gt;"",IF(AND(#REF!="Padrão",$H$4=#REF!),BDI!$B$17,IF(AND(#REF!="Padrão",$H$4=#REF!),BDI!#REF!,IF(AND(#REF!="Diferenciado",$H$4=#REF!),BDI!$E$17,IF(AND(#REF!="Diferenciado",$H$4=#REF!),BDI!#REF!,IF(#REF!="ZERO",0))))),"")</f>
        <v>#REF!</v>
      </c>
      <c r="H115" s="139" t="e">
        <f t="shared" ca="1" si="14"/>
        <v>#REF!</v>
      </c>
      <c r="I115" s="137" t="e">
        <f t="shared" ca="1" si="15"/>
        <v>#REF!</v>
      </c>
      <c r="J115" s="117"/>
      <c r="K115" s="116">
        <v>0</v>
      </c>
      <c r="M115" s="136" t="e">
        <f ca="1">OFFSET(INDEX([1]Composições!I:R,MATCH([1]Orçamentária!I115,[1]Composições!I:I,0),8),2,0)</f>
        <v>#REF!</v>
      </c>
      <c r="N115" t="e">
        <v>#REF!</v>
      </c>
      <c r="Q115" t="e">
        <v>#REF!</v>
      </c>
    </row>
    <row r="116" spans="1:17" hidden="1" x14ac:dyDescent="0.25">
      <c r="A116" s="114" t="s">
        <v>162</v>
      </c>
      <c r="B116" s="115" t="s">
        <v>1409</v>
      </c>
      <c r="C116" s="116" t="s">
        <v>70</v>
      </c>
      <c r="D116" s="116">
        <v>0</v>
      </c>
      <c r="E116" s="136">
        <f ca="1">OFFSET(INDEX(Composições!A:J,MATCH(Orçamentária!A116,Composições!A:A,0),8),2,0)</f>
        <v>130.87674999999999</v>
      </c>
      <c r="F116" s="137">
        <f t="shared" ca="1" si="13"/>
        <v>0</v>
      </c>
      <c r="G116" s="138" t="e">
        <f>IF(A116&lt;&gt;"",IF(AND(#REF!="Padrão",$H$4=#REF!),BDI!$B$17,IF(AND(#REF!="Padrão",$H$4=#REF!),BDI!#REF!,IF(AND(#REF!="Diferenciado",$H$4=#REF!),BDI!$E$17,IF(AND(#REF!="Diferenciado",$H$4=#REF!),BDI!#REF!,IF(#REF!="ZERO",0))))),"")</f>
        <v>#REF!</v>
      </c>
      <c r="H116" s="139" t="e">
        <f t="shared" ca="1" si="14"/>
        <v>#REF!</v>
      </c>
      <c r="I116" s="137" t="e">
        <f t="shared" ca="1" si="15"/>
        <v>#REF!</v>
      </c>
      <c r="J116" s="117"/>
      <c r="K116" s="116">
        <v>0</v>
      </c>
      <c r="M116" s="136" t="e">
        <f ca="1">OFFSET(INDEX([1]Composições!I:R,MATCH([1]Orçamentária!I116,[1]Composições!I:I,0),8),2,0)</f>
        <v>#REF!</v>
      </c>
      <c r="N116" t="e">
        <v>#REF!</v>
      </c>
      <c r="Q116" t="e">
        <v>#REF!</v>
      </c>
    </row>
    <row r="117" spans="1:17" hidden="1" x14ac:dyDescent="0.25">
      <c r="A117" s="114" t="s">
        <v>164</v>
      </c>
      <c r="B117" s="115" t="s">
        <v>1410</v>
      </c>
      <c r="C117" s="116" t="s">
        <v>70</v>
      </c>
      <c r="D117" s="116">
        <v>0</v>
      </c>
      <c r="E117" s="136">
        <f ca="1">OFFSET(INDEX(Composições!A:J,MATCH(Orçamentária!A117,Composições!A:A,0),8),2,0)</f>
        <v>150.9292379</v>
      </c>
      <c r="F117" s="137">
        <f t="shared" ca="1" si="13"/>
        <v>0</v>
      </c>
      <c r="G117" s="138" t="e">
        <f>IF(A117&lt;&gt;"",IF(AND(#REF!="Padrão",$H$4=#REF!),BDI!$B$17,IF(AND(#REF!="Padrão",$H$4=#REF!),BDI!#REF!,IF(AND(#REF!="Diferenciado",$H$4=#REF!),BDI!$E$17,IF(AND(#REF!="Diferenciado",$H$4=#REF!),BDI!#REF!,IF(#REF!="ZERO",0))))),"")</f>
        <v>#REF!</v>
      </c>
      <c r="H117" s="139" t="e">
        <f t="shared" ca="1" si="14"/>
        <v>#REF!</v>
      </c>
      <c r="I117" s="137" t="e">
        <f t="shared" ca="1" si="15"/>
        <v>#REF!</v>
      </c>
      <c r="J117" s="117"/>
      <c r="K117" s="116">
        <v>0</v>
      </c>
      <c r="M117" s="136" t="e">
        <f ca="1">OFFSET(INDEX([1]Composições!I:R,MATCH([1]Orçamentária!I117,[1]Composições!I:I,0),8),2,0)</f>
        <v>#REF!</v>
      </c>
      <c r="N117" t="e">
        <v>#REF!</v>
      </c>
      <c r="Q117" t="e">
        <v>#REF!</v>
      </c>
    </row>
    <row r="118" spans="1:17" hidden="1" x14ac:dyDescent="0.25">
      <c r="A118" s="114" t="s">
        <v>166</v>
      </c>
      <c r="B118" s="115" t="s">
        <v>1411</v>
      </c>
      <c r="C118" s="116" t="s">
        <v>69</v>
      </c>
      <c r="D118" s="116">
        <v>0</v>
      </c>
      <c r="E118" s="136">
        <f ca="1">OFFSET(INDEX(Composições!A:J,MATCH(Orçamentária!A118,Composições!A:A,0),8),2,0)</f>
        <v>14.525818249999997</v>
      </c>
      <c r="F118" s="137">
        <f t="shared" ca="1" si="13"/>
        <v>0</v>
      </c>
      <c r="G118" s="138" t="e">
        <f>IF(A118&lt;&gt;"",IF(AND(#REF!="Padrão",$H$4=#REF!),BDI!$B$17,IF(AND(#REF!="Padrão",$H$4=#REF!),BDI!#REF!,IF(AND(#REF!="Diferenciado",$H$4=#REF!),BDI!$E$17,IF(AND(#REF!="Diferenciado",$H$4=#REF!),BDI!#REF!,IF(#REF!="ZERO",0))))),"")</f>
        <v>#REF!</v>
      </c>
      <c r="H118" s="139" t="e">
        <f t="shared" ca="1" si="14"/>
        <v>#REF!</v>
      </c>
      <c r="I118" s="137" t="e">
        <f t="shared" ca="1" si="15"/>
        <v>#REF!</v>
      </c>
      <c r="J118" s="117"/>
      <c r="K118" s="116">
        <v>0</v>
      </c>
      <c r="M118" s="136" t="e">
        <f ca="1">OFFSET(INDEX([1]Composições!I:R,MATCH([1]Orçamentária!I118,[1]Composições!I:I,0),8),2,0)</f>
        <v>#REF!</v>
      </c>
      <c r="N118" t="e">
        <v>#REF!</v>
      </c>
      <c r="Q118" t="e">
        <v>#REF!</v>
      </c>
    </row>
    <row r="119" spans="1:17" hidden="1" x14ac:dyDescent="0.25">
      <c r="A119" s="114" t="s">
        <v>167</v>
      </c>
      <c r="B119" s="115" t="s">
        <v>1412</v>
      </c>
      <c r="C119" s="116" t="s">
        <v>70</v>
      </c>
      <c r="D119" s="116">
        <v>0</v>
      </c>
      <c r="E119" s="136">
        <f ca="1">OFFSET(INDEX(Composições!A:J,MATCH(Orçamentária!A119,Composições!A:A,0),8),2,0)</f>
        <v>60.177122999999987</v>
      </c>
      <c r="F119" s="137">
        <f t="shared" ca="1" si="13"/>
        <v>0</v>
      </c>
      <c r="G119" s="138" t="e">
        <f>IF(A119&lt;&gt;"",IF(AND(#REF!="Padrão",$H$4=#REF!),BDI!$B$17,IF(AND(#REF!="Padrão",$H$4=#REF!),BDI!#REF!,IF(AND(#REF!="Diferenciado",$H$4=#REF!),BDI!$E$17,IF(AND(#REF!="Diferenciado",$H$4=#REF!),BDI!#REF!,IF(#REF!="ZERO",0))))),"")</f>
        <v>#REF!</v>
      </c>
      <c r="H119" s="139" t="e">
        <f t="shared" ca="1" si="14"/>
        <v>#REF!</v>
      </c>
      <c r="I119" s="137" t="e">
        <f t="shared" ca="1" si="15"/>
        <v>#REF!</v>
      </c>
      <c r="J119" s="117"/>
      <c r="K119" s="116">
        <v>0</v>
      </c>
      <c r="M119" s="136" t="e">
        <f ca="1">OFFSET(INDEX([1]Composições!I:R,MATCH([1]Orçamentária!I119,[1]Composições!I:I,0),8),2,0)</f>
        <v>#REF!</v>
      </c>
      <c r="N119" t="e">
        <v>#REF!</v>
      </c>
      <c r="Q119" t="e">
        <v>#REF!</v>
      </c>
    </row>
    <row r="120" spans="1:17" hidden="1" x14ac:dyDescent="0.25">
      <c r="A120" s="114" t="s">
        <v>169</v>
      </c>
      <c r="B120" s="115" t="s">
        <v>1413</v>
      </c>
      <c r="C120" s="116" t="s">
        <v>70</v>
      </c>
      <c r="D120" s="116">
        <v>0</v>
      </c>
      <c r="E120" s="136">
        <f ca="1">OFFSET(INDEX(Composições!A:J,MATCH(Orçamentária!A120,Composições!A:A,0),8),2,0)</f>
        <v>60.177122999999987</v>
      </c>
      <c r="F120" s="137">
        <f t="shared" ca="1" si="13"/>
        <v>0</v>
      </c>
      <c r="G120" s="138" t="e">
        <f>IF(A120&lt;&gt;"",IF(AND(#REF!="Padrão",$H$4=#REF!),BDI!$B$17,IF(AND(#REF!="Padrão",$H$4=#REF!),BDI!#REF!,IF(AND(#REF!="Diferenciado",$H$4=#REF!),BDI!$E$17,IF(AND(#REF!="Diferenciado",$H$4=#REF!),BDI!#REF!,IF(#REF!="ZERO",0))))),"")</f>
        <v>#REF!</v>
      </c>
      <c r="H120" s="139" t="e">
        <f t="shared" ca="1" si="14"/>
        <v>#REF!</v>
      </c>
      <c r="I120" s="137" t="e">
        <f t="shared" ca="1" si="15"/>
        <v>#REF!</v>
      </c>
      <c r="J120" s="117"/>
      <c r="K120" s="116">
        <v>0</v>
      </c>
      <c r="M120" s="136" t="e">
        <f ca="1">OFFSET(INDEX([1]Composições!I:R,MATCH([1]Orçamentária!I120,[1]Composições!I:I,0),8),2,0)</f>
        <v>#REF!</v>
      </c>
      <c r="N120" t="e">
        <v>#REF!</v>
      </c>
      <c r="Q120" t="e">
        <v>#REF!</v>
      </c>
    </row>
    <row r="121" spans="1:17" hidden="1" x14ac:dyDescent="0.25">
      <c r="A121" s="114" t="s">
        <v>171</v>
      </c>
      <c r="B121" s="115" t="s">
        <v>1414</v>
      </c>
      <c r="C121" s="116" t="s">
        <v>69</v>
      </c>
      <c r="D121" s="116">
        <v>0</v>
      </c>
      <c r="E121" s="136">
        <f ca="1">OFFSET(INDEX(Composições!A:J,MATCH(Orçamentária!A121,Composições!A:A,0),8),2,0)</f>
        <v>31.998170749999996</v>
      </c>
      <c r="F121" s="137">
        <f t="shared" ca="1" si="13"/>
        <v>0</v>
      </c>
      <c r="G121" s="138" t="e">
        <f>IF(A121&lt;&gt;"",IF(AND(#REF!="Padrão",$H$4=#REF!),BDI!$B$17,IF(AND(#REF!="Padrão",$H$4=#REF!),BDI!#REF!,IF(AND(#REF!="Diferenciado",$H$4=#REF!),BDI!$E$17,IF(AND(#REF!="Diferenciado",$H$4=#REF!),BDI!#REF!,IF(#REF!="ZERO",0))))),"")</f>
        <v>#REF!</v>
      </c>
      <c r="H121" s="139" t="e">
        <f t="shared" ca="1" si="14"/>
        <v>#REF!</v>
      </c>
      <c r="I121" s="137" t="e">
        <f t="shared" ca="1" si="15"/>
        <v>#REF!</v>
      </c>
      <c r="J121" s="117"/>
      <c r="K121" s="116">
        <v>0</v>
      </c>
      <c r="M121" s="136" t="e">
        <f ca="1">OFFSET(INDEX([1]Composições!I:R,MATCH([1]Orçamentária!I121,[1]Composições!I:I,0),8),2,0)</f>
        <v>#REF!</v>
      </c>
      <c r="N121" t="e">
        <v>#REF!</v>
      </c>
      <c r="Q121" t="e">
        <v>#REF!</v>
      </c>
    </row>
    <row r="122" spans="1:17" hidden="1" x14ac:dyDescent="0.25">
      <c r="A122" s="114" t="s">
        <v>172</v>
      </c>
      <c r="B122" s="115" t="s">
        <v>1415</v>
      </c>
      <c r="C122" s="116" t="s">
        <v>69</v>
      </c>
      <c r="D122" s="116">
        <v>0</v>
      </c>
      <c r="E122" s="136">
        <f ca="1">OFFSET(INDEX(Composições!A:J,MATCH(Orçamentária!A122,Composições!A:A,0),8),2,0)</f>
        <v>54.073999999999998</v>
      </c>
      <c r="F122" s="137">
        <f t="shared" ca="1" si="13"/>
        <v>0</v>
      </c>
      <c r="G122" s="138" t="e">
        <f>IF(A122&lt;&gt;"",IF(AND(#REF!="Padrão",$H$4=#REF!),BDI!$B$17,IF(AND(#REF!="Padrão",$H$4=#REF!),BDI!#REF!,IF(AND(#REF!="Diferenciado",$H$4=#REF!),BDI!$E$17,IF(AND(#REF!="Diferenciado",$H$4=#REF!),BDI!#REF!,IF(#REF!="ZERO",0))))),"")</f>
        <v>#REF!</v>
      </c>
      <c r="H122" s="139" t="e">
        <f t="shared" ca="1" si="14"/>
        <v>#REF!</v>
      </c>
      <c r="I122" s="137" t="e">
        <f t="shared" ca="1" si="15"/>
        <v>#REF!</v>
      </c>
      <c r="J122" s="117"/>
      <c r="K122" s="116">
        <v>0</v>
      </c>
      <c r="M122" s="136" t="e">
        <f ca="1">OFFSET(INDEX([1]Composições!I:R,MATCH([1]Orçamentária!I122,[1]Composições!I:I,0),8),2,0)</f>
        <v>#REF!</v>
      </c>
      <c r="N122" t="e">
        <v>#REF!</v>
      </c>
      <c r="Q122" t="e">
        <v>#REF!</v>
      </c>
    </row>
    <row r="123" spans="1:17" hidden="1" x14ac:dyDescent="0.25">
      <c r="A123" s="114" t="s">
        <v>173</v>
      </c>
      <c r="B123" s="115" t="s">
        <v>1416</v>
      </c>
      <c r="C123" s="116" t="s">
        <v>69</v>
      </c>
      <c r="D123" s="116">
        <v>0</v>
      </c>
      <c r="E123" s="136">
        <f ca="1">OFFSET(INDEX(Composições!A:J,MATCH(Orçamentária!A123,Composições!A:A,0),8),2,0)</f>
        <v>47.314749999999997</v>
      </c>
      <c r="F123" s="137">
        <f t="shared" ca="1" si="13"/>
        <v>0</v>
      </c>
      <c r="G123" s="138" t="e">
        <f>IF(A123&lt;&gt;"",IF(AND(#REF!="Padrão",$H$4=#REF!),BDI!$B$17,IF(AND(#REF!="Padrão",$H$4=#REF!),BDI!#REF!,IF(AND(#REF!="Diferenciado",$H$4=#REF!),BDI!$E$17,IF(AND(#REF!="Diferenciado",$H$4=#REF!),BDI!#REF!,IF(#REF!="ZERO",0))))),"")</f>
        <v>#REF!</v>
      </c>
      <c r="H123" s="139" t="e">
        <f t="shared" ca="1" si="14"/>
        <v>#REF!</v>
      </c>
      <c r="I123" s="137" t="e">
        <f t="shared" ca="1" si="15"/>
        <v>#REF!</v>
      </c>
      <c r="J123" s="117"/>
      <c r="K123" s="116">
        <v>0</v>
      </c>
      <c r="M123" s="136" t="e">
        <f ca="1">OFFSET(INDEX([1]Composições!I:R,MATCH([1]Orçamentária!I123,[1]Composições!I:I,0),8),2,0)</f>
        <v>#REF!</v>
      </c>
      <c r="N123" t="e">
        <v>#REF!</v>
      </c>
      <c r="Q123" t="e">
        <v>#REF!</v>
      </c>
    </row>
    <row r="124" spans="1:17" hidden="1" x14ac:dyDescent="0.25">
      <c r="A124" s="114" t="s">
        <v>174</v>
      </c>
      <c r="B124" s="115" t="s">
        <v>1417</v>
      </c>
      <c r="C124" s="116" t="s">
        <v>69</v>
      </c>
      <c r="D124" s="116">
        <v>0</v>
      </c>
      <c r="E124" s="136">
        <f ca="1">OFFSET(INDEX(Composições!A:J,MATCH(Orçamentária!A124,Composições!A:A,0),8),2,0)</f>
        <v>27.036999999999999</v>
      </c>
      <c r="F124" s="137">
        <f t="shared" ca="1" si="13"/>
        <v>0</v>
      </c>
      <c r="G124" s="138" t="e">
        <f>IF(A124&lt;&gt;"",IF(AND(#REF!="Padrão",$H$4=#REF!),BDI!$B$17,IF(AND(#REF!="Padrão",$H$4=#REF!),BDI!#REF!,IF(AND(#REF!="Diferenciado",$H$4=#REF!),BDI!$E$17,IF(AND(#REF!="Diferenciado",$H$4=#REF!),BDI!#REF!,IF(#REF!="ZERO",0))))),"")</f>
        <v>#REF!</v>
      </c>
      <c r="H124" s="139" t="e">
        <f t="shared" ca="1" si="14"/>
        <v>#REF!</v>
      </c>
      <c r="I124" s="137" t="e">
        <f t="shared" ca="1" si="15"/>
        <v>#REF!</v>
      </c>
      <c r="J124" s="117"/>
      <c r="K124" s="116">
        <v>0</v>
      </c>
      <c r="M124" s="136" t="e">
        <f ca="1">OFFSET(INDEX([1]Composições!I:R,MATCH([1]Orçamentária!I124,[1]Composições!I:I,0),8),2,0)</f>
        <v>#REF!</v>
      </c>
      <c r="N124" t="e">
        <v>#REF!</v>
      </c>
      <c r="Q124" t="e">
        <v>#REF!</v>
      </c>
    </row>
    <row r="125" spans="1:17" hidden="1" x14ac:dyDescent="0.25">
      <c r="A125" s="114" t="s">
        <v>175</v>
      </c>
      <c r="B125" s="115" t="s">
        <v>1418</v>
      </c>
      <c r="C125" s="116" t="s">
        <v>69</v>
      </c>
      <c r="D125" s="116">
        <v>0</v>
      </c>
      <c r="E125" s="136">
        <f ca="1">OFFSET(INDEX(Composições!A:J,MATCH(Orçamentária!A125,Composições!A:A,0),8),2,0)</f>
        <v>33.796250000000001</v>
      </c>
      <c r="F125" s="137">
        <f t="shared" ca="1" si="13"/>
        <v>0</v>
      </c>
      <c r="G125" s="138" t="e">
        <f>IF(A125&lt;&gt;"",IF(AND(#REF!="Padrão",$H$4=#REF!),BDI!$B$17,IF(AND(#REF!="Padrão",$H$4=#REF!),BDI!#REF!,IF(AND(#REF!="Diferenciado",$H$4=#REF!),BDI!$E$17,IF(AND(#REF!="Diferenciado",$H$4=#REF!),BDI!#REF!,IF(#REF!="ZERO",0))))),"")</f>
        <v>#REF!</v>
      </c>
      <c r="H125" s="139" t="e">
        <f t="shared" ca="1" si="14"/>
        <v>#REF!</v>
      </c>
      <c r="I125" s="137" t="e">
        <f t="shared" ca="1" si="15"/>
        <v>#REF!</v>
      </c>
      <c r="J125" s="117"/>
      <c r="K125" s="116">
        <v>0</v>
      </c>
      <c r="M125" s="136" t="e">
        <f ca="1">OFFSET(INDEX([1]Composições!I:R,MATCH([1]Orçamentária!I125,[1]Composições!I:I,0),8),2,0)</f>
        <v>#REF!</v>
      </c>
      <c r="N125" t="e">
        <v>#REF!</v>
      </c>
      <c r="Q125" t="e">
        <v>#REF!</v>
      </c>
    </row>
    <row r="126" spans="1:17" hidden="1" x14ac:dyDescent="0.25">
      <c r="A126" s="114" t="s">
        <v>176</v>
      </c>
      <c r="B126" s="115" t="s">
        <v>1419</v>
      </c>
      <c r="C126" s="116" t="s">
        <v>16</v>
      </c>
      <c r="D126" s="116">
        <v>0</v>
      </c>
      <c r="E126" s="136">
        <f ca="1">OFFSET(INDEX(Composições!A:J,MATCH(Orçamentária!A126,Composições!A:A,0),8),2,0)</f>
        <v>113.715</v>
      </c>
      <c r="F126" s="137">
        <f t="shared" ca="1" si="13"/>
        <v>0</v>
      </c>
      <c r="G126" s="138" t="e">
        <f>IF(A126&lt;&gt;"",IF(AND(#REF!="Padrão",$H$4=#REF!),BDI!$B$17,IF(AND(#REF!="Padrão",$H$4=#REF!),BDI!#REF!,IF(AND(#REF!="Diferenciado",$H$4=#REF!),BDI!$E$17,IF(AND(#REF!="Diferenciado",$H$4=#REF!),BDI!#REF!,IF(#REF!="ZERO",0))))),"")</f>
        <v>#REF!</v>
      </c>
      <c r="H126" s="139" t="e">
        <f t="shared" ca="1" si="14"/>
        <v>#REF!</v>
      </c>
      <c r="I126" s="137" t="e">
        <f t="shared" ca="1" si="15"/>
        <v>#REF!</v>
      </c>
      <c r="J126" s="117"/>
      <c r="K126" s="116">
        <v>0</v>
      </c>
      <c r="M126" s="136" t="e">
        <f ca="1">OFFSET(INDEX([1]Composições!I:R,MATCH([1]Orçamentária!I126,[1]Composições!I:I,0),8),2,0)</f>
        <v>#REF!</v>
      </c>
      <c r="N126" t="e">
        <v>#REF!</v>
      </c>
      <c r="Q126" t="e">
        <v>#REF!</v>
      </c>
    </row>
    <row r="127" spans="1:17" ht="25.5" hidden="1" x14ac:dyDescent="0.25">
      <c r="A127" s="114" t="s">
        <v>178</v>
      </c>
      <c r="B127" s="115" t="s">
        <v>1420</v>
      </c>
      <c r="C127" s="116" t="s">
        <v>16</v>
      </c>
      <c r="D127" s="116">
        <v>0</v>
      </c>
      <c r="E127" s="136">
        <f ca="1">OFFSET(INDEX(Composições!A:J,MATCH(Orçamentária!A127,Composições!A:A,0),8),2,0)</f>
        <v>17.052499999999998</v>
      </c>
      <c r="F127" s="137">
        <f t="shared" ca="1" si="13"/>
        <v>0</v>
      </c>
      <c r="G127" s="138" t="e">
        <f>IF(A127&lt;&gt;"",IF(AND(#REF!="Padrão",$H$4=#REF!),BDI!$B$17,IF(AND(#REF!="Padrão",$H$4=#REF!),BDI!#REF!,IF(AND(#REF!="Diferenciado",$H$4=#REF!),BDI!$E$17,IF(AND(#REF!="Diferenciado",$H$4=#REF!),BDI!#REF!,IF(#REF!="ZERO",0))))),"")</f>
        <v>#REF!</v>
      </c>
      <c r="H127" s="139" t="e">
        <f t="shared" ca="1" si="14"/>
        <v>#REF!</v>
      </c>
      <c r="I127" s="137" t="e">
        <f t="shared" ca="1" si="15"/>
        <v>#REF!</v>
      </c>
      <c r="J127" s="117"/>
      <c r="K127" s="116">
        <v>0</v>
      </c>
      <c r="M127" s="136" t="e">
        <f ca="1">OFFSET(INDEX([1]Composições!I:R,MATCH([1]Orçamentária!I127,[1]Composições!I:I,0),8),2,0)</f>
        <v>#REF!</v>
      </c>
      <c r="N127" t="e">
        <v>#REF!</v>
      </c>
      <c r="Q127" t="e">
        <v>#REF!</v>
      </c>
    </row>
    <row r="128" spans="1:17" hidden="1" x14ac:dyDescent="0.25">
      <c r="A128" s="114" t="s">
        <v>179</v>
      </c>
      <c r="B128" s="115" t="s">
        <v>7554</v>
      </c>
      <c r="C128" s="116" t="s">
        <v>70</v>
      </c>
      <c r="D128" s="116">
        <v>0</v>
      </c>
      <c r="E128" s="136">
        <f ca="1">OFFSET(INDEX(Composições!A:J,MATCH(Orçamentária!A128,Composições!A:A,0),8),2,0)</f>
        <v>87.250325599999996</v>
      </c>
      <c r="F128" s="137">
        <f t="shared" ca="1" si="13"/>
        <v>0</v>
      </c>
      <c r="G128" s="138" t="e">
        <f>IF(A128&lt;&gt;"",IF(AND(#REF!="Padrão",$H$4=#REF!),BDI!$B$17,IF(AND(#REF!="Padrão",$H$4=#REF!),BDI!#REF!,IF(AND(#REF!="Diferenciado",$H$4=#REF!),BDI!$E$17,IF(AND(#REF!="Diferenciado",$H$4=#REF!),BDI!#REF!,IF(#REF!="ZERO",0))))),"")</f>
        <v>#REF!</v>
      </c>
      <c r="H128" s="139" t="e">
        <f t="shared" ca="1" si="14"/>
        <v>#REF!</v>
      </c>
      <c r="I128" s="137" t="e">
        <f t="shared" ca="1" si="15"/>
        <v>#REF!</v>
      </c>
      <c r="J128" s="117"/>
      <c r="K128" s="116">
        <v>0</v>
      </c>
      <c r="M128" s="136" t="e">
        <f ca="1">OFFSET(INDEX([1]Composições!I:R,MATCH([1]Orçamentária!I128,[1]Composições!I:I,0),8),2,0)</f>
        <v>#REF!</v>
      </c>
      <c r="N128" t="e">
        <v>#REF!</v>
      </c>
      <c r="Q128" t="e">
        <v>#REF!</v>
      </c>
    </row>
    <row r="129" spans="1:17" hidden="1" x14ac:dyDescent="0.25">
      <c r="A129" s="114" t="s">
        <v>181</v>
      </c>
      <c r="B129" s="115" t="s">
        <v>7555</v>
      </c>
      <c r="C129" s="116" t="s">
        <v>70</v>
      </c>
      <c r="D129" s="116">
        <v>0</v>
      </c>
      <c r="E129" s="136">
        <f ca="1">OFFSET(INDEX(Composições!A:J,MATCH(Orçamentária!A129,Composições!A:A,0),8),2,0)</f>
        <v>155.11190929999998</v>
      </c>
      <c r="F129" s="137">
        <f t="shared" ca="1" si="13"/>
        <v>0</v>
      </c>
      <c r="G129" s="138" t="e">
        <f>IF(A129&lt;&gt;"",IF(AND(#REF!="Padrão",$H$4=#REF!),BDI!$B$17,IF(AND(#REF!="Padrão",$H$4=#REF!),BDI!#REF!,IF(AND(#REF!="Diferenciado",$H$4=#REF!),BDI!$E$17,IF(AND(#REF!="Diferenciado",$H$4=#REF!),BDI!#REF!,IF(#REF!="ZERO",0))))),"")</f>
        <v>#REF!</v>
      </c>
      <c r="H129" s="139" t="e">
        <f t="shared" ca="1" si="14"/>
        <v>#REF!</v>
      </c>
      <c r="I129" s="137" t="e">
        <f t="shared" ca="1" si="15"/>
        <v>#REF!</v>
      </c>
      <c r="J129" s="117"/>
      <c r="K129" s="116">
        <v>0</v>
      </c>
      <c r="M129" s="136" t="e">
        <f ca="1">OFFSET(INDEX([1]Composições!I:R,MATCH([1]Orçamentária!I129,[1]Composições!I:I,0),8),2,0)</f>
        <v>#REF!</v>
      </c>
      <c r="N129" t="e">
        <v>#REF!</v>
      </c>
      <c r="Q129" t="e">
        <v>#REF!</v>
      </c>
    </row>
    <row r="130" spans="1:17" hidden="1" x14ac:dyDescent="0.25">
      <c r="A130" s="114" t="s">
        <v>183</v>
      </c>
      <c r="B130" s="115" t="s">
        <v>7556</v>
      </c>
      <c r="C130" s="116" t="s">
        <v>70</v>
      </c>
      <c r="D130" s="116">
        <v>0</v>
      </c>
      <c r="E130" s="136">
        <f ca="1">OFFSET(INDEX(Composições!A:J,MATCH(Orçamentária!A130,Composições!A:A,0),8),2,0)</f>
        <v>111.88545199999999</v>
      </c>
      <c r="F130" s="137">
        <f t="shared" ca="1" si="13"/>
        <v>0</v>
      </c>
      <c r="G130" s="138" t="e">
        <f>IF(A130&lt;&gt;"",IF(AND(#REF!="Padrão",$H$4=#REF!),BDI!$B$17,IF(AND(#REF!="Padrão",$H$4=#REF!),BDI!#REF!,IF(AND(#REF!="Diferenciado",$H$4=#REF!),BDI!$E$17,IF(AND(#REF!="Diferenciado",$H$4=#REF!),BDI!#REF!,IF(#REF!="ZERO",0))))),"")</f>
        <v>#REF!</v>
      </c>
      <c r="H130" s="139" t="e">
        <f t="shared" ca="1" si="14"/>
        <v>#REF!</v>
      </c>
      <c r="I130" s="137" t="e">
        <f t="shared" ca="1" si="15"/>
        <v>#REF!</v>
      </c>
      <c r="J130" s="117"/>
      <c r="K130" s="116">
        <v>0</v>
      </c>
      <c r="M130" s="136" t="e">
        <f ca="1">OFFSET(INDEX([1]Composições!I:R,MATCH([1]Orçamentária!I130,[1]Composições!I:I,0),8),2,0)</f>
        <v>#REF!</v>
      </c>
      <c r="N130" t="e">
        <v>#REF!</v>
      </c>
      <c r="Q130" t="e">
        <v>#REF!</v>
      </c>
    </row>
    <row r="131" spans="1:17" hidden="1" x14ac:dyDescent="0.25">
      <c r="A131" s="114" t="s">
        <v>185</v>
      </c>
      <c r="B131" s="115" t="s">
        <v>7557</v>
      </c>
      <c r="C131" s="116" t="s">
        <v>70</v>
      </c>
      <c r="D131" s="116">
        <v>0</v>
      </c>
      <c r="E131" s="136">
        <f ca="1">OFFSET(INDEX(Composições!A:J,MATCH(Orçamentária!A131,Composições!A:A,0),8),2,0)</f>
        <v>87.250325599999996</v>
      </c>
      <c r="F131" s="137">
        <f t="shared" ca="1" si="13"/>
        <v>0</v>
      </c>
      <c r="G131" s="138" t="e">
        <f>IF(A131&lt;&gt;"",IF(AND(#REF!="Padrão",$H$4=#REF!),BDI!$B$17,IF(AND(#REF!="Padrão",$H$4=#REF!),BDI!#REF!,IF(AND(#REF!="Diferenciado",$H$4=#REF!),BDI!$E$17,IF(AND(#REF!="Diferenciado",$H$4=#REF!),BDI!#REF!,IF(#REF!="ZERO",0))))),"")</f>
        <v>#REF!</v>
      </c>
      <c r="H131" s="139" t="e">
        <f t="shared" ca="1" si="14"/>
        <v>#REF!</v>
      </c>
      <c r="I131" s="137" t="e">
        <f t="shared" ca="1" si="15"/>
        <v>#REF!</v>
      </c>
      <c r="J131" s="117"/>
      <c r="K131" s="116">
        <v>0</v>
      </c>
      <c r="M131" s="136" t="e">
        <f ca="1">OFFSET(INDEX([1]Composições!I:R,MATCH([1]Orçamentária!I131,[1]Composições!I:I,0),8),2,0)</f>
        <v>#REF!</v>
      </c>
      <c r="N131" t="e">
        <v>#REF!</v>
      </c>
      <c r="Q131" t="e">
        <v>#REF!</v>
      </c>
    </row>
    <row r="132" spans="1:17" hidden="1" x14ac:dyDescent="0.25">
      <c r="A132" s="114" t="s">
        <v>187</v>
      </c>
      <c r="B132" s="115" t="s">
        <v>7558</v>
      </c>
      <c r="C132" s="116" t="s">
        <v>70</v>
      </c>
      <c r="D132" s="116">
        <v>0</v>
      </c>
      <c r="E132" s="136">
        <f ca="1">OFFSET(INDEX(Composições!A:J,MATCH(Orçamentária!A132,Composições!A:A,0),8),2,0)</f>
        <v>155.11190929999998</v>
      </c>
      <c r="F132" s="137">
        <f t="shared" ca="1" si="13"/>
        <v>0</v>
      </c>
      <c r="G132" s="138" t="e">
        <f>IF(A132&lt;&gt;"",IF(AND(#REF!="Padrão",$H$4=#REF!),BDI!$B$17,IF(AND(#REF!="Padrão",$H$4=#REF!),BDI!#REF!,IF(AND(#REF!="Diferenciado",$H$4=#REF!),BDI!$E$17,IF(AND(#REF!="Diferenciado",$H$4=#REF!),BDI!#REF!,IF(#REF!="ZERO",0))))),"")</f>
        <v>#REF!</v>
      </c>
      <c r="H132" s="139" t="e">
        <f t="shared" ca="1" si="14"/>
        <v>#REF!</v>
      </c>
      <c r="I132" s="137" t="e">
        <f t="shared" ca="1" si="15"/>
        <v>#REF!</v>
      </c>
      <c r="J132" s="117"/>
      <c r="K132" s="116">
        <v>0</v>
      </c>
      <c r="M132" s="136" t="e">
        <f ca="1">OFFSET(INDEX([1]Composições!I:R,MATCH([1]Orçamentária!I132,[1]Composições!I:I,0),8),2,0)</f>
        <v>#REF!</v>
      </c>
      <c r="N132" t="e">
        <v>#REF!</v>
      </c>
      <c r="Q132" t="e">
        <v>#REF!</v>
      </c>
    </row>
    <row r="133" spans="1:17" hidden="1" x14ac:dyDescent="0.25">
      <c r="A133" s="114" t="s">
        <v>189</v>
      </c>
      <c r="B133" s="115" t="s">
        <v>1421</v>
      </c>
      <c r="C133" s="116" t="s">
        <v>70</v>
      </c>
      <c r="D133" s="116">
        <v>0</v>
      </c>
      <c r="E133" s="136">
        <f ca="1">OFFSET(INDEX(Composições!A:J,MATCH(Orçamentária!A133,Composições!A:A,0),8),2,0)</f>
        <v>155.11190929999998</v>
      </c>
      <c r="F133" s="137">
        <f t="shared" ca="1" si="13"/>
        <v>0</v>
      </c>
      <c r="G133" s="138" t="e">
        <f>IF(A133&lt;&gt;"",IF(AND(#REF!="Padrão",$H$4=#REF!),BDI!$B$17,IF(AND(#REF!="Padrão",$H$4=#REF!),BDI!#REF!,IF(AND(#REF!="Diferenciado",$H$4=#REF!),BDI!$E$17,IF(AND(#REF!="Diferenciado",$H$4=#REF!),BDI!#REF!,IF(#REF!="ZERO",0))))),"")</f>
        <v>#REF!</v>
      </c>
      <c r="H133" s="139" t="e">
        <f t="shared" ca="1" si="14"/>
        <v>#REF!</v>
      </c>
      <c r="I133" s="137" t="e">
        <f t="shared" ca="1" si="15"/>
        <v>#REF!</v>
      </c>
      <c r="J133" s="117"/>
      <c r="K133" s="116">
        <v>0</v>
      </c>
      <c r="M133" s="136" t="e">
        <f ca="1">OFFSET(INDEX([1]Composições!I:R,MATCH([1]Orçamentária!I133,[1]Composições!I:I,0),8),2,0)</f>
        <v>#REF!</v>
      </c>
      <c r="N133" t="e">
        <v>#REF!</v>
      </c>
      <c r="Q133" t="e">
        <v>#REF!</v>
      </c>
    </row>
    <row r="134" spans="1:17" hidden="1" x14ac:dyDescent="0.25">
      <c r="A134" s="114" t="s">
        <v>190</v>
      </c>
      <c r="B134" s="115" t="s">
        <v>5422</v>
      </c>
      <c r="C134" s="116" t="s">
        <v>70</v>
      </c>
      <c r="D134" s="116">
        <v>0</v>
      </c>
      <c r="E134" s="136">
        <f ca="1">OFFSET(INDEX(Composições!A:J,MATCH(Orçamentária!A134,Composições!A:A,0),8),2,0)</f>
        <v>13.087674999999997</v>
      </c>
      <c r="F134" s="137">
        <f t="shared" ca="1" si="13"/>
        <v>0</v>
      </c>
      <c r="G134" s="138" t="e">
        <f>IF(A134&lt;&gt;"",IF(AND(#REF!="Padrão",$H$4=#REF!),BDI!$B$17,IF(AND(#REF!="Padrão",$H$4=#REF!),BDI!#REF!,IF(AND(#REF!="Diferenciado",$H$4=#REF!),BDI!$E$17,IF(AND(#REF!="Diferenciado",$H$4=#REF!),BDI!#REF!,IF(#REF!="ZERO",0))))),"")</f>
        <v>#REF!</v>
      </c>
      <c r="H134" s="139" t="e">
        <f t="shared" ca="1" si="14"/>
        <v>#REF!</v>
      </c>
      <c r="I134" s="137" t="e">
        <f t="shared" ca="1" si="15"/>
        <v>#REF!</v>
      </c>
      <c r="J134" s="117"/>
      <c r="K134" s="116">
        <v>0</v>
      </c>
      <c r="M134" s="136" t="e">
        <f ca="1">OFFSET(INDEX([1]Composições!I:R,MATCH([1]Orçamentária!I134,[1]Composições!I:I,0),8),2,0)</f>
        <v>#REF!</v>
      </c>
      <c r="N134" t="e">
        <v>#REF!</v>
      </c>
      <c r="Q134" t="e">
        <v>#REF!</v>
      </c>
    </row>
    <row r="135" spans="1:17" hidden="1" x14ac:dyDescent="0.25">
      <c r="A135" s="114" t="s">
        <v>191</v>
      </c>
      <c r="B135" s="115" t="s">
        <v>1422</v>
      </c>
      <c r="C135" s="116" t="s">
        <v>70</v>
      </c>
      <c r="D135" s="116">
        <v>0</v>
      </c>
      <c r="E135" s="136">
        <f ca="1">OFFSET(INDEX(Composições!A:J,MATCH(Orçamentária!A135,Composições!A:A,0),8),2,0)</f>
        <v>59.69300299999999</v>
      </c>
      <c r="F135" s="137">
        <f t="shared" ref="F135:F198" ca="1" si="16">IF(ISNUMBER(E135),D135*E135,"")</f>
        <v>0</v>
      </c>
      <c r="G135" s="138" t="e">
        <f>IF(A135&lt;&gt;"",IF(AND(#REF!="Padrão",$H$4=#REF!),BDI!$B$17,IF(AND(#REF!="Padrão",$H$4=#REF!),BDI!#REF!,IF(AND(#REF!="Diferenciado",$H$4=#REF!),BDI!$E$17,IF(AND(#REF!="Diferenciado",$H$4=#REF!),BDI!#REF!,IF(#REF!="ZERO",0))))),"")</f>
        <v>#REF!</v>
      </c>
      <c r="H135" s="139" t="e">
        <f t="shared" ref="H135:H198" ca="1" si="17">IF(ISNUMBER(E135),ROUND(E135*(1+G135),2),"")</f>
        <v>#REF!</v>
      </c>
      <c r="I135" s="137" t="e">
        <f t="shared" ref="I135:I198" ca="1" si="18">IF(ISNUMBER(E135),ROUND(H135*D135,2),"")</f>
        <v>#REF!</v>
      </c>
      <c r="J135" s="117"/>
      <c r="K135" s="116">
        <v>0</v>
      </c>
      <c r="M135" s="136" t="e">
        <f ca="1">OFFSET(INDEX([1]Composições!I:R,MATCH([1]Orçamentária!I135,[1]Composições!I:I,0),8),2,0)</f>
        <v>#REF!</v>
      </c>
      <c r="N135" t="e">
        <v>#REF!</v>
      </c>
      <c r="Q135" t="e">
        <v>#REF!</v>
      </c>
    </row>
    <row r="136" spans="1:17" hidden="1" x14ac:dyDescent="0.25">
      <c r="A136" s="114" t="s">
        <v>192</v>
      </c>
      <c r="B136" s="115" t="s">
        <v>7559</v>
      </c>
      <c r="C136" s="116" t="s">
        <v>70</v>
      </c>
      <c r="D136" s="116">
        <v>0</v>
      </c>
      <c r="E136" s="136">
        <f ca="1">OFFSET(INDEX(Composições!A:J,MATCH(Orçamentária!A136,Composições!A:A,0),8),2,0)</f>
        <v>60.177122999999987</v>
      </c>
      <c r="F136" s="137">
        <f t="shared" ca="1" si="16"/>
        <v>0</v>
      </c>
      <c r="G136" s="138" t="e">
        <f>IF(A136&lt;&gt;"",IF(AND(#REF!="Padrão",$H$4=#REF!),BDI!$B$17,IF(AND(#REF!="Padrão",$H$4=#REF!),BDI!#REF!,IF(AND(#REF!="Diferenciado",$H$4=#REF!),BDI!$E$17,IF(AND(#REF!="Diferenciado",$H$4=#REF!),BDI!#REF!,IF(#REF!="ZERO",0))))),"")</f>
        <v>#REF!</v>
      </c>
      <c r="H136" s="139" t="e">
        <f t="shared" ca="1" si="17"/>
        <v>#REF!</v>
      </c>
      <c r="I136" s="137" t="e">
        <f t="shared" ca="1" si="18"/>
        <v>#REF!</v>
      </c>
      <c r="J136" s="117"/>
      <c r="K136" s="116">
        <v>0</v>
      </c>
      <c r="M136" s="136" t="e">
        <f ca="1">OFFSET(INDEX([1]Composições!I:R,MATCH([1]Orçamentária!I136,[1]Composições!I:I,0),8),2,0)</f>
        <v>#REF!</v>
      </c>
      <c r="N136" t="e">
        <v>#REF!</v>
      </c>
      <c r="Q136" t="e">
        <v>#REF!</v>
      </c>
    </row>
    <row r="137" spans="1:17" hidden="1" x14ac:dyDescent="0.25">
      <c r="A137" s="114" t="s">
        <v>1423</v>
      </c>
      <c r="B137" s="115" t="s">
        <v>1424</v>
      </c>
      <c r="C137" s="116" t="s">
        <v>70</v>
      </c>
      <c r="D137" s="116">
        <v>0</v>
      </c>
      <c r="E137" s="136" t="s">
        <v>416</v>
      </c>
      <c r="F137" s="137" t="str">
        <f t="shared" si="16"/>
        <v/>
      </c>
      <c r="G137" s="138" t="e">
        <f>IF(A137&lt;&gt;"",IF(AND(#REF!="Padrão",$H$4=#REF!),BDI!$B$17,IF(AND(#REF!="Padrão",$H$4=#REF!),BDI!#REF!,IF(AND(#REF!="Diferenciado",$H$4=#REF!),BDI!$E$17,IF(AND(#REF!="Diferenciado",$H$4=#REF!),BDI!#REF!,IF(#REF!="ZERO",0))))),"")</f>
        <v>#REF!</v>
      </c>
      <c r="H137" s="139" t="str">
        <f t="shared" si="17"/>
        <v/>
      </c>
      <c r="I137" s="137" t="str">
        <f t="shared" si="18"/>
        <v/>
      </c>
      <c r="J137" s="117"/>
      <c r="K137" s="116">
        <v>0</v>
      </c>
      <c r="M137" s="136" t="s">
        <v>416</v>
      </c>
      <c r="N137" t="e">
        <v>#REF!</v>
      </c>
      <c r="Q137" t="s">
        <v>416</v>
      </c>
    </row>
    <row r="138" spans="1:17" ht="25.5" hidden="1" x14ac:dyDescent="0.25">
      <c r="A138" s="114" t="s">
        <v>1425</v>
      </c>
      <c r="B138" s="115" t="s">
        <v>1426</v>
      </c>
      <c r="C138" s="116" t="s">
        <v>70</v>
      </c>
      <c r="D138" s="116">
        <v>0</v>
      </c>
      <c r="E138" s="136" t="s">
        <v>416</v>
      </c>
      <c r="F138" s="137" t="str">
        <f t="shared" si="16"/>
        <v/>
      </c>
      <c r="G138" s="138" t="e">
        <f>IF(A138&lt;&gt;"",IF(AND(#REF!="Padrão",$H$4=#REF!),BDI!$B$17,IF(AND(#REF!="Padrão",$H$4=#REF!),BDI!#REF!,IF(AND(#REF!="Diferenciado",$H$4=#REF!),BDI!$E$17,IF(AND(#REF!="Diferenciado",$H$4=#REF!),BDI!#REF!,IF(#REF!="ZERO",0))))),"")</f>
        <v>#REF!</v>
      </c>
      <c r="H138" s="139" t="str">
        <f t="shared" si="17"/>
        <v/>
      </c>
      <c r="I138" s="137" t="str">
        <f t="shared" si="18"/>
        <v/>
      </c>
      <c r="J138" s="117"/>
      <c r="K138" s="116">
        <v>0</v>
      </c>
      <c r="M138" s="136" t="s">
        <v>416</v>
      </c>
      <c r="N138" t="e">
        <v>#REF!</v>
      </c>
      <c r="Q138" t="s">
        <v>416</v>
      </c>
    </row>
    <row r="139" spans="1:17" hidden="1" x14ac:dyDescent="0.25">
      <c r="A139" s="114" t="s">
        <v>1427</v>
      </c>
      <c r="B139" s="115" t="s">
        <v>1428</v>
      </c>
      <c r="C139" s="116" t="s">
        <v>70</v>
      </c>
      <c r="D139" s="116">
        <v>0</v>
      </c>
      <c r="E139" s="136" t="s">
        <v>416</v>
      </c>
      <c r="F139" s="137" t="str">
        <f t="shared" si="16"/>
        <v/>
      </c>
      <c r="G139" s="138" t="e">
        <f>IF(A139&lt;&gt;"",IF(AND(#REF!="Padrão",$H$4=#REF!),BDI!$B$17,IF(AND(#REF!="Padrão",$H$4=#REF!),BDI!#REF!,IF(AND(#REF!="Diferenciado",$H$4=#REF!),BDI!$E$17,IF(AND(#REF!="Diferenciado",$H$4=#REF!),BDI!#REF!,IF(#REF!="ZERO",0))))),"")</f>
        <v>#REF!</v>
      </c>
      <c r="H139" s="139" t="str">
        <f t="shared" si="17"/>
        <v/>
      </c>
      <c r="I139" s="137" t="str">
        <f t="shared" si="18"/>
        <v/>
      </c>
      <c r="J139" s="117"/>
      <c r="K139" s="116">
        <v>0</v>
      </c>
      <c r="M139" s="136" t="s">
        <v>416</v>
      </c>
      <c r="N139" t="e">
        <v>#REF!</v>
      </c>
      <c r="Q139" t="s">
        <v>416</v>
      </c>
    </row>
    <row r="140" spans="1:17" hidden="1" x14ac:dyDescent="0.25">
      <c r="A140" s="114" t="s">
        <v>1429</v>
      </c>
      <c r="B140" s="115" t="s">
        <v>1430</v>
      </c>
      <c r="C140" s="116" t="s">
        <v>70</v>
      </c>
      <c r="D140" s="116">
        <v>0</v>
      </c>
      <c r="E140" s="136" t="s">
        <v>416</v>
      </c>
      <c r="F140" s="137" t="str">
        <f t="shared" si="16"/>
        <v/>
      </c>
      <c r="G140" s="138" t="e">
        <f>IF(A140&lt;&gt;"",IF(AND(#REF!="Padrão",$H$4=#REF!),BDI!$B$17,IF(AND(#REF!="Padrão",$H$4=#REF!),BDI!#REF!,IF(AND(#REF!="Diferenciado",$H$4=#REF!),BDI!$E$17,IF(AND(#REF!="Diferenciado",$H$4=#REF!),BDI!#REF!,IF(#REF!="ZERO",0))))),"")</f>
        <v>#REF!</v>
      </c>
      <c r="H140" s="139" t="str">
        <f t="shared" si="17"/>
        <v/>
      </c>
      <c r="I140" s="137" t="str">
        <f t="shared" si="18"/>
        <v/>
      </c>
      <c r="J140" s="117"/>
      <c r="K140" s="116">
        <v>0</v>
      </c>
      <c r="M140" s="136" t="s">
        <v>416</v>
      </c>
      <c r="N140" t="e">
        <v>#REF!</v>
      </c>
      <c r="Q140" t="s">
        <v>416</v>
      </c>
    </row>
    <row r="141" spans="1:17" hidden="1" x14ac:dyDescent="0.25">
      <c r="A141" s="114" t="s">
        <v>1431</v>
      </c>
      <c r="B141" s="115" t="s">
        <v>1432</v>
      </c>
      <c r="C141" s="116" t="s">
        <v>70</v>
      </c>
      <c r="D141" s="116">
        <v>0</v>
      </c>
      <c r="E141" s="136" t="s">
        <v>416</v>
      </c>
      <c r="F141" s="137" t="str">
        <f t="shared" si="16"/>
        <v/>
      </c>
      <c r="G141" s="138" t="e">
        <f>IF(A141&lt;&gt;"",IF(AND(#REF!="Padrão",$H$4=#REF!),BDI!$B$17,IF(AND(#REF!="Padrão",$H$4=#REF!),BDI!#REF!,IF(AND(#REF!="Diferenciado",$H$4=#REF!),BDI!$E$17,IF(AND(#REF!="Diferenciado",$H$4=#REF!),BDI!#REF!,IF(#REF!="ZERO",0))))),"")</f>
        <v>#REF!</v>
      </c>
      <c r="H141" s="139" t="str">
        <f t="shared" si="17"/>
        <v/>
      </c>
      <c r="I141" s="137" t="str">
        <f t="shared" si="18"/>
        <v/>
      </c>
      <c r="J141" s="117"/>
      <c r="K141" s="116">
        <v>0</v>
      </c>
      <c r="M141" s="136" t="s">
        <v>416</v>
      </c>
      <c r="N141" t="e">
        <v>#REF!</v>
      </c>
      <c r="Q141" t="s">
        <v>416</v>
      </c>
    </row>
    <row r="142" spans="1:17" hidden="1" x14ac:dyDescent="0.25">
      <c r="A142" s="114" t="s">
        <v>1433</v>
      </c>
      <c r="B142" s="115" t="s">
        <v>1434</v>
      </c>
      <c r="C142" s="116" t="s">
        <v>70</v>
      </c>
      <c r="D142" s="116">
        <v>0</v>
      </c>
      <c r="E142" s="136" t="s">
        <v>416</v>
      </c>
      <c r="F142" s="137" t="str">
        <f t="shared" si="16"/>
        <v/>
      </c>
      <c r="G142" s="138" t="e">
        <f>IF(A142&lt;&gt;"",IF(AND(#REF!="Padrão",$H$4=#REF!),BDI!$B$17,IF(AND(#REF!="Padrão",$H$4=#REF!),BDI!#REF!,IF(AND(#REF!="Diferenciado",$H$4=#REF!),BDI!$E$17,IF(AND(#REF!="Diferenciado",$H$4=#REF!),BDI!#REF!,IF(#REF!="ZERO",0))))),"")</f>
        <v>#REF!</v>
      </c>
      <c r="H142" s="139" t="str">
        <f t="shared" si="17"/>
        <v/>
      </c>
      <c r="I142" s="137" t="str">
        <f t="shared" si="18"/>
        <v/>
      </c>
      <c r="J142" s="117"/>
      <c r="K142" s="116">
        <v>0</v>
      </c>
      <c r="M142" s="136" t="s">
        <v>416</v>
      </c>
      <c r="N142" t="e">
        <v>#REF!</v>
      </c>
      <c r="Q142" t="s">
        <v>416</v>
      </c>
    </row>
    <row r="143" spans="1:17" hidden="1" x14ac:dyDescent="0.25">
      <c r="A143" s="114" t="s">
        <v>194</v>
      </c>
      <c r="B143" s="115" t="s">
        <v>1435</v>
      </c>
      <c r="C143" s="116" t="s">
        <v>70</v>
      </c>
      <c r="D143" s="116">
        <v>0</v>
      </c>
      <c r="E143" s="136">
        <f ca="1">OFFSET(INDEX(Composições!A:J,MATCH(Orçamentária!A143,Composições!A:A,0),8),2,0)</f>
        <v>0</v>
      </c>
      <c r="F143" s="137">
        <f t="shared" ca="1" si="16"/>
        <v>0</v>
      </c>
      <c r="G143" s="138" t="e">
        <f>IF(A143&lt;&gt;"",IF(AND(#REF!="Padrão",$H$4=#REF!),BDI!$B$17,IF(AND(#REF!="Padrão",$H$4=#REF!),BDI!#REF!,IF(AND(#REF!="Diferenciado",$H$4=#REF!),BDI!$E$17,IF(AND(#REF!="Diferenciado",$H$4=#REF!),BDI!#REF!,IF(#REF!="ZERO",0))))),"")</f>
        <v>#REF!</v>
      </c>
      <c r="H143" s="139" t="e">
        <f t="shared" ca="1" si="17"/>
        <v>#REF!</v>
      </c>
      <c r="I143" s="137" t="e">
        <f t="shared" ca="1" si="18"/>
        <v>#REF!</v>
      </c>
      <c r="J143" s="117"/>
      <c r="K143" s="116">
        <v>0</v>
      </c>
      <c r="M143" s="136" t="e">
        <f ca="1">OFFSET(INDEX([1]Composições!I:R,MATCH([1]Orçamentária!I143,[1]Composições!I:I,0),8),2,0)</f>
        <v>#REF!</v>
      </c>
      <c r="N143" t="e">
        <v>#REF!</v>
      </c>
      <c r="Q143" t="e">
        <v>#REF!</v>
      </c>
    </row>
    <row r="144" spans="1:17" hidden="1" x14ac:dyDescent="0.25">
      <c r="A144" s="114" t="s">
        <v>196</v>
      </c>
      <c r="B144" s="115" t="s">
        <v>1436</v>
      </c>
      <c r="C144" s="116" t="s">
        <v>70</v>
      </c>
      <c r="D144" s="116">
        <v>0</v>
      </c>
      <c r="E144" s="136">
        <f ca="1">OFFSET(INDEX(Composições!A:J,MATCH(Orçamentária!A144,Composições!A:A,0),8),2,0)</f>
        <v>67.769769999999994</v>
      </c>
      <c r="F144" s="137">
        <f t="shared" ca="1" si="16"/>
        <v>0</v>
      </c>
      <c r="G144" s="138" t="e">
        <f>IF(A144&lt;&gt;"",IF(AND(#REF!="Padrão",$H$4=#REF!),BDI!$B$17,IF(AND(#REF!="Padrão",$H$4=#REF!),BDI!#REF!,IF(AND(#REF!="Diferenciado",$H$4=#REF!),BDI!$E$17,IF(AND(#REF!="Diferenciado",$H$4=#REF!),BDI!#REF!,IF(#REF!="ZERO",0))))),"")</f>
        <v>#REF!</v>
      </c>
      <c r="H144" s="139" t="e">
        <f t="shared" ca="1" si="17"/>
        <v>#REF!</v>
      </c>
      <c r="I144" s="137" t="e">
        <f t="shared" ca="1" si="18"/>
        <v>#REF!</v>
      </c>
      <c r="J144" s="117"/>
      <c r="K144" s="116">
        <v>0</v>
      </c>
      <c r="M144" s="136" t="e">
        <f ca="1">OFFSET(INDEX([1]Composições!I:R,MATCH([1]Orçamentária!I144,[1]Composições!I:I,0),8),2,0)</f>
        <v>#REF!</v>
      </c>
      <c r="N144" t="e">
        <v>#REF!</v>
      </c>
      <c r="Q144" t="e">
        <v>#REF!</v>
      </c>
    </row>
    <row r="145" spans="1:19" hidden="1" x14ac:dyDescent="0.25">
      <c r="A145" s="114" t="s">
        <v>198</v>
      </c>
      <c r="B145" s="115" t="s">
        <v>7560</v>
      </c>
      <c r="C145" s="116" t="s">
        <v>70</v>
      </c>
      <c r="D145" s="116">
        <v>0</v>
      </c>
      <c r="E145" s="136">
        <f ca="1">OFFSET(INDEX(Composições!A:J,MATCH(Orçamentária!A145,Composições!A:A,0),8),2,0)</f>
        <v>63.404395549999997</v>
      </c>
      <c r="F145" s="137">
        <f t="shared" ca="1" si="16"/>
        <v>0</v>
      </c>
      <c r="G145" s="138" t="e">
        <f>IF(A145&lt;&gt;"",IF(AND(#REF!="Padrão",$H$4=#REF!),BDI!$B$17,IF(AND(#REF!="Padrão",$H$4=#REF!),BDI!#REF!,IF(AND(#REF!="Diferenciado",$H$4=#REF!),BDI!$E$17,IF(AND(#REF!="Diferenciado",$H$4=#REF!),BDI!#REF!,IF(#REF!="ZERO",0))))),"")</f>
        <v>#REF!</v>
      </c>
      <c r="H145" s="139" t="e">
        <f t="shared" ca="1" si="17"/>
        <v>#REF!</v>
      </c>
      <c r="I145" s="137" t="e">
        <f t="shared" ca="1" si="18"/>
        <v>#REF!</v>
      </c>
      <c r="J145" s="117"/>
      <c r="K145" s="116">
        <v>0</v>
      </c>
      <c r="M145" s="136" t="e">
        <f ca="1">OFFSET(INDEX([1]Composições!I:R,MATCH([1]Orçamentária!I145,[1]Composições!I:I,0),8),2,0)</f>
        <v>#REF!</v>
      </c>
      <c r="N145" t="e">
        <v>#REF!</v>
      </c>
      <c r="Q145" t="e">
        <v>#REF!</v>
      </c>
    </row>
    <row r="146" spans="1:19" hidden="1" x14ac:dyDescent="0.25">
      <c r="A146" s="114" t="s">
        <v>202</v>
      </c>
      <c r="B146" s="115" t="s">
        <v>7561</v>
      </c>
      <c r="C146" s="116" t="s">
        <v>70</v>
      </c>
      <c r="D146" s="116">
        <v>0</v>
      </c>
      <c r="E146" s="136">
        <f ca="1">OFFSET(INDEX(Composições!A:J,MATCH(Orçamentária!A146,Composições!A:A,0),8),2,0)</f>
        <v>28.624687499999993</v>
      </c>
      <c r="F146" s="137">
        <f t="shared" ca="1" si="16"/>
        <v>0</v>
      </c>
      <c r="G146" s="138" t="e">
        <f>IF(A146&lt;&gt;"",IF(AND(#REF!="Padrão",$H$4=#REF!),BDI!$B$17,IF(AND(#REF!="Padrão",$H$4=#REF!),BDI!#REF!,IF(AND(#REF!="Diferenciado",$H$4=#REF!),BDI!$E$17,IF(AND(#REF!="Diferenciado",$H$4=#REF!),BDI!#REF!,IF(#REF!="ZERO",0))))),"")</f>
        <v>#REF!</v>
      </c>
      <c r="H146" s="139" t="e">
        <f t="shared" ca="1" si="17"/>
        <v>#REF!</v>
      </c>
      <c r="I146" s="137" t="e">
        <f t="shared" ca="1" si="18"/>
        <v>#REF!</v>
      </c>
      <c r="J146" s="117"/>
      <c r="K146" s="116">
        <v>0</v>
      </c>
      <c r="M146" s="136" t="e">
        <f ca="1">OFFSET(INDEX([1]Composições!I:R,MATCH([1]Orçamentária!I146,[1]Composições!I:I,0),8),2,0)</f>
        <v>#REF!</v>
      </c>
      <c r="N146" t="e">
        <v>#REF!</v>
      </c>
      <c r="Q146" t="e">
        <v>#REF!</v>
      </c>
    </row>
    <row r="147" spans="1:19" hidden="1" x14ac:dyDescent="0.25">
      <c r="A147" s="114" t="s">
        <v>203</v>
      </c>
      <c r="B147" s="115" t="s">
        <v>1437</v>
      </c>
      <c r="C147" s="116" t="s">
        <v>70</v>
      </c>
      <c r="D147" s="116">
        <v>0</v>
      </c>
      <c r="E147" s="136">
        <f ca="1">OFFSET(INDEX(Composições!A:J,MATCH(Orçamentária!A147,Composições!A:A,0),8),2,0)</f>
        <v>38.424715549999995</v>
      </c>
      <c r="F147" s="137">
        <f t="shared" ca="1" si="16"/>
        <v>0</v>
      </c>
      <c r="G147" s="138" t="e">
        <f>IF(A147&lt;&gt;"",IF(AND(#REF!="Padrão",$H$4=#REF!),BDI!$B$17,IF(AND(#REF!="Padrão",$H$4=#REF!),BDI!#REF!,IF(AND(#REF!="Diferenciado",$H$4=#REF!),BDI!$E$17,IF(AND(#REF!="Diferenciado",$H$4=#REF!),BDI!#REF!,IF(#REF!="ZERO",0))))),"")</f>
        <v>#REF!</v>
      </c>
      <c r="H147" s="139" t="e">
        <f t="shared" ca="1" si="17"/>
        <v>#REF!</v>
      </c>
      <c r="I147" s="137" t="e">
        <f t="shared" ca="1" si="18"/>
        <v>#REF!</v>
      </c>
      <c r="J147" s="117"/>
      <c r="K147" s="116">
        <v>0</v>
      </c>
      <c r="M147" s="136" t="e">
        <f ca="1">OFFSET(INDEX([1]Composições!I:R,MATCH([1]Orçamentária!I147,[1]Composições!I:I,0),8),2,0)</f>
        <v>#REF!</v>
      </c>
      <c r="N147" t="e">
        <v>#REF!</v>
      </c>
      <c r="Q147" t="e">
        <v>#REF!</v>
      </c>
    </row>
    <row r="148" spans="1:19" hidden="1" x14ac:dyDescent="0.25">
      <c r="A148" s="114" t="s">
        <v>205</v>
      </c>
      <c r="B148" s="115" t="s">
        <v>1438</v>
      </c>
      <c r="C148" s="116" t="s">
        <v>70</v>
      </c>
      <c r="D148" s="116">
        <v>0</v>
      </c>
      <c r="E148" s="136">
        <f ca="1">OFFSET(INDEX(Composições!A:J,MATCH(Orçamentária!A148,Composições!A:A,0),8),2,0)</f>
        <v>21.940249999999999</v>
      </c>
      <c r="F148" s="137">
        <f t="shared" ca="1" si="16"/>
        <v>0</v>
      </c>
      <c r="G148" s="138" t="e">
        <f>IF(A148&lt;&gt;"",IF(AND(#REF!="Padrão",$H$4=#REF!),BDI!$B$17,IF(AND(#REF!="Padrão",$H$4=#REF!),BDI!#REF!,IF(AND(#REF!="Diferenciado",$H$4=#REF!),BDI!$E$17,IF(AND(#REF!="Diferenciado",$H$4=#REF!),BDI!#REF!,IF(#REF!="ZERO",0))))),"")</f>
        <v>#REF!</v>
      </c>
      <c r="H148" s="139" t="e">
        <f t="shared" ca="1" si="17"/>
        <v>#REF!</v>
      </c>
      <c r="I148" s="137" t="e">
        <f t="shared" ca="1" si="18"/>
        <v>#REF!</v>
      </c>
      <c r="J148" s="117"/>
      <c r="K148" s="116">
        <v>0</v>
      </c>
      <c r="M148" s="136" t="e">
        <f ca="1">OFFSET(INDEX([1]Composições!I:R,MATCH([1]Orçamentária!I148,[1]Composições!I:I,0),8),2,0)</f>
        <v>#REF!</v>
      </c>
      <c r="N148" t="e">
        <v>#REF!</v>
      </c>
      <c r="Q148" t="e">
        <v>#REF!</v>
      </c>
    </row>
    <row r="149" spans="1:19" x14ac:dyDescent="0.25">
      <c r="A149" s="172" t="s">
        <v>208</v>
      </c>
      <c r="B149" s="173" t="s">
        <v>1439</v>
      </c>
      <c r="C149" s="174" t="s">
        <v>70</v>
      </c>
      <c r="D149" s="174">
        <v>356</v>
      </c>
      <c r="E149" s="136">
        <f ca="1">OFFSET(INDEX(Composições!A:J,MATCH(Orçamentária!A149,Composições!A:A,0),8),2,0)</f>
        <v>66.545316899999989</v>
      </c>
      <c r="F149" s="137">
        <f t="shared" ca="1" si="16"/>
        <v>23690.132816399997</v>
      </c>
      <c r="G149" s="138">
        <f>BDI!$B$17</f>
        <v>0.191</v>
      </c>
      <c r="H149" s="139">
        <f t="shared" ca="1" si="17"/>
        <v>79.260000000000005</v>
      </c>
      <c r="I149" s="137">
        <f t="shared" ca="1" si="18"/>
        <v>28216.560000000001</v>
      </c>
      <c r="J149" s="117"/>
      <c r="K149" s="253">
        <v>356</v>
      </c>
      <c r="L149" s="236" t="str">
        <f>IF(D149&lt;&gt;K149,"ERRO","-")</f>
        <v>-</v>
      </c>
      <c r="M149" s="136">
        <f ca="1">OFFSET(INDEX(Composições!A:S,MATCH(A149,Composições!A:A,0),15),2,0)</f>
        <v>56.962791266400004</v>
      </c>
      <c r="N149" s="237">
        <v>0.191</v>
      </c>
      <c r="O149" s="236">
        <f ca="1">ROUND(M149*(1+N149),2)</f>
        <v>67.84</v>
      </c>
      <c r="P149" s="238">
        <f ca="1">ROUND(K149*O149,2)</f>
        <v>24151.040000000001</v>
      </c>
      <c r="Q149" s="236">
        <v>24151.040000000001</v>
      </c>
      <c r="R149" s="236">
        <f ca="1">P149-Q149</f>
        <v>0</v>
      </c>
      <c r="S149" s="239">
        <f ca="1">IF(ISNUMBER(O149),1-P149/$I149,"")</f>
        <v>0.14408276558163013</v>
      </c>
    </row>
    <row r="150" spans="1:19" hidden="1" x14ac:dyDescent="0.25">
      <c r="A150" s="114" t="s">
        <v>209</v>
      </c>
      <c r="B150" s="115" t="s">
        <v>1440</v>
      </c>
      <c r="C150" s="116" t="s">
        <v>70</v>
      </c>
      <c r="D150" s="116">
        <v>0</v>
      </c>
      <c r="E150" s="136">
        <f ca="1">OFFSET(INDEX(Composições!A:J,MATCH(Orçamentária!A150,Composições!A:A,0),8),2,0)</f>
        <v>40.584372399999999</v>
      </c>
      <c r="F150" s="137">
        <f t="shared" ca="1" si="16"/>
        <v>0</v>
      </c>
      <c r="G150" s="138" t="e">
        <f>IF(A150&lt;&gt;"",IF(AND(#REF!="Padrão",$H$4=#REF!),BDI!$B$17,IF(AND(#REF!="Padrão",$H$4=#REF!),BDI!#REF!,IF(AND(#REF!="Diferenciado",$H$4=#REF!),BDI!$E$17,IF(AND(#REF!="Diferenciado",$H$4=#REF!),BDI!#REF!,IF(#REF!="ZERO",0))))),"")</f>
        <v>#REF!</v>
      </c>
      <c r="H150" s="139" t="e">
        <f t="shared" ca="1" si="17"/>
        <v>#REF!</v>
      </c>
      <c r="I150" s="137" t="e">
        <f t="shared" ca="1" si="18"/>
        <v>#REF!</v>
      </c>
      <c r="J150" s="117"/>
      <c r="K150" s="116">
        <v>0</v>
      </c>
      <c r="M150" s="136" t="e">
        <f ca="1">OFFSET(INDEX([1]Composições!I:R,MATCH([1]Orçamentária!I150,[1]Composições!I:I,0),8),2,0)</f>
        <v>#REF!</v>
      </c>
      <c r="N150" t="e">
        <v>#REF!</v>
      </c>
      <c r="Q150" t="e">
        <v>#REF!</v>
      </c>
    </row>
    <row r="151" spans="1:19" hidden="1" x14ac:dyDescent="0.25">
      <c r="A151" s="114" t="s">
        <v>210</v>
      </c>
      <c r="B151" s="115" t="s">
        <v>1441</v>
      </c>
      <c r="C151" s="116" t="s">
        <v>70</v>
      </c>
      <c r="D151" s="116">
        <v>0</v>
      </c>
      <c r="E151" s="136">
        <f ca="1">OFFSET(INDEX(Composições!A:J,MATCH(Orçamentária!A151,Composições!A:A,0),8),2,0)</f>
        <v>123.68049999999999</v>
      </c>
      <c r="F151" s="137">
        <f t="shared" ca="1" si="16"/>
        <v>0</v>
      </c>
      <c r="G151" s="138" t="e">
        <f>IF(A151&lt;&gt;"",IF(AND(#REF!="Padrão",$H$4=#REF!),BDI!$B$17,IF(AND(#REF!="Padrão",$H$4=#REF!),BDI!#REF!,IF(AND(#REF!="Diferenciado",$H$4=#REF!),BDI!$E$17,IF(AND(#REF!="Diferenciado",$H$4=#REF!),BDI!#REF!,IF(#REF!="ZERO",0))))),"")</f>
        <v>#REF!</v>
      </c>
      <c r="H151" s="139" t="e">
        <f t="shared" ca="1" si="17"/>
        <v>#REF!</v>
      </c>
      <c r="I151" s="137" t="e">
        <f t="shared" ca="1" si="18"/>
        <v>#REF!</v>
      </c>
      <c r="J151" s="117"/>
      <c r="K151" s="116">
        <v>0</v>
      </c>
      <c r="M151" s="136" t="e">
        <f ca="1">OFFSET(INDEX([1]Composições!I:R,MATCH([1]Orçamentária!I151,[1]Composições!I:I,0),8),2,0)</f>
        <v>#REF!</v>
      </c>
      <c r="N151" t="e">
        <v>#REF!</v>
      </c>
      <c r="Q151" t="e">
        <v>#REF!</v>
      </c>
    </row>
    <row r="152" spans="1:19" hidden="1" x14ac:dyDescent="0.25">
      <c r="A152" s="114" t="s">
        <v>212</v>
      </c>
      <c r="B152" s="115" t="s">
        <v>1442</v>
      </c>
      <c r="C152" s="116" t="s">
        <v>70</v>
      </c>
      <c r="D152" s="116">
        <v>0</v>
      </c>
      <c r="E152" s="136">
        <f ca="1">OFFSET(INDEX(Composições!A:J,MATCH(Orçamentária!A152,Composições!A:A,0),8),2,0)</f>
        <v>33.945399999999999</v>
      </c>
      <c r="F152" s="137">
        <f t="shared" ca="1" si="16"/>
        <v>0</v>
      </c>
      <c r="G152" s="138" t="e">
        <f>IF(A152&lt;&gt;"",IF(AND(#REF!="Padrão",$H$4=#REF!),BDI!$B$17,IF(AND(#REF!="Padrão",$H$4=#REF!),BDI!#REF!,IF(AND(#REF!="Diferenciado",$H$4=#REF!),BDI!$E$17,IF(AND(#REF!="Diferenciado",$H$4=#REF!),BDI!#REF!,IF(#REF!="ZERO",0))))),"")</f>
        <v>#REF!</v>
      </c>
      <c r="H152" s="139" t="e">
        <f t="shared" ca="1" si="17"/>
        <v>#REF!</v>
      </c>
      <c r="I152" s="137" t="e">
        <f t="shared" ca="1" si="18"/>
        <v>#REF!</v>
      </c>
      <c r="J152" s="117"/>
      <c r="K152" s="116">
        <v>0</v>
      </c>
      <c r="M152" s="136" t="e">
        <f ca="1">OFFSET(INDEX([1]Composições!I:R,MATCH([1]Orçamentária!I152,[1]Composições!I:I,0),8),2,0)</f>
        <v>#REF!</v>
      </c>
      <c r="N152" t="e">
        <v>#REF!</v>
      </c>
      <c r="Q152" t="e">
        <v>#REF!</v>
      </c>
    </row>
    <row r="153" spans="1:19" hidden="1" x14ac:dyDescent="0.25">
      <c r="A153" s="114" t="s">
        <v>214</v>
      </c>
      <c r="B153" s="115" t="s">
        <v>1443</v>
      </c>
      <c r="C153" s="116" t="s">
        <v>70</v>
      </c>
      <c r="D153" s="116">
        <v>0</v>
      </c>
      <c r="E153" s="136">
        <f ca="1">OFFSET(INDEX(Composições!A:J,MATCH(Orçamentária!A153,Composições!A:A,0),8),2,0)</f>
        <v>3.1037810999999991</v>
      </c>
      <c r="F153" s="137">
        <f t="shared" ca="1" si="16"/>
        <v>0</v>
      </c>
      <c r="G153" s="138" t="e">
        <f>IF(A153&lt;&gt;"",IF(AND(#REF!="Padrão",$H$4=#REF!),BDI!$B$17,IF(AND(#REF!="Padrão",$H$4=#REF!),BDI!#REF!,IF(AND(#REF!="Diferenciado",$H$4=#REF!),BDI!$E$17,IF(AND(#REF!="Diferenciado",$H$4=#REF!),BDI!#REF!,IF(#REF!="ZERO",0))))),"")</f>
        <v>#REF!</v>
      </c>
      <c r="H153" s="139" t="e">
        <f t="shared" ca="1" si="17"/>
        <v>#REF!</v>
      </c>
      <c r="I153" s="137" t="e">
        <f t="shared" ca="1" si="18"/>
        <v>#REF!</v>
      </c>
      <c r="J153" s="117"/>
      <c r="K153" s="116">
        <v>0</v>
      </c>
      <c r="M153" s="136" t="e">
        <f ca="1">OFFSET(INDEX([1]Composições!I:R,MATCH([1]Orçamentária!I153,[1]Composições!I:I,0),8),2,0)</f>
        <v>#REF!</v>
      </c>
      <c r="N153" t="e">
        <v>#REF!</v>
      </c>
      <c r="Q153" t="e">
        <v>#REF!</v>
      </c>
    </row>
    <row r="154" spans="1:19" hidden="1" x14ac:dyDescent="0.25">
      <c r="A154" s="114" t="s">
        <v>215</v>
      </c>
      <c r="B154" s="115" t="s">
        <v>1444</v>
      </c>
      <c r="C154" s="116" t="s">
        <v>70</v>
      </c>
      <c r="D154" s="116">
        <v>0</v>
      </c>
      <c r="E154" s="136">
        <f ca="1">OFFSET(INDEX(Composições!A:J,MATCH(Orçamentária!A154,Composições!A:A,0),8),2,0)</f>
        <v>50.444999999999993</v>
      </c>
      <c r="F154" s="137">
        <f t="shared" ca="1" si="16"/>
        <v>0</v>
      </c>
      <c r="G154" s="138" t="e">
        <f>IF(A154&lt;&gt;"",IF(AND(#REF!="Padrão",$H$4=#REF!),BDI!$B$17,IF(AND(#REF!="Padrão",$H$4=#REF!),BDI!#REF!,IF(AND(#REF!="Diferenciado",$H$4=#REF!),BDI!$E$17,IF(AND(#REF!="Diferenciado",$H$4=#REF!),BDI!#REF!,IF(#REF!="ZERO",0))))),"")</f>
        <v>#REF!</v>
      </c>
      <c r="H154" s="139" t="e">
        <f t="shared" ca="1" si="17"/>
        <v>#REF!</v>
      </c>
      <c r="I154" s="137" t="e">
        <f t="shared" ca="1" si="18"/>
        <v>#REF!</v>
      </c>
      <c r="J154" s="117"/>
      <c r="K154" s="116">
        <v>0</v>
      </c>
      <c r="M154" s="136" t="e">
        <f ca="1">OFFSET(INDEX([1]Composições!I:R,MATCH([1]Orçamentária!I154,[1]Composições!I:I,0),8),2,0)</f>
        <v>#REF!</v>
      </c>
      <c r="N154" t="e">
        <v>#REF!</v>
      </c>
      <c r="Q154" t="e">
        <v>#REF!</v>
      </c>
    </row>
    <row r="155" spans="1:19" hidden="1" x14ac:dyDescent="0.25">
      <c r="A155" s="114" t="s">
        <v>216</v>
      </c>
      <c r="B155" s="115" t="s">
        <v>1445</v>
      </c>
      <c r="C155" s="116" t="s">
        <v>69</v>
      </c>
      <c r="D155" s="116">
        <v>0</v>
      </c>
      <c r="E155" s="136">
        <f ca="1">OFFSET(INDEX(Composições!A:J,MATCH(Orçamentária!A155,Composições!A:A,0),8),2,0)</f>
        <v>13.042102549999999</v>
      </c>
      <c r="F155" s="137">
        <f t="shared" ca="1" si="16"/>
        <v>0</v>
      </c>
      <c r="G155" s="138" t="e">
        <f>IF(A155&lt;&gt;"",IF(AND(#REF!="Padrão",$H$4=#REF!),BDI!$B$17,IF(AND(#REF!="Padrão",$H$4=#REF!),BDI!#REF!,IF(AND(#REF!="Diferenciado",$H$4=#REF!),BDI!$E$17,IF(AND(#REF!="Diferenciado",$H$4=#REF!),BDI!#REF!,IF(#REF!="ZERO",0))))),"")</f>
        <v>#REF!</v>
      </c>
      <c r="H155" s="139" t="e">
        <f t="shared" ca="1" si="17"/>
        <v>#REF!</v>
      </c>
      <c r="I155" s="137" t="e">
        <f t="shared" ca="1" si="18"/>
        <v>#REF!</v>
      </c>
      <c r="J155" s="117"/>
      <c r="K155" s="116">
        <v>0</v>
      </c>
      <c r="M155" s="136" t="e">
        <f ca="1">OFFSET(INDEX([1]Composições!I:R,MATCH([1]Orçamentária!I155,[1]Composições!I:I,0),8),2,0)</f>
        <v>#REF!</v>
      </c>
      <c r="N155" t="e">
        <v>#REF!</v>
      </c>
      <c r="Q155" t="e">
        <v>#REF!</v>
      </c>
    </row>
    <row r="156" spans="1:19" hidden="1" x14ac:dyDescent="0.25">
      <c r="A156" s="114" t="s">
        <v>217</v>
      </c>
      <c r="B156" s="115" t="s">
        <v>1446</v>
      </c>
      <c r="C156" s="116" t="s">
        <v>70</v>
      </c>
      <c r="D156" s="116">
        <v>0</v>
      </c>
      <c r="E156" s="136">
        <f ca="1">OFFSET(INDEX(Composições!A:J,MATCH(Orçamentária!A156,Composições!A:A,0),8),2,0)</f>
        <v>9.4657999999999998</v>
      </c>
      <c r="F156" s="137">
        <f t="shared" ca="1" si="16"/>
        <v>0</v>
      </c>
      <c r="G156" s="138" t="e">
        <f>IF(A156&lt;&gt;"",IF(AND(#REF!="Padrão",$H$4=#REF!),BDI!$B$17,IF(AND(#REF!="Padrão",$H$4=#REF!),BDI!#REF!,IF(AND(#REF!="Diferenciado",$H$4=#REF!),BDI!$E$17,IF(AND(#REF!="Diferenciado",$H$4=#REF!),BDI!#REF!,IF(#REF!="ZERO",0))))),"")</f>
        <v>#REF!</v>
      </c>
      <c r="H156" s="139" t="e">
        <f t="shared" ca="1" si="17"/>
        <v>#REF!</v>
      </c>
      <c r="I156" s="137" t="e">
        <f t="shared" ca="1" si="18"/>
        <v>#REF!</v>
      </c>
      <c r="J156" s="117"/>
      <c r="K156" s="116">
        <v>0</v>
      </c>
      <c r="M156" s="136" t="e">
        <f ca="1">OFFSET(INDEX([1]Composições!I:R,MATCH([1]Orçamentária!I156,[1]Composições!I:I,0),8),2,0)</f>
        <v>#REF!</v>
      </c>
      <c r="N156" t="e">
        <v>#REF!</v>
      </c>
      <c r="Q156" t="e">
        <v>#REF!</v>
      </c>
    </row>
    <row r="157" spans="1:19" hidden="1" x14ac:dyDescent="0.25">
      <c r="A157" s="114" t="s">
        <v>218</v>
      </c>
      <c r="B157" s="115" t="s">
        <v>219</v>
      </c>
      <c r="C157" s="116" t="s">
        <v>69</v>
      </c>
      <c r="D157" s="116">
        <v>0</v>
      </c>
      <c r="E157" s="136">
        <f ca="1">OFFSET(INDEX(Composições!A:J,MATCH(Orçamentária!A157,Composições!A:A,0),8),2,0)</f>
        <v>6.2652499999999991</v>
      </c>
      <c r="F157" s="137">
        <f t="shared" ca="1" si="16"/>
        <v>0</v>
      </c>
      <c r="G157" s="138" t="e">
        <f>IF(A157&lt;&gt;"",IF(AND(#REF!="Padrão",$H$4=#REF!),BDI!$B$17,IF(AND(#REF!="Padrão",$H$4=#REF!),BDI!#REF!,IF(AND(#REF!="Diferenciado",$H$4=#REF!),BDI!$E$17,IF(AND(#REF!="Diferenciado",$H$4=#REF!),BDI!#REF!,IF(#REF!="ZERO",0))))),"")</f>
        <v>#REF!</v>
      </c>
      <c r="H157" s="139" t="e">
        <f t="shared" ca="1" si="17"/>
        <v>#REF!</v>
      </c>
      <c r="I157" s="137" t="e">
        <f t="shared" ca="1" si="18"/>
        <v>#REF!</v>
      </c>
      <c r="J157" s="119"/>
      <c r="K157" s="116">
        <v>0</v>
      </c>
      <c r="M157" s="136" t="e">
        <f ca="1">OFFSET(INDEX([1]Composições!I:R,MATCH([1]Orçamentária!I157,[1]Composições!I:I,0),8),2,0)</f>
        <v>#REF!</v>
      </c>
      <c r="N157" t="e">
        <v>#REF!</v>
      </c>
      <c r="Q157" t="e">
        <v>#REF!</v>
      </c>
    </row>
    <row r="158" spans="1:19" hidden="1" x14ac:dyDescent="0.25">
      <c r="A158" s="114" t="s">
        <v>220</v>
      </c>
      <c r="B158" s="115" t="s">
        <v>1447</v>
      </c>
      <c r="C158" s="116" t="s">
        <v>69</v>
      </c>
      <c r="D158" s="116">
        <v>0</v>
      </c>
      <c r="E158" s="136">
        <f ca="1">OFFSET(INDEX(Composições!A:J,MATCH(Orçamentária!A158,Composições!A:A,0),8),2,0)</f>
        <v>20.248774999999998</v>
      </c>
      <c r="F158" s="137">
        <f t="shared" ca="1" si="16"/>
        <v>0</v>
      </c>
      <c r="G158" s="138" t="e">
        <f>IF(A158&lt;&gt;"",IF(AND(#REF!="Padrão",$H$4=#REF!),BDI!$B$17,IF(AND(#REF!="Padrão",$H$4=#REF!),BDI!#REF!,IF(AND(#REF!="Diferenciado",$H$4=#REF!),BDI!$E$17,IF(AND(#REF!="Diferenciado",$H$4=#REF!),BDI!#REF!,IF(#REF!="ZERO",0))))),"")</f>
        <v>#REF!</v>
      </c>
      <c r="H158" s="139" t="e">
        <f t="shared" ca="1" si="17"/>
        <v>#REF!</v>
      </c>
      <c r="I158" s="137" t="e">
        <f t="shared" ca="1" si="18"/>
        <v>#REF!</v>
      </c>
      <c r="J158" s="119"/>
      <c r="K158" s="116">
        <v>0</v>
      </c>
      <c r="M158" s="136" t="e">
        <f ca="1">OFFSET(INDEX([1]Composições!I:R,MATCH([1]Orçamentária!I158,[1]Composições!I:I,0),8),2,0)</f>
        <v>#REF!</v>
      </c>
      <c r="N158" t="e">
        <v>#REF!</v>
      </c>
      <c r="Q158" t="e">
        <v>#REF!</v>
      </c>
    </row>
    <row r="159" spans="1:19" hidden="1" x14ac:dyDescent="0.25">
      <c r="A159" s="114" t="s">
        <v>221</v>
      </c>
      <c r="B159" s="115" t="s">
        <v>7564</v>
      </c>
      <c r="C159" s="116" t="s">
        <v>70</v>
      </c>
      <c r="D159" s="116">
        <v>0</v>
      </c>
      <c r="E159" s="136">
        <f ca="1">OFFSET(INDEX(Composições!A:J,MATCH(Orçamentária!A159,Composições!A:A,0),8),2,0)</f>
        <v>113.21624999999997</v>
      </c>
      <c r="F159" s="137">
        <f t="shared" ca="1" si="16"/>
        <v>0</v>
      </c>
      <c r="G159" s="138" t="e">
        <f>IF(A159&lt;&gt;"",IF(AND(#REF!="Padrão",$H$4=#REF!),BDI!$B$17,IF(AND(#REF!="Padrão",$H$4=#REF!),BDI!#REF!,IF(AND(#REF!="Diferenciado",$H$4=#REF!),BDI!$E$17,IF(AND(#REF!="Diferenciado",$H$4=#REF!),BDI!#REF!,IF(#REF!="ZERO",0))))),"")</f>
        <v>#REF!</v>
      </c>
      <c r="H159" s="139" t="e">
        <f t="shared" ca="1" si="17"/>
        <v>#REF!</v>
      </c>
      <c r="I159" s="137" t="e">
        <f t="shared" ca="1" si="18"/>
        <v>#REF!</v>
      </c>
      <c r="J159" s="117"/>
      <c r="K159" s="116">
        <v>0</v>
      </c>
      <c r="M159" s="136" t="e">
        <f ca="1">OFFSET(INDEX([1]Composições!I:R,MATCH([1]Orçamentária!I159,[1]Composições!I:I,0),8),2,0)</f>
        <v>#REF!</v>
      </c>
      <c r="N159" t="e">
        <v>#REF!</v>
      </c>
      <c r="Q159" t="e">
        <v>#REF!</v>
      </c>
    </row>
    <row r="160" spans="1:19" hidden="1" x14ac:dyDescent="0.25">
      <c r="A160" s="114" t="s">
        <v>223</v>
      </c>
      <c r="B160" s="115" t="s">
        <v>1448</v>
      </c>
      <c r="C160" s="116" t="s">
        <v>70</v>
      </c>
      <c r="D160" s="116">
        <v>0</v>
      </c>
      <c r="E160" s="136">
        <f ca="1">OFFSET(INDEX(Composições!A:J,MATCH(Orçamentária!A160,Composições!A:A,0),8),2,0)</f>
        <v>33.933999999999997</v>
      </c>
      <c r="F160" s="137">
        <f t="shared" ca="1" si="16"/>
        <v>0</v>
      </c>
      <c r="G160" s="138" t="e">
        <f>IF(A160&lt;&gt;"",IF(AND(#REF!="Padrão",$H$4=#REF!),BDI!$B$17,IF(AND(#REF!="Padrão",$H$4=#REF!),BDI!#REF!,IF(AND(#REF!="Diferenciado",$H$4=#REF!),BDI!$E$17,IF(AND(#REF!="Diferenciado",$H$4=#REF!),BDI!#REF!,IF(#REF!="ZERO",0))))),"")</f>
        <v>#REF!</v>
      </c>
      <c r="H160" s="139" t="e">
        <f t="shared" ca="1" si="17"/>
        <v>#REF!</v>
      </c>
      <c r="I160" s="137" t="e">
        <f t="shared" ca="1" si="18"/>
        <v>#REF!</v>
      </c>
      <c r="J160" s="117"/>
      <c r="K160" s="116">
        <v>0</v>
      </c>
      <c r="M160" s="136" t="e">
        <f ca="1">OFFSET(INDEX([1]Composições!I:R,MATCH([1]Orçamentária!I160,[1]Composições!I:I,0),8),2,0)</f>
        <v>#REF!</v>
      </c>
      <c r="N160" t="e">
        <v>#REF!</v>
      </c>
      <c r="Q160" t="e">
        <v>#REF!</v>
      </c>
    </row>
    <row r="161" spans="1:19" hidden="1" x14ac:dyDescent="0.25">
      <c r="A161" s="114" t="s">
        <v>224</v>
      </c>
      <c r="B161" s="115" t="s">
        <v>1449</v>
      </c>
      <c r="C161" s="116" t="s">
        <v>69</v>
      </c>
      <c r="D161" s="116">
        <v>0</v>
      </c>
      <c r="E161" s="136">
        <f ca="1">OFFSET(INDEX(Composições!A:J,MATCH(Orçamentária!A161,Composições!A:A,0),8),2,0)</f>
        <v>22.293412499999995</v>
      </c>
      <c r="F161" s="137">
        <f t="shared" ca="1" si="16"/>
        <v>0</v>
      </c>
      <c r="G161" s="138" t="e">
        <f>IF(A161&lt;&gt;"",IF(AND(#REF!="Padrão",$H$4=#REF!),BDI!$B$17,IF(AND(#REF!="Padrão",$H$4=#REF!),BDI!#REF!,IF(AND(#REF!="Diferenciado",$H$4=#REF!),BDI!$E$17,IF(AND(#REF!="Diferenciado",$H$4=#REF!),BDI!#REF!,IF(#REF!="ZERO",0))))),"")</f>
        <v>#REF!</v>
      </c>
      <c r="H161" s="139" t="e">
        <f t="shared" ca="1" si="17"/>
        <v>#REF!</v>
      </c>
      <c r="I161" s="137" t="e">
        <f t="shared" ca="1" si="18"/>
        <v>#REF!</v>
      </c>
      <c r="J161" s="119"/>
      <c r="K161" s="116">
        <v>0</v>
      </c>
      <c r="M161" s="136" t="e">
        <f ca="1">OFFSET(INDEX([1]Composições!I:R,MATCH([1]Orçamentária!I161,[1]Composições!I:I,0),8),2,0)</f>
        <v>#REF!</v>
      </c>
      <c r="N161" t="e">
        <v>#REF!</v>
      </c>
      <c r="Q161" t="e">
        <v>#REF!</v>
      </c>
    </row>
    <row r="162" spans="1:19" hidden="1" x14ac:dyDescent="0.25">
      <c r="A162" s="114" t="s">
        <v>226</v>
      </c>
      <c r="B162" s="115" t="s">
        <v>7562</v>
      </c>
      <c r="C162" s="116" t="s">
        <v>70</v>
      </c>
      <c r="D162" s="116">
        <v>0</v>
      </c>
      <c r="E162" s="136">
        <f ca="1">OFFSET(INDEX(Composições!A:J,MATCH(Orçamentária!A162,Composições!A:A,0),8),2,0)</f>
        <v>114.182951</v>
      </c>
      <c r="F162" s="137">
        <f t="shared" ca="1" si="16"/>
        <v>0</v>
      </c>
      <c r="G162" s="138" t="e">
        <f>IF(A162&lt;&gt;"",IF(AND(#REF!="Padrão",$H$4=#REF!),BDI!$B$17,IF(AND(#REF!="Padrão",$H$4=#REF!),BDI!#REF!,IF(AND(#REF!="Diferenciado",$H$4=#REF!),BDI!$E$17,IF(AND(#REF!="Diferenciado",$H$4=#REF!),BDI!#REF!,IF(#REF!="ZERO",0))))),"")</f>
        <v>#REF!</v>
      </c>
      <c r="H162" s="139" t="e">
        <f t="shared" ca="1" si="17"/>
        <v>#REF!</v>
      </c>
      <c r="I162" s="137" t="e">
        <f t="shared" ca="1" si="18"/>
        <v>#REF!</v>
      </c>
      <c r="J162" s="119"/>
      <c r="K162" s="116">
        <v>0</v>
      </c>
      <c r="M162" s="136" t="e">
        <f ca="1">OFFSET(INDEX([1]Composições!I:R,MATCH([1]Orçamentária!I162,[1]Composições!I:I,0),8),2,0)</f>
        <v>#REF!</v>
      </c>
      <c r="N162" t="e">
        <v>#REF!</v>
      </c>
      <c r="Q162" t="e">
        <v>#REF!</v>
      </c>
    </row>
    <row r="163" spans="1:19" hidden="1" x14ac:dyDescent="0.25">
      <c r="A163" s="114" t="s">
        <v>227</v>
      </c>
      <c r="B163" s="115" t="s">
        <v>7563</v>
      </c>
      <c r="C163" s="116" t="s">
        <v>70</v>
      </c>
      <c r="D163" s="116">
        <v>0</v>
      </c>
      <c r="E163" s="136">
        <f ca="1">OFFSET(INDEX(Composições!A:J,MATCH(Orçamentária!A163,Composições!A:A,0),8),2,0)</f>
        <v>126.23794749999999</v>
      </c>
      <c r="F163" s="137">
        <f t="shared" ca="1" si="16"/>
        <v>0</v>
      </c>
      <c r="G163" s="138" t="e">
        <f>IF(A163&lt;&gt;"",IF(AND(#REF!="Padrão",$H$4=#REF!),BDI!$B$17,IF(AND(#REF!="Padrão",$H$4=#REF!),BDI!#REF!,IF(AND(#REF!="Diferenciado",$H$4=#REF!),BDI!$E$17,IF(AND(#REF!="Diferenciado",$H$4=#REF!),BDI!#REF!,IF(#REF!="ZERO",0))))),"")</f>
        <v>#REF!</v>
      </c>
      <c r="H163" s="139" t="e">
        <f t="shared" ca="1" si="17"/>
        <v>#REF!</v>
      </c>
      <c r="I163" s="137" t="e">
        <f t="shared" ca="1" si="18"/>
        <v>#REF!</v>
      </c>
      <c r="J163" s="119"/>
      <c r="K163" s="116">
        <v>0</v>
      </c>
      <c r="M163" s="136" t="e">
        <f ca="1">OFFSET(INDEX([1]Composições!I:R,MATCH([1]Orçamentária!I163,[1]Composições!I:I,0),8),2,0)</f>
        <v>#REF!</v>
      </c>
      <c r="N163" t="e">
        <v>#REF!</v>
      </c>
      <c r="Q163" t="e">
        <v>#REF!</v>
      </c>
    </row>
    <row r="164" spans="1:19" hidden="1" x14ac:dyDescent="0.25">
      <c r="A164" s="114" t="s">
        <v>229</v>
      </c>
      <c r="B164" s="115" t="s">
        <v>1450</v>
      </c>
      <c r="C164" s="116" t="s">
        <v>70</v>
      </c>
      <c r="D164" s="116">
        <v>0</v>
      </c>
      <c r="E164" s="136">
        <f ca="1">OFFSET(INDEX(Composições!A:J,MATCH(Orçamentária!A164,Composições!A:A,0),8),2,0)</f>
        <v>49.815150000000003</v>
      </c>
      <c r="F164" s="137">
        <f t="shared" ca="1" si="16"/>
        <v>0</v>
      </c>
      <c r="G164" s="138" t="e">
        <f>IF(A164&lt;&gt;"",IF(AND(#REF!="Padrão",$H$4=#REF!),BDI!$B$17,IF(AND(#REF!="Padrão",$H$4=#REF!),BDI!#REF!,IF(AND(#REF!="Diferenciado",$H$4=#REF!),BDI!$E$17,IF(AND(#REF!="Diferenciado",$H$4=#REF!),BDI!#REF!,IF(#REF!="ZERO",0))))),"")</f>
        <v>#REF!</v>
      </c>
      <c r="H164" s="139" t="e">
        <f t="shared" ca="1" si="17"/>
        <v>#REF!</v>
      </c>
      <c r="I164" s="137" t="e">
        <f t="shared" ca="1" si="18"/>
        <v>#REF!</v>
      </c>
      <c r="J164" s="117"/>
      <c r="K164" s="116">
        <v>0</v>
      </c>
      <c r="M164" s="136" t="e">
        <f ca="1">OFFSET(INDEX([1]Composições!I:R,MATCH([1]Orçamentária!I164,[1]Composições!I:I,0),8),2,0)</f>
        <v>#REF!</v>
      </c>
      <c r="N164" t="e">
        <v>#REF!</v>
      </c>
      <c r="Q164" t="e">
        <v>#REF!</v>
      </c>
    </row>
    <row r="165" spans="1:19" hidden="1" x14ac:dyDescent="0.25">
      <c r="A165" s="114" t="s">
        <v>230</v>
      </c>
      <c r="B165" s="115" t="s">
        <v>1451</v>
      </c>
      <c r="C165" s="116" t="s">
        <v>16</v>
      </c>
      <c r="D165" s="116">
        <v>0</v>
      </c>
      <c r="E165" s="136">
        <f ca="1">OFFSET(INDEX(Composições!A:J,MATCH(Orçamentária!A165,Composições!A:A,0),8),2,0)</f>
        <v>81.299356499999988</v>
      </c>
      <c r="F165" s="137">
        <f t="shared" ca="1" si="16"/>
        <v>0</v>
      </c>
      <c r="G165" s="138" t="e">
        <f>IF(A165&lt;&gt;"",IF(AND(#REF!="Padrão",$H$4=#REF!),BDI!$B$17,IF(AND(#REF!="Padrão",$H$4=#REF!),BDI!#REF!,IF(AND(#REF!="Diferenciado",$H$4=#REF!),BDI!$E$17,IF(AND(#REF!="Diferenciado",$H$4=#REF!),BDI!#REF!,IF(#REF!="ZERO",0))))),"")</f>
        <v>#REF!</v>
      </c>
      <c r="H165" s="139" t="e">
        <f t="shared" ca="1" si="17"/>
        <v>#REF!</v>
      </c>
      <c r="I165" s="137" t="e">
        <f t="shared" ca="1" si="18"/>
        <v>#REF!</v>
      </c>
      <c r="J165" s="119"/>
      <c r="K165" s="116">
        <v>0</v>
      </c>
      <c r="M165" s="136" t="e">
        <f ca="1">OFFSET(INDEX([1]Composições!I:R,MATCH([1]Orçamentária!I165,[1]Composições!I:I,0),8),2,0)</f>
        <v>#REF!</v>
      </c>
      <c r="N165" t="e">
        <v>#REF!</v>
      </c>
      <c r="Q165" t="e">
        <v>#REF!</v>
      </c>
    </row>
    <row r="166" spans="1:19" hidden="1" x14ac:dyDescent="0.25">
      <c r="A166" s="114" t="s">
        <v>231</v>
      </c>
      <c r="B166" s="115" t="s">
        <v>1452</v>
      </c>
      <c r="C166" s="116" t="s">
        <v>69</v>
      </c>
      <c r="D166" s="116">
        <v>0</v>
      </c>
      <c r="E166" s="136">
        <f ca="1">OFFSET(INDEX(Composições!A:J,MATCH(Orçamentária!A166,Composições!A:A,0),8),2,0)</f>
        <v>7.1052894000000002</v>
      </c>
      <c r="F166" s="137">
        <f t="shared" ca="1" si="16"/>
        <v>0</v>
      </c>
      <c r="G166" s="138" t="e">
        <f>IF(A166&lt;&gt;"",IF(AND(#REF!="Padrão",$H$4=#REF!),BDI!$B$17,IF(AND(#REF!="Padrão",$H$4=#REF!),BDI!#REF!,IF(AND(#REF!="Diferenciado",$H$4=#REF!),BDI!$E$17,IF(AND(#REF!="Diferenciado",$H$4=#REF!),BDI!#REF!,IF(#REF!="ZERO",0))))),"")</f>
        <v>#REF!</v>
      </c>
      <c r="H166" s="139" t="e">
        <f t="shared" ca="1" si="17"/>
        <v>#REF!</v>
      </c>
      <c r="I166" s="137" t="e">
        <f t="shared" ca="1" si="18"/>
        <v>#REF!</v>
      </c>
      <c r="J166" s="117"/>
      <c r="K166" s="116">
        <v>0</v>
      </c>
      <c r="M166" s="136" t="e">
        <f ca="1">OFFSET(INDEX([1]Composições!I:R,MATCH([1]Orçamentária!I166,[1]Composições!I:I,0),8),2,0)</f>
        <v>#REF!</v>
      </c>
      <c r="N166" t="e">
        <v>#REF!</v>
      </c>
      <c r="Q166" t="e">
        <v>#REF!</v>
      </c>
    </row>
    <row r="167" spans="1:19" hidden="1" x14ac:dyDescent="0.25">
      <c r="A167" s="114" t="s">
        <v>1453</v>
      </c>
      <c r="B167" s="115" t="s">
        <v>1454</v>
      </c>
      <c r="C167" s="116" t="s">
        <v>70</v>
      </c>
      <c r="D167" s="116">
        <v>0</v>
      </c>
      <c r="E167" s="136" t="s">
        <v>416</v>
      </c>
      <c r="F167" s="137" t="str">
        <f t="shared" si="16"/>
        <v/>
      </c>
      <c r="G167" s="138" t="e">
        <f>IF(A167&lt;&gt;"",IF(AND(#REF!="Padrão",$H$4=#REF!),BDI!$B$17,IF(AND(#REF!="Padrão",$H$4=#REF!),BDI!#REF!,IF(AND(#REF!="Diferenciado",$H$4=#REF!),BDI!$E$17,IF(AND(#REF!="Diferenciado",$H$4=#REF!),BDI!#REF!,IF(#REF!="ZERO",0))))),"")</f>
        <v>#REF!</v>
      </c>
      <c r="H167" s="139" t="str">
        <f t="shared" si="17"/>
        <v/>
      </c>
      <c r="I167" s="137" t="str">
        <f t="shared" si="18"/>
        <v/>
      </c>
      <c r="J167" s="119"/>
      <c r="K167" s="116">
        <v>0</v>
      </c>
      <c r="M167" s="136" t="s">
        <v>416</v>
      </c>
      <c r="N167" t="e">
        <v>#REF!</v>
      </c>
      <c r="Q167" t="s">
        <v>416</v>
      </c>
    </row>
    <row r="168" spans="1:19" hidden="1" x14ac:dyDescent="0.25">
      <c r="A168" s="114" t="s">
        <v>1455</v>
      </c>
      <c r="B168" s="115" t="s">
        <v>7565</v>
      </c>
      <c r="C168" s="116" t="s">
        <v>70</v>
      </c>
      <c r="D168" s="116">
        <v>0</v>
      </c>
      <c r="E168" s="136" t="s">
        <v>416</v>
      </c>
      <c r="F168" s="137" t="str">
        <f t="shared" si="16"/>
        <v/>
      </c>
      <c r="G168" s="138" t="e">
        <f>IF(A168&lt;&gt;"",IF(AND(#REF!="Padrão",$H$4=#REF!),BDI!$B$17,IF(AND(#REF!="Padrão",$H$4=#REF!),BDI!#REF!,IF(AND(#REF!="Diferenciado",$H$4=#REF!),BDI!$E$17,IF(AND(#REF!="Diferenciado",$H$4=#REF!),BDI!#REF!,IF(#REF!="ZERO",0))))),"")</f>
        <v>#REF!</v>
      </c>
      <c r="H168" s="139" t="str">
        <f t="shared" si="17"/>
        <v/>
      </c>
      <c r="I168" s="137" t="str">
        <f t="shared" si="18"/>
        <v/>
      </c>
      <c r="J168" s="119"/>
      <c r="K168" s="116">
        <v>0</v>
      </c>
      <c r="M168" s="136" t="s">
        <v>416</v>
      </c>
      <c r="N168" t="e">
        <v>#REF!</v>
      </c>
      <c r="Q168" t="s">
        <v>416</v>
      </c>
    </row>
    <row r="169" spans="1:19" hidden="1" x14ac:dyDescent="0.25">
      <c r="A169" s="114" t="s">
        <v>1456</v>
      </c>
      <c r="B169" s="115" t="s">
        <v>7566</v>
      </c>
      <c r="C169" s="116" t="s">
        <v>70</v>
      </c>
      <c r="D169" s="116">
        <v>0</v>
      </c>
      <c r="E169" s="136" t="s">
        <v>416</v>
      </c>
      <c r="F169" s="137" t="str">
        <f t="shared" si="16"/>
        <v/>
      </c>
      <c r="G169" s="138" t="e">
        <f>IF(A169&lt;&gt;"",IF(AND(#REF!="Padrão",$H$4=#REF!),BDI!$B$17,IF(AND(#REF!="Padrão",$H$4=#REF!),BDI!#REF!,IF(AND(#REF!="Diferenciado",$H$4=#REF!),BDI!$E$17,IF(AND(#REF!="Diferenciado",$H$4=#REF!),BDI!#REF!,IF(#REF!="ZERO",0))))),"")</f>
        <v>#REF!</v>
      </c>
      <c r="H169" s="139" t="str">
        <f t="shared" si="17"/>
        <v/>
      </c>
      <c r="I169" s="137" t="str">
        <f t="shared" si="18"/>
        <v/>
      </c>
      <c r="J169" s="119"/>
      <c r="K169" s="116">
        <v>0</v>
      </c>
      <c r="M169" s="136" t="s">
        <v>416</v>
      </c>
      <c r="N169" t="e">
        <v>#REF!</v>
      </c>
      <c r="Q169" t="s">
        <v>416</v>
      </c>
    </row>
    <row r="170" spans="1:19" hidden="1" x14ac:dyDescent="0.25">
      <c r="A170" s="114" t="s">
        <v>1457</v>
      </c>
      <c r="B170" s="115" t="s">
        <v>1458</v>
      </c>
      <c r="C170" s="116" t="s">
        <v>70</v>
      </c>
      <c r="D170" s="116">
        <v>0</v>
      </c>
      <c r="E170" s="136" t="s">
        <v>416</v>
      </c>
      <c r="F170" s="137" t="str">
        <f t="shared" si="16"/>
        <v/>
      </c>
      <c r="G170" s="138" t="e">
        <f>IF(A170&lt;&gt;"",IF(AND(#REF!="Padrão",$H$4=#REF!),BDI!$B$17,IF(AND(#REF!="Padrão",$H$4=#REF!),BDI!#REF!,IF(AND(#REF!="Diferenciado",$H$4=#REF!),BDI!$E$17,IF(AND(#REF!="Diferenciado",$H$4=#REF!),BDI!#REF!,IF(#REF!="ZERO",0))))),"")</f>
        <v>#REF!</v>
      </c>
      <c r="H170" s="139" t="str">
        <f t="shared" si="17"/>
        <v/>
      </c>
      <c r="I170" s="137" t="str">
        <f t="shared" si="18"/>
        <v/>
      </c>
      <c r="J170" s="117"/>
      <c r="K170" s="116">
        <v>0</v>
      </c>
      <c r="M170" s="136" t="s">
        <v>416</v>
      </c>
      <c r="N170" t="e">
        <v>#REF!</v>
      </c>
      <c r="Q170" t="s">
        <v>416</v>
      </c>
    </row>
    <row r="171" spans="1:19" hidden="1" x14ac:dyDescent="0.25">
      <c r="A171" s="114" t="s">
        <v>232</v>
      </c>
      <c r="B171" s="115" t="s">
        <v>1459</v>
      </c>
      <c r="C171" s="116" t="s">
        <v>16</v>
      </c>
      <c r="D171" s="116">
        <v>0</v>
      </c>
      <c r="E171" s="136">
        <f ca="1">OFFSET(INDEX(Composições!A:J,MATCH(Orçamentária!A171,Composições!A:A,0),8),2,0)</f>
        <v>19.752400000000002</v>
      </c>
      <c r="F171" s="137">
        <f t="shared" ca="1" si="16"/>
        <v>0</v>
      </c>
      <c r="G171" s="138" t="e">
        <f>IF(A171&lt;&gt;"",IF(AND(#REF!="Padrão",$H$4=#REF!),BDI!$B$17,IF(AND(#REF!="Padrão",$H$4=#REF!),BDI!#REF!,IF(AND(#REF!="Diferenciado",$H$4=#REF!),BDI!$E$17,IF(AND(#REF!="Diferenciado",$H$4=#REF!),BDI!#REF!,IF(#REF!="ZERO",0))))),"")</f>
        <v>#REF!</v>
      </c>
      <c r="H171" s="139" t="e">
        <f t="shared" ca="1" si="17"/>
        <v>#REF!</v>
      </c>
      <c r="I171" s="137" t="e">
        <f t="shared" ca="1" si="18"/>
        <v>#REF!</v>
      </c>
      <c r="J171" s="117"/>
      <c r="K171" s="116">
        <v>0</v>
      </c>
      <c r="M171" s="136" t="e">
        <f ca="1">OFFSET(INDEX([1]Composições!I:R,MATCH([1]Orçamentária!I171,[1]Composições!I:I,0),8),2,0)</f>
        <v>#REF!</v>
      </c>
      <c r="N171" t="e">
        <v>#REF!</v>
      </c>
      <c r="Q171" t="e">
        <v>#REF!</v>
      </c>
    </row>
    <row r="172" spans="1:19" x14ac:dyDescent="0.25">
      <c r="A172" s="172" t="s">
        <v>234</v>
      </c>
      <c r="B172" s="173" t="s">
        <v>7567</v>
      </c>
      <c r="C172" s="174" t="s">
        <v>69</v>
      </c>
      <c r="D172" s="174">
        <v>6</v>
      </c>
      <c r="E172" s="136">
        <f ca="1">OFFSET(INDEX(Composições!A:J,MATCH(Orçamentária!A172,Composições!A:A,0),8),2,0)</f>
        <v>58.468903299999994</v>
      </c>
      <c r="F172" s="137">
        <f t="shared" ca="1" si="16"/>
        <v>350.81341979999996</v>
      </c>
      <c r="G172" s="138">
        <f>BDI!$B$17</f>
        <v>0.191</v>
      </c>
      <c r="H172" s="139">
        <f t="shared" ca="1" si="17"/>
        <v>69.64</v>
      </c>
      <c r="I172" s="137">
        <f t="shared" ca="1" si="18"/>
        <v>417.84</v>
      </c>
      <c r="J172" s="117"/>
      <c r="K172" s="253">
        <v>6</v>
      </c>
      <c r="L172" s="236" t="str">
        <f>IF(D172&lt;&gt;K172,"ERRO","-")</f>
        <v>-</v>
      </c>
      <c r="M172" s="136">
        <f ca="1">OFFSET(INDEX(Composições!A:S,MATCH(A172,Composições!A:A,0),15),2,0)</f>
        <v>50.049381224799994</v>
      </c>
      <c r="N172" s="237">
        <v>0.191</v>
      </c>
      <c r="O172" s="236">
        <f ca="1">ROUND(M172*(1+N172),2)</f>
        <v>59.61</v>
      </c>
      <c r="P172" s="238">
        <f ca="1">ROUND(K172*O172,2)</f>
        <v>357.66</v>
      </c>
      <c r="Q172" s="236">
        <v>357.66</v>
      </c>
      <c r="R172" s="236">
        <f ca="1">P172-Q172</f>
        <v>0</v>
      </c>
      <c r="S172" s="239">
        <f ca="1">IF(ISNUMBER(O172),1-P172/$I172,"")</f>
        <v>0.14402642159678336</v>
      </c>
    </row>
    <row r="173" spans="1:19" hidden="1" x14ac:dyDescent="0.25">
      <c r="A173" s="114" t="s">
        <v>235</v>
      </c>
      <c r="B173" s="115" t="s">
        <v>7568</v>
      </c>
      <c r="C173" s="116" t="s">
        <v>69</v>
      </c>
      <c r="D173" s="116">
        <v>0</v>
      </c>
      <c r="E173" s="136">
        <f ca="1">OFFSET(INDEX(Composições!A:J,MATCH(Orçamentária!A173,Composições!A:A,0),8),2,0)</f>
        <v>17.299652000000002</v>
      </c>
      <c r="F173" s="137">
        <f t="shared" ca="1" si="16"/>
        <v>0</v>
      </c>
      <c r="G173" s="138" t="e">
        <f>IF(A173&lt;&gt;"",IF(AND(#REF!="Padrão",$H$4=#REF!),BDI!$B$17,IF(AND(#REF!="Padrão",$H$4=#REF!),BDI!#REF!,IF(AND(#REF!="Diferenciado",$H$4=#REF!),BDI!$E$17,IF(AND(#REF!="Diferenciado",$H$4=#REF!),BDI!#REF!,IF(#REF!="ZERO",0))))),"")</f>
        <v>#REF!</v>
      </c>
      <c r="H173" s="139" t="e">
        <f t="shared" ca="1" si="17"/>
        <v>#REF!</v>
      </c>
      <c r="I173" s="137" t="e">
        <f t="shared" ca="1" si="18"/>
        <v>#REF!</v>
      </c>
      <c r="J173" s="117"/>
      <c r="K173" s="116">
        <v>0</v>
      </c>
      <c r="M173" s="136" t="e">
        <f ca="1">OFFSET(INDEX([1]Composições!I:R,MATCH([1]Orçamentária!I173,[1]Composições!I:I,0),8),2,0)</f>
        <v>#REF!</v>
      </c>
      <c r="N173" t="e">
        <v>#REF!</v>
      </c>
      <c r="Q173" t="e">
        <v>#REF!</v>
      </c>
    </row>
    <row r="174" spans="1:19" hidden="1" x14ac:dyDescent="0.25">
      <c r="A174" s="114" t="s">
        <v>236</v>
      </c>
      <c r="B174" s="115" t="s">
        <v>7569</v>
      </c>
      <c r="C174" s="116" t="s">
        <v>69</v>
      </c>
      <c r="D174" s="116">
        <v>0</v>
      </c>
      <c r="E174" s="136">
        <f ca="1">OFFSET(INDEX(Composições!A:J,MATCH(Orçamentária!A174,Composições!A:A,0),8),2,0)</f>
        <v>25.552732349999999</v>
      </c>
      <c r="F174" s="137">
        <f t="shared" ca="1" si="16"/>
        <v>0</v>
      </c>
      <c r="G174" s="138" t="e">
        <f>IF(A174&lt;&gt;"",IF(AND(#REF!="Padrão",$H$4=#REF!),BDI!$B$17,IF(AND(#REF!="Padrão",$H$4=#REF!),BDI!#REF!,IF(AND(#REF!="Diferenciado",$H$4=#REF!),BDI!$E$17,IF(AND(#REF!="Diferenciado",$H$4=#REF!),BDI!#REF!,IF(#REF!="ZERO",0))))),"")</f>
        <v>#REF!</v>
      </c>
      <c r="H174" s="139" t="e">
        <f t="shared" ca="1" si="17"/>
        <v>#REF!</v>
      </c>
      <c r="I174" s="137" t="e">
        <f t="shared" ca="1" si="18"/>
        <v>#REF!</v>
      </c>
      <c r="J174" s="117"/>
      <c r="K174" s="116">
        <v>0</v>
      </c>
      <c r="M174" s="136" t="e">
        <f ca="1">OFFSET(INDEX([1]Composições!I:R,MATCH([1]Orçamentária!I174,[1]Composições!I:I,0),8),2,0)</f>
        <v>#REF!</v>
      </c>
      <c r="N174" t="e">
        <v>#REF!</v>
      </c>
      <c r="Q174" t="e">
        <v>#REF!</v>
      </c>
    </row>
    <row r="175" spans="1:19" hidden="1" x14ac:dyDescent="0.25">
      <c r="A175" s="114" t="s">
        <v>237</v>
      </c>
      <c r="B175" s="115" t="s">
        <v>7570</v>
      </c>
      <c r="C175" s="116" t="s">
        <v>69</v>
      </c>
      <c r="D175" s="116">
        <v>0</v>
      </c>
      <c r="E175" s="136">
        <f ca="1">OFFSET(INDEX(Composições!A:J,MATCH(Orçamentária!A175,Composições!A:A,0),8),2,0)</f>
        <v>44.945856599999999</v>
      </c>
      <c r="F175" s="137">
        <f t="shared" ca="1" si="16"/>
        <v>0</v>
      </c>
      <c r="G175" s="138" t="e">
        <f>IF(A175&lt;&gt;"",IF(AND(#REF!="Padrão",$H$4=#REF!),BDI!$B$17,IF(AND(#REF!="Padrão",$H$4=#REF!),BDI!#REF!,IF(AND(#REF!="Diferenciado",$H$4=#REF!),BDI!$E$17,IF(AND(#REF!="Diferenciado",$H$4=#REF!),BDI!#REF!,IF(#REF!="ZERO",0))))),"")</f>
        <v>#REF!</v>
      </c>
      <c r="H175" s="139" t="e">
        <f t="shared" ca="1" si="17"/>
        <v>#REF!</v>
      </c>
      <c r="I175" s="137" t="e">
        <f t="shared" ca="1" si="18"/>
        <v>#REF!</v>
      </c>
      <c r="J175" s="117"/>
      <c r="K175" s="116">
        <v>0</v>
      </c>
      <c r="M175" s="136" t="e">
        <f ca="1">OFFSET(INDEX([1]Composições!I:R,MATCH([1]Orçamentária!I175,[1]Composições!I:I,0),8),2,0)</f>
        <v>#REF!</v>
      </c>
      <c r="N175" t="e">
        <v>#REF!</v>
      </c>
      <c r="Q175" t="e">
        <v>#REF!</v>
      </c>
    </row>
    <row r="176" spans="1:19" x14ac:dyDescent="0.25">
      <c r="A176" s="172" t="s">
        <v>238</v>
      </c>
      <c r="B176" s="173" t="s">
        <v>7356</v>
      </c>
      <c r="C176" s="174" t="s">
        <v>69</v>
      </c>
      <c r="D176" s="174">
        <v>76</v>
      </c>
      <c r="E176" s="136">
        <f ca="1">OFFSET(INDEX(Composições!A:J,MATCH(Orçamentária!A176,Composições!A:A,0),8),2,0)</f>
        <v>5.1217920000000001</v>
      </c>
      <c r="F176" s="137">
        <f t="shared" ca="1" si="16"/>
        <v>389.256192</v>
      </c>
      <c r="G176" s="138">
        <f>BDI!$B$17</f>
        <v>0.191</v>
      </c>
      <c r="H176" s="139">
        <f t="shared" ca="1" si="17"/>
        <v>6.1</v>
      </c>
      <c r="I176" s="137">
        <f t="shared" ca="1" si="18"/>
        <v>463.6</v>
      </c>
      <c r="J176" s="117"/>
      <c r="K176" s="253">
        <v>76</v>
      </c>
      <c r="L176" s="236" t="str">
        <f>IF(D176&lt;&gt;K176,"ERRO","-")</f>
        <v>-</v>
      </c>
      <c r="M176" s="136">
        <f ca="1">OFFSET(INDEX(Composições!A:S,MATCH(A176,Composições!A:A,0),15),2,0)</f>
        <v>4.3842539519999999</v>
      </c>
      <c r="N176" s="237">
        <v>0.191</v>
      </c>
      <c r="O176" s="236">
        <f ca="1">ROUND(M176*(1+N176),2)</f>
        <v>5.22</v>
      </c>
      <c r="P176" s="238">
        <f ca="1">ROUND(K176*O176,2)</f>
        <v>396.72</v>
      </c>
      <c r="Q176" s="236">
        <v>396.72</v>
      </c>
      <c r="R176" s="236">
        <f ca="1">P176-Q176</f>
        <v>0</v>
      </c>
      <c r="S176" s="239">
        <f ca="1">IF(ISNUMBER(O176),1-P176/$I176,"")</f>
        <v>0.1442622950819672</v>
      </c>
    </row>
    <row r="177" spans="1:17" hidden="1" x14ac:dyDescent="0.25">
      <c r="A177" s="114" t="s">
        <v>239</v>
      </c>
      <c r="B177" s="115" t="s">
        <v>7357</v>
      </c>
      <c r="C177" s="116" t="s">
        <v>69</v>
      </c>
      <c r="D177" s="116">
        <v>0</v>
      </c>
      <c r="E177" s="136">
        <f ca="1">OFFSET(INDEX(Composições!A:J,MATCH(Orçamentária!A177,Composições!A:A,0),8),2,0)</f>
        <v>10.353403999999999</v>
      </c>
      <c r="F177" s="137">
        <f t="shared" ca="1" si="16"/>
        <v>0</v>
      </c>
      <c r="G177" s="138" t="e">
        <f>IF(A177&lt;&gt;"",IF(AND(#REF!="Padrão",$H$4=#REF!),BDI!$B$17,IF(AND(#REF!="Padrão",$H$4=#REF!),BDI!#REF!,IF(AND(#REF!="Diferenciado",$H$4=#REF!),BDI!$E$17,IF(AND(#REF!="Diferenciado",$H$4=#REF!),BDI!#REF!,IF(#REF!="ZERO",0))))),"")</f>
        <v>#REF!</v>
      </c>
      <c r="H177" s="139" t="e">
        <f t="shared" ca="1" si="17"/>
        <v>#REF!</v>
      </c>
      <c r="I177" s="137" t="e">
        <f t="shared" ca="1" si="18"/>
        <v>#REF!</v>
      </c>
      <c r="J177" s="117"/>
      <c r="K177" s="116">
        <v>0</v>
      </c>
      <c r="M177" s="136" t="e">
        <f ca="1">OFFSET(INDEX([1]Composições!I:R,MATCH([1]Orçamentária!I177,[1]Composições!I:I,0),8),2,0)</f>
        <v>#REF!</v>
      </c>
      <c r="N177" t="e">
        <v>#REF!</v>
      </c>
      <c r="Q177" t="e">
        <v>#REF!</v>
      </c>
    </row>
    <row r="178" spans="1:17" hidden="1" x14ac:dyDescent="0.25">
      <c r="A178" s="114" t="s">
        <v>240</v>
      </c>
      <c r="B178" s="115" t="s">
        <v>7358</v>
      </c>
      <c r="C178" s="116" t="s">
        <v>69</v>
      </c>
      <c r="D178" s="116">
        <v>0</v>
      </c>
      <c r="E178" s="136">
        <f ca="1">OFFSET(INDEX(Composições!A:J,MATCH(Orçamentária!A178,Composições!A:A,0),8),2,0)</f>
        <v>15.924507999999999</v>
      </c>
      <c r="F178" s="137">
        <f t="shared" ca="1" si="16"/>
        <v>0</v>
      </c>
      <c r="G178" s="138" t="e">
        <f>IF(A178&lt;&gt;"",IF(AND(#REF!="Padrão",$H$4=#REF!),BDI!$B$17,IF(AND(#REF!="Padrão",$H$4=#REF!),BDI!#REF!,IF(AND(#REF!="Diferenciado",$H$4=#REF!),BDI!$E$17,IF(AND(#REF!="Diferenciado",$H$4=#REF!),BDI!#REF!,IF(#REF!="ZERO",0))))),"")</f>
        <v>#REF!</v>
      </c>
      <c r="H178" s="139" t="e">
        <f t="shared" ca="1" si="17"/>
        <v>#REF!</v>
      </c>
      <c r="I178" s="137" t="e">
        <f t="shared" ca="1" si="18"/>
        <v>#REF!</v>
      </c>
      <c r="J178" s="117"/>
      <c r="K178" s="116">
        <v>0</v>
      </c>
      <c r="M178" s="136" t="e">
        <f ca="1">OFFSET(INDEX([1]Composições!I:R,MATCH([1]Orçamentária!I178,[1]Composições!I:I,0),8),2,0)</f>
        <v>#REF!</v>
      </c>
      <c r="N178" t="e">
        <v>#REF!</v>
      </c>
      <c r="Q178" t="e">
        <v>#REF!</v>
      </c>
    </row>
    <row r="179" spans="1:17" hidden="1" x14ac:dyDescent="0.25">
      <c r="A179" s="114" t="s">
        <v>241</v>
      </c>
      <c r="B179" s="115" t="s">
        <v>7359</v>
      </c>
      <c r="C179" s="116" t="s">
        <v>69</v>
      </c>
      <c r="D179" s="116">
        <v>0</v>
      </c>
      <c r="E179" s="136">
        <f ca="1">OFFSET(INDEX(Composições!A:J,MATCH(Orçamentária!A179,Composições!A:A,0),8),2,0)</f>
        <v>17.599861499999999</v>
      </c>
      <c r="F179" s="137">
        <f t="shared" ca="1" si="16"/>
        <v>0</v>
      </c>
      <c r="G179" s="138" t="e">
        <f>IF(A179&lt;&gt;"",IF(AND(#REF!="Padrão",$H$4=#REF!),BDI!$B$17,IF(AND(#REF!="Padrão",$H$4=#REF!),BDI!#REF!,IF(AND(#REF!="Diferenciado",$H$4=#REF!),BDI!$E$17,IF(AND(#REF!="Diferenciado",$H$4=#REF!),BDI!#REF!,IF(#REF!="ZERO",0))))),"")</f>
        <v>#REF!</v>
      </c>
      <c r="H179" s="139" t="e">
        <f t="shared" ca="1" si="17"/>
        <v>#REF!</v>
      </c>
      <c r="I179" s="137" t="e">
        <f t="shared" ca="1" si="18"/>
        <v>#REF!</v>
      </c>
      <c r="J179" s="117"/>
      <c r="K179" s="116">
        <v>0</v>
      </c>
      <c r="M179" s="136" t="e">
        <f ca="1">OFFSET(INDEX([1]Composições!I:R,MATCH([1]Orçamentária!I179,[1]Composições!I:I,0),8),2,0)</f>
        <v>#REF!</v>
      </c>
      <c r="N179" t="e">
        <v>#REF!</v>
      </c>
      <c r="Q179" t="e">
        <v>#REF!</v>
      </c>
    </row>
    <row r="180" spans="1:17" hidden="1" x14ac:dyDescent="0.25">
      <c r="A180" s="114" t="s">
        <v>242</v>
      </c>
      <c r="B180" s="115" t="s">
        <v>1460</v>
      </c>
      <c r="C180" s="116" t="s">
        <v>16</v>
      </c>
      <c r="D180" s="116">
        <v>0</v>
      </c>
      <c r="E180" s="136">
        <f ca="1">OFFSET(INDEX(Composições!A:J,MATCH(Orçamentária!A180,Composições!A:A,0),8),2,0)</f>
        <v>10.767765499999999</v>
      </c>
      <c r="F180" s="137">
        <f t="shared" ca="1" si="16"/>
        <v>0</v>
      </c>
      <c r="G180" s="138" t="e">
        <f>IF(A180&lt;&gt;"",IF(AND(#REF!="Padrão",$H$4=#REF!),BDI!$B$17,IF(AND(#REF!="Padrão",$H$4=#REF!),BDI!#REF!,IF(AND(#REF!="Diferenciado",$H$4=#REF!),BDI!$E$17,IF(AND(#REF!="Diferenciado",$H$4=#REF!),BDI!#REF!,IF(#REF!="ZERO",0))))),"")</f>
        <v>#REF!</v>
      </c>
      <c r="H180" s="139" t="e">
        <f t="shared" ca="1" si="17"/>
        <v>#REF!</v>
      </c>
      <c r="I180" s="137" t="e">
        <f t="shared" ca="1" si="18"/>
        <v>#REF!</v>
      </c>
      <c r="J180" s="117"/>
      <c r="K180" s="116">
        <v>0</v>
      </c>
      <c r="M180" s="136" t="e">
        <f ca="1">OFFSET(INDEX([1]Composições!I:R,MATCH([1]Orçamentária!I180,[1]Composições!I:I,0),8),2,0)</f>
        <v>#REF!</v>
      </c>
      <c r="N180" t="e">
        <v>#REF!</v>
      </c>
      <c r="Q180" t="e">
        <v>#REF!</v>
      </c>
    </row>
    <row r="181" spans="1:17" hidden="1" x14ac:dyDescent="0.25">
      <c r="A181" s="114" t="s">
        <v>245</v>
      </c>
      <c r="B181" s="115" t="s">
        <v>5894</v>
      </c>
      <c r="C181" s="116" t="s">
        <v>16</v>
      </c>
      <c r="D181" s="116">
        <v>0</v>
      </c>
      <c r="E181" s="136">
        <f ca="1">OFFSET(INDEX(Composições!A:J,MATCH(Orçamentária!A181,Composições!A:A,0),8),2,0)</f>
        <v>109.89886235</v>
      </c>
      <c r="F181" s="137">
        <f t="shared" ca="1" si="16"/>
        <v>0</v>
      </c>
      <c r="G181" s="138" t="e">
        <f>IF(A181&lt;&gt;"",IF(AND(#REF!="Padrão",$H$4=#REF!),BDI!$B$17,IF(AND(#REF!="Padrão",$H$4=#REF!),BDI!#REF!,IF(AND(#REF!="Diferenciado",$H$4=#REF!),BDI!$E$17,IF(AND(#REF!="Diferenciado",$H$4=#REF!),BDI!#REF!,IF(#REF!="ZERO",0))))),"")</f>
        <v>#REF!</v>
      </c>
      <c r="H181" s="139" t="e">
        <f t="shared" ca="1" si="17"/>
        <v>#REF!</v>
      </c>
      <c r="I181" s="137" t="e">
        <f t="shared" ca="1" si="18"/>
        <v>#REF!</v>
      </c>
      <c r="J181" s="117"/>
      <c r="K181" s="116">
        <v>0</v>
      </c>
      <c r="M181" s="136" t="e">
        <f ca="1">OFFSET(INDEX([1]Composições!I:R,MATCH([1]Orçamentária!I181,[1]Composições!I:I,0),8),2,0)</f>
        <v>#REF!</v>
      </c>
      <c r="N181" t="e">
        <v>#REF!</v>
      </c>
      <c r="Q181" t="e">
        <v>#REF!</v>
      </c>
    </row>
    <row r="182" spans="1:17" hidden="1" x14ac:dyDescent="0.25">
      <c r="A182" s="114" t="s">
        <v>246</v>
      </c>
      <c r="B182" s="115" t="s">
        <v>5895</v>
      </c>
      <c r="C182" s="116" t="s">
        <v>16</v>
      </c>
      <c r="D182" s="116">
        <v>0</v>
      </c>
      <c r="E182" s="136">
        <f ca="1">OFFSET(INDEX(Composições!A:J,MATCH(Orçamentária!A182,Composições!A:A,0),8),2,0)</f>
        <v>149.98886235000001</v>
      </c>
      <c r="F182" s="137">
        <f t="shared" ca="1" si="16"/>
        <v>0</v>
      </c>
      <c r="G182" s="138" t="e">
        <f>IF(A182&lt;&gt;"",IF(AND(#REF!="Padrão",$H$4=#REF!),BDI!$B$17,IF(AND(#REF!="Padrão",$H$4=#REF!),BDI!#REF!,IF(AND(#REF!="Diferenciado",$H$4=#REF!),BDI!$E$17,IF(AND(#REF!="Diferenciado",$H$4=#REF!),BDI!#REF!,IF(#REF!="ZERO",0))))),"")</f>
        <v>#REF!</v>
      </c>
      <c r="H182" s="139" t="e">
        <f t="shared" ca="1" si="17"/>
        <v>#REF!</v>
      </c>
      <c r="I182" s="137" t="e">
        <f t="shared" ca="1" si="18"/>
        <v>#REF!</v>
      </c>
      <c r="J182" s="117"/>
      <c r="K182" s="116">
        <v>0</v>
      </c>
      <c r="M182" s="136" t="e">
        <f ca="1">OFFSET(INDEX([1]Composições!I:R,MATCH([1]Orçamentária!I182,[1]Composições!I:I,0),8),2,0)</f>
        <v>#REF!</v>
      </c>
      <c r="N182" t="e">
        <v>#REF!</v>
      </c>
      <c r="Q182" t="e">
        <v>#REF!</v>
      </c>
    </row>
    <row r="183" spans="1:17" hidden="1" x14ac:dyDescent="0.25">
      <c r="A183" s="114" t="s">
        <v>247</v>
      </c>
      <c r="B183" s="115" t="s">
        <v>7571</v>
      </c>
      <c r="C183" s="116" t="s">
        <v>16</v>
      </c>
      <c r="D183" s="116">
        <v>0</v>
      </c>
      <c r="E183" s="136">
        <f ca="1">OFFSET(INDEX(Composições!A:J,MATCH(Orçamentária!A183,Composições!A:A,0),8),2,0)</f>
        <v>3.0338249999999993</v>
      </c>
      <c r="F183" s="137">
        <f t="shared" ca="1" si="16"/>
        <v>0</v>
      </c>
      <c r="G183" s="138" t="e">
        <f>IF(A183&lt;&gt;"",IF(AND(#REF!="Padrão",$H$4=#REF!),BDI!$B$17,IF(AND(#REF!="Padrão",$H$4=#REF!),BDI!#REF!,IF(AND(#REF!="Diferenciado",$H$4=#REF!),BDI!$E$17,IF(AND(#REF!="Diferenciado",$H$4=#REF!),BDI!#REF!,IF(#REF!="ZERO",0))))),"")</f>
        <v>#REF!</v>
      </c>
      <c r="H183" s="139" t="e">
        <f t="shared" ca="1" si="17"/>
        <v>#REF!</v>
      </c>
      <c r="I183" s="137" t="e">
        <f t="shared" ca="1" si="18"/>
        <v>#REF!</v>
      </c>
      <c r="J183" s="117"/>
      <c r="K183" s="116">
        <v>0</v>
      </c>
      <c r="M183" s="136" t="e">
        <f ca="1">OFFSET(INDEX([1]Composições!I:R,MATCH([1]Orçamentária!I183,[1]Composições!I:I,0),8),2,0)</f>
        <v>#REF!</v>
      </c>
      <c r="N183" t="e">
        <v>#REF!</v>
      </c>
      <c r="Q183" t="e">
        <v>#REF!</v>
      </c>
    </row>
    <row r="184" spans="1:17" hidden="1" x14ac:dyDescent="0.25">
      <c r="A184" s="114" t="s">
        <v>249</v>
      </c>
      <c r="B184" s="115" t="s">
        <v>7572</v>
      </c>
      <c r="C184" s="116" t="s">
        <v>16</v>
      </c>
      <c r="D184" s="116">
        <v>0</v>
      </c>
      <c r="E184" s="136">
        <f ca="1">OFFSET(INDEX(Composições!A:J,MATCH(Orçamentária!A184,Composições!A:A,0),8),2,0)</f>
        <v>3.0338249999999993</v>
      </c>
      <c r="F184" s="137">
        <f t="shared" ca="1" si="16"/>
        <v>0</v>
      </c>
      <c r="G184" s="138" t="e">
        <f>IF(A184&lt;&gt;"",IF(AND(#REF!="Padrão",$H$4=#REF!),BDI!$B$17,IF(AND(#REF!="Padrão",$H$4=#REF!),BDI!#REF!,IF(AND(#REF!="Diferenciado",$H$4=#REF!),BDI!$E$17,IF(AND(#REF!="Diferenciado",$H$4=#REF!),BDI!#REF!,IF(#REF!="ZERO",0))))),"")</f>
        <v>#REF!</v>
      </c>
      <c r="H184" s="139" t="e">
        <f t="shared" ca="1" si="17"/>
        <v>#REF!</v>
      </c>
      <c r="I184" s="137" t="e">
        <f t="shared" ca="1" si="18"/>
        <v>#REF!</v>
      </c>
      <c r="J184" s="117"/>
      <c r="K184" s="116">
        <v>0</v>
      </c>
      <c r="M184" s="136" t="e">
        <f ca="1">OFFSET(INDEX([1]Composições!I:R,MATCH([1]Orçamentária!I184,[1]Composições!I:I,0),8),2,0)</f>
        <v>#REF!</v>
      </c>
      <c r="N184" t="e">
        <v>#REF!</v>
      </c>
      <c r="Q184" t="e">
        <v>#REF!</v>
      </c>
    </row>
    <row r="185" spans="1:17" hidden="1" x14ac:dyDescent="0.25">
      <c r="A185" s="114" t="s">
        <v>251</v>
      </c>
      <c r="B185" s="115" t="s">
        <v>7573</v>
      </c>
      <c r="C185" s="116" t="s">
        <v>16</v>
      </c>
      <c r="D185" s="116">
        <v>0</v>
      </c>
      <c r="E185" s="136">
        <f ca="1">OFFSET(INDEX(Composições!A:J,MATCH(Orçamentária!A185,Composições!A:A,0),8),2,0)</f>
        <v>16.062741549999998</v>
      </c>
      <c r="F185" s="137">
        <f t="shared" ca="1" si="16"/>
        <v>0</v>
      </c>
      <c r="G185" s="138" t="e">
        <f>IF(A185&lt;&gt;"",IF(AND(#REF!="Padrão",$H$4=#REF!),BDI!$B$17,IF(AND(#REF!="Padrão",$H$4=#REF!),BDI!#REF!,IF(AND(#REF!="Diferenciado",$H$4=#REF!),BDI!$E$17,IF(AND(#REF!="Diferenciado",$H$4=#REF!),BDI!#REF!,IF(#REF!="ZERO",0))))),"")</f>
        <v>#REF!</v>
      </c>
      <c r="H185" s="139" t="e">
        <f t="shared" ca="1" si="17"/>
        <v>#REF!</v>
      </c>
      <c r="I185" s="137" t="e">
        <f t="shared" ca="1" si="18"/>
        <v>#REF!</v>
      </c>
      <c r="J185" s="117"/>
      <c r="K185" s="116">
        <v>0</v>
      </c>
      <c r="M185" s="136" t="e">
        <f ca="1">OFFSET(INDEX([1]Composições!I:R,MATCH([1]Orçamentária!I185,[1]Composições!I:I,0),8),2,0)</f>
        <v>#REF!</v>
      </c>
      <c r="N185" t="e">
        <v>#REF!</v>
      </c>
      <c r="Q185" t="e">
        <v>#REF!</v>
      </c>
    </row>
    <row r="186" spans="1:17" hidden="1" x14ac:dyDescent="0.25">
      <c r="A186" s="114" t="s">
        <v>252</v>
      </c>
      <c r="B186" s="115" t="s">
        <v>5423</v>
      </c>
      <c r="C186" s="116" t="s">
        <v>16</v>
      </c>
      <c r="D186" s="116">
        <v>0</v>
      </c>
      <c r="E186" s="136">
        <f ca="1">OFFSET(INDEX(Composições!A:J,MATCH(Orçamentária!A186,Composições!A:A,0),8),2,0)</f>
        <v>2.0225499999999998</v>
      </c>
      <c r="F186" s="137">
        <f t="shared" ca="1" si="16"/>
        <v>0</v>
      </c>
      <c r="G186" s="138" t="e">
        <f>IF(A186&lt;&gt;"",IF(AND(#REF!="Padrão",$H$4=#REF!),BDI!$B$17,IF(AND(#REF!="Padrão",$H$4=#REF!),BDI!#REF!,IF(AND(#REF!="Diferenciado",$H$4=#REF!),BDI!$E$17,IF(AND(#REF!="Diferenciado",$H$4=#REF!),BDI!#REF!,IF(#REF!="ZERO",0))))),"")</f>
        <v>#REF!</v>
      </c>
      <c r="H186" s="139" t="e">
        <f t="shared" ca="1" si="17"/>
        <v>#REF!</v>
      </c>
      <c r="I186" s="137" t="e">
        <f t="shared" ca="1" si="18"/>
        <v>#REF!</v>
      </c>
      <c r="J186" s="117"/>
      <c r="K186" s="116">
        <v>0</v>
      </c>
      <c r="M186" s="136" t="e">
        <f ca="1">OFFSET(INDEX([1]Composições!I:R,MATCH([1]Orçamentária!I186,[1]Composições!I:I,0),8),2,0)</f>
        <v>#REF!</v>
      </c>
      <c r="N186" t="e">
        <v>#REF!</v>
      </c>
      <c r="Q186" t="e">
        <v>#REF!</v>
      </c>
    </row>
    <row r="187" spans="1:17" hidden="1" x14ac:dyDescent="0.25">
      <c r="A187" s="114" t="s">
        <v>254</v>
      </c>
      <c r="B187" s="115" t="s">
        <v>1461</v>
      </c>
      <c r="C187" s="116" t="s">
        <v>16</v>
      </c>
      <c r="D187" s="116">
        <v>0</v>
      </c>
      <c r="E187" s="136">
        <f ca="1">OFFSET(INDEX(Composições!A:J,MATCH(Orçamentária!A187,Composições!A:A,0),8),2,0)</f>
        <v>267.89069949999998</v>
      </c>
      <c r="F187" s="137">
        <f t="shared" ca="1" si="16"/>
        <v>0</v>
      </c>
      <c r="G187" s="138" t="e">
        <f>IF(A187&lt;&gt;"",IF(AND(#REF!="Padrão",$H$4=#REF!),BDI!$B$17,IF(AND(#REF!="Padrão",$H$4=#REF!),BDI!#REF!,IF(AND(#REF!="Diferenciado",$H$4=#REF!),BDI!$E$17,IF(AND(#REF!="Diferenciado",$H$4=#REF!),BDI!#REF!,IF(#REF!="ZERO",0))))),"")</f>
        <v>#REF!</v>
      </c>
      <c r="H187" s="139" t="e">
        <f t="shared" ca="1" si="17"/>
        <v>#REF!</v>
      </c>
      <c r="I187" s="137" t="e">
        <f t="shared" ca="1" si="18"/>
        <v>#REF!</v>
      </c>
      <c r="J187" s="117"/>
      <c r="K187" s="116">
        <v>0</v>
      </c>
      <c r="M187" s="136" t="e">
        <f ca="1">OFFSET(INDEX([1]Composições!I:R,MATCH([1]Orçamentária!I187,[1]Composições!I:I,0),8),2,0)</f>
        <v>#REF!</v>
      </c>
      <c r="N187" t="e">
        <v>#REF!</v>
      </c>
      <c r="Q187" t="e">
        <v>#REF!</v>
      </c>
    </row>
    <row r="188" spans="1:17" hidden="1" x14ac:dyDescent="0.25">
      <c r="A188" s="114" t="s">
        <v>255</v>
      </c>
      <c r="B188" s="115" t="s">
        <v>1462</v>
      </c>
      <c r="C188" s="116" t="s">
        <v>16</v>
      </c>
      <c r="D188" s="116">
        <v>0</v>
      </c>
      <c r="E188" s="136">
        <f ca="1">OFFSET(INDEX(Composições!A:J,MATCH(Orçamentária!A188,Composições!A:A,0),8),2,0)</f>
        <v>86.792199499999981</v>
      </c>
      <c r="F188" s="137">
        <f t="shared" ca="1" si="16"/>
        <v>0</v>
      </c>
      <c r="G188" s="138" t="e">
        <f>IF(A188&lt;&gt;"",IF(AND(#REF!="Padrão",$H$4=#REF!),BDI!$B$17,IF(AND(#REF!="Padrão",$H$4=#REF!),BDI!#REF!,IF(AND(#REF!="Diferenciado",$H$4=#REF!),BDI!$E$17,IF(AND(#REF!="Diferenciado",$H$4=#REF!),BDI!#REF!,IF(#REF!="ZERO",0))))),"")</f>
        <v>#REF!</v>
      </c>
      <c r="H188" s="139" t="e">
        <f t="shared" ca="1" si="17"/>
        <v>#REF!</v>
      </c>
      <c r="I188" s="137" t="e">
        <f t="shared" ca="1" si="18"/>
        <v>#REF!</v>
      </c>
      <c r="J188" s="117"/>
      <c r="K188" s="116">
        <v>0</v>
      </c>
      <c r="M188" s="136" t="e">
        <f ca="1">OFFSET(INDEX([1]Composições!I:R,MATCH([1]Orçamentária!I188,[1]Composições!I:I,0),8),2,0)</f>
        <v>#REF!</v>
      </c>
      <c r="N188" t="e">
        <v>#REF!</v>
      </c>
      <c r="Q188" t="e">
        <v>#REF!</v>
      </c>
    </row>
    <row r="189" spans="1:17" hidden="1" x14ac:dyDescent="0.25">
      <c r="A189" s="114" t="s">
        <v>257</v>
      </c>
      <c r="B189" s="115" t="s">
        <v>1463</v>
      </c>
      <c r="C189" s="116" t="s">
        <v>16</v>
      </c>
      <c r="D189" s="116">
        <v>0</v>
      </c>
      <c r="E189" s="136">
        <f ca="1">OFFSET(INDEX(Composições!A:J,MATCH(Orçamentária!A189,Composições!A:A,0),8),2,0)</f>
        <v>48.7234385</v>
      </c>
      <c r="F189" s="137">
        <f t="shared" ca="1" si="16"/>
        <v>0</v>
      </c>
      <c r="G189" s="138" t="e">
        <f>IF(A189&lt;&gt;"",IF(AND(#REF!="Padrão",$H$4=#REF!),BDI!$B$17,IF(AND(#REF!="Padrão",$H$4=#REF!),BDI!#REF!,IF(AND(#REF!="Diferenciado",$H$4=#REF!),BDI!$E$17,IF(AND(#REF!="Diferenciado",$H$4=#REF!),BDI!#REF!,IF(#REF!="ZERO",0))))),"")</f>
        <v>#REF!</v>
      </c>
      <c r="H189" s="139" t="e">
        <f t="shared" ca="1" si="17"/>
        <v>#REF!</v>
      </c>
      <c r="I189" s="137" t="e">
        <f t="shared" ca="1" si="18"/>
        <v>#REF!</v>
      </c>
      <c r="J189" s="117"/>
      <c r="K189" s="116">
        <v>0</v>
      </c>
      <c r="M189" s="136" t="e">
        <f ca="1">OFFSET(INDEX([1]Composições!I:R,MATCH([1]Orçamentária!I189,[1]Composições!I:I,0),8),2,0)</f>
        <v>#REF!</v>
      </c>
      <c r="N189" t="e">
        <v>#REF!</v>
      </c>
      <c r="Q189" t="e">
        <v>#REF!</v>
      </c>
    </row>
    <row r="190" spans="1:17" hidden="1" x14ac:dyDescent="0.25">
      <c r="A190" s="114" t="s">
        <v>259</v>
      </c>
      <c r="B190" s="115" t="s">
        <v>5424</v>
      </c>
      <c r="C190" s="116" t="s">
        <v>16</v>
      </c>
      <c r="D190" s="116">
        <v>0</v>
      </c>
      <c r="E190" s="136">
        <f ca="1">OFFSET(INDEX(Composições!A:J,MATCH(Orçamentária!A190,Composições!A:A,0),8),2,0)</f>
        <v>27.496380099999996</v>
      </c>
      <c r="F190" s="137">
        <f t="shared" ca="1" si="16"/>
        <v>0</v>
      </c>
      <c r="G190" s="138" t="e">
        <f>IF(A190&lt;&gt;"",IF(AND(#REF!="Padrão",$H$4=#REF!),BDI!$B$17,IF(AND(#REF!="Padrão",$H$4=#REF!),BDI!#REF!,IF(AND(#REF!="Diferenciado",$H$4=#REF!),BDI!$E$17,IF(AND(#REF!="Diferenciado",$H$4=#REF!),BDI!#REF!,IF(#REF!="ZERO",0))))),"")</f>
        <v>#REF!</v>
      </c>
      <c r="H190" s="139" t="e">
        <f t="shared" ca="1" si="17"/>
        <v>#REF!</v>
      </c>
      <c r="I190" s="137" t="e">
        <f t="shared" ca="1" si="18"/>
        <v>#REF!</v>
      </c>
      <c r="J190" s="117"/>
      <c r="K190" s="116">
        <v>0</v>
      </c>
      <c r="M190" s="136" t="e">
        <f ca="1">OFFSET(INDEX([1]Composições!I:R,MATCH([1]Orçamentária!I190,[1]Composições!I:I,0),8),2,0)</f>
        <v>#REF!</v>
      </c>
      <c r="N190" t="e">
        <v>#REF!</v>
      </c>
      <c r="Q190" t="e">
        <v>#REF!</v>
      </c>
    </row>
    <row r="191" spans="1:17" hidden="1" x14ac:dyDescent="0.25">
      <c r="A191" s="114" t="s">
        <v>261</v>
      </c>
      <c r="B191" s="115" t="s">
        <v>1464</v>
      </c>
      <c r="C191" s="116" t="s">
        <v>16</v>
      </c>
      <c r="D191" s="116">
        <v>0</v>
      </c>
      <c r="E191" s="136">
        <f ca="1">OFFSET(INDEX(Composições!A:J,MATCH(Orçamentária!A191,Composições!A:A,0),8),2,0)</f>
        <v>48.7234385</v>
      </c>
      <c r="F191" s="137">
        <f t="shared" ca="1" si="16"/>
        <v>0</v>
      </c>
      <c r="G191" s="138" t="e">
        <f>IF(A191&lt;&gt;"",IF(AND(#REF!="Padrão",$H$4=#REF!),BDI!$B$17,IF(AND(#REF!="Padrão",$H$4=#REF!),BDI!#REF!,IF(AND(#REF!="Diferenciado",$H$4=#REF!),BDI!$E$17,IF(AND(#REF!="Diferenciado",$H$4=#REF!),BDI!#REF!,IF(#REF!="ZERO",0))))),"")</f>
        <v>#REF!</v>
      </c>
      <c r="H191" s="139" t="e">
        <f t="shared" ca="1" si="17"/>
        <v>#REF!</v>
      </c>
      <c r="I191" s="137" t="e">
        <f t="shared" ca="1" si="18"/>
        <v>#REF!</v>
      </c>
      <c r="J191" s="117"/>
      <c r="K191" s="116">
        <v>0</v>
      </c>
      <c r="M191" s="136" t="e">
        <f ca="1">OFFSET(INDEX([1]Composições!I:R,MATCH([1]Orçamentária!I191,[1]Composições!I:I,0),8),2,0)</f>
        <v>#REF!</v>
      </c>
      <c r="N191" t="e">
        <v>#REF!</v>
      </c>
      <c r="Q191" t="e">
        <v>#REF!</v>
      </c>
    </row>
    <row r="192" spans="1:17" hidden="1" x14ac:dyDescent="0.25">
      <c r="A192" s="114" t="s">
        <v>263</v>
      </c>
      <c r="B192" s="115" t="s">
        <v>1465</v>
      </c>
      <c r="C192" s="116" t="s">
        <v>16</v>
      </c>
      <c r="D192" s="116">
        <v>0</v>
      </c>
      <c r="E192" s="136">
        <f ca="1">OFFSET(INDEX(Composições!A:J,MATCH(Orçamentária!A192,Composições!A:A,0),8),2,0)</f>
        <v>50.201165399999994</v>
      </c>
      <c r="F192" s="137">
        <f t="shared" ca="1" si="16"/>
        <v>0</v>
      </c>
      <c r="G192" s="138" t="e">
        <f>IF(A192&lt;&gt;"",IF(AND(#REF!="Padrão",$H$4=#REF!),BDI!$B$17,IF(AND(#REF!="Padrão",$H$4=#REF!),BDI!#REF!,IF(AND(#REF!="Diferenciado",$H$4=#REF!),BDI!$E$17,IF(AND(#REF!="Diferenciado",$H$4=#REF!),BDI!#REF!,IF(#REF!="ZERO",0))))),"")</f>
        <v>#REF!</v>
      </c>
      <c r="H192" s="139" t="e">
        <f t="shared" ca="1" si="17"/>
        <v>#REF!</v>
      </c>
      <c r="I192" s="137" t="e">
        <f t="shared" ca="1" si="18"/>
        <v>#REF!</v>
      </c>
      <c r="J192" s="117"/>
      <c r="K192" s="116">
        <v>0</v>
      </c>
      <c r="M192" s="136" t="e">
        <f ca="1">OFFSET(INDEX([1]Composições!I:R,MATCH([1]Orçamentária!I192,[1]Composições!I:I,0),8),2,0)</f>
        <v>#REF!</v>
      </c>
      <c r="N192" t="e">
        <v>#REF!</v>
      </c>
      <c r="Q192" t="e">
        <v>#REF!</v>
      </c>
    </row>
    <row r="193" spans="1:17" hidden="1" x14ac:dyDescent="0.25">
      <c r="A193" s="114" t="s">
        <v>264</v>
      </c>
      <c r="B193" s="115" t="s">
        <v>1466</v>
      </c>
      <c r="C193" s="116" t="s">
        <v>16</v>
      </c>
      <c r="D193" s="116">
        <v>0</v>
      </c>
      <c r="E193" s="136">
        <f ca="1">OFFSET(INDEX(Composições!A:J,MATCH(Orçamentária!A193,Composições!A:A,0),8),2,0)</f>
        <v>50.684570999999991</v>
      </c>
      <c r="F193" s="137">
        <f t="shared" ca="1" si="16"/>
        <v>0</v>
      </c>
      <c r="G193" s="138" t="e">
        <f>IF(A193&lt;&gt;"",IF(AND(#REF!="Padrão",$H$4=#REF!),BDI!$B$17,IF(AND(#REF!="Padrão",$H$4=#REF!),BDI!#REF!,IF(AND(#REF!="Diferenciado",$H$4=#REF!),BDI!$E$17,IF(AND(#REF!="Diferenciado",$H$4=#REF!),BDI!#REF!,IF(#REF!="ZERO",0))))),"")</f>
        <v>#REF!</v>
      </c>
      <c r="H193" s="139" t="e">
        <f t="shared" ca="1" si="17"/>
        <v>#REF!</v>
      </c>
      <c r="I193" s="137" t="e">
        <f t="shared" ca="1" si="18"/>
        <v>#REF!</v>
      </c>
      <c r="J193" s="117"/>
      <c r="K193" s="116">
        <v>0</v>
      </c>
      <c r="M193" s="136" t="e">
        <f ca="1">OFFSET(INDEX([1]Composições!I:R,MATCH([1]Orçamentária!I193,[1]Composições!I:I,0),8),2,0)</f>
        <v>#REF!</v>
      </c>
      <c r="N193" t="e">
        <v>#REF!</v>
      </c>
      <c r="Q193" t="e">
        <v>#REF!</v>
      </c>
    </row>
    <row r="194" spans="1:17" hidden="1" x14ac:dyDescent="0.25">
      <c r="A194" s="114" t="s">
        <v>266</v>
      </c>
      <c r="B194" s="115" t="s">
        <v>1467</v>
      </c>
      <c r="C194" s="116" t="s">
        <v>16</v>
      </c>
      <c r="D194" s="116">
        <v>0</v>
      </c>
      <c r="E194" s="136">
        <f ca="1">OFFSET(INDEX(Composições!A:J,MATCH(Orçamentária!A194,Composições!A:A,0),8),2,0)</f>
        <v>86.792199499999981</v>
      </c>
      <c r="F194" s="137">
        <f t="shared" ca="1" si="16"/>
        <v>0</v>
      </c>
      <c r="G194" s="138" t="e">
        <f>IF(A194&lt;&gt;"",IF(AND(#REF!="Padrão",$H$4=#REF!),BDI!$B$17,IF(AND(#REF!="Padrão",$H$4=#REF!),BDI!#REF!,IF(AND(#REF!="Diferenciado",$H$4=#REF!),BDI!$E$17,IF(AND(#REF!="Diferenciado",$H$4=#REF!),BDI!#REF!,IF(#REF!="ZERO",0))))),"")</f>
        <v>#REF!</v>
      </c>
      <c r="H194" s="139" t="e">
        <f t="shared" ca="1" si="17"/>
        <v>#REF!</v>
      </c>
      <c r="I194" s="137" t="e">
        <f t="shared" ca="1" si="18"/>
        <v>#REF!</v>
      </c>
      <c r="J194" s="117"/>
      <c r="K194" s="116">
        <v>0</v>
      </c>
      <c r="M194" s="136" t="e">
        <f ca="1">OFFSET(INDEX([1]Composições!I:R,MATCH([1]Orçamentária!I194,[1]Composições!I:I,0),8),2,0)</f>
        <v>#REF!</v>
      </c>
      <c r="N194" t="e">
        <v>#REF!</v>
      </c>
      <c r="Q194" t="e">
        <v>#REF!</v>
      </c>
    </row>
    <row r="195" spans="1:17" hidden="1" x14ac:dyDescent="0.25">
      <c r="A195" s="114" t="s">
        <v>267</v>
      </c>
      <c r="B195" s="115" t="s">
        <v>1468</v>
      </c>
      <c r="C195" s="116" t="s">
        <v>16</v>
      </c>
      <c r="D195" s="116">
        <v>0</v>
      </c>
      <c r="E195" s="136">
        <f ca="1">OFFSET(INDEX(Composições!A:J,MATCH(Orçamentária!A195,Composições!A:A,0),8),2,0)</f>
        <v>132.18616539999999</v>
      </c>
      <c r="F195" s="137">
        <f t="shared" ca="1" si="16"/>
        <v>0</v>
      </c>
      <c r="G195" s="138" t="e">
        <f>IF(A195&lt;&gt;"",IF(AND(#REF!="Padrão",$H$4=#REF!),BDI!$B$17,IF(AND(#REF!="Padrão",$H$4=#REF!),BDI!#REF!,IF(AND(#REF!="Diferenciado",$H$4=#REF!),BDI!$E$17,IF(AND(#REF!="Diferenciado",$H$4=#REF!),BDI!#REF!,IF(#REF!="ZERO",0))))),"")</f>
        <v>#REF!</v>
      </c>
      <c r="H195" s="139" t="e">
        <f t="shared" ca="1" si="17"/>
        <v>#REF!</v>
      </c>
      <c r="I195" s="137" t="e">
        <f t="shared" ca="1" si="18"/>
        <v>#REF!</v>
      </c>
      <c r="J195" s="117"/>
      <c r="K195" s="116">
        <v>0</v>
      </c>
      <c r="M195" s="136" t="e">
        <f ca="1">OFFSET(INDEX([1]Composições!I:R,MATCH([1]Orçamentária!I195,[1]Composições!I:I,0),8),2,0)</f>
        <v>#REF!</v>
      </c>
      <c r="N195" t="e">
        <v>#REF!</v>
      </c>
      <c r="Q195" t="e">
        <v>#REF!</v>
      </c>
    </row>
    <row r="196" spans="1:17" hidden="1" x14ac:dyDescent="0.25">
      <c r="A196" s="114" t="s">
        <v>268</v>
      </c>
      <c r="B196" s="115" t="s">
        <v>1469</v>
      </c>
      <c r="C196" s="116" t="s">
        <v>16</v>
      </c>
      <c r="D196" s="116">
        <v>0</v>
      </c>
      <c r="E196" s="136">
        <f ca="1">OFFSET(INDEX(Composições!A:J,MATCH(Orçamentária!A196,Composições!A:A,0),8),2,0)</f>
        <v>365.9895709999999</v>
      </c>
      <c r="F196" s="137">
        <f t="shared" ca="1" si="16"/>
        <v>0</v>
      </c>
      <c r="G196" s="138" t="e">
        <f>IF(A196&lt;&gt;"",IF(AND(#REF!="Padrão",$H$4=#REF!),BDI!$B$17,IF(AND(#REF!="Padrão",$H$4=#REF!),BDI!#REF!,IF(AND(#REF!="Diferenciado",$H$4=#REF!),BDI!$E$17,IF(AND(#REF!="Diferenciado",$H$4=#REF!),BDI!#REF!,IF(#REF!="ZERO",0))))),"")</f>
        <v>#REF!</v>
      </c>
      <c r="H196" s="139" t="e">
        <f t="shared" ca="1" si="17"/>
        <v>#REF!</v>
      </c>
      <c r="I196" s="137" t="e">
        <f t="shared" ca="1" si="18"/>
        <v>#REF!</v>
      </c>
      <c r="J196" s="117"/>
      <c r="K196" s="116">
        <v>0</v>
      </c>
      <c r="M196" s="136" t="e">
        <f ca="1">OFFSET(INDEX([1]Composições!I:R,MATCH([1]Orçamentária!I196,[1]Composições!I:I,0),8),2,0)</f>
        <v>#REF!</v>
      </c>
      <c r="N196" t="e">
        <v>#REF!</v>
      </c>
      <c r="Q196" t="e">
        <v>#REF!</v>
      </c>
    </row>
    <row r="197" spans="1:17" hidden="1" x14ac:dyDescent="0.25">
      <c r="A197" s="114" t="s">
        <v>269</v>
      </c>
      <c r="B197" s="115" t="s">
        <v>5425</v>
      </c>
      <c r="C197" s="116" t="s">
        <v>16</v>
      </c>
      <c r="D197" s="116">
        <v>0</v>
      </c>
      <c r="E197" s="136">
        <f ca="1">OFFSET(INDEX(Composições!A:J,MATCH(Orçamentária!A197,Composições!A:A,0),8),2,0)</f>
        <v>99.457599499999986</v>
      </c>
      <c r="F197" s="137">
        <f t="shared" ca="1" si="16"/>
        <v>0</v>
      </c>
      <c r="G197" s="138" t="e">
        <f>IF(A197&lt;&gt;"",IF(AND(#REF!="Padrão",$H$4=#REF!),BDI!$B$17,IF(AND(#REF!="Padrão",$H$4=#REF!),BDI!#REF!,IF(AND(#REF!="Diferenciado",$H$4=#REF!),BDI!$E$17,IF(AND(#REF!="Diferenciado",$H$4=#REF!),BDI!#REF!,IF(#REF!="ZERO",0))))),"")</f>
        <v>#REF!</v>
      </c>
      <c r="H197" s="139" t="e">
        <f t="shared" ca="1" si="17"/>
        <v>#REF!</v>
      </c>
      <c r="I197" s="137" t="e">
        <f t="shared" ca="1" si="18"/>
        <v>#REF!</v>
      </c>
      <c r="J197" s="117"/>
      <c r="K197" s="116">
        <v>0</v>
      </c>
      <c r="M197" s="136" t="e">
        <f ca="1">OFFSET(INDEX([1]Composições!I:R,MATCH([1]Orçamentária!I197,[1]Composições!I:I,0),8),2,0)</f>
        <v>#REF!</v>
      </c>
      <c r="N197" t="e">
        <v>#REF!</v>
      </c>
      <c r="Q197" t="e">
        <v>#REF!</v>
      </c>
    </row>
    <row r="198" spans="1:17" hidden="1" x14ac:dyDescent="0.25">
      <c r="A198" s="114" t="s">
        <v>271</v>
      </c>
      <c r="B198" s="115" t="s">
        <v>5426</v>
      </c>
      <c r="C198" s="116" t="s">
        <v>16</v>
      </c>
      <c r="D198" s="116">
        <v>0</v>
      </c>
      <c r="E198" s="136">
        <f ca="1">OFFSET(INDEX(Composições!A:J,MATCH(Orçamentária!A198,Composições!A:A,0),8),2,0)</f>
        <v>2.1439599999999999</v>
      </c>
      <c r="F198" s="137">
        <f t="shared" ca="1" si="16"/>
        <v>0</v>
      </c>
      <c r="G198" s="138" t="e">
        <f>IF(A198&lt;&gt;"",IF(AND(#REF!="Padrão",$H$4=#REF!),BDI!$B$17,IF(AND(#REF!="Padrão",$H$4=#REF!),BDI!#REF!,IF(AND(#REF!="Diferenciado",$H$4=#REF!),BDI!$E$17,IF(AND(#REF!="Diferenciado",$H$4=#REF!),BDI!#REF!,IF(#REF!="ZERO",0))))),"")</f>
        <v>#REF!</v>
      </c>
      <c r="H198" s="139" t="e">
        <f t="shared" ca="1" si="17"/>
        <v>#REF!</v>
      </c>
      <c r="I198" s="137" t="e">
        <f t="shared" ca="1" si="18"/>
        <v>#REF!</v>
      </c>
      <c r="J198" s="117"/>
      <c r="K198" s="116">
        <v>0</v>
      </c>
      <c r="M198" s="136" t="e">
        <f ca="1">OFFSET(INDEX([1]Composições!I:R,MATCH([1]Orçamentária!I198,[1]Composições!I:I,0),8),2,0)</f>
        <v>#REF!</v>
      </c>
      <c r="N198" t="e">
        <v>#REF!</v>
      </c>
      <c r="Q198" t="e">
        <v>#REF!</v>
      </c>
    </row>
    <row r="199" spans="1:17" hidden="1" x14ac:dyDescent="0.25">
      <c r="A199" s="114" t="s">
        <v>273</v>
      </c>
      <c r="B199" s="115" t="s">
        <v>5427</v>
      </c>
      <c r="C199" s="116" t="s">
        <v>16</v>
      </c>
      <c r="D199" s="116">
        <v>0</v>
      </c>
      <c r="E199" s="136">
        <f ca="1">OFFSET(INDEX(Composições!A:J,MATCH(Orçamentária!A199,Composições!A:A,0),8),2,0)</f>
        <v>2.1439599999999999</v>
      </c>
      <c r="F199" s="137">
        <f t="shared" ref="F199:F262" ca="1" si="19">IF(ISNUMBER(E199),D199*E199,"")</f>
        <v>0</v>
      </c>
      <c r="G199" s="138" t="e">
        <f>IF(A199&lt;&gt;"",IF(AND(#REF!="Padrão",$H$4=#REF!),BDI!$B$17,IF(AND(#REF!="Padrão",$H$4=#REF!),BDI!#REF!,IF(AND(#REF!="Diferenciado",$H$4=#REF!),BDI!$E$17,IF(AND(#REF!="Diferenciado",$H$4=#REF!),BDI!#REF!,IF(#REF!="ZERO",0))))),"")</f>
        <v>#REF!</v>
      </c>
      <c r="H199" s="139" t="e">
        <f t="shared" ref="H199:H262" ca="1" si="20">IF(ISNUMBER(E199),ROUND(E199*(1+G199),2),"")</f>
        <v>#REF!</v>
      </c>
      <c r="I199" s="137" t="e">
        <f t="shared" ref="I199:I262" ca="1" si="21">IF(ISNUMBER(E199),ROUND(H199*D199,2),"")</f>
        <v>#REF!</v>
      </c>
      <c r="J199" s="117"/>
      <c r="K199" s="116">
        <v>0</v>
      </c>
      <c r="M199" s="136" t="e">
        <f ca="1">OFFSET(INDEX([1]Composições!I:R,MATCH([1]Orçamentária!I199,[1]Composições!I:I,0),8),2,0)</f>
        <v>#REF!</v>
      </c>
      <c r="N199" t="e">
        <v>#REF!</v>
      </c>
      <c r="Q199" t="e">
        <v>#REF!</v>
      </c>
    </row>
    <row r="200" spans="1:17" hidden="1" x14ac:dyDescent="0.25">
      <c r="A200" s="114" t="s">
        <v>275</v>
      </c>
      <c r="B200" s="115" t="s">
        <v>5428</v>
      </c>
      <c r="C200" s="116" t="s">
        <v>16</v>
      </c>
      <c r="D200" s="116">
        <v>0</v>
      </c>
      <c r="E200" s="136">
        <f ca="1">OFFSET(INDEX(Composições!A:J,MATCH(Orçamentária!A200,Composições!A:A,0),8),2,0)</f>
        <v>23.982749999999999</v>
      </c>
      <c r="F200" s="137">
        <f t="shared" ca="1" si="19"/>
        <v>0</v>
      </c>
      <c r="G200" s="138" t="e">
        <f>IF(A200&lt;&gt;"",IF(AND(#REF!="Padrão",$H$4=#REF!),BDI!$B$17,IF(AND(#REF!="Padrão",$H$4=#REF!),BDI!#REF!,IF(AND(#REF!="Diferenciado",$H$4=#REF!),BDI!$E$17,IF(AND(#REF!="Diferenciado",$H$4=#REF!),BDI!#REF!,IF(#REF!="ZERO",0))))),"")</f>
        <v>#REF!</v>
      </c>
      <c r="H200" s="139" t="e">
        <f t="shared" ca="1" si="20"/>
        <v>#REF!</v>
      </c>
      <c r="I200" s="137" t="e">
        <f t="shared" ca="1" si="21"/>
        <v>#REF!</v>
      </c>
      <c r="J200" s="117"/>
      <c r="K200" s="116">
        <v>0</v>
      </c>
      <c r="M200" s="136" t="e">
        <f ca="1">OFFSET(INDEX([1]Composições!I:R,MATCH([1]Orçamentária!I200,[1]Composições!I:I,0),8),2,0)</f>
        <v>#REF!</v>
      </c>
      <c r="N200" t="e">
        <v>#REF!</v>
      </c>
      <c r="Q200" t="e">
        <v>#REF!</v>
      </c>
    </row>
    <row r="201" spans="1:17" hidden="1" x14ac:dyDescent="0.25">
      <c r="A201" s="114" t="s">
        <v>277</v>
      </c>
      <c r="B201" s="115" t="s">
        <v>1470</v>
      </c>
      <c r="C201" s="116" t="s">
        <v>16</v>
      </c>
      <c r="D201" s="116">
        <v>0</v>
      </c>
      <c r="E201" s="136">
        <f ca="1">OFFSET(INDEX(Composições!A:J,MATCH(Orçamentária!A201,Composições!A:A,0),8),2,0)</f>
        <v>4.8246671499999998</v>
      </c>
      <c r="F201" s="137">
        <f t="shared" ca="1" si="19"/>
        <v>0</v>
      </c>
      <c r="G201" s="138" t="e">
        <f>IF(A201&lt;&gt;"",IF(AND(#REF!="Padrão",$H$4=#REF!),BDI!$B$17,IF(AND(#REF!="Padrão",$H$4=#REF!),BDI!#REF!,IF(AND(#REF!="Diferenciado",$H$4=#REF!),BDI!$E$17,IF(AND(#REF!="Diferenciado",$H$4=#REF!),BDI!#REF!,IF(#REF!="ZERO",0))))),"")</f>
        <v>#REF!</v>
      </c>
      <c r="H201" s="139" t="e">
        <f t="shared" ca="1" si="20"/>
        <v>#REF!</v>
      </c>
      <c r="I201" s="137" t="e">
        <f t="shared" ca="1" si="21"/>
        <v>#REF!</v>
      </c>
      <c r="J201" s="117"/>
      <c r="K201" s="116">
        <v>0</v>
      </c>
      <c r="M201" s="136" t="e">
        <f ca="1">OFFSET(INDEX([1]Composições!I:R,MATCH([1]Orçamentária!I201,[1]Composições!I:I,0),8),2,0)</f>
        <v>#REF!</v>
      </c>
      <c r="N201" t="e">
        <v>#REF!</v>
      </c>
      <c r="Q201" t="e">
        <v>#REF!</v>
      </c>
    </row>
    <row r="202" spans="1:17" hidden="1" x14ac:dyDescent="0.25">
      <c r="A202" s="114" t="s">
        <v>278</v>
      </c>
      <c r="B202" s="115" t="s">
        <v>5429</v>
      </c>
      <c r="C202" s="116" t="s">
        <v>16</v>
      </c>
      <c r="D202" s="116">
        <v>0</v>
      </c>
      <c r="E202" s="136">
        <f ca="1">OFFSET(INDEX(Composições!A:J,MATCH(Orçamentária!A202,Composições!A:A,0),8),2,0)</f>
        <v>42.427356249999995</v>
      </c>
      <c r="F202" s="137">
        <f t="shared" ca="1" si="19"/>
        <v>0</v>
      </c>
      <c r="G202" s="138" t="e">
        <f>IF(A202&lt;&gt;"",IF(AND(#REF!="Padrão",$H$4=#REF!),BDI!$B$17,IF(AND(#REF!="Padrão",$H$4=#REF!),BDI!#REF!,IF(AND(#REF!="Diferenciado",$H$4=#REF!),BDI!$E$17,IF(AND(#REF!="Diferenciado",$H$4=#REF!),BDI!#REF!,IF(#REF!="ZERO",0))))),"")</f>
        <v>#REF!</v>
      </c>
      <c r="H202" s="139" t="e">
        <f t="shared" ca="1" si="20"/>
        <v>#REF!</v>
      </c>
      <c r="I202" s="137" t="e">
        <f t="shared" ca="1" si="21"/>
        <v>#REF!</v>
      </c>
      <c r="J202" s="117"/>
      <c r="K202" s="116">
        <v>0</v>
      </c>
      <c r="M202" s="136" t="e">
        <f ca="1">OFFSET(INDEX([1]Composições!I:R,MATCH([1]Orçamentária!I202,[1]Composições!I:I,0),8),2,0)</f>
        <v>#REF!</v>
      </c>
      <c r="N202" t="e">
        <v>#REF!</v>
      </c>
      <c r="Q202" t="e">
        <v>#REF!</v>
      </c>
    </row>
    <row r="203" spans="1:17" hidden="1" x14ac:dyDescent="0.25">
      <c r="A203" s="114" t="s">
        <v>279</v>
      </c>
      <c r="B203" s="115" t="s">
        <v>5430</v>
      </c>
      <c r="C203" s="116" t="s">
        <v>16</v>
      </c>
      <c r="D203" s="116">
        <v>0</v>
      </c>
      <c r="E203" s="136">
        <f ca="1">OFFSET(INDEX(Composições!A:J,MATCH(Orçamentária!A203,Composições!A:A,0),8),2,0)</f>
        <v>9.2044663999999994</v>
      </c>
      <c r="F203" s="137">
        <f t="shared" ca="1" si="19"/>
        <v>0</v>
      </c>
      <c r="G203" s="138" t="e">
        <f>IF(A203&lt;&gt;"",IF(AND(#REF!="Padrão",$H$4=#REF!),BDI!$B$17,IF(AND(#REF!="Padrão",$H$4=#REF!),BDI!#REF!,IF(AND(#REF!="Diferenciado",$H$4=#REF!),BDI!$E$17,IF(AND(#REF!="Diferenciado",$H$4=#REF!),BDI!#REF!,IF(#REF!="ZERO",0))))),"")</f>
        <v>#REF!</v>
      </c>
      <c r="H203" s="139" t="e">
        <f t="shared" ca="1" si="20"/>
        <v>#REF!</v>
      </c>
      <c r="I203" s="137" t="e">
        <f t="shared" ca="1" si="21"/>
        <v>#REF!</v>
      </c>
      <c r="J203" s="117"/>
      <c r="K203" s="116">
        <v>0</v>
      </c>
      <c r="M203" s="136" t="e">
        <f ca="1">OFFSET(INDEX([1]Composições!I:R,MATCH([1]Orçamentária!I203,[1]Composições!I:I,0),8),2,0)</f>
        <v>#REF!</v>
      </c>
      <c r="N203" t="e">
        <v>#REF!</v>
      </c>
      <c r="Q203" t="e">
        <v>#REF!</v>
      </c>
    </row>
    <row r="204" spans="1:17" hidden="1" x14ac:dyDescent="0.25">
      <c r="A204" s="114" t="s">
        <v>281</v>
      </c>
      <c r="B204" s="115" t="s">
        <v>1471</v>
      </c>
      <c r="C204" s="116" t="s">
        <v>16</v>
      </c>
      <c r="D204" s="116">
        <v>0</v>
      </c>
      <c r="E204" s="136">
        <f ca="1">OFFSET(INDEX(Composições!A:J,MATCH(Orçamentária!A204,Composições!A:A,0),8),2,0)</f>
        <v>157.97103499999997</v>
      </c>
      <c r="F204" s="137">
        <f t="shared" ca="1" si="19"/>
        <v>0</v>
      </c>
      <c r="G204" s="138" t="e">
        <f>IF(A204&lt;&gt;"",IF(AND(#REF!="Padrão",$H$4=#REF!),BDI!$B$17,IF(AND(#REF!="Padrão",$H$4=#REF!),BDI!#REF!,IF(AND(#REF!="Diferenciado",$H$4=#REF!),BDI!$E$17,IF(AND(#REF!="Diferenciado",$H$4=#REF!),BDI!#REF!,IF(#REF!="ZERO",0))))),"")</f>
        <v>#REF!</v>
      </c>
      <c r="H204" s="139" t="e">
        <f t="shared" ca="1" si="20"/>
        <v>#REF!</v>
      </c>
      <c r="I204" s="137" t="e">
        <f t="shared" ca="1" si="21"/>
        <v>#REF!</v>
      </c>
      <c r="J204" s="117"/>
      <c r="K204" s="116">
        <v>0</v>
      </c>
      <c r="M204" s="136" t="e">
        <f ca="1">OFFSET(INDEX([1]Composições!I:R,MATCH([1]Orçamentária!I204,[1]Composições!I:I,0),8),2,0)</f>
        <v>#REF!</v>
      </c>
      <c r="N204" t="e">
        <v>#REF!</v>
      </c>
      <c r="Q204" t="e">
        <v>#REF!</v>
      </c>
    </row>
    <row r="205" spans="1:17" hidden="1" x14ac:dyDescent="0.25">
      <c r="A205" s="114" t="s">
        <v>282</v>
      </c>
      <c r="B205" s="115" t="s">
        <v>5431</v>
      </c>
      <c r="C205" s="116" t="s">
        <v>16</v>
      </c>
      <c r="D205" s="116">
        <v>0</v>
      </c>
      <c r="E205" s="136">
        <f ca="1">OFFSET(INDEX(Composições!A:J,MATCH(Orçamentária!A205,Composições!A:A,0),8),2,0)</f>
        <v>166.69546639999999</v>
      </c>
      <c r="F205" s="137">
        <f t="shared" ca="1" si="19"/>
        <v>0</v>
      </c>
      <c r="G205" s="138" t="e">
        <f>IF(A205&lt;&gt;"",IF(AND(#REF!="Padrão",$H$4=#REF!),BDI!$B$17,IF(AND(#REF!="Padrão",$H$4=#REF!),BDI!#REF!,IF(AND(#REF!="Diferenciado",$H$4=#REF!),BDI!$E$17,IF(AND(#REF!="Diferenciado",$H$4=#REF!),BDI!#REF!,IF(#REF!="ZERO",0))))),"")</f>
        <v>#REF!</v>
      </c>
      <c r="H205" s="139" t="e">
        <f t="shared" ca="1" si="20"/>
        <v>#REF!</v>
      </c>
      <c r="I205" s="137" t="e">
        <f t="shared" ca="1" si="21"/>
        <v>#REF!</v>
      </c>
      <c r="J205" s="117"/>
      <c r="K205" s="116">
        <v>0</v>
      </c>
      <c r="M205" s="136" t="e">
        <f ca="1">OFFSET(INDEX([1]Composições!I:R,MATCH([1]Orçamentária!I205,[1]Composições!I:I,0),8),2,0)</f>
        <v>#REF!</v>
      </c>
      <c r="N205" t="e">
        <v>#REF!</v>
      </c>
      <c r="Q205" t="e">
        <v>#REF!</v>
      </c>
    </row>
    <row r="206" spans="1:17" hidden="1" x14ac:dyDescent="0.25">
      <c r="A206" s="114" t="s">
        <v>283</v>
      </c>
      <c r="B206" s="115" t="s">
        <v>1472</v>
      </c>
      <c r="C206" s="116" t="s">
        <v>16</v>
      </c>
      <c r="D206" s="116">
        <v>0</v>
      </c>
      <c r="E206" s="136">
        <f ca="1">OFFSET(INDEX(Composições!A:J,MATCH(Orçamentária!A206,Composições!A:A,0),8),2,0)</f>
        <v>5.6141028999999989</v>
      </c>
      <c r="F206" s="137">
        <f t="shared" ca="1" si="19"/>
        <v>0</v>
      </c>
      <c r="G206" s="138" t="e">
        <f>IF(A206&lt;&gt;"",IF(AND(#REF!="Padrão",$H$4=#REF!),BDI!$B$17,IF(AND(#REF!="Padrão",$H$4=#REF!),BDI!#REF!,IF(AND(#REF!="Diferenciado",$H$4=#REF!),BDI!$E$17,IF(AND(#REF!="Diferenciado",$H$4=#REF!),BDI!#REF!,IF(#REF!="ZERO",0))))),"")</f>
        <v>#REF!</v>
      </c>
      <c r="H206" s="139" t="e">
        <f t="shared" ca="1" si="20"/>
        <v>#REF!</v>
      </c>
      <c r="I206" s="137" t="e">
        <f t="shared" ca="1" si="21"/>
        <v>#REF!</v>
      </c>
      <c r="J206" s="117"/>
      <c r="K206" s="116">
        <v>0</v>
      </c>
      <c r="M206" s="136" t="e">
        <f ca="1">OFFSET(INDEX([1]Composições!I:R,MATCH([1]Orçamentária!I206,[1]Composições!I:I,0),8),2,0)</f>
        <v>#REF!</v>
      </c>
      <c r="N206" t="e">
        <v>#REF!</v>
      </c>
      <c r="Q206" t="e">
        <v>#REF!</v>
      </c>
    </row>
    <row r="207" spans="1:17" hidden="1" x14ac:dyDescent="0.25">
      <c r="A207" s="114" t="s">
        <v>285</v>
      </c>
      <c r="B207" s="115" t="s">
        <v>5432</v>
      </c>
      <c r="C207" s="116" t="s">
        <v>16</v>
      </c>
      <c r="D207" s="116">
        <v>0</v>
      </c>
      <c r="E207" s="136">
        <f ca="1">OFFSET(INDEX(Composições!A:J,MATCH(Orçamentária!A207,Composições!A:A,0),8),2,0)</f>
        <v>5.6141028999999989</v>
      </c>
      <c r="F207" s="137">
        <f t="shared" ca="1" si="19"/>
        <v>0</v>
      </c>
      <c r="G207" s="138" t="e">
        <f>IF(A207&lt;&gt;"",IF(AND(#REF!="Padrão",$H$4=#REF!),BDI!$B$17,IF(AND(#REF!="Padrão",$H$4=#REF!),BDI!#REF!,IF(AND(#REF!="Diferenciado",$H$4=#REF!),BDI!$E$17,IF(AND(#REF!="Diferenciado",$H$4=#REF!),BDI!#REF!,IF(#REF!="ZERO",0))))),"")</f>
        <v>#REF!</v>
      </c>
      <c r="H207" s="139" t="e">
        <f t="shared" ca="1" si="20"/>
        <v>#REF!</v>
      </c>
      <c r="I207" s="137" t="e">
        <f t="shared" ca="1" si="21"/>
        <v>#REF!</v>
      </c>
      <c r="J207" s="117"/>
      <c r="K207" s="116">
        <v>0</v>
      </c>
      <c r="M207" s="136" t="e">
        <f ca="1">OFFSET(INDEX([1]Composições!I:R,MATCH([1]Orçamentária!I207,[1]Composições!I:I,0),8),2,0)</f>
        <v>#REF!</v>
      </c>
      <c r="N207" t="e">
        <v>#REF!</v>
      </c>
      <c r="Q207" t="e">
        <v>#REF!</v>
      </c>
    </row>
    <row r="208" spans="1:17" hidden="1" x14ac:dyDescent="0.25">
      <c r="A208" s="114" t="s">
        <v>287</v>
      </c>
      <c r="B208" s="115" t="s">
        <v>1473</v>
      </c>
      <c r="C208" s="116" t="s">
        <v>16</v>
      </c>
      <c r="D208" s="116">
        <v>0</v>
      </c>
      <c r="E208" s="136">
        <f ca="1">OFFSET(INDEX(Composições!A:J,MATCH(Orçamentária!A208,Composições!A:A,0),8),2,0)</f>
        <v>3.27037215</v>
      </c>
      <c r="F208" s="137">
        <f t="shared" ca="1" si="19"/>
        <v>0</v>
      </c>
      <c r="G208" s="138" t="e">
        <f>IF(A208&lt;&gt;"",IF(AND(#REF!="Padrão",$H$4=#REF!),BDI!$B$17,IF(AND(#REF!="Padrão",$H$4=#REF!),BDI!#REF!,IF(AND(#REF!="Diferenciado",$H$4=#REF!),BDI!$E$17,IF(AND(#REF!="Diferenciado",$H$4=#REF!),BDI!#REF!,IF(#REF!="ZERO",0))))),"")</f>
        <v>#REF!</v>
      </c>
      <c r="H208" s="139" t="e">
        <f t="shared" ca="1" si="20"/>
        <v>#REF!</v>
      </c>
      <c r="I208" s="137" t="e">
        <f t="shared" ca="1" si="21"/>
        <v>#REF!</v>
      </c>
      <c r="J208" s="117"/>
      <c r="K208" s="116">
        <v>0</v>
      </c>
      <c r="M208" s="136" t="e">
        <f ca="1">OFFSET(INDEX([1]Composições!I:R,MATCH([1]Orçamentária!I208,[1]Composições!I:I,0),8),2,0)</f>
        <v>#REF!</v>
      </c>
      <c r="N208" t="e">
        <v>#REF!</v>
      </c>
      <c r="Q208" t="e">
        <v>#REF!</v>
      </c>
    </row>
    <row r="209" spans="1:17" hidden="1" x14ac:dyDescent="0.25">
      <c r="A209" s="114" t="s">
        <v>289</v>
      </c>
      <c r="B209" s="115" t="s">
        <v>5433</v>
      </c>
      <c r="C209" s="116" t="s">
        <v>16</v>
      </c>
      <c r="D209" s="116">
        <v>0</v>
      </c>
      <c r="E209" s="136">
        <f ca="1">OFFSET(INDEX(Composições!A:J,MATCH(Orçamentária!A209,Composições!A:A,0),8),2,0)</f>
        <v>3.27037215</v>
      </c>
      <c r="F209" s="137">
        <f t="shared" ca="1" si="19"/>
        <v>0</v>
      </c>
      <c r="G209" s="138" t="e">
        <f>IF(A209&lt;&gt;"",IF(AND(#REF!="Padrão",$H$4=#REF!),BDI!$B$17,IF(AND(#REF!="Padrão",$H$4=#REF!),BDI!#REF!,IF(AND(#REF!="Diferenciado",$H$4=#REF!),BDI!$E$17,IF(AND(#REF!="Diferenciado",$H$4=#REF!),BDI!#REF!,IF(#REF!="ZERO",0))))),"")</f>
        <v>#REF!</v>
      </c>
      <c r="H209" s="139" t="e">
        <f t="shared" ca="1" si="20"/>
        <v>#REF!</v>
      </c>
      <c r="I209" s="137" t="e">
        <f t="shared" ca="1" si="21"/>
        <v>#REF!</v>
      </c>
      <c r="J209" s="117"/>
      <c r="K209" s="116">
        <v>0</v>
      </c>
      <c r="M209" s="136" t="e">
        <f ca="1">OFFSET(INDEX([1]Composições!I:R,MATCH([1]Orçamentária!I209,[1]Composições!I:I,0),8),2,0)</f>
        <v>#REF!</v>
      </c>
      <c r="N209" t="e">
        <v>#REF!</v>
      </c>
      <c r="Q209" t="e">
        <v>#REF!</v>
      </c>
    </row>
    <row r="210" spans="1:17" hidden="1" x14ac:dyDescent="0.25">
      <c r="A210" s="114" t="s">
        <v>291</v>
      </c>
      <c r="B210" s="115" t="s">
        <v>5434</v>
      </c>
      <c r="C210" s="116" t="s">
        <v>16</v>
      </c>
      <c r="D210" s="116">
        <v>0</v>
      </c>
      <c r="E210" s="136">
        <f ca="1">OFFSET(INDEX(Composições!A:J,MATCH(Orçamentária!A210,Composições!A:A,0),8),2,0)</f>
        <v>3.27037215</v>
      </c>
      <c r="F210" s="137">
        <f t="shared" ca="1" si="19"/>
        <v>0</v>
      </c>
      <c r="G210" s="138" t="e">
        <f>IF(A210&lt;&gt;"",IF(AND(#REF!="Padrão",$H$4=#REF!),BDI!$B$17,IF(AND(#REF!="Padrão",$H$4=#REF!),BDI!#REF!,IF(AND(#REF!="Diferenciado",$H$4=#REF!),BDI!$E$17,IF(AND(#REF!="Diferenciado",$H$4=#REF!),BDI!#REF!,IF(#REF!="ZERO",0))))),"")</f>
        <v>#REF!</v>
      </c>
      <c r="H210" s="139" t="e">
        <f t="shared" ca="1" si="20"/>
        <v>#REF!</v>
      </c>
      <c r="I210" s="137" t="e">
        <f t="shared" ca="1" si="21"/>
        <v>#REF!</v>
      </c>
      <c r="J210" s="117"/>
      <c r="K210" s="116">
        <v>0</v>
      </c>
      <c r="M210" s="136" t="e">
        <f ca="1">OFFSET(INDEX([1]Composições!I:R,MATCH([1]Orçamentária!I210,[1]Composições!I:I,0),8),2,0)</f>
        <v>#REF!</v>
      </c>
      <c r="N210" t="e">
        <v>#REF!</v>
      </c>
      <c r="Q210" t="e">
        <v>#REF!</v>
      </c>
    </row>
    <row r="211" spans="1:17" hidden="1" x14ac:dyDescent="0.25">
      <c r="A211" s="114" t="s">
        <v>293</v>
      </c>
      <c r="B211" s="115" t="s">
        <v>1474</v>
      </c>
      <c r="C211" s="116" t="s">
        <v>16</v>
      </c>
      <c r="D211" s="116">
        <v>0</v>
      </c>
      <c r="E211" s="136">
        <f ca="1">OFFSET(INDEX(Composições!A:J,MATCH(Orçamentária!A211,Composições!A:A,0),8),2,0)</f>
        <v>117.99237214999999</v>
      </c>
      <c r="F211" s="137">
        <f t="shared" ca="1" si="19"/>
        <v>0</v>
      </c>
      <c r="G211" s="138" t="e">
        <f>IF(A211&lt;&gt;"",IF(AND(#REF!="Padrão",$H$4=#REF!),BDI!$B$17,IF(AND(#REF!="Padrão",$H$4=#REF!),BDI!#REF!,IF(AND(#REF!="Diferenciado",$H$4=#REF!),BDI!$E$17,IF(AND(#REF!="Diferenciado",$H$4=#REF!),BDI!#REF!,IF(#REF!="ZERO",0))))),"")</f>
        <v>#REF!</v>
      </c>
      <c r="H211" s="139" t="e">
        <f t="shared" ca="1" si="20"/>
        <v>#REF!</v>
      </c>
      <c r="I211" s="137" t="e">
        <f t="shared" ca="1" si="21"/>
        <v>#REF!</v>
      </c>
      <c r="J211" s="117"/>
      <c r="K211" s="116">
        <v>0</v>
      </c>
      <c r="M211" s="136" t="e">
        <f ca="1">OFFSET(INDEX([1]Composições!I:R,MATCH([1]Orçamentária!I211,[1]Composições!I:I,0),8),2,0)</f>
        <v>#REF!</v>
      </c>
      <c r="N211" t="e">
        <v>#REF!</v>
      </c>
      <c r="Q211" t="e">
        <v>#REF!</v>
      </c>
    </row>
    <row r="212" spans="1:17" hidden="1" x14ac:dyDescent="0.25">
      <c r="A212" s="114" t="s">
        <v>294</v>
      </c>
      <c r="B212" s="115" t="s">
        <v>5435</v>
      </c>
      <c r="C212" s="116" t="s">
        <v>16</v>
      </c>
      <c r="D212" s="116">
        <v>0</v>
      </c>
      <c r="E212" s="136">
        <f ca="1">OFFSET(INDEX(Composições!A:J,MATCH(Orçamentária!A212,Composições!A:A,0),8),2,0)</f>
        <v>3.9465251499999998</v>
      </c>
      <c r="F212" s="137">
        <f t="shared" ca="1" si="19"/>
        <v>0</v>
      </c>
      <c r="G212" s="138" t="e">
        <f>IF(A212&lt;&gt;"",IF(AND(#REF!="Padrão",$H$4=#REF!),BDI!$B$17,IF(AND(#REF!="Padrão",$H$4=#REF!),BDI!#REF!,IF(AND(#REF!="Diferenciado",$H$4=#REF!),BDI!$E$17,IF(AND(#REF!="Diferenciado",$H$4=#REF!),BDI!#REF!,IF(#REF!="ZERO",0))))),"")</f>
        <v>#REF!</v>
      </c>
      <c r="H212" s="139" t="e">
        <f t="shared" ca="1" si="20"/>
        <v>#REF!</v>
      </c>
      <c r="I212" s="137" t="e">
        <f t="shared" ca="1" si="21"/>
        <v>#REF!</v>
      </c>
      <c r="J212" s="117"/>
      <c r="K212" s="116">
        <v>0</v>
      </c>
      <c r="M212" s="136" t="e">
        <f ca="1">OFFSET(INDEX([1]Composições!I:R,MATCH([1]Orçamentária!I212,[1]Composições!I:I,0),8),2,0)</f>
        <v>#REF!</v>
      </c>
      <c r="N212" t="e">
        <v>#REF!</v>
      </c>
      <c r="Q212" t="e">
        <v>#REF!</v>
      </c>
    </row>
    <row r="213" spans="1:17" hidden="1" x14ac:dyDescent="0.25">
      <c r="A213" s="114" t="s">
        <v>296</v>
      </c>
      <c r="B213" s="115" t="s">
        <v>5436</v>
      </c>
      <c r="C213" s="116" t="s">
        <v>16</v>
      </c>
      <c r="D213" s="116">
        <v>0</v>
      </c>
      <c r="E213" s="136">
        <f ca="1">OFFSET(INDEX(Composições!A:J,MATCH(Orçamentária!A213,Composições!A:A,0),8),2,0)</f>
        <v>51.029557799999999</v>
      </c>
      <c r="F213" s="137">
        <f t="shared" ca="1" si="19"/>
        <v>0</v>
      </c>
      <c r="G213" s="138" t="e">
        <f>IF(A213&lt;&gt;"",IF(AND(#REF!="Padrão",$H$4=#REF!),BDI!$B$17,IF(AND(#REF!="Padrão",$H$4=#REF!),BDI!#REF!,IF(AND(#REF!="Diferenciado",$H$4=#REF!),BDI!$E$17,IF(AND(#REF!="Diferenciado",$H$4=#REF!),BDI!#REF!,IF(#REF!="ZERO",0))))),"")</f>
        <v>#REF!</v>
      </c>
      <c r="H213" s="139" t="e">
        <f t="shared" ca="1" si="20"/>
        <v>#REF!</v>
      </c>
      <c r="I213" s="137" t="e">
        <f t="shared" ca="1" si="21"/>
        <v>#REF!</v>
      </c>
      <c r="J213" s="117"/>
      <c r="K213" s="116">
        <v>0</v>
      </c>
      <c r="M213" s="136" t="e">
        <f ca="1">OFFSET(INDEX([1]Composições!I:R,MATCH([1]Orçamentária!I213,[1]Composições!I:I,0),8),2,0)</f>
        <v>#REF!</v>
      </c>
      <c r="N213" t="e">
        <v>#REF!</v>
      </c>
      <c r="Q213" t="e">
        <v>#REF!</v>
      </c>
    </row>
    <row r="214" spans="1:17" hidden="1" x14ac:dyDescent="0.25">
      <c r="A214" s="114" t="s">
        <v>297</v>
      </c>
      <c r="B214" s="115" t="s">
        <v>5496</v>
      </c>
      <c r="C214" s="116" t="s">
        <v>16</v>
      </c>
      <c r="D214" s="116">
        <v>0</v>
      </c>
      <c r="E214" s="136">
        <f ca="1">OFFSET(INDEX(Composições!A:J,MATCH(Orçamentária!A214,Composições!A:A,0),8),2,0)</f>
        <v>23.982749999999999</v>
      </c>
      <c r="F214" s="137">
        <f t="shared" ca="1" si="19"/>
        <v>0</v>
      </c>
      <c r="G214" s="138" t="e">
        <f>IF(A214&lt;&gt;"",IF(AND(#REF!="Padrão",$H$4=#REF!),BDI!$B$17,IF(AND(#REF!="Padrão",$H$4=#REF!),BDI!#REF!,IF(AND(#REF!="Diferenciado",$H$4=#REF!),BDI!$E$17,IF(AND(#REF!="Diferenciado",$H$4=#REF!),BDI!#REF!,IF(#REF!="ZERO",0))))),"")</f>
        <v>#REF!</v>
      </c>
      <c r="H214" s="139" t="e">
        <f t="shared" ca="1" si="20"/>
        <v>#REF!</v>
      </c>
      <c r="I214" s="137" t="e">
        <f t="shared" ca="1" si="21"/>
        <v>#REF!</v>
      </c>
      <c r="J214" s="117"/>
      <c r="K214" s="116">
        <v>0</v>
      </c>
      <c r="M214" s="136" t="e">
        <f ca="1">OFFSET(INDEX([1]Composições!I:R,MATCH([1]Orçamentária!I214,[1]Composições!I:I,0),8),2,0)</f>
        <v>#REF!</v>
      </c>
      <c r="N214" t="e">
        <v>#REF!</v>
      </c>
      <c r="Q214" t="e">
        <v>#REF!</v>
      </c>
    </row>
    <row r="215" spans="1:17" hidden="1" x14ac:dyDescent="0.25">
      <c r="A215" s="114" t="s">
        <v>298</v>
      </c>
      <c r="B215" s="115" t="s">
        <v>5497</v>
      </c>
      <c r="C215" s="116" t="s">
        <v>16</v>
      </c>
      <c r="D215" s="116">
        <v>0</v>
      </c>
      <c r="E215" s="136">
        <f ca="1">OFFSET(INDEX(Composições!A:J,MATCH(Orçamentária!A215,Composições!A:A,0),8),2,0)</f>
        <v>23.982749999999999</v>
      </c>
      <c r="F215" s="137">
        <f t="shared" ca="1" si="19"/>
        <v>0</v>
      </c>
      <c r="G215" s="138" t="e">
        <f>IF(A215&lt;&gt;"",IF(AND(#REF!="Padrão",$H$4=#REF!),BDI!$B$17,IF(AND(#REF!="Padrão",$H$4=#REF!),BDI!#REF!,IF(AND(#REF!="Diferenciado",$H$4=#REF!),BDI!$E$17,IF(AND(#REF!="Diferenciado",$H$4=#REF!),BDI!#REF!,IF(#REF!="ZERO",0))))),"")</f>
        <v>#REF!</v>
      </c>
      <c r="H215" s="139" t="e">
        <f t="shared" ca="1" si="20"/>
        <v>#REF!</v>
      </c>
      <c r="I215" s="137" t="e">
        <f t="shared" ca="1" si="21"/>
        <v>#REF!</v>
      </c>
      <c r="J215" s="117"/>
      <c r="K215" s="116">
        <v>0</v>
      </c>
      <c r="M215" s="136" t="e">
        <f ca="1">OFFSET(INDEX([1]Composições!I:R,MATCH([1]Orçamentária!I215,[1]Composições!I:I,0),8),2,0)</f>
        <v>#REF!</v>
      </c>
      <c r="N215" t="e">
        <v>#REF!</v>
      </c>
      <c r="Q215" t="e">
        <v>#REF!</v>
      </c>
    </row>
    <row r="216" spans="1:17" hidden="1" x14ac:dyDescent="0.25">
      <c r="A216" s="114" t="s">
        <v>299</v>
      </c>
      <c r="B216" s="115" t="s">
        <v>5498</v>
      </c>
      <c r="C216" s="116" t="s">
        <v>16</v>
      </c>
      <c r="D216" s="116">
        <v>0</v>
      </c>
      <c r="E216" s="136">
        <f ca="1">OFFSET(INDEX(Composições!A:J,MATCH(Orçamentária!A216,Composições!A:A,0),8),2,0)</f>
        <v>23.982749999999999</v>
      </c>
      <c r="F216" s="137">
        <f t="shared" ca="1" si="19"/>
        <v>0</v>
      </c>
      <c r="G216" s="138" t="e">
        <f>IF(A216&lt;&gt;"",IF(AND(#REF!="Padrão",$H$4=#REF!),BDI!$B$17,IF(AND(#REF!="Padrão",$H$4=#REF!),BDI!#REF!,IF(AND(#REF!="Diferenciado",$H$4=#REF!),BDI!$E$17,IF(AND(#REF!="Diferenciado",$H$4=#REF!),BDI!#REF!,IF(#REF!="ZERO",0))))),"")</f>
        <v>#REF!</v>
      </c>
      <c r="H216" s="139" t="e">
        <f t="shared" ca="1" si="20"/>
        <v>#REF!</v>
      </c>
      <c r="I216" s="137" t="e">
        <f t="shared" ca="1" si="21"/>
        <v>#REF!</v>
      </c>
      <c r="J216" s="117"/>
      <c r="K216" s="116">
        <v>0</v>
      </c>
      <c r="M216" s="136" t="e">
        <f ca="1">OFFSET(INDEX([1]Composições!I:R,MATCH([1]Orçamentária!I216,[1]Composições!I:I,0),8),2,0)</f>
        <v>#REF!</v>
      </c>
      <c r="N216" t="e">
        <v>#REF!</v>
      </c>
      <c r="Q216" t="e">
        <v>#REF!</v>
      </c>
    </row>
    <row r="217" spans="1:17" hidden="1" x14ac:dyDescent="0.25">
      <c r="A217" s="114" t="s">
        <v>300</v>
      </c>
      <c r="B217" s="115" t="s">
        <v>5499</v>
      </c>
      <c r="C217" s="116" t="s">
        <v>16</v>
      </c>
      <c r="D217" s="116">
        <v>0</v>
      </c>
      <c r="E217" s="136">
        <f ca="1">OFFSET(INDEX(Composições!A:J,MATCH(Orçamentária!A217,Composições!A:A,0),8),2,0)</f>
        <v>23.982749999999999</v>
      </c>
      <c r="F217" s="137">
        <f t="shared" ca="1" si="19"/>
        <v>0</v>
      </c>
      <c r="G217" s="138" t="e">
        <f>IF(A217&lt;&gt;"",IF(AND(#REF!="Padrão",$H$4=#REF!),BDI!$B$17,IF(AND(#REF!="Padrão",$H$4=#REF!),BDI!#REF!,IF(AND(#REF!="Diferenciado",$H$4=#REF!),BDI!$E$17,IF(AND(#REF!="Diferenciado",$H$4=#REF!),BDI!#REF!,IF(#REF!="ZERO",0))))),"")</f>
        <v>#REF!</v>
      </c>
      <c r="H217" s="139" t="e">
        <f t="shared" ca="1" si="20"/>
        <v>#REF!</v>
      </c>
      <c r="I217" s="137" t="e">
        <f t="shared" ca="1" si="21"/>
        <v>#REF!</v>
      </c>
      <c r="J217" s="117"/>
      <c r="K217" s="116">
        <v>0</v>
      </c>
      <c r="M217" s="136" t="e">
        <f ca="1">OFFSET(INDEX([1]Composições!I:R,MATCH([1]Orçamentária!I217,[1]Composições!I:I,0),8),2,0)</f>
        <v>#REF!</v>
      </c>
      <c r="N217" t="e">
        <v>#REF!</v>
      </c>
      <c r="Q217" t="e">
        <v>#REF!</v>
      </c>
    </row>
    <row r="218" spans="1:17" hidden="1" x14ac:dyDescent="0.25">
      <c r="A218" s="114" t="s">
        <v>301</v>
      </c>
      <c r="B218" s="115" t="s">
        <v>5500</v>
      </c>
      <c r="C218" s="116" t="s">
        <v>16</v>
      </c>
      <c r="D218" s="116">
        <v>0</v>
      </c>
      <c r="E218" s="136">
        <f ca="1">OFFSET(INDEX(Composições!A:J,MATCH(Orçamentária!A218,Composições!A:A,0),8),2,0)</f>
        <v>43.138770400000013</v>
      </c>
      <c r="F218" s="137">
        <f t="shared" ca="1" si="19"/>
        <v>0</v>
      </c>
      <c r="G218" s="138" t="e">
        <f>IF(A218&lt;&gt;"",IF(AND(#REF!="Padrão",$H$4=#REF!),BDI!$B$17,IF(AND(#REF!="Padrão",$H$4=#REF!),BDI!#REF!,IF(AND(#REF!="Diferenciado",$H$4=#REF!),BDI!$E$17,IF(AND(#REF!="Diferenciado",$H$4=#REF!),BDI!#REF!,IF(#REF!="ZERO",0))))),"")</f>
        <v>#REF!</v>
      </c>
      <c r="H218" s="139" t="e">
        <f t="shared" ca="1" si="20"/>
        <v>#REF!</v>
      </c>
      <c r="I218" s="137" t="e">
        <f t="shared" ca="1" si="21"/>
        <v>#REF!</v>
      </c>
      <c r="J218" s="117"/>
      <c r="K218" s="116">
        <v>0</v>
      </c>
      <c r="M218" s="136" t="e">
        <f ca="1">OFFSET(INDEX([1]Composições!I:R,MATCH([1]Orçamentária!I218,[1]Composições!I:I,0),8),2,0)</f>
        <v>#REF!</v>
      </c>
      <c r="N218" t="e">
        <v>#REF!</v>
      </c>
      <c r="Q218" t="e">
        <v>#REF!</v>
      </c>
    </row>
    <row r="219" spans="1:17" hidden="1" x14ac:dyDescent="0.25">
      <c r="A219" s="114" t="s">
        <v>302</v>
      </c>
      <c r="B219" s="115" t="s">
        <v>5437</v>
      </c>
      <c r="C219" s="116" t="s">
        <v>16</v>
      </c>
      <c r="D219" s="116">
        <v>0</v>
      </c>
      <c r="E219" s="136">
        <f ca="1">OFFSET(INDEX(Composições!A:J,MATCH(Orçamentária!A219,Composições!A:A,0),8),2,0)</f>
        <v>50.998492800000001</v>
      </c>
      <c r="F219" s="137">
        <f t="shared" ca="1" si="19"/>
        <v>0</v>
      </c>
      <c r="G219" s="138" t="e">
        <f>IF(A219&lt;&gt;"",IF(AND(#REF!="Padrão",$H$4=#REF!),BDI!$B$17,IF(AND(#REF!="Padrão",$H$4=#REF!),BDI!#REF!,IF(AND(#REF!="Diferenciado",$H$4=#REF!),BDI!$E$17,IF(AND(#REF!="Diferenciado",$H$4=#REF!),BDI!#REF!,IF(#REF!="ZERO",0))))),"")</f>
        <v>#REF!</v>
      </c>
      <c r="H219" s="139" t="e">
        <f t="shared" ca="1" si="20"/>
        <v>#REF!</v>
      </c>
      <c r="I219" s="137" t="e">
        <f t="shared" ca="1" si="21"/>
        <v>#REF!</v>
      </c>
      <c r="J219" s="117"/>
      <c r="K219" s="116">
        <v>0</v>
      </c>
      <c r="M219" s="136" t="e">
        <f ca="1">OFFSET(INDEX([1]Composições!I:R,MATCH([1]Orçamentária!I219,[1]Composições!I:I,0),8),2,0)</f>
        <v>#REF!</v>
      </c>
      <c r="N219" t="e">
        <v>#REF!</v>
      </c>
      <c r="Q219" t="e">
        <v>#REF!</v>
      </c>
    </row>
    <row r="220" spans="1:17" hidden="1" x14ac:dyDescent="0.25">
      <c r="A220" s="114" t="s">
        <v>303</v>
      </c>
      <c r="B220" s="115" t="s">
        <v>1475</v>
      </c>
      <c r="C220" s="116" t="s">
        <v>16</v>
      </c>
      <c r="D220" s="116">
        <v>0</v>
      </c>
      <c r="E220" s="136">
        <f ca="1">OFFSET(INDEX(Composições!A:J,MATCH(Orçamentária!A220,Composições!A:A,0),8),2,0)</f>
        <v>269.63761175000002</v>
      </c>
      <c r="F220" s="137">
        <f t="shared" ca="1" si="19"/>
        <v>0</v>
      </c>
      <c r="G220" s="138" t="e">
        <f>IF(A220&lt;&gt;"",IF(AND(#REF!="Padrão",$H$4=#REF!),BDI!$B$17,IF(AND(#REF!="Padrão",$H$4=#REF!),BDI!#REF!,IF(AND(#REF!="Diferenciado",$H$4=#REF!),BDI!$E$17,IF(AND(#REF!="Diferenciado",$H$4=#REF!),BDI!#REF!,IF(#REF!="ZERO",0))))),"")</f>
        <v>#REF!</v>
      </c>
      <c r="H220" s="139" t="e">
        <f t="shared" ca="1" si="20"/>
        <v>#REF!</v>
      </c>
      <c r="I220" s="137" t="e">
        <f t="shared" ca="1" si="21"/>
        <v>#REF!</v>
      </c>
      <c r="J220" s="117"/>
      <c r="K220" s="116">
        <v>0</v>
      </c>
      <c r="M220" s="136" t="e">
        <f ca="1">OFFSET(INDEX([1]Composições!I:R,MATCH([1]Orçamentária!I220,[1]Composições!I:I,0),8),2,0)</f>
        <v>#REF!</v>
      </c>
      <c r="N220" t="e">
        <v>#REF!</v>
      </c>
      <c r="Q220" t="e">
        <v>#REF!</v>
      </c>
    </row>
    <row r="221" spans="1:17" hidden="1" x14ac:dyDescent="0.25">
      <c r="A221" s="114" t="s">
        <v>304</v>
      </c>
      <c r="B221" s="115" t="s">
        <v>1476</v>
      </c>
      <c r="C221" s="116" t="s">
        <v>16</v>
      </c>
      <c r="D221" s="116">
        <v>0</v>
      </c>
      <c r="E221" s="136">
        <f ca="1">OFFSET(INDEX(Composições!A:J,MATCH(Orçamentária!A221,Composições!A:A,0),8),2,0)</f>
        <v>14.331509999999998</v>
      </c>
      <c r="F221" s="137">
        <f t="shared" ca="1" si="19"/>
        <v>0</v>
      </c>
      <c r="G221" s="138" t="e">
        <f>IF(A221&lt;&gt;"",IF(AND(#REF!="Padrão",$H$4=#REF!),BDI!$B$17,IF(AND(#REF!="Padrão",$H$4=#REF!),BDI!#REF!,IF(AND(#REF!="Diferenciado",$H$4=#REF!),BDI!$E$17,IF(AND(#REF!="Diferenciado",$H$4=#REF!),BDI!#REF!,IF(#REF!="ZERO",0))))),"")</f>
        <v>#REF!</v>
      </c>
      <c r="H221" s="139" t="e">
        <f t="shared" ca="1" si="20"/>
        <v>#REF!</v>
      </c>
      <c r="I221" s="137" t="e">
        <f t="shared" ca="1" si="21"/>
        <v>#REF!</v>
      </c>
      <c r="J221" s="117"/>
      <c r="K221" s="116">
        <v>0</v>
      </c>
      <c r="M221" s="136" t="e">
        <f ca="1">OFFSET(INDEX([1]Composições!I:R,MATCH([1]Orçamentária!I221,[1]Composições!I:I,0),8),2,0)</f>
        <v>#REF!</v>
      </c>
      <c r="N221" t="e">
        <v>#REF!</v>
      </c>
      <c r="Q221" t="e">
        <v>#REF!</v>
      </c>
    </row>
    <row r="222" spans="1:17" hidden="1" x14ac:dyDescent="0.25">
      <c r="A222" s="114" t="s">
        <v>306</v>
      </c>
      <c r="B222" s="115" t="s">
        <v>7574</v>
      </c>
      <c r="C222" s="116" t="s">
        <v>16</v>
      </c>
      <c r="D222" s="116">
        <v>0</v>
      </c>
      <c r="E222" s="136">
        <f ca="1">OFFSET(INDEX(Composições!A:J,MATCH(Orçamentária!A222,Composições!A:A,0),8),2,0)</f>
        <v>51.262</v>
      </c>
      <c r="F222" s="137">
        <f t="shared" ca="1" si="19"/>
        <v>0</v>
      </c>
      <c r="G222" s="138" t="e">
        <f>IF(A222&lt;&gt;"",IF(AND(#REF!="Padrão",$H$4=#REF!),BDI!$B$17,IF(AND(#REF!="Padrão",$H$4=#REF!),BDI!#REF!,IF(AND(#REF!="Diferenciado",$H$4=#REF!),BDI!$E$17,IF(AND(#REF!="Diferenciado",$H$4=#REF!),BDI!#REF!,IF(#REF!="ZERO",0))))),"")</f>
        <v>#REF!</v>
      </c>
      <c r="H222" s="139" t="e">
        <f t="shared" ca="1" si="20"/>
        <v>#REF!</v>
      </c>
      <c r="I222" s="137" t="e">
        <f t="shared" ca="1" si="21"/>
        <v>#REF!</v>
      </c>
      <c r="J222" s="117"/>
      <c r="K222" s="116">
        <v>0</v>
      </c>
      <c r="M222" s="136" t="e">
        <f ca="1">OFFSET(INDEX([1]Composições!I:R,MATCH([1]Orçamentária!I222,[1]Composições!I:I,0),8),2,0)</f>
        <v>#REF!</v>
      </c>
      <c r="N222" t="e">
        <v>#REF!</v>
      </c>
      <c r="Q222" t="e">
        <v>#REF!</v>
      </c>
    </row>
    <row r="223" spans="1:17" hidden="1" x14ac:dyDescent="0.25">
      <c r="A223" s="114" t="s">
        <v>308</v>
      </c>
      <c r="B223" s="115" t="s">
        <v>7575</v>
      </c>
      <c r="C223" s="116" t="s">
        <v>16</v>
      </c>
      <c r="D223" s="116">
        <v>0</v>
      </c>
      <c r="E223" s="136">
        <f ca="1">OFFSET(INDEX(Composições!A:J,MATCH(Orçamentária!A223,Composições!A:A,0),8),2,0)</f>
        <v>51.262</v>
      </c>
      <c r="F223" s="137">
        <f t="shared" ca="1" si="19"/>
        <v>0</v>
      </c>
      <c r="G223" s="138" t="e">
        <f>IF(A223&lt;&gt;"",IF(AND(#REF!="Padrão",$H$4=#REF!),BDI!$B$17,IF(AND(#REF!="Padrão",$H$4=#REF!),BDI!#REF!,IF(AND(#REF!="Diferenciado",$H$4=#REF!),BDI!$E$17,IF(AND(#REF!="Diferenciado",$H$4=#REF!),BDI!#REF!,IF(#REF!="ZERO",0))))),"")</f>
        <v>#REF!</v>
      </c>
      <c r="H223" s="139" t="e">
        <f t="shared" ca="1" si="20"/>
        <v>#REF!</v>
      </c>
      <c r="I223" s="137" t="e">
        <f t="shared" ca="1" si="21"/>
        <v>#REF!</v>
      </c>
      <c r="J223" s="117"/>
      <c r="K223" s="116">
        <v>0</v>
      </c>
      <c r="M223" s="136" t="e">
        <f ca="1">OFFSET(INDEX([1]Composições!I:R,MATCH([1]Orçamentária!I223,[1]Composições!I:I,0),8),2,0)</f>
        <v>#REF!</v>
      </c>
      <c r="N223" t="e">
        <v>#REF!</v>
      </c>
      <c r="Q223" t="e">
        <v>#REF!</v>
      </c>
    </row>
    <row r="224" spans="1:17" hidden="1" x14ac:dyDescent="0.25">
      <c r="A224" s="114" t="s">
        <v>310</v>
      </c>
      <c r="B224" s="115" t="s">
        <v>7576</v>
      </c>
      <c r="C224" s="116" t="s">
        <v>16</v>
      </c>
      <c r="D224" s="116">
        <v>0</v>
      </c>
      <c r="E224" s="136">
        <f ca="1">OFFSET(INDEX(Composições!A:J,MATCH(Orçamentária!A224,Composições!A:A,0),8),2,0)</f>
        <v>51.262</v>
      </c>
      <c r="F224" s="137">
        <f t="shared" ca="1" si="19"/>
        <v>0</v>
      </c>
      <c r="G224" s="138" t="e">
        <f>IF(A224&lt;&gt;"",IF(AND(#REF!="Padrão",$H$4=#REF!),BDI!$B$17,IF(AND(#REF!="Padrão",$H$4=#REF!),BDI!#REF!,IF(AND(#REF!="Diferenciado",$H$4=#REF!),BDI!$E$17,IF(AND(#REF!="Diferenciado",$H$4=#REF!),BDI!#REF!,IF(#REF!="ZERO",0))))),"")</f>
        <v>#REF!</v>
      </c>
      <c r="H224" s="139" t="e">
        <f t="shared" ca="1" si="20"/>
        <v>#REF!</v>
      </c>
      <c r="I224" s="137" t="e">
        <f t="shared" ca="1" si="21"/>
        <v>#REF!</v>
      </c>
      <c r="J224" s="117"/>
      <c r="K224" s="116">
        <v>0</v>
      </c>
      <c r="M224" s="136" t="e">
        <f ca="1">OFFSET(INDEX([1]Composições!I:R,MATCH([1]Orçamentária!I224,[1]Composições!I:I,0),8),2,0)</f>
        <v>#REF!</v>
      </c>
      <c r="N224" t="e">
        <v>#REF!</v>
      </c>
      <c r="Q224" t="e">
        <v>#REF!</v>
      </c>
    </row>
    <row r="225" spans="1:17" hidden="1" x14ac:dyDescent="0.25">
      <c r="A225" s="114" t="s">
        <v>312</v>
      </c>
      <c r="B225" s="115" t="s">
        <v>7577</v>
      </c>
      <c r="C225" s="116" t="s">
        <v>16</v>
      </c>
      <c r="D225" s="116">
        <v>0</v>
      </c>
      <c r="E225" s="136">
        <f ca="1">OFFSET(INDEX(Composições!A:J,MATCH(Orçamentária!A225,Composições!A:A,0),8),2,0)</f>
        <v>51.261999999999993</v>
      </c>
      <c r="F225" s="137">
        <f t="shared" ca="1" si="19"/>
        <v>0</v>
      </c>
      <c r="G225" s="138" t="e">
        <f>IF(A225&lt;&gt;"",IF(AND(#REF!="Padrão",$H$4=#REF!),BDI!$B$17,IF(AND(#REF!="Padrão",$H$4=#REF!),BDI!#REF!,IF(AND(#REF!="Diferenciado",$H$4=#REF!),BDI!$E$17,IF(AND(#REF!="Diferenciado",$H$4=#REF!),BDI!#REF!,IF(#REF!="ZERO",0))))),"")</f>
        <v>#REF!</v>
      </c>
      <c r="H225" s="139" t="e">
        <f t="shared" ca="1" si="20"/>
        <v>#REF!</v>
      </c>
      <c r="I225" s="137" t="e">
        <f t="shared" ca="1" si="21"/>
        <v>#REF!</v>
      </c>
      <c r="J225" s="117"/>
      <c r="K225" s="116">
        <v>0</v>
      </c>
      <c r="M225" s="136" t="e">
        <f ca="1">OFFSET(INDEX([1]Composições!I:R,MATCH([1]Orçamentária!I225,[1]Composições!I:I,0),8),2,0)</f>
        <v>#REF!</v>
      </c>
      <c r="N225" t="e">
        <v>#REF!</v>
      </c>
      <c r="Q225" t="e">
        <v>#REF!</v>
      </c>
    </row>
    <row r="226" spans="1:17" hidden="1" x14ac:dyDescent="0.25">
      <c r="A226" s="114" t="s">
        <v>314</v>
      </c>
      <c r="B226" s="115" t="s">
        <v>1477</v>
      </c>
      <c r="C226" s="116" t="s">
        <v>16</v>
      </c>
      <c r="D226" s="116">
        <v>0</v>
      </c>
      <c r="E226" s="136">
        <f ca="1">OFFSET(INDEX(Composições!A:J,MATCH(Orçamentária!A226,Composições!A:A,0),8),2,0)</f>
        <v>50.201165399999994</v>
      </c>
      <c r="F226" s="137">
        <f t="shared" ca="1" si="19"/>
        <v>0</v>
      </c>
      <c r="G226" s="138" t="e">
        <f>IF(A226&lt;&gt;"",IF(AND(#REF!="Padrão",$H$4=#REF!),BDI!$B$17,IF(AND(#REF!="Padrão",$H$4=#REF!),BDI!#REF!,IF(AND(#REF!="Diferenciado",$H$4=#REF!),BDI!$E$17,IF(AND(#REF!="Diferenciado",$H$4=#REF!),BDI!#REF!,IF(#REF!="ZERO",0))))),"")</f>
        <v>#REF!</v>
      </c>
      <c r="H226" s="139" t="e">
        <f t="shared" ca="1" si="20"/>
        <v>#REF!</v>
      </c>
      <c r="I226" s="137" t="e">
        <f t="shared" ca="1" si="21"/>
        <v>#REF!</v>
      </c>
      <c r="J226" s="117"/>
      <c r="K226" s="116">
        <v>0</v>
      </c>
      <c r="M226" s="136" t="e">
        <f ca="1">OFFSET(INDEX([1]Composições!I:R,MATCH([1]Orçamentária!I226,[1]Composições!I:I,0),8),2,0)</f>
        <v>#REF!</v>
      </c>
      <c r="N226" t="e">
        <v>#REF!</v>
      </c>
      <c r="Q226" t="e">
        <v>#REF!</v>
      </c>
    </row>
    <row r="227" spans="1:17" hidden="1" x14ac:dyDescent="0.25">
      <c r="A227" s="114" t="s">
        <v>316</v>
      </c>
      <c r="B227" s="115" t="s">
        <v>1478</v>
      </c>
      <c r="C227" s="116" t="s">
        <v>16</v>
      </c>
      <c r="D227" s="116">
        <v>0</v>
      </c>
      <c r="E227" s="136">
        <f ca="1">OFFSET(INDEX(Composições!A:J,MATCH(Orçamentária!A227,Composições!A:A,0),8),2,0)</f>
        <v>160.19842589999999</v>
      </c>
      <c r="F227" s="137">
        <f t="shared" ca="1" si="19"/>
        <v>0</v>
      </c>
      <c r="G227" s="138" t="e">
        <f>IF(A227&lt;&gt;"",IF(AND(#REF!="Padrão",$H$4=#REF!),BDI!$B$17,IF(AND(#REF!="Padrão",$H$4=#REF!),BDI!#REF!,IF(AND(#REF!="Diferenciado",$H$4=#REF!),BDI!$E$17,IF(AND(#REF!="Diferenciado",$H$4=#REF!),BDI!#REF!,IF(#REF!="ZERO",0))))),"")</f>
        <v>#REF!</v>
      </c>
      <c r="H227" s="139" t="e">
        <f t="shared" ca="1" si="20"/>
        <v>#REF!</v>
      </c>
      <c r="I227" s="137" t="e">
        <f t="shared" ca="1" si="21"/>
        <v>#REF!</v>
      </c>
      <c r="J227" s="117"/>
      <c r="K227" s="116">
        <v>0</v>
      </c>
      <c r="M227" s="136" t="e">
        <f ca="1">OFFSET(INDEX([1]Composições!I:R,MATCH([1]Orçamentária!I227,[1]Composições!I:I,0),8),2,0)</f>
        <v>#REF!</v>
      </c>
      <c r="N227" t="e">
        <v>#REF!</v>
      </c>
      <c r="Q227" t="e">
        <v>#REF!</v>
      </c>
    </row>
    <row r="228" spans="1:17" hidden="1" x14ac:dyDescent="0.25">
      <c r="A228" s="114" t="s">
        <v>318</v>
      </c>
      <c r="B228" s="115" t="s">
        <v>5438</v>
      </c>
      <c r="C228" s="116" t="s">
        <v>16</v>
      </c>
      <c r="D228" s="116">
        <v>0</v>
      </c>
      <c r="E228" s="136">
        <f ca="1">OFFSET(INDEX(Composições!A:J,MATCH(Orçamentária!A228,Composições!A:A,0),8),2,0)</f>
        <v>10.488461699999998</v>
      </c>
      <c r="F228" s="137">
        <f t="shared" ca="1" si="19"/>
        <v>0</v>
      </c>
      <c r="G228" s="138" t="e">
        <f>IF(A228&lt;&gt;"",IF(AND(#REF!="Padrão",$H$4=#REF!),BDI!$B$17,IF(AND(#REF!="Padrão",$H$4=#REF!),BDI!#REF!,IF(AND(#REF!="Diferenciado",$H$4=#REF!),BDI!$E$17,IF(AND(#REF!="Diferenciado",$H$4=#REF!),BDI!#REF!,IF(#REF!="ZERO",0))))),"")</f>
        <v>#REF!</v>
      </c>
      <c r="H228" s="139" t="e">
        <f t="shared" ca="1" si="20"/>
        <v>#REF!</v>
      </c>
      <c r="I228" s="137" t="e">
        <f t="shared" ca="1" si="21"/>
        <v>#REF!</v>
      </c>
      <c r="J228" s="117"/>
      <c r="K228" s="116">
        <v>0</v>
      </c>
      <c r="M228" s="136" t="e">
        <f ca="1">OFFSET(INDEX([1]Composições!I:R,MATCH([1]Orçamentária!I228,[1]Composições!I:I,0),8),2,0)</f>
        <v>#REF!</v>
      </c>
      <c r="N228" t="e">
        <v>#REF!</v>
      </c>
      <c r="Q228" t="e">
        <v>#REF!</v>
      </c>
    </row>
    <row r="229" spans="1:17" hidden="1" x14ac:dyDescent="0.25">
      <c r="A229" s="114" t="s">
        <v>320</v>
      </c>
      <c r="B229" s="115" t="s">
        <v>5439</v>
      </c>
      <c r="C229" s="116" t="s">
        <v>16</v>
      </c>
      <c r="D229" s="116">
        <v>0</v>
      </c>
      <c r="E229" s="136">
        <f ca="1">OFFSET(INDEX(Composições!A:J,MATCH(Orçamentária!A229,Composições!A:A,0),8),2,0)</f>
        <v>10.488461699999998</v>
      </c>
      <c r="F229" s="137">
        <f t="shared" ca="1" si="19"/>
        <v>0</v>
      </c>
      <c r="G229" s="138" t="e">
        <f>IF(A229&lt;&gt;"",IF(AND(#REF!="Padrão",$H$4=#REF!),BDI!$B$17,IF(AND(#REF!="Padrão",$H$4=#REF!),BDI!#REF!,IF(AND(#REF!="Diferenciado",$H$4=#REF!),BDI!$E$17,IF(AND(#REF!="Diferenciado",$H$4=#REF!),BDI!#REF!,IF(#REF!="ZERO",0))))),"")</f>
        <v>#REF!</v>
      </c>
      <c r="H229" s="139" t="e">
        <f t="shared" ca="1" si="20"/>
        <v>#REF!</v>
      </c>
      <c r="I229" s="137" t="e">
        <f t="shared" ca="1" si="21"/>
        <v>#REF!</v>
      </c>
      <c r="J229" s="117"/>
      <c r="K229" s="116">
        <v>0</v>
      </c>
      <c r="M229" s="136" t="e">
        <f ca="1">OFFSET(INDEX([1]Composições!I:R,MATCH([1]Orçamentária!I229,[1]Composições!I:I,0),8),2,0)</f>
        <v>#REF!</v>
      </c>
      <c r="N229" t="e">
        <v>#REF!</v>
      </c>
      <c r="Q229" t="e">
        <v>#REF!</v>
      </c>
    </row>
    <row r="230" spans="1:17" hidden="1" x14ac:dyDescent="0.25">
      <c r="A230" s="114" t="s">
        <v>322</v>
      </c>
      <c r="B230" s="115" t="s">
        <v>5440</v>
      </c>
      <c r="C230" s="116" t="s">
        <v>16</v>
      </c>
      <c r="D230" s="116">
        <v>0</v>
      </c>
      <c r="E230" s="136">
        <f ca="1">OFFSET(INDEX(Composições!A:J,MATCH(Orçamentária!A230,Composições!A:A,0),8),2,0)</f>
        <v>10.488461699999998</v>
      </c>
      <c r="F230" s="137">
        <f t="shared" ca="1" si="19"/>
        <v>0</v>
      </c>
      <c r="G230" s="138" t="e">
        <f>IF(A230&lt;&gt;"",IF(AND(#REF!="Padrão",$H$4=#REF!),BDI!$B$17,IF(AND(#REF!="Padrão",$H$4=#REF!),BDI!#REF!,IF(AND(#REF!="Diferenciado",$H$4=#REF!),BDI!$E$17,IF(AND(#REF!="Diferenciado",$H$4=#REF!),BDI!#REF!,IF(#REF!="ZERO",0))))),"")</f>
        <v>#REF!</v>
      </c>
      <c r="H230" s="139" t="e">
        <f t="shared" ca="1" si="20"/>
        <v>#REF!</v>
      </c>
      <c r="I230" s="137" t="e">
        <f t="shared" ca="1" si="21"/>
        <v>#REF!</v>
      </c>
      <c r="J230" s="117"/>
      <c r="K230" s="116">
        <v>0</v>
      </c>
      <c r="M230" s="136" t="e">
        <f ca="1">OFFSET(INDEX([1]Composições!I:R,MATCH([1]Orçamentária!I230,[1]Composições!I:I,0),8),2,0)</f>
        <v>#REF!</v>
      </c>
      <c r="N230" t="e">
        <v>#REF!</v>
      </c>
      <c r="Q230" t="e">
        <v>#REF!</v>
      </c>
    </row>
    <row r="231" spans="1:17" hidden="1" x14ac:dyDescent="0.25">
      <c r="A231" s="114" t="s">
        <v>324</v>
      </c>
      <c r="B231" s="115" t="s">
        <v>5441</v>
      </c>
      <c r="C231" s="116" t="s">
        <v>16</v>
      </c>
      <c r="D231" s="116">
        <v>0</v>
      </c>
      <c r="E231" s="136">
        <f ca="1">OFFSET(INDEX(Composições!A:J,MATCH(Orçamentária!A231,Composições!A:A,0),8),2,0)</f>
        <v>20.974243449999996</v>
      </c>
      <c r="F231" s="137">
        <f t="shared" ca="1" si="19"/>
        <v>0</v>
      </c>
      <c r="G231" s="138" t="e">
        <f>IF(A231&lt;&gt;"",IF(AND(#REF!="Padrão",$H$4=#REF!),BDI!$B$17,IF(AND(#REF!="Padrão",$H$4=#REF!),BDI!#REF!,IF(AND(#REF!="Diferenciado",$H$4=#REF!),BDI!$E$17,IF(AND(#REF!="Diferenciado",$H$4=#REF!),BDI!#REF!,IF(#REF!="ZERO",0))))),"")</f>
        <v>#REF!</v>
      </c>
      <c r="H231" s="139" t="e">
        <f t="shared" ca="1" si="20"/>
        <v>#REF!</v>
      </c>
      <c r="I231" s="137" t="e">
        <f t="shared" ca="1" si="21"/>
        <v>#REF!</v>
      </c>
      <c r="J231" s="117"/>
      <c r="K231" s="116">
        <v>0</v>
      </c>
      <c r="M231" s="136" t="e">
        <f ca="1">OFFSET(INDEX([1]Composições!I:R,MATCH([1]Orçamentária!I231,[1]Composições!I:I,0),8),2,0)</f>
        <v>#REF!</v>
      </c>
      <c r="N231" t="e">
        <v>#REF!</v>
      </c>
      <c r="Q231" t="e">
        <v>#REF!</v>
      </c>
    </row>
    <row r="232" spans="1:17" hidden="1" x14ac:dyDescent="0.25">
      <c r="A232" s="114" t="s">
        <v>326</v>
      </c>
      <c r="B232" s="115" t="s">
        <v>7578</v>
      </c>
      <c r="C232" s="116" t="s">
        <v>16</v>
      </c>
      <c r="D232" s="116">
        <v>0</v>
      </c>
      <c r="E232" s="136">
        <f ca="1">OFFSET(INDEX(Composições!A:J,MATCH(Orçamentária!A232,Composições!A:A,0),8),2,0)</f>
        <v>11.087574741029648</v>
      </c>
      <c r="F232" s="137">
        <f t="shared" ca="1" si="19"/>
        <v>0</v>
      </c>
      <c r="G232" s="138" t="e">
        <f>IF(A232&lt;&gt;"",IF(AND(#REF!="Padrão",$H$4=#REF!),BDI!$B$17,IF(AND(#REF!="Padrão",$H$4=#REF!),BDI!#REF!,IF(AND(#REF!="Diferenciado",$H$4=#REF!),BDI!$E$17,IF(AND(#REF!="Diferenciado",$H$4=#REF!),BDI!#REF!,IF(#REF!="ZERO",0))))),"")</f>
        <v>#REF!</v>
      </c>
      <c r="H232" s="139" t="e">
        <f t="shared" ca="1" si="20"/>
        <v>#REF!</v>
      </c>
      <c r="I232" s="137" t="e">
        <f t="shared" ca="1" si="21"/>
        <v>#REF!</v>
      </c>
      <c r="J232" s="117"/>
      <c r="K232" s="116">
        <v>0</v>
      </c>
      <c r="M232" s="136" t="e">
        <f ca="1">OFFSET(INDEX([1]Composições!I:R,MATCH([1]Orçamentária!I232,[1]Composições!I:I,0),8),2,0)</f>
        <v>#REF!</v>
      </c>
      <c r="N232" t="e">
        <v>#REF!</v>
      </c>
      <c r="Q232" t="e">
        <v>#REF!</v>
      </c>
    </row>
    <row r="233" spans="1:17" hidden="1" x14ac:dyDescent="0.25">
      <c r="A233" s="114" t="s">
        <v>327</v>
      </c>
      <c r="B233" s="115" t="s">
        <v>7579</v>
      </c>
      <c r="C233" s="116" t="s">
        <v>16</v>
      </c>
      <c r="D233" s="116">
        <v>0</v>
      </c>
      <c r="E233" s="136">
        <f ca="1">OFFSET(INDEX(Composições!A:J,MATCH(Orçamentária!A233,Composições!A:A,0),8),2,0)</f>
        <v>7.165754999999999</v>
      </c>
      <c r="F233" s="137">
        <f t="shared" ca="1" si="19"/>
        <v>0</v>
      </c>
      <c r="G233" s="138" t="e">
        <f>IF(A233&lt;&gt;"",IF(AND(#REF!="Padrão",$H$4=#REF!),BDI!$B$17,IF(AND(#REF!="Padrão",$H$4=#REF!),BDI!#REF!,IF(AND(#REF!="Diferenciado",$H$4=#REF!),BDI!$E$17,IF(AND(#REF!="Diferenciado",$H$4=#REF!),BDI!#REF!,IF(#REF!="ZERO",0))))),"")</f>
        <v>#REF!</v>
      </c>
      <c r="H233" s="139" t="e">
        <f t="shared" ca="1" si="20"/>
        <v>#REF!</v>
      </c>
      <c r="I233" s="137" t="e">
        <f t="shared" ca="1" si="21"/>
        <v>#REF!</v>
      </c>
      <c r="J233" s="117"/>
      <c r="K233" s="116">
        <v>0</v>
      </c>
      <c r="M233" s="136" t="e">
        <f ca="1">OFFSET(INDEX([1]Composições!I:R,MATCH([1]Orçamentária!I233,[1]Composições!I:I,0),8),2,0)</f>
        <v>#REF!</v>
      </c>
      <c r="N233" t="e">
        <v>#REF!</v>
      </c>
      <c r="Q233" t="e">
        <v>#REF!</v>
      </c>
    </row>
    <row r="234" spans="1:17" hidden="1" x14ac:dyDescent="0.25">
      <c r="A234" s="114" t="s">
        <v>329</v>
      </c>
      <c r="B234" s="115" t="s">
        <v>7580</v>
      </c>
      <c r="C234" s="116" t="s">
        <v>16</v>
      </c>
      <c r="D234" s="116">
        <v>0</v>
      </c>
      <c r="E234" s="136">
        <f ca="1">OFFSET(INDEX(Composições!A:J,MATCH(Orçamentária!A234,Composições!A:A,0),8),2,0)</f>
        <v>15.554313654706199</v>
      </c>
      <c r="F234" s="137">
        <f t="shared" ca="1" si="19"/>
        <v>0</v>
      </c>
      <c r="G234" s="138" t="e">
        <f>IF(A234&lt;&gt;"",IF(AND(#REF!="Padrão",$H$4=#REF!),BDI!$B$17,IF(AND(#REF!="Padrão",$H$4=#REF!),BDI!#REF!,IF(AND(#REF!="Diferenciado",$H$4=#REF!),BDI!$E$17,IF(AND(#REF!="Diferenciado",$H$4=#REF!),BDI!#REF!,IF(#REF!="ZERO",0))))),"")</f>
        <v>#REF!</v>
      </c>
      <c r="H234" s="139" t="e">
        <f t="shared" ca="1" si="20"/>
        <v>#REF!</v>
      </c>
      <c r="I234" s="137" t="e">
        <f t="shared" ca="1" si="21"/>
        <v>#REF!</v>
      </c>
      <c r="J234" s="117"/>
      <c r="K234" s="116">
        <v>0</v>
      </c>
      <c r="M234" s="136" t="e">
        <f ca="1">OFFSET(INDEX([1]Composições!I:R,MATCH([1]Orçamentária!I234,[1]Composições!I:I,0),8),2,0)</f>
        <v>#REF!</v>
      </c>
      <c r="N234" t="e">
        <v>#REF!</v>
      </c>
      <c r="Q234" t="e">
        <v>#REF!</v>
      </c>
    </row>
    <row r="235" spans="1:17" hidden="1" x14ac:dyDescent="0.25">
      <c r="A235" s="114" t="s">
        <v>330</v>
      </c>
      <c r="B235" s="115" t="s">
        <v>7581</v>
      </c>
      <c r="C235" s="116" t="s">
        <v>16</v>
      </c>
      <c r="D235" s="116">
        <v>0</v>
      </c>
      <c r="E235" s="136">
        <f ca="1">OFFSET(INDEX(Composições!A:J,MATCH(Orçamentária!A235,Composições!A:A,0),8),2,0)</f>
        <v>8.2035540000000005</v>
      </c>
      <c r="F235" s="137">
        <f t="shared" ca="1" si="19"/>
        <v>0</v>
      </c>
      <c r="G235" s="138" t="e">
        <f>IF(A235&lt;&gt;"",IF(AND(#REF!="Padrão",$H$4=#REF!),BDI!$B$17,IF(AND(#REF!="Padrão",$H$4=#REF!),BDI!#REF!,IF(AND(#REF!="Diferenciado",$H$4=#REF!),BDI!$E$17,IF(AND(#REF!="Diferenciado",$H$4=#REF!),BDI!#REF!,IF(#REF!="ZERO",0))))),"")</f>
        <v>#REF!</v>
      </c>
      <c r="H235" s="139" t="e">
        <f t="shared" ca="1" si="20"/>
        <v>#REF!</v>
      </c>
      <c r="I235" s="137" t="e">
        <f t="shared" ca="1" si="21"/>
        <v>#REF!</v>
      </c>
      <c r="J235" s="117"/>
      <c r="K235" s="116">
        <v>0</v>
      </c>
      <c r="M235" s="136" t="e">
        <f ca="1">OFFSET(INDEX([1]Composições!I:R,MATCH([1]Orçamentária!I235,[1]Composições!I:I,0),8),2,0)</f>
        <v>#REF!</v>
      </c>
      <c r="N235" t="e">
        <v>#REF!</v>
      </c>
      <c r="Q235" t="e">
        <v>#REF!</v>
      </c>
    </row>
    <row r="236" spans="1:17" hidden="1" x14ac:dyDescent="0.25">
      <c r="A236" s="114" t="s">
        <v>332</v>
      </c>
      <c r="B236" s="115" t="s">
        <v>7582</v>
      </c>
      <c r="C236" s="116" t="s">
        <v>16</v>
      </c>
      <c r="D236" s="116">
        <v>0</v>
      </c>
      <c r="E236" s="136">
        <f ca="1">OFFSET(INDEX(Composições!A:J,MATCH(Orçamentária!A236,Composições!A:A,0),8),2,0)</f>
        <v>17.098973999999998</v>
      </c>
      <c r="F236" s="137">
        <f t="shared" ca="1" si="19"/>
        <v>0</v>
      </c>
      <c r="G236" s="138" t="e">
        <f>IF(A236&lt;&gt;"",IF(AND(#REF!="Padrão",$H$4=#REF!),BDI!$B$17,IF(AND(#REF!="Padrão",$H$4=#REF!),BDI!#REF!,IF(AND(#REF!="Diferenciado",$H$4=#REF!),BDI!$E$17,IF(AND(#REF!="Diferenciado",$H$4=#REF!),BDI!#REF!,IF(#REF!="ZERO",0))))),"")</f>
        <v>#REF!</v>
      </c>
      <c r="H236" s="139" t="e">
        <f t="shared" ca="1" si="20"/>
        <v>#REF!</v>
      </c>
      <c r="I236" s="137" t="e">
        <f t="shared" ca="1" si="21"/>
        <v>#REF!</v>
      </c>
      <c r="J236" s="117"/>
      <c r="K236" s="116">
        <v>0</v>
      </c>
      <c r="M236" s="136" t="e">
        <f ca="1">OFFSET(INDEX([1]Composições!I:R,MATCH([1]Orçamentária!I236,[1]Composições!I:I,0),8),2,0)</f>
        <v>#REF!</v>
      </c>
      <c r="N236" t="e">
        <v>#REF!</v>
      </c>
      <c r="Q236" t="e">
        <v>#REF!</v>
      </c>
    </row>
    <row r="237" spans="1:17" hidden="1" x14ac:dyDescent="0.25">
      <c r="A237" s="114" t="s">
        <v>334</v>
      </c>
      <c r="B237" s="115" t="s">
        <v>7583</v>
      </c>
      <c r="C237" s="116" t="s">
        <v>16</v>
      </c>
      <c r="D237" s="116">
        <v>0</v>
      </c>
      <c r="E237" s="136">
        <f ca="1">OFFSET(INDEX(Composições!A:J,MATCH(Orçamentária!A237,Composições!A:A,0),8),2,0)</f>
        <v>17.098973999999998</v>
      </c>
      <c r="F237" s="137">
        <f t="shared" ca="1" si="19"/>
        <v>0</v>
      </c>
      <c r="G237" s="138" t="e">
        <f>IF(A237&lt;&gt;"",IF(AND(#REF!="Padrão",$H$4=#REF!),BDI!$B$17,IF(AND(#REF!="Padrão",$H$4=#REF!),BDI!#REF!,IF(AND(#REF!="Diferenciado",$H$4=#REF!),BDI!$E$17,IF(AND(#REF!="Diferenciado",$H$4=#REF!),BDI!#REF!,IF(#REF!="ZERO",0))))),"")</f>
        <v>#REF!</v>
      </c>
      <c r="H237" s="139" t="e">
        <f t="shared" ca="1" si="20"/>
        <v>#REF!</v>
      </c>
      <c r="I237" s="137" t="e">
        <f t="shared" ca="1" si="21"/>
        <v>#REF!</v>
      </c>
      <c r="J237" s="117"/>
      <c r="K237" s="116">
        <v>0</v>
      </c>
      <c r="M237" s="136" t="e">
        <f ca="1">OFFSET(INDEX([1]Composições!I:R,MATCH([1]Orçamentária!I237,[1]Composições!I:I,0),8),2,0)</f>
        <v>#REF!</v>
      </c>
      <c r="N237" t="e">
        <v>#REF!</v>
      </c>
      <c r="Q237" t="e">
        <v>#REF!</v>
      </c>
    </row>
    <row r="238" spans="1:17" hidden="1" x14ac:dyDescent="0.25">
      <c r="A238" s="114" t="s">
        <v>336</v>
      </c>
      <c r="B238" s="115" t="s">
        <v>7584</v>
      </c>
      <c r="C238" s="116" t="s">
        <v>16</v>
      </c>
      <c r="D238" s="116">
        <v>0</v>
      </c>
      <c r="E238" s="136">
        <f ca="1">OFFSET(INDEX(Composições!A:J,MATCH(Orçamentária!A238,Composições!A:A,0),8),2,0)</f>
        <v>73.343932999999993</v>
      </c>
      <c r="F238" s="137">
        <f t="shared" ca="1" si="19"/>
        <v>0</v>
      </c>
      <c r="G238" s="138" t="e">
        <f>IF(A238&lt;&gt;"",IF(AND(#REF!="Padrão",$H$4=#REF!),BDI!$B$17,IF(AND(#REF!="Padrão",$H$4=#REF!),BDI!#REF!,IF(AND(#REF!="Diferenciado",$H$4=#REF!),BDI!$E$17,IF(AND(#REF!="Diferenciado",$H$4=#REF!),BDI!#REF!,IF(#REF!="ZERO",0))))),"")</f>
        <v>#REF!</v>
      </c>
      <c r="H238" s="139" t="e">
        <f t="shared" ca="1" si="20"/>
        <v>#REF!</v>
      </c>
      <c r="I238" s="137" t="e">
        <f t="shared" ca="1" si="21"/>
        <v>#REF!</v>
      </c>
      <c r="J238" s="117"/>
      <c r="K238" s="116">
        <v>0</v>
      </c>
      <c r="M238" s="136" t="e">
        <f ca="1">OFFSET(INDEX([1]Composições!I:R,MATCH([1]Orçamentária!I238,[1]Composições!I:I,0),8),2,0)</f>
        <v>#REF!</v>
      </c>
      <c r="N238" t="e">
        <v>#REF!</v>
      </c>
      <c r="Q238" t="e">
        <v>#REF!</v>
      </c>
    </row>
    <row r="239" spans="1:17" hidden="1" x14ac:dyDescent="0.25">
      <c r="A239" s="114" t="s">
        <v>338</v>
      </c>
      <c r="B239" s="115" t="s">
        <v>1479</v>
      </c>
      <c r="C239" s="116" t="s">
        <v>16</v>
      </c>
      <c r="D239" s="116">
        <v>0</v>
      </c>
      <c r="E239" s="136">
        <f ca="1">OFFSET(INDEX(Composições!A:J,MATCH(Orçamentária!A239,Composições!A:A,0),8),2,0)</f>
        <v>17.098973999999998</v>
      </c>
      <c r="F239" s="137">
        <f t="shared" ca="1" si="19"/>
        <v>0</v>
      </c>
      <c r="G239" s="138" t="e">
        <f>IF(A239&lt;&gt;"",IF(AND(#REF!="Padrão",$H$4=#REF!),BDI!$B$17,IF(AND(#REF!="Padrão",$H$4=#REF!),BDI!#REF!,IF(AND(#REF!="Diferenciado",$H$4=#REF!),BDI!$E$17,IF(AND(#REF!="Diferenciado",$H$4=#REF!),BDI!#REF!,IF(#REF!="ZERO",0))))),"")</f>
        <v>#REF!</v>
      </c>
      <c r="H239" s="139" t="e">
        <f t="shared" ca="1" si="20"/>
        <v>#REF!</v>
      </c>
      <c r="I239" s="137" t="e">
        <f t="shared" ca="1" si="21"/>
        <v>#REF!</v>
      </c>
      <c r="J239" s="117"/>
      <c r="K239" s="116">
        <v>0</v>
      </c>
      <c r="M239" s="136" t="e">
        <f ca="1">OFFSET(INDEX([1]Composições!I:R,MATCH([1]Orçamentária!I239,[1]Composições!I:I,0),8),2,0)</f>
        <v>#REF!</v>
      </c>
      <c r="N239" t="e">
        <v>#REF!</v>
      </c>
      <c r="Q239" t="e">
        <v>#REF!</v>
      </c>
    </row>
    <row r="240" spans="1:17" hidden="1" x14ac:dyDescent="0.25">
      <c r="A240" s="114" t="s">
        <v>340</v>
      </c>
      <c r="B240" s="115" t="s">
        <v>7585</v>
      </c>
      <c r="C240" s="116" t="s">
        <v>69</v>
      </c>
      <c r="D240" s="116">
        <v>0</v>
      </c>
      <c r="E240" s="136">
        <f ca="1">OFFSET(INDEX(Composições!A:J,MATCH(Orçamentária!A240,Composições!A:A,0),8),2,0)</f>
        <v>8.8954199999999997</v>
      </c>
      <c r="F240" s="137">
        <f t="shared" ca="1" si="19"/>
        <v>0</v>
      </c>
      <c r="G240" s="138" t="e">
        <f>IF(A240&lt;&gt;"",IF(AND(#REF!="Padrão",$H$4=#REF!),BDI!$B$17,IF(AND(#REF!="Padrão",$H$4=#REF!),BDI!#REF!,IF(AND(#REF!="Diferenciado",$H$4=#REF!),BDI!$E$17,IF(AND(#REF!="Diferenciado",$H$4=#REF!),BDI!#REF!,IF(#REF!="ZERO",0))))),"")</f>
        <v>#REF!</v>
      </c>
      <c r="H240" s="139" t="e">
        <f t="shared" ca="1" si="20"/>
        <v>#REF!</v>
      </c>
      <c r="I240" s="137" t="e">
        <f t="shared" ca="1" si="21"/>
        <v>#REF!</v>
      </c>
      <c r="J240" s="117"/>
      <c r="K240" s="116">
        <v>0</v>
      </c>
      <c r="M240" s="136" t="e">
        <f ca="1">OFFSET(INDEX([1]Composições!I:R,MATCH([1]Orçamentária!I240,[1]Composições!I:I,0),8),2,0)</f>
        <v>#REF!</v>
      </c>
      <c r="N240" t="e">
        <v>#REF!</v>
      </c>
      <c r="Q240" t="e">
        <v>#REF!</v>
      </c>
    </row>
    <row r="241" spans="1:19" hidden="1" x14ac:dyDescent="0.25">
      <c r="A241" s="114" t="s">
        <v>342</v>
      </c>
      <c r="B241" s="115" t="s">
        <v>5501</v>
      </c>
      <c r="C241" s="116" t="s">
        <v>16</v>
      </c>
      <c r="D241" s="116">
        <v>0</v>
      </c>
      <c r="E241" s="136">
        <f ca="1">OFFSET(INDEX(Composições!A:J,MATCH(Orçamentária!A241,Composições!A:A,0),8),2,0)</f>
        <v>43.693131499999993</v>
      </c>
      <c r="F241" s="137">
        <f t="shared" ca="1" si="19"/>
        <v>0</v>
      </c>
      <c r="G241" s="138" t="e">
        <f>IF(A241&lt;&gt;"",IF(AND(#REF!="Padrão",$H$4=#REF!),BDI!$B$17,IF(AND(#REF!="Padrão",$H$4=#REF!),BDI!#REF!,IF(AND(#REF!="Diferenciado",$H$4=#REF!),BDI!$E$17,IF(AND(#REF!="Diferenciado",$H$4=#REF!),BDI!#REF!,IF(#REF!="ZERO",0))))),"")</f>
        <v>#REF!</v>
      </c>
      <c r="H241" s="139" t="e">
        <f t="shared" ca="1" si="20"/>
        <v>#REF!</v>
      </c>
      <c r="I241" s="137" t="e">
        <f t="shared" ca="1" si="21"/>
        <v>#REF!</v>
      </c>
      <c r="J241" s="117"/>
      <c r="K241" s="116">
        <v>0</v>
      </c>
      <c r="M241" s="136" t="e">
        <f ca="1">OFFSET(INDEX([1]Composições!I:R,MATCH([1]Orçamentária!I241,[1]Composições!I:I,0),8),2,0)</f>
        <v>#REF!</v>
      </c>
      <c r="N241" t="e">
        <v>#REF!</v>
      </c>
      <c r="Q241" t="e">
        <v>#REF!</v>
      </c>
    </row>
    <row r="242" spans="1:19" hidden="1" x14ac:dyDescent="0.25">
      <c r="A242" s="114" t="s">
        <v>343</v>
      </c>
      <c r="B242" s="115" t="s">
        <v>7586</v>
      </c>
      <c r="C242" s="116" t="s">
        <v>69</v>
      </c>
      <c r="D242" s="116">
        <v>0</v>
      </c>
      <c r="E242" s="136">
        <f ca="1">OFFSET(INDEX(Composições!A:J,MATCH(Orçamentária!A242,Composições!A:A,0),8),2,0)</f>
        <v>36.2743763</v>
      </c>
      <c r="F242" s="137">
        <f t="shared" ca="1" si="19"/>
        <v>0</v>
      </c>
      <c r="G242" s="138" t="e">
        <f>IF(A242&lt;&gt;"",IF(AND(#REF!="Padrão",$H$4=#REF!),BDI!$B$17,IF(AND(#REF!="Padrão",$H$4=#REF!),BDI!#REF!,IF(AND(#REF!="Diferenciado",$H$4=#REF!),BDI!$E$17,IF(AND(#REF!="Diferenciado",$H$4=#REF!),BDI!#REF!,IF(#REF!="ZERO",0))))),"")</f>
        <v>#REF!</v>
      </c>
      <c r="H242" s="139" t="e">
        <f t="shared" ca="1" si="20"/>
        <v>#REF!</v>
      </c>
      <c r="I242" s="137" t="e">
        <f t="shared" ca="1" si="21"/>
        <v>#REF!</v>
      </c>
      <c r="J242" s="117"/>
      <c r="K242" s="116">
        <v>0</v>
      </c>
      <c r="M242" s="136" t="e">
        <f ca="1">OFFSET(INDEX([1]Composições!I:R,MATCH([1]Orçamentária!I242,[1]Composições!I:I,0),8),2,0)</f>
        <v>#REF!</v>
      </c>
      <c r="N242" t="e">
        <v>#REF!</v>
      </c>
      <c r="Q242" t="e">
        <v>#REF!</v>
      </c>
    </row>
    <row r="243" spans="1:19" hidden="1" x14ac:dyDescent="0.25">
      <c r="A243" s="114" t="s">
        <v>354</v>
      </c>
      <c r="B243" s="115" t="s">
        <v>7587</v>
      </c>
      <c r="C243" s="116" t="s">
        <v>69</v>
      </c>
      <c r="D243" s="116">
        <v>0</v>
      </c>
      <c r="E243" s="136">
        <f ca="1">OFFSET(INDEX(Composições!A:J,MATCH(Orçamentária!A243,Composições!A:A,0),8),2,0)</f>
        <v>55.357228649999996</v>
      </c>
      <c r="F243" s="137">
        <f t="shared" ca="1" si="19"/>
        <v>0</v>
      </c>
      <c r="G243" s="138" t="e">
        <f>IF(A243&lt;&gt;"",IF(AND(#REF!="Padrão",$H$4=#REF!),BDI!$B$17,IF(AND(#REF!="Padrão",$H$4=#REF!),BDI!#REF!,IF(AND(#REF!="Diferenciado",$H$4=#REF!),BDI!$E$17,IF(AND(#REF!="Diferenciado",$H$4=#REF!),BDI!#REF!,IF(#REF!="ZERO",0))))),"")</f>
        <v>#REF!</v>
      </c>
      <c r="H243" s="139" t="e">
        <f t="shared" ca="1" si="20"/>
        <v>#REF!</v>
      </c>
      <c r="I243" s="137" t="e">
        <f t="shared" ca="1" si="21"/>
        <v>#REF!</v>
      </c>
      <c r="J243" s="117"/>
      <c r="K243" s="116">
        <v>0</v>
      </c>
      <c r="M243" s="136" t="e">
        <f ca="1">OFFSET(INDEX([1]Composições!I:R,MATCH([1]Orçamentária!I243,[1]Composições!I:I,0),8),2,0)</f>
        <v>#REF!</v>
      </c>
      <c r="N243" t="e">
        <v>#REF!</v>
      </c>
      <c r="Q243" t="e">
        <v>#REF!</v>
      </c>
    </row>
    <row r="244" spans="1:19" hidden="1" x14ac:dyDescent="0.25">
      <c r="A244" s="114" t="s">
        <v>359</v>
      </c>
      <c r="B244" s="115" t="s">
        <v>7588</v>
      </c>
      <c r="C244" s="116" t="s">
        <v>69</v>
      </c>
      <c r="D244" s="116">
        <v>0</v>
      </c>
      <c r="E244" s="136">
        <f ca="1">OFFSET(INDEX(Composições!A:J,MATCH(Orçamentária!A244,Composições!A:A,0),8),2,0)</f>
        <v>49.778828649999994</v>
      </c>
      <c r="F244" s="137">
        <f t="shared" ca="1" si="19"/>
        <v>0</v>
      </c>
      <c r="G244" s="138" t="e">
        <f>IF(A244&lt;&gt;"",IF(AND(#REF!="Padrão",$H$4=#REF!),BDI!$B$17,IF(AND(#REF!="Padrão",$H$4=#REF!),BDI!#REF!,IF(AND(#REF!="Diferenciado",$H$4=#REF!),BDI!$E$17,IF(AND(#REF!="Diferenciado",$H$4=#REF!),BDI!#REF!,IF(#REF!="ZERO",0))))),"")</f>
        <v>#REF!</v>
      </c>
      <c r="H244" s="139" t="e">
        <f t="shared" ca="1" si="20"/>
        <v>#REF!</v>
      </c>
      <c r="I244" s="137" t="e">
        <f t="shared" ca="1" si="21"/>
        <v>#REF!</v>
      </c>
      <c r="J244" s="117"/>
      <c r="K244" s="116">
        <v>0</v>
      </c>
      <c r="M244" s="136" t="e">
        <f ca="1">OFFSET(INDEX([1]Composições!I:R,MATCH([1]Orçamentária!I244,[1]Composições!I:I,0),8),2,0)</f>
        <v>#REF!</v>
      </c>
      <c r="N244" t="e">
        <v>#REF!</v>
      </c>
      <c r="Q244" t="e">
        <v>#REF!</v>
      </c>
    </row>
    <row r="245" spans="1:19" hidden="1" x14ac:dyDescent="0.25">
      <c r="A245" s="114" t="s">
        <v>362</v>
      </c>
      <c r="B245" s="115" t="s">
        <v>7589</v>
      </c>
      <c r="C245" s="116" t="s">
        <v>69</v>
      </c>
      <c r="D245" s="116">
        <v>0</v>
      </c>
      <c r="E245" s="136">
        <f ca="1">OFFSET(INDEX(Composições!A:J,MATCH(Orçamentária!A245,Composições!A:A,0),8),2,0)</f>
        <v>58.464678649999996</v>
      </c>
      <c r="F245" s="137">
        <f t="shared" ca="1" si="19"/>
        <v>0</v>
      </c>
      <c r="G245" s="138" t="e">
        <f>IF(A245&lt;&gt;"",IF(AND(#REF!="Padrão",$H$4=#REF!),BDI!$B$17,IF(AND(#REF!="Padrão",$H$4=#REF!),BDI!#REF!,IF(AND(#REF!="Diferenciado",$H$4=#REF!),BDI!$E$17,IF(AND(#REF!="Diferenciado",$H$4=#REF!),BDI!#REF!,IF(#REF!="ZERO",0))))),"")</f>
        <v>#REF!</v>
      </c>
      <c r="H245" s="139" t="e">
        <f t="shared" ca="1" si="20"/>
        <v>#REF!</v>
      </c>
      <c r="I245" s="137" t="e">
        <f t="shared" ca="1" si="21"/>
        <v>#REF!</v>
      </c>
      <c r="J245" s="117"/>
      <c r="K245" s="116">
        <v>0</v>
      </c>
      <c r="M245" s="136" t="e">
        <f ca="1">OFFSET(INDEX([1]Composições!I:R,MATCH([1]Orçamentária!I245,[1]Composições!I:I,0),8),2,0)</f>
        <v>#REF!</v>
      </c>
      <c r="N245" t="e">
        <v>#REF!</v>
      </c>
      <c r="Q245" t="e">
        <v>#REF!</v>
      </c>
    </row>
    <row r="246" spans="1:19" hidden="1" x14ac:dyDescent="0.25">
      <c r="A246" s="114" t="s">
        <v>366</v>
      </c>
      <c r="B246" s="115" t="s">
        <v>7590</v>
      </c>
      <c r="C246" s="116" t="s">
        <v>69</v>
      </c>
      <c r="D246" s="116">
        <v>0</v>
      </c>
      <c r="E246" s="136">
        <f ca="1">OFFSET(INDEX(Composições!A:J,MATCH(Orçamentária!A246,Composições!A:A,0),8),2,0)</f>
        <v>52.249778649999996</v>
      </c>
      <c r="F246" s="137">
        <f t="shared" ca="1" si="19"/>
        <v>0</v>
      </c>
      <c r="G246" s="138" t="e">
        <f>IF(A246&lt;&gt;"",IF(AND(#REF!="Padrão",$H$4=#REF!),BDI!$B$17,IF(AND(#REF!="Padrão",$H$4=#REF!),BDI!#REF!,IF(AND(#REF!="Diferenciado",$H$4=#REF!),BDI!$E$17,IF(AND(#REF!="Diferenciado",$H$4=#REF!),BDI!#REF!,IF(#REF!="ZERO",0))))),"")</f>
        <v>#REF!</v>
      </c>
      <c r="H246" s="139" t="e">
        <f t="shared" ca="1" si="20"/>
        <v>#REF!</v>
      </c>
      <c r="I246" s="137" t="e">
        <f t="shared" ca="1" si="21"/>
        <v>#REF!</v>
      </c>
      <c r="J246" s="117"/>
      <c r="K246" s="116">
        <v>0</v>
      </c>
      <c r="M246" s="136" t="e">
        <f ca="1">OFFSET(INDEX([1]Composições!I:R,MATCH([1]Orçamentária!I246,[1]Composições!I:I,0),8),2,0)</f>
        <v>#REF!</v>
      </c>
      <c r="N246" t="e">
        <v>#REF!</v>
      </c>
      <c r="Q246" t="e">
        <v>#REF!</v>
      </c>
    </row>
    <row r="247" spans="1:19" hidden="1" x14ac:dyDescent="0.25">
      <c r="A247" s="114" t="s">
        <v>369</v>
      </c>
      <c r="B247" s="115" t="s">
        <v>7591</v>
      </c>
      <c r="C247" s="116" t="s">
        <v>69</v>
      </c>
      <c r="D247" s="116">
        <v>0</v>
      </c>
      <c r="E247" s="136">
        <f ca="1">OFFSET(INDEX(Composições!A:J,MATCH(Orçamentária!A247,Composições!A:A,0),8),2,0)</f>
        <v>52.249778649999996</v>
      </c>
      <c r="F247" s="137">
        <f t="shared" ca="1" si="19"/>
        <v>0</v>
      </c>
      <c r="G247" s="138" t="e">
        <f>IF(A247&lt;&gt;"",IF(AND(#REF!="Padrão",$H$4=#REF!),BDI!$B$17,IF(AND(#REF!="Padrão",$H$4=#REF!),BDI!#REF!,IF(AND(#REF!="Diferenciado",$H$4=#REF!),BDI!$E$17,IF(AND(#REF!="Diferenciado",$H$4=#REF!),BDI!#REF!,IF(#REF!="ZERO",0))))),"")</f>
        <v>#REF!</v>
      </c>
      <c r="H247" s="139" t="e">
        <f t="shared" ca="1" si="20"/>
        <v>#REF!</v>
      </c>
      <c r="I247" s="137" t="e">
        <f t="shared" ca="1" si="21"/>
        <v>#REF!</v>
      </c>
      <c r="J247" s="117"/>
      <c r="K247" s="116">
        <v>0</v>
      </c>
      <c r="M247" s="136" t="e">
        <f ca="1">OFFSET(INDEX([1]Composições!I:R,MATCH([1]Orçamentária!I247,[1]Composições!I:I,0),8),2,0)</f>
        <v>#REF!</v>
      </c>
      <c r="N247" t="e">
        <v>#REF!</v>
      </c>
      <c r="Q247" t="e">
        <v>#REF!</v>
      </c>
    </row>
    <row r="248" spans="1:19" hidden="1" x14ac:dyDescent="0.25">
      <c r="A248" s="114" t="s">
        <v>373</v>
      </c>
      <c r="B248" s="115" t="s">
        <v>7592</v>
      </c>
      <c r="C248" s="116" t="s">
        <v>69</v>
      </c>
      <c r="D248" s="116">
        <v>0</v>
      </c>
      <c r="E248" s="136">
        <f ca="1">OFFSET(INDEX(Composições!A:J,MATCH(Orçamentária!A248,Composições!A:A,0),8),2,0)</f>
        <v>36.2743763</v>
      </c>
      <c r="F248" s="137">
        <f t="shared" ca="1" si="19"/>
        <v>0</v>
      </c>
      <c r="G248" s="138" t="e">
        <f>IF(A248&lt;&gt;"",IF(AND(#REF!="Padrão",$H$4=#REF!),BDI!$B$17,IF(AND(#REF!="Padrão",$H$4=#REF!),BDI!#REF!,IF(AND(#REF!="Diferenciado",$H$4=#REF!),BDI!$E$17,IF(AND(#REF!="Diferenciado",$H$4=#REF!),BDI!#REF!,IF(#REF!="ZERO",0))))),"")</f>
        <v>#REF!</v>
      </c>
      <c r="H248" s="139" t="e">
        <f t="shared" ca="1" si="20"/>
        <v>#REF!</v>
      </c>
      <c r="I248" s="137" t="e">
        <f t="shared" ca="1" si="21"/>
        <v>#REF!</v>
      </c>
      <c r="J248" s="117"/>
      <c r="K248" s="116">
        <v>0</v>
      </c>
      <c r="M248" s="136" t="e">
        <f ca="1">OFFSET(INDEX([1]Composições!I:R,MATCH([1]Orçamentária!I248,[1]Composições!I:I,0),8),2,0)</f>
        <v>#REF!</v>
      </c>
      <c r="N248" t="e">
        <v>#REF!</v>
      </c>
      <c r="Q248" t="e">
        <v>#REF!</v>
      </c>
    </row>
    <row r="249" spans="1:19" hidden="1" x14ac:dyDescent="0.25">
      <c r="A249" s="114" t="s">
        <v>377</v>
      </c>
      <c r="B249" s="115" t="s">
        <v>1480</v>
      </c>
      <c r="C249" s="116" t="s">
        <v>69</v>
      </c>
      <c r="D249" s="116">
        <v>0</v>
      </c>
      <c r="E249" s="136">
        <f ca="1">OFFSET(INDEX(Composições!A:J,MATCH(Orçamentária!A249,Composições!A:A,0),8),2,0)</f>
        <v>37.064250000000001</v>
      </c>
      <c r="F249" s="137">
        <f t="shared" ca="1" si="19"/>
        <v>0</v>
      </c>
      <c r="G249" s="138" t="e">
        <f>IF(A249&lt;&gt;"",IF(AND(#REF!="Padrão",$H$4=#REF!),BDI!$B$17,IF(AND(#REF!="Padrão",$H$4=#REF!),BDI!#REF!,IF(AND(#REF!="Diferenciado",$H$4=#REF!),BDI!$E$17,IF(AND(#REF!="Diferenciado",$H$4=#REF!),BDI!#REF!,IF(#REF!="ZERO",0))))),"")</f>
        <v>#REF!</v>
      </c>
      <c r="H249" s="139" t="e">
        <f t="shared" ca="1" si="20"/>
        <v>#REF!</v>
      </c>
      <c r="I249" s="137" t="e">
        <f t="shared" ca="1" si="21"/>
        <v>#REF!</v>
      </c>
      <c r="J249" s="117"/>
      <c r="K249" s="116">
        <v>0</v>
      </c>
      <c r="M249" s="136" t="e">
        <f ca="1">OFFSET(INDEX([1]Composições!I:R,MATCH([1]Orçamentária!I249,[1]Composições!I:I,0),8),2,0)</f>
        <v>#REF!</v>
      </c>
      <c r="N249" t="e">
        <v>#REF!</v>
      </c>
      <c r="Q249" t="e">
        <v>#REF!</v>
      </c>
    </row>
    <row r="250" spans="1:19" x14ac:dyDescent="0.25">
      <c r="A250" s="172" t="s">
        <v>379</v>
      </c>
      <c r="B250" s="173" t="s">
        <v>1481</v>
      </c>
      <c r="C250" s="174" t="s">
        <v>69</v>
      </c>
      <c r="D250" s="174">
        <v>28</v>
      </c>
      <c r="E250" s="136">
        <f ca="1">OFFSET(INDEX(Composições!A:J,MATCH(Orçamentária!A250,Composições!A:A,0),8),2,0)</f>
        <v>62.131424999999993</v>
      </c>
      <c r="F250" s="137">
        <f t="shared" ca="1" si="19"/>
        <v>1739.6798999999999</v>
      </c>
      <c r="G250" s="138">
        <f>BDI!$B$17</f>
        <v>0.191</v>
      </c>
      <c r="H250" s="139">
        <f t="shared" ca="1" si="20"/>
        <v>74</v>
      </c>
      <c r="I250" s="137">
        <f t="shared" ca="1" si="21"/>
        <v>2072</v>
      </c>
      <c r="J250" s="117"/>
      <c r="K250" s="253">
        <v>28</v>
      </c>
      <c r="L250" s="236" t="str">
        <f t="shared" ref="L250:L251" si="22">IF(D250&lt;&gt;K250,"ERRO","-")</f>
        <v>-</v>
      </c>
      <c r="M250" s="136">
        <f ca="1">OFFSET(INDEX(Composições!A:S,MATCH(A250,Composições!A:A,0),15),2,0)</f>
        <v>53.184499799999998</v>
      </c>
      <c r="N250" s="237">
        <v>0.191</v>
      </c>
      <c r="O250" s="236">
        <f t="shared" ref="O250:O251" ca="1" si="23">ROUND(M250*(1+N250),2)</f>
        <v>63.34</v>
      </c>
      <c r="P250" s="238">
        <f t="shared" ref="P250:P251" ca="1" si="24">ROUND(K250*O250,2)</f>
        <v>1773.52</v>
      </c>
      <c r="Q250" s="236">
        <v>1773.52</v>
      </c>
      <c r="R250" s="236">
        <f t="shared" ref="R250:R251" ca="1" si="25">P250-Q250</f>
        <v>0</v>
      </c>
      <c r="S250" s="239">
        <f t="shared" ref="S250:S251" ca="1" si="26">IF(ISNUMBER(O250),1-P250/$I250,"")</f>
        <v>0.14405405405405403</v>
      </c>
    </row>
    <row r="251" spans="1:19" x14ac:dyDescent="0.25">
      <c r="A251" s="172" t="s">
        <v>381</v>
      </c>
      <c r="B251" s="173" t="s">
        <v>1482</v>
      </c>
      <c r="C251" s="174" t="s">
        <v>69</v>
      </c>
      <c r="D251" s="174">
        <v>60</v>
      </c>
      <c r="E251" s="136">
        <f ca="1">OFFSET(INDEX(Composições!A:J,MATCH(Orçamentária!A251,Composições!A:A,0),8),2,0)</f>
        <v>38.993700000000004</v>
      </c>
      <c r="F251" s="137">
        <f t="shared" ca="1" si="19"/>
        <v>2339.6220000000003</v>
      </c>
      <c r="G251" s="138">
        <f>BDI!$B$17</f>
        <v>0.191</v>
      </c>
      <c r="H251" s="139">
        <f t="shared" ca="1" si="20"/>
        <v>46.44</v>
      </c>
      <c r="I251" s="137">
        <f t="shared" ca="1" si="21"/>
        <v>2786.4</v>
      </c>
      <c r="J251" s="117"/>
      <c r="K251" s="253">
        <v>60</v>
      </c>
      <c r="L251" s="236" t="str">
        <f t="shared" si="22"/>
        <v>-</v>
      </c>
      <c r="M251" s="136">
        <f ca="1">OFFSET(INDEX(Composições!A:S,MATCH(A251,Composições!A:A,0),15),2,0)</f>
        <v>33.378607199999998</v>
      </c>
      <c r="N251" s="237">
        <v>0.191</v>
      </c>
      <c r="O251" s="236">
        <f t="shared" ca="1" si="23"/>
        <v>39.75</v>
      </c>
      <c r="P251" s="238">
        <f t="shared" ca="1" si="24"/>
        <v>2385</v>
      </c>
      <c r="Q251" s="236">
        <v>2385</v>
      </c>
      <c r="R251" s="236">
        <f t="shared" ca="1" si="25"/>
        <v>0</v>
      </c>
      <c r="S251" s="239">
        <f t="shared" ca="1" si="26"/>
        <v>0.14405684754521964</v>
      </c>
    </row>
    <row r="252" spans="1:19" hidden="1" x14ac:dyDescent="0.25">
      <c r="A252" s="114" t="s">
        <v>383</v>
      </c>
      <c r="B252" s="115" t="s">
        <v>1483</v>
      </c>
      <c r="C252" s="116" t="s">
        <v>69</v>
      </c>
      <c r="D252" s="116">
        <v>0</v>
      </c>
      <c r="E252" s="136">
        <f ca="1">OFFSET(INDEX(Composições!A:J,MATCH(Orçamentária!A252,Composições!A:A,0),8),2,0)</f>
        <v>37.064250000000001</v>
      </c>
      <c r="F252" s="137">
        <f t="shared" ca="1" si="19"/>
        <v>0</v>
      </c>
      <c r="G252" s="138" t="e">
        <f>IF(A252&lt;&gt;"",IF(AND(#REF!="Padrão",$H$4=#REF!),BDI!$B$17,IF(AND(#REF!="Padrão",$H$4=#REF!),BDI!#REF!,IF(AND(#REF!="Diferenciado",$H$4=#REF!),BDI!$E$17,IF(AND(#REF!="Diferenciado",$H$4=#REF!),BDI!#REF!,IF(#REF!="ZERO",0))))),"")</f>
        <v>#REF!</v>
      </c>
      <c r="H252" s="139" t="e">
        <f t="shared" ca="1" si="20"/>
        <v>#REF!</v>
      </c>
      <c r="I252" s="137" t="e">
        <f t="shared" ca="1" si="21"/>
        <v>#REF!</v>
      </c>
      <c r="J252" s="117"/>
      <c r="K252" s="116">
        <v>0</v>
      </c>
      <c r="M252" s="136" t="e">
        <f ca="1">OFFSET(INDEX([1]Composições!I:R,MATCH([1]Orçamentária!I252,[1]Composições!I:I,0),8),2,0)</f>
        <v>#REF!</v>
      </c>
      <c r="N252" t="e">
        <v>#REF!</v>
      </c>
      <c r="Q252" t="e">
        <v>#REF!</v>
      </c>
    </row>
    <row r="253" spans="1:19" hidden="1" x14ac:dyDescent="0.25">
      <c r="A253" s="114" t="s">
        <v>386</v>
      </c>
      <c r="B253" s="115" t="s">
        <v>1484</v>
      </c>
      <c r="C253" s="116" t="s">
        <v>69</v>
      </c>
      <c r="D253" s="116">
        <v>0</v>
      </c>
      <c r="E253" s="136">
        <f ca="1">OFFSET(INDEX(Composições!A:J,MATCH(Orçamentária!A253,Composições!A:A,0),8),2,0)</f>
        <v>24.709499999999998</v>
      </c>
      <c r="F253" s="137">
        <f t="shared" ca="1" si="19"/>
        <v>0</v>
      </c>
      <c r="G253" s="138" t="e">
        <f>IF(A253&lt;&gt;"",IF(AND(#REF!="Padrão",$H$4=#REF!),BDI!$B$17,IF(AND(#REF!="Padrão",$H$4=#REF!),BDI!#REF!,IF(AND(#REF!="Diferenciado",$H$4=#REF!),BDI!$E$17,IF(AND(#REF!="Diferenciado",$H$4=#REF!),BDI!#REF!,IF(#REF!="ZERO",0))))),"")</f>
        <v>#REF!</v>
      </c>
      <c r="H253" s="139" t="e">
        <f t="shared" ca="1" si="20"/>
        <v>#REF!</v>
      </c>
      <c r="I253" s="137" t="e">
        <f t="shared" ca="1" si="21"/>
        <v>#REF!</v>
      </c>
      <c r="J253" s="117"/>
      <c r="K253" s="116">
        <v>0</v>
      </c>
      <c r="M253" s="136" t="e">
        <f ca="1">OFFSET(INDEX([1]Composições!I:R,MATCH([1]Orçamentária!I253,[1]Composições!I:I,0),8),2,0)</f>
        <v>#REF!</v>
      </c>
      <c r="N253" t="e">
        <v>#REF!</v>
      </c>
      <c r="Q253" t="e">
        <v>#REF!</v>
      </c>
    </row>
    <row r="254" spans="1:19" x14ac:dyDescent="0.25">
      <c r="A254" s="172" t="s">
        <v>388</v>
      </c>
      <c r="B254" s="173" t="s">
        <v>7593</v>
      </c>
      <c r="C254" s="174" t="s">
        <v>69</v>
      </c>
      <c r="D254" s="174">
        <v>30</v>
      </c>
      <c r="E254" s="136">
        <f ca="1">OFFSET(INDEX(Composições!A:J,MATCH(Orçamentária!A254,Composições!A:A,0),8),2,0)</f>
        <v>16.956635500000001</v>
      </c>
      <c r="F254" s="137">
        <f t="shared" ca="1" si="19"/>
        <v>508.69906500000002</v>
      </c>
      <c r="G254" s="138">
        <f>BDI!$B$17</f>
        <v>0.191</v>
      </c>
      <c r="H254" s="139">
        <f t="shared" ca="1" si="20"/>
        <v>20.2</v>
      </c>
      <c r="I254" s="137">
        <f t="shared" ca="1" si="21"/>
        <v>606</v>
      </c>
      <c r="J254" s="117"/>
      <c r="K254" s="253">
        <v>30</v>
      </c>
      <c r="L254" s="236" t="str">
        <f>IF(D254&lt;&gt;K254,"ERRO","-")</f>
        <v>-</v>
      </c>
      <c r="M254" s="136">
        <f ca="1">OFFSET(INDEX(Composições!A:S,MATCH(A254,Composições!A:A,0),15),2,0)</f>
        <v>14.514879988000001</v>
      </c>
      <c r="N254" s="237">
        <v>0.191</v>
      </c>
      <c r="O254" s="236">
        <f ca="1">ROUND(M254*(1+N254),2)</f>
        <v>17.29</v>
      </c>
      <c r="P254" s="238">
        <f ca="1">ROUND(K254*O254,2)</f>
        <v>518.70000000000005</v>
      </c>
      <c r="Q254" s="236">
        <v>518.70000000000005</v>
      </c>
      <c r="R254" s="236">
        <f ca="1">P254-Q254</f>
        <v>0</v>
      </c>
      <c r="S254" s="239">
        <f ca="1">IF(ISNUMBER(O254),1-P254/$I254,"")</f>
        <v>0.14405940594059397</v>
      </c>
    </row>
    <row r="255" spans="1:19" hidden="1" x14ac:dyDescent="0.25">
      <c r="A255" s="114" t="s">
        <v>390</v>
      </c>
      <c r="B255" s="115" t="s">
        <v>7594</v>
      </c>
      <c r="C255" s="116" t="s">
        <v>69</v>
      </c>
      <c r="D255" s="116">
        <v>0</v>
      </c>
      <c r="E255" s="136">
        <f ca="1">OFFSET(INDEX(Composições!A:J,MATCH(Orçamentária!A255,Composições!A:A,0),8),2,0)</f>
        <v>11.401605500000002</v>
      </c>
      <c r="F255" s="137">
        <f t="shared" ca="1" si="19"/>
        <v>0</v>
      </c>
      <c r="G255" s="138" t="e">
        <f>IF(A255&lt;&gt;"",IF(AND(#REF!="Padrão",$H$4=#REF!),BDI!$B$17,IF(AND(#REF!="Padrão",$H$4=#REF!),BDI!#REF!,IF(AND(#REF!="Diferenciado",$H$4=#REF!),BDI!$E$17,IF(AND(#REF!="Diferenciado",$H$4=#REF!),BDI!#REF!,IF(#REF!="ZERO",0))))),"")</f>
        <v>#REF!</v>
      </c>
      <c r="H255" s="139" t="e">
        <f t="shared" ca="1" si="20"/>
        <v>#REF!</v>
      </c>
      <c r="I255" s="137" t="e">
        <f t="shared" ca="1" si="21"/>
        <v>#REF!</v>
      </c>
      <c r="J255" s="117"/>
      <c r="K255" s="116">
        <v>0</v>
      </c>
      <c r="M255" s="136" t="e">
        <f ca="1">OFFSET(INDEX([1]Composições!I:R,MATCH([1]Orçamentária!I255,[1]Composições!I:I,0),8),2,0)</f>
        <v>#REF!</v>
      </c>
      <c r="N255" t="e">
        <v>#REF!</v>
      </c>
      <c r="Q255" t="e">
        <v>#REF!</v>
      </c>
    </row>
    <row r="256" spans="1:19" x14ac:dyDescent="0.25">
      <c r="A256" s="172" t="s">
        <v>391</v>
      </c>
      <c r="B256" s="173" t="s">
        <v>1485</v>
      </c>
      <c r="C256" s="174" t="s">
        <v>69</v>
      </c>
      <c r="D256" s="174">
        <v>28</v>
      </c>
      <c r="E256" s="136">
        <f ca="1">OFFSET(INDEX(Composições!A:J,MATCH(Orçamentária!A256,Composições!A:A,0),8),2,0)</f>
        <v>20.534668</v>
      </c>
      <c r="F256" s="137">
        <f t="shared" ca="1" si="19"/>
        <v>574.97070399999996</v>
      </c>
      <c r="G256" s="138">
        <f>BDI!$B$17</f>
        <v>0.191</v>
      </c>
      <c r="H256" s="139">
        <f t="shared" ca="1" si="20"/>
        <v>24.46</v>
      </c>
      <c r="I256" s="137">
        <f t="shared" ca="1" si="21"/>
        <v>684.88</v>
      </c>
      <c r="J256" s="117"/>
      <c r="K256" s="253">
        <v>28</v>
      </c>
      <c r="L256" s="236" t="str">
        <f>IF(D256&lt;&gt;K256,"ERRO","-")</f>
        <v>-</v>
      </c>
      <c r="M256" s="136">
        <f ca="1">OFFSET(INDEX(Composições!A:S,MATCH(A256,Composições!A:A,0),15),2,0)</f>
        <v>17.577675808000002</v>
      </c>
      <c r="N256" s="237">
        <v>0.191</v>
      </c>
      <c r="O256" s="236">
        <f ca="1">ROUND(M256*(1+N256),2)</f>
        <v>20.94</v>
      </c>
      <c r="P256" s="238">
        <f ca="1">ROUND(K256*O256,2)</f>
        <v>586.32000000000005</v>
      </c>
      <c r="Q256" s="236">
        <v>586.32000000000005</v>
      </c>
      <c r="R256" s="236">
        <f ca="1">P256-Q256</f>
        <v>0</v>
      </c>
      <c r="S256" s="239">
        <f ca="1">IF(ISNUMBER(O256),1-P256/$I256,"")</f>
        <v>0.14390842191332776</v>
      </c>
    </row>
    <row r="257" spans="1:19" hidden="1" x14ac:dyDescent="0.25">
      <c r="A257" s="114" t="s">
        <v>392</v>
      </c>
      <c r="B257" s="115" t="s">
        <v>1486</v>
      </c>
      <c r="C257" s="116" t="s">
        <v>69</v>
      </c>
      <c r="D257" s="116">
        <v>0</v>
      </c>
      <c r="E257" s="136">
        <f ca="1">OFFSET(INDEX(Composições!A:J,MATCH(Orçamentária!A257,Composições!A:A,0),8),2,0)</f>
        <v>15.926379499999999</v>
      </c>
      <c r="F257" s="137">
        <f t="shared" ca="1" si="19"/>
        <v>0</v>
      </c>
      <c r="G257" s="138" t="e">
        <f>IF(A257&lt;&gt;"",IF(AND(#REF!="Padrão",$H$4=#REF!),BDI!$B$17,IF(AND(#REF!="Padrão",$H$4=#REF!),BDI!#REF!,IF(AND(#REF!="Diferenciado",$H$4=#REF!),BDI!$E$17,IF(AND(#REF!="Diferenciado",$H$4=#REF!),BDI!#REF!,IF(#REF!="ZERO",0))))),"")</f>
        <v>#REF!</v>
      </c>
      <c r="H257" s="139" t="e">
        <f t="shared" ca="1" si="20"/>
        <v>#REF!</v>
      </c>
      <c r="I257" s="137" t="e">
        <f t="shared" ca="1" si="21"/>
        <v>#REF!</v>
      </c>
      <c r="J257" s="117"/>
      <c r="K257" s="116">
        <v>0</v>
      </c>
      <c r="M257" s="136" t="e">
        <f ca="1">OFFSET(INDEX([1]Composições!I:R,MATCH([1]Orçamentária!I257,[1]Composições!I:I,0),8),2,0)</f>
        <v>#REF!</v>
      </c>
      <c r="N257" t="e">
        <v>#REF!</v>
      </c>
      <c r="Q257" t="e">
        <v>#REF!</v>
      </c>
    </row>
    <row r="258" spans="1:19" x14ac:dyDescent="0.25">
      <c r="A258" s="172" t="s">
        <v>393</v>
      </c>
      <c r="B258" s="173" t="s">
        <v>7595</v>
      </c>
      <c r="C258" s="174" t="s">
        <v>69</v>
      </c>
      <c r="D258" s="174">
        <v>110</v>
      </c>
      <c r="E258" s="136">
        <f ca="1">OFFSET(INDEX(Composições!A:J,MATCH(Orçamentária!A258,Composições!A:A,0),8),2,0)</f>
        <v>79.041202349999992</v>
      </c>
      <c r="F258" s="137">
        <f t="shared" ca="1" si="19"/>
        <v>8694.5322584999994</v>
      </c>
      <c r="G258" s="138">
        <f>BDI!$B$17</f>
        <v>0.191</v>
      </c>
      <c r="H258" s="139">
        <f t="shared" ca="1" si="20"/>
        <v>94.14</v>
      </c>
      <c r="I258" s="137">
        <f t="shared" ca="1" si="21"/>
        <v>10355.4</v>
      </c>
      <c r="J258" s="117"/>
      <c r="K258" s="253">
        <v>110</v>
      </c>
      <c r="L258" s="236" t="str">
        <f>IF(D258&lt;&gt;K258,"ERRO","-")</f>
        <v>-</v>
      </c>
      <c r="M258" s="136">
        <f ca="1">OFFSET(INDEX(Composições!A:S,MATCH(A258,Composições!A:A,0),15),2,0)</f>
        <v>67.659269211600005</v>
      </c>
      <c r="N258" s="237">
        <v>0.191</v>
      </c>
      <c r="O258" s="236">
        <f ca="1">ROUND(M258*(1+N258),2)</f>
        <v>80.58</v>
      </c>
      <c r="P258" s="238">
        <f ca="1">ROUND(K258*O258,2)</f>
        <v>8863.7999999999993</v>
      </c>
      <c r="Q258" s="236">
        <v>8863.7999999999993</v>
      </c>
      <c r="R258" s="236">
        <f ca="1">P258-Q258</f>
        <v>0</v>
      </c>
      <c r="S258" s="239">
        <f ca="1">IF(ISNUMBER(O258),1-P258/$I258,"")</f>
        <v>0.14404079031230088</v>
      </c>
    </row>
    <row r="259" spans="1:19" hidden="1" x14ac:dyDescent="0.25">
      <c r="A259" s="114" t="s">
        <v>398</v>
      </c>
      <c r="B259" s="115" t="s">
        <v>7596</v>
      </c>
      <c r="C259" s="116" t="s">
        <v>16</v>
      </c>
      <c r="D259" s="116">
        <v>0</v>
      </c>
      <c r="E259" s="136">
        <f ca="1">OFFSET(INDEX(Composições!A:J,MATCH(Orçamentária!A259,Composições!A:A,0),8),2,0)</f>
        <v>7.3419799999999995</v>
      </c>
      <c r="F259" s="137">
        <f t="shared" ca="1" si="19"/>
        <v>0</v>
      </c>
      <c r="G259" s="138" t="e">
        <f>IF(A259&lt;&gt;"",IF(AND(#REF!="Padrão",$H$4=#REF!),BDI!$B$17,IF(AND(#REF!="Padrão",$H$4=#REF!),BDI!#REF!,IF(AND(#REF!="Diferenciado",$H$4=#REF!),BDI!$E$17,IF(AND(#REF!="Diferenciado",$H$4=#REF!),BDI!#REF!,IF(#REF!="ZERO",0))))),"")</f>
        <v>#REF!</v>
      </c>
      <c r="H259" s="139" t="e">
        <f t="shared" ca="1" si="20"/>
        <v>#REF!</v>
      </c>
      <c r="I259" s="137" t="e">
        <f t="shared" ca="1" si="21"/>
        <v>#REF!</v>
      </c>
      <c r="J259" s="117"/>
      <c r="K259" s="116">
        <v>0</v>
      </c>
      <c r="M259" s="136" t="e">
        <f ca="1">OFFSET(INDEX([1]Composições!I:R,MATCH([1]Orçamentária!I259,[1]Composições!I:I,0),8),2,0)</f>
        <v>#REF!</v>
      </c>
      <c r="N259" t="e">
        <v>#REF!</v>
      </c>
      <c r="Q259" t="e">
        <v>#REF!</v>
      </c>
    </row>
    <row r="260" spans="1:19" hidden="1" x14ac:dyDescent="0.25">
      <c r="A260" s="114" t="s">
        <v>399</v>
      </c>
      <c r="B260" s="115" t="s">
        <v>7597</v>
      </c>
      <c r="C260" s="116" t="s">
        <v>16</v>
      </c>
      <c r="D260" s="116">
        <v>0</v>
      </c>
      <c r="E260" s="136">
        <f ca="1">OFFSET(INDEX(Composições!A:J,MATCH(Orçamentária!A260,Composições!A:A,0),8),2,0)</f>
        <v>12.166839999999999</v>
      </c>
      <c r="F260" s="137">
        <f t="shared" ca="1" si="19"/>
        <v>0</v>
      </c>
      <c r="G260" s="138" t="e">
        <f>IF(A260&lt;&gt;"",IF(AND(#REF!="Padrão",$H$4=#REF!),BDI!$B$17,IF(AND(#REF!="Padrão",$H$4=#REF!),BDI!#REF!,IF(AND(#REF!="Diferenciado",$H$4=#REF!),BDI!$E$17,IF(AND(#REF!="Diferenciado",$H$4=#REF!),BDI!#REF!,IF(#REF!="ZERO",0))))),"")</f>
        <v>#REF!</v>
      </c>
      <c r="H260" s="139" t="e">
        <f t="shared" ca="1" si="20"/>
        <v>#REF!</v>
      </c>
      <c r="I260" s="137" t="e">
        <f t="shared" ca="1" si="21"/>
        <v>#REF!</v>
      </c>
      <c r="J260" s="117"/>
      <c r="K260" s="116">
        <v>0</v>
      </c>
      <c r="M260" s="136" t="e">
        <f ca="1">OFFSET(INDEX([1]Composições!I:R,MATCH([1]Orçamentária!I260,[1]Composições!I:I,0),8),2,0)</f>
        <v>#REF!</v>
      </c>
      <c r="N260" t="e">
        <v>#REF!</v>
      </c>
      <c r="Q260" t="e">
        <v>#REF!</v>
      </c>
    </row>
    <row r="261" spans="1:19" hidden="1" x14ac:dyDescent="0.25">
      <c r="A261" s="114" t="s">
        <v>400</v>
      </c>
      <c r="B261" s="115" t="s">
        <v>401</v>
      </c>
      <c r="C261" s="116" t="s">
        <v>16</v>
      </c>
      <c r="D261" s="116">
        <v>0</v>
      </c>
      <c r="E261" s="136">
        <f ca="1">OFFSET(INDEX(Composições!A:J,MATCH(Orçamentária!A261,Composições!A:A,0),8),2,0)</f>
        <v>5.6308399999999992</v>
      </c>
      <c r="F261" s="137">
        <f t="shared" ca="1" si="19"/>
        <v>0</v>
      </c>
      <c r="G261" s="138" t="e">
        <f>IF(A261&lt;&gt;"",IF(AND(#REF!="Padrão",$H$4=#REF!),BDI!$B$17,IF(AND(#REF!="Padrão",$H$4=#REF!),BDI!#REF!,IF(AND(#REF!="Diferenciado",$H$4=#REF!),BDI!$E$17,IF(AND(#REF!="Diferenciado",$H$4=#REF!),BDI!#REF!,IF(#REF!="ZERO",0))))),"")</f>
        <v>#REF!</v>
      </c>
      <c r="H261" s="139" t="e">
        <f t="shared" ca="1" si="20"/>
        <v>#REF!</v>
      </c>
      <c r="I261" s="137" t="e">
        <f t="shared" ca="1" si="21"/>
        <v>#REF!</v>
      </c>
      <c r="J261" s="117"/>
      <c r="K261" s="116">
        <v>0</v>
      </c>
      <c r="M261" s="136" t="e">
        <f ca="1">OFFSET(INDEX([1]Composições!I:R,MATCH([1]Orçamentária!I261,[1]Composições!I:I,0),8),2,0)</f>
        <v>#REF!</v>
      </c>
      <c r="N261" t="e">
        <v>#REF!</v>
      </c>
      <c r="Q261" t="e">
        <v>#REF!</v>
      </c>
    </row>
    <row r="262" spans="1:19" x14ac:dyDescent="0.25">
      <c r="A262" s="172" t="s">
        <v>402</v>
      </c>
      <c r="B262" s="173" t="s">
        <v>1487</v>
      </c>
      <c r="C262" s="174" t="s">
        <v>16</v>
      </c>
      <c r="D262" s="174">
        <v>31</v>
      </c>
      <c r="E262" s="136">
        <f ca="1">OFFSET(INDEX(Composições!A:J,MATCH(Orçamentária!A262,Composições!A:A,0),8),2,0)</f>
        <v>28.12285</v>
      </c>
      <c r="F262" s="137">
        <f t="shared" ca="1" si="19"/>
        <v>871.80835000000002</v>
      </c>
      <c r="G262" s="138">
        <f>BDI!$B$17</f>
        <v>0.191</v>
      </c>
      <c r="H262" s="139">
        <f t="shared" ca="1" si="20"/>
        <v>33.49</v>
      </c>
      <c r="I262" s="137">
        <f t="shared" ca="1" si="21"/>
        <v>1038.19</v>
      </c>
      <c r="J262" s="117"/>
      <c r="K262" s="253">
        <v>31</v>
      </c>
      <c r="L262" s="236" t="str">
        <f>IF(D262&lt;&gt;K262,"ERRO","-")</f>
        <v>-</v>
      </c>
      <c r="M262" s="136">
        <f ca="1">OFFSET(INDEX(Composições!A:S,MATCH(A262,Composições!A:A,0),15),2,0)</f>
        <v>24.073159600000004</v>
      </c>
      <c r="N262" s="237">
        <v>0.191</v>
      </c>
      <c r="O262" s="236">
        <f ca="1">ROUND(M262*(1+N262),2)</f>
        <v>28.67</v>
      </c>
      <c r="P262" s="238">
        <f ca="1">ROUND(K262*O262,2)</f>
        <v>888.77</v>
      </c>
      <c r="Q262" s="236">
        <v>888.77</v>
      </c>
      <c r="R262" s="236">
        <f ca="1">P262-Q262</f>
        <v>0</v>
      </c>
      <c r="S262" s="239">
        <f ca="1">IF(ISNUMBER(O262),1-P262/$I262,"")</f>
        <v>0.14392355927142442</v>
      </c>
    </row>
    <row r="263" spans="1:19" hidden="1" x14ac:dyDescent="0.25">
      <c r="A263" s="114" t="s">
        <v>405</v>
      </c>
      <c r="B263" s="115" t="s">
        <v>406</v>
      </c>
      <c r="C263" s="116" t="s">
        <v>16</v>
      </c>
      <c r="D263" s="116">
        <v>0</v>
      </c>
      <c r="E263" s="136">
        <f ca="1">OFFSET(INDEX(Composições!A:J,MATCH(Orçamentária!A263,Composições!A:A,0),8),2,0)</f>
        <v>2.7835000000000001</v>
      </c>
      <c r="F263" s="137">
        <f t="shared" ref="F263:F326" ca="1" si="27">IF(ISNUMBER(E263),D263*E263,"")</f>
        <v>0</v>
      </c>
      <c r="G263" s="138" t="e">
        <f>IF(A263&lt;&gt;"",IF(AND(#REF!="Padrão",$H$4=#REF!),BDI!$B$17,IF(AND(#REF!="Padrão",$H$4=#REF!),BDI!#REF!,IF(AND(#REF!="Diferenciado",$H$4=#REF!),BDI!$E$17,IF(AND(#REF!="Diferenciado",$H$4=#REF!),BDI!#REF!,IF(#REF!="ZERO",0))))),"")</f>
        <v>#REF!</v>
      </c>
      <c r="H263" s="139" t="e">
        <f t="shared" ref="H263:H326" ca="1" si="28">IF(ISNUMBER(E263),ROUND(E263*(1+G263),2),"")</f>
        <v>#REF!</v>
      </c>
      <c r="I263" s="137" t="e">
        <f t="shared" ref="I263:I326" ca="1" si="29">IF(ISNUMBER(E263),ROUND(H263*D263,2),"")</f>
        <v>#REF!</v>
      </c>
      <c r="J263" s="117"/>
      <c r="K263" s="116">
        <v>0</v>
      </c>
      <c r="M263" s="136" t="e">
        <f ca="1">OFFSET(INDEX([1]Composições!I:R,MATCH([1]Orçamentária!I263,[1]Composições!I:I,0),8),2,0)</f>
        <v>#REF!</v>
      </c>
      <c r="N263" t="e">
        <v>#REF!</v>
      </c>
      <c r="Q263" t="e">
        <v>#REF!</v>
      </c>
    </row>
    <row r="264" spans="1:19" hidden="1" x14ac:dyDescent="0.25">
      <c r="A264" s="114" t="s">
        <v>407</v>
      </c>
      <c r="B264" s="115" t="s">
        <v>1488</v>
      </c>
      <c r="C264" s="116" t="s">
        <v>16</v>
      </c>
      <c r="D264" s="116">
        <v>0</v>
      </c>
      <c r="E264" s="136">
        <f ca="1">OFFSET(INDEX(Composições!A:J,MATCH(Orçamentária!A264,Composições!A:A,0),8),2,0)</f>
        <v>25.110551999999998</v>
      </c>
      <c r="F264" s="137">
        <f t="shared" ca="1" si="27"/>
        <v>0</v>
      </c>
      <c r="G264" s="138" t="e">
        <f>IF(A264&lt;&gt;"",IF(AND(#REF!="Padrão",$H$4=#REF!),BDI!$B$17,IF(AND(#REF!="Padrão",$H$4=#REF!),BDI!#REF!,IF(AND(#REF!="Diferenciado",$H$4=#REF!),BDI!$E$17,IF(AND(#REF!="Diferenciado",$H$4=#REF!),BDI!#REF!,IF(#REF!="ZERO",0))))),"")</f>
        <v>#REF!</v>
      </c>
      <c r="H264" s="139" t="e">
        <f t="shared" ca="1" si="28"/>
        <v>#REF!</v>
      </c>
      <c r="I264" s="137" t="e">
        <f t="shared" ca="1" si="29"/>
        <v>#REF!</v>
      </c>
      <c r="J264" s="117"/>
      <c r="K264" s="116">
        <v>0</v>
      </c>
      <c r="M264" s="136" t="e">
        <f ca="1">OFFSET(INDEX([1]Composições!I:R,MATCH([1]Orçamentária!I264,[1]Composições!I:I,0),8),2,0)</f>
        <v>#REF!</v>
      </c>
      <c r="N264" t="e">
        <v>#REF!</v>
      </c>
      <c r="Q264" t="e">
        <v>#REF!</v>
      </c>
    </row>
    <row r="265" spans="1:19" hidden="1" x14ac:dyDescent="0.25">
      <c r="A265" s="114" t="s">
        <v>408</v>
      </c>
      <c r="B265" s="115" t="s">
        <v>1489</v>
      </c>
      <c r="C265" s="116" t="s">
        <v>16</v>
      </c>
      <c r="D265" s="116">
        <v>0</v>
      </c>
      <c r="E265" s="136">
        <f ca="1">OFFSET(INDEX(Composições!A:J,MATCH(Orçamentária!A265,Composições!A:A,0),8),2,0)</f>
        <v>18.709775</v>
      </c>
      <c r="F265" s="137">
        <f t="shared" ca="1" si="27"/>
        <v>0</v>
      </c>
      <c r="G265" s="138" t="e">
        <f>IF(A265&lt;&gt;"",IF(AND(#REF!="Padrão",$H$4=#REF!),BDI!$B$17,IF(AND(#REF!="Padrão",$H$4=#REF!),BDI!#REF!,IF(AND(#REF!="Diferenciado",$H$4=#REF!),BDI!$E$17,IF(AND(#REF!="Diferenciado",$H$4=#REF!),BDI!#REF!,IF(#REF!="ZERO",0))))),"")</f>
        <v>#REF!</v>
      </c>
      <c r="H265" s="139" t="e">
        <f t="shared" ca="1" si="28"/>
        <v>#REF!</v>
      </c>
      <c r="I265" s="137" t="e">
        <f t="shared" ca="1" si="29"/>
        <v>#REF!</v>
      </c>
      <c r="J265" s="117"/>
      <c r="K265" s="116">
        <v>0</v>
      </c>
      <c r="M265" s="136" t="e">
        <f ca="1">OFFSET(INDEX([1]Composições!I:R,MATCH([1]Orçamentária!I265,[1]Composições!I:I,0),8),2,0)</f>
        <v>#REF!</v>
      </c>
      <c r="N265" t="e">
        <v>#REF!</v>
      </c>
      <c r="Q265" t="e">
        <v>#REF!</v>
      </c>
    </row>
    <row r="266" spans="1:19" x14ac:dyDescent="0.25">
      <c r="A266" s="172" t="s">
        <v>409</v>
      </c>
      <c r="B266" s="173" t="s">
        <v>410</v>
      </c>
      <c r="C266" s="174" t="s">
        <v>16</v>
      </c>
      <c r="D266" s="174">
        <v>21</v>
      </c>
      <c r="E266" s="136">
        <f ca="1">OFFSET(INDEX(Composições!A:J,MATCH(Orçamentária!A266,Composições!A:A,0),8),2,0)</f>
        <v>5.5335000000000001</v>
      </c>
      <c r="F266" s="137">
        <f t="shared" ca="1" si="27"/>
        <v>116.20350000000001</v>
      </c>
      <c r="G266" s="138">
        <f>BDI!$B$17</f>
        <v>0.191</v>
      </c>
      <c r="H266" s="139">
        <f t="shared" ca="1" si="28"/>
        <v>6.59</v>
      </c>
      <c r="I266" s="137">
        <f t="shared" ca="1" si="29"/>
        <v>138.38999999999999</v>
      </c>
      <c r="J266" s="117"/>
      <c r="K266" s="253">
        <v>21</v>
      </c>
      <c r="L266" s="236" t="str">
        <f>IF(D266&lt;&gt;K266,"ERRO","-")</f>
        <v>-</v>
      </c>
      <c r="M266" s="136">
        <f ca="1">OFFSET(INDEX(Composições!A:S,MATCH(A266,Composições!A:A,0),15),2,0)</f>
        <v>4.7366760000000001</v>
      </c>
      <c r="N266" s="237">
        <v>0.191</v>
      </c>
      <c r="O266" s="236">
        <f ca="1">ROUND(M266*(1+N266),2)</f>
        <v>5.64</v>
      </c>
      <c r="P266" s="238">
        <f ca="1">ROUND(K266*O266,2)</f>
        <v>118.44</v>
      </c>
      <c r="Q266" s="236">
        <v>118.44</v>
      </c>
      <c r="R266" s="236">
        <f ca="1">P266-Q266</f>
        <v>0</v>
      </c>
      <c r="S266" s="239">
        <f ca="1">IF(ISNUMBER(O266),1-P266/$I266,"")</f>
        <v>0.14415781487101664</v>
      </c>
    </row>
    <row r="267" spans="1:19" hidden="1" x14ac:dyDescent="0.25">
      <c r="A267" s="114" t="s">
        <v>411</v>
      </c>
      <c r="B267" s="115" t="s">
        <v>412</v>
      </c>
      <c r="C267" s="116" t="s">
        <v>16</v>
      </c>
      <c r="D267" s="116">
        <v>0</v>
      </c>
      <c r="E267" s="136">
        <f ca="1">OFFSET(INDEX(Composições!A:J,MATCH(Orçamentária!A267,Composições!A:A,0),8),2,0)</f>
        <v>15.221052</v>
      </c>
      <c r="F267" s="137">
        <f t="shared" ca="1" si="27"/>
        <v>0</v>
      </c>
      <c r="G267" s="138" t="e">
        <f>IF(A267&lt;&gt;"",IF(AND(#REF!="Padrão",$H$4=#REF!),BDI!$B$17,IF(AND(#REF!="Padrão",$H$4=#REF!),BDI!#REF!,IF(AND(#REF!="Diferenciado",$H$4=#REF!),BDI!$E$17,IF(AND(#REF!="Diferenciado",$H$4=#REF!),BDI!#REF!,IF(#REF!="ZERO",0))))),"")</f>
        <v>#REF!</v>
      </c>
      <c r="H267" s="139" t="e">
        <f t="shared" ca="1" si="28"/>
        <v>#REF!</v>
      </c>
      <c r="I267" s="137" t="e">
        <f t="shared" ca="1" si="29"/>
        <v>#REF!</v>
      </c>
      <c r="J267" s="117"/>
      <c r="K267" s="116">
        <v>0</v>
      </c>
      <c r="M267" s="136" t="e">
        <f ca="1">OFFSET(INDEX([1]Composições!I:R,MATCH([1]Orçamentária!I267,[1]Composições!I:I,0),8),2,0)</f>
        <v>#REF!</v>
      </c>
      <c r="N267" t="e">
        <v>#REF!</v>
      </c>
      <c r="Q267" t="e">
        <v>#REF!</v>
      </c>
    </row>
    <row r="268" spans="1:19" hidden="1" x14ac:dyDescent="0.25">
      <c r="A268" s="114" t="s">
        <v>413</v>
      </c>
      <c r="B268" s="115" t="s">
        <v>1490</v>
      </c>
      <c r="C268" s="116" t="s">
        <v>16</v>
      </c>
      <c r="D268" s="116">
        <v>0</v>
      </c>
      <c r="E268" s="136">
        <f ca="1">OFFSET(INDEX(Composições!A:J,MATCH(Orçamentária!A268,Composições!A:A,0),8),2,0)</f>
        <v>20.258465000000001</v>
      </c>
      <c r="F268" s="137">
        <f t="shared" ca="1" si="27"/>
        <v>0</v>
      </c>
      <c r="G268" s="138" t="e">
        <f>IF(A268&lt;&gt;"",IF(AND(#REF!="Padrão",$H$4=#REF!),BDI!$B$17,IF(AND(#REF!="Padrão",$H$4=#REF!),BDI!#REF!,IF(AND(#REF!="Diferenciado",$H$4=#REF!),BDI!$E$17,IF(AND(#REF!="Diferenciado",$H$4=#REF!),BDI!#REF!,IF(#REF!="ZERO",0))))),"")</f>
        <v>#REF!</v>
      </c>
      <c r="H268" s="139" t="e">
        <f t="shared" ca="1" si="28"/>
        <v>#REF!</v>
      </c>
      <c r="I268" s="137" t="e">
        <f t="shared" ca="1" si="29"/>
        <v>#REF!</v>
      </c>
      <c r="J268" s="117"/>
      <c r="K268" s="116">
        <v>0</v>
      </c>
      <c r="M268" s="136" t="e">
        <f ca="1">OFFSET(INDEX([1]Composições!I:R,MATCH([1]Orçamentária!I268,[1]Composições!I:I,0),8),2,0)</f>
        <v>#REF!</v>
      </c>
      <c r="N268" t="e">
        <v>#REF!</v>
      </c>
      <c r="Q268" t="e">
        <v>#REF!</v>
      </c>
    </row>
    <row r="269" spans="1:19" hidden="1" x14ac:dyDescent="0.25">
      <c r="A269" s="114" t="s">
        <v>414</v>
      </c>
      <c r="B269" s="115" t="s">
        <v>1491</v>
      </c>
      <c r="C269" s="116" t="s">
        <v>16</v>
      </c>
      <c r="D269" s="116">
        <v>0</v>
      </c>
      <c r="E269" s="136">
        <f ca="1">OFFSET(INDEX(Composições!A:J,MATCH(Orçamentária!A269,Composições!A:A,0),8),2,0)</f>
        <v>22.671465000000001</v>
      </c>
      <c r="F269" s="137">
        <f t="shared" ca="1" si="27"/>
        <v>0</v>
      </c>
      <c r="G269" s="138" t="e">
        <f>IF(A269&lt;&gt;"",IF(AND(#REF!="Padrão",$H$4=#REF!),BDI!$B$17,IF(AND(#REF!="Padrão",$H$4=#REF!),BDI!#REF!,IF(AND(#REF!="Diferenciado",$H$4=#REF!),BDI!$E$17,IF(AND(#REF!="Diferenciado",$H$4=#REF!),BDI!#REF!,IF(#REF!="ZERO",0))))),"")</f>
        <v>#REF!</v>
      </c>
      <c r="H269" s="139" t="e">
        <f t="shared" ca="1" si="28"/>
        <v>#REF!</v>
      </c>
      <c r="I269" s="137" t="e">
        <f t="shared" ca="1" si="29"/>
        <v>#REF!</v>
      </c>
      <c r="J269" s="117"/>
      <c r="K269" s="116">
        <v>0</v>
      </c>
      <c r="M269" s="136" t="e">
        <f ca="1">OFFSET(INDEX([1]Composições!I:R,MATCH([1]Orçamentária!I269,[1]Composições!I:I,0),8),2,0)</f>
        <v>#REF!</v>
      </c>
      <c r="N269" t="e">
        <v>#REF!</v>
      </c>
      <c r="Q269" t="e">
        <v>#REF!</v>
      </c>
    </row>
    <row r="270" spans="1:19" hidden="1" x14ac:dyDescent="0.25">
      <c r="A270" s="114" t="s">
        <v>415</v>
      </c>
      <c r="B270" s="115" t="s">
        <v>417</v>
      </c>
      <c r="C270" s="116" t="s">
        <v>16</v>
      </c>
      <c r="D270" s="116">
        <v>0</v>
      </c>
      <c r="E270" s="136">
        <f ca="1">OFFSET(INDEX(Composições!A:J,MATCH(Orçamentária!A270,Composições!A:A,0),8),2,0)</f>
        <v>8.6483249999999998</v>
      </c>
      <c r="F270" s="137">
        <f t="shared" ca="1" si="27"/>
        <v>0</v>
      </c>
      <c r="G270" s="138" t="e">
        <f>IF(A270&lt;&gt;"",IF(AND(#REF!="Padrão",$H$4=#REF!),BDI!$B$17,IF(AND(#REF!="Padrão",$H$4=#REF!),BDI!#REF!,IF(AND(#REF!="Diferenciado",$H$4=#REF!),BDI!$E$17,IF(AND(#REF!="Diferenciado",$H$4=#REF!),BDI!#REF!,IF(#REF!="ZERO",0))))),"")</f>
        <v>#REF!</v>
      </c>
      <c r="H270" s="139" t="e">
        <f t="shared" ca="1" si="28"/>
        <v>#REF!</v>
      </c>
      <c r="I270" s="137" t="e">
        <f t="shared" ca="1" si="29"/>
        <v>#REF!</v>
      </c>
      <c r="J270" s="117"/>
      <c r="K270" s="116">
        <v>0</v>
      </c>
      <c r="M270" s="136" t="e">
        <f ca="1">OFFSET(INDEX([1]Composições!I:R,MATCH([1]Orçamentária!I270,[1]Composições!I:I,0),8),2,0)</f>
        <v>#REF!</v>
      </c>
      <c r="N270" t="e">
        <v>#REF!</v>
      </c>
      <c r="Q270" t="e">
        <v>#REF!</v>
      </c>
    </row>
    <row r="271" spans="1:19" hidden="1" x14ac:dyDescent="0.25">
      <c r="A271" s="114" t="s">
        <v>418</v>
      </c>
      <c r="B271" s="115" t="s">
        <v>7598</v>
      </c>
      <c r="C271" s="116" t="s">
        <v>16</v>
      </c>
      <c r="D271" s="116">
        <v>0</v>
      </c>
      <c r="E271" s="136">
        <f ca="1">OFFSET(INDEX(Composições!A:J,MATCH(Orçamentária!A271,Composições!A:A,0),8),2,0)</f>
        <v>2.1583999999999999</v>
      </c>
      <c r="F271" s="137">
        <f t="shared" ca="1" si="27"/>
        <v>0</v>
      </c>
      <c r="G271" s="138" t="e">
        <f>IF(A271&lt;&gt;"",IF(AND(#REF!="Padrão",$H$4=#REF!),BDI!$B$17,IF(AND(#REF!="Padrão",$H$4=#REF!),BDI!#REF!,IF(AND(#REF!="Diferenciado",$H$4=#REF!),BDI!$E$17,IF(AND(#REF!="Diferenciado",$H$4=#REF!),BDI!#REF!,IF(#REF!="ZERO",0))))),"")</f>
        <v>#REF!</v>
      </c>
      <c r="H271" s="139" t="e">
        <f t="shared" ca="1" si="28"/>
        <v>#REF!</v>
      </c>
      <c r="I271" s="137" t="e">
        <f t="shared" ca="1" si="29"/>
        <v>#REF!</v>
      </c>
      <c r="J271" s="117"/>
      <c r="K271" s="116">
        <v>0</v>
      </c>
      <c r="M271" s="136" t="e">
        <f ca="1">OFFSET(INDEX([1]Composições!I:R,MATCH([1]Orçamentária!I271,[1]Composições!I:I,0),8),2,0)</f>
        <v>#REF!</v>
      </c>
      <c r="N271" t="e">
        <v>#REF!</v>
      </c>
      <c r="Q271" t="e">
        <v>#REF!</v>
      </c>
    </row>
    <row r="272" spans="1:19" hidden="1" x14ac:dyDescent="0.25">
      <c r="A272" s="114" t="s">
        <v>420</v>
      </c>
      <c r="B272" s="115" t="s">
        <v>7599</v>
      </c>
      <c r="C272" s="116" t="s">
        <v>16</v>
      </c>
      <c r="D272" s="116">
        <v>0</v>
      </c>
      <c r="E272" s="136">
        <f ca="1">OFFSET(INDEX(Composições!A:J,MATCH(Orçamentária!A272,Composições!A:A,0),8),2,0)</f>
        <v>2.1583999999999999</v>
      </c>
      <c r="F272" s="137">
        <f t="shared" ca="1" si="27"/>
        <v>0</v>
      </c>
      <c r="G272" s="138" t="e">
        <f>IF(A272&lt;&gt;"",IF(AND(#REF!="Padrão",$H$4=#REF!),BDI!$B$17,IF(AND(#REF!="Padrão",$H$4=#REF!),BDI!#REF!,IF(AND(#REF!="Diferenciado",$H$4=#REF!),BDI!$E$17,IF(AND(#REF!="Diferenciado",$H$4=#REF!),BDI!#REF!,IF(#REF!="ZERO",0))))),"")</f>
        <v>#REF!</v>
      </c>
      <c r="H272" s="139" t="e">
        <f t="shared" ca="1" si="28"/>
        <v>#REF!</v>
      </c>
      <c r="I272" s="137" t="e">
        <f t="shared" ca="1" si="29"/>
        <v>#REF!</v>
      </c>
      <c r="J272" s="117"/>
      <c r="K272" s="116">
        <v>0</v>
      </c>
      <c r="M272" s="136" t="e">
        <f ca="1">OFFSET(INDEX([1]Composições!I:R,MATCH([1]Orçamentária!I272,[1]Composições!I:I,0),8),2,0)</f>
        <v>#REF!</v>
      </c>
      <c r="N272" t="e">
        <v>#REF!</v>
      </c>
      <c r="Q272" t="e">
        <v>#REF!</v>
      </c>
    </row>
    <row r="273" spans="1:19" hidden="1" x14ac:dyDescent="0.25">
      <c r="A273" s="114" t="s">
        <v>422</v>
      </c>
      <c r="B273" s="115" t="s">
        <v>1492</v>
      </c>
      <c r="C273" s="116" t="s">
        <v>16</v>
      </c>
      <c r="D273" s="116">
        <v>0</v>
      </c>
      <c r="E273" s="136">
        <f ca="1">OFFSET(INDEX(Composições!A:J,MATCH(Orçamentária!A273,Composições!A:A,0),8),2,0)</f>
        <v>3.2376</v>
      </c>
      <c r="F273" s="137">
        <f t="shared" ca="1" si="27"/>
        <v>0</v>
      </c>
      <c r="G273" s="138" t="e">
        <f>IF(A273&lt;&gt;"",IF(AND(#REF!="Padrão",$H$4=#REF!),BDI!$B$17,IF(AND(#REF!="Padrão",$H$4=#REF!),BDI!#REF!,IF(AND(#REF!="Diferenciado",$H$4=#REF!),BDI!$E$17,IF(AND(#REF!="Diferenciado",$H$4=#REF!),BDI!#REF!,IF(#REF!="ZERO",0))))),"")</f>
        <v>#REF!</v>
      </c>
      <c r="H273" s="139" t="e">
        <f t="shared" ca="1" si="28"/>
        <v>#REF!</v>
      </c>
      <c r="I273" s="137" t="e">
        <f t="shared" ca="1" si="29"/>
        <v>#REF!</v>
      </c>
      <c r="J273" s="117"/>
      <c r="K273" s="116">
        <v>0</v>
      </c>
      <c r="M273" s="136" t="e">
        <f ca="1">OFFSET(INDEX([1]Composições!I:R,MATCH([1]Orçamentária!I273,[1]Composições!I:I,0),8),2,0)</f>
        <v>#REF!</v>
      </c>
      <c r="N273" t="e">
        <v>#REF!</v>
      </c>
      <c r="Q273" t="e">
        <v>#REF!</v>
      </c>
    </row>
    <row r="274" spans="1:19" hidden="1" x14ac:dyDescent="0.25">
      <c r="A274" s="114" t="s">
        <v>424</v>
      </c>
      <c r="B274" s="115" t="s">
        <v>1493</v>
      </c>
      <c r="C274" s="116" t="s">
        <v>16</v>
      </c>
      <c r="D274" s="116">
        <v>0</v>
      </c>
      <c r="E274" s="136">
        <f ca="1">OFFSET(INDEX(Composições!A:J,MATCH(Orçamentária!A274,Composições!A:A,0),8),2,0)</f>
        <v>7.4128500000000006</v>
      </c>
      <c r="F274" s="137">
        <f t="shared" ca="1" si="27"/>
        <v>0</v>
      </c>
      <c r="G274" s="138" t="e">
        <f>IF(A274&lt;&gt;"",IF(AND(#REF!="Padrão",$H$4=#REF!),BDI!$B$17,IF(AND(#REF!="Padrão",$H$4=#REF!),BDI!#REF!,IF(AND(#REF!="Diferenciado",$H$4=#REF!),BDI!$E$17,IF(AND(#REF!="Diferenciado",$H$4=#REF!),BDI!#REF!,IF(#REF!="ZERO",0))))),"")</f>
        <v>#REF!</v>
      </c>
      <c r="H274" s="139" t="e">
        <f t="shared" ca="1" si="28"/>
        <v>#REF!</v>
      </c>
      <c r="I274" s="137" t="e">
        <f t="shared" ca="1" si="29"/>
        <v>#REF!</v>
      </c>
      <c r="J274" s="117"/>
      <c r="K274" s="116">
        <v>0</v>
      </c>
      <c r="M274" s="136" t="e">
        <f ca="1">OFFSET(INDEX([1]Composições!I:R,MATCH([1]Orçamentária!I274,[1]Composições!I:I,0),8),2,0)</f>
        <v>#REF!</v>
      </c>
      <c r="N274" t="e">
        <v>#REF!</v>
      </c>
      <c r="Q274" t="e">
        <v>#REF!</v>
      </c>
    </row>
    <row r="275" spans="1:19" hidden="1" x14ac:dyDescent="0.25">
      <c r="A275" s="114" t="s">
        <v>426</v>
      </c>
      <c r="B275" s="115" t="s">
        <v>1494</v>
      </c>
      <c r="C275" s="116" t="s">
        <v>16</v>
      </c>
      <c r="D275" s="116">
        <v>0</v>
      </c>
      <c r="E275" s="136">
        <f ca="1">OFFSET(INDEX(Composições!A:J,MATCH(Orçamentária!A275,Composições!A:A,0),8),2,0)</f>
        <v>21.431052000000001</v>
      </c>
      <c r="F275" s="137">
        <f t="shared" ca="1" si="27"/>
        <v>0</v>
      </c>
      <c r="G275" s="138" t="e">
        <f>IF(A275&lt;&gt;"",IF(AND(#REF!="Padrão",$H$4=#REF!),BDI!$B$17,IF(AND(#REF!="Padrão",$H$4=#REF!),BDI!#REF!,IF(AND(#REF!="Diferenciado",$H$4=#REF!),BDI!$E$17,IF(AND(#REF!="Diferenciado",$H$4=#REF!),BDI!#REF!,IF(#REF!="ZERO",0))))),"")</f>
        <v>#REF!</v>
      </c>
      <c r="H275" s="139" t="e">
        <f t="shared" ca="1" si="28"/>
        <v>#REF!</v>
      </c>
      <c r="I275" s="137" t="e">
        <f t="shared" ca="1" si="29"/>
        <v>#REF!</v>
      </c>
      <c r="J275" s="117"/>
      <c r="K275" s="116">
        <v>0</v>
      </c>
      <c r="M275" s="136" t="e">
        <f ca="1">OFFSET(INDEX([1]Composições!I:R,MATCH([1]Orçamentária!I275,[1]Composições!I:I,0),8),2,0)</f>
        <v>#REF!</v>
      </c>
      <c r="N275" t="e">
        <v>#REF!</v>
      </c>
      <c r="Q275" t="e">
        <v>#REF!</v>
      </c>
    </row>
    <row r="276" spans="1:19" hidden="1" x14ac:dyDescent="0.25">
      <c r="A276" s="114" t="s">
        <v>427</v>
      </c>
      <c r="B276" s="115" t="s">
        <v>1495</v>
      </c>
      <c r="C276" s="116" t="s">
        <v>16</v>
      </c>
      <c r="D276" s="116">
        <v>0</v>
      </c>
      <c r="E276" s="136">
        <f ca="1">OFFSET(INDEX(Composições!A:J,MATCH(Orçamentária!A276,Composições!A:A,0),8),2,0)</f>
        <v>32.122350000000004</v>
      </c>
      <c r="F276" s="137">
        <f t="shared" ca="1" si="27"/>
        <v>0</v>
      </c>
      <c r="G276" s="138" t="e">
        <f>IF(A276&lt;&gt;"",IF(AND(#REF!="Padrão",$H$4=#REF!),BDI!$B$17,IF(AND(#REF!="Padrão",$H$4=#REF!),BDI!#REF!,IF(AND(#REF!="Diferenciado",$H$4=#REF!),BDI!$E$17,IF(AND(#REF!="Diferenciado",$H$4=#REF!),BDI!#REF!,IF(#REF!="ZERO",0))))),"")</f>
        <v>#REF!</v>
      </c>
      <c r="H276" s="139" t="e">
        <f t="shared" ca="1" si="28"/>
        <v>#REF!</v>
      </c>
      <c r="I276" s="137" t="e">
        <f t="shared" ca="1" si="29"/>
        <v>#REF!</v>
      </c>
      <c r="J276" s="117"/>
      <c r="K276" s="116">
        <v>0</v>
      </c>
      <c r="M276" s="136" t="e">
        <f ca="1">OFFSET(INDEX([1]Composições!I:R,MATCH([1]Orçamentária!I276,[1]Composições!I:I,0),8),2,0)</f>
        <v>#REF!</v>
      </c>
      <c r="N276" t="e">
        <v>#REF!</v>
      </c>
      <c r="Q276" t="e">
        <v>#REF!</v>
      </c>
    </row>
    <row r="277" spans="1:19" hidden="1" x14ac:dyDescent="0.25">
      <c r="A277" s="114" t="s">
        <v>430</v>
      </c>
      <c r="B277" s="115" t="s">
        <v>1496</v>
      </c>
      <c r="C277" s="116" t="s">
        <v>16</v>
      </c>
      <c r="D277" s="116">
        <v>0</v>
      </c>
      <c r="E277" s="136">
        <f ca="1">OFFSET(INDEX(Composições!A:J,MATCH(Orçamentária!A277,Composições!A:A,0),8),2,0)</f>
        <v>6.6108656999999997</v>
      </c>
      <c r="F277" s="137">
        <f t="shared" ca="1" si="27"/>
        <v>0</v>
      </c>
      <c r="G277" s="138" t="e">
        <f>IF(A277&lt;&gt;"",IF(AND(#REF!="Padrão",$H$4=#REF!),BDI!$B$17,IF(AND(#REF!="Padrão",$H$4=#REF!),BDI!#REF!,IF(AND(#REF!="Diferenciado",$H$4=#REF!),BDI!$E$17,IF(AND(#REF!="Diferenciado",$H$4=#REF!),BDI!#REF!,IF(#REF!="ZERO",0))))),"")</f>
        <v>#REF!</v>
      </c>
      <c r="H277" s="139" t="e">
        <f t="shared" ca="1" si="28"/>
        <v>#REF!</v>
      </c>
      <c r="I277" s="137" t="e">
        <f t="shared" ca="1" si="29"/>
        <v>#REF!</v>
      </c>
      <c r="J277" s="117"/>
      <c r="K277" s="116">
        <v>0</v>
      </c>
      <c r="M277" s="136" t="e">
        <f ca="1">OFFSET(INDEX([1]Composições!I:R,MATCH([1]Orçamentária!I277,[1]Composições!I:I,0),8),2,0)</f>
        <v>#REF!</v>
      </c>
      <c r="N277" t="e">
        <v>#REF!</v>
      </c>
      <c r="Q277" t="e">
        <v>#REF!</v>
      </c>
    </row>
    <row r="278" spans="1:19" hidden="1" x14ac:dyDescent="0.25">
      <c r="A278" s="114" t="s">
        <v>432</v>
      </c>
      <c r="B278" s="115" t="s">
        <v>1497</v>
      </c>
      <c r="C278" s="116" t="s">
        <v>16</v>
      </c>
      <c r="D278" s="116">
        <v>0</v>
      </c>
      <c r="E278" s="136">
        <f ca="1">OFFSET(INDEX(Composições!A:J,MATCH(Orçamentária!A278,Composições!A:A,0),8),2,0)</f>
        <v>13.078640500000002</v>
      </c>
      <c r="F278" s="137">
        <f t="shared" ca="1" si="27"/>
        <v>0</v>
      </c>
      <c r="G278" s="138" t="e">
        <f>IF(A278&lt;&gt;"",IF(AND(#REF!="Padrão",$H$4=#REF!),BDI!$B$17,IF(AND(#REF!="Padrão",$H$4=#REF!),BDI!#REF!,IF(AND(#REF!="Diferenciado",$H$4=#REF!),BDI!$E$17,IF(AND(#REF!="Diferenciado",$H$4=#REF!),BDI!#REF!,IF(#REF!="ZERO",0))))),"")</f>
        <v>#REF!</v>
      </c>
      <c r="H278" s="139" t="e">
        <f t="shared" ca="1" si="28"/>
        <v>#REF!</v>
      </c>
      <c r="I278" s="137" t="e">
        <f t="shared" ca="1" si="29"/>
        <v>#REF!</v>
      </c>
      <c r="J278" s="117"/>
      <c r="K278" s="116">
        <v>0</v>
      </c>
      <c r="M278" s="136" t="e">
        <f ca="1">OFFSET(INDEX([1]Composições!I:R,MATCH([1]Orçamentária!I278,[1]Composições!I:I,0),8),2,0)</f>
        <v>#REF!</v>
      </c>
      <c r="N278" t="e">
        <v>#REF!</v>
      </c>
      <c r="Q278" t="e">
        <v>#REF!</v>
      </c>
    </row>
    <row r="279" spans="1:19" hidden="1" x14ac:dyDescent="0.25">
      <c r="A279" s="114" t="s">
        <v>436</v>
      </c>
      <c r="B279" s="115" t="s">
        <v>1498</v>
      </c>
      <c r="C279" s="116" t="s">
        <v>16</v>
      </c>
      <c r="D279" s="116">
        <v>0</v>
      </c>
      <c r="E279" s="136">
        <f ca="1">OFFSET(INDEX(Composições!A:J,MATCH(Orçamentária!A279,Composições!A:A,0),8),2,0)</f>
        <v>13.078640500000002</v>
      </c>
      <c r="F279" s="137">
        <f t="shared" ca="1" si="27"/>
        <v>0</v>
      </c>
      <c r="G279" s="138" t="e">
        <f>IF(A279&lt;&gt;"",IF(AND(#REF!="Padrão",$H$4=#REF!),BDI!$B$17,IF(AND(#REF!="Padrão",$H$4=#REF!),BDI!#REF!,IF(AND(#REF!="Diferenciado",$H$4=#REF!),BDI!$E$17,IF(AND(#REF!="Diferenciado",$H$4=#REF!),BDI!#REF!,IF(#REF!="ZERO",0))))),"")</f>
        <v>#REF!</v>
      </c>
      <c r="H279" s="139" t="e">
        <f t="shared" ca="1" si="28"/>
        <v>#REF!</v>
      </c>
      <c r="I279" s="137" t="e">
        <f t="shared" ca="1" si="29"/>
        <v>#REF!</v>
      </c>
      <c r="J279" s="117"/>
      <c r="K279" s="116">
        <v>0</v>
      </c>
      <c r="M279" s="136" t="e">
        <f ca="1">OFFSET(INDEX([1]Composições!I:R,MATCH([1]Orçamentária!I279,[1]Composições!I:I,0),8),2,0)</f>
        <v>#REF!</v>
      </c>
      <c r="N279" t="e">
        <v>#REF!</v>
      </c>
      <c r="Q279" t="e">
        <v>#REF!</v>
      </c>
    </row>
    <row r="280" spans="1:19" hidden="1" x14ac:dyDescent="0.25">
      <c r="A280" s="114" t="s">
        <v>439</v>
      </c>
      <c r="B280" s="115" t="s">
        <v>1499</v>
      </c>
      <c r="C280" s="116" t="s">
        <v>16</v>
      </c>
      <c r="D280" s="116">
        <v>0</v>
      </c>
      <c r="E280" s="136">
        <f ca="1">OFFSET(INDEX(Composições!A:J,MATCH(Orçamentária!A280,Composições!A:A,0),8),2,0)</f>
        <v>15.262380800000001</v>
      </c>
      <c r="F280" s="137">
        <f t="shared" ca="1" si="27"/>
        <v>0</v>
      </c>
      <c r="G280" s="138" t="e">
        <f>IF(A280&lt;&gt;"",IF(AND(#REF!="Padrão",$H$4=#REF!),BDI!$B$17,IF(AND(#REF!="Padrão",$H$4=#REF!),BDI!#REF!,IF(AND(#REF!="Diferenciado",$H$4=#REF!),BDI!$E$17,IF(AND(#REF!="Diferenciado",$H$4=#REF!),BDI!#REF!,IF(#REF!="ZERO",0))))),"")</f>
        <v>#REF!</v>
      </c>
      <c r="H280" s="139" t="e">
        <f t="shared" ca="1" si="28"/>
        <v>#REF!</v>
      </c>
      <c r="I280" s="137" t="e">
        <f t="shared" ca="1" si="29"/>
        <v>#REF!</v>
      </c>
      <c r="J280" s="117"/>
      <c r="K280" s="116">
        <v>0</v>
      </c>
      <c r="M280" s="136" t="e">
        <f ca="1">OFFSET(INDEX([1]Composições!I:R,MATCH([1]Orçamentária!I280,[1]Composições!I:I,0),8),2,0)</f>
        <v>#REF!</v>
      </c>
      <c r="N280" t="e">
        <v>#REF!</v>
      </c>
      <c r="Q280" t="e">
        <v>#REF!</v>
      </c>
    </row>
    <row r="281" spans="1:19" hidden="1" x14ac:dyDescent="0.25">
      <c r="A281" s="114" t="s">
        <v>441</v>
      </c>
      <c r="B281" s="115" t="s">
        <v>1500</v>
      </c>
      <c r="C281" s="116" t="s">
        <v>16</v>
      </c>
      <c r="D281" s="116">
        <v>0</v>
      </c>
      <c r="E281" s="136">
        <f ca="1">OFFSET(INDEX(Composições!A:J,MATCH(Orçamentária!A281,Composições!A:A,0),8),2,0)</f>
        <v>13.078640500000002</v>
      </c>
      <c r="F281" s="137">
        <f t="shared" ca="1" si="27"/>
        <v>0</v>
      </c>
      <c r="G281" s="138" t="e">
        <f>IF(A281&lt;&gt;"",IF(AND(#REF!="Padrão",$H$4=#REF!),BDI!$B$17,IF(AND(#REF!="Padrão",$H$4=#REF!),BDI!#REF!,IF(AND(#REF!="Diferenciado",$H$4=#REF!),BDI!$E$17,IF(AND(#REF!="Diferenciado",$H$4=#REF!),BDI!#REF!,IF(#REF!="ZERO",0))))),"")</f>
        <v>#REF!</v>
      </c>
      <c r="H281" s="139" t="e">
        <f t="shared" ca="1" si="28"/>
        <v>#REF!</v>
      </c>
      <c r="I281" s="137" t="e">
        <f t="shared" ca="1" si="29"/>
        <v>#REF!</v>
      </c>
      <c r="J281" s="117"/>
      <c r="K281" s="116">
        <v>0</v>
      </c>
      <c r="M281" s="136" t="e">
        <f ca="1">OFFSET(INDEX([1]Composições!I:R,MATCH([1]Orçamentária!I281,[1]Composições!I:I,0),8),2,0)</f>
        <v>#REF!</v>
      </c>
      <c r="N281" t="e">
        <v>#REF!</v>
      </c>
      <c r="Q281" t="e">
        <v>#REF!</v>
      </c>
    </row>
    <row r="282" spans="1:19" hidden="1" x14ac:dyDescent="0.25">
      <c r="A282" s="114" t="s">
        <v>444</v>
      </c>
      <c r="B282" s="115" t="s">
        <v>1501</v>
      </c>
      <c r="C282" s="116" t="s">
        <v>16</v>
      </c>
      <c r="D282" s="116">
        <v>0</v>
      </c>
      <c r="E282" s="136">
        <f ca="1">OFFSET(INDEX(Composições!A:J,MATCH(Orçamentária!A282,Composições!A:A,0),8),2,0)</f>
        <v>15.262380800000001</v>
      </c>
      <c r="F282" s="137">
        <f t="shared" ca="1" si="27"/>
        <v>0</v>
      </c>
      <c r="G282" s="138" t="e">
        <f>IF(A282&lt;&gt;"",IF(AND(#REF!="Padrão",$H$4=#REF!),BDI!$B$17,IF(AND(#REF!="Padrão",$H$4=#REF!),BDI!#REF!,IF(AND(#REF!="Diferenciado",$H$4=#REF!),BDI!$E$17,IF(AND(#REF!="Diferenciado",$H$4=#REF!),BDI!#REF!,IF(#REF!="ZERO",0))))),"")</f>
        <v>#REF!</v>
      </c>
      <c r="H282" s="139" t="e">
        <f t="shared" ca="1" si="28"/>
        <v>#REF!</v>
      </c>
      <c r="I282" s="137" t="e">
        <f t="shared" ca="1" si="29"/>
        <v>#REF!</v>
      </c>
      <c r="J282" s="117"/>
      <c r="K282" s="116">
        <v>0</v>
      </c>
      <c r="M282" s="136" t="e">
        <f ca="1">OFFSET(INDEX([1]Composições!I:R,MATCH([1]Orçamentária!I282,[1]Composições!I:I,0),8),2,0)</f>
        <v>#REF!</v>
      </c>
      <c r="N282" t="e">
        <v>#REF!</v>
      </c>
      <c r="Q282" t="e">
        <v>#REF!</v>
      </c>
    </row>
    <row r="283" spans="1:19" hidden="1" x14ac:dyDescent="0.25">
      <c r="A283" s="114" t="s">
        <v>446</v>
      </c>
      <c r="B283" s="115" t="s">
        <v>3494</v>
      </c>
      <c r="C283" s="116" t="s">
        <v>69</v>
      </c>
      <c r="D283" s="116">
        <v>0</v>
      </c>
      <c r="E283" s="136">
        <f ca="1">OFFSET(INDEX(Composições!A:J,MATCH(Orçamentária!A283,Composições!A:A,0),8),2,0)</f>
        <v>0.48391099999999998</v>
      </c>
      <c r="F283" s="137">
        <f t="shared" ca="1" si="27"/>
        <v>0</v>
      </c>
      <c r="G283" s="138" t="e">
        <f>IF(A283&lt;&gt;"",IF(AND(#REF!="Padrão",$H$4=#REF!),BDI!$B$17,IF(AND(#REF!="Padrão",$H$4=#REF!),BDI!#REF!,IF(AND(#REF!="Diferenciado",$H$4=#REF!),BDI!$E$17,IF(AND(#REF!="Diferenciado",$H$4=#REF!),BDI!#REF!,IF(#REF!="ZERO",0))))),"")</f>
        <v>#REF!</v>
      </c>
      <c r="H283" s="139" t="e">
        <f t="shared" ca="1" si="28"/>
        <v>#REF!</v>
      </c>
      <c r="I283" s="137" t="e">
        <f t="shared" ca="1" si="29"/>
        <v>#REF!</v>
      </c>
      <c r="J283" s="117"/>
      <c r="K283" s="116">
        <v>0</v>
      </c>
      <c r="M283" s="136" t="e">
        <f ca="1">OFFSET(INDEX([1]Composições!I:R,MATCH([1]Orçamentária!I283,[1]Composições!I:I,0),8),2,0)</f>
        <v>#REF!</v>
      </c>
      <c r="N283" t="e">
        <v>#REF!</v>
      </c>
      <c r="Q283" t="e">
        <v>#REF!</v>
      </c>
    </row>
    <row r="284" spans="1:19" x14ac:dyDescent="0.25">
      <c r="A284" s="172" t="s">
        <v>448</v>
      </c>
      <c r="B284" s="173" t="s">
        <v>3495</v>
      </c>
      <c r="C284" s="174" t="s">
        <v>69</v>
      </c>
      <c r="D284" s="174">
        <v>500</v>
      </c>
      <c r="E284" s="136">
        <f ca="1">OFFSET(INDEX(Composições!A:J,MATCH(Orçamentária!A284,Composições!A:A,0),8),2,0)</f>
        <v>23.277640999999996</v>
      </c>
      <c r="F284" s="137">
        <f t="shared" ca="1" si="27"/>
        <v>11638.820499999998</v>
      </c>
      <c r="G284" s="138">
        <f>BDI!$B$17</f>
        <v>0.191</v>
      </c>
      <c r="H284" s="139">
        <f t="shared" ca="1" si="28"/>
        <v>27.72</v>
      </c>
      <c r="I284" s="137">
        <f t="shared" ca="1" si="29"/>
        <v>13860</v>
      </c>
      <c r="J284" s="117"/>
      <c r="K284" s="253">
        <v>500</v>
      </c>
      <c r="L284" s="236" t="str">
        <f t="shared" ref="L284:L286" si="30">IF(D284&lt;&gt;K284,"ERRO","-")</f>
        <v>-</v>
      </c>
      <c r="M284" s="136">
        <f ca="1">OFFSET(INDEX(Composições!A:S,MATCH(A284,Composições!A:A,0),15),2,0)</f>
        <v>19.925660695999998</v>
      </c>
      <c r="N284" s="237">
        <v>0.191</v>
      </c>
      <c r="O284" s="236">
        <f t="shared" ref="O284:O286" ca="1" si="31">ROUND(M284*(1+N284),2)</f>
        <v>23.73</v>
      </c>
      <c r="P284" s="238">
        <f t="shared" ref="P284:P286" ca="1" si="32">ROUND(K284*O284,2)</f>
        <v>11865</v>
      </c>
      <c r="Q284" s="236">
        <v>11865</v>
      </c>
      <c r="R284" s="236">
        <f t="shared" ref="R284:R286" ca="1" si="33">P284-Q284</f>
        <v>0</v>
      </c>
      <c r="S284" s="239">
        <f t="shared" ref="S284:S286" ca="1" si="34">IF(ISNUMBER(O284),1-P284/$I284,"")</f>
        <v>0.14393939393939392</v>
      </c>
    </row>
    <row r="285" spans="1:19" x14ac:dyDescent="0.25">
      <c r="A285" s="172" t="s">
        <v>450</v>
      </c>
      <c r="B285" s="173" t="s">
        <v>1502</v>
      </c>
      <c r="C285" s="174" t="s">
        <v>69</v>
      </c>
      <c r="D285" s="174">
        <v>2200</v>
      </c>
      <c r="E285" s="136">
        <f ca="1">OFFSET(INDEX(Composições!A:J,MATCH(Orçamentária!A285,Composições!A:A,0),8),2,0)</f>
        <v>4.564195999999999</v>
      </c>
      <c r="F285" s="137">
        <f t="shared" ca="1" si="27"/>
        <v>10041.231199999998</v>
      </c>
      <c r="G285" s="138">
        <f>BDI!$B$17</f>
        <v>0.191</v>
      </c>
      <c r="H285" s="139">
        <f t="shared" ca="1" si="28"/>
        <v>5.44</v>
      </c>
      <c r="I285" s="137">
        <f t="shared" ca="1" si="29"/>
        <v>11968</v>
      </c>
      <c r="J285" s="117"/>
      <c r="K285" s="253">
        <v>2200</v>
      </c>
      <c r="L285" s="236" t="str">
        <f t="shared" si="30"/>
        <v>-</v>
      </c>
      <c r="M285" s="136">
        <f ca="1">OFFSET(INDEX(Composições!A:S,MATCH(A285,Composições!A:A,0),15),2,0)</f>
        <v>3.9069517759999997</v>
      </c>
      <c r="N285" s="237">
        <v>0.191</v>
      </c>
      <c r="O285" s="236">
        <f t="shared" ca="1" si="31"/>
        <v>4.6500000000000004</v>
      </c>
      <c r="P285" s="238">
        <f t="shared" ca="1" si="32"/>
        <v>10230</v>
      </c>
      <c r="Q285" s="236">
        <v>10230</v>
      </c>
      <c r="R285" s="236">
        <f t="shared" ca="1" si="33"/>
        <v>0</v>
      </c>
      <c r="S285" s="239">
        <f t="shared" ca="1" si="34"/>
        <v>0.14522058823529416</v>
      </c>
    </row>
    <row r="286" spans="1:19" x14ac:dyDescent="0.25">
      <c r="A286" s="172" t="s">
        <v>452</v>
      </c>
      <c r="B286" s="173" t="s">
        <v>1503</v>
      </c>
      <c r="C286" s="174" t="s">
        <v>69</v>
      </c>
      <c r="D286" s="174">
        <v>32</v>
      </c>
      <c r="E286" s="136">
        <f ca="1">OFFSET(INDEX(Composições!A:J,MATCH(Orçamentária!A286,Composições!A:A,0),8),2,0)</f>
        <v>12.470113999999997</v>
      </c>
      <c r="F286" s="137">
        <f t="shared" ca="1" si="27"/>
        <v>399.04364799999991</v>
      </c>
      <c r="G286" s="138">
        <f>BDI!$B$17</f>
        <v>0.191</v>
      </c>
      <c r="H286" s="139">
        <f t="shared" ca="1" si="28"/>
        <v>14.85</v>
      </c>
      <c r="I286" s="137">
        <f t="shared" ca="1" si="29"/>
        <v>475.2</v>
      </c>
      <c r="J286" s="117"/>
      <c r="K286" s="253">
        <v>32</v>
      </c>
      <c r="L286" s="236" t="str">
        <f t="shared" si="30"/>
        <v>-</v>
      </c>
      <c r="M286" s="136">
        <f ca="1">OFFSET(INDEX(Composições!A:S,MATCH(A286,Composições!A:A,0),15),2,0)</f>
        <v>10.674417583999999</v>
      </c>
      <c r="N286" s="237">
        <v>0.191</v>
      </c>
      <c r="O286" s="236">
        <f t="shared" ca="1" si="31"/>
        <v>12.71</v>
      </c>
      <c r="P286" s="238">
        <f t="shared" ca="1" si="32"/>
        <v>406.72</v>
      </c>
      <c r="Q286" s="236">
        <v>406.72</v>
      </c>
      <c r="R286" s="236">
        <f t="shared" ca="1" si="33"/>
        <v>0</v>
      </c>
      <c r="S286" s="239">
        <f t="shared" ca="1" si="34"/>
        <v>0.14410774410774407</v>
      </c>
    </row>
    <row r="287" spans="1:19" hidden="1" x14ac:dyDescent="0.25">
      <c r="A287" s="114" t="s">
        <v>454</v>
      </c>
      <c r="B287" s="115" t="s">
        <v>1504</v>
      </c>
      <c r="C287" s="116" t="s">
        <v>69</v>
      </c>
      <c r="D287" s="116">
        <v>0</v>
      </c>
      <c r="E287" s="136">
        <f ca="1">OFFSET(INDEX(Composições!A:J,MATCH(Orçamentária!A287,Composições!A:A,0),8),2,0)</f>
        <v>2.0119860000000003</v>
      </c>
      <c r="F287" s="137">
        <f t="shared" ca="1" si="27"/>
        <v>0</v>
      </c>
      <c r="G287" s="138" t="e">
        <f>IF(A287&lt;&gt;"",IF(AND(#REF!="Padrão",$H$4=#REF!),BDI!$B$17,IF(AND(#REF!="Padrão",$H$4=#REF!),BDI!#REF!,IF(AND(#REF!="Diferenciado",$H$4=#REF!),BDI!$E$17,IF(AND(#REF!="Diferenciado",$H$4=#REF!),BDI!#REF!,IF(#REF!="ZERO",0))))),"")</f>
        <v>#REF!</v>
      </c>
      <c r="H287" s="139" t="e">
        <f t="shared" ca="1" si="28"/>
        <v>#REF!</v>
      </c>
      <c r="I287" s="137" t="e">
        <f t="shared" ca="1" si="29"/>
        <v>#REF!</v>
      </c>
      <c r="J287" s="117"/>
      <c r="K287" s="116">
        <v>0</v>
      </c>
      <c r="M287" s="136" t="e">
        <f ca="1">OFFSET(INDEX([1]Composições!I:R,MATCH([1]Orçamentária!I287,[1]Composições!I:I,0),8),2,0)</f>
        <v>#REF!</v>
      </c>
      <c r="N287" t="e">
        <v>#REF!</v>
      </c>
      <c r="Q287" t="e">
        <v>#REF!</v>
      </c>
    </row>
    <row r="288" spans="1:19" x14ac:dyDescent="0.25">
      <c r="A288" s="172" t="s">
        <v>456</v>
      </c>
      <c r="B288" s="173" t="s">
        <v>1505</v>
      </c>
      <c r="C288" s="174" t="s">
        <v>69</v>
      </c>
      <c r="D288" s="174">
        <v>222</v>
      </c>
      <c r="E288" s="136">
        <f ca="1">OFFSET(INDEX(Composições!A:J,MATCH(Orçamentária!A288,Composições!A:A,0),8),2,0)</f>
        <v>11.513890999999999</v>
      </c>
      <c r="F288" s="137">
        <f t="shared" ca="1" si="27"/>
        <v>2556.0838019999997</v>
      </c>
      <c r="G288" s="138">
        <f>BDI!$B$17</f>
        <v>0.191</v>
      </c>
      <c r="H288" s="139">
        <f t="shared" ca="1" si="28"/>
        <v>13.71</v>
      </c>
      <c r="I288" s="137">
        <f t="shared" ca="1" si="29"/>
        <v>3043.62</v>
      </c>
      <c r="J288" s="117"/>
      <c r="K288" s="253">
        <v>222</v>
      </c>
      <c r="L288" s="236" t="str">
        <f t="shared" ref="L288:L291" si="35">IF(D288&lt;&gt;K288,"ERRO","-")</f>
        <v>-</v>
      </c>
      <c r="M288" s="136">
        <f ca="1">OFFSET(INDEX(Composições!A:S,MATCH(A288,Composições!A:A,0),15),2,0)</f>
        <v>9.8558906959999995</v>
      </c>
      <c r="N288" s="237">
        <v>0.191</v>
      </c>
      <c r="O288" s="236">
        <f t="shared" ref="O288:O291" ca="1" si="36">ROUND(M288*(1+N288),2)</f>
        <v>11.74</v>
      </c>
      <c r="P288" s="238">
        <f t="shared" ref="P288:P291" ca="1" si="37">ROUND(K288*O288,2)</f>
        <v>2606.2800000000002</v>
      </c>
      <c r="Q288" s="236">
        <v>2606.2800000000002</v>
      </c>
      <c r="R288" s="236">
        <f t="shared" ref="R288:R291" ca="1" si="38">P288-Q288</f>
        <v>0</v>
      </c>
      <c r="S288" s="239">
        <f t="shared" ref="S288:S291" ca="1" si="39">IF(ISNUMBER(O288),1-P288/$I288,"")</f>
        <v>0.14369073668854837</v>
      </c>
    </row>
    <row r="289" spans="1:19" x14ac:dyDescent="0.25">
      <c r="A289" s="172" t="s">
        <v>458</v>
      </c>
      <c r="B289" s="173" t="s">
        <v>1506</v>
      </c>
      <c r="C289" s="174" t="s">
        <v>69</v>
      </c>
      <c r="D289" s="174">
        <v>110</v>
      </c>
      <c r="E289" s="136">
        <f ca="1">OFFSET(INDEX(Composições!A:J,MATCH(Orçamentária!A289,Composições!A:A,0),8),2,0)</f>
        <v>9.280914000000001</v>
      </c>
      <c r="F289" s="137">
        <f t="shared" ca="1" si="27"/>
        <v>1020.9005400000001</v>
      </c>
      <c r="G289" s="138">
        <f>BDI!$B$17</f>
        <v>0.191</v>
      </c>
      <c r="H289" s="139">
        <f t="shared" ca="1" si="28"/>
        <v>11.05</v>
      </c>
      <c r="I289" s="137">
        <f t="shared" ca="1" si="29"/>
        <v>1215.5</v>
      </c>
      <c r="J289" s="117"/>
      <c r="K289" s="253">
        <v>110</v>
      </c>
      <c r="L289" s="236" t="str">
        <f t="shared" si="35"/>
        <v>-</v>
      </c>
      <c r="M289" s="136">
        <f ca="1">OFFSET(INDEX(Composições!A:S,MATCH(A289,Composições!A:A,0),15),2,0)</f>
        <v>7.9444623840000004</v>
      </c>
      <c r="N289" s="237">
        <v>0.191</v>
      </c>
      <c r="O289" s="236">
        <f t="shared" ca="1" si="36"/>
        <v>9.4600000000000009</v>
      </c>
      <c r="P289" s="238">
        <f t="shared" ca="1" si="37"/>
        <v>1040.5999999999999</v>
      </c>
      <c r="Q289" s="236">
        <v>1040.5999999999999</v>
      </c>
      <c r="R289" s="236">
        <f t="shared" ca="1" si="38"/>
        <v>0</v>
      </c>
      <c r="S289" s="239">
        <f t="shared" ca="1" si="39"/>
        <v>0.14389140271493217</v>
      </c>
    </row>
    <row r="290" spans="1:19" x14ac:dyDescent="0.25">
      <c r="A290" s="172" t="s">
        <v>460</v>
      </c>
      <c r="B290" s="173" t="s">
        <v>1507</v>
      </c>
      <c r="C290" s="174" t="s">
        <v>16</v>
      </c>
      <c r="D290" s="174">
        <v>1</v>
      </c>
      <c r="E290" s="136">
        <f ca="1">OFFSET(INDEX(Composições!A:J,MATCH(Orçamentária!A290,Composições!A:A,0),8),2,0)</f>
        <v>8293.4176084402498</v>
      </c>
      <c r="F290" s="137">
        <f t="shared" ca="1" si="27"/>
        <v>8293.4176084402498</v>
      </c>
      <c r="G290" s="138">
        <f>BDI!$E$17</f>
        <v>0.11260000000000001</v>
      </c>
      <c r="H290" s="139">
        <f t="shared" ca="1" si="28"/>
        <v>9227.26</v>
      </c>
      <c r="I290" s="137">
        <f t="shared" ca="1" si="29"/>
        <v>9227.26</v>
      </c>
      <c r="J290" s="117"/>
      <c r="K290" s="253">
        <v>1</v>
      </c>
      <c r="L290" s="236" t="str">
        <f t="shared" si="35"/>
        <v>-</v>
      </c>
      <c r="M290" s="136">
        <f ca="1">OFFSET(INDEX(Composições!A:S,MATCH(A290,Composições!A:A,0),15),2,0)</f>
        <v>7099.1654728248532</v>
      </c>
      <c r="N290" s="237">
        <v>0.11260000000000001</v>
      </c>
      <c r="O290" s="236">
        <f t="shared" ca="1" si="36"/>
        <v>7898.53</v>
      </c>
      <c r="P290" s="238">
        <f t="shared" ca="1" si="37"/>
        <v>7898.53</v>
      </c>
      <c r="Q290" s="236">
        <v>7898.53</v>
      </c>
      <c r="R290" s="236">
        <f t="shared" ca="1" si="38"/>
        <v>0</v>
      </c>
      <c r="S290" s="239">
        <f t="shared" ca="1" si="39"/>
        <v>0.14400049418787375</v>
      </c>
    </row>
    <row r="291" spans="1:19" x14ac:dyDescent="0.25">
      <c r="A291" s="172" t="s">
        <v>1508</v>
      </c>
      <c r="B291" s="173" t="s">
        <v>5502</v>
      </c>
      <c r="C291" s="174" t="s">
        <v>16</v>
      </c>
      <c r="D291" s="174">
        <v>2</v>
      </c>
      <c r="E291" s="191">
        <v>13727.38</v>
      </c>
      <c r="F291" s="137">
        <f t="shared" si="27"/>
        <v>27454.76</v>
      </c>
      <c r="G291" s="138">
        <f>BDI!$E$17</f>
        <v>0.11260000000000001</v>
      </c>
      <c r="H291" s="139">
        <f t="shared" si="28"/>
        <v>15273.08</v>
      </c>
      <c r="I291" s="137">
        <f t="shared" si="29"/>
        <v>30546.16</v>
      </c>
      <c r="J291" s="117"/>
      <c r="K291" s="253">
        <v>2</v>
      </c>
      <c r="L291" s="236" t="str">
        <f t="shared" si="35"/>
        <v>-</v>
      </c>
      <c r="M291" s="191">
        <v>13727.38</v>
      </c>
      <c r="N291" s="237">
        <v>0.11260000000000001</v>
      </c>
      <c r="O291" s="236">
        <f t="shared" si="36"/>
        <v>15273.08</v>
      </c>
      <c r="P291" s="238">
        <f t="shared" si="37"/>
        <v>30546.16</v>
      </c>
      <c r="Q291" s="236">
        <v>30546.16</v>
      </c>
      <c r="R291" s="236">
        <f t="shared" si="38"/>
        <v>0</v>
      </c>
      <c r="S291" s="239">
        <f t="shared" si="39"/>
        <v>0</v>
      </c>
    </row>
    <row r="292" spans="1:19" hidden="1" x14ac:dyDescent="0.25">
      <c r="A292" s="114" t="s">
        <v>1509</v>
      </c>
      <c r="B292" s="115" t="s">
        <v>1510</v>
      </c>
      <c r="C292" s="116" t="s">
        <v>16</v>
      </c>
      <c r="D292" s="116">
        <v>0</v>
      </c>
      <c r="E292" s="136" t="s">
        <v>416</v>
      </c>
      <c r="F292" s="137" t="str">
        <f t="shared" si="27"/>
        <v/>
      </c>
      <c r="G292" s="138" t="e">
        <f>IF(A292&lt;&gt;"",IF(AND(#REF!="Padrão",$H$4=#REF!),BDI!$B$17,IF(AND(#REF!="Padrão",$H$4=#REF!),BDI!#REF!,IF(AND(#REF!="Diferenciado",$H$4=#REF!),BDI!$E$17,IF(AND(#REF!="Diferenciado",$H$4=#REF!),BDI!#REF!,IF(#REF!="ZERO",0))))),"")</f>
        <v>#REF!</v>
      </c>
      <c r="H292" s="139" t="str">
        <f t="shared" si="28"/>
        <v/>
      </c>
      <c r="I292" s="137" t="str">
        <f t="shared" si="29"/>
        <v/>
      </c>
      <c r="J292" s="117"/>
      <c r="K292" s="116">
        <v>0</v>
      </c>
      <c r="M292" s="136" t="s">
        <v>416</v>
      </c>
      <c r="N292" t="e">
        <v>#REF!</v>
      </c>
      <c r="Q292" t="s">
        <v>416</v>
      </c>
    </row>
    <row r="293" spans="1:19" hidden="1" x14ac:dyDescent="0.25">
      <c r="A293" s="114" t="s">
        <v>1511</v>
      </c>
      <c r="B293" s="115" t="s">
        <v>1512</v>
      </c>
      <c r="C293" s="116" t="s">
        <v>16</v>
      </c>
      <c r="D293" s="116">
        <v>0</v>
      </c>
      <c r="E293" s="136" t="s">
        <v>416</v>
      </c>
      <c r="F293" s="137" t="str">
        <f t="shared" si="27"/>
        <v/>
      </c>
      <c r="G293" s="138" t="e">
        <f>IF(A293&lt;&gt;"",IF(AND(#REF!="Padrão",$H$4=#REF!),BDI!$B$17,IF(AND(#REF!="Padrão",$H$4=#REF!),BDI!#REF!,IF(AND(#REF!="Diferenciado",$H$4=#REF!),BDI!$E$17,IF(AND(#REF!="Diferenciado",$H$4=#REF!),BDI!#REF!,IF(#REF!="ZERO",0))))),"")</f>
        <v>#REF!</v>
      </c>
      <c r="H293" s="139" t="str">
        <f t="shared" si="28"/>
        <v/>
      </c>
      <c r="I293" s="137" t="str">
        <f t="shared" si="29"/>
        <v/>
      </c>
      <c r="J293" s="117"/>
      <c r="K293" s="116">
        <v>0</v>
      </c>
      <c r="M293" s="136" t="s">
        <v>416</v>
      </c>
      <c r="N293" t="e">
        <v>#REF!</v>
      </c>
      <c r="Q293" t="s">
        <v>416</v>
      </c>
    </row>
    <row r="294" spans="1:19" hidden="1" x14ac:dyDescent="0.25">
      <c r="A294" s="114" t="s">
        <v>1513</v>
      </c>
      <c r="B294" s="115" t="s">
        <v>1514</v>
      </c>
      <c r="C294" s="116" t="s">
        <v>16</v>
      </c>
      <c r="D294" s="116">
        <v>0</v>
      </c>
      <c r="E294" s="136" t="s">
        <v>416</v>
      </c>
      <c r="F294" s="137" t="str">
        <f t="shared" si="27"/>
        <v/>
      </c>
      <c r="G294" s="138" t="e">
        <f>IF(A294&lt;&gt;"",IF(AND(#REF!="Padrão",$H$4=#REF!),BDI!$B$17,IF(AND(#REF!="Padrão",$H$4=#REF!),BDI!#REF!,IF(AND(#REF!="Diferenciado",$H$4=#REF!),BDI!$E$17,IF(AND(#REF!="Diferenciado",$H$4=#REF!),BDI!#REF!,IF(#REF!="ZERO",0))))),"")</f>
        <v>#REF!</v>
      </c>
      <c r="H294" s="139" t="str">
        <f t="shared" si="28"/>
        <v/>
      </c>
      <c r="I294" s="137" t="str">
        <f t="shared" si="29"/>
        <v/>
      </c>
      <c r="J294" s="117"/>
      <c r="K294" s="116">
        <v>0</v>
      </c>
      <c r="M294" s="136" t="s">
        <v>416</v>
      </c>
      <c r="N294" t="e">
        <v>#REF!</v>
      </c>
      <c r="Q294" t="s">
        <v>416</v>
      </c>
    </row>
    <row r="295" spans="1:19" hidden="1" x14ac:dyDescent="0.25">
      <c r="A295" s="114" t="s">
        <v>1515</v>
      </c>
      <c r="B295" s="115" t="s">
        <v>1516</v>
      </c>
      <c r="C295" s="116" t="s">
        <v>16</v>
      </c>
      <c r="D295" s="116">
        <v>0</v>
      </c>
      <c r="E295" s="136" t="s">
        <v>416</v>
      </c>
      <c r="F295" s="137" t="str">
        <f t="shared" si="27"/>
        <v/>
      </c>
      <c r="G295" s="138" t="e">
        <f>IF(A295&lt;&gt;"",IF(AND(#REF!="Padrão",$H$4=#REF!),BDI!$B$17,IF(AND(#REF!="Padrão",$H$4=#REF!),BDI!#REF!,IF(AND(#REF!="Diferenciado",$H$4=#REF!),BDI!$E$17,IF(AND(#REF!="Diferenciado",$H$4=#REF!),BDI!#REF!,IF(#REF!="ZERO",0))))),"")</f>
        <v>#REF!</v>
      </c>
      <c r="H295" s="139" t="str">
        <f t="shared" si="28"/>
        <v/>
      </c>
      <c r="I295" s="137" t="str">
        <f t="shared" si="29"/>
        <v/>
      </c>
      <c r="J295" s="117"/>
      <c r="K295" s="116">
        <v>0</v>
      </c>
      <c r="M295" s="136" t="s">
        <v>416</v>
      </c>
      <c r="N295" t="e">
        <v>#REF!</v>
      </c>
      <c r="Q295" t="s">
        <v>416</v>
      </c>
    </row>
    <row r="296" spans="1:19" x14ac:dyDescent="0.25">
      <c r="A296" s="172" t="s">
        <v>1517</v>
      </c>
      <c r="B296" s="173" t="s">
        <v>1518</v>
      </c>
      <c r="C296" s="174" t="s">
        <v>16</v>
      </c>
      <c r="D296" s="174">
        <v>10</v>
      </c>
      <c r="E296" s="191">
        <v>2368.46</v>
      </c>
      <c r="F296" s="137">
        <f t="shared" si="27"/>
        <v>23684.6</v>
      </c>
      <c r="G296" s="138">
        <f>BDI!$E$17</f>
        <v>0.11260000000000001</v>
      </c>
      <c r="H296" s="139">
        <f t="shared" si="28"/>
        <v>2635.15</v>
      </c>
      <c r="I296" s="137">
        <f t="shared" si="29"/>
        <v>26351.5</v>
      </c>
      <c r="J296" s="117"/>
      <c r="K296" s="253">
        <v>10</v>
      </c>
      <c r="L296" s="236" t="str">
        <f t="shared" ref="L296:L297" si="40">IF(D296&lt;&gt;K296,"ERRO","-")</f>
        <v>-</v>
      </c>
      <c r="M296" s="191">
        <v>2368.46</v>
      </c>
      <c r="N296" s="237">
        <v>0.11260000000000001</v>
      </c>
      <c r="O296" s="236">
        <f t="shared" ref="O296:O297" si="41">ROUND(M296*(1+N296),2)</f>
        <v>2635.15</v>
      </c>
      <c r="P296" s="238">
        <f t="shared" ref="P296:P297" si="42">ROUND(K296*O296,2)</f>
        <v>26351.5</v>
      </c>
      <c r="Q296" s="236">
        <v>26351.5</v>
      </c>
      <c r="R296" s="236">
        <f t="shared" ref="R296:R297" si="43">P296-Q296</f>
        <v>0</v>
      </c>
      <c r="S296" s="239">
        <f t="shared" ref="S296:S297" si="44">IF(ISNUMBER(O296),1-P296/$I296,"")</f>
        <v>0</v>
      </c>
    </row>
    <row r="297" spans="1:19" x14ac:dyDescent="0.25">
      <c r="A297" s="172" t="s">
        <v>1519</v>
      </c>
      <c r="B297" s="173" t="s">
        <v>1520</v>
      </c>
      <c r="C297" s="174" t="s">
        <v>16</v>
      </c>
      <c r="D297" s="174">
        <v>9</v>
      </c>
      <c r="E297" s="191">
        <v>4215.46</v>
      </c>
      <c r="F297" s="137">
        <f t="shared" si="27"/>
        <v>37939.14</v>
      </c>
      <c r="G297" s="138">
        <f>BDI!$E$17</f>
        <v>0.11260000000000001</v>
      </c>
      <c r="H297" s="139">
        <f t="shared" si="28"/>
        <v>4690.12</v>
      </c>
      <c r="I297" s="137">
        <f t="shared" si="29"/>
        <v>42211.08</v>
      </c>
      <c r="J297" s="117"/>
      <c r="K297" s="253">
        <v>9</v>
      </c>
      <c r="L297" s="236" t="str">
        <f t="shared" si="40"/>
        <v>-</v>
      </c>
      <c r="M297" s="191">
        <v>4215.46</v>
      </c>
      <c r="N297" s="237">
        <v>0.11260000000000001</v>
      </c>
      <c r="O297" s="236">
        <f t="shared" si="41"/>
        <v>4690.12</v>
      </c>
      <c r="P297" s="238">
        <f t="shared" si="42"/>
        <v>42211.08</v>
      </c>
      <c r="Q297" s="236">
        <v>42211.08</v>
      </c>
      <c r="R297" s="236">
        <f t="shared" si="43"/>
        <v>0</v>
      </c>
      <c r="S297" s="239">
        <f t="shared" si="44"/>
        <v>0</v>
      </c>
    </row>
    <row r="298" spans="1:19" hidden="1" x14ac:dyDescent="0.25">
      <c r="A298" s="114" t="s">
        <v>461</v>
      </c>
      <c r="B298" s="115" t="s">
        <v>1521</v>
      </c>
      <c r="C298" s="116" t="s">
        <v>16</v>
      </c>
      <c r="D298" s="116">
        <v>0</v>
      </c>
      <c r="E298" s="136">
        <f ca="1">OFFSET(INDEX(Composições!A:J,MATCH(Orçamentária!A298,Composições!A:A,0),8),2,0)</f>
        <v>104.69</v>
      </c>
      <c r="F298" s="137">
        <f t="shared" ca="1" si="27"/>
        <v>0</v>
      </c>
      <c r="G298" s="138" t="e">
        <f>IF(A298&lt;&gt;"",IF(AND(#REF!="Padrão",$H$4=#REF!),BDI!$B$17,IF(AND(#REF!="Padrão",$H$4=#REF!),BDI!#REF!,IF(AND(#REF!="Diferenciado",$H$4=#REF!),BDI!$E$17,IF(AND(#REF!="Diferenciado",$H$4=#REF!),BDI!#REF!,IF(#REF!="ZERO",0))))),"")</f>
        <v>#REF!</v>
      </c>
      <c r="H298" s="139" t="e">
        <f t="shared" ca="1" si="28"/>
        <v>#REF!</v>
      </c>
      <c r="I298" s="137" t="e">
        <f t="shared" ca="1" si="29"/>
        <v>#REF!</v>
      </c>
      <c r="J298" s="117"/>
      <c r="K298" s="116">
        <v>0</v>
      </c>
      <c r="M298" s="136" t="e">
        <f ca="1">OFFSET(INDEX([1]Composições!I:R,MATCH([1]Orçamentária!I298,[1]Composições!I:I,0),8),2,0)</f>
        <v>#REF!</v>
      </c>
      <c r="N298" t="e">
        <v>#REF!</v>
      </c>
      <c r="Q298" t="e">
        <v>#REF!</v>
      </c>
    </row>
    <row r="299" spans="1:19" hidden="1" x14ac:dyDescent="0.25">
      <c r="A299" s="114" t="s">
        <v>463</v>
      </c>
      <c r="B299" s="115" t="s">
        <v>1522</v>
      </c>
      <c r="C299" s="116" t="s">
        <v>16</v>
      </c>
      <c r="D299" s="116">
        <v>0</v>
      </c>
      <c r="E299" s="136">
        <f ca="1">OFFSET(INDEX(Composições!A:J,MATCH(Orçamentária!A299,Composições!A:A,0),8),2,0)</f>
        <v>157.03499999999997</v>
      </c>
      <c r="F299" s="137">
        <f t="shared" ca="1" si="27"/>
        <v>0</v>
      </c>
      <c r="G299" s="138" t="e">
        <f>IF(A299&lt;&gt;"",IF(AND(#REF!="Padrão",$H$4=#REF!),BDI!$B$17,IF(AND(#REF!="Padrão",$H$4=#REF!),BDI!#REF!,IF(AND(#REF!="Diferenciado",$H$4=#REF!),BDI!$E$17,IF(AND(#REF!="Diferenciado",$H$4=#REF!),BDI!#REF!,IF(#REF!="ZERO",0))))),"")</f>
        <v>#REF!</v>
      </c>
      <c r="H299" s="139" t="e">
        <f t="shared" ca="1" si="28"/>
        <v>#REF!</v>
      </c>
      <c r="I299" s="137" t="e">
        <f t="shared" ca="1" si="29"/>
        <v>#REF!</v>
      </c>
      <c r="J299" s="117"/>
      <c r="K299" s="116">
        <v>0</v>
      </c>
      <c r="M299" s="136" t="e">
        <f ca="1">OFFSET(INDEX([1]Composições!I:R,MATCH([1]Orçamentária!I299,[1]Composições!I:I,0),8),2,0)</f>
        <v>#REF!</v>
      </c>
      <c r="N299" t="e">
        <v>#REF!</v>
      </c>
      <c r="Q299" t="e">
        <v>#REF!</v>
      </c>
    </row>
    <row r="300" spans="1:19" hidden="1" x14ac:dyDescent="0.25">
      <c r="A300" s="114" t="s">
        <v>464</v>
      </c>
      <c r="B300" s="115" t="s">
        <v>1523</v>
      </c>
      <c r="C300" s="116" t="s">
        <v>16</v>
      </c>
      <c r="D300" s="116">
        <v>0</v>
      </c>
      <c r="E300" s="136">
        <f ca="1">OFFSET(INDEX(Composições!A:J,MATCH(Orçamentária!A300,Composições!A:A,0),8),2,0)</f>
        <v>49.418999999999997</v>
      </c>
      <c r="F300" s="137">
        <f t="shared" ca="1" si="27"/>
        <v>0</v>
      </c>
      <c r="G300" s="138" t="e">
        <f>IF(A300&lt;&gt;"",IF(AND(#REF!="Padrão",$H$4=#REF!),BDI!$B$17,IF(AND(#REF!="Padrão",$H$4=#REF!),BDI!#REF!,IF(AND(#REF!="Diferenciado",$H$4=#REF!),BDI!$E$17,IF(AND(#REF!="Diferenciado",$H$4=#REF!),BDI!#REF!,IF(#REF!="ZERO",0))))),"")</f>
        <v>#REF!</v>
      </c>
      <c r="H300" s="139" t="e">
        <f t="shared" ca="1" si="28"/>
        <v>#REF!</v>
      </c>
      <c r="I300" s="137" t="e">
        <f t="shared" ca="1" si="29"/>
        <v>#REF!</v>
      </c>
      <c r="J300" s="117"/>
      <c r="K300" s="116">
        <v>0</v>
      </c>
      <c r="M300" s="136" t="e">
        <f ca="1">OFFSET(INDEX([1]Composições!I:R,MATCH([1]Orçamentária!I300,[1]Composições!I:I,0),8),2,0)</f>
        <v>#REF!</v>
      </c>
      <c r="N300" t="e">
        <v>#REF!</v>
      </c>
      <c r="Q300" t="e">
        <v>#REF!</v>
      </c>
    </row>
    <row r="301" spans="1:19" hidden="1" x14ac:dyDescent="0.25">
      <c r="A301" s="114" t="s">
        <v>466</v>
      </c>
      <c r="B301" s="115" t="s">
        <v>1524</v>
      </c>
      <c r="C301" s="116" t="s">
        <v>16</v>
      </c>
      <c r="D301" s="116">
        <v>0</v>
      </c>
      <c r="E301" s="136">
        <f ca="1">OFFSET(INDEX(Composições!A:J,MATCH(Orçamentária!A301,Composições!A:A,0),8),2,0)</f>
        <v>49.418999999999997</v>
      </c>
      <c r="F301" s="137">
        <f t="shared" ca="1" si="27"/>
        <v>0</v>
      </c>
      <c r="G301" s="138" t="e">
        <f>IF(A301&lt;&gt;"",IF(AND(#REF!="Padrão",$H$4=#REF!),BDI!$B$17,IF(AND(#REF!="Padrão",$H$4=#REF!),BDI!#REF!,IF(AND(#REF!="Diferenciado",$H$4=#REF!),BDI!$E$17,IF(AND(#REF!="Diferenciado",$H$4=#REF!),BDI!#REF!,IF(#REF!="ZERO",0))))),"")</f>
        <v>#REF!</v>
      </c>
      <c r="H301" s="139" t="e">
        <f t="shared" ca="1" si="28"/>
        <v>#REF!</v>
      </c>
      <c r="I301" s="137" t="e">
        <f t="shared" ca="1" si="29"/>
        <v>#REF!</v>
      </c>
      <c r="J301" s="117"/>
      <c r="K301" s="116">
        <v>0</v>
      </c>
      <c r="M301" s="136" t="e">
        <f ca="1">OFFSET(INDEX([1]Composições!I:R,MATCH([1]Orçamentária!I301,[1]Composições!I:I,0),8),2,0)</f>
        <v>#REF!</v>
      </c>
      <c r="N301" t="e">
        <v>#REF!</v>
      </c>
      <c r="Q301" t="e">
        <v>#REF!</v>
      </c>
    </row>
    <row r="302" spans="1:19" hidden="1" x14ac:dyDescent="0.25">
      <c r="A302" s="114" t="s">
        <v>468</v>
      </c>
      <c r="B302" s="115" t="s">
        <v>1525</v>
      </c>
      <c r="C302" s="116" t="s">
        <v>70</v>
      </c>
      <c r="D302" s="116">
        <v>0</v>
      </c>
      <c r="E302" s="136">
        <f ca="1">OFFSET(INDEX(Composições!A:J,MATCH(Orçamentária!A302,Composições!A:A,0),8),2,0)</f>
        <v>285.52895999999998</v>
      </c>
      <c r="F302" s="137">
        <f t="shared" ca="1" si="27"/>
        <v>0</v>
      </c>
      <c r="G302" s="138" t="e">
        <f>IF(A302&lt;&gt;"",IF(AND(#REF!="Padrão",$H$4=#REF!),BDI!$B$17,IF(AND(#REF!="Padrão",$H$4=#REF!),BDI!#REF!,IF(AND(#REF!="Diferenciado",$H$4=#REF!),BDI!$E$17,IF(AND(#REF!="Diferenciado",$H$4=#REF!),BDI!#REF!,IF(#REF!="ZERO",0))))),"")</f>
        <v>#REF!</v>
      </c>
      <c r="H302" s="139" t="e">
        <f t="shared" ca="1" si="28"/>
        <v>#REF!</v>
      </c>
      <c r="I302" s="137" t="e">
        <f t="shared" ca="1" si="29"/>
        <v>#REF!</v>
      </c>
      <c r="J302" s="117"/>
      <c r="K302" s="116">
        <v>0</v>
      </c>
      <c r="M302" s="136" t="e">
        <f ca="1">OFFSET(INDEX([1]Composições!I:R,MATCH([1]Orçamentária!I302,[1]Composições!I:I,0),8),2,0)</f>
        <v>#REF!</v>
      </c>
      <c r="N302" t="e">
        <v>#REF!</v>
      </c>
      <c r="Q302" t="e">
        <v>#REF!</v>
      </c>
    </row>
    <row r="303" spans="1:19" hidden="1" x14ac:dyDescent="0.25">
      <c r="A303" s="114" t="s">
        <v>471</v>
      </c>
      <c r="B303" s="115" t="s">
        <v>1526</v>
      </c>
      <c r="C303" s="116" t="s">
        <v>69</v>
      </c>
      <c r="D303" s="116">
        <v>0</v>
      </c>
      <c r="E303" s="136">
        <f ca="1">OFFSET(INDEX(Composições!A:J,MATCH(Orçamentária!A303,Composições!A:A,0),8),2,0)</f>
        <v>19.7638</v>
      </c>
      <c r="F303" s="137">
        <f t="shared" ca="1" si="27"/>
        <v>0</v>
      </c>
      <c r="G303" s="138" t="e">
        <f>IF(A303&lt;&gt;"",IF(AND(#REF!="Padrão",$H$4=#REF!),BDI!$B$17,IF(AND(#REF!="Padrão",$H$4=#REF!),BDI!#REF!,IF(AND(#REF!="Diferenciado",$H$4=#REF!),BDI!$E$17,IF(AND(#REF!="Diferenciado",$H$4=#REF!),BDI!#REF!,IF(#REF!="ZERO",0))))),"")</f>
        <v>#REF!</v>
      </c>
      <c r="H303" s="139" t="e">
        <f t="shared" ca="1" si="28"/>
        <v>#REF!</v>
      </c>
      <c r="I303" s="137" t="e">
        <f t="shared" ca="1" si="29"/>
        <v>#REF!</v>
      </c>
      <c r="J303" s="117"/>
      <c r="K303" s="116">
        <v>0</v>
      </c>
      <c r="M303" s="136" t="e">
        <f ca="1">OFFSET(INDEX([1]Composições!I:R,MATCH([1]Orçamentária!I303,[1]Composições!I:I,0),8),2,0)</f>
        <v>#REF!</v>
      </c>
      <c r="N303" t="e">
        <v>#REF!</v>
      </c>
      <c r="Q303" t="e">
        <v>#REF!</v>
      </c>
    </row>
    <row r="304" spans="1:19" hidden="1" x14ac:dyDescent="0.25">
      <c r="A304" s="114" t="s">
        <v>473</v>
      </c>
      <c r="B304" s="115" t="s">
        <v>1527</v>
      </c>
      <c r="C304" s="116" t="s">
        <v>69</v>
      </c>
      <c r="D304" s="116">
        <v>0</v>
      </c>
      <c r="E304" s="136">
        <f ca="1">OFFSET(INDEX(Composições!A:J,MATCH(Orçamentária!A304,Composições!A:A,0),8),2,0)</f>
        <v>19.7638</v>
      </c>
      <c r="F304" s="137">
        <f t="shared" ca="1" si="27"/>
        <v>0</v>
      </c>
      <c r="G304" s="138" t="e">
        <f>IF(A304&lt;&gt;"",IF(AND(#REF!="Padrão",$H$4=#REF!),BDI!$B$17,IF(AND(#REF!="Padrão",$H$4=#REF!),BDI!#REF!,IF(AND(#REF!="Diferenciado",$H$4=#REF!),BDI!$E$17,IF(AND(#REF!="Diferenciado",$H$4=#REF!),BDI!#REF!,IF(#REF!="ZERO",0))))),"")</f>
        <v>#REF!</v>
      </c>
      <c r="H304" s="139" t="e">
        <f t="shared" ca="1" si="28"/>
        <v>#REF!</v>
      </c>
      <c r="I304" s="137" t="e">
        <f t="shared" ca="1" si="29"/>
        <v>#REF!</v>
      </c>
      <c r="J304" s="117"/>
      <c r="K304" s="116">
        <v>0</v>
      </c>
      <c r="M304" s="136" t="e">
        <f ca="1">OFFSET(INDEX([1]Composições!I:R,MATCH([1]Orçamentária!I304,[1]Composições!I:I,0),8),2,0)</f>
        <v>#REF!</v>
      </c>
      <c r="N304" t="e">
        <v>#REF!</v>
      </c>
      <c r="Q304" t="e">
        <v>#REF!</v>
      </c>
    </row>
    <row r="305" spans="1:19" hidden="1" x14ac:dyDescent="0.25">
      <c r="A305" s="114" t="s">
        <v>475</v>
      </c>
      <c r="B305" s="115" t="s">
        <v>7937</v>
      </c>
      <c r="C305" s="116" t="s">
        <v>16</v>
      </c>
      <c r="D305" s="116">
        <v>0</v>
      </c>
      <c r="E305" s="136">
        <f ca="1">OFFSET(INDEX(Composições!A:J,MATCH(Orçamentária!A305,Composições!A:A,0),8),2,0)</f>
        <v>130.86249999999998</v>
      </c>
      <c r="F305" s="137">
        <f t="shared" ca="1" si="27"/>
        <v>0</v>
      </c>
      <c r="G305" s="138" t="e">
        <f>IF(A305&lt;&gt;"",IF(AND(#REF!="Padrão",$H$4=#REF!),BDI!$B$17,IF(AND(#REF!="Padrão",$H$4=#REF!),BDI!#REF!,IF(AND(#REF!="Diferenciado",$H$4=#REF!),BDI!$E$17,IF(AND(#REF!="Diferenciado",$H$4=#REF!),BDI!#REF!,IF(#REF!="ZERO",0))))),"")</f>
        <v>#REF!</v>
      </c>
      <c r="H305" s="139" t="e">
        <f t="shared" ca="1" si="28"/>
        <v>#REF!</v>
      </c>
      <c r="I305" s="137" t="e">
        <f t="shared" ca="1" si="29"/>
        <v>#REF!</v>
      </c>
      <c r="J305" s="117"/>
      <c r="K305" s="116">
        <v>0</v>
      </c>
      <c r="M305" s="136" t="e">
        <f ca="1">OFFSET(INDEX([1]Composições!I:R,MATCH([1]Orçamentária!I305,[1]Composições!I:I,0),8),2,0)</f>
        <v>#REF!</v>
      </c>
      <c r="N305" t="e">
        <v>#REF!</v>
      </c>
      <c r="Q305" t="e">
        <v>#REF!</v>
      </c>
    </row>
    <row r="306" spans="1:19" hidden="1" x14ac:dyDescent="0.25">
      <c r="A306" s="114" t="s">
        <v>477</v>
      </c>
      <c r="B306" s="115" t="s">
        <v>7600</v>
      </c>
      <c r="C306" s="116" t="s">
        <v>16</v>
      </c>
      <c r="D306" s="116">
        <v>0</v>
      </c>
      <c r="E306" s="136">
        <f ca="1">OFFSET(INDEX(Composições!A:J,MATCH(Orçamentária!A306,Composições!A:A,0),8),2,0)</f>
        <v>130.86249999999998</v>
      </c>
      <c r="F306" s="137">
        <f t="shared" ca="1" si="27"/>
        <v>0</v>
      </c>
      <c r="G306" s="138" t="e">
        <f>IF(A306&lt;&gt;"",IF(AND(#REF!="Padrão",$H$4=#REF!),BDI!$B$17,IF(AND(#REF!="Padrão",$H$4=#REF!),BDI!#REF!,IF(AND(#REF!="Diferenciado",$H$4=#REF!),BDI!$E$17,IF(AND(#REF!="Diferenciado",$H$4=#REF!),BDI!#REF!,IF(#REF!="ZERO",0))))),"")</f>
        <v>#REF!</v>
      </c>
      <c r="H306" s="139" t="e">
        <f t="shared" ca="1" si="28"/>
        <v>#REF!</v>
      </c>
      <c r="I306" s="137" t="e">
        <f t="shared" ca="1" si="29"/>
        <v>#REF!</v>
      </c>
      <c r="J306" s="117"/>
      <c r="K306" s="116">
        <v>0</v>
      </c>
      <c r="M306" s="136" t="e">
        <f ca="1">OFFSET(INDEX([1]Composições!I:R,MATCH([1]Orçamentária!I306,[1]Composições!I:I,0),8),2,0)</f>
        <v>#REF!</v>
      </c>
      <c r="N306" t="e">
        <v>#REF!</v>
      </c>
      <c r="Q306" t="e">
        <v>#REF!</v>
      </c>
    </row>
    <row r="307" spans="1:19" hidden="1" x14ac:dyDescent="0.25">
      <c r="A307" s="114" t="s">
        <v>479</v>
      </c>
      <c r="B307" s="115" t="s">
        <v>7601</v>
      </c>
      <c r="C307" s="116" t="s">
        <v>16</v>
      </c>
      <c r="D307" s="116">
        <v>0</v>
      </c>
      <c r="E307" s="136">
        <f ca="1">OFFSET(INDEX(Composições!A:J,MATCH(Orçamentária!A307,Composições!A:A,0),8),2,0)</f>
        <v>130.86249999999998</v>
      </c>
      <c r="F307" s="137">
        <f t="shared" ca="1" si="27"/>
        <v>0</v>
      </c>
      <c r="G307" s="138" t="e">
        <f>IF(A307&lt;&gt;"",IF(AND(#REF!="Padrão",$H$4=#REF!),BDI!$B$17,IF(AND(#REF!="Padrão",$H$4=#REF!),BDI!#REF!,IF(AND(#REF!="Diferenciado",$H$4=#REF!),BDI!$E$17,IF(AND(#REF!="Diferenciado",$H$4=#REF!),BDI!#REF!,IF(#REF!="ZERO",0))))),"")</f>
        <v>#REF!</v>
      </c>
      <c r="H307" s="139" t="e">
        <f t="shared" ca="1" si="28"/>
        <v>#REF!</v>
      </c>
      <c r="I307" s="137" t="e">
        <f t="shared" ca="1" si="29"/>
        <v>#REF!</v>
      </c>
      <c r="J307" s="117"/>
      <c r="K307" s="116">
        <v>0</v>
      </c>
      <c r="M307" s="136" t="e">
        <f ca="1">OFFSET(INDEX([1]Composições!I:R,MATCH([1]Orçamentária!I307,[1]Composições!I:I,0),8),2,0)</f>
        <v>#REF!</v>
      </c>
      <c r="N307" t="e">
        <v>#REF!</v>
      </c>
      <c r="Q307" t="e">
        <v>#REF!</v>
      </c>
    </row>
    <row r="308" spans="1:19" hidden="1" x14ac:dyDescent="0.25">
      <c r="A308" s="114" t="s">
        <v>481</v>
      </c>
      <c r="B308" s="115" t="s">
        <v>7602</v>
      </c>
      <c r="C308" s="116" t="s">
        <v>16</v>
      </c>
      <c r="D308" s="116">
        <v>0</v>
      </c>
      <c r="E308" s="136">
        <f ca="1">OFFSET(INDEX(Composições!A:J,MATCH(Orçamentária!A308,Composições!A:A,0),8),2,0)</f>
        <v>130.86249999999998</v>
      </c>
      <c r="F308" s="137">
        <f t="shared" ca="1" si="27"/>
        <v>0</v>
      </c>
      <c r="G308" s="138" t="e">
        <f>IF(A308&lt;&gt;"",IF(AND(#REF!="Padrão",$H$4=#REF!),BDI!$B$17,IF(AND(#REF!="Padrão",$H$4=#REF!),BDI!#REF!,IF(AND(#REF!="Diferenciado",$H$4=#REF!),BDI!$E$17,IF(AND(#REF!="Diferenciado",$H$4=#REF!),BDI!#REF!,IF(#REF!="ZERO",0))))),"")</f>
        <v>#REF!</v>
      </c>
      <c r="H308" s="139" t="e">
        <f t="shared" ca="1" si="28"/>
        <v>#REF!</v>
      </c>
      <c r="I308" s="137" t="e">
        <f t="shared" ca="1" si="29"/>
        <v>#REF!</v>
      </c>
      <c r="J308" s="117"/>
      <c r="K308" s="116">
        <v>0</v>
      </c>
      <c r="M308" s="136" t="e">
        <f ca="1">OFFSET(INDEX([1]Composições!I:R,MATCH([1]Orçamentária!I308,[1]Composições!I:I,0),8),2,0)</f>
        <v>#REF!</v>
      </c>
      <c r="N308" t="e">
        <v>#REF!</v>
      </c>
      <c r="Q308" t="e">
        <v>#REF!</v>
      </c>
    </row>
    <row r="309" spans="1:19" hidden="1" x14ac:dyDescent="0.25">
      <c r="A309" s="114" t="s">
        <v>483</v>
      </c>
      <c r="B309" s="115" t="s">
        <v>7603</v>
      </c>
      <c r="C309" s="116" t="s">
        <v>16</v>
      </c>
      <c r="D309" s="116">
        <v>0</v>
      </c>
      <c r="E309" s="136">
        <f ca="1">OFFSET(INDEX(Composições!A:J,MATCH(Orçamentária!A309,Composições!A:A,0),8),2,0)</f>
        <v>130.86249999999998</v>
      </c>
      <c r="F309" s="137">
        <f t="shared" ca="1" si="27"/>
        <v>0</v>
      </c>
      <c r="G309" s="138" t="e">
        <f>IF(A309&lt;&gt;"",IF(AND(#REF!="Padrão",$H$4=#REF!),BDI!$B$17,IF(AND(#REF!="Padrão",$H$4=#REF!),BDI!#REF!,IF(AND(#REF!="Diferenciado",$H$4=#REF!),BDI!$E$17,IF(AND(#REF!="Diferenciado",$H$4=#REF!),BDI!#REF!,IF(#REF!="ZERO",0))))),"")</f>
        <v>#REF!</v>
      </c>
      <c r="H309" s="139" t="e">
        <f t="shared" ca="1" si="28"/>
        <v>#REF!</v>
      </c>
      <c r="I309" s="137" t="e">
        <f t="shared" ca="1" si="29"/>
        <v>#REF!</v>
      </c>
      <c r="J309" s="117"/>
      <c r="K309" s="116">
        <v>0</v>
      </c>
      <c r="M309" s="136" t="e">
        <f ca="1">OFFSET(INDEX([1]Composições!I:R,MATCH([1]Orçamentária!I309,[1]Composições!I:I,0),8),2,0)</f>
        <v>#REF!</v>
      </c>
      <c r="N309" t="e">
        <v>#REF!</v>
      </c>
      <c r="Q309" t="e">
        <v>#REF!</v>
      </c>
    </row>
    <row r="310" spans="1:19" hidden="1" x14ac:dyDescent="0.25">
      <c r="A310" s="114" t="s">
        <v>485</v>
      </c>
      <c r="B310" s="115" t="s">
        <v>7604</v>
      </c>
      <c r="C310" s="116" t="s">
        <v>16</v>
      </c>
      <c r="D310" s="116">
        <v>0</v>
      </c>
      <c r="E310" s="136">
        <f ca="1">OFFSET(INDEX(Composições!A:J,MATCH(Orçamentária!A310,Composições!A:A,0),8),2,0)</f>
        <v>130.86249999999998</v>
      </c>
      <c r="F310" s="137">
        <f t="shared" ca="1" si="27"/>
        <v>0</v>
      </c>
      <c r="G310" s="138" t="e">
        <f>IF(A310&lt;&gt;"",IF(AND(#REF!="Padrão",$H$4=#REF!),BDI!$B$17,IF(AND(#REF!="Padrão",$H$4=#REF!),BDI!#REF!,IF(AND(#REF!="Diferenciado",$H$4=#REF!),BDI!$E$17,IF(AND(#REF!="Diferenciado",$H$4=#REF!),BDI!#REF!,IF(#REF!="ZERO",0))))),"")</f>
        <v>#REF!</v>
      </c>
      <c r="H310" s="139" t="e">
        <f t="shared" ca="1" si="28"/>
        <v>#REF!</v>
      </c>
      <c r="I310" s="137" t="e">
        <f t="shared" ca="1" si="29"/>
        <v>#REF!</v>
      </c>
      <c r="J310" s="117"/>
      <c r="K310" s="116">
        <v>0</v>
      </c>
      <c r="M310" s="136" t="e">
        <f ca="1">OFFSET(INDEX([1]Composições!I:R,MATCH([1]Orçamentária!I310,[1]Composições!I:I,0),8),2,0)</f>
        <v>#REF!</v>
      </c>
      <c r="N310" t="e">
        <v>#REF!</v>
      </c>
      <c r="Q310" t="e">
        <v>#REF!</v>
      </c>
    </row>
    <row r="311" spans="1:19" hidden="1" x14ac:dyDescent="0.25">
      <c r="A311" s="114" t="s">
        <v>487</v>
      </c>
      <c r="B311" s="115" t="s">
        <v>7605</v>
      </c>
      <c r="C311" s="116" t="s">
        <v>16</v>
      </c>
      <c r="D311" s="116">
        <v>0</v>
      </c>
      <c r="E311" s="136">
        <f ca="1">OFFSET(INDEX(Composições!A:J,MATCH(Orçamentária!A311,Composições!A:A,0),8),2,0)</f>
        <v>130.86249999999998</v>
      </c>
      <c r="F311" s="137">
        <f t="shared" ca="1" si="27"/>
        <v>0</v>
      </c>
      <c r="G311" s="138" t="e">
        <f>IF(A311&lt;&gt;"",IF(AND(#REF!="Padrão",$H$4=#REF!),BDI!$B$17,IF(AND(#REF!="Padrão",$H$4=#REF!),BDI!#REF!,IF(AND(#REF!="Diferenciado",$H$4=#REF!),BDI!$E$17,IF(AND(#REF!="Diferenciado",$H$4=#REF!),BDI!#REF!,IF(#REF!="ZERO",0))))),"")</f>
        <v>#REF!</v>
      </c>
      <c r="H311" s="139" t="e">
        <f t="shared" ca="1" si="28"/>
        <v>#REF!</v>
      </c>
      <c r="I311" s="137" t="e">
        <f t="shared" ca="1" si="29"/>
        <v>#REF!</v>
      </c>
      <c r="J311" s="117"/>
      <c r="K311" s="116">
        <v>0</v>
      </c>
      <c r="M311" s="136" t="e">
        <f ca="1">OFFSET(INDEX([1]Composições!I:R,MATCH([1]Orçamentária!I311,[1]Composições!I:I,0),8),2,0)</f>
        <v>#REF!</v>
      </c>
      <c r="N311" t="e">
        <v>#REF!</v>
      </c>
      <c r="Q311" t="e">
        <v>#REF!</v>
      </c>
    </row>
    <row r="312" spans="1:19" hidden="1" x14ac:dyDescent="0.25">
      <c r="A312" s="114" t="s">
        <v>489</v>
      </c>
      <c r="B312" s="115" t="s">
        <v>7606</v>
      </c>
      <c r="C312" s="116" t="s">
        <v>16</v>
      </c>
      <c r="D312" s="116">
        <v>0</v>
      </c>
      <c r="E312" s="136">
        <f ca="1">OFFSET(INDEX(Composições!A:J,MATCH(Orçamentária!A312,Composições!A:A,0),8),2,0)</f>
        <v>130.86249999999998</v>
      </c>
      <c r="F312" s="137">
        <f t="shared" ca="1" si="27"/>
        <v>0</v>
      </c>
      <c r="G312" s="138" t="e">
        <f>IF(A312&lt;&gt;"",IF(AND(#REF!="Padrão",$H$4=#REF!),BDI!$B$17,IF(AND(#REF!="Padrão",$H$4=#REF!),BDI!#REF!,IF(AND(#REF!="Diferenciado",$H$4=#REF!),BDI!$E$17,IF(AND(#REF!="Diferenciado",$H$4=#REF!),BDI!#REF!,IF(#REF!="ZERO",0))))),"")</f>
        <v>#REF!</v>
      </c>
      <c r="H312" s="139" t="e">
        <f t="shared" ca="1" si="28"/>
        <v>#REF!</v>
      </c>
      <c r="I312" s="137" t="e">
        <f t="shared" ca="1" si="29"/>
        <v>#REF!</v>
      </c>
      <c r="J312" s="117"/>
      <c r="K312" s="116">
        <v>0</v>
      </c>
      <c r="M312" s="136" t="e">
        <f ca="1">OFFSET(INDEX([1]Composições!I:R,MATCH([1]Orçamentária!I312,[1]Composições!I:I,0),8),2,0)</f>
        <v>#REF!</v>
      </c>
      <c r="N312" t="e">
        <v>#REF!</v>
      </c>
      <c r="Q312" t="e">
        <v>#REF!</v>
      </c>
    </row>
    <row r="313" spans="1:19" hidden="1" x14ac:dyDescent="0.25">
      <c r="A313" s="114" t="s">
        <v>491</v>
      </c>
      <c r="B313" s="115" t="s">
        <v>7607</v>
      </c>
      <c r="C313" s="116" t="s">
        <v>16</v>
      </c>
      <c r="D313" s="116">
        <v>0</v>
      </c>
      <c r="E313" s="136">
        <f ca="1">OFFSET(INDEX(Composições!A:J,MATCH(Orçamentária!A313,Composições!A:A,0),8),2,0)</f>
        <v>183.20749999999998</v>
      </c>
      <c r="F313" s="137">
        <f t="shared" ca="1" si="27"/>
        <v>0</v>
      </c>
      <c r="G313" s="138" t="e">
        <f>IF(A313&lt;&gt;"",IF(AND(#REF!="Padrão",$H$4=#REF!),BDI!$B$17,IF(AND(#REF!="Padrão",$H$4=#REF!),BDI!#REF!,IF(AND(#REF!="Diferenciado",$H$4=#REF!),BDI!$E$17,IF(AND(#REF!="Diferenciado",$H$4=#REF!),BDI!#REF!,IF(#REF!="ZERO",0))))),"")</f>
        <v>#REF!</v>
      </c>
      <c r="H313" s="139" t="e">
        <f t="shared" ca="1" si="28"/>
        <v>#REF!</v>
      </c>
      <c r="I313" s="137" t="e">
        <f t="shared" ca="1" si="29"/>
        <v>#REF!</v>
      </c>
      <c r="J313" s="117"/>
      <c r="K313" s="116">
        <v>0</v>
      </c>
      <c r="M313" s="136" t="e">
        <f ca="1">OFFSET(INDEX([1]Composições!I:R,MATCH([1]Orçamentária!I313,[1]Composições!I:I,0),8),2,0)</f>
        <v>#REF!</v>
      </c>
      <c r="N313" t="e">
        <v>#REF!</v>
      </c>
      <c r="Q313" t="e">
        <v>#REF!</v>
      </c>
    </row>
    <row r="314" spans="1:19" hidden="1" x14ac:dyDescent="0.25">
      <c r="A314" s="114" t="s">
        <v>493</v>
      </c>
      <c r="B314" s="115" t="s">
        <v>7608</v>
      </c>
      <c r="C314" s="116" t="s">
        <v>16</v>
      </c>
      <c r="D314" s="116">
        <v>0</v>
      </c>
      <c r="E314" s="136">
        <f ca="1">OFFSET(INDEX(Composições!A:J,MATCH(Orçamentária!A314,Composições!A:A,0),8),2,0)</f>
        <v>183.20749999999998</v>
      </c>
      <c r="F314" s="137">
        <f t="shared" ca="1" si="27"/>
        <v>0</v>
      </c>
      <c r="G314" s="138" t="e">
        <f>IF(A314&lt;&gt;"",IF(AND(#REF!="Padrão",$H$4=#REF!),BDI!$B$17,IF(AND(#REF!="Padrão",$H$4=#REF!),BDI!#REF!,IF(AND(#REF!="Diferenciado",$H$4=#REF!),BDI!$E$17,IF(AND(#REF!="Diferenciado",$H$4=#REF!),BDI!#REF!,IF(#REF!="ZERO",0))))),"")</f>
        <v>#REF!</v>
      </c>
      <c r="H314" s="139" t="e">
        <f t="shared" ca="1" si="28"/>
        <v>#REF!</v>
      </c>
      <c r="I314" s="137" t="e">
        <f t="shared" ca="1" si="29"/>
        <v>#REF!</v>
      </c>
      <c r="J314" s="117"/>
      <c r="K314" s="116">
        <v>0</v>
      </c>
      <c r="M314" s="136" t="e">
        <f ca="1">OFFSET(INDEX([1]Composições!I:R,MATCH([1]Orçamentária!I314,[1]Composições!I:I,0),8),2,0)</f>
        <v>#REF!</v>
      </c>
      <c r="N314" t="e">
        <v>#REF!</v>
      </c>
      <c r="Q314" t="e">
        <v>#REF!</v>
      </c>
    </row>
    <row r="315" spans="1:19" hidden="1" x14ac:dyDescent="0.25">
      <c r="A315" s="114" t="s">
        <v>495</v>
      </c>
      <c r="B315" s="115" t="s">
        <v>1528</v>
      </c>
      <c r="C315" s="116" t="s">
        <v>16</v>
      </c>
      <c r="D315" s="116">
        <v>0</v>
      </c>
      <c r="E315" s="136">
        <f ca="1">OFFSET(INDEX(Composições!A:J,MATCH(Orçamentária!A315,Composições!A:A,0),8),2,0)</f>
        <v>130.86249999999998</v>
      </c>
      <c r="F315" s="137">
        <f t="shared" ca="1" si="27"/>
        <v>0</v>
      </c>
      <c r="G315" s="138" t="e">
        <f>IF(A315&lt;&gt;"",IF(AND(#REF!="Padrão",$H$4=#REF!),BDI!$B$17,IF(AND(#REF!="Padrão",$H$4=#REF!),BDI!#REF!,IF(AND(#REF!="Diferenciado",$H$4=#REF!),BDI!$E$17,IF(AND(#REF!="Diferenciado",$H$4=#REF!),BDI!#REF!,IF(#REF!="ZERO",0))))),"")</f>
        <v>#REF!</v>
      </c>
      <c r="H315" s="139" t="e">
        <f t="shared" ca="1" si="28"/>
        <v>#REF!</v>
      </c>
      <c r="I315" s="137" t="e">
        <f t="shared" ca="1" si="29"/>
        <v>#REF!</v>
      </c>
      <c r="J315" s="117"/>
      <c r="K315" s="116">
        <v>0</v>
      </c>
      <c r="M315" s="136" t="e">
        <f ca="1">OFFSET(INDEX([1]Composições!I:R,MATCH([1]Orçamentária!I315,[1]Composições!I:I,0),8),2,0)</f>
        <v>#REF!</v>
      </c>
      <c r="N315" t="e">
        <v>#REF!</v>
      </c>
      <c r="Q315" t="e">
        <v>#REF!</v>
      </c>
    </row>
    <row r="316" spans="1:19" hidden="1" x14ac:dyDescent="0.25">
      <c r="A316" s="114" t="s">
        <v>496</v>
      </c>
      <c r="B316" s="115" t="s">
        <v>1529</v>
      </c>
      <c r="C316" s="116" t="s">
        <v>16</v>
      </c>
      <c r="D316" s="116">
        <v>0</v>
      </c>
      <c r="E316" s="136">
        <f ca="1">OFFSET(INDEX(Composições!A:J,MATCH(Orçamentária!A316,Composições!A:A,0),8),2,0)</f>
        <v>49.418999999999997</v>
      </c>
      <c r="F316" s="137">
        <f t="shared" ca="1" si="27"/>
        <v>0</v>
      </c>
      <c r="G316" s="138" t="e">
        <f>IF(A316&lt;&gt;"",IF(AND(#REF!="Padrão",$H$4=#REF!),BDI!$B$17,IF(AND(#REF!="Padrão",$H$4=#REF!),BDI!#REF!,IF(AND(#REF!="Diferenciado",$H$4=#REF!),BDI!$E$17,IF(AND(#REF!="Diferenciado",$H$4=#REF!),BDI!#REF!,IF(#REF!="ZERO",0))))),"")</f>
        <v>#REF!</v>
      </c>
      <c r="H316" s="139" t="e">
        <f t="shared" ca="1" si="28"/>
        <v>#REF!</v>
      </c>
      <c r="I316" s="137" t="e">
        <f t="shared" ca="1" si="29"/>
        <v>#REF!</v>
      </c>
      <c r="J316" s="117"/>
      <c r="K316" s="116">
        <v>0</v>
      </c>
      <c r="M316" s="136" t="e">
        <f ca="1">OFFSET(INDEX([1]Composições!I:R,MATCH([1]Orçamentária!I316,[1]Composições!I:I,0),8),2,0)</f>
        <v>#REF!</v>
      </c>
      <c r="N316" t="e">
        <v>#REF!</v>
      </c>
      <c r="Q316" t="e">
        <v>#REF!</v>
      </c>
    </row>
    <row r="317" spans="1:19" hidden="1" x14ac:dyDescent="0.25">
      <c r="A317" s="114" t="s">
        <v>497</v>
      </c>
      <c r="B317" s="115" t="s">
        <v>1530</v>
      </c>
      <c r="C317" s="116" t="s">
        <v>16</v>
      </c>
      <c r="D317" s="116">
        <v>0</v>
      </c>
      <c r="E317" s="136">
        <f ca="1">OFFSET(INDEX(Composições!A:J,MATCH(Orçamentária!A317,Composições!A:A,0),8),2,0)</f>
        <v>35.076374999999999</v>
      </c>
      <c r="F317" s="137">
        <f t="shared" ca="1" si="27"/>
        <v>0</v>
      </c>
      <c r="G317" s="138" t="e">
        <f>IF(A317&lt;&gt;"",IF(AND(#REF!="Padrão",$H$4=#REF!),BDI!$B$17,IF(AND(#REF!="Padrão",$H$4=#REF!),BDI!#REF!,IF(AND(#REF!="Diferenciado",$H$4=#REF!),BDI!$E$17,IF(AND(#REF!="Diferenciado",$H$4=#REF!),BDI!#REF!,IF(#REF!="ZERO",0))))),"")</f>
        <v>#REF!</v>
      </c>
      <c r="H317" s="139" t="e">
        <f t="shared" ca="1" si="28"/>
        <v>#REF!</v>
      </c>
      <c r="I317" s="137" t="e">
        <f t="shared" ca="1" si="29"/>
        <v>#REF!</v>
      </c>
      <c r="J317" s="117"/>
      <c r="K317" s="116">
        <v>0</v>
      </c>
      <c r="M317" s="136" t="e">
        <f ca="1">OFFSET(INDEX([1]Composições!I:R,MATCH([1]Orçamentária!I317,[1]Composições!I:I,0),8),2,0)</f>
        <v>#REF!</v>
      </c>
      <c r="N317" t="e">
        <v>#REF!</v>
      </c>
      <c r="Q317" t="e">
        <v>#REF!</v>
      </c>
    </row>
    <row r="318" spans="1:19" hidden="1" x14ac:dyDescent="0.25">
      <c r="A318" s="114" t="s">
        <v>498</v>
      </c>
      <c r="B318" s="115" t="s">
        <v>1531</v>
      </c>
      <c r="C318" s="116" t="s">
        <v>16</v>
      </c>
      <c r="D318" s="116">
        <v>0</v>
      </c>
      <c r="E318" s="136">
        <f ca="1">OFFSET(INDEX(Composições!A:J,MATCH(Orçamentária!A318,Composições!A:A,0),8),2,0)</f>
        <v>23.982749999999999</v>
      </c>
      <c r="F318" s="137">
        <f t="shared" ca="1" si="27"/>
        <v>0</v>
      </c>
      <c r="G318" s="138" t="e">
        <f>IF(A318&lt;&gt;"",IF(AND(#REF!="Padrão",$H$4=#REF!),BDI!$B$17,IF(AND(#REF!="Padrão",$H$4=#REF!),BDI!#REF!,IF(AND(#REF!="Diferenciado",$H$4=#REF!),BDI!$E$17,IF(AND(#REF!="Diferenciado",$H$4=#REF!),BDI!#REF!,IF(#REF!="ZERO",0))))),"")</f>
        <v>#REF!</v>
      </c>
      <c r="H318" s="139" t="e">
        <f t="shared" ca="1" si="28"/>
        <v>#REF!</v>
      </c>
      <c r="I318" s="137" t="e">
        <f t="shared" ca="1" si="29"/>
        <v>#REF!</v>
      </c>
      <c r="J318" s="117"/>
      <c r="K318" s="116">
        <v>0</v>
      </c>
      <c r="M318" s="136" t="e">
        <f ca="1">OFFSET(INDEX([1]Composições!I:R,MATCH([1]Orçamentária!I318,[1]Composições!I:I,0),8),2,0)</f>
        <v>#REF!</v>
      </c>
      <c r="N318" t="e">
        <v>#REF!</v>
      </c>
      <c r="Q318" t="e">
        <v>#REF!</v>
      </c>
    </row>
    <row r="319" spans="1:19" hidden="1" x14ac:dyDescent="0.25">
      <c r="A319" s="114" t="s">
        <v>500</v>
      </c>
      <c r="B319" s="115" t="s">
        <v>1532</v>
      </c>
      <c r="C319" s="116" t="s">
        <v>69</v>
      </c>
      <c r="D319" s="116">
        <v>0</v>
      </c>
      <c r="E319" s="136">
        <f ca="1">OFFSET(INDEX(Composições!A:J,MATCH(Orçamentária!A319,Composições!A:A,0),8),2,0)</f>
        <v>1.15805</v>
      </c>
      <c r="F319" s="137">
        <f t="shared" ca="1" si="27"/>
        <v>0</v>
      </c>
      <c r="G319" s="138" t="e">
        <f>IF(A319&lt;&gt;"",IF(AND(#REF!="Padrão",$H$4=#REF!),BDI!$B$17,IF(AND(#REF!="Padrão",$H$4=#REF!),BDI!#REF!,IF(AND(#REF!="Diferenciado",$H$4=#REF!),BDI!$E$17,IF(AND(#REF!="Diferenciado",$H$4=#REF!),BDI!#REF!,IF(#REF!="ZERO",0))))),"")</f>
        <v>#REF!</v>
      </c>
      <c r="H319" s="139" t="e">
        <f t="shared" ca="1" si="28"/>
        <v>#REF!</v>
      </c>
      <c r="I319" s="137" t="e">
        <f t="shared" ca="1" si="29"/>
        <v>#REF!</v>
      </c>
      <c r="J319" s="117"/>
      <c r="K319" s="116">
        <v>0</v>
      </c>
      <c r="M319" s="136" t="e">
        <f ca="1">OFFSET(INDEX([1]Composições!I:R,MATCH([1]Orçamentária!I319,[1]Composições!I:I,0),8),2,0)</f>
        <v>#REF!</v>
      </c>
      <c r="N319" t="e">
        <v>#REF!</v>
      </c>
      <c r="Q319" t="e">
        <v>#REF!</v>
      </c>
    </row>
    <row r="320" spans="1:19" x14ac:dyDescent="0.25">
      <c r="A320" s="172" t="s">
        <v>502</v>
      </c>
      <c r="B320" s="173" t="s">
        <v>1533</v>
      </c>
      <c r="C320" s="174" t="s">
        <v>69</v>
      </c>
      <c r="D320" s="174">
        <v>890</v>
      </c>
      <c r="E320" s="136">
        <f ca="1">OFFSET(INDEX(Composições!A:J,MATCH(Orçamentária!A320,Composições!A:A,0),8),2,0)</f>
        <v>1.7780499999999999</v>
      </c>
      <c r="F320" s="137">
        <f t="shared" ca="1" si="27"/>
        <v>1582.4644999999998</v>
      </c>
      <c r="G320" s="138">
        <f>BDI!$B$17</f>
        <v>0.191</v>
      </c>
      <c r="H320" s="139">
        <f t="shared" ca="1" si="28"/>
        <v>2.12</v>
      </c>
      <c r="I320" s="137">
        <f t="shared" ca="1" si="29"/>
        <v>1886.8</v>
      </c>
      <c r="J320" s="117"/>
      <c r="K320" s="253">
        <v>890</v>
      </c>
      <c r="L320" s="236" t="str">
        <f>IF(D320&lt;&gt;K320,"ERRO","-")</f>
        <v>-</v>
      </c>
      <c r="M320" s="136">
        <f ca="1">OFFSET(INDEX(Composições!A:S,MATCH(A320,Composições!A:A,0),15),2,0)</f>
        <v>1.5220107999999999</v>
      </c>
      <c r="N320" s="237">
        <v>0.191</v>
      </c>
      <c r="O320" s="236">
        <f ca="1">ROUND(M320*(1+N320),2)</f>
        <v>1.81</v>
      </c>
      <c r="P320" s="238">
        <f ca="1">ROUND(K320*O320,2)</f>
        <v>1610.9</v>
      </c>
      <c r="Q320" s="236">
        <v>1610.9</v>
      </c>
      <c r="R320" s="236">
        <f ca="1">P320-Q320</f>
        <v>0</v>
      </c>
      <c r="S320" s="239">
        <f ca="1">IF(ISNUMBER(O320),1-P320/$I320,"")</f>
        <v>0.14622641509433953</v>
      </c>
    </row>
    <row r="321" spans="1:19" hidden="1" x14ac:dyDescent="0.25">
      <c r="A321" s="114" t="s">
        <v>504</v>
      </c>
      <c r="B321" s="115" t="s">
        <v>1534</v>
      </c>
      <c r="C321" s="116" t="s">
        <v>69</v>
      </c>
      <c r="D321" s="116">
        <v>0</v>
      </c>
      <c r="E321" s="136">
        <f ca="1">OFFSET(INDEX(Composições!A:J,MATCH(Orçamentária!A321,Composições!A:A,0),8),2,0)</f>
        <v>1.15805</v>
      </c>
      <c r="F321" s="137">
        <f t="shared" ca="1" si="27"/>
        <v>0</v>
      </c>
      <c r="G321" s="138" t="e">
        <f>IF(A321&lt;&gt;"",IF(AND(#REF!="Padrão",$H$4=#REF!),BDI!$B$17,IF(AND(#REF!="Padrão",$H$4=#REF!),BDI!#REF!,IF(AND(#REF!="Diferenciado",$H$4=#REF!),BDI!$E$17,IF(AND(#REF!="Diferenciado",$H$4=#REF!),BDI!#REF!,IF(#REF!="ZERO",0))))),"")</f>
        <v>#REF!</v>
      </c>
      <c r="H321" s="139" t="e">
        <f t="shared" ca="1" si="28"/>
        <v>#REF!</v>
      </c>
      <c r="I321" s="137" t="e">
        <f t="shared" ca="1" si="29"/>
        <v>#REF!</v>
      </c>
      <c r="J321" s="117"/>
      <c r="K321" s="116">
        <v>0</v>
      </c>
      <c r="M321" s="136" t="e">
        <f ca="1">OFFSET(INDEX([1]Composições!I:R,MATCH([1]Orçamentária!I321,[1]Composições!I:I,0),8),2,0)</f>
        <v>#REF!</v>
      </c>
      <c r="N321" t="e">
        <v>#REF!</v>
      </c>
      <c r="Q321" t="e">
        <v>#REF!</v>
      </c>
    </row>
    <row r="322" spans="1:19" x14ac:dyDescent="0.25">
      <c r="A322" s="172" t="s">
        <v>506</v>
      </c>
      <c r="B322" s="173" t="s">
        <v>1535</v>
      </c>
      <c r="C322" s="174" t="s">
        <v>16</v>
      </c>
      <c r="D322" s="174">
        <v>21</v>
      </c>
      <c r="E322" s="136">
        <f ca="1">OFFSET(INDEX(Composições!A:J,MATCH(Orçamentária!A322,Composições!A:A,0),8),2,0)</f>
        <v>167.29275000000001</v>
      </c>
      <c r="F322" s="137">
        <f t="shared" ca="1" si="27"/>
        <v>3513.1477500000001</v>
      </c>
      <c r="G322" s="138">
        <f>BDI!$B$17</f>
        <v>0.191</v>
      </c>
      <c r="H322" s="139">
        <f t="shared" ca="1" si="28"/>
        <v>199.25</v>
      </c>
      <c r="I322" s="137">
        <f t="shared" ca="1" si="29"/>
        <v>4184.25</v>
      </c>
      <c r="J322" s="117"/>
      <c r="K322" s="253">
        <v>21</v>
      </c>
      <c r="L322" s="236" t="str">
        <f t="shared" ref="L322:L323" si="45">IF(D322&lt;&gt;K322,"ERRO","-")</f>
        <v>-</v>
      </c>
      <c r="M322" s="136">
        <f ca="1">OFFSET(INDEX(Composições!A:S,MATCH(A322,Composições!A:A,0),15),2,0)</f>
        <v>143.202594</v>
      </c>
      <c r="N322" s="237">
        <v>0.191</v>
      </c>
      <c r="O322" s="236">
        <f t="shared" ref="O322:O323" ca="1" si="46">ROUND(M322*(1+N322),2)</f>
        <v>170.55</v>
      </c>
      <c r="P322" s="238">
        <f t="shared" ref="P322:P323" ca="1" si="47">ROUND(K322*O322,2)</f>
        <v>3581.55</v>
      </c>
      <c r="Q322" s="236">
        <v>3581.55</v>
      </c>
      <c r="R322" s="236">
        <f t="shared" ref="R322:R323" ca="1" si="48">P322-Q322</f>
        <v>0</v>
      </c>
      <c r="S322" s="239">
        <f t="shared" ref="S322:S323" ca="1" si="49">IF(ISNUMBER(O322),1-P322/$I322,"")</f>
        <v>0.14404015056461728</v>
      </c>
    </row>
    <row r="323" spans="1:19" x14ac:dyDescent="0.25">
      <c r="A323" s="172" t="s">
        <v>508</v>
      </c>
      <c r="B323" s="173" t="s">
        <v>509</v>
      </c>
      <c r="C323" s="174" t="s">
        <v>16</v>
      </c>
      <c r="D323" s="174">
        <v>21</v>
      </c>
      <c r="E323" s="136">
        <f ca="1">OFFSET(INDEX(Composições!A:J,MATCH(Orçamentária!A323,Composições!A:A,0),8),2,0)</f>
        <v>147.26275000000001</v>
      </c>
      <c r="F323" s="137">
        <f t="shared" ca="1" si="27"/>
        <v>3092.5177500000004</v>
      </c>
      <c r="G323" s="138">
        <f>BDI!$B$17</f>
        <v>0.191</v>
      </c>
      <c r="H323" s="139">
        <f t="shared" ca="1" si="28"/>
        <v>175.39</v>
      </c>
      <c r="I323" s="137">
        <f t="shared" ca="1" si="29"/>
        <v>3683.19</v>
      </c>
      <c r="J323" s="117"/>
      <c r="K323" s="253">
        <v>21</v>
      </c>
      <c r="L323" s="236" t="str">
        <f t="shared" si="45"/>
        <v>-</v>
      </c>
      <c r="M323" s="136">
        <f ca="1">OFFSET(INDEX(Composições!A:S,MATCH(A323,Composições!A:A,0),15),2,0)</f>
        <v>126.05691400000001</v>
      </c>
      <c r="N323" s="237">
        <v>0.191</v>
      </c>
      <c r="O323" s="236">
        <f t="shared" ca="1" si="46"/>
        <v>150.13</v>
      </c>
      <c r="P323" s="238">
        <f t="shared" ca="1" si="47"/>
        <v>3152.73</v>
      </c>
      <c r="Q323" s="236">
        <v>3152.73</v>
      </c>
      <c r="R323" s="236">
        <f t="shared" ca="1" si="48"/>
        <v>0</v>
      </c>
      <c r="S323" s="239">
        <f t="shared" ca="1" si="49"/>
        <v>0.14402189406465593</v>
      </c>
    </row>
    <row r="324" spans="1:19" hidden="1" x14ac:dyDescent="0.25">
      <c r="A324" s="114" t="s">
        <v>510</v>
      </c>
      <c r="B324" s="115" t="s">
        <v>1536</v>
      </c>
      <c r="C324" s="116" t="s">
        <v>16</v>
      </c>
      <c r="D324" s="116">
        <v>0</v>
      </c>
      <c r="E324" s="136">
        <f ca="1">OFFSET(INDEX(Composições!A:J,MATCH(Orçamentária!A324,Composições!A:A,0),8),2,0)</f>
        <v>7.3193785499999997</v>
      </c>
      <c r="F324" s="137">
        <f t="shared" ca="1" si="27"/>
        <v>0</v>
      </c>
      <c r="G324" s="138" t="e">
        <f>IF(A324&lt;&gt;"",IF(AND(#REF!="Padrão",$H$4=#REF!),BDI!$B$17,IF(AND(#REF!="Padrão",$H$4=#REF!),BDI!#REF!,IF(AND(#REF!="Diferenciado",$H$4=#REF!),BDI!$E$17,IF(AND(#REF!="Diferenciado",$H$4=#REF!),BDI!#REF!,IF(#REF!="ZERO",0))))),"")</f>
        <v>#REF!</v>
      </c>
      <c r="H324" s="139" t="e">
        <f t="shared" ca="1" si="28"/>
        <v>#REF!</v>
      </c>
      <c r="I324" s="137" t="e">
        <f t="shared" ca="1" si="29"/>
        <v>#REF!</v>
      </c>
      <c r="J324" s="117"/>
      <c r="K324" s="116">
        <v>0</v>
      </c>
      <c r="M324" s="136" t="e">
        <f ca="1">OFFSET(INDEX([1]Composições!I:R,MATCH([1]Orçamentária!I324,[1]Composições!I:I,0),8),2,0)</f>
        <v>#REF!</v>
      </c>
      <c r="N324" t="e">
        <v>#REF!</v>
      </c>
      <c r="Q324" t="e">
        <v>#REF!</v>
      </c>
    </row>
    <row r="325" spans="1:19" hidden="1" x14ac:dyDescent="0.25">
      <c r="A325" s="114" t="s">
        <v>512</v>
      </c>
      <c r="B325" s="115" t="s">
        <v>1537</v>
      </c>
      <c r="C325" s="116" t="s">
        <v>16</v>
      </c>
      <c r="D325" s="116">
        <v>0</v>
      </c>
      <c r="E325" s="136">
        <f ca="1">OFFSET(INDEX(Composições!A:J,MATCH(Orçamentária!A325,Composições!A:A,0),8),2,0)</f>
        <v>5.4435950000000002</v>
      </c>
      <c r="F325" s="137">
        <f t="shared" ca="1" si="27"/>
        <v>0</v>
      </c>
      <c r="G325" s="138" t="e">
        <f>IF(A325&lt;&gt;"",IF(AND(#REF!="Padrão",$H$4=#REF!),BDI!$B$17,IF(AND(#REF!="Padrão",$H$4=#REF!),BDI!#REF!,IF(AND(#REF!="Diferenciado",$H$4=#REF!),BDI!$E$17,IF(AND(#REF!="Diferenciado",$H$4=#REF!),BDI!#REF!,IF(#REF!="ZERO",0))))),"")</f>
        <v>#REF!</v>
      </c>
      <c r="H325" s="139" t="e">
        <f t="shared" ca="1" si="28"/>
        <v>#REF!</v>
      </c>
      <c r="I325" s="137" t="e">
        <f t="shared" ca="1" si="29"/>
        <v>#REF!</v>
      </c>
      <c r="J325" s="117"/>
      <c r="K325" s="116">
        <v>0</v>
      </c>
      <c r="M325" s="136" t="e">
        <f ca="1">OFFSET(INDEX([1]Composições!I:R,MATCH([1]Orçamentária!I325,[1]Composições!I:I,0),8),2,0)</f>
        <v>#REF!</v>
      </c>
      <c r="N325" t="e">
        <v>#REF!</v>
      </c>
      <c r="Q325" t="e">
        <v>#REF!</v>
      </c>
    </row>
    <row r="326" spans="1:19" hidden="1" x14ac:dyDescent="0.25">
      <c r="A326" s="114" t="s">
        <v>514</v>
      </c>
      <c r="B326" s="115" t="s">
        <v>1538</v>
      </c>
      <c r="C326" s="116" t="s">
        <v>16</v>
      </c>
      <c r="D326" s="116">
        <v>0</v>
      </c>
      <c r="E326" s="136">
        <f ca="1">OFFSET(INDEX(Composições!A:J,MATCH(Orçamentária!A326,Composições!A:A,0),8),2,0)</f>
        <v>7.3193785499999997</v>
      </c>
      <c r="F326" s="137">
        <f t="shared" ca="1" si="27"/>
        <v>0</v>
      </c>
      <c r="G326" s="138" t="e">
        <f>IF(A326&lt;&gt;"",IF(AND(#REF!="Padrão",$H$4=#REF!),BDI!$B$17,IF(AND(#REF!="Padrão",$H$4=#REF!),BDI!#REF!,IF(AND(#REF!="Diferenciado",$H$4=#REF!),BDI!$E$17,IF(AND(#REF!="Diferenciado",$H$4=#REF!),BDI!#REF!,IF(#REF!="ZERO",0))))),"")</f>
        <v>#REF!</v>
      </c>
      <c r="H326" s="139" t="e">
        <f t="shared" ca="1" si="28"/>
        <v>#REF!</v>
      </c>
      <c r="I326" s="137" t="e">
        <f t="shared" ca="1" si="29"/>
        <v>#REF!</v>
      </c>
      <c r="J326" s="117"/>
      <c r="K326" s="116">
        <v>0</v>
      </c>
      <c r="M326" s="136" t="e">
        <f ca="1">OFFSET(INDEX([1]Composições!I:R,MATCH([1]Orçamentária!I326,[1]Composições!I:I,0),8),2,0)</f>
        <v>#REF!</v>
      </c>
      <c r="N326" t="e">
        <v>#REF!</v>
      </c>
      <c r="Q326" t="e">
        <v>#REF!</v>
      </c>
    </row>
    <row r="327" spans="1:19" hidden="1" x14ac:dyDescent="0.25">
      <c r="A327" s="114" t="s">
        <v>517</v>
      </c>
      <c r="B327" s="115" t="s">
        <v>1539</v>
      </c>
      <c r="C327" s="116" t="s">
        <v>16</v>
      </c>
      <c r="D327" s="116">
        <v>0</v>
      </c>
      <c r="E327" s="136">
        <f ca="1">OFFSET(INDEX(Composições!A:J,MATCH(Orçamentária!A327,Composições!A:A,0),8),2,0)</f>
        <v>5.4435950000000002</v>
      </c>
      <c r="F327" s="137">
        <f t="shared" ref="F327:F390" ca="1" si="50">IF(ISNUMBER(E327),D327*E327,"")</f>
        <v>0</v>
      </c>
      <c r="G327" s="138" t="e">
        <f>IF(A327&lt;&gt;"",IF(AND(#REF!="Padrão",$H$4=#REF!),BDI!$B$17,IF(AND(#REF!="Padrão",$H$4=#REF!),BDI!#REF!,IF(AND(#REF!="Diferenciado",$H$4=#REF!),BDI!$E$17,IF(AND(#REF!="Diferenciado",$H$4=#REF!),BDI!#REF!,IF(#REF!="ZERO",0))))),"")</f>
        <v>#REF!</v>
      </c>
      <c r="H327" s="139" t="e">
        <f t="shared" ref="H327:H390" ca="1" si="51">IF(ISNUMBER(E327),ROUND(E327*(1+G327),2),"")</f>
        <v>#REF!</v>
      </c>
      <c r="I327" s="137" t="e">
        <f t="shared" ref="I327:I390" ca="1" si="52">IF(ISNUMBER(E327),ROUND(H327*D327,2),"")</f>
        <v>#REF!</v>
      </c>
      <c r="J327" s="117"/>
      <c r="K327" s="116">
        <v>0</v>
      </c>
      <c r="M327" s="136" t="e">
        <f ca="1">OFFSET(INDEX([1]Composições!I:R,MATCH([1]Orçamentária!I327,[1]Composições!I:I,0),8),2,0)</f>
        <v>#REF!</v>
      </c>
      <c r="N327" t="e">
        <v>#REF!</v>
      </c>
      <c r="Q327" t="e">
        <v>#REF!</v>
      </c>
    </row>
    <row r="328" spans="1:19" hidden="1" x14ac:dyDescent="0.25">
      <c r="A328" s="114" t="s">
        <v>519</v>
      </c>
      <c r="B328" s="115" t="s">
        <v>1540</v>
      </c>
      <c r="C328" s="116" t="s">
        <v>16</v>
      </c>
      <c r="D328" s="116">
        <v>0</v>
      </c>
      <c r="E328" s="136">
        <f ca="1">OFFSET(INDEX(Composições!A:J,MATCH(Orçamentária!A328,Composições!A:A,0),8),2,0)</f>
        <v>162.37565965000002</v>
      </c>
      <c r="F328" s="137">
        <f t="shared" ca="1" si="50"/>
        <v>0</v>
      </c>
      <c r="G328" s="138" t="e">
        <f>IF(A328&lt;&gt;"",IF(AND(#REF!="Padrão",$H$4=#REF!),BDI!$B$17,IF(AND(#REF!="Padrão",$H$4=#REF!),BDI!#REF!,IF(AND(#REF!="Diferenciado",$H$4=#REF!),BDI!$E$17,IF(AND(#REF!="Diferenciado",$H$4=#REF!),BDI!#REF!,IF(#REF!="ZERO",0))))),"")</f>
        <v>#REF!</v>
      </c>
      <c r="H328" s="139" t="e">
        <f t="shared" ca="1" si="51"/>
        <v>#REF!</v>
      </c>
      <c r="I328" s="137" t="e">
        <f t="shared" ca="1" si="52"/>
        <v>#REF!</v>
      </c>
      <c r="J328" s="117"/>
      <c r="K328" s="116">
        <v>0</v>
      </c>
      <c r="M328" s="136" t="e">
        <f ca="1">OFFSET(INDEX([1]Composições!I:R,MATCH([1]Orçamentária!I328,[1]Composições!I:I,0),8),2,0)</f>
        <v>#REF!</v>
      </c>
      <c r="N328" t="e">
        <v>#REF!</v>
      </c>
      <c r="Q328" t="e">
        <v>#REF!</v>
      </c>
    </row>
    <row r="329" spans="1:19" hidden="1" x14ac:dyDescent="0.25">
      <c r="A329" s="114" t="s">
        <v>521</v>
      </c>
      <c r="B329" s="115" t="s">
        <v>1541</v>
      </c>
      <c r="C329" s="116" t="s">
        <v>16</v>
      </c>
      <c r="D329" s="116">
        <v>0</v>
      </c>
      <c r="E329" s="136">
        <f ca="1">OFFSET(INDEX(Composições!A:J,MATCH(Orçamentária!A329,Composições!A:A,0),8),2,0)</f>
        <v>133.97592074999997</v>
      </c>
      <c r="F329" s="137">
        <f t="shared" ca="1" si="50"/>
        <v>0</v>
      </c>
      <c r="G329" s="138" t="e">
        <f>IF(A329&lt;&gt;"",IF(AND(#REF!="Padrão",$H$4=#REF!),BDI!$B$17,IF(AND(#REF!="Padrão",$H$4=#REF!),BDI!#REF!,IF(AND(#REF!="Diferenciado",$H$4=#REF!),BDI!$E$17,IF(AND(#REF!="Diferenciado",$H$4=#REF!),BDI!#REF!,IF(#REF!="ZERO",0))))),"")</f>
        <v>#REF!</v>
      </c>
      <c r="H329" s="139" t="e">
        <f t="shared" ca="1" si="51"/>
        <v>#REF!</v>
      </c>
      <c r="I329" s="137" t="e">
        <f t="shared" ca="1" si="52"/>
        <v>#REF!</v>
      </c>
      <c r="J329" s="117"/>
      <c r="K329" s="116">
        <v>0</v>
      </c>
      <c r="M329" s="136" t="e">
        <f ca="1">OFFSET(INDEX([1]Composições!I:R,MATCH([1]Orçamentária!I329,[1]Composições!I:I,0),8),2,0)</f>
        <v>#REF!</v>
      </c>
      <c r="N329" t="e">
        <v>#REF!</v>
      </c>
      <c r="Q329" t="e">
        <v>#REF!</v>
      </c>
    </row>
    <row r="330" spans="1:19" hidden="1" x14ac:dyDescent="0.25">
      <c r="A330" s="114" t="s">
        <v>523</v>
      </c>
      <c r="B330" s="115" t="s">
        <v>1542</v>
      </c>
      <c r="C330" s="116" t="s">
        <v>16</v>
      </c>
      <c r="D330" s="116">
        <v>0</v>
      </c>
      <c r="E330" s="136">
        <f ca="1">OFFSET(INDEX(Composições!A:J,MATCH(Orçamentária!A330,Composições!A:A,0),8),2,0)</f>
        <v>90.539378549999981</v>
      </c>
      <c r="F330" s="137">
        <f t="shared" ca="1" si="50"/>
        <v>0</v>
      </c>
      <c r="G330" s="138" t="e">
        <f>IF(A330&lt;&gt;"",IF(AND(#REF!="Padrão",$H$4=#REF!),BDI!$B$17,IF(AND(#REF!="Padrão",$H$4=#REF!),BDI!#REF!,IF(AND(#REF!="Diferenciado",$H$4=#REF!),BDI!$E$17,IF(AND(#REF!="Diferenciado",$H$4=#REF!),BDI!#REF!,IF(#REF!="ZERO",0))))),"")</f>
        <v>#REF!</v>
      </c>
      <c r="H330" s="139" t="e">
        <f t="shared" ca="1" si="51"/>
        <v>#REF!</v>
      </c>
      <c r="I330" s="137" t="e">
        <f t="shared" ca="1" si="52"/>
        <v>#REF!</v>
      </c>
      <c r="J330" s="117"/>
      <c r="K330" s="116">
        <v>0</v>
      </c>
      <c r="M330" s="136" t="e">
        <f ca="1">OFFSET(INDEX([1]Composições!I:R,MATCH([1]Orçamentária!I330,[1]Composições!I:I,0),8),2,0)</f>
        <v>#REF!</v>
      </c>
      <c r="N330" t="e">
        <v>#REF!</v>
      </c>
      <c r="Q330" t="e">
        <v>#REF!</v>
      </c>
    </row>
    <row r="331" spans="1:19" hidden="1" x14ac:dyDescent="0.25">
      <c r="A331" s="114" t="s">
        <v>524</v>
      </c>
      <c r="B331" s="115" t="s">
        <v>1543</v>
      </c>
      <c r="C331" s="116" t="s">
        <v>16</v>
      </c>
      <c r="D331" s="116">
        <v>0</v>
      </c>
      <c r="E331" s="136">
        <f ca="1">OFFSET(INDEX(Composições!A:J,MATCH(Orçamentária!A331,Composições!A:A,0),8),2,0)</f>
        <v>67.089095</v>
      </c>
      <c r="F331" s="137">
        <f t="shared" ca="1" si="50"/>
        <v>0</v>
      </c>
      <c r="G331" s="138" t="e">
        <f>IF(A331&lt;&gt;"",IF(AND(#REF!="Padrão",$H$4=#REF!),BDI!$B$17,IF(AND(#REF!="Padrão",$H$4=#REF!),BDI!#REF!,IF(AND(#REF!="Diferenciado",$H$4=#REF!),BDI!$E$17,IF(AND(#REF!="Diferenciado",$H$4=#REF!),BDI!#REF!,IF(#REF!="ZERO",0))))),"")</f>
        <v>#REF!</v>
      </c>
      <c r="H331" s="139" t="e">
        <f t="shared" ca="1" si="51"/>
        <v>#REF!</v>
      </c>
      <c r="I331" s="137" t="e">
        <f t="shared" ca="1" si="52"/>
        <v>#REF!</v>
      </c>
      <c r="J331" s="117"/>
      <c r="K331" s="116">
        <v>0</v>
      </c>
      <c r="M331" s="136" t="e">
        <f ca="1">OFFSET(INDEX([1]Composições!I:R,MATCH([1]Orçamentária!I331,[1]Composições!I:I,0),8),2,0)</f>
        <v>#REF!</v>
      </c>
      <c r="N331" t="e">
        <v>#REF!</v>
      </c>
      <c r="Q331" t="e">
        <v>#REF!</v>
      </c>
    </row>
    <row r="332" spans="1:19" hidden="1" x14ac:dyDescent="0.25">
      <c r="A332" s="114" t="s">
        <v>525</v>
      </c>
      <c r="B332" s="115" t="s">
        <v>1544</v>
      </c>
      <c r="C332" s="116" t="s">
        <v>70</v>
      </c>
      <c r="D332" s="116">
        <v>0</v>
      </c>
      <c r="E332" s="136">
        <f ca="1">OFFSET(INDEX(Composições!A:J,MATCH(Orçamentária!A332,Composições!A:A,0),8),2,0)</f>
        <v>4.7965499999999999</v>
      </c>
      <c r="F332" s="137">
        <f t="shared" ca="1" si="50"/>
        <v>0</v>
      </c>
      <c r="G332" s="138" t="e">
        <f>IF(A332&lt;&gt;"",IF(AND(#REF!="Padrão",$H$4=#REF!),BDI!$B$17,IF(AND(#REF!="Padrão",$H$4=#REF!),BDI!#REF!,IF(AND(#REF!="Diferenciado",$H$4=#REF!),BDI!$E$17,IF(AND(#REF!="Diferenciado",$H$4=#REF!),BDI!#REF!,IF(#REF!="ZERO",0))))),"")</f>
        <v>#REF!</v>
      </c>
      <c r="H332" s="139" t="e">
        <f t="shared" ca="1" si="51"/>
        <v>#REF!</v>
      </c>
      <c r="I332" s="137" t="e">
        <f t="shared" ca="1" si="52"/>
        <v>#REF!</v>
      </c>
      <c r="J332" s="117"/>
      <c r="K332" s="116">
        <v>0</v>
      </c>
      <c r="M332" s="136" t="e">
        <f ca="1">OFFSET(INDEX([1]Composições!I:R,MATCH([1]Orçamentária!I332,[1]Composições!I:I,0),8),2,0)</f>
        <v>#REF!</v>
      </c>
      <c r="N332" t="e">
        <v>#REF!</v>
      </c>
      <c r="Q332" t="e">
        <v>#REF!</v>
      </c>
    </row>
    <row r="333" spans="1:19" hidden="1" x14ac:dyDescent="0.25">
      <c r="A333" s="114" t="s">
        <v>527</v>
      </c>
      <c r="B333" s="115" t="s">
        <v>1545</v>
      </c>
      <c r="C333" s="116" t="s">
        <v>69</v>
      </c>
      <c r="D333" s="116">
        <v>0</v>
      </c>
      <c r="E333" s="136">
        <f ca="1">OFFSET(INDEX(Composições!A:J,MATCH(Orçamentária!A333,Composições!A:A,0),8),2,0)</f>
        <v>0.92093759999999991</v>
      </c>
      <c r="F333" s="137">
        <f t="shared" ca="1" si="50"/>
        <v>0</v>
      </c>
      <c r="G333" s="138" t="e">
        <f>IF(A333&lt;&gt;"",IF(AND(#REF!="Padrão",$H$4=#REF!),BDI!$B$17,IF(AND(#REF!="Padrão",$H$4=#REF!),BDI!#REF!,IF(AND(#REF!="Diferenciado",$H$4=#REF!),BDI!$E$17,IF(AND(#REF!="Diferenciado",$H$4=#REF!),BDI!#REF!,IF(#REF!="ZERO",0))))),"")</f>
        <v>#REF!</v>
      </c>
      <c r="H333" s="139" t="e">
        <f t="shared" ca="1" si="51"/>
        <v>#REF!</v>
      </c>
      <c r="I333" s="137" t="e">
        <f t="shared" ca="1" si="52"/>
        <v>#REF!</v>
      </c>
      <c r="J333" s="117"/>
      <c r="K333" s="116">
        <v>0</v>
      </c>
      <c r="M333" s="136" t="e">
        <f ca="1">OFFSET(INDEX([1]Composições!I:R,MATCH([1]Orçamentária!I333,[1]Composições!I:I,0),8),2,0)</f>
        <v>#REF!</v>
      </c>
      <c r="N333" t="e">
        <v>#REF!</v>
      </c>
      <c r="Q333" t="e">
        <v>#REF!</v>
      </c>
    </row>
    <row r="334" spans="1:19" x14ac:dyDescent="0.25">
      <c r="A334" s="172" t="s">
        <v>530</v>
      </c>
      <c r="B334" s="173" t="s">
        <v>1546</v>
      </c>
      <c r="C334" s="174" t="s">
        <v>69</v>
      </c>
      <c r="D334" s="174">
        <v>105</v>
      </c>
      <c r="E334" s="136">
        <f ca="1">OFFSET(INDEX(Composições!A:J,MATCH(Orçamentária!A334,Composições!A:A,0),8),2,0)</f>
        <v>9.7102836499999974</v>
      </c>
      <c r="F334" s="137">
        <f t="shared" ca="1" si="50"/>
        <v>1019.5797832499998</v>
      </c>
      <c r="G334" s="138">
        <f>BDI!$B$17</f>
        <v>0.191</v>
      </c>
      <c r="H334" s="139">
        <f t="shared" ca="1" si="51"/>
        <v>11.56</v>
      </c>
      <c r="I334" s="137">
        <f t="shared" ca="1" si="52"/>
        <v>1213.8</v>
      </c>
      <c r="J334" s="117"/>
      <c r="K334" s="253">
        <v>105</v>
      </c>
      <c r="L334" s="236" t="str">
        <f t="shared" ref="L334:L335" si="53">IF(D334&lt;&gt;K334,"ERRO","-")</f>
        <v>-</v>
      </c>
      <c r="M334" s="136">
        <f ca="1">OFFSET(INDEX(Composições!A:S,MATCH(A334,Composições!A:A,0),15),2,0)</f>
        <v>8.3120028044000005</v>
      </c>
      <c r="N334" s="237">
        <v>0.191</v>
      </c>
      <c r="O334" s="236">
        <f t="shared" ref="O334:O335" ca="1" si="54">ROUND(M334*(1+N334),2)</f>
        <v>9.9</v>
      </c>
      <c r="P334" s="238">
        <f t="shared" ref="P334:P335" ca="1" si="55">ROUND(K334*O334,2)</f>
        <v>1039.5</v>
      </c>
      <c r="Q334" s="236">
        <v>1039.5</v>
      </c>
      <c r="R334" s="236">
        <f t="shared" ref="R334:R335" ca="1" si="56">P334-Q334</f>
        <v>0</v>
      </c>
      <c r="S334" s="239">
        <f t="shared" ref="S334:S335" ca="1" si="57">IF(ISNUMBER(O334),1-P334/$I334,"")</f>
        <v>0.143598615916955</v>
      </c>
    </row>
    <row r="335" spans="1:19" x14ac:dyDescent="0.25">
      <c r="A335" s="172" t="s">
        <v>532</v>
      </c>
      <c r="B335" s="173" t="s">
        <v>1547</v>
      </c>
      <c r="C335" s="174" t="s">
        <v>69</v>
      </c>
      <c r="D335" s="174">
        <v>105</v>
      </c>
      <c r="E335" s="136">
        <f ca="1">OFFSET(INDEX(Composições!A:J,MATCH(Orçamentária!A335,Composições!A:A,0),8),2,0)</f>
        <v>8.1103927999999978</v>
      </c>
      <c r="F335" s="137">
        <f t="shared" ca="1" si="50"/>
        <v>851.59124399999973</v>
      </c>
      <c r="G335" s="138">
        <f>BDI!$B$17</f>
        <v>0.191</v>
      </c>
      <c r="H335" s="139">
        <f t="shared" ca="1" si="51"/>
        <v>9.66</v>
      </c>
      <c r="I335" s="137">
        <f t="shared" ca="1" si="52"/>
        <v>1014.3</v>
      </c>
      <c r="J335" s="117"/>
      <c r="K335" s="253">
        <v>105</v>
      </c>
      <c r="L335" s="236" t="str">
        <f t="shared" si="53"/>
        <v>-</v>
      </c>
      <c r="M335" s="136">
        <f ca="1">OFFSET(INDEX(Composições!A:S,MATCH(A335,Composições!A:A,0),15),2,0)</f>
        <v>6.9424962367999985</v>
      </c>
      <c r="N335" s="237">
        <v>0.191</v>
      </c>
      <c r="O335" s="236">
        <f t="shared" ca="1" si="54"/>
        <v>8.27</v>
      </c>
      <c r="P335" s="238">
        <f t="shared" ca="1" si="55"/>
        <v>868.35</v>
      </c>
      <c r="Q335" s="236">
        <v>868.35</v>
      </c>
      <c r="R335" s="236">
        <f t="shared" ca="1" si="56"/>
        <v>0</v>
      </c>
      <c r="S335" s="239">
        <f t="shared" ca="1" si="57"/>
        <v>0.14389233954451341</v>
      </c>
    </row>
    <row r="336" spans="1:19" hidden="1" x14ac:dyDescent="0.25">
      <c r="A336" s="114" t="s">
        <v>534</v>
      </c>
      <c r="B336" s="115" t="s">
        <v>1548</v>
      </c>
      <c r="C336" s="116" t="s">
        <v>69</v>
      </c>
      <c r="D336" s="116">
        <v>0</v>
      </c>
      <c r="E336" s="136">
        <f ca="1">OFFSET(INDEX(Composições!A:J,MATCH(Orçamentária!A336,Composições!A:A,0),8),2,0)</f>
        <v>18.984196600000001</v>
      </c>
      <c r="F336" s="137">
        <f t="shared" ca="1" si="50"/>
        <v>0</v>
      </c>
      <c r="G336" s="138" t="e">
        <f>IF(A336&lt;&gt;"",IF(AND(#REF!="Padrão",$H$4=#REF!),BDI!$B$17,IF(AND(#REF!="Padrão",$H$4=#REF!),BDI!#REF!,IF(AND(#REF!="Diferenciado",$H$4=#REF!),BDI!$E$17,IF(AND(#REF!="Diferenciado",$H$4=#REF!),BDI!#REF!,IF(#REF!="ZERO",0))))),"")</f>
        <v>#REF!</v>
      </c>
      <c r="H336" s="139" t="e">
        <f t="shared" ca="1" si="51"/>
        <v>#REF!</v>
      </c>
      <c r="I336" s="137" t="e">
        <f t="shared" ca="1" si="52"/>
        <v>#REF!</v>
      </c>
      <c r="J336" s="117"/>
      <c r="K336" s="116">
        <v>0</v>
      </c>
      <c r="M336" s="136" t="e">
        <f ca="1">OFFSET(INDEX([1]Composições!I:R,MATCH([1]Orçamentária!I336,[1]Composições!I:I,0),8),2,0)</f>
        <v>#REF!</v>
      </c>
      <c r="N336" t="e">
        <v>#REF!</v>
      </c>
      <c r="Q336" t="e">
        <v>#REF!</v>
      </c>
    </row>
    <row r="337" spans="1:19" x14ac:dyDescent="0.25">
      <c r="A337" s="172" t="s">
        <v>536</v>
      </c>
      <c r="B337" s="173" t="s">
        <v>1549</v>
      </c>
      <c r="C337" s="174" t="s">
        <v>69</v>
      </c>
      <c r="D337" s="174">
        <v>118</v>
      </c>
      <c r="E337" s="136">
        <f ca="1">OFFSET(INDEX(Composições!A:J,MATCH(Orçamentária!A337,Composições!A:A,0),8),2,0)</f>
        <v>9.5097710499999994</v>
      </c>
      <c r="F337" s="137">
        <f t="shared" ca="1" si="50"/>
        <v>1122.1529839</v>
      </c>
      <c r="G337" s="138">
        <f>BDI!$B$17</f>
        <v>0.191</v>
      </c>
      <c r="H337" s="139">
        <f t="shared" ca="1" si="51"/>
        <v>11.33</v>
      </c>
      <c r="I337" s="137">
        <f t="shared" ca="1" si="52"/>
        <v>1336.94</v>
      </c>
      <c r="J337" s="117"/>
      <c r="K337" s="253">
        <v>118</v>
      </c>
      <c r="L337" s="236" t="str">
        <f t="shared" ref="L337:L339" si="58">IF(D337&lt;&gt;K337,"ERRO","-")</f>
        <v>-</v>
      </c>
      <c r="M337" s="136">
        <f ca="1">OFFSET(INDEX(Composições!A:S,MATCH(A337,Composições!A:A,0),15),2,0)</f>
        <v>8.1403640187999997</v>
      </c>
      <c r="N337" s="237">
        <v>0.191</v>
      </c>
      <c r="O337" s="236">
        <f t="shared" ref="O337:O339" ca="1" si="59">ROUND(M337*(1+N337),2)</f>
        <v>9.6999999999999993</v>
      </c>
      <c r="P337" s="238">
        <f t="shared" ref="P337:P339" ca="1" si="60">ROUND(K337*O337,2)</f>
        <v>1144.5999999999999</v>
      </c>
      <c r="Q337" s="236">
        <v>1144.5999999999999</v>
      </c>
      <c r="R337" s="236">
        <f t="shared" ref="R337:R339" ca="1" si="61">P337-Q337</f>
        <v>0</v>
      </c>
      <c r="S337" s="239">
        <f t="shared" ref="S337:S339" ca="1" si="62">IF(ISNUMBER(O337),1-P337/$I337,"")</f>
        <v>0.14386584289496918</v>
      </c>
    </row>
    <row r="338" spans="1:19" x14ac:dyDescent="0.25">
      <c r="A338" s="172" t="s">
        <v>538</v>
      </c>
      <c r="B338" s="173" t="s">
        <v>1550</v>
      </c>
      <c r="C338" s="174" t="s">
        <v>69</v>
      </c>
      <c r="D338" s="174">
        <v>107</v>
      </c>
      <c r="E338" s="136">
        <f ca="1">OFFSET(INDEX(Composições!A:J,MATCH(Orçamentária!A338,Composições!A:A,0),8),2,0)</f>
        <v>12.132615599999998</v>
      </c>
      <c r="F338" s="137">
        <f t="shared" ca="1" si="50"/>
        <v>1298.1898691999997</v>
      </c>
      <c r="G338" s="138">
        <f>BDI!$B$17</f>
        <v>0.191</v>
      </c>
      <c r="H338" s="139">
        <f t="shared" ca="1" si="51"/>
        <v>14.45</v>
      </c>
      <c r="I338" s="137">
        <f t="shared" ca="1" si="52"/>
        <v>1546.15</v>
      </c>
      <c r="J338" s="117"/>
      <c r="K338" s="253">
        <v>107</v>
      </c>
      <c r="L338" s="236" t="str">
        <f t="shared" si="58"/>
        <v>-</v>
      </c>
      <c r="M338" s="136">
        <f ca="1">OFFSET(INDEX(Composições!A:S,MATCH(A338,Composições!A:A,0),15),2,0)</f>
        <v>10.385518953599998</v>
      </c>
      <c r="N338" s="237">
        <v>0.191</v>
      </c>
      <c r="O338" s="236">
        <f t="shared" ca="1" si="59"/>
        <v>12.37</v>
      </c>
      <c r="P338" s="238">
        <f t="shared" ca="1" si="60"/>
        <v>1323.59</v>
      </c>
      <c r="Q338" s="236">
        <v>1323.59</v>
      </c>
      <c r="R338" s="236">
        <f t="shared" ca="1" si="61"/>
        <v>0</v>
      </c>
      <c r="S338" s="239">
        <f t="shared" ca="1" si="62"/>
        <v>0.14394463667820079</v>
      </c>
    </row>
    <row r="339" spans="1:19" x14ac:dyDescent="0.25">
      <c r="A339" s="172" t="s">
        <v>540</v>
      </c>
      <c r="B339" s="173" t="s">
        <v>1551</v>
      </c>
      <c r="C339" s="174" t="s">
        <v>69</v>
      </c>
      <c r="D339" s="174">
        <v>10</v>
      </c>
      <c r="E339" s="136">
        <f ca="1">OFFSET(INDEX(Composições!A:J,MATCH(Orçamentária!A339,Composições!A:A,0),8),2,0)</f>
        <v>17.146216600000002</v>
      </c>
      <c r="F339" s="137">
        <f t="shared" ca="1" si="50"/>
        <v>171.46216600000002</v>
      </c>
      <c r="G339" s="138">
        <f>BDI!$B$17</f>
        <v>0.191</v>
      </c>
      <c r="H339" s="139">
        <f t="shared" ca="1" si="51"/>
        <v>20.420000000000002</v>
      </c>
      <c r="I339" s="137">
        <f t="shared" ca="1" si="52"/>
        <v>204.2</v>
      </c>
      <c r="J339" s="117"/>
      <c r="K339" s="253">
        <v>10</v>
      </c>
      <c r="L339" s="236" t="str">
        <f t="shared" si="58"/>
        <v>-</v>
      </c>
      <c r="M339" s="136">
        <f ca="1">OFFSET(INDEX(Composições!A:S,MATCH(A339,Composições!A:A,0),15),2,0)</f>
        <v>14.6771614096</v>
      </c>
      <c r="N339" s="237">
        <v>0.191</v>
      </c>
      <c r="O339" s="236">
        <f t="shared" ca="1" si="59"/>
        <v>17.48</v>
      </c>
      <c r="P339" s="238">
        <f t="shared" ca="1" si="60"/>
        <v>174.8</v>
      </c>
      <c r="Q339" s="236">
        <v>174.8</v>
      </c>
      <c r="R339" s="236">
        <f t="shared" ca="1" si="61"/>
        <v>0</v>
      </c>
      <c r="S339" s="239">
        <f t="shared" ca="1" si="62"/>
        <v>0.14397649363369236</v>
      </c>
    </row>
    <row r="340" spans="1:19" hidden="1" x14ac:dyDescent="0.25">
      <c r="A340" s="114" t="s">
        <v>542</v>
      </c>
      <c r="B340" s="115" t="s">
        <v>1552</v>
      </c>
      <c r="C340" s="116" t="s">
        <v>69</v>
      </c>
      <c r="D340" s="116">
        <v>0</v>
      </c>
      <c r="E340" s="136">
        <f ca="1">OFFSET(INDEX(Composições!A:J,MATCH(Orçamentária!A340,Composições!A:A,0),8),2,0)</f>
        <v>0.92093759999999991</v>
      </c>
      <c r="F340" s="137">
        <f t="shared" ca="1" si="50"/>
        <v>0</v>
      </c>
      <c r="G340" s="138" t="e">
        <f>IF(A340&lt;&gt;"",IF(AND(#REF!="Padrão",$H$4=#REF!),BDI!$B$17,IF(AND(#REF!="Padrão",$H$4=#REF!),BDI!#REF!,IF(AND(#REF!="Diferenciado",$H$4=#REF!),BDI!$E$17,IF(AND(#REF!="Diferenciado",$H$4=#REF!),BDI!#REF!,IF(#REF!="ZERO",0))))),"")</f>
        <v>#REF!</v>
      </c>
      <c r="H340" s="139" t="e">
        <f t="shared" ca="1" si="51"/>
        <v>#REF!</v>
      </c>
      <c r="I340" s="137" t="e">
        <f t="shared" ca="1" si="52"/>
        <v>#REF!</v>
      </c>
      <c r="J340" s="117"/>
      <c r="K340" s="116">
        <v>0</v>
      </c>
      <c r="M340" s="136" t="e">
        <f ca="1">OFFSET(INDEX([1]Composições!I:R,MATCH([1]Orçamentária!I340,[1]Composições!I:I,0),8),2,0)</f>
        <v>#REF!</v>
      </c>
      <c r="N340" t="e">
        <v>#REF!</v>
      </c>
      <c r="Q340" t="e">
        <v>#REF!</v>
      </c>
    </row>
    <row r="341" spans="1:19" hidden="1" x14ac:dyDescent="0.25">
      <c r="A341" s="114" t="s">
        <v>544</v>
      </c>
      <c r="B341" s="115" t="s">
        <v>1553</v>
      </c>
      <c r="C341" s="116" t="s">
        <v>69</v>
      </c>
      <c r="D341" s="116">
        <v>0</v>
      </c>
      <c r="E341" s="136">
        <f ca="1">OFFSET(INDEX(Composições!A:J,MATCH(Orçamentária!A341,Composições!A:A,0),8),2,0)</f>
        <v>0.92093759999999991</v>
      </c>
      <c r="F341" s="137">
        <f t="shared" ca="1" si="50"/>
        <v>0</v>
      </c>
      <c r="G341" s="138" t="e">
        <f>IF(A341&lt;&gt;"",IF(AND(#REF!="Padrão",$H$4=#REF!),BDI!$B$17,IF(AND(#REF!="Padrão",$H$4=#REF!),BDI!#REF!,IF(AND(#REF!="Diferenciado",$H$4=#REF!),BDI!$E$17,IF(AND(#REF!="Diferenciado",$H$4=#REF!),BDI!#REF!,IF(#REF!="ZERO",0))))),"")</f>
        <v>#REF!</v>
      </c>
      <c r="H341" s="139" t="e">
        <f t="shared" ca="1" si="51"/>
        <v>#REF!</v>
      </c>
      <c r="I341" s="137" t="e">
        <f t="shared" ca="1" si="52"/>
        <v>#REF!</v>
      </c>
      <c r="J341" s="117"/>
      <c r="K341" s="116">
        <v>0</v>
      </c>
      <c r="M341" s="136" t="e">
        <f ca="1">OFFSET(INDEX([1]Composições!I:R,MATCH([1]Orçamentária!I341,[1]Composições!I:I,0),8),2,0)</f>
        <v>#REF!</v>
      </c>
      <c r="N341" t="e">
        <v>#REF!</v>
      </c>
      <c r="Q341" t="e">
        <v>#REF!</v>
      </c>
    </row>
    <row r="342" spans="1:19" hidden="1" x14ac:dyDescent="0.25">
      <c r="A342" s="114" t="s">
        <v>546</v>
      </c>
      <c r="B342" s="115" t="s">
        <v>5503</v>
      </c>
      <c r="C342" s="116" t="s">
        <v>69</v>
      </c>
      <c r="D342" s="116">
        <v>0</v>
      </c>
      <c r="E342" s="136">
        <f ca="1">OFFSET(INDEX(Composições!A:J,MATCH(Orçamentária!A342,Composições!A:A,0),8),2,0)</f>
        <v>0.92093759999999991</v>
      </c>
      <c r="F342" s="137">
        <f t="shared" ca="1" si="50"/>
        <v>0</v>
      </c>
      <c r="G342" s="138" t="e">
        <f>IF(A342&lt;&gt;"",IF(AND(#REF!="Padrão",$H$4=#REF!),BDI!$B$17,IF(AND(#REF!="Padrão",$H$4=#REF!),BDI!#REF!,IF(AND(#REF!="Diferenciado",$H$4=#REF!),BDI!$E$17,IF(AND(#REF!="Diferenciado",$H$4=#REF!),BDI!#REF!,IF(#REF!="ZERO",0))))),"")</f>
        <v>#REF!</v>
      </c>
      <c r="H342" s="139" t="e">
        <f t="shared" ca="1" si="51"/>
        <v>#REF!</v>
      </c>
      <c r="I342" s="137" t="e">
        <f t="shared" ca="1" si="52"/>
        <v>#REF!</v>
      </c>
      <c r="J342" s="117"/>
      <c r="K342" s="116">
        <v>0</v>
      </c>
      <c r="M342" s="136" t="e">
        <f ca="1">OFFSET(INDEX([1]Composições!I:R,MATCH([1]Orçamentária!I342,[1]Composições!I:I,0),8),2,0)</f>
        <v>#REF!</v>
      </c>
      <c r="N342" t="e">
        <v>#REF!</v>
      </c>
      <c r="Q342" t="e">
        <v>#REF!</v>
      </c>
    </row>
    <row r="343" spans="1:19" hidden="1" x14ac:dyDescent="0.25">
      <c r="A343" s="114" t="s">
        <v>548</v>
      </c>
      <c r="B343" s="115" t="s">
        <v>5504</v>
      </c>
      <c r="C343" s="116" t="s">
        <v>69</v>
      </c>
      <c r="D343" s="116">
        <v>0</v>
      </c>
      <c r="E343" s="136">
        <f ca="1">OFFSET(INDEX(Composições!A:J,MATCH(Orçamentária!A343,Composições!A:A,0),8),2,0)</f>
        <v>0.92093759999999991</v>
      </c>
      <c r="F343" s="137">
        <f t="shared" ca="1" si="50"/>
        <v>0</v>
      </c>
      <c r="G343" s="138" t="e">
        <f>IF(A343&lt;&gt;"",IF(AND(#REF!="Padrão",$H$4=#REF!),BDI!$B$17,IF(AND(#REF!="Padrão",$H$4=#REF!),BDI!#REF!,IF(AND(#REF!="Diferenciado",$H$4=#REF!),BDI!$E$17,IF(AND(#REF!="Diferenciado",$H$4=#REF!),BDI!#REF!,IF(#REF!="ZERO",0))))),"")</f>
        <v>#REF!</v>
      </c>
      <c r="H343" s="139" t="e">
        <f t="shared" ca="1" si="51"/>
        <v>#REF!</v>
      </c>
      <c r="I343" s="137" t="e">
        <f t="shared" ca="1" si="52"/>
        <v>#REF!</v>
      </c>
      <c r="J343" s="117"/>
      <c r="K343" s="116">
        <v>0</v>
      </c>
      <c r="M343" s="136" t="e">
        <f ca="1">OFFSET(INDEX([1]Composições!I:R,MATCH([1]Orçamentária!I343,[1]Composições!I:I,0),8),2,0)</f>
        <v>#REF!</v>
      </c>
      <c r="N343" t="e">
        <v>#REF!</v>
      </c>
      <c r="Q343" t="e">
        <v>#REF!</v>
      </c>
    </row>
    <row r="344" spans="1:19" hidden="1" x14ac:dyDescent="0.25">
      <c r="A344" s="114" t="s">
        <v>550</v>
      </c>
      <c r="B344" s="115" t="s">
        <v>1554</v>
      </c>
      <c r="C344" s="116" t="s">
        <v>70</v>
      </c>
      <c r="D344" s="116">
        <v>0</v>
      </c>
      <c r="E344" s="136">
        <f ca="1">OFFSET(INDEX(Composições!A:J,MATCH(Orçamentária!A344,Composições!A:A,0),8),2,0)</f>
        <v>9.5930999999999997</v>
      </c>
      <c r="F344" s="137">
        <f t="shared" ca="1" si="50"/>
        <v>0</v>
      </c>
      <c r="G344" s="138" t="e">
        <f>IF(A344&lt;&gt;"",IF(AND(#REF!="Padrão",$H$4=#REF!),BDI!$B$17,IF(AND(#REF!="Padrão",$H$4=#REF!),BDI!#REF!,IF(AND(#REF!="Diferenciado",$H$4=#REF!),BDI!$E$17,IF(AND(#REF!="Diferenciado",$H$4=#REF!),BDI!#REF!,IF(#REF!="ZERO",0))))),"")</f>
        <v>#REF!</v>
      </c>
      <c r="H344" s="139" t="e">
        <f t="shared" ca="1" si="51"/>
        <v>#REF!</v>
      </c>
      <c r="I344" s="137" t="e">
        <f t="shared" ca="1" si="52"/>
        <v>#REF!</v>
      </c>
      <c r="J344" s="117"/>
      <c r="K344" s="116">
        <v>0</v>
      </c>
      <c r="M344" s="136" t="e">
        <f ca="1">OFFSET(INDEX([1]Composições!I:R,MATCH([1]Orçamentária!I344,[1]Composições!I:I,0),8),2,0)</f>
        <v>#REF!</v>
      </c>
      <c r="N344" t="e">
        <v>#REF!</v>
      </c>
      <c r="Q344" t="e">
        <v>#REF!</v>
      </c>
    </row>
    <row r="345" spans="1:19" hidden="1" x14ac:dyDescent="0.25">
      <c r="A345" s="114" t="s">
        <v>552</v>
      </c>
      <c r="B345" s="115" t="s">
        <v>1555</v>
      </c>
      <c r="C345" s="116" t="s">
        <v>69</v>
      </c>
      <c r="D345" s="116">
        <v>0</v>
      </c>
      <c r="E345" s="136">
        <f ca="1">OFFSET(INDEX(Composições!A:J,MATCH(Orçamentária!A345,Composições!A:A,0),8),2,0)</f>
        <v>61.394196499999993</v>
      </c>
      <c r="F345" s="137">
        <f t="shared" ca="1" si="50"/>
        <v>0</v>
      </c>
      <c r="G345" s="138" t="e">
        <f>IF(A345&lt;&gt;"",IF(AND(#REF!="Padrão",$H$4=#REF!),BDI!$B$17,IF(AND(#REF!="Padrão",$H$4=#REF!),BDI!#REF!,IF(AND(#REF!="Diferenciado",$H$4=#REF!),BDI!$E$17,IF(AND(#REF!="Diferenciado",$H$4=#REF!),BDI!#REF!,IF(#REF!="ZERO",0))))),"")</f>
        <v>#REF!</v>
      </c>
      <c r="H345" s="139" t="e">
        <f t="shared" ca="1" si="51"/>
        <v>#REF!</v>
      </c>
      <c r="I345" s="137" t="e">
        <f t="shared" ca="1" si="52"/>
        <v>#REF!</v>
      </c>
      <c r="J345" s="117"/>
      <c r="K345" s="116">
        <v>0</v>
      </c>
      <c r="M345" s="136" t="e">
        <f ca="1">OFFSET(INDEX([1]Composições!I:R,MATCH([1]Orçamentária!I345,[1]Composições!I:I,0),8),2,0)</f>
        <v>#REF!</v>
      </c>
      <c r="N345" t="e">
        <v>#REF!</v>
      </c>
      <c r="Q345" t="e">
        <v>#REF!</v>
      </c>
    </row>
    <row r="346" spans="1:19" hidden="1" x14ac:dyDescent="0.25">
      <c r="A346" s="114" t="s">
        <v>554</v>
      </c>
      <c r="B346" s="115" t="s">
        <v>1556</v>
      </c>
      <c r="C346" s="116" t="s">
        <v>69</v>
      </c>
      <c r="D346" s="116">
        <v>0</v>
      </c>
      <c r="E346" s="136">
        <f ca="1">OFFSET(INDEX(Composições!A:J,MATCH(Orçamentária!A346,Composições!A:A,0),8),2,0)</f>
        <v>56.679935499999999</v>
      </c>
      <c r="F346" s="137">
        <f t="shared" ca="1" si="50"/>
        <v>0</v>
      </c>
      <c r="G346" s="138" t="e">
        <f>IF(A346&lt;&gt;"",IF(AND(#REF!="Padrão",$H$4=#REF!),BDI!$B$17,IF(AND(#REF!="Padrão",$H$4=#REF!),BDI!#REF!,IF(AND(#REF!="Diferenciado",$H$4=#REF!),BDI!$E$17,IF(AND(#REF!="Diferenciado",$H$4=#REF!),BDI!#REF!,IF(#REF!="ZERO",0))))),"")</f>
        <v>#REF!</v>
      </c>
      <c r="H346" s="139" t="e">
        <f t="shared" ca="1" si="51"/>
        <v>#REF!</v>
      </c>
      <c r="I346" s="137" t="e">
        <f t="shared" ca="1" si="52"/>
        <v>#REF!</v>
      </c>
      <c r="J346" s="117"/>
      <c r="K346" s="116">
        <v>0</v>
      </c>
      <c r="M346" s="136" t="e">
        <f ca="1">OFFSET(INDEX([1]Composições!I:R,MATCH([1]Orçamentária!I346,[1]Composições!I:I,0),8),2,0)</f>
        <v>#REF!</v>
      </c>
      <c r="N346" t="e">
        <v>#REF!</v>
      </c>
      <c r="Q346" t="e">
        <v>#REF!</v>
      </c>
    </row>
    <row r="347" spans="1:19" hidden="1" x14ac:dyDescent="0.25">
      <c r="A347" s="114" t="s">
        <v>555</v>
      </c>
      <c r="B347" s="115" t="s">
        <v>1557</v>
      </c>
      <c r="C347" s="116" t="s">
        <v>69</v>
      </c>
      <c r="D347" s="116">
        <v>0</v>
      </c>
      <c r="E347" s="136">
        <f ca="1">OFFSET(INDEX(Composições!A:J,MATCH(Orçamentária!A347,Composições!A:A,0),8),2,0)</f>
        <v>46.699957499999996</v>
      </c>
      <c r="F347" s="137">
        <f t="shared" ca="1" si="50"/>
        <v>0</v>
      </c>
      <c r="G347" s="138" t="e">
        <f>IF(A347&lt;&gt;"",IF(AND(#REF!="Padrão",$H$4=#REF!),BDI!$B$17,IF(AND(#REF!="Padrão",$H$4=#REF!),BDI!#REF!,IF(AND(#REF!="Diferenciado",$H$4=#REF!),BDI!$E$17,IF(AND(#REF!="Diferenciado",$H$4=#REF!),BDI!#REF!,IF(#REF!="ZERO",0))))),"")</f>
        <v>#REF!</v>
      </c>
      <c r="H347" s="139" t="e">
        <f t="shared" ca="1" si="51"/>
        <v>#REF!</v>
      </c>
      <c r="I347" s="137" t="e">
        <f t="shared" ca="1" si="52"/>
        <v>#REF!</v>
      </c>
      <c r="J347" s="117"/>
      <c r="K347" s="116">
        <v>0</v>
      </c>
      <c r="M347" s="136" t="e">
        <f ca="1">OFFSET(INDEX([1]Composições!I:R,MATCH([1]Orçamentária!I347,[1]Composições!I:I,0),8),2,0)</f>
        <v>#REF!</v>
      </c>
      <c r="N347" t="e">
        <v>#REF!</v>
      </c>
      <c r="Q347" t="e">
        <v>#REF!</v>
      </c>
    </row>
    <row r="348" spans="1:19" hidden="1" x14ac:dyDescent="0.25">
      <c r="A348" s="114" t="s">
        <v>556</v>
      </c>
      <c r="B348" s="115" t="s">
        <v>1558</v>
      </c>
      <c r="C348" s="116" t="s">
        <v>69</v>
      </c>
      <c r="D348" s="116">
        <v>0</v>
      </c>
      <c r="E348" s="136">
        <f ca="1">OFFSET(INDEX(Composições!A:J,MATCH(Orçamentária!A348,Composições!A:A,0),8),2,0)</f>
        <v>43.077483999999998</v>
      </c>
      <c r="F348" s="137">
        <f t="shared" ca="1" si="50"/>
        <v>0</v>
      </c>
      <c r="G348" s="138" t="e">
        <f>IF(A348&lt;&gt;"",IF(AND(#REF!="Padrão",$H$4=#REF!),BDI!$B$17,IF(AND(#REF!="Padrão",$H$4=#REF!),BDI!#REF!,IF(AND(#REF!="Diferenciado",$H$4=#REF!),BDI!$E$17,IF(AND(#REF!="Diferenciado",$H$4=#REF!),BDI!#REF!,IF(#REF!="ZERO",0))))),"")</f>
        <v>#REF!</v>
      </c>
      <c r="H348" s="139" t="e">
        <f t="shared" ca="1" si="51"/>
        <v>#REF!</v>
      </c>
      <c r="I348" s="137" t="e">
        <f t="shared" ca="1" si="52"/>
        <v>#REF!</v>
      </c>
      <c r="J348" s="117"/>
      <c r="K348" s="116">
        <v>0</v>
      </c>
      <c r="M348" s="136" t="e">
        <f ca="1">OFFSET(INDEX([1]Composições!I:R,MATCH([1]Orçamentária!I348,[1]Composições!I:I,0),8),2,0)</f>
        <v>#REF!</v>
      </c>
      <c r="N348" t="e">
        <v>#REF!</v>
      </c>
      <c r="Q348" t="e">
        <v>#REF!</v>
      </c>
    </row>
    <row r="349" spans="1:19" x14ac:dyDescent="0.25">
      <c r="A349" s="172" t="s">
        <v>558</v>
      </c>
      <c r="B349" s="173" t="s">
        <v>1559</v>
      </c>
      <c r="C349" s="174" t="s">
        <v>69</v>
      </c>
      <c r="D349" s="174">
        <v>105</v>
      </c>
      <c r="E349" s="136">
        <f ca="1">OFFSET(INDEX(Composições!A:J,MATCH(Orçamentária!A349,Composições!A:A,0),8),2,0)</f>
        <v>45.923262199999989</v>
      </c>
      <c r="F349" s="137">
        <f t="shared" ca="1" si="50"/>
        <v>4821.9425309999988</v>
      </c>
      <c r="G349" s="138">
        <f>BDI!$B$17</f>
        <v>0.191</v>
      </c>
      <c r="H349" s="139">
        <f t="shared" ca="1" si="51"/>
        <v>54.69</v>
      </c>
      <c r="I349" s="137">
        <f t="shared" ca="1" si="52"/>
        <v>5742.45</v>
      </c>
      <c r="J349" s="117"/>
      <c r="K349" s="253">
        <v>105</v>
      </c>
      <c r="L349" s="236" t="str">
        <f t="shared" ref="L349:L350" si="63">IF(D349&lt;&gt;K349,"ERRO","-")</f>
        <v>-</v>
      </c>
      <c r="M349" s="136">
        <f ca="1">OFFSET(INDEX(Composições!A:S,MATCH(A349,Composições!A:A,0),15),2,0)</f>
        <v>39.31031244319999</v>
      </c>
      <c r="N349" s="237">
        <v>0.191</v>
      </c>
      <c r="O349" s="236">
        <f t="shared" ref="O349:O350" ca="1" si="64">ROUND(M349*(1+N349),2)</f>
        <v>46.82</v>
      </c>
      <c r="P349" s="238">
        <f t="shared" ref="P349:P350" ca="1" si="65">ROUND(K349*O349,2)</f>
        <v>4916.1000000000004</v>
      </c>
      <c r="Q349" s="236">
        <v>4916.1000000000004</v>
      </c>
      <c r="R349" s="236">
        <f t="shared" ref="R349:R350" ca="1" si="66">P349-Q349</f>
        <v>0</v>
      </c>
      <c r="S349" s="239">
        <f t="shared" ref="S349:S350" ca="1" si="67">IF(ISNUMBER(O349),1-P349/$I349,"")</f>
        <v>0.14390199305174611</v>
      </c>
    </row>
    <row r="350" spans="1:19" x14ac:dyDescent="0.25">
      <c r="A350" s="172" t="s">
        <v>559</v>
      </c>
      <c r="B350" s="173" t="s">
        <v>1560</v>
      </c>
      <c r="C350" s="174" t="s">
        <v>69</v>
      </c>
      <c r="D350" s="174">
        <v>105</v>
      </c>
      <c r="E350" s="136">
        <f ca="1">OFFSET(INDEX(Composições!A:J,MATCH(Orçamentária!A350,Composições!A:A,0),8),2,0)</f>
        <v>22.776519799999999</v>
      </c>
      <c r="F350" s="137">
        <f t="shared" ca="1" si="50"/>
        <v>2391.5345790000001</v>
      </c>
      <c r="G350" s="138">
        <f>BDI!$B$17</f>
        <v>0.191</v>
      </c>
      <c r="H350" s="139">
        <f t="shared" ca="1" si="51"/>
        <v>27.13</v>
      </c>
      <c r="I350" s="137">
        <f t="shared" ca="1" si="52"/>
        <v>2848.65</v>
      </c>
      <c r="J350" s="117"/>
      <c r="K350" s="253">
        <v>105</v>
      </c>
      <c r="L350" s="236" t="str">
        <f t="shared" si="63"/>
        <v>-</v>
      </c>
      <c r="M350" s="136">
        <f ca="1">OFFSET(INDEX(Composições!A:S,MATCH(A350,Composições!A:A,0),15),2,0)</f>
        <v>19.496700948799997</v>
      </c>
      <c r="N350" s="237">
        <v>0.191</v>
      </c>
      <c r="O350" s="236">
        <f t="shared" ca="1" si="64"/>
        <v>23.22</v>
      </c>
      <c r="P350" s="238">
        <f t="shared" ca="1" si="65"/>
        <v>2438.1</v>
      </c>
      <c r="Q350" s="236">
        <v>2438.1</v>
      </c>
      <c r="R350" s="236">
        <f t="shared" ca="1" si="66"/>
        <v>0</v>
      </c>
      <c r="S350" s="239">
        <f t="shared" ca="1" si="67"/>
        <v>0.14412089937338746</v>
      </c>
    </row>
    <row r="351" spans="1:19" hidden="1" x14ac:dyDescent="0.25">
      <c r="A351" s="114" t="s">
        <v>560</v>
      </c>
      <c r="B351" s="115" t="s">
        <v>1561</v>
      </c>
      <c r="C351" s="116" t="s">
        <v>69</v>
      </c>
      <c r="D351" s="116">
        <v>0</v>
      </c>
      <c r="E351" s="136">
        <f ca="1">OFFSET(INDEX(Composições!A:J,MATCH(Orçamentária!A351,Composições!A:A,0),8),2,0)</f>
        <v>68.150716200000005</v>
      </c>
      <c r="F351" s="137">
        <f t="shared" ca="1" si="50"/>
        <v>0</v>
      </c>
      <c r="G351" s="138" t="e">
        <f>IF(A351&lt;&gt;"",IF(AND(#REF!="Padrão",$H$4=#REF!),BDI!$B$17,IF(AND(#REF!="Padrão",$H$4=#REF!),BDI!#REF!,IF(AND(#REF!="Diferenciado",$H$4=#REF!),BDI!$E$17,IF(AND(#REF!="Diferenciado",$H$4=#REF!),BDI!#REF!,IF(#REF!="ZERO",0))))),"")</f>
        <v>#REF!</v>
      </c>
      <c r="H351" s="139" t="e">
        <f t="shared" ca="1" si="51"/>
        <v>#REF!</v>
      </c>
      <c r="I351" s="137" t="e">
        <f t="shared" ca="1" si="52"/>
        <v>#REF!</v>
      </c>
      <c r="J351" s="117"/>
      <c r="K351" s="116">
        <v>0</v>
      </c>
      <c r="M351" s="136" t="e">
        <f ca="1">OFFSET(INDEX([1]Composições!I:R,MATCH([1]Orçamentária!I351,[1]Composições!I:I,0),8),2,0)</f>
        <v>#REF!</v>
      </c>
      <c r="N351" t="e">
        <v>#REF!</v>
      </c>
      <c r="Q351" t="e">
        <v>#REF!</v>
      </c>
    </row>
    <row r="352" spans="1:19" x14ac:dyDescent="0.25">
      <c r="A352" s="172" t="s">
        <v>561</v>
      </c>
      <c r="B352" s="173" t="s">
        <v>1562</v>
      </c>
      <c r="C352" s="174" t="s">
        <v>69</v>
      </c>
      <c r="D352" s="174">
        <v>118</v>
      </c>
      <c r="E352" s="136">
        <f ca="1">OFFSET(INDEX(Composições!A:J,MATCH(Orçamentária!A352,Composições!A:A,0),8),2,0)</f>
        <v>34.2648242</v>
      </c>
      <c r="F352" s="137">
        <f t="shared" ca="1" si="50"/>
        <v>4043.2492555999997</v>
      </c>
      <c r="G352" s="138">
        <f>BDI!$B$17</f>
        <v>0.191</v>
      </c>
      <c r="H352" s="139">
        <f t="shared" ca="1" si="51"/>
        <v>40.81</v>
      </c>
      <c r="I352" s="137">
        <f t="shared" ca="1" si="52"/>
        <v>4815.58</v>
      </c>
      <c r="J352" s="117"/>
      <c r="K352" s="253">
        <v>118</v>
      </c>
      <c r="L352" s="236" t="str">
        <f t="shared" ref="L352:L354" si="68">IF(D352&lt;&gt;K352,"ERRO","-")</f>
        <v>-</v>
      </c>
      <c r="M352" s="136">
        <f ca="1">OFFSET(INDEX(Composições!A:S,MATCH(A352,Composições!A:A,0),15),2,0)</f>
        <v>29.3306895152</v>
      </c>
      <c r="N352" s="237">
        <v>0.191</v>
      </c>
      <c r="O352" s="236">
        <f t="shared" ref="O352:O354" ca="1" si="69">ROUND(M352*(1+N352),2)</f>
        <v>34.93</v>
      </c>
      <c r="P352" s="238">
        <f t="shared" ref="P352:P354" ca="1" si="70">ROUND(K352*O352,2)</f>
        <v>4121.74</v>
      </c>
      <c r="Q352" s="236">
        <v>4121.74</v>
      </c>
      <c r="R352" s="236">
        <f t="shared" ref="R352:R354" ca="1" si="71">P352-Q352</f>
        <v>0</v>
      </c>
      <c r="S352" s="239">
        <f t="shared" ref="S352:S354" ca="1" si="72">IF(ISNUMBER(O352),1-P352/$I352,"")</f>
        <v>0.14408233276157811</v>
      </c>
    </row>
    <row r="353" spans="1:19" x14ac:dyDescent="0.25">
      <c r="A353" s="172" t="s">
        <v>562</v>
      </c>
      <c r="B353" s="173" t="s">
        <v>1563</v>
      </c>
      <c r="C353" s="174" t="s">
        <v>69</v>
      </c>
      <c r="D353" s="174">
        <v>107</v>
      </c>
      <c r="E353" s="136">
        <f ca="1">OFFSET(INDEX(Composições!A:J,MATCH(Orçamentária!A353,Composições!A:A,0),8),2,0)</f>
        <v>56.723586099999984</v>
      </c>
      <c r="F353" s="137">
        <f t="shared" ca="1" si="50"/>
        <v>6069.4237126999988</v>
      </c>
      <c r="G353" s="138">
        <f>BDI!$B$17</f>
        <v>0.191</v>
      </c>
      <c r="H353" s="139">
        <f t="shared" ca="1" si="51"/>
        <v>67.56</v>
      </c>
      <c r="I353" s="137">
        <f t="shared" ca="1" si="52"/>
        <v>7228.92</v>
      </c>
      <c r="J353" s="117"/>
      <c r="K353" s="253">
        <v>107</v>
      </c>
      <c r="L353" s="236" t="str">
        <f t="shared" si="68"/>
        <v>-</v>
      </c>
      <c r="M353" s="136">
        <f ca="1">OFFSET(INDEX(Composições!A:S,MATCH(A353,Composições!A:A,0),15),2,0)</f>
        <v>48.555389701599992</v>
      </c>
      <c r="N353" s="237">
        <v>0.191</v>
      </c>
      <c r="O353" s="236">
        <f t="shared" ca="1" si="69"/>
        <v>57.83</v>
      </c>
      <c r="P353" s="238">
        <f t="shared" ca="1" si="70"/>
        <v>6187.81</v>
      </c>
      <c r="Q353" s="236">
        <v>6187.81</v>
      </c>
      <c r="R353" s="236">
        <f t="shared" ca="1" si="71"/>
        <v>0</v>
      </c>
      <c r="S353" s="239">
        <f t="shared" ca="1" si="72"/>
        <v>0.14402013025458849</v>
      </c>
    </row>
    <row r="354" spans="1:19" x14ac:dyDescent="0.25">
      <c r="A354" s="172" t="s">
        <v>563</v>
      </c>
      <c r="B354" s="173" t="s">
        <v>1564</v>
      </c>
      <c r="C354" s="174" t="s">
        <v>69</v>
      </c>
      <c r="D354" s="174">
        <v>10</v>
      </c>
      <c r="E354" s="136">
        <f ca="1">OFFSET(INDEX(Composições!A:J,MATCH(Orçamentária!A354,Composições!A:A,0),8),2,0)</f>
        <v>50.55409989999999</v>
      </c>
      <c r="F354" s="137">
        <f t="shared" ca="1" si="50"/>
        <v>505.54099899999989</v>
      </c>
      <c r="G354" s="138">
        <f>BDI!$B$17</f>
        <v>0.191</v>
      </c>
      <c r="H354" s="139">
        <f t="shared" ca="1" si="51"/>
        <v>60.21</v>
      </c>
      <c r="I354" s="137">
        <f t="shared" ca="1" si="52"/>
        <v>602.1</v>
      </c>
      <c r="J354" s="117"/>
      <c r="K354" s="253">
        <v>10</v>
      </c>
      <c r="L354" s="236" t="str">
        <f t="shared" si="68"/>
        <v>-</v>
      </c>
      <c r="M354" s="136">
        <f ca="1">OFFSET(INDEX(Composições!A:S,MATCH(A354,Composições!A:A,0),15),2,0)</f>
        <v>43.274309514399988</v>
      </c>
      <c r="N354" s="237">
        <v>0.191</v>
      </c>
      <c r="O354" s="236">
        <f t="shared" ca="1" si="69"/>
        <v>51.54</v>
      </c>
      <c r="P354" s="238">
        <f t="shared" ca="1" si="70"/>
        <v>515.4</v>
      </c>
      <c r="Q354" s="236">
        <v>515.4</v>
      </c>
      <c r="R354" s="236">
        <f t="shared" ca="1" si="71"/>
        <v>0</v>
      </c>
      <c r="S354" s="239">
        <f t="shared" ca="1" si="72"/>
        <v>0.14399601395117101</v>
      </c>
    </row>
    <row r="355" spans="1:19" hidden="1" x14ac:dyDescent="0.25">
      <c r="A355" s="114" t="s">
        <v>565</v>
      </c>
      <c r="B355" s="115" t="s">
        <v>1565</v>
      </c>
      <c r="C355" s="116" t="s">
        <v>69</v>
      </c>
      <c r="D355" s="116">
        <v>0</v>
      </c>
      <c r="E355" s="136">
        <f ca="1">OFFSET(INDEX(Composições!A:J,MATCH(Orçamentária!A355,Composições!A:A,0),8),2,0)</f>
        <v>2.1488543999999998</v>
      </c>
      <c r="F355" s="137">
        <f t="shared" ca="1" si="50"/>
        <v>0</v>
      </c>
      <c r="G355" s="138" t="e">
        <f>IF(A355&lt;&gt;"",IF(AND(#REF!="Padrão",$H$4=#REF!),BDI!$B$17,IF(AND(#REF!="Padrão",$H$4=#REF!),BDI!#REF!,IF(AND(#REF!="Diferenciado",$H$4=#REF!),BDI!$E$17,IF(AND(#REF!="Diferenciado",$H$4=#REF!),BDI!#REF!,IF(#REF!="ZERO",0))))),"")</f>
        <v>#REF!</v>
      </c>
      <c r="H355" s="139" t="e">
        <f t="shared" ca="1" si="51"/>
        <v>#REF!</v>
      </c>
      <c r="I355" s="137" t="e">
        <f t="shared" ca="1" si="52"/>
        <v>#REF!</v>
      </c>
      <c r="J355" s="117"/>
      <c r="K355" s="116">
        <v>0</v>
      </c>
      <c r="M355" s="136" t="e">
        <f ca="1">OFFSET(INDEX([1]Composições!I:R,MATCH([1]Orçamentária!I355,[1]Composições!I:I,0),8),2,0)</f>
        <v>#REF!</v>
      </c>
      <c r="N355" t="e">
        <v>#REF!</v>
      </c>
      <c r="Q355" t="e">
        <v>#REF!</v>
      </c>
    </row>
    <row r="356" spans="1:19" x14ac:dyDescent="0.25">
      <c r="A356" s="172" t="s">
        <v>567</v>
      </c>
      <c r="B356" s="173" t="s">
        <v>1566</v>
      </c>
      <c r="C356" s="174" t="s">
        <v>69</v>
      </c>
      <c r="D356" s="174">
        <v>1</v>
      </c>
      <c r="E356" s="136">
        <f ca="1">OFFSET(INDEX(Composições!A:J,MATCH(Orçamentária!A356,Composições!A:A,0),8),2,0)</f>
        <v>63.601205149999991</v>
      </c>
      <c r="F356" s="137">
        <f t="shared" ca="1" si="50"/>
        <v>63.601205149999991</v>
      </c>
      <c r="G356" s="138">
        <f>BDI!$B$17</f>
        <v>0.191</v>
      </c>
      <c r="H356" s="139">
        <f t="shared" ca="1" si="51"/>
        <v>75.75</v>
      </c>
      <c r="I356" s="137">
        <f t="shared" ca="1" si="52"/>
        <v>75.75</v>
      </c>
      <c r="J356" s="117"/>
      <c r="K356" s="253">
        <v>1</v>
      </c>
      <c r="L356" s="236" t="str">
        <f>IF(D356&lt;&gt;K356,"ERRO","-")</f>
        <v>-</v>
      </c>
      <c r="M356" s="136">
        <f ca="1">OFFSET(INDEX(Composições!A:S,MATCH(A356,Composições!A:A,0),15),2,0)</f>
        <v>54.442631608399992</v>
      </c>
      <c r="N356" s="237">
        <v>0.191</v>
      </c>
      <c r="O356" s="236">
        <f ca="1">ROUND(M356*(1+N356),2)</f>
        <v>64.84</v>
      </c>
      <c r="P356" s="238">
        <f ca="1">ROUND(K356*O356,2)</f>
        <v>64.84</v>
      </c>
      <c r="Q356" s="236">
        <v>64.84</v>
      </c>
      <c r="R356" s="236">
        <f ca="1">P356-Q356</f>
        <v>0</v>
      </c>
      <c r="S356" s="239">
        <f ca="1">IF(ISNUMBER(O356),1-P356/$I356,"")</f>
        <v>0.14402640264026401</v>
      </c>
    </row>
    <row r="357" spans="1:19" hidden="1" x14ac:dyDescent="0.25">
      <c r="A357" s="114" t="s">
        <v>1567</v>
      </c>
      <c r="B357" s="115" t="s">
        <v>1568</v>
      </c>
      <c r="C357" s="116" t="s">
        <v>70</v>
      </c>
      <c r="D357" s="116">
        <v>0</v>
      </c>
      <c r="E357" s="136" t="s">
        <v>416</v>
      </c>
      <c r="F357" s="137" t="str">
        <f t="shared" si="50"/>
        <v/>
      </c>
      <c r="G357" s="138" t="e">
        <f>IF(A357&lt;&gt;"",IF(AND(#REF!="Padrão",$H$4=#REF!),BDI!$B$17,IF(AND(#REF!="Padrão",$H$4=#REF!),BDI!#REF!,IF(AND(#REF!="Diferenciado",$H$4=#REF!),BDI!$E$17,IF(AND(#REF!="Diferenciado",$H$4=#REF!),BDI!#REF!,IF(#REF!="ZERO",0))))),"")</f>
        <v>#REF!</v>
      </c>
      <c r="H357" s="139" t="str">
        <f t="shared" si="51"/>
        <v/>
      </c>
      <c r="I357" s="137" t="str">
        <f t="shared" si="52"/>
        <v/>
      </c>
      <c r="J357" s="119"/>
      <c r="K357" s="116">
        <v>0</v>
      </c>
      <c r="M357" s="136" t="s">
        <v>416</v>
      </c>
      <c r="N357" t="e">
        <v>#REF!</v>
      </c>
      <c r="Q357" t="s">
        <v>416</v>
      </c>
    </row>
    <row r="358" spans="1:19" hidden="1" x14ac:dyDescent="0.25">
      <c r="A358" s="114" t="s">
        <v>1569</v>
      </c>
      <c r="B358" s="115" t="s">
        <v>5442</v>
      </c>
      <c r="C358" s="116" t="s">
        <v>70</v>
      </c>
      <c r="D358" s="116">
        <v>0</v>
      </c>
      <c r="E358" s="136" t="s">
        <v>416</v>
      </c>
      <c r="F358" s="137" t="str">
        <f t="shared" si="50"/>
        <v/>
      </c>
      <c r="G358" s="138" t="e">
        <f>IF(A358&lt;&gt;"",IF(AND(#REF!="Padrão",$H$4=#REF!),BDI!$B$17,IF(AND(#REF!="Padrão",$H$4=#REF!),BDI!#REF!,IF(AND(#REF!="Diferenciado",$H$4=#REF!),BDI!$E$17,IF(AND(#REF!="Diferenciado",$H$4=#REF!),BDI!#REF!,IF(#REF!="ZERO",0))))),"")</f>
        <v>#REF!</v>
      </c>
      <c r="H358" s="139" t="str">
        <f t="shared" si="51"/>
        <v/>
      </c>
      <c r="I358" s="137" t="str">
        <f t="shared" si="52"/>
        <v/>
      </c>
      <c r="J358" s="119"/>
      <c r="K358" s="116">
        <v>0</v>
      </c>
      <c r="M358" s="136" t="s">
        <v>416</v>
      </c>
      <c r="N358" t="e">
        <v>#REF!</v>
      </c>
      <c r="Q358" t="s">
        <v>416</v>
      </c>
    </row>
    <row r="359" spans="1:19" hidden="1" x14ac:dyDescent="0.25">
      <c r="A359" s="114" t="s">
        <v>569</v>
      </c>
      <c r="B359" s="115" t="s">
        <v>1570</v>
      </c>
      <c r="C359" s="116" t="s">
        <v>70</v>
      </c>
      <c r="D359" s="116">
        <v>0</v>
      </c>
      <c r="E359" s="136">
        <f ca="1">OFFSET(INDEX(Composições!A:J,MATCH(Orçamentária!A359,Composições!A:A,0),8),2,0)</f>
        <v>112.98824999999999</v>
      </c>
      <c r="F359" s="137">
        <f t="shared" ca="1" si="50"/>
        <v>0</v>
      </c>
      <c r="G359" s="138" t="e">
        <f>IF(A359&lt;&gt;"",IF(AND(#REF!="Padrão",$H$4=#REF!),BDI!$B$17,IF(AND(#REF!="Padrão",$H$4=#REF!),BDI!#REF!,IF(AND(#REF!="Diferenciado",$H$4=#REF!),BDI!$E$17,IF(AND(#REF!="Diferenciado",$H$4=#REF!),BDI!#REF!,IF(#REF!="ZERO",0))))),"")</f>
        <v>#REF!</v>
      </c>
      <c r="H359" s="139" t="e">
        <f t="shared" ca="1" si="51"/>
        <v>#REF!</v>
      </c>
      <c r="I359" s="137" t="e">
        <f t="shared" ca="1" si="52"/>
        <v>#REF!</v>
      </c>
      <c r="J359" s="117"/>
      <c r="K359" s="116">
        <v>0</v>
      </c>
      <c r="M359" s="136" t="e">
        <f ca="1">OFFSET(INDEX([1]Composições!I:R,MATCH([1]Orçamentária!I359,[1]Composições!I:I,0),8),2,0)</f>
        <v>#REF!</v>
      </c>
      <c r="N359" t="e">
        <v>#REF!</v>
      </c>
      <c r="Q359" t="e">
        <v>#REF!</v>
      </c>
    </row>
    <row r="360" spans="1:19" hidden="1" x14ac:dyDescent="0.25">
      <c r="A360" s="114" t="s">
        <v>570</v>
      </c>
      <c r="B360" s="115" t="s">
        <v>1571</v>
      </c>
      <c r="C360" s="116" t="s">
        <v>70</v>
      </c>
      <c r="D360" s="116">
        <v>0</v>
      </c>
      <c r="E360" s="136">
        <f ca="1">OFFSET(INDEX(Composições!A:J,MATCH(Orçamentária!A360,Composições!A:A,0),8),2,0)</f>
        <v>215.441475</v>
      </c>
      <c r="F360" s="137">
        <f t="shared" ca="1" si="50"/>
        <v>0</v>
      </c>
      <c r="G360" s="138" t="e">
        <f>IF(A360&lt;&gt;"",IF(AND(#REF!="Padrão",$H$4=#REF!),BDI!$B$17,IF(AND(#REF!="Padrão",$H$4=#REF!),BDI!#REF!,IF(AND(#REF!="Diferenciado",$H$4=#REF!),BDI!$E$17,IF(AND(#REF!="Diferenciado",$H$4=#REF!),BDI!#REF!,IF(#REF!="ZERO",0))))),"")</f>
        <v>#REF!</v>
      </c>
      <c r="H360" s="139" t="e">
        <f t="shared" ca="1" si="51"/>
        <v>#REF!</v>
      </c>
      <c r="I360" s="137" t="e">
        <f t="shared" ca="1" si="52"/>
        <v>#REF!</v>
      </c>
      <c r="J360" s="119"/>
      <c r="K360" s="116">
        <v>0</v>
      </c>
      <c r="M360" s="136" t="e">
        <f ca="1">OFFSET(INDEX([1]Composições!I:R,MATCH([1]Orçamentária!I360,[1]Composições!I:I,0),8),2,0)</f>
        <v>#REF!</v>
      </c>
      <c r="N360" t="e">
        <v>#REF!</v>
      </c>
      <c r="Q360" t="e">
        <v>#REF!</v>
      </c>
    </row>
    <row r="361" spans="1:19" hidden="1" x14ac:dyDescent="0.25">
      <c r="A361" s="114" t="s">
        <v>571</v>
      </c>
      <c r="B361" s="115" t="s">
        <v>5742</v>
      </c>
      <c r="C361" s="116" t="s">
        <v>70</v>
      </c>
      <c r="D361" s="116">
        <v>0</v>
      </c>
      <c r="E361" s="136">
        <f ca="1">OFFSET(INDEX(Composições!A:J,MATCH(Orçamentária!A361,Composições!A:A,0),8),2,0)</f>
        <v>233.8596</v>
      </c>
      <c r="F361" s="137">
        <f t="shared" ca="1" si="50"/>
        <v>0</v>
      </c>
      <c r="G361" s="138" t="e">
        <f>IF(A361&lt;&gt;"",IF(AND(#REF!="Padrão",$H$4=#REF!),BDI!$B$17,IF(AND(#REF!="Padrão",$H$4=#REF!),BDI!#REF!,IF(AND(#REF!="Diferenciado",$H$4=#REF!),BDI!$E$17,IF(AND(#REF!="Diferenciado",$H$4=#REF!),BDI!#REF!,IF(#REF!="ZERO",0))))),"")</f>
        <v>#REF!</v>
      </c>
      <c r="H361" s="139" t="e">
        <f t="shared" ca="1" si="51"/>
        <v>#REF!</v>
      </c>
      <c r="I361" s="137" t="e">
        <f t="shared" ca="1" si="52"/>
        <v>#REF!</v>
      </c>
      <c r="J361" s="119"/>
      <c r="K361" s="116">
        <v>0</v>
      </c>
      <c r="M361" s="136" t="e">
        <f ca="1">OFFSET(INDEX([1]Composições!I:R,MATCH([1]Orçamentária!I361,[1]Composições!I:I,0),8),2,0)</f>
        <v>#REF!</v>
      </c>
      <c r="N361" t="e">
        <v>#REF!</v>
      </c>
      <c r="Q361" t="e">
        <v>#REF!</v>
      </c>
    </row>
    <row r="362" spans="1:19" hidden="1" x14ac:dyDescent="0.25">
      <c r="A362" s="114" t="s">
        <v>572</v>
      </c>
      <c r="B362" s="115" t="s">
        <v>5411</v>
      </c>
      <c r="C362" s="116" t="s">
        <v>70</v>
      </c>
      <c r="D362" s="116">
        <v>0</v>
      </c>
      <c r="E362" s="136">
        <f ca="1">OFFSET(INDEX(Composições!A:J,MATCH(Orçamentária!A362,Composições!A:A,0),8),2,0)</f>
        <v>179.0598</v>
      </c>
      <c r="F362" s="137">
        <f t="shared" ca="1" si="50"/>
        <v>0</v>
      </c>
      <c r="G362" s="138" t="e">
        <f>IF(A362&lt;&gt;"",IF(AND(#REF!="Padrão",$H$4=#REF!),BDI!$B$17,IF(AND(#REF!="Padrão",$H$4=#REF!),BDI!#REF!,IF(AND(#REF!="Diferenciado",$H$4=#REF!),BDI!$E$17,IF(AND(#REF!="Diferenciado",$H$4=#REF!),BDI!#REF!,IF(#REF!="ZERO",0))))),"")</f>
        <v>#REF!</v>
      </c>
      <c r="H362" s="139" t="e">
        <f t="shared" ca="1" si="51"/>
        <v>#REF!</v>
      </c>
      <c r="I362" s="137" t="e">
        <f t="shared" ca="1" si="52"/>
        <v>#REF!</v>
      </c>
      <c r="J362" s="119"/>
      <c r="K362" s="116">
        <v>0</v>
      </c>
      <c r="M362" s="136" t="e">
        <f ca="1">OFFSET(INDEX([1]Composições!I:R,MATCH([1]Orçamentária!I362,[1]Composições!I:I,0),8),2,0)</f>
        <v>#REF!</v>
      </c>
      <c r="N362" t="e">
        <v>#REF!</v>
      </c>
      <c r="Q362" t="e">
        <v>#REF!</v>
      </c>
    </row>
    <row r="363" spans="1:19" hidden="1" x14ac:dyDescent="0.25">
      <c r="A363" s="114" t="s">
        <v>573</v>
      </c>
      <c r="B363" s="115" t="s">
        <v>1572</v>
      </c>
      <c r="C363" s="116" t="s">
        <v>16</v>
      </c>
      <c r="D363" s="116">
        <v>0</v>
      </c>
      <c r="E363" s="136">
        <f ca="1">OFFSET(INDEX(Composições!A:J,MATCH(Orçamentária!A363,Composições!A:A,0),8),2,0)</f>
        <v>46.768500000000003</v>
      </c>
      <c r="F363" s="137">
        <f t="shared" ca="1" si="50"/>
        <v>0</v>
      </c>
      <c r="G363" s="138" t="e">
        <f>IF(A363&lt;&gt;"",IF(AND(#REF!="Padrão",$H$4=#REF!),BDI!$B$17,IF(AND(#REF!="Padrão",$H$4=#REF!),BDI!#REF!,IF(AND(#REF!="Diferenciado",$H$4=#REF!),BDI!$E$17,IF(AND(#REF!="Diferenciado",$H$4=#REF!),BDI!#REF!,IF(#REF!="ZERO",0))))),"")</f>
        <v>#REF!</v>
      </c>
      <c r="H363" s="139" t="e">
        <f t="shared" ca="1" si="51"/>
        <v>#REF!</v>
      </c>
      <c r="I363" s="137" t="e">
        <f t="shared" ca="1" si="52"/>
        <v>#REF!</v>
      </c>
      <c r="J363" s="119"/>
      <c r="K363" s="116">
        <v>0</v>
      </c>
      <c r="M363" s="136" t="e">
        <f ca="1">OFFSET(INDEX([1]Composições!I:R,MATCH([1]Orçamentária!I363,[1]Composições!I:I,0),8),2,0)</f>
        <v>#REF!</v>
      </c>
      <c r="N363" t="e">
        <v>#REF!</v>
      </c>
      <c r="Q363" t="e">
        <v>#REF!</v>
      </c>
    </row>
    <row r="364" spans="1:19" hidden="1" x14ac:dyDescent="0.25">
      <c r="A364" s="114" t="s">
        <v>575</v>
      </c>
      <c r="B364" s="115" t="s">
        <v>3086</v>
      </c>
      <c r="C364" s="116" t="s">
        <v>16</v>
      </c>
      <c r="D364" s="116">
        <v>0</v>
      </c>
      <c r="E364" s="136">
        <f ca="1">OFFSET(INDEX(Composições!A:J,MATCH(Orçamentária!A364,Composições!A:A,0),8),2,0)</f>
        <v>322.13263004999999</v>
      </c>
      <c r="F364" s="137">
        <f t="shared" ca="1" si="50"/>
        <v>0</v>
      </c>
      <c r="G364" s="138" t="e">
        <f>IF(A364&lt;&gt;"",IF(AND(#REF!="Padrão",$H$4=#REF!),BDI!$B$17,IF(AND(#REF!="Padrão",$H$4=#REF!),BDI!#REF!,IF(AND(#REF!="Diferenciado",$H$4=#REF!),BDI!$E$17,IF(AND(#REF!="Diferenciado",$H$4=#REF!),BDI!#REF!,IF(#REF!="ZERO",0))))),"")</f>
        <v>#REF!</v>
      </c>
      <c r="H364" s="139" t="e">
        <f t="shared" ca="1" si="51"/>
        <v>#REF!</v>
      </c>
      <c r="I364" s="137" t="e">
        <f t="shared" ca="1" si="52"/>
        <v>#REF!</v>
      </c>
      <c r="J364" s="117"/>
      <c r="K364" s="116">
        <v>0</v>
      </c>
      <c r="M364" s="136" t="e">
        <f ca="1">OFFSET(INDEX([1]Composições!I:R,MATCH([1]Orçamentária!I364,[1]Composições!I:I,0),8),2,0)</f>
        <v>#REF!</v>
      </c>
      <c r="N364" t="e">
        <v>#REF!</v>
      </c>
      <c r="Q364" t="e">
        <v>#REF!</v>
      </c>
    </row>
    <row r="365" spans="1:19" hidden="1" x14ac:dyDescent="0.25">
      <c r="A365" s="114" t="s">
        <v>577</v>
      </c>
      <c r="B365" s="115" t="s">
        <v>1573</v>
      </c>
      <c r="C365" s="116" t="s">
        <v>70</v>
      </c>
      <c r="D365" s="116">
        <v>0</v>
      </c>
      <c r="E365" s="136">
        <f ca="1">OFFSET(INDEX(Composições!A:J,MATCH(Orçamentária!A365,Composições!A:A,0),8),2,0)</f>
        <v>13.697099999999999</v>
      </c>
      <c r="F365" s="137">
        <f t="shared" ca="1" si="50"/>
        <v>0</v>
      </c>
      <c r="G365" s="138" t="e">
        <f>IF(A365&lt;&gt;"",IF(AND(#REF!="Padrão",$H$4=#REF!),BDI!$B$17,IF(AND(#REF!="Padrão",$H$4=#REF!),BDI!#REF!,IF(AND(#REF!="Diferenciado",$H$4=#REF!),BDI!$E$17,IF(AND(#REF!="Diferenciado",$H$4=#REF!),BDI!#REF!,IF(#REF!="ZERO",0))))),"")</f>
        <v>#REF!</v>
      </c>
      <c r="H365" s="139" t="e">
        <f t="shared" ca="1" si="51"/>
        <v>#REF!</v>
      </c>
      <c r="I365" s="137" t="e">
        <f t="shared" ca="1" si="52"/>
        <v>#REF!</v>
      </c>
      <c r="J365" s="117"/>
      <c r="K365" s="116">
        <v>0</v>
      </c>
      <c r="M365" s="136" t="e">
        <f ca="1">OFFSET(INDEX([1]Composições!I:R,MATCH([1]Orçamentária!I365,[1]Composições!I:I,0),8),2,0)</f>
        <v>#REF!</v>
      </c>
      <c r="N365" t="e">
        <v>#REF!</v>
      </c>
      <c r="Q365" t="e">
        <v>#REF!</v>
      </c>
    </row>
    <row r="366" spans="1:19" hidden="1" x14ac:dyDescent="0.25">
      <c r="A366" s="114" t="s">
        <v>579</v>
      </c>
      <c r="B366" s="115" t="s">
        <v>7609</v>
      </c>
      <c r="C366" s="116" t="s">
        <v>16</v>
      </c>
      <c r="D366" s="116">
        <v>0</v>
      </c>
      <c r="E366" s="136">
        <f ca="1">OFFSET(INDEX(Composições!A:J,MATCH(Orçamentária!A366,Composições!A:A,0),8),2,0)</f>
        <v>313.32890880000002</v>
      </c>
      <c r="F366" s="137">
        <f t="shared" ca="1" si="50"/>
        <v>0</v>
      </c>
      <c r="G366" s="138" t="e">
        <f>IF(A366&lt;&gt;"",IF(AND(#REF!="Padrão",$H$4=#REF!),BDI!$B$17,IF(AND(#REF!="Padrão",$H$4=#REF!),BDI!#REF!,IF(AND(#REF!="Diferenciado",$H$4=#REF!),BDI!$E$17,IF(AND(#REF!="Diferenciado",$H$4=#REF!),BDI!#REF!,IF(#REF!="ZERO",0))))),"")</f>
        <v>#REF!</v>
      </c>
      <c r="H366" s="139" t="e">
        <f t="shared" ca="1" si="51"/>
        <v>#REF!</v>
      </c>
      <c r="I366" s="137" t="e">
        <f t="shared" ca="1" si="52"/>
        <v>#REF!</v>
      </c>
      <c r="J366" s="117"/>
      <c r="K366" s="116">
        <v>0</v>
      </c>
      <c r="M366" s="136" t="e">
        <f ca="1">OFFSET(INDEX([1]Composições!I:R,MATCH([1]Orçamentária!I366,[1]Composições!I:I,0),8),2,0)</f>
        <v>#REF!</v>
      </c>
      <c r="N366" t="e">
        <v>#REF!</v>
      </c>
      <c r="Q366" t="e">
        <v>#REF!</v>
      </c>
    </row>
    <row r="367" spans="1:19" hidden="1" x14ac:dyDescent="0.25">
      <c r="A367" s="114" t="s">
        <v>585</v>
      </c>
      <c r="B367" s="115" t="s">
        <v>7610</v>
      </c>
      <c r="C367" s="116" t="s">
        <v>16</v>
      </c>
      <c r="D367" s="116">
        <v>0</v>
      </c>
      <c r="E367" s="136">
        <f ca="1">OFFSET(INDEX(Composições!A:J,MATCH(Orçamentária!A367,Composições!A:A,0),8),2,0)</f>
        <v>328.07031244999996</v>
      </c>
      <c r="F367" s="137">
        <f t="shared" ca="1" si="50"/>
        <v>0</v>
      </c>
      <c r="G367" s="138" t="e">
        <f>IF(A367&lt;&gt;"",IF(AND(#REF!="Padrão",$H$4=#REF!),BDI!$B$17,IF(AND(#REF!="Padrão",$H$4=#REF!),BDI!#REF!,IF(AND(#REF!="Diferenciado",$H$4=#REF!),BDI!$E$17,IF(AND(#REF!="Diferenciado",$H$4=#REF!),BDI!#REF!,IF(#REF!="ZERO",0))))),"")</f>
        <v>#REF!</v>
      </c>
      <c r="H367" s="139" t="e">
        <f t="shared" ca="1" si="51"/>
        <v>#REF!</v>
      </c>
      <c r="I367" s="137" t="e">
        <f t="shared" ca="1" si="52"/>
        <v>#REF!</v>
      </c>
      <c r="J367" s="117"/>
      <c r="K367" s="116">
        <v>0</v>
      </c>
      <c r="M367" s="136" t="e">
        <f ca="1">OFFSET(INDEX([1]Composições!I:R,MATCH([1]Orçamentária!I367,[1]Composições!I:I,0),8),2,0)</f>
        <v>#REF!</v>
      </c>
      <c r="N367" t="e">
        <v>#REF!</v>
      </c>
      <c r="Q367" t="e">
        <v>#REF!</v>
      </c>
    </row>
    <row r="368" spans="1:19" hidden="1" x14ac:dyDescent="0.25">
      <c r="A368" s="114" t="s">
        <v>586</v>
      </c>
      <c r="B368" s="115" t="s">
        <v>7611</v>
      </c>
      <c r="C368" s="116" t="s">
        <v>16</v>
      </c>
      <c r="D368" s="116">
        <v>0</v>
      </c>
      <c r="E368" s="136">
        <f ca="1">OFFSET(INDEX(Composições!A:J,MATCH(Orçamentária!A368,Composições!A:A,0),8),2,0)</f>
        <v>394.89358224999995</v>
      </c>
      <c r="F368" s="137">
        <f t="shared" ca="1" si="50"/>
        <v>0</v>
      </c>
      <c r="G368" s="138" t="e">
        <f>IF(A368&lt;&gt;"",IF(AND(#REF!="Padrão",$H$4=#REF!),BDI!$B$17,IF(AND(#REF!="Padrão",$H$4=#REF!),BDI!#REF!,IF(AND(#REF!="Diferenciado",$H$4=#REF!),BDI!$E$17,IF(AND(#REF!="Diferenciado",$H$4=#REF!),BDI!#REF!,IF(#REF!="ZERO",0))))),"")</f>
        <v>#REF!</v>
      </c>
      <c r="H368" s="139" t="e">
        <f t="shared" ca="1" si="51"/>
        <v>#REF!</v>
      </c>
      <c r="I368" s="137" t="e">
        <f t="shared" ca="1" si="52"/>
        <v>#REF!</v>
      </c>
      <c r="J368" s="117"/>
      <c r="K368" s="116">
        <v>0</v>
      </c>
      <c r="M368" s="136" t="e">
        <f ca="1">OFFSET(INDEX([1]Composições!I:R,MATCH([1]Orçamentária!I368,[1]Composições!I:I,0),8),2,0)</f>
        <v>#REF!</v>
      </c>
      <c r="N368" t="e">
        <v>#REF!</v>
      </c>
      <c r="Q368" t="e">
        <v>#REF!</v>
      </c>
    </row>
    <row r="369" spans="1:17" hidden="1" x14ac:dyDescent="0.25">
      <c r="A369" s="114" t="s">
        <v>587</v>
      </c>
      <c r="B369" s="115" t="s">
        <v>7612</v>
      </c>
      <c r="C369" s="116" t="s">
        <v>16</v>
      </c>
      <c r="D369" s="116">
        <v>0</v>
      </c>
      <c r="E369" s="136">
        <f ca="1">OFFSET(INDEX(Composições!A:J,MATCH(Orçamentária!A369,Composições!A:A,0),8),2,0)</f>
        <v>447.88485204999995</v>
      </c>
      <c r="F369" s="137">
        <f t="shared" ca="1" si="50"/>
        <v>0</v>
      </c>
      <c r="G369" s="138" t="e">
        <f>IF(A369&lt;&gt;"",IF(AND(#REF!="Padrão",$H$4=#REF!),BDI!$B$17,IF(AND(#REF!="Padrão",$H$4=#REF!),BDI!#REF!,IF(AND(#REF!="Diferenciado",$H$4=#REF!),BDI!$E$17,IF(AND(#REF!="Diferenciado",$H$4=#REF!),BDI!#REF!,IF(#REF!="ZERO",0))))),"")</f>
        <v>#REF!</v>
      </c>
      <c r="H369" s="139" t="e">
        <f t="shared" ca="1" si="51"/>
        <v>#REF!</v>
      </c>
      <c r="I369" s="137" t="e">
        <f t="shared" ca="1" si="52"/>
        <v>#REF!</v>
      </c>
      <c r="J369" s="117"/>
      <c r="K369" s="116">
        <v>0</v>
      </c>
      <c r="M369" s="136" t="e">
        <f ca="1">OFFSET(INDEX([1]Composições!I:R,MATCH([1]Orçamentária!I369,[1]Composições!I:I,0),8),2,0)</f>
        <v>#REF!</v>
      </c>
      <c r="N369" t="e">
        <v>#REF!</v>
      </c>
      <c r="Q369" t="e">
        <v>#REF!</v>
      </c>
    </row>
    <row r="370" spans="1:17" hidden="1" x14ac:dyDescent="0.25">
      <c r="A370" s="114" t="s">
        <v>588</v>
      </c>
      <c r="B370" s="115" t="s">
        <v>7613</v>
      </c>
      <c r="C370" s="116" t="s">
        <v>16</v>
      </c>
      <c r="D370" s="116">
        <v>0</v>
      </c>
      <c r="E370" s="136">
        <f ca="1">OFFSET(INDEX(Composições!A:J,MATCH(Orçamentária!A370,Composições!A:A,0),8),2,0)</f>
        <v>479.37404985000001</v>
      </c>
      <c r="F370" s="137">
        <f t="shared" ca="1" si="50"/>
        <v>0</v>
      </c>
      <c r="G370" s="138" t="e">
        <f>IF(A370&lt;&gt;"",IF(AND(#REF!="Padrão",$H$4=#REF!),BDI!$B$17,IF(AND(#REF!="Padrão",$H$4=#REF!),BDI!#REF!,IF(AND(#REF!="Diferenciado",$H$4=#REF!),BDI!$E$17,IF(AND(#REF!="Diferenciado",$H$4=#REF!),BDI!#REF!,IF(#REF!="ZERO",0))))),"")</f>
        <v>#REF!</v>
      </c>
      <c r="H370" s="139" t="e">
        <f t="shared" ca="1" si="51"/>
        <v>#REF!</v>
      </c>
      <c r="I370" s="137" t="e">
        <f t="shared" ca="1" si="52"/>
        <v>#REF!</v>
      </c>
      <c r="J370" s="117"/>
      <c r="K370" s="116">
        <v>0</v>
      </c>
      <c r="M370" s="136" t="e">
        <f ca="1">OFFSET(INDEX([1]Composições!I:R,MATCH([1]Orçamentária!I370,[1]Composições!I:I,0),8),2,0)</f>
        <v>#REF!</v>
      </c>
      <c r="N370" t="e">
        <v>#REF!</v>
      </c>
      <c r="Q370" t="e">
        <v>#REF!</v>
      </c>
    </row>
    <row r="371" spans="1:17" hidden="1" x14ac:dyDescent="0.25">
      <c r="A371" s="114" t="s">
        <v>589</v>
      </c>
      <c r="B371" s="115" t="s">
        <v>1574</v>
      </c>
      <c r="C371" s="116" t="s">
        <v>16</v>
      </c>
      <c r="D371" s="116">
        <v>0</v>
      </c>
      <c r="E371" s="136">
        <f ca="1">OFFSET(INDEX(Composições!A:J,MATCH(Orçamentária!A371,Composições!A:A,0),8),2,0)</f>
        <v>98.792523499999987</v>
      </c>
      <c r="F371" s="137">
        <f t="shared" ca="1" si="50"/>
        <v>0</v>
      </c>
      <c r="G371" s="138" t="e">
        <f>IF(A371&lt;&gt;"",IF(AND(#REF!="Padrão",$H$4=#REF!),BDI!$B$17,IF(AND(#REF!="Padrão",$H$4=#REF!),BDI!#REF!,IF(AND(#REF!="Diferenciado",$H$4=#REF!),BDI!$E$17,IF(AND(#REF!="Diferenciado",$H$4=#REF!),BDI!#REF!,IF(#REF!="ZERO",0))))),"")</f>
        <v>#REF!</v>
      </c>
      <c r="H371" s="139" t="e">
        <f t="shared" ca="1" si="51"/>
        <v>#REF!</v>
      </c>
      <c r="I371" s="137" t="e">
        <f t="shared" ca="1" si="52"/>
        <v>#REF!</v>
      </c>
      <c r="J371" s="117"/>
      <c r="K371" s="116">
        <v>0</v>
      </c>
      <c r="M371" s="136" t="e">
        <f ca="1">OFFSET(INDEX([1]Composições!I:R,MATCH([1]Orçamentária!I371,[1]Composições!I:I,0),8),2,0)</f>
        <v>#REF!</v>
      </c>
      <c r="N371" t="e">
        <v>#REF!</v>
      </c>
      <c r="Q371" t="e">
        <v>#REF!</v>
      </c>
    </row>
    <row r="372" spans="1:17" hidden="1" x14ac:dyDescent="0.25">
      <c r="A372" s="114" t="s">
        <v>590</v>
      </c>
      <c r="B372" s="115" t="s">
        <v>1575</v>
      </c>
      <c r="C372" s="116" t="s">
        <v>16</v>
      </c>
      <c r="D372" s="116">
        <v>0</v>
      </c>
      <c r="E372" s="136">
        <f ca="1">OFFSET(INDEX(Composições!A:J,MATCH(Orçamentária!A372,Composições!A:A,0),8),2,0)</f>
        <v>71.879944999999992</v>
      </c>
      <c r="F372" s="137">
        <f t="shared" ca="1" si="50"/>
        <v>0</v>
      </c>
      <c r="G372" s="138" t="e">
        <f>IF(A372&lt;&gt;"",IF(AND(#REF!="Padrão",$H$4=#REF!),BDI!$B$17,IF(AND(#REF!="Padrão",$H$4=#REF!),BDI!#REF!,IF(AND(#REF!="Diferenciado",$H$4=#REF!),BDI!$E$17,IF(AND(#REF!="Diferenciado",$H$4=#REF!),BDI!#REF!,IF(#REF!="ZERO",0))))),"")</f>
        <v>#REF!</v>
      </c>
      <c r="H372" s="139" t="e">
        <f t="shared" ca="1" si="51"/>
        <v>#REF!</v>
      </c>
      <c r="I372" s="137" t="e">
        <f t="shared" ca="1" si="52"/>
        <v>#REF!</v>
      </c>
      <c r="J372" s="117"/>
      <c r="K372" s="116">
        <v>0</v>
      </c>
      <c r="M372" s="136" t="e">
        <f ca="1">OFFSET(INDEX([1]Composições!I:R,MATCH([1]Orçamentária!I372,[1]Composições!I:I,0),8),2,0)</f>
        <v>#REF!</v>
      </c>
      <c r="N372" t="e">
        <v>#REF!</v>
      </c>
      <c r="Q372" t="e">
        <v>#REF!</v>
      </c>
    </row>
    <row r="373" spans="1:17" hidden="1" x14ac:dyDescent="0.25">
      <c r="A373" s="114" t="s">
        <v>592</v>
      </c>
      <c r="B373" s="115" t="s">
        <v>1576</v>
      </c>
      <c r="C373" s="116" t="s">
        <v>16</v>
      </c>
      <c r="D373" s="116">
        <v>0</v>
      </c>
      <c r="E373" s="136">
        <f ca="1">OFFSET(INDEX(Composições!A:J,MATCH(Orçamentária!A373,Composições!A:A,0),8),2,0)</f>
        <v>63.199794999999995</v>
      </c>
      <c r="F373" s="137">
        <f t="shared" ca="1" si="50"/>
        <v>0</v>
      </c>
      <c r="G373" s="138" t="e">
        <f>IF(A373&lt;&gt;"",IF(AND(#REF!="Padrão",$H$4=#REF!),BDI!$B$17,IF(AND(#REF!="Padrão",$H$4=#REF!),BDI!#REF!,IF(AND(#REF!="Diferenciado",$H$4=#REF!),BDI!$E$17,IF(AND(#REF!="Diferenciado",$H$4=#REF!),BDI!#REF!,IF(#REF!="ZERO",0))))),"")</f>
        <v>#REF!</v>
      </c>
      <c r="H373" s="139" t="e">
        <f t="shared" ca="1" si="51"/>
        <v>#REF!</v>
      </c>
      <c r="I373" s="137" t="e">
        <f t="shared" ca="1" si="52"/>
        <v>#REF!</v>
      </c>
      <c r="J373" s="117"/>
      <c r="K373" s="116">
        <v>0</v>
      </c>
      <c r="M373" s="136" t="e">
        <f ca="1">OFFSET(INDEX([1]Composições!I:R,MATCH([1]Orçamentária!I373,[1]Composições!I:I,0),8),2,0)</f>
        <v>#REF!</v>
      </c>
      <c r="N373" t="e">
        <v>#REF!</v>
      </c>
      <c r="Q373" t="e">
        <v>#REF!</v>
      </c>
    </row>
    <row r="374" spans="1:17" hidden="1" x14ac:dyDescent="0.25">
      <c r="A374" s="114" t="s">
        <v>593</v>
      </c>
      <c r="B374" s="115" t="s">
        <v>1577</v>
      </c>
      <c r="C374" s="116" t="s">
        <v>16</v>
      </c>
      <c r="D374" s="116">
        <v>0</v>
      </c>
      <c r="E374" s="136">
        <f ca="1">OFFSET(INDEX(Composições!A:J,MATCH(Orçamentária!A374,Composições!A:A,0),8),2,0)</f>
        <v>27.498433999999996</v>
      </c>
      <c r="F374" s="137">
        <f t="shared" ca="1" si="50"/>
        <v>0</v>
      </c>
      <c r="G374" s="138" t="e">
        <f>IF(A374&lt;&gt;"",IF(AND(#REF!="Padrão",$H$4=#REF!),BDI!$B$17,IF(AND(#REF!="Padrão",$H$4=#REF!),BDI!#REF!,IF(AND(#REF!="Diferenciado",$H$4=#REF!),BDI!$E$17,IF(AND(#REF!="Diferenciado",$H$4=#REF!),BDI!#REF!,IF(#REF!="ZERO",0))))),"")</f>
        <v>#REF!</v>
      </c>
      <c r="H374" s="139" t="e">
        <f t="shared" ca="1" si="51"/>
        <v>#REF!</v>
      </c>
      <c r="I374" s="137" t="e">
        <f t="shared" ca="1" si="52"/>
        <v>#REF!</v>
      </c>
      <c r="J374" s="117"/>
      <c r="K374" s="116">
        <v>0</v>
      </c>
      <c r="M374" s="136" t="e">
        <f ca="1">OFFSET(INDEX([1]Composições!I:R,MATCH([1]Orçamentária!I374,[1]Composições!I:I,0),8),2,0)</f>
        <v>#REF!</v>
      </c>
      <c r="N374" t="e">
        <v>#REF!</v>
      </c>
      <c r="Q374" t="e">
        <v>#REF!</v>
      </c>
    </row>
    <row r="375" spans="1:17" hidden="1" x14ac:dyDescent="0.25">
      <c r="A375" s="114" t="s">
        <v>595</v>
      </c>
      <c r="B375" s="115" t="s">
        <v>1578</v>
      </c>
      <c r="C375" s="116" t="s">
        <v>16</v>
      </c>
      <c r="D375" s="116">
        <v>0</v>
      </c>
      <c r="E375" s="136">
        <f ca="1">OFFSET(INDEX(Composições!A:J,MATCH(Orçamentária!A375,Composições!A:A,0),8),2,0)</f>
        <v>35.910427499999997</v>
      </c>
      <c r="F375" s="137">
        <f t="shared" ca="1" si="50"/>
        <v>0</v>
      </c>
      <c r="G375" s="138" t="e">
        <f>IF(A375&lt;&gt;"",IF(AND(#REF!="Padrão",$H$4=#REF!),BDI!$B$17,IF(AND(#REF!="Padrão",$H$4=#REF!),BDI!#REF!,IF(AND(#REF!="Diferenciado",$H$4=#REF!),BDI!$E$17,IF(AND(#REF!="Diferenciado",$H$4=#REF!),BDI!#REF!,IF(#REF!="ZERO",0))))),"")</f>
        <v>#REF!</v>
      </c>
      <c r="H375" s="139" t="e">
        <f t="shared" ca="1" si="51"/>
        <v>#REF!</v>
      </c>
      <c r="I375" s="137" t="e">
        <f t="shared" ca="1" si="52"/>
        <v>#REF!</v>
      </c>
      <c r="J375" s="117"/>
      <c r="K375" s="116">
        <v>0</v>
      </c>
      <c r="M375" s="136" t="e">
        <f ca="1">OFFSET(INDEX([1]Composições!I:R,MATCH([1]Orçamentária!I375,[1]Composições!I:I,0),8),2,0)</f>
        <v>#REF!</v>
      </c>
      <c r="N375" t="e">
        <v>#REF!</v>
      </c>
      <c r="Q375" t="e">
        <v>#REF!</v>
      </c>
    </row>
    <row r="376" spans="1:17" hidden="1" x14ac:dyDescent="0.25">
      <c r="A376" s="114" t="s">
        <v>597</v>
      </c>
      <c r="B376" s="115" t="s">
        <v>1579</v>
      </c>
      <c r="C376" s="116" t="s">
        <v>16</v>
      </c>
      <c r="D376" s="116">
        <v>0</v>
      </c>
      <c r="E376" s="136">
        <f ca="1">OFFSET(INDEX(Composições!A:J,MATCH(Orçamentária!A376,Composições!A:A,0),8),2,0)</f>
        <v>35.910427499999997</v>
      </c>
      <c r="F376" s="137">
        <f t="shared" ca="1" si="50"/>
        <v>0</v>
      </c>
      <c r="G376" s="138" t="e">
        <f>IF(A376&lt;&gt;"",IF(AND(#REF!="Padrão",$H$4=#REF!),BDI!$B$17,IF(AND(#REF!="Padrão",$H$4=#REF!),BDI!#REF!,IF(AND(#REF!="Diferenciado",$H$4=#REF!),BDI!$E$17,IF(AND(#REF!="Diferenciado",$H$4=#REF!),BDI!#REF!,IF(#REF!="ZERO",0))))),"")</f>
        <v>#REF!</v>
      </c>
      <c r="H376" s="139" t="e">
        <f t="shared" ca="1" si="51"/>
        <v>#REF!</v>
      </c>
      <c r="I376" s="137" t="e">
        <f t="shared" ca="1" si="52"/>
        <v>#REF!</v>
      </c>
      <c r="J376" s="117"/>
      <c r="K376" s="116">
        <v>0</v>
      </c>
      <c r="M376" s="136" t="e">
        <f ca="1">OFFSET(INDEX([1]Composições!I:R,MATCH([1]Orçamentária!I376,[1]Composições!I:I,0),8),2,0)</f>
        <v>#REF!</v>
      </c>
      <c r="N376" t="e">
        <v>#REF!</v>
      </c>
      <c r="Q376" t="e">
        <v>#REF!</v>
      </c>
    </row>
    <row r="377" spans="1:17" hidden="1" x14ac:dyDescent="0.25">
      <c r="A377" s="114" t="s">
        <v>599</v>
      </c>
      <c r="B377" s="115" t="s">
        <v>1580</v>
      </c>
      <c r="C377" s="116" t="s">
        <v>16</v>
      </c>
      <c r="D377" s="116">
        <v>0</v>
      </c>
      <c r="E377" s="136">
        <f ca="1">OFFSET(INDEX(Composições!A:J,MATCH(Orçamentária!A377,Composições!A:A,0),8),2,0)</f>
        <v>35.910427499999997</v>
      </c>
      <c r="F377" s="137">
        <f t="shared" ca="1" si="50"/>
        <v>0</v>
      </c>
      <c r="G377" s="138" t="e">
        <f>IF(A377&lt;&gt;"",IF(AND(#REF!="Padrão",$H$4=#REF!),BDI!$B$17,IF(AND(#REF!="Padrão",$H$4=#REF!),BDI!#REF!,IF(AND(#REF!="Diferenciado",$H$4=#REF!),BDI!$E$17,IF(AND(#REF!="Diferenciado",$H$4=#REF!),BDI!#REF!,IF(#REF!="ZERO",0))))),"")</f>
        <v>#REF!</v>
      </c>
      <c r="H377" s="139" t="e">
        <f t="shared" ca="1" si="51"/>
        <v>#REF!</v>
      </c>
      <c r="I377" s="137" t="e">
        <f t="shared" ca="1" si="52"/>
        <v>#REF!</v>
      </c>
      <c r="J377" s="117"/>
      <c r="K377" s="116">
        <v>0</v>
      </c>
      <c r="M377" s="136" t="e">
        <f ca="1">OFFSET(INDEX([1]Composições!I:R,MATCH([1]Orçamentária!I377,[1]Composições!I:I,0),8),2,0)</f>
        <v>#REF!</v>
      </c>
      <c r="N377" t="e">
        <v>#REF!</v>
      </c>
      <c r="Q377" t="e">
        <v>#REF!</v>
      </c>
    </row>
    <row r="378" spans="1:17" hidden="1" x14ac:dyDescent="0.25">
      <c r="A378" s="114" t="s">
        <v>600</v>
      </c>
      <c r="B378" s="115" t="s">
        <v>1581</v>
      </c>
      <c r="C378" s="116" t="s">
        <v>16</v>
      </c>
      <c r="D378" s="116">
        <v>0</v>
      </c>
      <c r="E378" s="136">
        <f ca="1">OFFSET(INDEX(Composições!A:J,MATCH(Orçamentária!A378,Composições!A:A,0),8),2,0)</f>
        <v>25.4315</v>
      </c>
      <c r="F378" s="137">
        <f t="shared" ca="1" si="50"/>
        <v>0</v>
      </c>
      <c r="G378" s="138" t="e">
        <f>IF(A378&lt;&gt;"",IF(AND(#REF!="Padrão",$H$4=#REF!),BDI!$B$17,IF(AND(#REF!="Padrão",$H$4=#REF!),BDI!#REF!,IF(AND(#REF!="Diferenciado",$H$4=#REF!),BDI!$E$17,IF(AND(#REF!="Diferenciado",$H$4=#REF!),BDI!#REF!,IF(#REF!="ZERO",0))))),"")</f>
        <v>#REF!</v>
      </c>
      <c r="H378" s="139" t="e">
        <f t="shared" ca="1" si="51"/>
        <v>#REF!</v>
      </c>
      <c r="I378" s="137" t="e">
        <f t="shared" ca="1" si="52"/>
        <v>#REF!</v>
      </c>
      <c r="J378" s="117"/>
      <c r="K378" s="116">
        <v>0</v>
      </c>
      <c r="M378" s="136" t="e">
        <f ca="1">OFFSET(INDEX([1]Composições!I:R,MATCH([1]Orçamentária!I378,[1]Composições!I:I,0),8),2,0)</f>
        <v>#REF!</v>
      </c>
      <c r="N378" t="e">
        <v>#REF!</v>
      </c>
      <c r="Q378" t="e">
        <v>#REF!</v>
      </c>
    </row>
    <row r="379" spans="1:17" hidden="1" x14ac:dyDescent="0.25">
      <c r="A379" s="114" t="s">
        <v>602</v>
      </c>
      <c r="B379" s="115" t="s">
        <v>1582</v>
      </c>
      <c r="C379" s="116" t="s">
        <v>16</v>
      </c>
      <c r="D379" s="116">
        <v>0</v>
      </c>
      <c r="E379" s="136">
        <f ca="1">OFFSET(INDEX(Composições!A:J,MATCH(Orçamentária!A379,Composições!A:A,0),8),2,0)</f>
        <v>12.71575</v>
      </c>
      <c r="F379" s="137">
        <f t="shared" ca="1" si="50"/>
        <v>0</v>
      </c>
      <c r="G379" s="138" t="e">
        <f>IF(A379&lt;&gt;"",IF(AND(#REF!="Padrão",$H$4=#REF!),BDI!$B$17,IF(AND(#REF!="Padrão",$H$4=#REF!),BDI!#REF!,IF(AND(#REF!="Diferenciado",$H$4=#REF!),BDI!$E$17,IF(AND(#REF!="Diferenciado",$H$4=#REF!),BDI!#REF!,IF(#REF!="ZERO",0))))),"")</f>
        <v>#REF!</v>
      </c>
      <c r="H379" s="139" t="e">
        <f t="shared" ca="1" si="51"/>
        <v>#REF!</v>
      </c>
      <c r="I379" s="137" t="e">
        <f t="shared" ca="1" si="52"/>
        <v>#REF!</v>
      </c>
      <c r="J379" s="117"/>
      <c r="K379" s="116">
        <v>0</v>
      </c>
      <c r="M379" s="136" t="e">
        <f ca="1">OFFSET(INDEX([1]Composições!I:R,MATCH([1]Orçamentária!I379,[1]Composições!I:I,0),8),2,0)</f>
        <v>#REF!</v>
      </c>
      <c r="N379" t="e">
        <v>#REF!</v>
      </c>
      <c r="Q379" t="e">
        <v>#REF!</v>
      </c>
    </row>
    <row r="380" spans="1:17" hidden="1" x14ac:dyDescent="0.25">
      <c r="A380" s="114" t="s">
        <v>604</v>
      </c>
      <c r="B380" s="115" t="s">
        <v>1583</v>
      </c>
      <c r="C380" s="116" t="s">
        <v>69</v>
      </c>
      <c r="D380" s="116">
        <v>0</v>
      </c>
      <c r="E380" s="136">
        <f ca="1">OFFSET(INDEX(Composições!A:J,MATCH(Orçamentária!A380,Composições!A:A,0),8),2,0)</f>
        <v>0.1383732</v>
      </c>
      <c r="F380" s="137">
        <f t="shared" ca="1" si="50"/>
        <v>0</v>
      </c>
      <c r="G380" s="138" t="e">
        <f>IF(A380&lt;&gt;"",IF(AND(#REF!="Padrão",$H$4=#REF!),BDI!$B$17,IF(AND(#REF!="Padrão",$H$4=#REF!),BDI!#REF!,IF(AND(#REF!="Diferenciado",$H$4=#REF!),BDI!$E$17,IF(AND(#REF!="Diferenciado",$H$4=#REF!),BDI!#REF!,IF(#REF!="ZERO",0))))),"")</f>
        <v>#REF!</v>
      </c>
      <c r="H380" s="139" t="e">
        <f t="shared" ca="1" si="51"/>
        <v>#REF!</v>
      </c>
      <c r="I380" s="137" t="e">
        <f t="shared" ca="1" si="52"/>
        <v>#REF!</v>
      </c>
      <c r="J380" s="117"/>
      <c r="K380" s="116">
        <v>0</v>
      </c>
      <c r="M380" s="136" t="e">
        <f ca="1">OFFSET(INDEX([1]Composições!I:R,MATCH([1]Orçamentária!I380,[1]Composições!I:I,0),8),2,0)</f>
        <v>#REF!</v>
      </c>
      <c r="N380" t="e">
        <v>#REF!</v>
      </c>
      <c r="Q380" t="e">
        <v>#REF!</v>
      </c>
    </row>
    <row r="381" spans="1:17" hidden="1" x14ac:dyDescent="0.25">
      <c r="A381" s="114" t="s">
        <v>606</v>
      </c>
      <c r="B381" s="115" t="s">
        <v>1584</v>
      </c>
      <c r="C381" s="116" t="s">
        <v>16</v>
      </c>
      <c r="D381" s="116">
        <v>0</v>
      </c>
      <c r="E381" s="136">
        <f ca="1">OFFSET(INDEX(Composições!A:J,MATCH(Orçamentária!A381,Composições!A:A,0),8),2,0)</f>
        <v>20.3803956</v>
      </c>
      <c r="F381" s="137">
        <f t="shared" ca="1" si="50"/>
        <v>0</v>
      </c>
      <c r="G381" s="138" t="e">
        <f>IF(A381&lt;&gt;"",IF(AND(#REF!="Padrão",$H$4=#REF!),BDI!$B$17,IF(AND(#REF!="Padrão",$H$4=#REF!),BDI!#REF!,IF(AND(#REF!="Diferenciado",$H$4=#REF!),BDI!$E$17,IF(AND(#REF!="Diferenciado",$H$4=#REF!),BDI!#REF!,IF(#REF!="ZERO",0))))),"")</f>
        <v>#REF!</v>
      </c>
      <c r="H381" s="139" t="e">
        <f t="shared" ca="1" si="51"/>
        <v>#REF!</v>
      </c>
      <c r="I381" s="137" t="e">
        <f t="shared" ca="1" si="52"/>
        <v>#REF!</v>
      </c>
      <c r="J381" s="117"/>
      <c r="K381" s="116">
        <v>0</v>
      </c>
      <c r="M381" s="136" t="e">
        <f ca="1">OFFSET(INDEX([1]Composições!I:R,MATCH([1]Orçamentária!I381,[1]Composições!I:I,0),8),2,0)</f>
        <v>#REF!</v>
      </c>
      <c r="N381" t="e">
        <v>#REF!</v>
      </c>
      <c r="Q381" t="e">
        <v>#REF!</v>
      </c>
    </row>
    <row r="382" spans="1:17" hidden="1" x14ac:dyDescent="0.25">
      <c r="A382" s="114" t="s">
        <v>610</v>
      </c>
      <c r="B382" s="115" t="s">
        <v>1585</v>
      </c>
      <c r="C382" s="116" t="s">
        <v>16</v>
      </c>
      <c r="D382" s="116">
        <v>0</v>
      </c>
      <c r="E382" s="136">
        <f ca="1">OFFSET(INDEX(Composições!A:J,MATCH(Orçamentária!A382,Composições!A:A,0),8),2,0)</f>
        <v>306.4323933</v>
      </c>
      <c r="F382" s="137">
        <f t="shared" ca="1" si="50"/>
        <v>0</v>
      </c>
      <c r="G382" s="138" t="e">
        <f>IF(A382&lt;&gt;"",IF(AND(#REF!="Padrão",$H$4=#REF!),BDI!$B$17,IF(AND(#REF!="Padrão",$H$4=#REF!),BDI!#REF!,IF(AND(#REF!="Diferenciado",$H$4=#REF!),BDI!$E$17,IF(AND(#REF!="Diferenciado",$H$4=#REF!),BDI!#REF!,IF(#REF!="ZERO",0))))),"")</f>
        <v>#REF!</v>
      </c>
      <c r="H382" s="139" t="e">
        <f t="shared" ca="1" si="51"/>
        <v>#REF!</v>
      </c>
      <c r="I382" s="137" t="e">
        <f t="shared" ca="1" si="52"/>
        <v>#REF!</v>
      </c>
      <c r="J382" s="117"/>
      <c r="K382" s="116">
        <v>0</v>
      </c>
      <c r="M382" s="136" t="e">
        <f ca="1">OFFSET(INDEX([1]Composições!I:R,MATCH([1]Orçamentária!I382,[1]Composições!I:I,0),8),2,0)</f>
        <v>#REF!</v>
      </c>
      <c r="N382" t="e">
        <v>#REF!</v>
      </c>
      <c r="Q382" t="e">
        <v>#REF!</v>
      </c>
    </row>
    <row r="383" spans="1:17" hidden="1" x14ac:dyDescent="0.25">
      <c r="A383" s="114" t="s">
        <v>612</v>
      </c>
      <c r="B383" s="115" t="s">
        <v>1586</v>
      </c>
      <c r="C383" s="116" t="s">
        <v>69</v>
      </c>
      <c r="D383" s="116">
        <v>0</v>
      </c>
      <c r="E383" s="136">
        <f ca="1">OFFSET(INDEX(Composições!A:J,MATCH(Orçamentária!A383,Composições!A:A,0),8),2,0)</f>
        <v>4.4944329000000005</v>
      </c>
      <c r="F383" s="137">
        <f t="shared" ca="1" si="50"/>
        <v>0</v>
      </c>
      <c r="G383" s="138" t="e">
        <f>IF(A383&lt;&gt;"",IF(AND(#REF!="Padrão",$H$4=#REF!),BDI!$B$17,IF(AND(#REF!="Padrão",$H$4=#REF!),BDI!#REF!,IF(AND(#REF!="Diferenciado",$H$4=#REF!),BDI!$E$17,IF(AND(#REF!="Diferenciado",$H$4=#REF!),BDI!#REF!,IF(#REF!="ZERO",0))))),"")</f>
        <v>#REF!</v>
      </c>
      <c r="H383" s="139" t="e">
        <f t="shared" ca="1" si="51"/>
        <v>#REF!</v>
      </c>
      <c r="I383" s="137" t="e">
        <f t="shared" ca="1" si="52"/>
        <v>#REF!</v>
      </c>
      <c r="J383" s="117"/>
      <c r="K383" s="116">
        <v>0</v>
      </c>
      <c r="M383" s="136" t="e">
        <f ca="1">OFFSET(INDEX([1]Composições!I:R,MATCH([1]Orçamentária!I383,[1]Composições!I:I,0),8),2,0)</f>
        <v>#REF!</v>
      </c>
      <c r="N383" t="e">
        <v>#REF!</v>
      </c>
      <c r="Q383" t="e">
        <v>#REF!</v>
      </c>
    </row>
    <row r="384" spans="1:17" hidden="1" x14ac:dyDescent="0.25">
      <c r="A384" s="114" t="s">
        <v>614</v>
      </c>
      <c r="B384" s="115" t="s">
        <v>1587</v>
      </c>
      <c r="C384" s="116" t="s">
        <v>16</v>
      </c>
      <c r="D384" s="116">
        <v>0</v>
      </c>
      <c r="E384" s="136">
        <f ca="1">OFFSET(INDEX(Composições!A:J,MATCH(Orçamentária!A384,Composições!A:A,0),8),2,0)</f>
        <v>45.767697799999993</v>
      </c>
      <c r="F384" s="137">
        <f t="shared" ca="1" si="50"/>
        <v>0</v>
      </c>
      <c r="G384" s="138" t="e">
        <f>IF(A384&lt;&gt;"",IF(AND(#REF!="Padrão",$H$4=#REF!),BDI!$B$17,IF(AND(#REF!="Padrão",$H$4=#REF!),BDI!#REF!,IF(AND(#REF!="Diferenciado",$H$4=#REF!),BDI!$E$17,IF(AND(#REF!="Diferenciado",$H$4=#REF!),BDI!#REF!,IF(#REF!="ZERO",0))))),"")</f>
        <v>#REF!</v>
      </c>
      <c r="H384" s="139" t="e">
        <f t="shared" ca="1" si="51"/>
        <v>#REF!</v>
      </c>
      <c r="I384" s="137" t="e">
        <f t="shared" ca="1" si="52"/>
        <v>#REF!</v>
      </c>
      <c r="J384" s="117"/>
      <c r="K384" s="116">
        <v>0</v>
      </c>
      <c r="M384" s="136" t="e">
        <f ca="1">OFFSET(INDEX([1]Composições!I:R,MATCH([1]Orçamentária!I384,[1]Composições!I:I,0),8),2,0)</f>
        <v>#REF!</v>
      </c>
      <c r="N384" t="e">
        <v>#REF!</v>
      </c>
      <c r="Q384" t="e">
        <v>#REF!</v>
      </c>
    </row>
    <row r="385" spans="1:17" hidden="1" x14ac:dyDescent="0.25">
      <c r="A385" s="114" t="s">
        <v>616</v>
      </c>
      <c r="B385" s="115" t="s">
        <v>7614</v>
      </c>
      <c r="C385" s="116" t="s">
        <v>16</v>
      </c>
      <c r="D385" s="116">
        <v>0</v>
      </c>
      <c r="E385" s="136">
        <f ca="1">OFFSET(INDEX(Composições!A:J,MATCH(Orçamentária!A385,Composições!A:A,0),8),2,0)</f>
        <v>183.20749999999998</v>
      </c>
      <c r="F385" s="137">
        <f t="shared" ca="1" si="50"/>
        <v>0</v>
      </c>
      <c r="G385" s="138" t="e">
        <f>IF(A385&lt;&gt;"",IF(AND(#REF!="Padrão",$H$4=#REF!),BDI!$B$17,IF(AND(#REF!="Padrão",$H$4=#REF!),BDI!#REF!,IF(AND(#REF!="Diferenciado",$H$4=#REF!),BDI!$E$17,IF(AND(#REF!="Diferenciado",$H$4=#REF!),BDI!#REF!,IF(#REF!="ZERO",0))))),"")</f>
        <v>#REF!</v>
      </c>
      <c r="H385" s="139" t="e">
        <f t="shared" ca="1" si="51"/>
        <v>#REF!</v>
      </c>
      <c r="I385" s="137" t="e">
        <f t="shared" ca="1" si="52"/>
        <v>#REF!</v>
      </c>
      <c r="J385" s="117"/>
      <c r="K385" s="116">
        <v>0</v>
      </c>
      <c r="M385" s="136" t="e">
        <f ca="1">OFFSET(INDEX([1]Composições!I:R,MATCH([1]Orçamentária!I385,[1]Composições!I:I,0),8),2,0)</f>
        <v>#REF!</v>
      </c>
      <c r="N385" t="e">
        <v>#REF!</v>
      </c>
      <c r="Q385" t="e">
        <v>#REF!</v>
      </c>
    </row>
    <row r="386" spans="1:17" hidden="1" x14ac:dyDescent="0.25">
      <c r="A386" s="114" t="s">
        <v>1588</v>
      </c>
      <c r="B386" s="115" t="s">
        <v>1589</v>
      </c>
      <c r="C386" s="116" t="s">
        <v>5413</v>
      </c>
      <c r="D386" s="116">
        <v>0</v>
      </c>
      <c r="E386" s="136" t="s">
        <v>416</v>
      </c>
      <c r="F386" s="137" t="str">
        <f t="shared" si="50"/>
        <v/>
      </c>
      <c r="G386" s="138" t="e">
        <f>IF(A386&lt;&gt;"",IF(AND(#REF!="Padrão",$H$4=#REF!),BDI!$B$17,IF(AND(#REF!="Padrão",$H$4=#REF!),BDI!#REF!,IF(AND(#REF!="Diferenciado",$H$4=#REF!),BDI!$E$17,IF(AND(#REF!="Diferenciado",$H$4=#REF!),BDI!#REF!,IF(#REF!="ZERO",0))))),"")</f>
        <v>#REF!</v>
      </c>
      <c r="H386" s="139" t="str">
        <f t="shared" si="51"/>
        <v/>
      </c>
      <c r="I386" s="137" t="str">
        <f t="shared" si="52"/>
        <v/>
      </c>
      <c r="J386" s="117"/>
      <c r="K386" s="116">
        <v>0</v>
      </c>
      <c r="M386" s="136" t="s">
        <v>416</v>
      </c>
      <c r="N386" t="e">
        <v>#REF!</v>
      </c>
      <c r="Q386" t="s">
        <v>416</v>
      </c>
    </row>
    <row r="387" spans="1:17" hidden="1" x14ac:dyDescent="0.25">
      <c r="A387" s="114" t="s">
        <v>1590</v>
      </c>
      <c r="B387" s="115" t="s">
        <v>1591</v>
      </c>
      <c r="C387" s="116" t="s">
        <v>75</v>
      </c>
      <c r="D387" s="116">
        <v>0</v>
      </c>
      <c r="E387" s="136" t="s">
        <v>416</v>
      </c>
      <c r="F387" s="137" t="str">
        <f t="shared" si="50"/>
        <v/>
      </c>
      <c r="G387" s="138" t="e">
        <f>IF(A387&lt;&gt;"",IF(AND(#REF!="Padrão",$H$4=#REF!),BDI!$B$17,IF(AND(#REF!="Padrão",$H$4=#REF!),BDI!#REF!,IF(AND(#REF!="Diferenciado",$H$4=#REF!),BDI!$E$17,IF(AND(#REF!="Diferenciado",$H$4=#REF!),BDI!#REF!,IF(#REF!="ZERO",0))))),"")</f>
        <v>#REF!</v>
      </c>
      <c r="H387" s="139" t="str">
        <f t="shared" si="51"/>
        <v/>
      </c>
      <c r="I387" s="137" t="str">
        <f t="shared" si="52"/>
        <v/>
      </c>
      <c r="J387" s="117"/>
      <c r="K387" s="116">
        <v>0</v>
      </c>
      <c r="M387" s="136" t="s">
        <v>416</v>
      </c>
      <c r="N387" t="e">
        <v>#REF!</v>
      </c>
      <c r="Q387" t="s">
        <v>416</v>
      </c>
    </row>
    <row r="388" spans="1:17" hidden="1" x14ac:dyDescent="0.25">
      <c r="A388" s="114" t="s">
        <v>1592</v>
      </c>
      <c r="B388" s="115" t="s">
        <v>1593</v>
      </c>
      <c r="C388" s="116" t="s">
        <v>5412</v>
      </c>
      <c r="D388" s="116">
        <v>0</v>
      </c>
      <c r="E388" s="136" t="s">
        <v>416</v>
      </c>
      <c r="F388" s="137" t="str">
        <f t="shared" si="50"/>
        <v/>
      </c>
      <c r="G388" s="138" t="e">
        <f>IF(A388&lt;&gt;"",IF(AND(#REF!="Padrão",$H$4=#REF!),BDI!$B$17,IF(AND(#REF!="Padrão",$H$4=#REF!),BDI!#REF!,IF(AND(#REF!="Diferenciado",$H$4=#REF!),BDI!$E$17,IF(AND(#REF!="Diferenciado",$H$4=#REF!),BDI!#REF!,IF(#REF!="ZERO",0))))),"")</f>
        <v>#REF!</v>
      </c>
      <c r="H388" s="139" t="str">
        <f t="shared" si="51"/>
        <v/>
      </c>
      <c r="I388" s="137" t="str">
        <f t="shared" si="52"/>
        <v/>
      </c>
      <c r="J388" s="117"/>
      <c r="K388" s="116">
        <v>0</v>
      </c>
      <c r="M388" s="136" t="s">
        <v>416</v>
      </c>
      <c r="N388" t="e">
        <v>#REF!</v>
      </c>
      <c r="Q388" t="s">
        <v>416</v>
      </c>
    </row>
    <row r="389" spans="1:17" hidden="1" x14ac:dyDescent="0.25">
      <c r="A389" s="114" t="s">
        <v>1594</v>
      </c>
      <c r="B389" s="115" t="s">
        <v>1595</v>
      </c>
      <c r="C389" s="116" t="s">
        <v>28</v>
      </c>
      <c r="D389" s="116">
        <v>0</v>
      </c>
      <c r="E389" s="136" t="s">
        <v>416</v>
      </c>
      <c r="F389" s="137" t="str">
        <f t="shared" si="50"/>
        <v/>
      </c>
      <c r="G389" s="138" t="e">
        <f>IF(A389&lt;&gt;"",IF(AND(#REF!="Padrão",$H$4=#REF!),BDI!$B$17,IF(AND(#REF!="Padrão",$H$4=#REF!),BDI!#REF!,IF(AND(#REF!="Diferenciado",$H$4=#REF!),BDI!$E$17,IF(AND(#REF!="Diferenciado",$H$4=#REF!),BDI!#REF!,IF(#REF!="ZERO",0))))),"")</f>
        <v>#REF!</v>
      </c>
      <c r="H389" s="139" t="str">
        <f t="shared" si="51"/>
        <v/>
      </c>
      <c r="I389" s="137" t="str">
        <f t="shared" si="52"/>
        <v/>
      </c>
      <c r="J389" s="117"/>
      <c r="K389" s="116">
        <v>0</v>
      </c>
      <c r="M389" s="136" t="s">
        <v>416</v>
      </c>
      <c r="N389" t="e">
        <v>#REF!</v>
      </c>
      <c r="Q389" t="s">
        <v>416</v>
      </c>
    </row>
    <row r="390" spans="1:17" hidden="1" x14ac:dyDescent="0.25">
      <c r="A390" s="114" t="s">
        <v>1596</v>
      </c>
      <c r="B390" s="115" t="s">
        <v>1597</v>
      </c>
      <c r="C390" s="116" t="s">
        <v>28</v>
      </c>
      <c r="D390" s="116">
        <v>0</v>
      </c>
      <c r="E390" s="136" t="s">
        <v>416</v>
      </c>
      <c r="F390" s="137" t="str">
        <f t="shared" si="50"/>
        <v/>
      </c>
      <c r="G390" s="138" t="e">
        <f>IF(A390&lt;&gt;"",IF(AND(#REF!="Padrão",$H$4=#REF!),BDI!$B$17,IF(AND(#REF!="Padrão",$H$4=#REF!),BDI!#REF!,IF(AND(#REF!="Diferenciado",$H$4=#REF!),BDI!$E$17,IF(AND(#REF!="Diferenciado",$H$4=#REF!),BDI!#REF!,IF(#REF!="ZERO",0))))),"")</f>
        <v>#REF!</v>
      </c>
      <c r="H390" s="139" t="str">
        <f t="shared" si="51"/>
        <v/>
      </c>
      <c r="I390" s="137" t="str">
        <f t="shared" si="52"/>
        <v/>
      </c>
      <c r="J390" s="117"/>
      <c r="K390" s="116">
        <v>0</v>
      </c>
      <c r="M390" s="136" t="s">
        <v>416</v>
      </c>
      <c r="N390" t="e">
        <v>#REF!</v>
      </c>
      <c r="Q390" t="s">
        <v>416</v>
      </c>
    </row>
    <row r="391" spans="1:17" hidden="1" x14ac:dyDescent="0.25">
      <c r="A391" s="114" t="s">
        <v>1598</v>
      </c>
      <c r="B391" s="115" t="s">
        <v>1599</v>
      </c>
      <c r="C391" s="116" t="s">
        <v>1600</v>
      </c>
      <c r="D391" s="116">
        <v>0</v>
      </c>
      <c r="E391" s="136" t="s">
        <v>416</v>
      </c>
      <c r="F391" s="137" t="str">
        <f t="shared" ref="F391:F454" si="73">IF(ISNUMBER(E391),D391*E391,"")</f>
        <v/>
      </c>
      <c r="G391" s="138" t="e">
        <f>IF(A391&lt;&gt;"",IF(AND(#REF!="Padrão",$H$4=#REF!),BDI!$B$17,IF(AND(#REF!="Padrão",$H$4=#REF!),BDI!#REF!,IF(AND(#REF!="Diferenciado",$H$4=#REF!),BDI!$E$17,IF(AND(#REF!="Diferenciado",$H$4=#REF!),BDI!#REF!,IF(#REF!="ZERO",0))))),"")</f>
        <v>#REF!</v>
      </c>
      <c r="H391" s="139" t="str">
        <f t="shared" ref="H391:H454" si="74">IF(ISNUMBER(E391),ROUND(E391*(1+G391),2),"")</f>
        <v/>
      </c>
      <c r="I391" s="137" t="str">
        <f t="shared" ref="I391:I454" si="75">IF(ISNUMBER(E391),ROUND(H391*D391,2),"")</f>
        <v/>
      </c>
      <c r="J391" s="117"/>
      <c r="K391" s="116">
        <v>0</v>
      </c>
      <c r="M391" s="136" t="s">
        <v>416</v>
      </c>
      <c r="N391" t="e">
        <v>#REF!</v>
      </c>
      <c r="Q391" t="s">
        <v>416</v>
      </c>
    </row>
    <row r="392" spans="1:17" hidden="1" x14ac:dyDescent="0.25">
      <c r="A392" s="114" t="s">
        <v>1601</v>
      </c>
      <c r="B392" s="115" t="s">
        <v>1602</v>
      </c>
      <c r="C392" s="116" t="s">
        <v>75</v>
      </c>
      <c r="D392" s="116">
        <v>0</v>
      </c>
      <c r="E392" s="136" t="s">
        <v>416</v>
      </c>
      <c r="F392" s="137" t="str">
        <f t="shared" si="73"/>
        <v/>
      </c>
      <c r="G392" s="138" t="e">
        <f>IF(A392&lt;&gt;"",IF(AND(#REF!="Padrão",$H$4=#REF!),BDI!$B$17,IF(AND(#REF!="Padrão",$H$4=#REF!),BDI!#REF!,IF(AND(#REF!="Diferenciado",$H$4=#REF!),BDI!$E$17,IF(AND(#REF!="Diferenciado",$H$4=#REF!),BDI!#REF!,IF(#REF!="ZERO",0))))),"")</f>
        <v>#REF!</v>
      </c>
      <c r="H392" s="139" t="str">
        <f t="shared" si="74"/>
        <v/>
      </c>
      <c r="I392" s="137" t="str">
        <f t="shared" si="75"/>
        <v/>
      </c>
      <c r="J392" s="117"/>
      <c r="K392" s="116">
        <v>0</v>
      </c>
      <c r="M392" s="136" t="s">
        <v>416</v>
      </c>
      <c r="N392" t="e">
        <v>#REF!</v>
      </c>
      <c r="Q392" t="s">
        <v>416</v>
      </c>
    </row>
    <row r="393" spans="1:17" hidden="1" x14ac:dyDescent="0.25">
      <c r="A393" s="114" t="s">
        <v>1603</v>
      </c>
      <c r="B393" s="115" t="s">
        <v>1604</v>
      </c>
      <c r="C393" s="116" t="s">
        <v>669</v>
      </c>
      <c r="D393" s="116">
        <v>0</v>
      </c>
      <c r="E393" s="136" t="s">
        <v>416</v>
      </c>
      <c r="F393" s="137" t="str">
        <f t="shared" si="73"/>
        <v/>
      </c>
      <c r="G393" s="138" t="e">
        <f>IF(A393&lt;&gt;"",IF(AND(#REF!="Padrão",$H$4=#REF!),BDI!$B$17,IF(AND(#REF!="Padrão",$H$4=#REF!),BDI!#REF!,IF(AND(#REF!="Diferenciado",$H$4=#REF!),BDI!$E$17,IF(AND(#REF!="Diferenciado",$H$4=#REF!),BDI!#REF!,IF(#REF!="ZERO",0))))),"")</f>
        <v>#REF!</v>
      </c>
      <c r="H393" s="139" t="str">
        <f t="shared" si="74"/>
        <v/>
      </c>
      <c r="I393" s="137" t="str">
        <f t="shared" si="75"/>
        <v/>
      </c>
      <c r="J393" s="117"/>
      <c r="K393" s="116">
        <v>0</v>
      </c>
      <c r="M393" s="136" t="s">
        <v>416</v>
      </c>
      <c r="N393" t="e">
        <v>#REF!</v>
      </c>
      <c r="Q393" t="s">
        <v>416</v>
      </c>
    </row>
    <row r="394" spans="1:17" hidden="1" x14ac:dyDescent="0.25">
      <c r="A394" s="114" t="s">
        <v>1605</v>
      </c>
      <c r="B394" s="115" t="s">
        <v>1606</v>
      </c>
      <c r="C394" s="116" t="s">
        <v>28</v>
      </c>
      <c r="D394" s="116">
        <v>0</v>
      </c>
      <c r="E394" s="136" t="s">
        <v>416</v>
      </c>
      <c r="F394" s="137" t="str">
        <f t="shared" si="73"/>
        <v/>
      </c>
      <c r="G394" s="138" t="e">
        <f>IF(A394&lt;&gt;"",IF(AND(#REF!="Padrão",$H$4=#REF!),BDI!$B$17,IF(AND(#REF!="Padrão",$H$4=#REF!),BDI!#REF!,IF(AND(#REF!="Diferenciado",$H$4=#REF!),BDI!$E$17,IF(AND(#REF!="Diferenciado",$H$4=#REF!),BDI!#REF!,IF(#REF!="ZERO",0))))),"")</f>
        <v>#REF!</v>
      </c>
      <c r="H394" s="139" t="str">
        <f t="shared" si="74"/>
        <v/>
      </c>
      <c r="I394" s="137" t="str">
        <f t="shared" si="75"/>
        <v/>
      </c>
      <c r="J394" s="117"/>
      <c r="K394" s="116">
        <v>0</v>
      </c>
      <c r="M394" s="136" t="s">
        <v>416</v>
      </c>
      <c r="N394" t="e">
        <v>#REF!</v>
      </c>
      <c r="Q394" t="s">
        <v>416</v>
      </c>
    </row>
    <row r="395" spans="1:17" hidden="1" x14ac:dyDescent="0.25">
      <c r="A395" s="114" t="s">
        <v>1607</v>
      </c>
      <c r="B395" s="115" t="s">
        <v>1608</v>
      </c>
      <c r="C395" s="116" t="s">
        <v>69</v>
      </c>
      <c r="D395" s="116">
        <v>0</v>
      </c>
      <c r="E395" s="136" t="s">
        <v>416</v>
      </c>
      <c r="F395" s="137" t="str">
        <f t="shared" si="73"/>
        <v/>
      </c>
      <c r="G395" s="138" t="e">
        <f>IF(A395&lt;&gt;"",IF(AND(#REF!="Padrão",$H$4=#REF!),BDI!$B$17,IF(AND(#REF!="Padrão",$H$4=#REF!),BDI!#REF!,IF(AND(#REF!="Diferenciado",$H$4=#REF!),BDI!$E$17,IF(AND(#REF!="Diferenciado",$H$4=#REF!),BDI!#REF!,IF(#REF!="ZERO",0))))),"")</f>
        <v>#REF!</v>
      </c>
      <c r="H395" s="139" t="str">
        <f t="shared" si="74"/>
        <v/>
      </c>
      <c r="I395" s="137" t="str">
        <f t="shared" si="75"/>
        <v/>
      </c>
      <c r="J395" s="117"/>
      <c r="K395" s="116">
        <v>0</v>
      </c>
      <c r="M395" s="136" t="s">
        <v>416</v>
      </c>
      <c r="N395" t="e">
        <v>#REF!</v>
      </c>
      <c r="Q395" t="s">
        <v>416</v>
      </c>
    </row>
    <row r="396" spans="1:17" hidden="1" x14ac:dyDescent="0.25">
      <c r="A396" s="114" t="s">
        <v>1609</v>
      </c>
      <c r="B396" s="115" t="s">
        <v>1610</v>
      </c>
      <c r="C396" s="116" t="s">
        <v>69</v>
      </c>
      <c r="D396" s="116">
        <v>0</v>
      </c>
      <c r="E396" s="136" t="s">
        <v>416</v>
      </c>
      <c r="F396" s="137" t="str">
        <f t="shared" si="73"/>
        <v/>
      </c>
      <c r="G396" s="138" t="e">
        <f>IF(A396&lt;&gt;"",IF(AND(#REF!="Padrão",$H$4=#REF!),BDI!$B$17,IF(AND(#REF!="Padrão",$H$4=#REF!),BDI!#REF!,IF(AND(#REF!="Diferenciado",$H$4=#REF!),BDI!$E$17,IF(AND(#REF!="Diferenciado",$H$4=#REF!),BDI!#REF!,IF(#REF!="ZERO",0))))),"")</f>
        <v>#REF!</v>
      </c>
      <c r="H396" s="139" t="str">
        <f t="shared" si="74"/>
        <v/>
      </c>
      <c r="I396" s="137" t="str">
        <f t="shared" si="75"/>
        <v/>
      </c>
      <c r="J396" s="117"/>
      <c r="K396" s="116">
        <v>0</v>
      </c>
      <c r="M396" s="136" t="s">
        <v>416</v>
      </c>
      <c r="N396" t="e">
        <v>#REF!</v>
      </c>
      <c r="Q396" t="s">
        <v>416</v>
      </c>
    </row>
    <row r="397" spans="1:17" hidden="1" x14ac:dyDescent="0.25">
      <c r="A397" s="114" t="s">
        <v>1611</v>
      </c>
      <c r="B397" s="115" t="s">
        <v>1612</v>
      </c>
      <c r="C397" s="116" t="s">
        <v>69</v>
      </c>
      <c r="D397" s="116">
        <v>0</v>
      </c>
      <c r="E397" s="136" t="s">
        <v>416</v>
      </c>
      <c r="F397" s="137" t="str">
        <f t="shared" si="73"/>
        <v/>
      </c>
      <c r="G397" s="138" t="e">
        <f>IF(A397&lt;&gt;"",IF(AND(#REF!="Padrão",$H$4=#REF!),BDI!$B$17,IF(AND(#REF!="Padrão",$H$4=#REF!),BDI!#REF!,IF(AND(#REF!="Diferenciado",$H$4=#REF!),BDI!$E$17,IF(AND(#REF!="Diferenciado",$H$4=#REF!),BDI!#REF!,IF(#REF!="ZERO",0))))),"")</f>
        <v>#REF!</v>
      </c>
      <c r="H397" s="139" t="str">
        <f t="shared" si="74"/>
        <v/>
      </c>
      <c r="I397" s="137" t="str">
        <f t="shared" si="75"/>
        <v/>
      </c>
      <c r="J397" s="117"/>
      <c r="K397" s="116">
        <v>0</v>
      </c>
      <c r="M397" s="136" t="s">
        <v>416</v>
      </c>
      <c r="N397" t="e">
        <v>#REF!</v>
      </c>
      <c r="Q397" t="s">
        <v>416</v>
      </c>
    </row>
    <row r="398" spans="1:17" hidden="1" x14ac:dyDescent="0.25">
      <c r="A398" s="114" t="s">
        <v>1613</v>
      </c>
      <c r="B398" s="115" t="s">
        <v>1614</v>
      </c>
      <c r="C398" s="116" t="s">
        <v>69</v>
      </c>
      <c r="D398" s="116">
        <v>0</v>
      </c>
      <c r="E398" s="136" t="s">
        <v>416</v>
      </c>
      <c r="F398" s="137" t="str">
        <f t="shared" si="73"/>
        <v/>
      </c>
      <c r="G398" s="138" t="e">
        <f>IF(A398&lt;&gt;"",IF(AND(#REF!="Padrão",$H$4=#REF!),BDI!$B$17,IF(AND(#REF!="Padrão",$H$4=#REF!),BDI!#REF!,IF(AND(#REF!="Diferenciado",$H$4=#REF!),BDI!$E$17,IF(AND(#REF!="Diferenciado",$H$4=#REF!),BDI!#REF!,IF(#REF!="ZERO",0))))),"")</f>
        <v>#REF!</v>
      </c>
      <c r="H398" s="139" t="str">
        <f t="shared" si="74"/>
        <v/>
      </c>
      <c r="I398" s="137" t="str">
        <f t="shared" si="75"/>
        <v/>
      </c>
      <c r="J398" s="117"/>
      <c r="K398" s="116">
        <v>0</v>
      </c>
      <c r="M398" s="136" t="s">
        <v>416</v>
      </c>
      <c r="N398" t="e">
        <v>#REF!</v>
      </c>
      <c r="Q398" t="s">
        <v>416</v>
      </c>
    </row>
    <row r="399" spans="1:17" hidden="1" x14ac:dyDescent="0.25">
      <c r="A399" s="114" t="s">
        <v>1615</v>
      </c>
      <c r="B399" s="115" t="s">
        <v>7615</v>
      </c>
      <c r="C399" s="116" t="s">
        <v>16</v>
      </c>
      <c r="D399" s="116">
        <v>0</v>
      </c>
      <c r="E399" s="136" t="s">
        <v>416</v>
      </c>
      <c r="F399" s="137" t="str">
        <f t="shared" si="73"/>
        <v/>
      </c>
      <c r="G399" s="138" t="e">
        <f>IF(A399&lt;&gt;"",IF(AND(#REF!="Padrão",$H$4=#REF!),BDI!$B$17,IF(AND(#REF!="Padrão",$H$4=#REF!),BDI!#REF!,IF(AND(#REF!="Diferenciado",$H$4=#REF!),BDI!$E$17,IF(AND(#REF!="Diferenciado",$H$4=#REF!),BDI!#REF!,IF(#REF!="ZERO",0))))),"")</f>
        <v>#REF!</v>
      </c>
      <c r="H399" s="139" t="str">
        <f t="shared" si="74"/>
        <v/>
      </c>
      <c r="I399" s="137" t="str">
        <f t="shared" si="75"/>
        <v/>
      </c>
      <c r="J399" s="117"/>
      <c r="K399" s="116">
        <v>0</v>
      </c>
      <c r="M399" s="136" t="s">
        <v>416</v>
      </c>
      <c r="N399" t="e">
        <v>#REF!</v>
      </c>
      <c r="Q399" t="s">
        <v>416</v>
      </c>
    </row>
    <row r="400" spans="1:17" hidden="1" x14ac:dyDescent="0.25">
      <c r="A400" s="114" t="s">
        <v>1616</v>
      </c>
      <c r="B400" s="115" t="s">
        <v>1617</v>
      </c>
      <c r="C400" s="116" t="s">
        <v>16</v>
      </c>
      <c r="D400" s="116">
        <v>0</v>
      </c>
      <c r="E400" s="136" t="s">
        <v>416</v>
      </c>
      <c r="F400" s="137" t="str">
        <f t="shared" si="73"/>
        <v/>
      </c>
      <c r="G400" s="138" t="e">
        <f>IF(A400&lt;&gt;"",IF(AND(#REF!="Padrão",$H$4=#REF!),BDI!$B$17,IF(AND(#REF!="Padrão",$H$4=#REF!),BDI!#REF!,IF(AND(#REF!="Diferenciado",$H$4=#REF!),BDI!$E$17,IF(AND(#REF!="Diferenciado",$H$4=#REF!),BDI!#REF!,IF(#REF!="ZERO",0))))),"")</f>
        <v>#REF!</v>
      </c>
      <c r="H400" s="139" t="str">
        <f t="shared" si="74"/>
        <v/>
      </c>
      <c r="I400" s="137" t="str">
        <f t="shared" si="75"/>
        <v/>
      </c>
      <c r="J400" s="117"/>
      <c r="K400" s="116">
        <v>0</v>
      </c>
      <c r="M400" s="136" t="s">
        <v>416</v>
      </c>
      <c r="N400" t="e">
        <v>#REF!</v>
      </c>
      <c r="Q400" t="s">
        <v>416</v>
      </c>
    </row>
    <row r="401" spans="1:17" hidden="1" x14ac:dyDescent="0.25">
      <c r="A401" s="114" t="s">
        <v>1618</v>
      </c>
      <c r="B401" s="115" t="s">
        <v>1619</v>
      </c>
      <c r="C401" s="116" t="s">
        <v>16</v>
      </c>
      <c r="D401" s="116">
        <v>0</v>
      </c>
      <c r="E401" s="136" t="s">
        <v>416</v>
      </c>
      <c r="F401" s="137" t="str">
        <f t="shared" si="73"/>
        <v/>
      </c>
      <c r="G401" s="138" t="e">
        <f>IF(A401&lt;&gt;"",IF(AND(#REF!="Padrão",$H$4=#REF!),BDI!$B$17,IF(AND(#REF!="Padrão",$H$4=#REF!),BDI!#REF!,IF(AND(#REF!="Diferenciado",$H$4=#REF!),BDI!$E$17,IF(AND(#REF!="Diferenciado",$H$4=#REF!),BDI!#REF!,IF(#REF!="ZERO",0))))),"")</f>
        <v>#REF!</v>
      </c>
      <c r="H401" s="139" t="str">
        <f t="shared" si="74"/>
        <v/>
      </c>
      <c r="I401" s="137" t="str">
        <f t="shared" si="75"/>
        <v/>
      </c>
      <c r="J401" s="117"/>
      <c r="K401" s="116">
        <v>0</v>
      </c>
      <c r="M401" s="136" t="s">
        <v>416</v>
      </c>
      <c r="N401" t="e">
        <v>#REF!</v>
      </c>
      <c r="Q401" t="s">
        <v>416</v>
      </c>
    </row>
    <row r="402" spans="1:17" hidden="1" x14ac:dyDescent="0.25">
      <c r="A402" s="114" t="s">
        <v>1620</v>
      </c>
      <c r="B402" s="115" t="s">
        <v>1621</v>
      </c>
      <c r="C402" s="116" t="s">
        <v>16</v>
      </c>
      <c r="D402" s="116">
        <v>0</v>
      </c>
      <c r="E402" s="136" t="s">
        <v>416</v>
      </c>
      <c r="F402" s="137" t="str">
        <f t="shared" si="73"/>
        <v/>
      </c>
      <c r="G402" s="138" t="e">
        <f>IF(A402&lt;&gt;"",IF(AND(#REF!="Padrão",$H$4=#REF!),BDI!$B$17,IF(AND(#REF!="Padrão",$H$4=#REF!),BDI!#REF!,IF(AND(#REF!="Diferenciado",$H$4=#REF!),BDI!$E$17,IF(AND(#REF!="Diferenciado",$H$4=#REF!),BDI!#REF!,IF(#REF!="ZERO",0))))),"")</f>
        <v>#REF!</v>
      </c>
      <c r="H402" s="139" t="str">
        <f t="shared" si="74"/>
        <v/>
      </c>
      <c r="I402" s="137" t="str">
        <f t="shared" si="75"/>
        <v/>
      </c>
      <c r="J402" s="117"/>
      <c r="K402" s="116">
        <v>0</v>
      </c>
      <c r="M402" s="136" t="s">
        <v>416</v>
      </c>
      <c r="N402" t="e">
        <v>#REF!</v>
      </c>
      <c r="Q402" t="s">
        <v>416</v>
      </c>
    </row>
    <row r="403" spans="1:17" hidden="1" x14ac:dyDescent="0.25">
      <c r="A403" s="114" t="s">
        <v>1622</v>
      </c>
      <c r="B403" s="115" t="s">
        <v>1623</v>
      </c>
      <c r="C403" s="116" t="s">
        <v>69</v>
      </c>
      <c r="D403" s="116">
        <v>0</v>
      </c>
      <c r="E403" s="136" t="s">
        <v>416</v>
      </c>
      <c r="F403" s="137" t="str">
        <f t="shared" si="73"/>
        <v/>
      </c>
      <c r="G403" s="138" t="e">
        <f>IF(A403&lt;&gt;"",IF(AND(#REF!="Padrão",$H$4=#REF!),BDI!$B$17,IF(AND(#REF!="Padrão",$H$4=#REF!),BDI!#REF!,IF(AND(#REF!="Diferenciado",$H$4=#REF!),BDI!$E$17,IF(AND(#REF!="Diferenciado",$H$4=#REF!),BDI!#REF!,IF(#REF!="ZERO",0))))),"")</f>
        <v>#REF!</v>
      </c>
      <c r="H403" s="139" t="str">
        <f t="shared" si="74"/>
        <v/>
      </c>
      <c r="I403" s="137" t="str">
        <f t="shared" si="75"/>
        <v/>
      </c>
      <c r="J403" s="117"/>
      <c r="K403" s="116">
        <v>0</v>
      </c>
      <c r="M403" s="136" t="s">
        <v>416</v>
      </c>
      <c r="N403" t="e">
        <v>#REF!</v>
      </c>
      <c r="Q403" t="s">
        <v>416</v>
      </c>
    </row>
    <row r="404" spans="1:17" hidden="1" x14ac:dyDescent="0.25">
      <c r="A404" s="114" t="s">
        <v>1624</v>
      </c>
      <c r="B404" s="115" t="s">
        <v>1625</v>
      </c>
      <c r="C404" s="116" t="s">
        <v>69</v>
      </c>
      <c r="D404" s="116">
        <v>0</v>
      </c>
      <c r="E404" s="136" t="s">
        <v>416</v>
      </c>
      <c r="F404" s="137" t="str">
        <f t="shared" si="73"/>
        <v/>
      </c>
      <c r="G404" s="138" t="e">
        <f>IF(A404&lt;&gt;"",IF(AND(#REF!="Padrão",$H$4=#REF!),BDI!$B$17,IF(AND(#REF!="Padrão",$H$4=#REF!),BDI!#REF!,IF(AND(#REF!="Diferenciado",$H$4=#REF!),BDI!$E$17,IF(AND(#REF!="Diferenciado",$H$4=#REF!),BDI!#REF!,IF(#REF!="ZERO",0))))),"")</f>
        <v>#REF!</v>
      </c>
      <c r="H404" s="139" t="str">
        <f t="shared" si="74"/>
        <v/>
      </c>
      <c r="I404" s="137" t="str">
        <f t="shared" si="75"/>
        <v/>
      </c>
      <c r="J404" s="117"/>
      <c r="K404" s="116">
        <v>0</v>
      </c>
      <c r="M404" s="136" t="s">
        <v>416</v>
      </c>
      <c r="N404" t="e">
        <v>#REF!</v>
      </c>
      <c r="Q404" t="s">
        <v>416</v>
      </c>
    </row>
    <row r="405" spans="1:17" hidden="1" x14ac:dyDescent="0.25">
      <c r="A405" s="114" t="s">
        <v>1626</v>
      </c>
      <c r="B405" s="115" t="s">
        <v>1627</v>
      </c>
      <c r="C405" s="116" t="s">
        <v>16</v>
      </c>
      <c r="D405" s="116">
        <v>0</v>
      </c>
      <c r="E405" s="136" t="s">
        <v>416</v>
      </c>
      <c r="F405" s="137" t="str">
        <f t="shared" si="73"/>
        <v/>
      </c>
      <c r="G405" s="138" t="e">
        <f>IF(A405&lt;&gt;"",IF(AND(#REF!="Padrão",$H$4=#REF!),BDI!$B$17,IF(AND(#REF!="Padrão",$H$4=#REF!),BDI!#REF!,IF(AND(#REF!="Diferenciado",$H$4=#REF!),BDI!$E$17,IF(AND(#REF!="Diferenciado",$H$4=#REF!),BDI!#REF!,IF(#REF!="ZERO",0))))),"")</f>
        <v>#REF!</v>
      </c>
      <c r="H405" s="139" t="str">
        <f t="shared" si="74"/>
        <v/>
      </c>
      <c r="I405" s="137" t="str">
        <f t="shared" si="75"/>
        <v/>
      </c>
      <c r="J405" s="117"/>
      <c r="K405" s="116">
        <v>0</v>
      </c>
      <c r="M405" s="136" t="s">
        <v>416</v>
      </c>
      <c r="N405" t="e">
        <v>#REF!</v>
      </c>
      <c r="Q405" t="s">
        <v>416</v>
      </c>
    </row>
    <row r="406" spans="1:17" hidden="1" x14ac:dyDescent="0.25">
      <c r="A406" s="114" t="s">
        <v>1628</v>
      </c>
      <c r="B406" s="115" t="s">
        <v>1629</v>
      </c>
      <c r="C406" s="116" t="s">
        <v>69</v>
      </c>
      <c r="D406" s="116">
        <v>0</v>
      </c>
      <c r="E406" s="136" t="s">
        <v>416</v>
      </c>
      <c r="F406" s="137" t="str">
        <f t="shared" si="73"/>
        <v/>
      </c>
      <c r="G406" s="138" t="e">
        <f>IF(A406&lt;&gt;"",IF(AND(#REF!="Padrão",$H$4=#REF!),BDI!$B$17,IF(AND(#REF!="Padrão",$H$4=#REF!),BDI!#REF!,IF(AND(#REF!="Diferenciado",$H$4=#REF!),BDI!$E$17,IF(AND(#REF!="Diferenciado",$H$4=#REF!),BDI!#REF!,IF(#REF!="ZERO",0))))),"")</f>
        <v>#REF!</v>
      </c>
      <c r="H406" s="139" t="str">
        <f t="shared" si="74"/>
        <v/>
      </c>
      <c r="I406" s="137" t="str">
        <f t="shared" si="75"/>
        <v/>
      </c>
      <c r="J406" s="117"/>
      <c r="K406" s="116">
        <v>0</v>
      </c>
      <c r="M406" s="136" t="s">
        <v>416</v>
      </c>
      <c r="N406" t="e">
        <v>#REF!</v>
      </c>
      <c r="Q406" t="s">
        <v>416</v>
      </c>
    </row>
    <row r="407" spans="1:17" hidden="1" x14ac:dyDescent="0.25">
      <c r="A407" s="114" t="s">
        <v>1630</v>
      </c>
      <c r="B407" s="115" t="s">
        <v>1631</v>
      </c>
      <c r="C407" s="116" t="s">
        <v>16</v>
      </c>
      <c r="D407" s="116">
        <v>0</v>
      </c>
      <c r="E407" s="136" t="s">
        <v>416</v>
      </c>
      <c r="F407" s="137" t="str">
        <f t="shared" si="73"/>
        <v/>
      </c>
      <c r="G407" s="138" t="e">
        <f>IF(A407&lt;&gt;"",IF(AND(#REF!="Padrão",$H$4=#REF!),BDI!$B$17,IF(AND(#REF!="Padrão",$H$4=#REF!),BDI!#REF!,IF(AND(#REF!="Diferenciado",$H$4=#REF!),BDI!$E$17,IF(AND(#REF!="Diferenciado",$H$4=#REF!),BDI!#REF!,IF(#REF!="ZERO",0))))),"")</f>
        <v>#REF!</v>
      </c>
      <c r="H407" s="139" t="str">
        <f t="shared" si="74"/>
        <v/>
      </c>
      <c r="I407" s="137" t="str">
        <f t="shared" si="75"/>
        <v/>
      </c>
      <c r="J407" s="117"/>
      <c r="K407" s="116">
        <v>0</v>
      </c>
      <c r="M407" s="136" t="s">
        <v>416</v>
      </c>
      <c r="N407" t="e">
        <v>#REF!</v>
      </c>
      <c r="Q407" t="s">
        <v>416</v>
      </c>
    </row>
    <row r="408" spans="1:17" hidden="1" x14ac:dyDescent="0.25">
      <c r="A408" s="114" t="s">
        <v>1632</v>
      </c>
      <c r="B408" s="115" t="s">
        <v>1633</v>
      </c>
      <c r="C408" s="116" t="s">
        <v>16</v>
      </c>
      <c r="D408" s="116">
        <v>0</v>
      </c>
      <c r="E408" s="136" t="s">
        <v>416</v>
      </c>
      <c r="F408" s="137" t="str">
        <f t="shared" si="73"/>
        <v/>
      </c>
      <c r="G408" s="138" t="e">
        <f>IF(A408&lt;&gt;"",IF(AND(#REF!="Padrão",$H$4=#REF!),BDI!$B$17,IF(AND(#REF!="Padrão",$H$4=#REF!),BDI!#REF!,IF(AND(#REF!="Diferenciado",$H$4=#REF!),BDI!$E$17,IF(AND(#REF!="Diferenciado",$H$4=#REF!),BDI!#REF!,IF(#REF!="ZERO",0))))),"")</f>
        <v>#REF!</v>
      </c>
      <c r="H408" s="139" t="str">
        <f t="shared" si="74"/>
        <v/>
      </c>
      <c r="I408" s="137" t="str">
        <f t="shared" si="75"/>
        <v/>
      </c>
      <c r="J408" s="117"/>
      <c r="K408" s="116">
        <v>0</v>
      </c>
      <c r="M408" s="136" t="s">
        <v>416</v>
      </c>
      <c r="N408" t="e">
        <v>#REF!</v>
      </c>
      <c r="Q408" t="s">
        <v>416</v>
      </c>
    </row>
    <row r="409" spans="1:17" hidden="1" x14ac:dyDescent="0.25">
      <c r="A409" s="114" t="s">
        <v>1634</v>
      </c>
      <c r="B409" s="115" t="s">
        <v>1635</v>
      </c>
      <c r="C409" s="116" t="s">
        <v>16</v>
      </c>
      <c r="D409" s="116">
        <v>0</v>
      </c>
      <c r="E409" s="136" t="s">
        <v>416</v>
      </c>
      <c r="F409" s="137" t="str">
        <f t="shared" si="73"/>
        <v/>
      </c>
      <c r="G409" s="138" t="e">
        <f>IF(A409&lt;&gt;"",IF(AND(#REF!="Padrão",$H$4=#REF!),BDI!$B$17,IF(AND(#REF!="Padrão",$H$4=#REF!),BDI!#REF!,IF(AND(#REF!="Diferenciado",$H$4=#REF!),BDI!$E$17,IF(AND(#REF!="Diferenciado",$H$4=#REF!),BDI!#REF!,IF(#REF!="ZERO",0))))),"")</f>
        <v>#REF!</v>
      </c>
      <c r="H409" s="139" t="str">
        <f t="shared" si="74"/>
        <v/>
      </c>
      <c r="I409" s="137" t="str">
        <f t="shared" si="75"/>
        <v/>
      </c>
      <c r="J409" s="117"/>
      <c r="K409" s="116">
        <v>0</v>
      </c>
      <c r="M409" s="136" t="s">
        <v>416</v>
      </c>
      <c r="N409" t="e">
        <v>#REF!</v>
      </c>
      <c r="Q409" t="s">
        <v>416</v>
      </c>
    </row>
    <row r="410" spans="1:17" hidden="1" x14ac:dyDescent="0.25">
      <c r="A410" s="114" t="s">
        <v>1636</v>
      </c>
      <c r="B410" s="115" t="s">
        <v>1637</v>
      </c>
      <c r="C410" s="116" t="s">
        <v>16</v>
      </c>
      <c r="D410" s="116">
        <v>0</v>
      </c>
      <c r="E410" s="136">
        <f ca="1">OFFSET(INDEX(Composições!A:J,MATCH(Orçamentária!A410,Composições!A:A,0),8),2,0)</f>
        <v>26.419499999999999</v>
      </c>
      <c r="F410" s="137">
        <f t="shared" ca="1" si="73"/>
        <v>0</v>
      </c>
      <c r="G410" s="138" t="e">
        <f>IF(A410&lt;&gt;"",IF(AND(#REF!="Padrão",$H$4=#REF!),BDI!$B$17,IF(AND(#REF!="Padrão",$H$4=#REF!),BDI!#REF!,IF(AND(#REF!="Diferenciado",$H$4=#REF!),BDI!$E$17,IF(AND(#REF!="Diferenciado",$H$4=#REF!),BDI!#REF!,IF(#REF!="ZERO",0))))),"")</f>
        <v>#REF!</v>
      </c>
      <c r="H410" s="139" t="e">
        <f t="shared" ca="1" si="74"/>
        <v>#REF!</v>
      </c>
      <c r="I410" s="137" t="e">
        <f t="shared" ca="1" si="75"/>
        <v>#REF!</v>
      </c>
      <c r="J410" s="117"/>
      <c r="K410" s="116">
        <v>0</v>
      </c>
      <c r="M410" s="136" t="e">
        <f ca="1">OFFSET(INDEX([1]Composições!I:R,MATCH([1]Orçamentária!I410,[1]Composições!I:I,0),8),2,0)</f>
        <v>#REF!</v>
      </c>
      <c r="N410" t="e">
        <v>#REF!</v>
      </c>
      <c r="Q410" t="e">
        <v>#REF!</v>
      </c>
    </row>
    <row r="411" spans="1:17" hidden="1" x14ac:dyDescent="0.25">
      <c r="A411" s="114" t="s">
        <v>1638</v>
      </c>
      <c r="B411" s="115" t="s">
        <v>1639</v>
      </c>
      <c r="C411" s="116" t="s">
        <v>16</v>
      </c>
      <c r="D411" s="116">
        <v>0</v>
      </c>
      <c r="E411" s="136" t="s">
        <v>416</v>
      </c>
      <c r="F411" s="137" t="str">
        <f t="shared" si="73"/>
        <v/>
      </c>
      <c r="G411" s="138" t="e">
        <f>IF(A411&lt;&gt;"",IF(AND(#REF!="Padrão",$H$4=#REF!),BDI!$B$17,IF(AND(#REF!="Padrão",$H$4=#REF!),BDI!#REF!,IF(AND(#REF!="Diferenciado",$H$4=#REF!),BDI!$E$17,IF(AND(#REF!="Diferenciado",$H$4=#REF!),BDI!#REF!,IF(#REF!="ZERO",0))))),"")</f>
        <v>#REF!</v>
      </c>
      <c r="H411" s="139" t="str">
        <f t="shared" si="74"/>
        <v/>
      </c>
      <c r="I411" s="137" t="str">
        <f t="shared" si="75"/>
        <v/>
      </c>
      <c r="J411" s="117"/>
      <c r="K411" s="116">
        <v>0</v>
      </c>
      <c r="M411" s="136" t="s">
        <v>416</v>
      </c>
      <c r="N411" t="e">
        <v>#REF!</v>
      </c>
      <c r="Q411" t="s">
        <v>416</v>
      </c>
    </row>
    <row r="412" spans="1:17" hidden="1" x14ac:dyDescent="0.25">
      <c r="A412" s="114" t="s">
        <v>1640</v>
      </c>
      <c r="B412" s="115" t="s">
        <v>1641</v>
      </c>
      <c r="C412" s="116" t="s">
        <v>16</v>
      </c>
      <c r="D412" s="116">
        <v>0</v>
      </c>
      <c r="E412" s="136">
        <f ca="1">OFFSET(INDEX(Composições!A:J,MATCH(Orçamentária!A412,Composições!A:A,0),8),2,0)</f>
        <v>60.324999999999996</v>
      </c>
      <c r="F412" s="137">
        <f t="shared" ca="1" si="73"/>
        <v>0</v>
      </c>
      <c r="G412" s="138" t="e">
        <f>IF(A412&lt;&gt;"",IF(AND(#REF!="Padrão",$H$4=#REF!),BDI!$B$17,IF(AND(#REF!="Padrão",$H$4=#REF!),BDI!#REF!,IF(AND(#REF!="Diferenciado",$H$4=#REF!),BDI!$E$17,IF(AND(#REF!="Diferenciado",$H$4=#REF!),BDI!#REF!,IF(#REF!="ZERO",0))))),"")</f>
        <v>#REF!</v>
      </c>
      <c r="H412" s="139" t="e">
        <f t="shared" ca="1" si="74"/>
        <v>#REF!</v>
      </c>
      <c r="I412" s="137" t="e">
        <f t="shared" ca="1" si="75"/>
        <v>#REF!</v>
      </c>
      <c r="J412" s="117"/>
      <c r="K412" s="116">
        <v>0</v>
      </c>
      <c r="M412" s="136" t="e">
        <f ca="1">OFFSET(INDEX([1]Composições!I:R,MATCH([1]Orçamentária!I412,[1]Composições!I:I,0),8),2,0)</f>
        <v>#REF!</v>
      </c>
      <c r="N412" t="e">
        <v>#REF!</v>
      </c>
      <c r="Q412" t="e">
        <v>#REF!</v>
      </c>
    </row>
    <row r="413" spans="1:17" hidden="1" x14ac:dyDescent="0.25">
      <c r="A413" s="114" t="s">
        <v>618</v>
      </c>
      <c r="B413" s="115" t="s">
        <v>1642</v>
      </c>
      <c r="C413" s="116" t="s">
        <v>16</v>
      </c>
      <c r="D413" s="116">
        <v>0</v>
      </c>
      <c r="E413" s="136">
        <f ca="1">OFFSET(INDEX(Composições!A:J,MATCH(Orçamentária!A413,Composições!A:A,0),8),2,0)</f>
        <v>78.403499999999994</v>
      </c>
      <c r="F413" s="137">
        <f t="shared" ca="1" si="73"/>
        <v>0</v>
      </c>
      <c r="G413" s="138" t="e">
        <f>IF(A413&lt;&gt;"",IF(AND(#REF!="Padrão",$H$4=#REF!),BDI!$B$17,IF(AND(#REF!="Padrão",$H$4=#REF!),BDI!#REF!,IF(AND(#REF!="Diferenciado",$H$4=#REF!),BDI!$E$17,IF(AND(#REF!="Diferenciado",$H$4=#REF!),BDI!#REF!,IF(#REF!="ZERO",0))))),"")</f>
        <v>#REF!</v>
      </c>
      <c r="H413" s="139" t="e">
        <f t="shared" ca="1" si="74"/>
        <v>#REF!</v>
      </c>
      <c r="I413" s="137" t="e">
        <f t="shared" ca="1" si="75"/>
        <v>#REF!</v>
      </c>
      <c r="J413" s="117"/>
      <c r="K413" s="116">
        <v>0</v>
      </c>
      <c r="M413" s="136" t="e">
        <f ca="1">OFFSET(INDEX([1]Composições!I:R,MATCH([1]Orçamentária!I413,[1]Composições!I:I,0),8),2,0)</f>
        <v>#REF!</v>
      </c>
      <c r="N413" t="e">
        <v>#REF!</v>
      </c>
      <c r="Q413" t="e">
        <v>#REF!</v>
      </c>
    </row>
    <row r="414" spans="1:17" hidden="1" x14ac:dyDescent="0.25">
      <c r="A414" s="114" t="s">
        <v>1643</v>
      </c>
      <c r="B414" s="115" t="s">
        <v>1644</v>
      </c>
      <c r="C414" s="116" t="s">
        <v>16</v>
      </c>
      <c r="D414" s="116">
        <v>0</v>
      </c>
      <c r="E414" s="136">
        <f ca="1">OFFSET(INDEX(Composições!A:J,MATCH(Orçamentária!A414,Composições!A:A,0),8),2,0)</f>
        <v>47.433499999999995</v>
      </c>
      <c r="F414" s="137">
        <f t="shared" ca="1" si="73"/>
        <v>0</v>
      </c>
      <c r="G414" s="138" t="e">
        <f>IF(A414&lt;&gt;"",IF(AND(#REF!="Padrão",$H$4=#REF!),BDI!$B$17,IF(AND(#REF!="Padrão",$H$4=#REF!),BDI!#REF!,IF(AND(#REF!="Diferenciado",$H$4=#REF!),BDI!$E$17,IF(AND(#REF!="Diferenciado",$H$4=#REF!),BDI!#REF!,IF(#REF!="ZERO",0))))),"")</f>
        <v>#REF!</v>
      </c>
      <c r="H414" s="139" t="e">
        <f t="shared" ca="1" si="74"/>
        <v>#REF!</v>
      </c>
      <c r="I414" s="137" t="e">
        <f t="shared" ca="1" si="75"/>
        <v>#REF!</v>
      </c>
      <c r="J414" s="117"/>
      <c r="K414" s="116">
        <v>0</v>
      </c>
      <c r="M414" s="136" t="e">
        <f ca="1">OFFSET(INDEX([1]Composições!I:R,MATCH([1]Orçamentária!I414,[1]Composições!I:I,0),8),2,0)</f>
        <v>#REF!</v>
      </c>
      <c r="N414" t="e">
        <v>#REF!</v>
      </c>
      <c r="Q414" t="e">
        <v>#REF!</v>
      </c>
    </row>
    <row r="415" spans="1:17" hidden="1" x14ac:dyDescent="0.25">
      <c r="A415" s="114" t="s">
        <v>1645</v>
      </c>
      <c r="B415" s="115" t="s">
        <v>1646</v>
      </c>
      <c r="C415" s="116" t="s">
        <v>16</v>
      </c>
      <c r="D415" s="116">
        <v>0</v>
      </c>
      <c r="E415" s="136" t="s">
        <v>416</v>
      </c>
      <c r="F415" s="137" t="str">
        <f t="shared" si="73"/>
        <v/>
      </c>
      <c r="G415" s="138" t="e">
        <f>IF(A415&lt;&gt;"",IF(AND(#REF!="Padrão",$H$4=#REF!),BDI!$B$17,IF(AND(#REF!="Padrão",$H$4=#REF!),BDI!#REF!,IF(AND(#REF!="Diferenciado",$H$4=#REF!),BDI!$E$17,IF(AND(#REF!="Diferenciado",$H$4=#REF!),BDI!#REF!,IF(#REF!="ZERO",0))))),"")</f>
        <v>#REF!</v>
      </c>
      <c r="H415" s="139" t="str">
        <f t="shared" si="74"/>
        <v/>
      </c>
      <c r="I415" s="137" t="str">
        <f t="shared" si="75"/>
        <v/>
      </c>
      <c r="J415" s="117"/>
      <c r="K415" s="116">
        <v>0</v>
      </c>
      <c r="M415" s="136" t="s">
        <v>416</v>
      </c>
      <c r="N415" t="e">
        <v>#REF!</v>
      </c>
      <c r="Q415" t="s">
        <v>416</v>
      </c>
    </row>
    <row r="416" spans="1:17" hidden="1" x14ac:dyDescent="0.25">
      <c r="A416" s="114" t="s">
        <v>1647</v>
      </c>
      <c r="B416" s="115" t="s">
        <v>1648</v>
      </c>
      <c r="C416" s="116" t="s">
        <v>16</v>
      </c>
      <c r="D416" s="116">
        <v>0</v>
      </c>
      <c r="E416" s="136">
        <f ca="1">OFFSET(INDEX(Composições!A:J,MATCH(Orçamentária!A416,Composições!A:A,0),8),2,0)</f>
        <v>43.282000000000004</v>
      </c>
      <c r="F416" s="137">
        <f t="shared" ca="1" si="73"/>
        <v>0</v>
      </c>
      <c r="G416" s="138" t="e">
        <f>IF(A416&lt;&gt;"",IF(AND(#REF!="Padrão",$H$4=#REF!),BDI!$B$17,IF(AND(#REF!="Padrão",$H$4=#REF!),BDI!#REF!,IF(AND(#REF!="Diferenciado",$H$4=#REF!),BDI!$E$17,IF(AND(#REF!="Diferenciado",$H$4=#REF!),BDI!#REF!,IF(#REF!="ZERO",0))))),"")</f>
        <v>#REF!</v>
      </c>
      <c r="H416" s="139" t="e">
        <f t="shared" ca="1" si="74"/>
        <v>#REF!</v>
      </c>
      <c r="I416" s="137" t="e">
        <f t="shared" ca="1" si="75"/>
        <v>#REF!</v>
      </c>
      <c r="J416" s="117"/>
      <c r="K416" s="116">
        <v>0</v>
      </c>
      <c r="M416" s="136" t="e">
        <f ca="1">OFFSET(INDEX([1]Composições!I:R,MATCH([1]Orçamentária!I416,[1]Composições!I:I,0),8),2,0)</f>
        <v>#REF!</v>
      </c>
      <c r="N416" t="e">
        <v>#REF!</v>
      </c>
      <c r="Q416" t="e">
        <v>#REF!</v>
      </c>
    </row>
    <row r="417" spans="1:17" hidden="1" x14ac:dyDescent="0.25">
      <c r="A417" s="114" t="s">
        <v>1649</v>
      </c>
      <c r="B417" s="115" t="s">
        <v>1650</v>
      </c>
      <c r="C417" s="116" t="s">
        <v>16</v>
      </c>
      <c r="D417" s="116">
        <v>0</v>
      </c>
      <c r="E417" s="136" t="s">
        <v>416</v>
      </c>
      <c r="F417" s="137" t="str">
        <f t="shared" si="73"/>
        <v/>
      </c>
      <c r="G417" s="138" t="e">
        <f>IF(A417&lt;&gt;"",IF(AND(#REF!="Padrão",$H$4=#REF!),BDI!$B$17,IF(AND(#REF!="Padrão",$H$4=#REF!),BDI!#REF!,IF(AND(#REF!="Diferenciado",$H$4=#REF!),BDI!$E$17,IF(AND(#REF!="Diferenciado",$H$4=#REF!),BDI!#REF!,IF(#REF!="ZERO",0))))),"")</f>
        <v>#REF!</v>
      </c>
      <c r="H417" s="139" t="str">
        <f t="shared" si="74"/>
        <v/>
      </c>
      <c r="I417" s="137" t="str">
        <f t="shared" si="75"/>
        <v/>
      </c>
      <c r="J417" s="117"/>
      <c r="K417" s="116">
        <v>0</v>
      </c>
      <c r="M417" s="136" t="s">
        <v>416</v>
      </c>
      <c r="N417" t="e">
        <v>#REF!</v>
      </c>
      <c r="Q417" t="s">
        <v>416</v>
      </c>
    </row>
    <row r="418" spans="1:17" hidden="1" x14ac:dyDescent="0.25">
      <c r="A418" s="114" t="s">
        <v>1651</v>
      </c>
      <c r="B418" s="115" t="s">
        <v>1652</v>
      </c>
      <c r="C418" s="116" t="s">
        <v>16</v>
      </c>
      <c r="D418" s="116">
        <v>0</v>
      </c>
      <c r="E418" s="136" t="s">
        <v>416</v>
      </c>
      <c r="F418" s="137" t="str">
        <f t="shared" si="73"/>
        <v/>
      </c>
      <c r="G418" s="138" t="e">
        <f>IF(A418&lt;&gt;"",IF(AND(#REF!="Padrão",$H$4=#REF!),BDI!$B$17,IF(AND(#REF!="Padrão",$H$4=#REF!),BDI!#REF!,IF(AND(#REF!="Diferenciado",$H$4=#REF!),BDI!$E$17,IF(AND(#REF!="Diferenciado",$H$4=#REF!),BDI!#REF!,IF(#REF!="ZERO",0))))),"")</f>
        <v>#REF!</v>
      </c>
      <c r="H418" s="139" t="str">
        <f t="shared" si="74"/>
        <v/>
      </c>
      <c r="I418" s="137" t="str">
        <f t="shared" si="75"/>
        <v/>
      </c>
      <c r="J418" s="117"/>
      <c r="K418" s="116">
        <v>0</v>
      </c>
      <c r="M418" s="136" t="s">
        <v>416</v>
      </c>
      <c r="N418" t="e">
        <v>#REF!</v>
      </c>
      <c r="Q418" t="s">
        <v>416</v>
      </c>
    </row>
    <row r="419" spans="1:17" hidden="1" x14ac:dyDescent="0.25">
      <c r="A419" s="114" t="s">
        <v>1653</v>
      </c>
      <c r="B419" s="115" t="s">
        <v>1654</v>
      </c>
      <c r="C419" s="116" t="s">
        <v>16</v>
      </c>
      <c r="D419" s="116">
        <v>0</v>
      </c>
      <c r="E419" s="136">
        <f ca="1">OFFSET(INDEX(Composições!A:J,MATCH(Orçamentária!A419,Composições!A:A,0),8),2,0)</f>
        <v>11.912999999999998</v>
      </c>
      <c r="F419" s="137">
        <f t="shared" ca="1" si="73"/>
        <v>0</v>
      </c>
      <c r="G419" s="138" t="e">
        <f>IF(A419&lt;&gt;"",IF(AND(#REF!="Padrão",$H$4=#REF!),BDI!$B$17,IF(AND(#REF!="Padrão",$H$4=#REF!),BDI!#REF!,IF(AND(#REF!="Diferenciado",$H$4=#REF!),BDI!$E$17,IF(AND(#REF!="Diferenciado",$H$4=#REF!),BDI!#REF!,IF(#REF!="ZERO",0))))),"")</f>
        <v>#REF!</v>
      </c>
      <c r="H419" s="139" t="e">
        <f t="shared" ca="1" si="74"/>
        <v>#REF!</v>
      </c>
      <c r="I419" s="137" t="e">
        <f t="shared" ca="1" si="75"/>
        <v>#REF!</v>
      </c>
      <c r="J419" s="117"/>
      <c r="K419" s="116">
        <v>0</v>
      </c>
      <c r="M419" s="136" t="e">
        <f ca="1">OFFSET(INDEX([1]Composições!I:R,MATCH([1]Orçamentária!I419,[1]Composições!I:I,0),8),2,0)</f>
        <v>#REF!</v>
      </c>
      <c r="N419" t="e">
        <v>#REF!</v>
      </c>
      <c r="Q419" t="e">
        <v>#REF!</v>
      </c>
    </row>
    <row r="420" spans="1:17" hidden="1" x14ac:dyDescent="0.25">
      <c r="A420" s="114" t="s">
        <v>1655</v>
      </c>
      <c r="B420" s="115" t="s">
        <v>1656</v>
      </c>
      <c r="C420" s="116" t="s">
        <v>16</v>
      </c>
      <c r="D420" s="116">
        <v>0</v>
      </c>
      <c r="E420" s="136">
        <f ca="1">OFFSET(INDEX(Composições!A:J,MATCH(Orçamentária!A420,Composições!A:A,0),8),2,0)</f>
        <v>11.912999999999998</v>
      </c>
      <c r="F420" s="137">
        <f t="shared" ca="1" si="73"/>
        <v>0</v>
      </c>
      <c r="G420" s="138" t="e">
        <f>IF(A420&lt;&gt;"",IF(AND(#REF!="Padrão",$H$4=#REF!),BDI!$B$17,IF(AND(#REF!="Padrão",$H$4=#REF!),BDI!#REF!,IF(AND(#REF!="Diferenciado",$H$4=#REF!),BDI!$E$17,IF(AND(#REF!="Diferenciado",$H$4=#REF!),BDI!#REF!,IF(#REF!="ZERO",0))))),"")</f>
        <v>#REF!</v>
      </c>
      <c r="H420" s="139" t="e">
        <f t="shared" ca="1" si="74"/>
        <v>#REF!</v>
      </c>
      <c r="I420" s="137" t="e">
        <f t="shared" ca="1" si="75"/>
        <v>#REF!</v>
      </c>
      <c r="J420" s="117"/>
      <c r="K420" s="116">
        <v>0</v>
      </c>
      <c r="M420" s="136" t="e">
        <f ca="1">OFFSET(INDEX([1]Composições!I:R,MATCH([1]Orçamentária!I420,[1]Composições!I:I,0),8),2,0)</f>
        <v>#REF!</v>
      </c>
      <c r="N420" t="e">
        <v>#REF!</v>
      </c>
      <c r="Q420" t="e">
        <v>#REF!</v>
      </c>
    </row>
    <row r="421" spans="1:17" hidden="1" x14ac:dyDescent="0.25">
      <c r="A421" s="114" t="s">
        <v>1657</v>
      </c>
      <c r="B421" s="115" t="s">
        <v>1658</v>
      </c>
      <c r="C421" s="116" t="s">
        <v>16</v>
      </c>
      <c r="D421" s="116">
        <v>0</v>
      </c>
      <c r="E421" s="136">
        <f ca="1">OFFSET(INDEX(Composições!A:J,MATCH(Orçamentária!A421,Composições!A:A,0),8),2,0)</f>
        <v>11.912999999999998</v>
      </c>
      <c r="F421" s="137">
        <f t="shared" ca="1" si="73"/>
        <v>0</v>
      </c>
      <c r="G421" s="138" t="e">
        <f>IF(A421&lt;&gt;"",IF(AND(#REF!="Padrão",$H$4=#REF!),BDI!$B$17,IF(AND(#REF!="Padrão",$H$4=#REF!),BDI!#REF!,IF(AND(#REF!="Diferenciado",$H$4=#REF!),BDI!$E$17,IF(AND(#REF!="Diferenciado",$H$4=#REF!),BDI!#REF!,IF(#REF!="ZERO",0))))),"")</f>
        <v>#REF!</v>
      </c>
      <c r="H421" s="139" t="e">
        <f t="shared" ca="1" si="74"/>
        <v>#REF!</v>
      </c>
      <c r="I421" s="137" t="e">
        <f t="shared" ca="1" si="75"/>
        <v>#REF!</v>
      </c>
      <c r="J421" s="117"/>
      <c r="K421" s="116">
        <v>0</v>
      </c>
      <c r="M421" s="136" t="e">
        <f ca="1">OFFSET(INDEX([1]Composições!I:R,MATCH([1]Orçamentária!I421,[1]Composições!I:I,0),8),2,0)</f>
        <v>#REF!</v>
      </c>
      <c r="N421" t="e">
        <v>#REF!</v>
      </c>
      <c r="Q421" t="e">
        <v>#REF!</v>
      </c>
    </row>
    <row r="422" spans="1:17" hidden="1" x14ac:dyDescent="0.25">
      <c r="A422" s="114" t="s">
        <v>1659</v>
      </c>
      <c r="B422" s="115" t="s">
        <v>1660</v>
      </c>
      <c r="C422" s="116" t="s">
        <v>16</v>
      </c>
      <c r="D422" s="116">
        <v>0</v>
      </c>
      <c r="E422" s="136" t="s">
        <v>416</v>
      </c>
      <c r="F422" s="137" t="str">
        <f t="shared" si="73"/>
        <v/>
      </c>
      <c r="G422" s="138" t="e">
        <f>IF(A422&lt;&gt;"",IF(AND(#REF!="Padrão",$H$4=#REF!),BDI!$B$17,IF(AND(#REF!="Padrão",$H$4=#REF!),BDI!#REF!,IF(AND(#REF!="Diferenciado",$H$4=#REF!),BDI!$E$17,IF(AND(#REF!="Diferenciado",$H$4=#REF!),BDI!#REF!,IF(#REF!="ZERO",0))))),"")</f>
        <v>#REF!</v>
      </c>
      <c r="H422" s="139" t="str">
        <f t="shared" si="74"/>
        <v/>
      </c>
      <c r="I422" s="137" t="str">
        <f t="shared" si="75"/>
        <v/>
      </c>
      <c r="J422" s="117"/>
      <c r="K422" s="116">
        <v>0</v>
      </c>
      <c r="M422" s="136" t="s">
        <v>416</v>
      </c>
      <c r="N422" t="e">
        <v>#REF!</v>
      </c>
      <c r="Q422" t="s">
        <v>416</v>
      </c>
    </row>
    <row r="423" spans="1:17" hidden="1" x14ac:dyDescent="0.25">
      <c r="A423" s="114" t="s">
        <v>1661</v>
      </c>
      <c r="B423" s="115" t="s">
        <v>1662</v>
      </c>
      <c r="C423" s="116" t="s">
        <v>16</v>
      </c>
      <c r="D423" s="116">
        <v>0</v>
      </c>
      <c r="E423" s="136" t="s">
        <v>416</v>
      </c>
      <c r="F423" s="137" t="str">
        <f t="shared" si="73"/>
        <v/>
      </c>
      <c r="G423" s="138" t="e">
        <f>IF(A423&lt;&gt;"",IF(AND(#REF!="Padrão",$H$4=#REF!),BDI!$B$17,IF(AND(#REF!="Padrão",$H$4=#REF!),BDI!#REF!,IF(AND(#REF!="Diferenciado",$H$4=#REF!),BDI!$E$17,IF(AND(#REF!="Diferenciado",$H$4=#REF!),BDI!#REF!,IF(#REF!="ZERO",0))))),"")</f>
        <v>#REF!</v>
      </c>
      <c r="H423" s="139" t="str">
        <f t="shared" si="74"/>
        <v/>
      </c>
      <c r="I423" s="137" t="str">
        <f t="shared" si="75"/>
        <v/>
      </c>
      <c r="J423" s="117"/>
      <c r="K423" s="116">
        <v>0</v>
      </c>
      <c r="M423" s="136" t="s">
        <v>416</v>
      </c>
      <c r="N423" t="e">
        <v>#REF!</v>
      </c>
      <c r="Q423" t="s">
        <v>416</v>
      </c>
    </row>
    <row r="424" spans="1:17" hidden="1" x14ac:dyDescent="0.25">
      <c r="A424" s="114" t="s">
        <v>1663</v>
      </c>
      <c r="B424" s="115" t="s">
        <v>1664</v>
      </c>
      <c r="C424" s="116" t="s">
        <v>16</v>
      </c>
      <c r="D424" s="116">
        <v>0</v>
      </c>
      <c r="E424" s="136" t="s">
        <v>416</v>
      </c>
      <c r="F424" s="137" t="str">
        <f t="shared" si="73"/>
        <v/>
      </c>
      <c r="G424" s="138" t="e">
        <f>IF(A424&lt;&gt;"",IF(AND(#REF!="Padrão",$H$4=#REF!),BDI!$B$17,IF(AND(#REF!="Padrão",$H$4=#REF!),BDI!#REF!,IF(AND(#REF!="Diferenciado",$H$4=#REF!),BDI!$E$17,IF(AND(#REF!="Diferenciado",$H$4=#REF!),BDI!#REF!,IF(#REF!="ZERO",0))))),"")</f>
        <v>#REF!</v>
      </c>
      <c r="H424" s="139" t="str">
        <f t="shared" si="74"/>
        <v/>
      </c>
      <c r="I424" s="137" t="str">
        <f t="shared" si="75"/>
        <v/>
      </c>
      <c r="J424" s="117"/>
      <c r="K424" s="116">
        <v>0</v>
      </c>
      <c r="M424" s="136" t="s">
        <v>416</v>
      </c>
      <c r="N424" t="e">
        <v>#REF!</v>
      </c>
      <c r="Q424" t="s">
        <v>416</v>
      </c>
    </row>
    <row r="425" spans="1:17" hidden="1" x14ac:dyDescent="0.25">
      <c r="A425" s="114" t="s">
        <v>1665</v>
      </c>
      <c r="B425" s="115" t="s">
        <v>1666</v>
      </c>
      <c r="C425" s="116" t="s">
        <v>16</v>
      </c>
      <c r="D425" s="116">
        <v>0</v>
      </c>
      <c r="E425" s="136" t="s">
        <v>416</v>
      </c>
      <c r="F425" s="137" t="str">
        <f t="shared" si="73"/>
        <v/>
      </c>
      <c r="G425" s="138" t="e">
        <f>IF(A425&lt;&gt;"",IF(AND(#REF!="Padrão",$H$4=#REF!),BDI!$B$17,IF(AND(#REF!="Padrão",$H$4=#REF!),BDI!#REF!,IF(AND(#REF!="Diferenciado",$H$4=#REF!),BDI!$E$17,IF(AND(#REF!="Diferenciado",$H$4=#REF!),BDI!#REF!,IF(#REF!="ZERO",0))))),"")</f>
        <v>#REF!</v>
      </c>
      <c r="H425" s="139" t="str">
        <f t="shared" si="74"/>
        <v/>
      </c>
      <c r="I425" s="137" t="str">
        <f t="shared" si="75"/>
        <v/>
      </c>
      <c r="J425" s="117"/>
      <c r="K425" s="116">
        <v>0</v>
      </c>
      <c r="M425" s="136" t="s">
        <v>416</v>
      </c>
      <c r="N425" t="e">
        <v>#REF!</v>
      </c>
      <c r="Q425" t="s">
        <v>416</v>
      </c>
    </row>
    <row r="426" spans="1:17" hidden="1" x14ac:dyDescent="0.25">
      <c r="A426" s="114" t="s">
        <v>1667</v>
      </c>
      <c r="B426" s="115" t="s">
        <v>1668</v>
      </c>
      <c r="C426" s="116" t="s">
        <v>16</v>
      </c>
      <c r="D426" s="116">
        <v>0</v>
      </c>
      <c r="E426" s="136" t="s">
        <v>416</v>
      </c>
      <c r="F426" s="137" t="str">
        <f t="shared" si="73"/>
        <v/>
      </c>
      <c r="G426" s="138" t="e">
        <f>IF(A426&lt;&gt;"",IF(AND(#REF!="Padrão",$H$4=#REF!),BDI!$B$17,IF(AND(#REF!="Padrão",$H$4=#REF!),BDI!#REF!,IF(AND(#REF!="Diferenciado",$H$4=#REF!),BDI!$E$17,IF(AND(#REF!="Diferenciado",$H$4=#REF!),BDI!#REF!,IF(#REF!="ZERO",0))))),"")</f>
        <v>#REF!</v>
      </c>
      <c r="H426" s="139" t="str">
        <f t="shared" si="74"/>
        <v/>
      </c>
      <c r="I426" s="137" t="str">
        <f t="shared" si="75"/>
        <v/>
      </c>
      <c r="J426" s="117"/>
      <c r="K426" s="116">
        <v>0</v>
      </c>
      <c r="M426" s="136" t="s">
        <v>416</v>
      </c>
      <c r="N426" t="e">
        <v>#REF!</v>
      </c>
      <c r="Q426" t="s">
        <v>416</v>
      </c>
    </row>
    <row r="427" spans="1:17" hidden="1" x14ac:dyDescent="0.25">
      <c r="A427" s="114" t="s">
        <v>1669</v>
      </c>
      <c r="B427" s="115" t="s">
        <v>1670</v>
      </c>
      <c r="C427" s="116" t="s">
        <v>16</v>
      </c>
      <c r="D427" s="116">
        <v>0</v>
      </c>
      <c r="E427" s="136" t="s">
        <v>416</v>
      </c>
      <c r="F427" s="137" t="str">
        <f t="shared" si="73"/>
        <v/>
      </c>
      <c r="G427" s="138" t="e">
        <f>IF(A427&lt;&gt;"",IF(AND(#REF!="Padrão",$H$4=#REF!),BDI!$B$17,IF(AND(#REF!="Padrão",$H$4=#REF!),BDI!#REF!,IF(AND(#REF!="Diferenciado",$H$4=#REF!),BDI!$E$17,IF(AND(#REF!="Diferenciado",$H$4=#REF!),BDI!#REF!,IF(#REF!="ZERO",0))))),"")</f>
        <v>#REF!</v>
      </c>
      <c r="H427" s="139" t="str">
        <f t="shared" si="74"/>
        <v/>
      </c>
      <c r="I427" s="137" t="str">
        <f t="shared" si="75"/>
        <v/>
      </c>
      <c r="J427" s="117"/>
      <c r="K427" s="116">
        <v>0</v>
      </c>
      <c r="M427" s="136" t="s">
        <v>416</v>
      </c>
      <c r="N427" t="e">
        <v>#REF!</v>
      </c>
      <c r="Q427" t="s">
        <v>416</v>
      </c>
    </row>
    <row r="428" spans="1:17" hidden="1" x14ac:dyDescent="0.25">
      <c r="A428" s="114" t="s">
        <v>1671</v>
      </c>
      <c r="B428" s="115" t="s">
        <v>1672</v>
      </c>
      <c r="C428" s="116" t="s">
        <v>16</v>
      </c>
      <c r="D428" s="116">
        <v>0</v>
      </c>
      <c r="E428" s="136" t="s">
        <v>416</v>
      </c>
      <c r="F428" s="137" t="str">
        <f t="shared" si="73"/>
        <v/>
      </c>
      <c r="G428" s="138" t="e">
        <f>IF(A428&lt;&gt;"",IF(AND(#REF!="Padrão",$H$4=#REF!),BDI!$B$17,IF(AND(#REF!="Padrão",$H$4=#REF!),BDI!#REF!,IF(AND(#REF!="Diferenciado",$H$4=#REF!),BDI!$E$17,IF(AND(#REF!="Diferenciado",$H$4=#REF!),BDI!#REF!,IF(#REF!="ZERO",0))))),"")</f>
        <v>#REF!</v>
      </c>
      <c r="H428" s="139" t="str">
        <f t="shared" si="74"/>
        <v/>
      </c>
      <c r="I428" s="137" t="str">
        <f t="shared" si="75"/>
        <v/>
      </c>
      <c r="J428" s="117"/>
      <c r="K428" s="116">
        <v>0</v>
      </c>
      <c r="M428" s="136" t="s">
        <v>416</v>
      </c>
      <c r="N428" t="e">
        <v>#REF!</v>
      </c>
      <c r="Q428" t="s">
        <v>416</v>
      </c>
    </row>
    <row r="429" spans="1:17" hidden="1" x14ac:dyDescent="0.25">
      <c r="A429" s="114" t="s">
        <v>1673</v>
      </c>
      <c r="B429" s="115" t="s">
        <v>1674</v>
      </c>
      <c r="C429" s="116" t="s">
        <v>16</v>
      </c>
      <c r="D429" s="116">
        <v>0</v>
      </c>
      <c r="E429" s="136" t="s">
        <v>416</v>
      </c>
      <c r="F429" s="137" t="str">
        <f t="shared" si="73"/>
        <v/>
      </c>
      <c r="G429" s="138" t="e">
        <f>IF(A429&lt;&gt;"",IF(AND(#REF!="Padrão",$H$4=#REF!),BDI!$B$17,IF(AND(#REF!="Padrão",$H$4=#REF!),BDI!#REF!,IF(AND(#REF!="Diferenciado",$H$4=#REF!),BDI!$E$17,IF(AND(#REF!="Diferenciado",$H$4=#REF!),BDI!#REF!,IF(#REF!="ZERO",0))))),"")</f>
        <v>#REF!</v>
      </c>
      <c r="H429" s="139" t="str">
        <f t="shared" si="74"/>
        <v/>
      </c>
      <c r="I429" s="137" t="str">
        <f t="shared" si="75"/>
        <v/>
      </c>
      <c r="J429" s="117"/>
      <c r="K429" s="116">
        <v>0</v>
      </c>
      <c r="M429" s="136" t="s">
        <v>416</v>
      </c>
      <c r="N429" t="e">
        <v>#REF!</v>
      </c>
      <c r="Q429" t="s">
        <v>416</v>
      </c>
    </row>
    <row r="430" spans="1:17" hidden="1" x14ac:dyDescent="0.25">
      <c r="A430" s="114" t="s">
        <v>1675</v>
      </c>
      <c r="B430" s="115" t="s">
        <v>1676</v>
      </c>
      <c r="C430" s="116" t="s">
        <v>16</v>
      </c>
      <c r="D430" s="116">
        <v>0</v>
      </c>
      <c r="E430" s="136" t="s">
        <v>416</v>
      </c>
      <c r="F430" s="137" t="str">
        <f t="shared" si="73"/>
        <v/>
      </c>
      <c r="G430" s="138" t="e">
        <f>IF(A430&lt;&gt;"",IF(AND(#REF!="Padrão",$H$4=#REF!),BDI!$B$17,IF(AND(#REF!="Padrão",$H$4=#REF!),BDI!#REF!,IF(AND(#REF!="Diferenciado",$H$4=#REF!),BDI!$E$17,IF(AND(#REF!="Diferenciado",$H$4=#REF!),BDI!#REF!,IF(#REF!="ZERO",0))))),"")</f>
        <v>#REF!</v>
      </c>
      <c r="H430" s="139" t="str">
        <f t="shared" si="74"/>
        <v/>
      </c>
      <c r="I430" s="137" t="str">
        <f t="shared" si="75"/>
        <v/>
      </c>
      <c r="J430" s="117"/>
      <c r="K430" s="116">
        <v>0</v>
      </c>
      <c r="M430" s="136" t="s">
        <v>416</v>
      </c>
      <c r="N430" t="e">
        <v>#REF!</v>
      </c>
      <c r="Q430" t="s">
        <v>416</v>
      </c>
    </row>
    <row r="431" spans="1:17" hidden="1" x14ac:dyDescent="0.25">
      <c r="A431" s="114" t="s">
        <v>1677</v>
      </c>
      <c r="B431" s="115" t="s">
        <v>1678</v>
      </c>
      <c r="C431" s="116" t="s">
        <v>16</v>
      </c>
      <c r="D431" s="116">
        <v>0</v>
      </c>
      <c r="E431" s="136" t="s">
        <v>416</v>
      </c>
      <c r="F431" s="137" t="str">
        <f t="shared" si="73"/>
        <v/>
      </c>
      <c r="G431" s="138" t="e">
        <f>IF(A431&lt;&gt;"",IF(AND(#REF!="Padrão",$H$4=#REF!),BDI!$B$17,IF(AND(#REF!="Padrão",$H$4=#REF!),BDI!#REF!,IF(AND(#REF!="Diferenciado",$H$4=#REF!),BDI!$E$17,IF(AND(#REF!="Diferenciado",$H$4=#REF!),BDI!#REF!,IF(#REF!="ZERO",0))))),"")</f>
        <v>#REF!</v>
      </c>
      <c r="H431" s="139" t="str">
        <f t="shared" si="74"/>
        <v/>
      </c>
      <c r="I431" s="137" t="str">
        <f t="shared" si="75"/>
        <v/>
      </c>
      <c r="J431" s="117"/>
      <c r="K431" s="116">
        <v>0</v>
      </c>
      <c r="M431" s="136" t="s">
        <v>416</v>
      </c>
      <c r="N431" t="e">
        <v>#REF!</v>
      </c>
      <c r="Q431" t="s">
        <v>416</v>
      </c>
    </row>
    <row r="432" spans="1:17" hidden="1" x14ac:dyDescent="0.25">
      <c r="A432" s="114" t="s">
        <v>1679</v>
      </c>
      <c r="B432" s="115" t="s">
        <v>7616</v>
      </c>
      <c r="C432" s="116" t="s">
        <v>16</v>
      </c>
      <c r="D432" s="116">
        <v>0</v>
      </c>
      <c r="E432" s="136" t="s">
        <v>416</v>
      </c>
      <c r="F432" s="137" t="str">
        <f t="shared" si="73"/>
        <v/>
      </c>
      <c r="G432" s="138" t="e">
        <f>IF(A432&lt;&gt;"",IF(AND(#REF!="Padrão",$H$4=#REF!),BDI!$B$17,IF(AND(#REF!="Padrão",$H$4=#REF!),BDI!#REF!,IF(AND(#REF!="Diferenciado",$H$4=#REF!),BDI!$E$17,IF(AND(#REF!="Diferenciado",$H$4=#REF!),BDI!#REF!,IF(#REF!="ZERO",0))))),"")</f>
        <v>#REF!</v>
      </c>
      <c r="H432" s="139" t="str">
        <f t="shared" si="74"/>
        <v/>
      </c>
      <c r="I432" s="137" t="str">
        <f t="shared" si="75"/>
        <v/>
      </c>
      <c r="J432" s="117"/>
      <c r="K432" s="116">
        <v>0</v>
      </c>
      <c r="M432" s="136" t="s">
        <v>416</v>
      </c>
      <c r="N432" t="e">
        <v>#REF!</v>
      </c>
      <c r="Q432" t="s">
        <v>416</v>
      </c>
    </row>
    <row r="433" spans="1:17" hidden="1" x14ac:dyDescent="0.25">
      <c r="A433" s="114" t="s">
        <v>1680</v>
      </c>
      <c r="B433" s="115" t="s">
        <v>7617</v>
      </c>
      <c r="C433" s="116" t="s">
        <v>16</v>
      </c>
      <c r="D433" s="116">
        <v>0</v>
      </c>
      <c r="E433" s="136" t="s">
        <v>416</v>
      </c>
      <c r="F433" s="137" t="str">
        <f t="shared" si="73"/>
        <v/>
      </c>
      <c r="G433" s="138" t="e">
        <f>IF(A433&lt;&gt;"",IF(AND(#REF!="Padrão",$H$4=#REF!),BDI!$B$17,IF(AND(#REF!="Padrão",$H$4=#REF!),BDI!#REF!,IF(AND(#REF!="Diferenciado",$H$4=#REF!),BDI!$E$17,IF(AND(#REF!="Diferenciado",$H$4=#REF!),BDI!#REF!,IF(#REF!="ZERO",0))))),"")</f>
        <v>#REF!</v>
      </c>
      <c r="H433" s="139" t="str">
        <f t="shared" si="74"/>
        <v/>
      </c>
      <c r="I433" s="137" t="str">
        <f t="shared" si="75"/>
        <v/>
      </c>
      <c r="J433" s="117"/>
      <c r="K433" s="116">
        <v>0</v>
      </c>
      <c r="M433" s="136" t="s">
        <v>416</v>
      </c>
      <c r="N433" t="e">
        <v>#REF!</v>
      </c>
      <c r="Q433" t="s">
        <v>416</v>
      </c>
    </row>
    <row r="434" spans="1:17" hidden="1" x14ac:dyDescent="0.25">
      <c r="A434" s="114" t="s">
        <v>1681</v>
      </c>
      <c r="B434" s="115" t="s">
        <v>1682</v>
      </c>
      <c r="C434" s="116" t="s">
        <v>1683</v>
      </c>
      <c r="D434" s="116">
        <v>0</v>
      </c>
      <c r="E434" s="136" t="s">
        <v>416</v>
      </c>
      <c r="F434" s="137" t="str">
        <f t="shared" si="73"/>
        <v/>
      </c>
      <c r="G434" s="138" t="e">
        <f>IF(A434&lt;&gt;"",IF(AND(#REF!="Padrão",$H$4=#REF!),BDI!$B$17,IF(AND(#REF!="Padrão",$H$4=#REF!),BDI!#REF!,IF(AND(#REF!="Diferenciado",$H$4=#REF!),BDI!$E$17,IF(AND(#REF!="Diferenciado",$H$4=#REF!),BDI!#REF!,IF(#REF!="ZERO",0))))),"")</f>
        <v>#REF!</v>
      </c>
      <c r="H434" s="139" t="str">
        <f t="shared" si="74"/>
        <v/>
      </c>
      <c r="I434" s="137" t="str">
        <f t="shared" si="75"/>
        <v/>
      </c>
      <c r="J434" s="117"/>
      <c r="K434" s="116">
        <v>0</v>
      </c>
      <c r="M434" s="136" t="s">
        <v>416</v>
      </c>
      <c r="N434" t="e">
        <v>#REF!</v>
      </c>
      <c r="Q434" t="s">
        <v>416</v>
      </c>
    </row>
    <row r="435" spans="1:17" hidden="1" x14ac:dyDescent="0.25">
      <c r="A435" s="114" t="s">
        <v>1684</v>
      </c>
      <c r="B435" s="115" t="s">
        <v>1685</v>
      </c>
      <c r="C435" s="116" t="s">
        <v>1683</v>
      </c>
      <c r="D435" s="116">
        <v>0</v>
      </c>
      <c r="E435" s="136" t="s">
        <v>416</v>
      </c>
      <c r="F435" s="137" t="str">
        <f t="shared" si="73"/>
        <v/>
      </c>
      <c r="G435" s="138" t="e">
        <f>IF(A435&lt;&gt;"",IF(AND(#REF!="Padrão",$H$4=#REF!),BDI!$B$17,IF(AND(#REF!="Padrão",$H$4=#REF!),BDI!#REF!,IF(AND(#REF!="Diferenciado",$H$4=#REF!),BDI!$E$17,IF(AND(#REF!="Diferenciado",$H$4=#REF!),BDI!#REF!,IF(#REF!="ZERO",0))))),"")</f>
        <v>#REF!</v>
      </c>
      <c r="H435" s="139" t="str">
        <f t="shared" si="74"/>
        <v/>
      </c>
      <c r="I435" s="137" t="str">
        <f t="shared" si="75"/>
        <v/>
      </c>
      <c r="J435" s="117"/>
      <c r="K435" s="116">
        <v>0</v>
      </c>
      <c r="M435" s="136" t="s">
        <v>416</v>
      </c>
      <c r="N435" t="e">
        <v>#REF!</v>
      </c>
      <c r="Q435" t="s">
        <v>416</v>
      </c>
    </row>
    <row r="436" spans="1:17" hidden="1" x14ac:dyDescent="0.25">
      <c r="A436" s="114" t="s">
        <v>1686</v>
      </c>
      <c r="B436" s="115" t="s">
        <v>1687</v>
      </c>
      <c r="C436" s="116" t="s">
        <v>1683</v>
      </c>
      <c r="D436" s="116">
        <v>0</v>
      </c>
      <c r="E436" s="136" t="s">
        <v>416</v>
      </c>
      <c r="F436" s="137" t="str">
        <f t="shared" si="73"/>
        <v/>
      </c>
      <c r="G436" s="138" t="e">
        <f>IF(A436&lt;&gt;"",IF(AND(#REF!="Padrão",$H$4=#REF!),BDI!$B$17,IF(AND(#REF!="Padrão",$H$4=#REF!),BDI!#REF!,IF(AND(#REF!="Diferenciado",$H$4=#REF!),BDI!$E$17,IF(AND(#REF!="Diferenciado",$H$4=#REF!),BDI!#REF!,IF(#REF!="ZERO",0))))),"")</f>
        <v>#REF!</v>
      </c>
      <c r="H436" s="139" t="str">
        <f t="shared" si="74"/>
        <v/>
      </c>
      <c r="I436" s="137" t="str">
        <f t="shared" si="75"/>
        <v/>
      </c>
      <c r="J436" s="117"/>
      <c r="K436" s="116">
        <v>0</v>
      </c>
      <c r="M436" s="136" t="s">
        <v>416</v>
      </c>
      <c r="N436" t="e">
        <v>#REF!</v>
      </c>
      <c r="Q436" t="s">
        <v>416</v>
      </c>
    </row>
    <row r="437" spans="1:17" hidden="1" x14ac:dyDescent="0.25">
      <c r="A437" s="114" t="s">
        <v>1688</v>
      </c>
      <c r="B437" s="115" t="s">
        <v>1689</v>
      </c>
      <c r="C437" s="116" t="s">
        <v>1683</v>
      </c>
      <c r="D437" s="116">
        <v>0</v>
      </c>
      <c r="E437" s="136" t="s">
        <v>416</v>
      </c>
      <c r="F437" s="137" t="str">
        <f t="shared" si="73"/>
        <v/>
      </c>
      <c r="G437" s="138" t="e">
        <f>IF(A437&lt;&gt;"",IF(AND(#REF!="Padrão",$H$4=#REF!),BDI!$B$17,IF(AND(#REF!="Padrão",$H$4=#REF!),BDI!#REF!,IF(AND(#REF!="Diferenciado",$H$4=#REF!),BDI!$E$17,IF(AND(#REF!="Diferenciado",$H$4=#REF!),BDI!#REF!,IF(#REF!="ZERO",0))))),"")</f>
        <v>#REF!</v>
      </c>
      <c r="H437" s="139" t="str">
        <f t="shared" si="74"/>
        <v/>
      </c>
      <c r="I437" s="137" t="str">
        <f t="shared" si="75"/>
        <v/>
      </c>
      <c r="J437" s="117"/>
      <c r="K437" s="116">
        <v>0</v>
      </c>
      <c r="M437" s="136" t="s">
        <v>416</v>
      </c>
      <c r="N437" t="e">
        <v>#REF!</v>
      </c>
      <c r="Q437" t="s">
        <v>416</v>
      </c>
    </row>
    <row r="438" spans="1:17" hidden="1" x14ac:dyDescent="0.25">
      <c r="A438" s="114" t="s">
        <v>1690</v>
      </c>
      <c r="B438" s="115" t="s">
        <v>1691</v>
      </c>
      <c r="C438" s="116" t="s">
        <v>1683</v>
      </c>
      <c r="D438" s="116">
        <v>0</v>
      </c>
      <c r="E438" s="136" t="s">
        <v>416</v>
      </c>
      <c r="F438" s="137" t="str">
        <f t="shared" si="73"/>
        <v/>
      </c>
      <c r="G438" s="138" t="e">
        <f>IF(A438&lt;&gt;"",IF(AND(#REF!="Padrão",$H$4=#REF!),BDI!$B$17,IF(AND(#REF!="Padrão",$H$4=#REF!),BDI!#REF!,IF(AND(#REF!="Diferenciado",$H$4=#REF!),BDI!$E$17,IF(AND(#REF!="Diferenciado",$H$4=#REF!),BDI!#REF!,IF(#REF!="ZERO",0))))),"")</f>
        <v>#REF!</v>
      </c>
      <c r="H438" s="139" t="str">
        <f t="shared" si="74"/>
        <v/>
      </c>
      <c r="I438" s="137" t="str">
        <f t="shared" si="75"/>
        <v/>
      </c>
      <c r="J438" s="117"/>
      <c r="K438" s="116">
        <v>0</v>
      </c>
      <c r="M438" s="136" t="s">
        <v>416</v>
      </c>
      <c r="N438" t="e">
        <v>#REF!</v>
      </c>
      <c r="Q438" t="s">
        <v>416</v>
      </c>
    </row>
    <row r="439" spans="1:17" hidden="1" x14ac:dyDescent="0.25">
      <c r="A439" s="114" t="s">
        <v>1692</v>
      </c>
      <c r="B439" s="115" t="s">
        <v>1693</v>
      </c>
      <c r="C439" s="116" t="s">
        <v>1683</v>
      </c>
      <c r="D439" s="116">
        <v>0</v>
      </c>
      <c r="E439" s="136" t="s">
        <v>416</v>
      </c>
      <c r="F439" s="137" t="str">
        <f t="shared" si="73"/>
        <v/>
      </c>
      <c r="G439" s="138" t="e">
        <f>IF(A439&lt;&gt;"",IF(AND(#REF!="Padrão",$H$4=#REF!),BDI!$B$17,IF(AND(#REF!="Padrão",$H$4=#REF!),BDI!#REF!,IF(AND(#REF!="Diferenciado",$H$4=#REF!),BDI!$E$17,IF(AND(#REF!="Diferenciado",$H$4=#REF!),BDI!#REF!,IF(#REF!="ZERO",0))))),"")</f>
        <v>#REF!</v>
      </c>
      <c r="H439" s="139" t="str">
        <f t="shared" si="74"/>
        <v/>
      </c>
      <c r="I439" s="137" t="str">
        <f t="shared" si="75"/>
        <v/>
      </c>
      <c r="J439" s="117"/>
      <c r="K439" s="116">
        <v>0</v>
      </c>
      <c r="M439" s="136" t="s">
        <v>416</v>
      </c>
      <c r="N439" t="e">
        <v>#REF!</v>
      </c>
      <c r="Q439" t="s">
        <v>416</v>
      </c>
    </row>
    <row r="440" spans="1:17" hidden="1" x14ac:dyDescent="0.25">
      <c r="A440" s="114" t="s">
        <v>1694</v>
      </c>
      <c r="B440" s="115" t="s">
        <v>1695</v>
      </c>
      <c r="C440" s="116" t="s">
        <v>16</v>
      </c>
      <c r="D440" s="116">
        <v>0</v>
      </c>
      <c r="E440" s="136" t="s">
        <v>416</v>
      </c>
      <c r="F440" s="137" t="str">
        <f t="shared" si="73"/>
        <v/>
      </c>
      <c r="G440" s="138" t="e">
        <f>IF(A440&lt;&gt;"",IF(AND(#REF!="Padrão",$H$4=#REF!),BDI!$B$17,IF(AND(#REF!="Padrão",$H$4=#REF!),BDI!#REF!,IF(AND(#REF!="Diferenciado",$H$4=#REF!),BDI!$E$17,IF(AND(#REF!="Diferenciado",$H$4=#REF!),BDI!#REF!,IF(#REF!="ZERO",0))))),"")</f>
        <v>#REF!</v>
      </c>
      <c r="H440" s="139" t="str">
        <f t="shared" si="74"/>
        <v/>
      </c>
      <c r="I440" s="137" t="str">
        <f t="shared" si="75"/>
        <v/>
      </c>
      <c r="J440" s="117"/>
      <c r="K440" s="116">
        <v>0</v>
      </c>
      <c r="M440" s="136" t="s">
        <v>416</v>
      </c>
      <c r="N440" t="e">
        <v>#REF!</v>
      </c>
      <c r="Q440" t="s">
        <v>416</v>
      </c>
    </row>
    <row r="441" spans="1:17" hidden="1" x14ac:dyDescent="0.25">
      <c r="A441" s="114" t="s">
        <v>1696</v>
      </c>
      <c r="B441" s="115" t="s">
        <v>1697</v>
      </c>
      <c r="C441" s="116" t="s">
        <v>16</v>
      </c>
      <c r="D441" s="116">
        <v>0</v>
      </c>
      <c r="E441" s="136" t="s">
        <v>416</v>
      </c>
      <c r="F441" s="137" t="str">
        <f t="shared" si="73"/>
        <v/>
      </c>
      <c r="G441" s="138" t="e">
        <f>IF(A441&lt;&gt;"",IF(AND(#REF!="Padrão",$H$4=#REF!),BDI!$B$17,IF(AND(#REF!="Padrão",$H$4=#REF!),BDI!#REF!,IF(AND(#REF!="Diferenciado",$H$4=#REF!),BDI!$E$17,IF(AND(#REF!="Diferenciado",$H$4=#REF!),BDI!#REF!,IF(#REF!="ZERO",0))))),"")</f>
        <v>#REF!</v>
      </c>
      <c r="H441" s="139" t="str">
        <f t="shared" si="74"/>
        <v/>
      </c>
      <c r="I441" s="137" t="str">
        <f t="shared" si="75"/>
        <v/>
      </c>
      <c r="J441" s="117"/>
      <c r="K441" s="116">
        <v>0</v>
      </c>
      <c r="M441" s="136" t="s">
        <v>416</v>
      </c>
      <c r="N441" t="e">
        <v>#REF!</v>
      </c>
      <c r="Q441" t="s">
        <v>416</v>
      </c>
    </row>
    <row r="442" spans="1:17" hidden="1" x14ac:dyDescent="0.25">
      <c r="A442" s="114" t="s">
        <v>1698</v>
      </c>
      <c r="B442" s="115" t="s">
        <v>1699</v>
      </c>
      <c r="C442" s="116" t="s">
        <v>16</v>
      </c>
      <c r="D442" s="116">
        <v>0</v>
      </c>
      <c r="E442" s="136" t="s">
        <v>416</v>
      </c>
      <c r="F442" s="137" t="str">
        <f t="shared" si="73"/>
        <v/>
      </c>
      <c r="G442" s="138" t="e">
        <f>IF(A442&lt;&gt;"",IF(AND(#REF!="Padrão",$H$4=#REF!),BDI!$B$17,IF(AND(#REF!="Padrão",$H$4=#REF!),BDI!#REF!,IF(AND(#REF!="Diferenciado",$H$4=#REF!),BDI!$E$17,IF(AND(#REF!="Diferenciado",$H$4=#REF!),BDI!#REF!,IF(#REF!="ZERO",0))))),"")</f>
        <v>#REF!</v>
      </c>
      <c r="H442" s="139" t="str">
        <f t="shared" si="74"/>
        <v/>
      </c>
      <c r="I442" s="137" t="str">
        <f t="shared" si="75"/>
        <v/>
      </c>
      <c r="J442" s="117"/>
      <c r="K442" s="116">
        <v>0</v>
      </c>
      <c r="M442" s="136" t="s">
        <v>416</v>
      </c>
      <c r="N442" t="e">
        <v>#REF!</v>
      </c>
      <c r="Q442" t="s">
        <v>416</v>
      </c>
    </row>
    <row r="443" spans="1:17" hidden="1" x14ac:dyDescent="0.25">
      <c r="A443" s="114" t="s">
        <v>1700</v>
      </c>
      <c r="B443" s="115" t="s">
        <v>1701</v>
      </c>
      <c r="C443" s="116" t="s">
        <v>16</v>
      </c>
      <c r="D443" s="116">
        <v>0</v>
      </c>
      <c r="E443" s="136" t="s">
        <v>416</v>
      </c>
      <c r="F443" s="137" t="str">
        <f t="shared" si="73"/>
        <v/>
      </c>
      <c r="G443" s="138" t="e">
        <f>IF(A443&lt;&gt;"",IF(AND(#REF!="Padrão",$H$4=#REF!),BDI!$B$17,IF(AND(#REF!="Padrão",$H$4=#REF!),BDI!#REF!,IF(AND(#REF!="Diferenciado",$H$4=#REF!),BDI!$E$17,IF(AND(#REF!="Diferenciado",$H$4=#REF!),BDI!#REF!,IF(#REF!="ZERO",0))))),"")</f>
        <v>#REF!</v>
      </c>
      <c r="H443" s="139" t="str">
        <f t="shared" si="74"/>
        <v/>
      </c>
      <c r="I443" s="137" t="str">
        <f t="shared" si="75"/>
        <v/>
      </c>
      <c r="J443" s="117"/>
      <c r="K443" s="116">
        <v>0</v>
      </c>
      <c r="M443" s="136" t="s">
        <v>416</v>
      </c>
      <c r="N443" t="e">
        <v>#REF!</v>
      </c>
      <c r="Q443" t="s">
        <v>416</v>
      </c>
    </row>
    <row r="444" spans="1:17" hidden="1" x14ac:dyDescent="0.25">
      <c r="A444" s="114" t="s">
        <v>1702</v>
      </c>
      <c r="B444" s="115" t="s">
        <v>1703</v>
      </c>
      <c r="C444" s="116" t="s">
        <v>16</v>
      </c>
      <c r="D444" s="116">
        <v>0</v>
      </c>
      <c r="E444" s="136" t="s">
        <v>416</v>
      </c>
      <c r="F444" s="137" t="str">
        <f t="shared" si="73"/>
        <v/>
      </c>
      <c r="G444" s="138" t="e">
        <f>IF(A444&lt;&gt;"",IF(AND(#REF!="Padrão",$H$4=#REF!),BDI!$B$17,IF(AND(#REF!="Padrão",$H$4=#REF!),BDI!#REF!,IF(AND(#REF!="Diferenciado",$H$4=#REF!),BDI!$E$17,IF(AND(#REF!="Diferenciado",$H$4=#REF!),BDI!#REF!,IF(#REF!="ZERO",0))))),"")</f>
        <v>#REF!</v>
      </c>
      <c r="H444" s="139" t="str">
        <f t="shared" si="74"/>
        <v/>
      </c>
      <c r="I444" s="137" t="str">
        <f t="shared" si="75"/>
        <v/>
      </c>
      <c r="J444" s="117"/>
      <c r="K444" s="116">
        <v>0</v>
      </c>
      <c r="M444" s="136" t="s">
        <v>416</v>
      </c>
      <c r="N444" t="e">
        <v>#REF!</v>
      </c>
      <c r="Q444" t="s">
        <v>416</v>
      </c>
    </row>
    <row r="445" spans="1:17" hidden="1" x14ac:dyDescent="0.25">
      <c r="A445" s="114" t="s">
        <v>1704</v>
      </c>
      <c r="B445" s="115" t="s">
        <v>1705</v>
      </c>
      <c r="C445" s="116" t="s">
        <v>16</v>
      </c>
      <c r="D445" s="116">
        <v>0</v>
      </c>
      <c r="E445" s="136" t="s">
        <v>416</v>
      </c>
      <c r="F445" s="137" t="str">
        <f t="shared" si="73"/>
        <v/>
      </c>
      <c r="G445" s="138" t="e">
        <f>IF(A445&lt;&gt;"",IF(AND(#REF!="Padrão",$H$4=#REF!),BDI!$B$17,IF(AND(#REF!="Padrão",$H$4=#REF!),BDI!#REF!,IF(AND(#REF!="Diferenciado",$H$4=#REF!),BDI!$E$17,IF(AND(#REF!="Diferenciado",$H$4=#REF!),BDI!#REF!,IF(#REF!="ZERO",0))))),"")</f>
        <v>#REF!</v>
      </c>
      <c r="H445" s="139" t="str">
        <f t="shared" si="74"/>
        <v/>
      </c>
      <c r="I445" s="137" t="str">
        <f t="shared" si="75"/>
        <v/>
      </c>
      <c r="J445" s="117"/>
      <c r="K445" s="116">
        <v>0</v>
      </c>
      <c r="M445" s="136" t="s">
        <v>416</v>
      </c>
      <c r="N445" t="e">
        <v>#REF!</v>
      </c>
      <c r="Q445" t="s">
        <v>416</v>
      </c>
    </row>
    <row r="446" spans="1:17" hidden="1" x14ac:dyDescent="0.25">
      <c r="A446" s="114" t="s">
        <v>1706</v>
      </c>
      <c r="B446" s="115" t="s">
        <v>1707</v>
      </c>
      <c r="C446" s="116" t="s">
        <v>16</v>
      </c>
      <c r="D446" s="116">
        <v>0</v>
      </c>
      <c r="E446" s="136" t="s">
        <v>416</v>
      </c>
      <c r="F446" s="137" t="str">
        <f t="shared" si="73"/>
        <v/>
      </c>
      <c r="G446" s="138" t="e">
        <f>IF(A446&lt;&gt;"",IF(AND(#REF!="Padrão",$H$4=#REF!),BDI!$B$17,IF(AND(#REF!="Padrão",$H$4=#REF!),BDI!#REF!,IF(AND(#REF!="Diferenciado",$H$4=#REF!),BDI!$E$17,IF(AND(#REF!="Diferenciado",$H$4=#REF!),BDI!#REF!,IF(#REF!="ZERO",0))))),"")</f>
        <v>#REF!</v>
      </c>
      <c r="H446" s="139" t="str">
        <f t="shared" si="74"/>
        <v/>
      </c>
      <c r="I446" s="137" t="str">
        <f t="shared" si="75"/>
        <v/>
      </c>
      <c r="J446" s="117"/>
      <c r="K446" s="116">
        <v>0</v>
      </c>
      <c r="M446" s="136" t="s">
        <v>416</v>
      </c>
      <c r="N446" t="e">
        <v>#REF!</v>
      </c>
      <c r="Q446" t="s">
        <v>416</v>
      </c>
    </row>
    <row r="447" spans="1:17" hidden="1" x14ac:dyDescent="0.25">
      <c r="A447" s="114" t="s">
        <v>1708</v>
      </c>
      <c r="B447" s="115" t="s">
        <v>1709</v>
      </c>
      <c r="C447" s="116" t="s">
        <v>16</v>
      </c>
      <c r="D447" s="116">
        <v>0</v>
      </c>
      <c r="E447" s="136" t="s">
        <v>416</v>
      </c>
      <c r="F447" s="137" t="str">
        <f t="shared" si="73"/>
        <v/>
      </c>
      <c r="G447" s="138" t="e">
        <f>IF(A447&lt;&gt;"",IF(AND(#REF!="Padrão",$H$4=#REF!),BDI!$B$17,IF(AND(#REF!="Padrão",$H$4=#REF!),BDI!#REF!,IF(AND(#REF!="Diferenciado",$H$4=#REF!),BDI!$E$17,IF(AND(#REF!="Diferenciado",$H$4=#REF!),BDI!#REF!,IF(#REF!="ZERO",0))))),"")</f>
        <v>#REF!</v>
      </c>
      <c r="H447" s="139" t="str">
        <f t="shared" si="74"/>
        <v/>
      </c>
      <c r="I447" s="137" t="str">
        <f t="shared" si="75"/>
        <v/>
      </c>
      <c r="J447" s="117"/>
      <c r="K447" s="116">
        <v>0</v>
      </c>
      <c r="M447" s="136" t="s">
        <v>416</v>
      </c>
      <c r="N447" t="e">
        <v>#REF!</v>
      </c>
      <c r="Q447" t="s">
        <v>416</v>
      </c>
    </row>
    <row r="448" spans="1:17" hidden="1" x14ac:dyDescent="0.25">
      <c r="A448" s="114" t="s">
        <v>1710</v>
      </c>
      <c r="B448" s="115" t="s">
        <v>7618</v>
      </c>
      <c r="C448" s="116" t="s">
        <v>16</v>
      </c>
      <c r="D448" s="116">
        <v>0</v>
      </c>
      <c r="E448" s="136">
        <f ca="1">OFFSET(INDEX(Composições!A:J,MATCH(Orçamentária!A448,Composições!A:A,0),8),2,0)</f>
        <v>19.170999999999999</v>
      </c>
      <c r="F448" s="137">
        <f t="shared" ca="1" si="73"/>
        <v>0</v>
      </c>
      <c r="G448" s="138" t="e">
        <f>IF(A448&lt;&gt;"",IF(AND(#REF!="Padrão",$H$4=#REF!),BDI!$B$17,IF(AND(#REF!="Padrão",$H$4=#REF!),BDI!#REF!,IF(AND(#REF!="Diferenciado",$H$4=#REF!),BDI!$E$17,IF(AND(#REF!="Diferenciado",$H$4=#REF!),BDI!#REF!,IF(#REF!="ZERO",0))))),"")</f>
        <v>#REF!</v>
      </c>
      <c r="H448" s="139" t="e">
        <f t="shared" ca="1" si="74"/>
        <v>#REF!</v>
      </c>
      <c r="I448" s="137" t="e">
        <f t="shared" ca="1" si="75"/>
        <v>#REF!</v>
      </c>
      <c r="J448" s="117"/>
      <c r="K448" s="116">
        <v>0</v>
      </c>
      <c r="M448" s="136" t="e">
        <f ca="1">OFFSET(INDEX([1]Composições!I:R,MATCH([1]Orçamentária!I448,[1]Composições!I:I,0),8),2,0)</f>
        <v>#REF!</v>
      </c>
      <c r="N448" t="e">
        <v>#REF!</v>
      </c>
      <c r="Q448" t="e">
        <v>#REF!</v>
      </c>
    </row>
    <row r="449" spans="1:17" hidden="1" x14ac:dyDescent="0.25">
      <c r="A449" s="114" t="s">
        <v>1711</v>
      </c>
      <c r="B449" s="115" t="s">
        <v>7619</v>
      </c>
      <c r="C449" s="116" t="s">
        <v>16</v>
      </c>
      <c r="D449" s="116">
        <v>0</v>
      </c>
      <c r="E449" s="136" t="s">
        <v>416</v>
      </c>
      <c r="F449" s="137" t="str">
        <f t="shared" si="73"/>
        <v/>
      </c>
      <c r="G449" s="138" t="e">
        <f>IF(A449&lt;&gt;"",IF(AND(#REF!="Padrão",$H$4=#REF!),BDI!$B$17,IF(AND(#REF!="Padrão",$H$4=#REF!),BDI!#REF!,IF(AND(#REF!="Diferenciado",$H$4=#REF!),BDI!$E$17,IF(AND(#REF!="Diferenciado",$H$4=#REF!),BDI!#REF!,IF(#REF!="ZERO",0))))),"")</f>
        <v>#REF!</v>
      </c>
      <c r="H449" s="139" t="str">
        <f t="shared" si="74"/>
        <v/>
      </c>
      <c r="I449" s="137" t="str">
        <f t="shared" si="75"/>
        <v/>
      </c>
      <c r="J449" s="117"/>
      <c r="K449" s="116">
        <v>0</v>
      </c>
      <c r="M449" s="136" t="s">
        <v>416</v>
      </c>
      <c r="N449" t="e">
        <v>#REF!</v>
      </c>
      <c r="Q449" t="s">
        <v>416</v>
      </c>
    </row>
    <row r="450" spans="1:17" hidden="1" x14ac:dyDescent="0.25">
      <c r="A450" s="114" t="s">
        <v>1712</v>
      </c>
      <c r="B450" s="115" t="s">
        <v>7620</v>
      </c>
      <c r="C450" s="116" t="s">
        <v>16</v>
      </c>
      <c r="D450" s="116">
        <v>0</v>
      </c>
      <c r="E450" s="136" t="s">
        <v>416</v>
      </c>
      <c r="F450" s="137" t="str">
        <f t="shared" si="73"/>
        <v/>
      </c>
      <c r="G450" s="138" t="e">
        <f>IF(A450&lt;&gt;"",IF(AND(#REF!="Padrão",$H$4=#REF!),BDI!$B$17,IF(AND(#REF!="Padrão",$H$4=#REF!),BDI!#REF!,IF(AND(#REF!="Diferenciado",$H$4=#REF!),BDI!$E$17,IF(AND(#REF!="Diferenciado",$H$4=#REF!),BDI!#REF!,IF(#REF!="ZERO",0))))),"")</f>
        <v>#REF!</v>
      </c>
      <c r="H450" s="139" t="str">
        <f t="shared" si="74"/>
        <v/>
      </c>
      <c r="I450" s="137" t="str">
        <f t="shared" si="75"/>
        <v/>
      </c>
      <c r="J450" s="117"/>
      <c r="K450" s="116">
        <v>0</v>
      </c>
      <c r="M450" s="136" t="s">
        <v>416</v>
      </c>
      <c r="N450" t="e">
        <v>#REF!</v>
      </c>
      <c r="Q450" t="s">
        <v>416</v>
      </c>
    </row>
    <row r="451" spans="1:17" hidden="1" x14ac:dyDescent="0.25">
      <c r="A451" s="114" t="s">
        <v>1713</v>
      </c>
      <c r="B451" s="115" t="s">
        <v>1714</v>
      </c>
      <c r="C451" s="116" t="s">
        <v>16</v>
      </c>
      <c r="D451" s="116">
        <v>0</v>
      </c>
      <c r="E451" s="136" t="s">
        <v>416</v>
      </c>
      <c r="F451" s="137" t="str">
        <f t="shared" si="73"/>
        <v/>
      </c>
      <c r="G451" s="138" t="e">
        <f>IF(A451&lt;&gt;"",IF(AND(#REF!="Padrão",$H$4=#REF!),BDI!$B$17,IF(AND(#REF!="Padrão",$H$4=#REF!),BDI!#REF!,IF(AND(#REF!="Diferenciado",$H$4=#REF!),BDI!$E$17,IF(AND(#REF!="Diferenciado",$H$4=#REF!),BDI!#REF!,IF(#REF!="ZERO",0))))),"")</f>
        <v>#REF!</v>
      </c>
      <c r="H451" s="139" t="str">
        <f t="shared" si="74"/>
        <v/>
      </c>
      <c r="I451" s="137" t="str">
        <f t="shared" si="75"/>
        <v/>
      </c>
      <c r="J451" s="117"/>
      <c r="K451" s="116">
        <v>0</v>
      </c>
      <c r="M451" s="136" t="s">
        <v>416</v>
      </c>
      <c r="N451" t="e">
        <v>#REF!</v>
      </c>
      <c r="Q451" t="s">
        <v>416</v>
      </c>
    </row>
    <row r="452" spans="1:17" hidden="1" x14ac:dyDescent="0.25">
      <c r="A452" s="114" t="s">
        <v>1715</v>
      </c>
      <c r="B452" s="115" t="s">
        <v>1716</v>
      </c>
      <c r="C452" s="116" t="s">
        <v>16</v>
      </c>
      <c r="D452" s="116">
        <v>0</v>
      </c>
      <c r="E452" s="136" t="s">
        <v>416</v>
      </c>
      <c r="F452" s="137" t="str">
        <f t="shared" si="73"/>
        <v/>
      </c>
      <c r="G452" s="138" t="e">
        <f>IF(A452&lt;&gt;"",IF(AND(#REF!="Padrão",$H$4=#REF!),BDI!$B$17,IF(AND(#REF!="Padrão",$H$4=#REF!),BDI!#REF!,IF(AND(#REF!="Diferenciado",$H$4=#REF!),BDI!$E$17,IF(AND(#REF!="Diferenciado",$H$4=#REF!),BDI!#REF!,IF(#REF!="ZERO",0))))),"")</f>
        <v>#REF!</v>
      </c>
      <c r="H452" s="139" t="str">
        <f t="shared" si="74"/>
        <v/>
      </c>
      <c r="I452" s="137" t="str">
        <f t="shared" si="75"/>
        <v/>
      </c>
      <c r="J452" s="117"/>
      <c r="K452" s="116">
        <v>0</v>
      </c>
      <c r="M452" s="136" t="s">
        <v>416</v>
      </c>
      <c r="N452" t="e">
        <v>#REF!</v>
      </c>
      <c r="Q452" t="s">
        <v>416</v>
      </c>
    </row>
    <row r="453" spans="1:17" hidden="1" x14ac:dyDescent="0.25">
      <c r="A453" s="114" t="s">
        <v>1717</v>
      </c>
      <c r="B453" s="115" t="s">
        <v>1718</v>
      </c>
      <c r="C453" s="116" t="s">
        <v>16</v>
      </c>
      <c r="D453" s="116">
        <v>0</v>
      </c>
      <c r="E453" s="136" t="s">
        <v>416</v>
      </c>
      <c r="F453" s="137" t="str">
        <f t="shared" si="73"/>
        <v/>
      </c>
      <c r="G453" s="138" t="e">
        <f>IF(A453&lt;&gt;"",IF(AND(#REF!="Padrão",$H$4=#REF!),BDI!$B$17,IF(AND(#REF!="Padrão",$H$4=#REF!),BDI!#REF!,IF(AND(#REF!="Diferenciado",$H$4=#REF!),BDI!$E$17,IF(AND(#REF!="Diferenciado",$H$4=#REF!),BDI!#REF!,IF(#REF!="ZERO",0))))),"")</f>
        <v>#REF!</v>
      </c>
      <c r="H453" s="139" t="str">
        <f t="shared" si="74"/>
        <v/>
      </c>
      <c r="I453" s="137" t="str">
        <f t="shared" si="75"/>
        <v/>
      </c>
      <c r="J453" s="117"/>
      <c r="K453" s="116">
        <v>0</v>
      </c>
      <c r="M453" s="136" t="s">
        <v>416</v>
      </c>
      <c r="N453" t="e">
        <v>#REF!</v>
      </c>
      <c r="Q453" t="s">
        <v>416</v>
      </c>
    </row>
    <row r="454" spans="1:17" hidden="1" x14ac:dyDescent="0.25">
      <c r="A454" s="114" t="s">
        <v>1719</v>
      </c>
      <c r="B454" s="115" t="s">
        <v>1720</v>
      </c>
      <c r="C454" s="116" t="s">
        <v>16</v>
      </c>
      <c r="D454" s="116">
        <v>0</v>
      </c>
      <c r="E454" s="136" t="s">
        <v>416</v>
      </c>
      <c r="F454" s="137" t="str">
        <f t="shared" si="73"/>
        <v/>
      </c>
      <c r="G454" s="138" t="e">
        <f>IF(A454&lt;&gt;"",IF(AND(#REF!="Padrão",$H$4=#REF!),BDI!$B$17,IF(AND(#REF!="Padrão",$H$4=#REF!),BDI!#REF!,IF(AND(#REF!="Diferenciado",$H$4=#REF!),BDI!$E$17,IF(AND(#REF!="Diferenciado",$H$4=#REF!),BDI!#REF!,IF(#REF!="ZERO",0))))),"")</f>
        <v>#REF!</v>
      </c>
      <c r="H454" s="139" t="str">
        <f t="shared" si="74"/>
        <v/>
      </c>
      <c r="I454" s="137" t="str">
        <f t="shared" si="75"/>
        <v/>
      </c>
      <c r="J454" s="117"/>
      <c r="K454" s="116">
        <v>0</v>
      </c>
      <c r="M454" s="136" t="s">
        <v>416</v>
      </c>
      <c r="N454" t="e">
        <v>#REF!</v>
      </c>
      <c r="Q454" t="s">
        <v>416</v>
      </c>
    </row>
    <row r="455" spans="1:17" hidden="1" x14ac:dyDescent="0.25">
      <c r="A455" s="114" t="s">
        <v>1721</v>
      </c>
      <c r="B455" s="115" t="s">
        <v>1722</v>
      </c>
      <c r="C455" s="116" t="s">
        <v>16</v>
      </c>
      <c r="D455" s="116">
        <v>0</v>
      </c>
      <c r="E455" s="136" t="s">
        <v>416</v>
      </c>
      <c r="F455" s="137" t="str">
        <f t="shared" ref="F455:F518" si="76">IF(ISNUMBER(E455),D455*E455,"")</f>
        <v/>
      </c>
      <c r="G455" s="138" t="e">
        <f>IF(A455&lt;&gt;"",IF(AND(#REF!="Padrão",$H$4=#REF!),BDI!$B$17,IF(AND(#REF!="Padrão",$H$4=#REF!),BDI!#REF!,IF(AND(#REF!="Diferenciado",$H$4=#REF!),BDI!$E$17,IF(AND(#REF!="Diferenciado",$H$4=#REF!),BDI!#REF!,IF(#REF!="ZERO",0))))),"")</f>
        <v>#REF!</v>
      </c>
      <c r="H455" s="139" t="str">
        <f t="shared" ref="H455:H518" si="77">IF(ISNUMBER(E455),ROUND(E455*(1+G455),2),"")</f>
        <v/>
      </c>
      <c r="I455" s="137" t="str">
        <f t="shared" ref="I455:I518" si="78">IF(ISNUMBER(E455),ROUND(H455*D455,2),"")</f>
        <v/>
      </c>
      <c r="J455" s="117"/>
      <c r="K455" s="116">
        <v>0</v>
      </c>
      <c r="M455" s="136" t="s">
        <v>416</v>
      </c>
      <c r="N455" t="e">
        <v>#REF!</v>
      </c>
      <c r="Q455" t="s">
        <v>416</v>
      </c>
    </row>
    <row r="456" spans="1:17" hidden="1" x14ac:dyDescent="0.25">
      <c r="A456" s="114" t="s">
        <v>1723</v>
      </c>
      <c r="B456" s="115" t="s">
        <v>1724</v>
      </c>
      <c r="C456" s="116" t="s">
        <v>16</v>
      </c>
      <c r="D456" s="116">
        <v>0</v>
      </c>
      <c r="E456" s="136" t="s">
        <v>416</v>
      </c>
      <c r="F456" s="137" t="str">
        <f t="shared" si="76"/>
        <v/>
      </c>
      <c r="G456" s="138" t="e">
        <f>IF(A456&lt;&gt;"",IF(AND(#REF!="Padrão",$H$4=#REF!),BDI!$B$17,IF(AND(#REF!="Padrão",$H$4=#REF!),BDI!#REF!,IF(AND(#REF!="Diferenciado",$H$4=#REF!),BDI!$E$17,IF(AND(#REF!="Diferenciado",$H$4=#REF!),BDI!#REF!,IF(#REF!="ZERO",0))))),"")</f>
        <v>#REF!</v>
      </c>
      <c r="H456" s="139" t="str">
        <f t="shared" si="77"/>
        <v/>
      </c>
      <c r="I456" s="137" t="str">
        <f t="shared" si="78"/>
        <v/>
      </c>
      <c r="J456" s="117"/>
      <c r="K456" s="116">
        <v>0</v>
      </c>
      <c r="M456" s="136" t="s">
        <v>416</v>
      </c>
      <c r="N456" t="e">
        <v>#REF!</v>
      </c>
      <c r="Q456" t="s">
        <v>416</v>
      </c>
    </row>
    <row r="457" spans="1:17" hidden="1" x14ac:dyDescent="0.25">
      <c r="A457" s="114" t="s">
        <v>1725</v>
      </c>
      <c r="B457" s="115" t="s">
        <v>1726</v>
      </c>
      <c r="C457" s="116" t="s">
        <v>16</v>
      </c>
      <c r="D457" s="116">
        <v>0</v>
      </c>
      <c r="E457" s="136" t="s">
        <v>416</v>
      </c>
      <c r="F457" s="137" t="str">
        <f t="shared" si="76"/>
        <v/>
      </c>
      <c r="G457" s="138" t="e">
        <f>IF(A457&lt;&gt;"",IF(AND(#REF!="Padrão",$H$4=#REF!),BDI!$B$17,IF(AND(#REF!="Padrão",$H$4=#REF!),BDI!#REF!,IF(AND(#REF!="Diferenciado",$H$4=#REF!),BDI!$E$17,IF(AND(#REF!="Diferenciado",$H$4=#REF!),BDI!#REF!,IF(#REF!="ZERO",0))))),"")</f>
        <v>#REF!</v>
      </c>
      <c r="H457" s="139" t="str">
        <f t="shared" si="77"/>
        <v/>
      </c>
      <c r="I457" s="137" t="str">
        <f t="shared" si="78"/>
        <v/>
      </c>
      <c r="J457" s="117"/>
      <c r="K457" s="116">
        <v>0</v>
      </c>
      <c r="M457" s="136" t="s">
        <v>416</v>
      </c>
      <c r="N457" t="e">
        <v>#REF!</v>
      </c>
      <c r="Q457" t="s">
        <v>416</v>
      </c>
    </row>
    <row r="458" spans="1:17" hidden="1" x14ac:dyDescent="0.25">
      <c r="A458" s="114" t="s">
        <v>1727</v>
      </c>
      <c r="B458" s="115" t="s">
        <v>1728</v>
      </c>
      <c r="C458" s="116" t="s">
        <v>16</v>
      </c>
      <c r="D458" s="116">
        <v>0</v>
      </c>
      <c r="E458" s="136" t="s">
        <v>416</v>
      </c>
      <c r="F458" s="137" t="str">
        <f t="shared" si="76"/>
        <v/>
      </c>
      <c r="G458" s="138" t="e">
        <f>IF(A458&lt;&gt;"",IF(AND(#REF!="Padrão",$H$4=#REF!),BDI!$B$17,IF(AND(#REF!="Padrão",$H$4=#REF!),BDI!#REF!,IF(AND(#REF!="Diferenciado",$H$4=#REF!),BDI!$E$17,IF(AND(#REF!="Diferenciado",$H$4=#REF!),BDI!#REF!,IF(#REF!="ZERO",0))))),"")</f>
        <v>#REF!</v>
      </c>
      <c r="H458" s="139" t="str">
        <f t="shared" si="77"/>
        <v/>
      </c>
      <c r="I458" s="137" t="str">
        <f t="shared" si="78"/>
        <v/>
      </c>
      <c r="J458" s="117"/>
      <c r="K458" s="116">
        <v>0</v>
      </c>
      <c r="M458" s="136" t="s">
        <v>416</v>
      </c>
      <c r="N458" t="e">
        <v>#REF!</v>
      </c>
      <c r="Q458" t="s">
        <v>416</v>
      </c>
    </row>
    <row r="459" spans="1:17" hidden="1" x14ac:dyDescent="0.25">
      <c r="A459" s="114" t="s">
        <v>1729</v>
      </c>
      <c r="B459" s="115" t="s">
        <v>1730</v>
      </c>
      <c r="C459" s="116" t="s">
        <v>16</v>
      </c>
      <c r="D459" s="116">
        <v>0</v>
      </c>
      <c r="E459" s="136" t="s">
        <v>416</v>
      </c>
      <c r="F459" s="137" t="str">
        <f t="shared" si="76"/>
        <v/>
      </c>
      <c r="G459" s="138" t="e">
        <f>IF(A459&lt;&gt;"",IF(AND(#REF!="Padrão",$H$4=#REF!),BDI!$B$17,IF(AND(#REF!="Padrão",$H$4=#REF!),BDI!#REF!,IF(AND(#REF!="Diferenciado",$H$4=#REF!),BDI!$E$17,IF(AND(#REF!="Diferenciado",$H$4=#REF!),BDI!#REF!,IF(#REF!="ZERO",0))))),"")</f>
        <v>#REF!</v>
      </c>
      <c r="H459" s="139" t="str">
        <f t="shared" si="77"/>
        <v/>
      </c>
      <c r="I459" s="137" t="str">
        <f t="shared" si="78"/>
        <v/>
      </c>
      <c r="J459" s="117"/>
      <c r="K459" s="116">
        <v>0</v>
      </c>
      <c r="M459" s="136" t="s">
        <v>416</v>
      </c>
      <c r="N459" t="e">
        <v>#REF!</v>
      </c>
      <c r="Q459" t="s">
        <v>416</v>
      </c>
    </row>
    <row r="460" spans="1:17" hidden="1" x14ac:dyDescent="0.25">
      <c r="A460" s="114" t="s">
        <v>1731</v>
      </c>
      <c r="B460" s="115" t="s">
        <v>1732</v>
      </c>
      <c r="C460" s="116" t="s">
        <v>16</v>
      </c>
      <c r="D460" s="116">
        <v>0</v>
      </c>
      <c r="E460" s="136" t="s">
        <v>416</v>
      </c>
      <c r="F460" s="137" t="str">
        <f t="shared" si="76"/>
        <v/>
      </c>
      <c r="G460" s="138" t="e">
        <f>IF(A460&lt;&gt;"",IF(AND(#REF!="Padrão",$H$4=#REF!),BDI!$B$17,IF(AND(#REF!="Padrão",$H$4=#REF!),BDI!#REF!,IF(AND(#REF!="Diferenciado",$H$4=#REF!),BDI!$E$17,IF(AND(#REF!="Diferenciado",$H$4=#REF!),BDI!#REF!,IF(#REF!="ZERO",0))))),"")</f>
        <v>#REF!</v>
      </c>
      <c r="H460" s="139" t="str">
        <f t="shared" si="77"/>
        <v/>
      </c>
      <c r="I460" s="137" t="str">
        <f t="shared" si="78"/>
        <v/>
      </c>
      <c r="J460" s="117"/>
      <c r="K460" s="116">
        <v>0</v>
      </c>
      <c r="M460" s="136" t="s">
        <v>416</v>
      </c>
      <c r="N460" t="e">
        <v>#REF!</v>
      </c>
      <c r="Q460" t="s">
        <v>416</v>
      </c>
    </row>
    <row r="461" spans="1:17" ht="25.5" hidden="1" x14ac:dyDescent="0.25">
      <c r="A461" s="114" t="s">
        <v>1733</v>
      </c>
      <c r="B461" s="115" t="s">
        <v>1734</v>
      </c>
      <c r="C461" s="116" t="s">
        <v>16</v>
      </c>
      <c r="D461" s="116">
        <v>0</v>
      </c>
      <c r="E461" s="136" t="s">
        <v>416</v>
      </c>
      <c r="F461" s="137" t="str">
        <f t="shared" si="76"/>
        <v/>
      </c>
      <c r="G461" s="138" t="e">
        <f>IF(A461&lt;&gt;"",IF(AND(#REF!="Padrão",$H$4=#REF!),BDI!$B$17,IF(AND(#REF!="Padrão",$H$4=#REF!),BDI!#REF!,IF(AND(#REF!="Diferenciado",$H$4=#REF!),BDI!$E$17,IF(AND(#REF!="Diferenciado",$H$4=#REF!),BDI!#REF!,IF(#REF!="ZERO",0))))),"")</f>
        <v>#REF!</v>
      </c>
      <c r="H461" s="139" t="str">
        <f t="shared" si="77"/>
        <v/>
      </c>
      <c r="I461" s="137" t="str">
        <f t="shared" si="78"/>
        <v/>
      </c>
      <c r="J461" s="117"/>
      <c r="K461" s="116">
        <v>0</v>
      </c>
      <c r="M461" s="136" t="s">
        <v>416</v>
      </c>
      <c r="N461" t="e">
        <v>#REF!</v>
      </c>
      <c r="Q461" t="s">
        <v>416</v>
      </c>
    </row>
    <row r="462" spans="1:17" ht="25.5" hidden="1" x14ac:dyDescent="0.25">
      <c r="A462" s="114" t="s">
        <v>1735</v>
      </c>
      <c r="B462" s="115" t="s">
        <v>1736</v>
      </c>
      <c r="C462" s="116" t="s">
        <v>16</v>
      </c>
      <c r="D462" s="116">
        <v>0</v>
      </c>
      <c r="E462" s="136" t="s">
        <v>416</v>
      </c>
      <c r="F462" s="137" t="str">
        <f t="shared" si="76"/>
        <v/>
      </c>
      <c r="G462" s="138" t="e">
        <f>IF(A462&lt;&gt;"",IF(AND(#REF!="Padrão",$H$4=#REF!),BDI!$B$17,IF(AND(#REF!="Padrão",$H$4=#REF!),BDI!#REF!,IF(AND(#REF!="Diferenciado",$H$4=#REF!),BDI!$E$17,IF(AND(#REF!="Diferenciado",$H$4=#REF!),BDI!#REF!,IF(#REF!="ZERO",0))))),"")</f>
        <v>#REF!</v>
      </c>
      <c r="H462" s="139" t="str">
        <f t="shared" si="77"/>
        <v/>
      </c>
      <c r="I462" s="137" t="str">
        <f t="shared" si="78"/>
        <v/>
      </c>
      <c r="J462" s="117"/>
      <c r="K462" s="116">
        <v>0</v>
      </c>
      <c r="M462" s="136" t="s">
        <v>416</v>
      </c>
      <c r="N462" t="e">
        <v>#REF!</v>
      </c>
      <c r="Q462" t="s">
        <v>416</v>
      </c>
    </row>
    <row r="463" spans="1:17" hidden="1" x14ac:dyDescent="0.25">
      <c r="A463" s="114" t="s">
        <v>1737</v>
      </c>
      <c r="B463" s="115" t="s">
        <v>1738</v>
      </c>
      <c r="C463" s="116" t="s">
        <v>16</v>
      </c>
      <c r="D463" s="116">
        <v>0</v>
      </c>
      <c r="E463" s="136" t="s">
        <v>416</v>
      </c>
      <c r="F463" s="137" t="str">
        <f t="shared" si="76"/>
        <v/>
      </c>
      <c r="G463" s="138" t="e">
        <f>IF(A463&lt;&gt;"",IF(AND(#REF!="Padrão",$H$4=#REF!),BDI!$B$17,IF(AND(#REF!="Padrão",$H$4=#REF!),BDI!#REF!,IF(AND(#REF!="Diferenciado",$H$4=#REF!),BDI!$E$17,IF(AND(#REF!="Diferenciado",$H$4=#REF!),BDI!#REF!,IF(#REF!="ZERO",0))))),"")</f>
        <v>#REF!</v>
      </c>
      <c r="H463" s="139" t="str">
        <f t="shared" si="77"/>
        <v/>
      </c>
      <c r="I463" s="137" t="str">
        <f t="shared" si="78"/>
        <v/>
      </c>
      <c r="J463" s="117"/>
      <c r="K463" s="116">
        <v>0</v>
      </c>
      <c r="M463" s="136" t="s">
        <v>416</v>
      </c>
      <c r="N463" t="e">
        <v>#REF!</v>
      </c>
      <c r="Q463" t="s">
        <v>416</v>
      </c>
    </row>
    <row r="464" spans="1:17" hidden="1" x14ac:dyDescent="0.25">
      <c r="A464" s="114" t="s">
        <v>1739</v>
      </c>
      <c r="B464" s="115" t="s">
        <v>1740</v>
      </c>
      <c r="C464" s="116" t="s">
        <v>16</v>
      </c>
      <c r="D464" s="116">
        <v>0</v>
      </c>
      <c r="E464" s="136" t="s">
        <v>416</v>
      </c>
      <c r="F464" s="137" t="str">
        <f t="shared" si="76"/>
        <v/>
      </c>
      <c r="G464" s="138" t="e">
        <f>IF(A464&lt;&gt;"",IF(AND(#REF!="Padrão",$H$4=#REF!),BDI!$B$17,IF(AND(#REF!="Padrão",$H$4=#REF!),BDI!#REF!,IF(AND(#REF!="Diferenciado",$H$4=#REF!),BDI!$E$17,IF(AND(#REF!="Diferenciado",$H$4=#REF!),BDI!#REF!,IF(#REF!="ZERO",0))))),"")</f>
        <v>#REF!</v>
      </c>
      <c r="H464" s="139" t="str">
        <f t="shared" si="77"/>
        <v/>
      </c>
      <c r="I464" s="137" t="str">
        <f t="shared" si="78"/>
        <v/>
      </c>
      <c r="J464" s="117"/>
      <c r="K464" s="116">
        <v>0</v>
      </c>
      <c r="M464" s="136" t="s">
        <v>416</v>
      </c>
      <c r="N464" t="e">
        <v>#REF!</v>
      </c>
      <c r="Q464" t="s">
        <v>416</v>
      </c>
    </row>
    <row r="465" spans="1:17" hidden="1" x14ac:dyDescent="0.25">
      <c r="A465" s="114" t="s">
        <v>1741</v>
      </c>
      <c r="B465" s="115" t="s">
        <v>1742</v>
      </c>
      <c r="C465" s="116" t="s">
        <v>16</v>
      </c>
      <c r="D465" s="116">
        <v>0</v>
      </c>
      <c r="E465" s="136" t="s">
        <v>416</v>
      </c>
      <c r="F465" s="137" t="str">
        <f t="shared" si="76"/>
        <v/>
      </c>
      <c r="G465" s="138" t="e">
        <f>IF(A465&lt;&gt;"",IF(AND(#REF!="Padrão",$H$4=#REF!),BDI!$B$17,IF(AND(#REF!="Padrão",$H$4=#REF!),BDI!#REF!,IF(AND(#REF!="Diferenciado",$H$4=#REF!),BDI!$E$17,IF(AND(#REF!="Diferenciado",$H$4=#REF!),BDI!#REF!,IF(#REF!="ZERO",0))))),"")</f>
        <v>#REF!</v>
      </c>
      <c r="H465" s="139" t="str">
        <f t="shared" si="77"/>
        <v/>
      </c>
      <c r="I465" s="137" t="str">
        <f t="shared" si="78"/>
        <v/>
      </c>
      <c r="J465" s="117"/>
      <c r="K465" s="116">
        <v>0</v>
      </c>
      <c r="M465" s="136" t="s">
        <v>416</v>
      </c>
      <c r="N465" t="e">
        <v>#REF!</v>
      </c>
      <c r="Q465" t="s">
        <v>416</v>
      </c>
    </row>
    <row r="466" spans="1:17" hidden="1" x14ac:dyDescent="0.25">
      <c r="A466" s="114" t="s">
        <v>1743</v>
      </c>
      <c r="B466" s="115" t="s">
        <v>7621</v>
      </c>
      <c r="C466" s="116" t="s">
        <v>16</v>
      </c>
      <c r="D466" s="116">
        <v>0</v>
      </c>
      <c r="E466" s="136" t="s">
        <v>416</v>
      </c>
      <c r="F466" s="137" t="str">
        <f t="shared" si="76"/>
        <v/>
      </c>
      <c r="G466" s="138" t="e">
        <f>IF(A466&lt;&gt;"",IF(AND(#REF!="Padrão",$H$4=#REF!),BDI!$B$17,IF(AND(#REF!="Padrão",$H$4=#REF!),BDI!#REF!,IF(AND(#REF!="Diferenciado",$H$4=#REF!),BDI!$E$17,IF(AND(#REF!="Diferenciado",$H$4=#REF!),BDI!#REF!,IF(#REF!="ZERO",0))))),"")</f>
        <v>#REF!</v>
      </c>
      <c r="H466" s="139" t="str">
        <f t="shared" si="77"/>
        <v/>
      </c>
      <c r="I466" s="137" t="str">
        <f t="shared" si="78"/>
        <v/>
      </c>
      <c r="J466" s="117"/>
      <c r="K466" s="116">
        <v>0</v>
      </c>
      <c r="M466" s="136" t="s">
        <v>416</v>
      </c>
      <c r="N466" t="e">
        <v>#REF!</v>
      </c>
      <c r="Q466" t="s">
        <v>416</v>
      </c>
    </row>
    <row r="467" spans="1:17" hidden="1" x14ac:dyDescent="0.25">
      <c r="A467" s="114" t="s">
        <v>1744</v>
      </c>
      <c r="B467" s="115" t="s">
        <v>1745</v>
      </c>
      <c r="C467" s="116" t="s">
        <v>16</v>
      </c>
      <c r="D467" s="116">
        <v>0</v>
      </c>
      <c r="E467" s="136" t="s">
        <v>416</v>
      </c>
      <c r="F467" s="137" t="str">
        <f t="shared" si="76"/>
        <v/>
      </c>
      <c r="G467" s="138" t="e">
        <f>IF(A467&lt;&gt;"",IF(AND(#REF!="Padrão",$H$4=#REF!),BDI!$B$17,IF(AND(#REF!="Padrão",$H$4=#REF!),BDI!#REF!,IF(AND(#REF!="Diferenciado",$H$4=#REF!),BDI!$E$17,IF(AND(#REF!="Diferenciado",$H$4=#REF!),BDI!#REF!,IF(#REF!="ZERO",0))))),"")</f>
        <v>#REF!</v>
      </c>
      <c r="H467" s="139" t="str">
        <f t="shared" si="77"/>
        <v/>
      </c>
      <c r="I467" s="137" t="str">
        <f t="shared" si="78"/>
        <v/>
      </c>
      <c r="J467" s="117"/>
      <c r="K467" s="116">
        <v>0</v>
      </c>
      <c r="M467" s="136" t="s">
        <v>416</v>
      </c>
      <c r="N467" t="e">
        <v>#REF!</v>
      </c>
      <c r="Q467" t="s">
        <v>416</v>
      </c>
    </row>
    <row r="468" spans="1:17" hidden="1" x14ac:dyDescent="0.25">
      <c r="A468" s="114" t="s">
        <v>1746</v>
      </c>
      <c r="B468" s="115" t="s">
        <v>1747</v>
      </c>
      <c r="C468" s="116" t="s">
        <v>16</v>
      </c>
      <c r="D468" s="116">
        <v>0</v>
      </c>
      <c r="E468" s="136" t="s">
        <v>416</v>
      </c>
      <c r="F468" s="137" t="str">
        <f t="shared" si="76"/>
        <v/>
      </c>
      <c r="G468" s="138" t="e">
        <f>IF(A468&lt;&gt;"",IF(AND(#REF!="Padrão",$H$4=#REF!),BDI!$B$17,IF(AND(#REF!="Padrão",$H$4=#REF!),BDI!#REF!,IF(AND(#REF!="Diferenciado",$H$4=#REF!),BDI!$E$17,IF(AND(#REF!="Diferenciado",$H$4=#REF!),BDI!#REF!,IF(#REF!="ZERO",0))))),"")</f>
        <v>#REF!</v>
      </c>
      <c r="H468" s="139" t="str">
        <f t="shared" si="77"/>
        <v/>
      </c>
      <c r="I468" s="137" t="str">
        <f t="shared" si="78"/>
        <v/>
      </c>
      <c r="J468" s="117"/>
      <c r="K468" s="116">
        <v>0</v>
      </c>
      <c r="M468" s="136" t="s">
        <v>416</v>
      </c>
      <c r="N468" t="e">
        <v>#REF!</v>
      </c>
      <c r="Q468" t="s">
        <v>416</v>
      </c>
    </row>
    <row r="469" spans="1:17" hidden="1" x14ac:dyDescent="0.25">
      <c r="A469" s="114" t="s">
        <v>1748</v>
      </c>
      <c r="B469" s="115" t="s">
        <v>1749</v>
      </c>
      <c r="C469" s="116" t="s">
        <v>16</v>
      </c>
      <c r="D469" s="116">
        <v>0</v>
      </c>
      <c r="E469" s="136" t="s">
        <v>416</v>
      </c>
      <c r="F469" s="137" t="str">
        <f t="shared" si="76"/>
        <v/>
      </c>
      <c r="G469" s="138" t="e">
        <f>IF(A469&lt;&gt;"",IF(AND(#REF!="Padrão",$H$4=#REF!),BDI!$B$17,IF(AND(#REF!="Padrão",$H$4=#REF!),BDI!#REF!,IF(AND(#REF!="Diferenciado",$H$4=#REF!),BDI!$E$17,IF(AND(#REF!="Diferenciado",$H$4=#REF!),BDI!#REF!,IF(#REF!="ZERO",0))))),"")</f>
        <v>#REF!</v>
      </c>
      <c r="H469" s="139" t="str">
        <f t="shared" si="77"/>
        <v/>
      </c>
      <c r="I469" s="137" t="str">
        <f t="shared" si="78"/>
        <v/>
      </c>
      <c r="J469" s="117"/>
      <c r="K469" s="116">
        <v>0</v>
      </c>
      <c r="M469" s="136" t="s">
        <v>416</v>
      </c>
      <c r="N469" t="e">
        <v>#REF!</v>
      </c>
      <c r="Q469" t="s">
        <v>416</v>
      </c>
    </row>
    <row r="470" spans="1:17" hidden="1" x14ac:dyDescent="0.25">
      <c r="A470" s="114" t="s">
        <v>1750</v>
      </c>
      <c r="B470" s="115" t="s">
        <v>1751</v>
      </c>
      <c r="C470" s="116" t="s">
        <v>16</v>
      </c>
      <c r="D470" s="116">
        <v>0</v>
      </c>
      <c r="E470" s="136" t="s">
        <v>416</v>
      </c>
      <c r="F470" s="137" t="str">
        <f t="shared" si="76"/>
        <v/>
      </c>
      <c r="G470" s="138" t="e">
        <f>IF(A470&lt;&gt;"",IF(AND(#REF!="Padrão",$H$4=#REF!),BDI!$B$17,IF(AND(#REF!="Padrão",$H$4=#REF!),BDI!#REF!,IF(AND(#REF!="Diferenciado",$H$4=#REF!),BDI!$E$17,IF(AND(#REF!="Diferenciado",$H$4=#REF!),BDI!#REF!,IF(#REF!="ZERO",0))))),"")</f>
        <v>#REF!</v>
      </c>
      <c r="H470" s="139" t="str">
        <f t="shared" si="77"/>
        <v/>
      </c>
      <c r="I470" s="137" t="str">
        <f t="shared" si="78"/>
        <v/>
      </c>
      <c r="J470" s="117"/>
      <c r="K470" s="116">
        <v>0</v>
      </c>
      <c r="M470" s="136" t="s">
        <v>416</v>
      </c>
      <c r="N470" t="e">
        <v>#REF!</v>
      </c>
      <c r="Q470" t="s">
        <v>416</v>
      </c>
    </row>
    <row r="471" spans="1:17" hidden="1" x14ac:dyDescent="0.25">
      <c r="A471" s="114" t="s">
        <v>1752</v>
      </c>
      <c r="B471" s="115" t="s">
        <v>1753</v>
      </c>
      <c r="C471" s="116" t="s">
        <v>16</v>
      </c>
      <c r="D471" s="116">
        <v>0</v>
      </c>
      <c r="E471" s="136" t="s">
        <v>416</v>
      </c>
      <c r="F471" s="137" t="str">
        <f t="shared" si="76"/>
        <v/>
      </c>
      <c r="G471" s="138" t="e">
        <f>IF(A471&lt;&gt;"",IF(AND(#REF!="Padrão",$H$4=#REF!),BDI!$B$17,IF(AND(#REF!="Padrão",$H$4=#REF!),BDI!#REF!,IF(AND(#REF!="Diferenciado",$H$4=#REF!),BDI!$E$17,IF(AND(#REF!="Diferenciado",$H$4=#REF!),BDI!#REF!,IF(#REF!="ZERO",0))))),"")</f>
        <v>#REF!</v>
      </c>
      <c r="H471" s="139" t="str">
        <f t="shared" si="77"/>
        <v/>
      </c>
      <c r="I471" s="137" t="str">
        <f t="shared" si="78"/>
        <v/>
      </c>
      <c r="J471" s="117"/>
      <c r="K471" s="116">
        <v>0</v>
      </c>
      <c r="M471" s="136" t="s">
        <v>416</v>
      </c>
      <c r="N471" t="e">
        <v>#REF!</v>
      </c>
      <c r="Q471" t="s">
        <v>416</v>
      </c>
    </row>
    <row r="472" spans="1:17" hidden="1" x14ac:dyDescent="0.25">
      <c r="A472" s="114" t="s">
        <v>620</v>
      </c>
      <c r="B472" s="115" t="s">
        <v>1754</v>
      </c>
      <c r="C472" s="116" t="s">
        <v>1755</v>
      </c>
      <c r="D472" s="116">
        <v>0</v>
      </c>
      <c r="E472" s="136">
        <f ca="1">OFFSET(INDEX(Composições!A:J,MATCH(Orçamentária!A472,Composições!A:A,0),8),2,0)</f>
        <v>30.4</v>
      </c>
      <c r="F472" s="137">
        <f t="shared" ca="1" si="76"/>
        <v>0</v>
      </c>
      <c r="G472" s="138" t="e">
        <f>IF(A472&lt;&gt;"",IF(AND(#REF!="Padrão",$H$4=#REF!),BDI!$B$17,IF(AND(#REF!="Padrão",$H$4=#REF!),BDI!#REF!,IF(AND(#REF!="Diferenciado",$H$4=#REF!),BDI!$E$17,IF(AND(#REF!="Diferenciado",$H$4=#REF!),BDI!#REF!,IF(#REF!="ZERO",0))))),"")</f>
        <v>#REF!</v>
      </c>
      <c r="H472" s="139" t="e">
        <f t="shared" ca="1" si="77"/>
        <v>#REF!</v>
      </c>
      <c r="I472" s="137" t="e">
        <f t="shared" ca="1" si="78"/>
        <v>#REF!</v>
      </c>
      <c r="J472" s="117"/>
      <c r="K472" s="116">
        <v>0</v>
      </c>
      <c r="M472" s="136" t="e">
        <f ca="1">OFFSET(INDEX([1]Composições!I:R,MATCH([1]Orçamentária!I472,[1]Composições!I:I,0),8),2,0)</f>
        <v>#REF!</v>
      </c>
      <c r="N472" t="e">
        <v>#REF!</v>
      </c>
      <c r="Q472" t="e">
        <v>#REF!</v>
      </c>
    </row>
    <row r="473" spans="1:17" hidden="1" x14ac:dyDescent="0.25">
      <c r="A473" s="114" t="s">
        <v>1756</v>
      </c>
      <c r="B473" s="115" t="s">
        <v>1757</v>
      </c>
      <c r="C473" s="116" t="s">
        <v>28</v>
      </c>
      <c r="D473" s="116">
        <v>0</v>
      </c>
      <c r="E473" s="136">
        <f ca="1">OFFSET(INDEX(Composições!A:J,MATCH(Orçamentária!A473,Composições!A:A,0),8),2,0)</f>
        <v>47.271999999999998</v>
      </c>
      <c r="F473" s="137">
        <f t="shared" ca="1" si="76"/>
        <v>0</v>
      </c>
      <c r="G473" s="138" t="e">
        <f>IF(A473&lt;&gt;"",IF(AND(#REF!="Padrão",$H$4=#REF!),BDI!$B$17,IF(AND(#REF!="Padrão",$H$4=#REF!),BDI!#REF!,IF(AND(#REF!="Diferenciado",$H$4=#REF!),BDI!$E$17,IF(AND(#REF!="Diferenciado",$H$4=#REF!),BDI!#REF!,IF(#REF!="ZERO",0))))),"")</f>
        <v>#REF!</v>
      </c>
      <c r="H473" s="139" t="e">
        <f t="shared" ca="1" si="77"/>
        <v>#REF!</v>
      </c>
      <c r="I473" s="137" t="e">
        <f t="shared" ca="1" si="78"/>
        <v>#REF!</v>
      </c>
      <c r="J473" s="117"/>
      <c r="K473" s="116">
        <v>0</v>
      </c>
      <c r="M473" s="136" t="e">
        <f ca="1">OFFSET(INDEX([1]Composições!I:R,MATCH([1]Orçamentária!I473,[1]Composições!I:I,0),8),2,0)</f>
        <v>#REF!</v>
      </c>
      <c r="N473" t="e">
        <v>#REF!</v>
      </c>
      <c r="Q473" t="e">
        <v>#REF!</v>
      </c>
    </row>
    <row r="474" spans="1:17" hidden="1" x14ac:dyDescent="0.25">
      <c r="A474" s="114" t="s">
        <v>1758</v>
      </c>
      <c r="B474" s="115" t="s">
        <v>1759</v>
      </c>
      <c r="C474" s="116" t="s">
        <v>28</v>
      </c>
      <c r="D474" s="116">
        <v>0</v>
      </c>
      <c r="E474" s="136" t="s">
        <v>416</v>
      </c>
      <c r="F474" s="137" t="str">
        <f t="shared" si="76"/>
        <v/>
      </c>
      <c r="G474" s="138" t="e">
        <f>IF(A474&lt;&gt;"",IF(AND(#REF!="Padrão",$H$4=#REF!),BDI!$B$17,IF(AND(#REF!="Padrão",$H$4=#REF!),BDI!#REF!,IF(AND(#REF!="Diferenciado",$H$4=#REF!),BDI!$E$17,IF(AND(#REF!="Diferenciado",$H$4=#REF!),BDI!#REF!,IF(#REF!="ZERO",0))))),"")</f>
        <v>#REF!</v>
      </c>
      <c r="H474" s="139" t="str">
        <f t="shared" si="77"/>
        <v/>
      </c>
      <c r="I474" s="137" t="str">
        <f t="shared" si="78"/>
        <v/>
      </c>
      <c r="J474" s="117"/>
      <c r="K474" s="116">
        <v>0</v>
      </c>
      <c r="M474" s="136" t="s">
        <v>416</v>
      </c>
      <c r="N474" t="e">
        <v>#REF!</v>
      </c>
      <c r="Q474" t="s">
        <v>416</v>
      </c>
    </row>
    <row r="475" spans="1:17" hidden="1" x14ac:dyDescent="0.25">
      <c r="A475" s="114" t="s">
        <v>1760</v>
      </c>
      <c r="B475" s="115" t="s">
        <v>1761</v>
      </c>
      <c r="C475" s="116" t="s">
        <v>70</v>
      </c>
      <c r="D475" s="116">
        <v>0</v>
      </c>
      <c r="E475" s="136">
        <f ca="1">OFFSET(INDEX(Composições!A:J,MATCH(Orçamentária!A475,Composições!A:A,0),8),2,0)</f>
        <v>56.667499999999997</v>
      </c>
      <c r="F475" s="137">
        <f t="shared" ca="1" si="76"/>
        <v>0</v>
      </c>
      <c r="G475" s="138" t="e">
        <f>IF(A475&lt;&gt;"",IF(AND(#REF!="Padrão",$H$4=#REF!),BDI!$B$17,IF(AND(#REF!="Padrão",$H$4=#REF!),BDI!#REF!,IF(AND(#REF!="Diferenciado",$H$4=#REF!),BDI!$E$17,IF(AND(#REF!="Diferenciado",$H$4=#REF!),BDI!#REF!,IF(#REF!="ZERO",0))))),"")</f>
        <v>#REF!</v>
      </c>
      <c r="H475" s="139" t="e">
        <f t="shared" ca="1" si="77"/>
        <v>#REF!</v>
      </c>
      <c r="I475" s="137" t="e">
        <f t="shared" ca="1" si="78"/>
        <v>#REF!</v>
      </c>
      <c r="J475" s="117"/>
      <c r="K475" s="116">
        <v>0</v>
      </c>
      <c r="M475" s="136" t="e">
        <f ca="1">OFFSET(INDEX([1]Composições!I:R,MATCH([1]Orçamentária!I475,[1]Composições!I:I,0),8),2,0)</f>
        <v>#REF!</v>
      </c>
      <c r="N475" t="e">
        <v>#REF!</v>
      </c>
      <c r="Q475" t="e">
        <v>#REF!</v>
      </c>
    </row>
    <row r="476" spans="1:17" hidden="1" x14ac:dyDescent="0.25">
      <c r="A476" s="114" t="s">
        <v>1762</v>
      </c>
      <c r="B476" s="115" t="s">
        <v>1763</v>
      </c>
      <c r="C476" s="116" t="s">
        <v>70</v>
      </c>
      <c r="D476" s="116">
        <v>0</v>
      </c>
      <c r="E476" s="136">
        <f ca="1">OFFSET(INDEX(Composições!A:J,MATCH(Orçamentária!A476,Composições!A:A,0),8),2,0)</f>
        <v>56.667499999999997</v>
      </c>
      <c r="F476" s="137">
        <f t="shared" ca="1" si="76"/>
        <v>0</v>
      </c>
      <c r="G476" s="138" t="e">
        <f>IF(A476&lt;&gt;"",IF(AND(#REF!="Padrão",$H$4=#REF!),BDI!$B$17,IF(AND(#REF!="Padrão",$H$4=#REF!),BDI!#REF!,IF(AND(#REF!="Diferenciado",$H$4=#REF!),BDI!$E$17,IF(AND(#REF!="Diferenciado",$H$4=#REF!),BDI!#REF!,IF(#REF!="ZERO",0))))),"")</f>
        <v>#REF!</v>
      </c>
      <c r="H476" s="139" t="e">
        <f t="shared" ca="1" si="77"/>
        <v>#REF!</v>
      </c>
      <c r="I476" s="137" t="e">
        <f t="shared" ca="1" si="78"/>
        <v>#REF!</v>
      </c>
      <c r="J476" s="117"/>
      <c r="K476" s="116">
        <v>0</v>
      </c>
      <c r="M476" s="136" t="e">
        <f ca="1">OFFSET(INDEX([1]Composições!I:R,MATCH([1]Orçamentária!I476,[1]Composições!I:I,0),8),2,0)</f>
        <v>#REF!</v>
      </c>
      <c r="N476" t="e">
        <v>#REF!</v>
      </c>
      <c r="Q476" t="e">
        <v>#REF!</v>
      </c>
    </row>
    <row r="477" spans="1:17" hidden="1" x14ac:dyDescent="0.25">
      <c r="A477" s="114" t="s">
        <v>1764</v>
      </c>
      <c r="B477" s="115" t="s">
        <v>1765</v>
      </c>
      <c r="C477" s="116" t="s">
        <v>70</v>
      </c>
      <c r="D477" s="116">
        <v>0</v>
      </c>
      <c r="E477" s="136">
        <f ca="1">OFFSET(INDEX(Composições!A:J,MATCH(Orçamentária!A477,Composições!A:A,0),8),2,0)</f>
        <v>56.667499999999997</v>
      </c>
      <c r="F477" s="137">
        <f t="shared" ca="1" si="76"/>
        <v>0</v>
      </c>
      <c r="G477" s="138" t="e">
        <f>IF(A477&lt;&gt;"",IF(AND(#REF!="Padrão",$H$4=#REF!),BDI!$B$17,IF(AND(#REF!="Padrão",$H$4=#REF!),BDI!#REF!,IF(AND(#REF!="Diferenciado",$H$4=#REF!),BDI!$E$17,IF(AND(#REF!="Diferenciado",$H$4=#REF!),BDI!#REF!,IF(#REF!="ZERO",0))))),"")</f>
        <v>#REF!</v>
      </c>
      <c r="H477" s="139" t="e">
        <f t="shared" ca="1" si="77"/>
        <v>#REF!</v>
      </c>
      <c r="I477" s="137" t="e">
        <f t="shared" ca="1" si="78"/>
        <v>#REF!</v>
      </c>
      <c r="J477" s="117"/>
      <c r="K477" s="116">
        <v>0</v>
      </c>
      <c r="M477" s="136" t="e">
        <f ca="1">OFFSET(INDEX([1]Composições!I:R,MATCH([1]Orçamentária!I477,[1]Composições!I:I,0),8),2,0)</f>
        <v>#REF!</v>
      </c>
      <c r="N477" t="e">
        <v>#REF!</v>
      </c>
      <c r="Q477" t="e">
        <v>#REF!</v>
      </c>
    </row>
    <row r="478" spans="1:17" hidden="1" x14ac:dyDescent="0.25">
      <c r="A478" s="114" t="s">
        <v>1766</v>
      </c>
      <c r="B478" s="115" t="s">
        <v>3262</v>
      </c>
      <c r="C478" s="116" t="s">
        <v>70</v>
      </c>
      <c r="D478" s="116">
        <v>0</v>
      </c>
      <c r="E478" s="136" t="s">
        <v>416</v>
      </c>
      <c r="F478" s="137" t="str">
        <f t="shared" si="76"/>
        <v/>
      </c>
      <c r="G478" s="138" t="e">
        <f>IF(A478&lt;&gt;"",IF(AND(#REF!="Padrão",$H$4=#REF!),BDI!$B$17,IF(AND(#REF!="Padrão",$H$4=#REF!),BDI!#REF!,IF(AND(#REF!="Diferenciado",$H$4=#REF!),BDI!$E$17,IF(AND(#REF!="Diferenciado",$H$4=#REF!),BDI!#REF!,IF(#REF!="ZERO",0))))),"")</f>
        <v>#REF!</v>
      </c>
      <c r="H478" s="139" t="str">
        <f t="shared" si="77"/>
        <v/>
      </c>
      <c r="I478" s="137" t="str">
        <f t="shared" si="78"/>
        <v/>
      </c>
      <c r="J478" s="117"/>
      <c r="K478" s="116">
        <v>0</v>
      </c>
      <c r="M478" s="136" t="s">
        <v>416</v>
      </c>
      <c r="N478" t="e">
        <v>#REF!</v>
      </c>
      <c r="Q478" t="s">
        <v>416</v>
      </c>
    </row>
    <row r="479" spans="1:17" hidden="1" x14ac:dyDescent="0.25">
      <c r="A479" s="114" t="s">
        <v>1767</v>
      </c>
      <c r="B479" s="115" t="s">
        <v>1768</v>
      </c>
      <c r="C479" s="116" t="s">
        <v>70</v>
      </c>
      <c r="D479" s="116">
        <v>0</v>
      </c>
      <c r="E479" s="136" t="s">
        <v>416</v>
      </c>
      <c r="F479" s="137" t="str">
        <f t="shared" si="76"/>
        <v/>
      </c>
      <c r="G479" s="138" t="e">
        <f>IF(A479&lt;&gt;"",IF(AND(#REF!="Padrão",$H$4=#REF!),BDI!$B$17,IF(AND(#REF!="Padrão",$H$4=#REF!),BDI!#REF!,IF(AND(#REF!="Diferenciado",$H$4=#REF!),BDI!$E$17,IF(AND(#REF!="Diferenciado",$H$4=#REF!),BDI!#REF!,IF(#REF!="ZERO",0))))),"")</f>
        <v>#REF!</v>
      </c>
      <c r="H479" s="139" t="str">
        <f t="shared" si="77"/>
        <v/>
      </c>
      <c r="I479" s="137" t="str">
        <f t="shared" si="78"/>
        <v/>
      </c>
      <c r="J479" s="117"/>
      <c r="K479" s="116">
        <v>0</v>
      </c>
      <c r="M479" s="136" t="s">
        <v>416</v>
      </c>
      <c r="N479" t="e">
        <v>#REF!</v>
      </c>
      <c r="Q479" t="s">
        <v>416</v>
      </c>
    </row>
    <row r="480" spans="1:17" hidden="1" x14ac:dyDescent="0.25">
      <c r="A480" s="114" t="s">
        <v>1769</v>
      </c>
      <c r="B480" s="115" t="s">
        <v>1770</v>
      </c>
      <c r="C480" s="116" t="s">
        <v>70</v>
      </c>
      <c r="D480" s="116">
        <v>0</v>
      </c>
      <c r="E480" s="136" t="s">
        <v>416</v>
      </c>
      <c r="F480" s="137" t="str">
        <f t="shared" si="76"/>
        <v/>
      </c>
      <c r="G480" s="138" t="e">
        <f>IF(A480&lt;&gt;"",IF(AND(#REF!="Padrão",$H$4=#REF!),BDI!$B$17,IF(AND(#REF!="Padrão",$H$4=#REF!),BDI!#REF!,IF(AND(#REF!="Diferenciado",$H$4=#REF!),BDI!$E$17,IF(AND(#REF!="Diferenciado",$H$4=#REF!),BDI!#REF!,IF(#REF!="ZERO",0))))),"")</f>
        <v>#REF!</v>
      </c>
      <c r="H480" s="139" t="str">
        <f t="shared" si="77"/>
        <v/>
      </c>
      <c r="I480" s="137" t="str">
        <f t="shared" si="78"/>
        <v/>
      </c>
      <c r="J480" s="117"/>
      <c r="K480" s="116">
        <v>0</v>
      </c>
      <c r="M480" s="136" t="s">
        <v>416</v>
      </c>
      <c r="N480" t="e">
        <v>#REF!</v>
      </c>
      <c r="Q480" t="s">
        <v>416</v>
      </c>
    </row>
    <row r="481" spans="1:17" hidden="1" x14ac:dyDescent="0.25">
      <c r="A481" s="114" t="s">
        <v>1771</v>
      </c>
      <c r="B481" s="115" t="s">
        <v>1772</v>
      </c>
      <c r="C481" s="116" t="s">
        <v>70</v>
      </c>
      <c r="D481" s="116">
        <v>0</v>
      </c>
      <c r="E481" s="136" t="s">
        <v>416</v>
      </c>
      <c r="F481" s="137" t="str">
        <f t="shared" si="76"/>
        <v/>
      </c>
      <c r="G481" s="138" t="e">
        <f>IF(A481&lt;&gt;"",IF(AND(#REF!="Padrão",$H$4=#REF!),BDI!$B$17,IF(AND(#REF!="Padrão",$H$4=#REF!),BDI!#REF!,IF(AND(#REF!="Diferenciado",$H$4=#REF!),BDI!$E$17,IF(AND(#REF!="Diferenciado",$H$4=#REF!),BDI!#REF!,IF(#REF!="ZERO",0))))),"")</f>
        <v>#REF!</v>
      </c>
      <c r="H481" s="139" t="str">
        <f t="shared" si="77"/>
        <v/>
      </c>
      <c r="I481" s="137" t="str">
        <f t="shared" si="78"/>
        <v/>
      </c>
      <c r="J481" s="117"/>
      <c r="K481" s="116">
        <v>0</v>
      </c>
      <c r="M481" s="136" t="s">
        <v>416</v>
      </c>
      <c r="N481" t="e">
        <v>#REF!</v>
      </c>
      <c r="Q481" t="s">
        <v>416</v>
      </c>
    </row>
    <row r="482" spans="1:17" hidden="1" x14ac:dyDescent="0.25">
      <c r="A482" s="114" t="s">
        <v>1773</v>
      </c>
      <c r="B482" s="115" t="s">
        <v>1774</v>
      </c>
      <c r="C482" s="116" t="s">
        <v>70</v>
      </c>
      <c r="D482" s="116">
        <v>0</v>
      </c>
      <c r="E482" s="136" t="s">
        <v>416</v>
      </c>
      <c r="F482" s="137" t="str">
        <f t="shared" si="76"/>
        <v/>
      </c>
      <c r="G482" s="138" t="e">
        <f>IF(A482&lt;&gt;"",IF(AND(#REF!="Padrão",$H$4=#REF!),BDI!$B$17,IF(AND(#REF!="Padrão",$H$4=#REF!),BDI!#REF!,IF(AND(#REF!="Diferenciado",$H$4=#REF!),BDI!$E$17,IF(AND(#REF!="Diferenciado",$H$4=#REF!),BDI!#REF!,IF(#REF!="ZERO",0))))),"")</f>
        <v>#REF!</v>
      </c>
      <c r="H482" s="139" t="str">
        <f t="shared" si="77"/>
        <v/>
      </c>
      <c r="I482" s="137" t="str">
        <f t="shared" si="78"/>
        <v/>
      </c>
      <c r="J482" s="117"/>
      <c r="K482" s="116">
        <v>0</v>
      </c>
      <c r="M482" s="136" t="s">
        <v>416</v>
      </c>
      <c r="N482" t="e">
        <v>#REF!</v>
      </c>
      <c r="Q482" t="s">
        <v>416</v>
      </c>
    </row>
    <row r="483" spans="1:17" hidden="1" x14ac:dyDescent="0.25">
      <c r="A483" s="114" t="s">
        <v>1775</v>
      </c>
      <c r="B483" s="115" t="s">
        <v>1776</v>
      </c>
      <c r="C483" s="116" t="s">
        <v>70</v>
      </c>
      <c r="D483" s="116">
        <v>0</v>
      </c>
      <c r="E483" s="136" t="s">
        <v>416</v>
      </c>
      <c r="F483" s="137" t="str">
        <f t="shared" si="76"/>
        <v/>
      </c>
      <c r="G483" s="138" t="e">
        <f>IF(A483&lt;&gt;"",IF(AND(#REF!="Padrão",$H$4=#REF!),BDI!$B$17,IF(AND(#REF!="Padrão",$H$4=#REF!),BDI!#REF!,IF(AND(#REF!="Diferenciado",$H$4=#REF!),BDI!$E$17,IF(AND(#REF!="Diferenciado",$H$4=#REF!),BDI!#REF!,IF(#REF!="ZERO",0))))),"")</f>
        <v>#REF!</v>
      </c>
      <c r="H483" s="139" t="str">
        <f t="shared" si="77"/>
        <v/>
      </c>
      <c r="I483" s="137" t="str">
        <f t="shared" si="78"/>
        <v/>
      </c>
      <c r="J483" s="117"/>
      <c r="K483" s="116">
        <v>0</v>
      </c>
      <c r="M483" s="136" t="s">
        <v>416</v>
      </c>
      <c r="N483" t="e">
        <v>#REF!</v>
      </c>
      <c r="Q483" t="s">
        <v>416</v>
      </c>
    </row>
    <row r="484" spans="1:17" hidden="1" x14ac:dyDescent="0.25">
      <c r="A484" s="114" t="s">
        <v>1777</v>
      </c>
      <c r="B484" s="115" t="s">
        <v>1778</v>
      </c>
      <c r="C484" s="116" t="s">
        <v>70</v>
      </c>
      <c r="D484" s="116">
        <v>0</v>
      </c>
      <c r="E484" s="136" t="s">
        <v>416</v>
      </c>
      <c r="F484" s="137" t="str">
        <f t="shared" si="76"/>
        <v/>
      </c>
      <c r="G484" s="138" t="e">
        <f>IF(A484&lt;&gt;"",IF(AND(#REF!="Padrão",$H$4=#REF!),BDI!$B$17,IF(AND(#REF!="Padrão",$H$4=#REF!),BDI!#REF!,IF(AND(#REF!="Diferenciado",$H$4=#REF!),BDI!$E$17,IF(AND(#REF!="Diferenciado",$H$4=#REF!),BDI!#REF!,IF(#REF!="ZERO",0))))),"")</f>
        <v>#REF!</v>
      </c>
      <c r="H484" s="139" t="str">
        <f t="shared" si="77"/>
        <v/>
      </c>
      <c r="I484" s="137" t="str">
        <f t="shared" si="78"/>
        <v/>
      </c>
      <c r="J484" s="117"/>
      <c r="K484" s="116">
        <v>0</v>
      </c>
      <c r="M484" s="136" t="s">
        <v>416</v>
      </c>
      <c r="N484" t="e">
        <v>#REF!</v>
      </c>
      <c r="Q484" t="s">
        <v>416</v>
      </c>
    </row>
    <row r="485" spans="1:17" hidden="1" x14ac:dyDescent="0.25">
      <c r="A485" s="114" t="s">
        <v>1779</v>
      </c>
      <c r="B485" s="115" t="s">
        <v>1780</v>
      </c>
      <c r="C485" s="116" t="s">
        <v>70</v>
      </c>
      <c r="D485" s="116">
        <v>0</v>
      </c>
      <c r="E485" s="136" t="s">
        <v>416</v>
      </c>
      <c r="F485" s="137" t="str">
        <f t="shared" si="76"/>
        <v/>
      </c>
      <c r="G485" s="138" t="e">
        <f>IF(A485&lt;&gt;"",IF(AND(#REF!="Padrão",$H$4=#REF!),BDI!$B$17,IF(AND(#REF!="Padrão",$H$4=#REF!),BDI!#REF!,IF(AND(#REF!="Diferenciado",$H$4=#REF!),BDI!$E$17,IF(AND(#REF!="Diferenciado",$H$4=#REF!),BDI!#REF!,IF(#REF!="ZERO",0))))),"")</f>
        <v>#REF!</v>
      </c>
      <c r="H485" s="139" t="str">
        <f t="shared" si="77"/>
        <v/>
      </c>
      <c r="I485" s="137" t="str">
        <f t="shared" si="78"/>
        <v/>
      </c>
      <c r="J485" s="117"/>
      <c r="K485" s="116">
        <v>0</v>
      </c>
      <c r="M485" s="136" t="s">
        <v>416</v>
      </c>
      <c r="N485" t="e">
        <v>#REF!</v>
      </c>
      <c r="Q485" t="s">
        <v>416</v>
      </c>
    </row>
    <row r="486" spans="1:17" hidden="1" x14ac:dyDescent="0.25">
      <c r="A486" s="114" t="s">
        <v>1781</v>
      </c>
      <c r="B486" s="115" t="s">
        <v>3259</v>
      </c>
      <c r="C486" s="116" t="s">
        <v>70</v>
      </c>
      <c r="D486" s="116">
        <v>0</v>
      </c>
      <c r="E486" s="136" t="s">
        <v>416</v>
      </c>
      <c r="F486" s="137" t="str">
        <f t="shared" si="76"/>
        <v/>
      </c>
      <c r="G486" s="138" t="e">
        <f>IF(A486&lt;&gt;"",IF(AND(#REF!="Padrão",$H$4=#REF!),BDI!$B$17,IF(AND(#REF!="Padrão",$H$4=#REF!),BDI!#REF!,IF(AND(#REF!="Diferenciado",$H$4=#REF!),BDI!$E$17,IF(AND(#REF!="Diferenciado",$H$4=#REF!),BDI!#REF!,IF(#REF!="ZERO",0))))),"")</f>
        <v>#REF!</v>
      </c>
      <c r="H486" s="139" t="str">
        <f t="shared" si="77"/>
        <v/>
      </c>
      <c r="I486" s="137" t="str">
        <f t="shared" si="78"/>
        <v/>
      </c>
      <c r="J486" s="117"/>
      <c r="K486" s="116">
        <v>0</v>
      </c>
      <c r="M486" s="136" t="s">
        <v>416</v>
      </c>
      <c r="N486" t="e">
        <v>#REF!</v>
      </c>
      <c r="Q486" t="s">
        <v>416</v>
      </c>
    </row>
    <row r="487" spans="1:17" hidden="1" x14ac:dyDescent="0.25">
      <c r="A487" s="114" t="s">
        <v>1782</v>
      </c>
      <c r="B487" s="115" t="s">
        <v>1783</v>
      </c>
      <c r="C487" s="116" t="s">
        <v>70</v>
      </c>
      <c r="D487" s="116">
        <v>0</v>
      </c>
      <c r="E487" s="136" t="s">
        <v>416</v>
      </c>
      <c r="F487" s="137" t="str">
        <f t="shared" si="76"/>
        <v/>
      </c>
      <c r="G487" s="138" t="e">
        <f>IF(A487&lt;&gt;"",IF(AND(#REF!="Padrão",$H$4=#REF!),BDI!$B$17,IF(AND(#REF!="Padrão",$H$4=#REF!),BDI!#REF!,IF(AND(#REF!="Diferenciado",$H$4=#REF!),BDI!$E$17,IF(AND(#REF!="Diferenciado",$H$4=#REF!),BDI!#REF!,IF(#REF!="ZERO",0))))),"")</f>
        <v>#REF!</v>
      </c>
      <c r="H487" s="139" t="str">
        <f t="shared" si="77"/>
        <v/>
      </c>
      <c r="I487" s="137" t="str">
        <f t="shared" si="78"/>
        <v/>
      </c>
      <c r="J487" s="117"/>
      <c r="K487" s="116">
        <v>0</v>
      </c>
      <c r="M487" s="136" t="s">
        <v>416</v>
      </c>
      <c r="N487" t="e">
        <v>#REF!</v>
      </c>
      <c r="Q487" t="s">
        <v>416</v>
      </c>
    </row>
    <row r="488" spans="1:17" hidden="1" x14ac:dyDescent="0.25">
      <c r="A488" s="114" t="s">
        <v>1784</v>
      </c>
      <c r="B488" s="115" t="s">
        <v>1785</v>
      </c>
      <c r="C488" s="116" t="s">
        <v>70</v>
      </c>
      <c r="D488" s="116">
        <v>0</v>
      </c>
      <c r="E488" s="136" t="s">
        <v>416</v>
      </c>
      <c r="F488" s="137" t="str">
        <f t="shared" si="76"/>
        <v/>
      </c>
      <c r="G488" s="138" t="e">
        <f>IF(A488&lt;&gt;"",IF(AND(#REF!="Padrão",$H$4=#REF!),BDI!$B$17,IF(AND(#REF!="Padrão",$H$4=#REF!),BDI!#REF!,IF(AND(#REF!="Diferenciado",$H$4=#REF!),BDI!$E$17,IF(AND(#REF!="Diferenciado",$H$4=#REF!),BDI!#REF!,IF(#REF!="ZERO",0))))),"")</f>
        <v>#REF!</v>
      </c>
      <c r="H488" s="139" t="str">
        <f t="shared" si="77"/>
        <v/>
      </c>
      <c r="I488" s="137" t="str">
        <f t="shared" si="78"/>
        <v/>
      </c>
      <c r="J488" s="117"/>
      <c r="K488" s="116">
        <v>0</v>
      </c>
      <c r="M488" s="136" t="s">
        <v>416</v>
      </c>
      <c r="N488" t="e">
        <v>#REF!</v>
      </c>
      <c r="Q488" t="s">
        <v>416</v>
      </c>
    </row>
    <row r="489" spans="1:17" hidden="1" x14ac:dyDescent="0.25">
      <c r="A489" s="114" t="s">
        <v>1786</v>
      </c>
      <c r="B489" s="115" t="s">
        <v>1787</v>
      </c>
      <c r="C489" s="116" t="s">
        <v>70</v>
      </c>
      <c r="D489" s="116">
        <v>0</v>
      </c>
      <c r="E489" s="136" t="s">
        <v>416</v>
      </c>
      <c r="F489" s="137" t="str">
        <f t="shared" si="76"/>
        <v/>
      </c>
      <c r="G489" s="138" t="e">
        <f>IF(A489&lt;&gt;"",IF(AND(#REF!="Padrão",$H$4=#REF!),BDI!$B$17,IF(AND(#REF!="Padrão",$H$4=#REF!),BDI!#REF!,IF(AND(#REF!="Diferenciado",$H$4=#REF!),BDI!$E$17,IF(AND(#REF!="Diferenciado",$H$4=#REF!),BDI!#REF!,IF(#REF!="ZERO",0))))),"")</f>
        <v>#REF!</v>
      </c>
      <c r="H489" s="139" t="str">
        <f t="shared" si="77"/>
        <v/>
      </c>
      <c r="I489" s="137" t="str">
        <f t="shared" si="78"/>
        <v/>
      </c>
      <c r="J489" s="117"/>
      <c r="K489" s="116">
        <v>0</v>
      </c>
      <c r="M489" s="136" t="s">
        <v>416</v>
      </c>
      <c r="N489" t="e">
        <v>#REF!</v>
      </c>
      <c r="Q489" t="s">
        <v>416</v>
      </c>
    </row>
    <row r="490" spans="1:17" hidden="1" x14ac:dyDescent="0.25">
      <c r="A490" s="114" t="s">
        <v>1788</v>
      </c>
      <c r="B490" s="115" t="s">
        <v>1789</v>
      </c>
      <c r="C490" s="116" t="s">
        <v>70</v>
      </c>
      <c r="D490" s="116">
        <v>0</v>
      </c>
      <c r="E490" s="136" t="s">
        <v>416</v>
      </c>
      <c r="F490" s="137" t="str">
        <f t="shared" si="76"/>
        <v/>
      </c>
      <c r="G490" s="138" t="e">
        <f>IF(A490&lt;&gt;"",IF(AND(#REF!="Padrão",$H$4=#REF!),BDI!$B$17,IF(AND(#REF!="Padrão",$H$4=#REF!),BDI!#REF!,IF(AND(#REF!="Diferenciado",$H$4=#REF!),BDI!$E$17,IF(AND(#REF!="Diferenciado",$H$4=#REF!),BDI!#REF!,IF(#REF!="ZERO",0))))),"")</f>
        <v>#REF!</v>
      </c>
      <c r="H490" s="139" t="str">
        <f t="shared" si="77"/>
        <v/>
      </c>
      <c r="I490" s="137" t="str">
        <f t="shared" si="78"/>
        <v/>
      </c>
      <c r="J490" s="117"/>
      <c r="K490" s="116">
        <v>0</v>
      </c>
      <c r="M490" s="136" t="s">
        <v>416</v>
      </c>
      <c r="N490" t="e">
        <v>#REF!</v>
      </c>
      <c r="Q490" t="s">
        <v>416</v>
      </c>
    </row>
    <row r="491" spans="1:17" hidden="1" x14ac:dyDescent="0.25">
      <c r="A491" s="114" t="s">
        <v>1790</v>
      </c>
      <c r="B491" s="115" t="s">
        <v>1791</v>
      </c>
      <c r="C491" s="116" t="s">
        <v>80</v>
      </c>
      <c r="D491" s="116">
        <v>0</v>
      </c>
      <c r="E491" s="136" t="s">
        <v>416</v>
      </c>
      <c r="F491" s="137" t="str">
        <f t="shared" si="76"/>
        <v/>
      </c>
      <c r="G491" s="138" t="e">
        <f>IF(A491&lt;&gt;"",IF(AND(#REF!="Padrão",$H$4=#REF!),BDI!$B$17,IF(AND(#REF!="Padrão",$H$4=#REF!),BDI!#REF!,IF(AND(#REF!="Diferenciado",$H$4=#REF!),BDI!$E$17,IF(AND(#REF!="Diferenciado",$H$4=#REF!),BDI!#REF!,IF(#REF!="ZERO",0))))),"")</f>
        <v>#REF!</v>
      </c>
      <c r="H491" s="139" t="str">
        <f t="shared" si="77"/>
        <v/>
      </c>
      <c r="I491" s="137" t="str">
        <f t="shared" si="78"/>
        <v/>
      </c>
      <c r="J491" s="117"/>
      <c r="K491" s="116">
        <v>0</v>
      </c>
      <c r="M491" s="136" t="s">
        <v>416</v>
      </c>
      <c r="N491" t="e">
        <v>#REF!</v>
      </c>
      <c r="Q491" t="s">
        <v>416</v>
      </c>
    </row>
    <row r="492" spans="1:17" hidden="1" x14ac:dyDescent="0.25">
      <c r="A492" s="114" t="s">
        <v>1792</v>
      </c>
      <c r="B492" s="115" t="s">
        <v>1793</v>
      </c>
      <c r="C492" s="116" t="s">
        <v>80</v>
      </c>
      <c r="D492" s="116">
        <v>0</v>
      </c>
      <c r="E492" s="136" t="s">
        <v>416</v>
      </c>
      <c r="F492" s="137" t="str">
        <f t="shared" si="76"/>
        <v/>
      </c>
      <c r="G492" s="138" t="e">
        <f>IF(A492&lt;&gt;"",IF(AND(#REF!="Padrão",$H$4=#REF!),BDI!$B$17,IF(AND(#REF!="Padrão",$H$4=#REF!),BDI!#REF!,IF(AND(#REF!="Diferenciado",$H$4=#REF!),BDI!$E$17,IF(AND(#REF!="Diferenciado",$H$4=#REF!),BDI!#REF!,IF(#REF!="ZERO",0))))),"")</f>
        <v>#REF!</v>
      </c>
      <c r="H492" s="139" t="str">
        <f t="shared" si="77"/>
        <v/>
      </c>
      <c r="I492" s="137" t="str">
        <f t="shared" si="78"/>
        <v/>
      </c>
      <c r="J492" s="117"/>
      <c r="K492" s="116">
        <v>0</v>
      </c>
      <c r="M492" s="136" t="s">
        <v>416</v>
      </c>
      <c r="N492" t="e">
        <v>#REF!</v>
      </c>
      <c r="Q492" t="s">
        <v>416</v>
      </c>
    </row>
    <row r="493" spans="1:17" hidden="1" x14ac:dyDescent="0.25">
      <c r="A493" s="114" t="s">
        <v>1794</v>
      </c>
      <c r="B493" s="115" t="s">
        <v>1795</v>
      </c>
      <c r="C493" s="116" t="s">
        <v>80</v>
      </c>
      <c r="D493" s="116">
        <v>0</v>
      </c>
      <c r="E493" s="136" t="s">
        <v>416</v>
      </c>
      <c r="F493" s="137" t="str">
        <f t="shared" si="76"/>
        <v/>
      </c>
      <c r="G493" s="138" t="e">
        <f>IF(A493&lt;&gt;"",IF(AND(#REF!="Padrão",$H$4=#REF!),BDI!$B$17,IF(AND(#REF!="Padrão",$H$4=#REF!),BDI!#REF!,IF(AND(#REF!="Diferenciado",$H$4=#REF!),BDI!$E$17,IF(AND(#REF!="Diferenciado",$H$4=#REF!),BDI!#REF!,IF(#REF!="ZERO",0))))),"")</f>
        <v>#REF!</v>
      </c>
      <c r="H493" s="139" t="str">
        <f t="shared" si="77"/>
        <v/>
      </c>
      <c r="I493" s="137" t="str">
        <f t="shared" si="78"/>
        <v/>
      </c>
      <c r="J493" s="117"/>
      <c r="K493" s="116">
        <v>0</v>
      </c>
      <c r="M493" s="136" t="s">
        <v>416</v>
      </c>
      <c r="N493" t="e">
        <v>#REF!</v>
      </c>
      <c r="Q493" t="s">
        <v>416</v>
      </c>
    </row>
    <row r="494" spans="1:17" hidden="1" x14ac:dyDescent="0.25">
      <c r="A494" s="114" t="s">
        <v>1796</v>
      </c>
      <c r="B494" s="115" t="s">
        <v>1797</v>
      </c>
      <c r="C494" s="116" t="s">
        <v>80</v>
      </c>
      <c r="D494" s="116">
        <v>0</v>
      </c>
      <c r="E494" s="136">
        <f ca="1">OFFSET(INDEX(Composições!A:J,MATCH(Orçamentária!A494,Composições!A:A,0),8),2,0)</f>
        <v>1811.3333333333335</v>
      </c>
      <c r="F494" s="137">
        <f t="shared" ca="1" si="76"/>
        <v>0</v>
      </c>
      <c r="G494" s="138" t="e">
        <f>IF(A494&lt;&gt;"",IF(AND(#REF!="Padrão",$H$4=#REF!),BDI!$B$17,IF(AND(#REF!="Padrão",$H$4=#REF!),BDI!#REF!,IF(AND(#REF!="Diferenciado",$H$4=#REF!),BDI!$E$17,IF(AND(#REF!="Diferenciado",$H$4=#REF!),BDI!#REF!,IF(#REF!="ZERO",0))))),"")</f>
        <v>#REF!</v>
      </c>
      <c r="H494" s="139" t="e">
        <f t="shared" ca="1" si="77"/>
        <v>#REF!</v>
      </c>
      <c r="I494" s="137" t="e">
        <f t="shared" ca="1" si="78"/>
        <v>#REF!</v>
      </c>
      <c r="J494" s="117"/>
      <c r="K494" s="116">
        <v>0</v>
      </c>
      <c r="M494" s="136" t="e">
        <f ca="1">OFFSET(INDEX([1]Composições!I:R,MATCH([1]Orçamentária!I494,[1]Composições!I:I,0),8),2,0)</f>
        <v>#REF!</v>
      </c>
      <c r="N494" t="e">
        <v>#REF!</v>
      </c>
      <c r="Q494" t="e">
        <v>#REF!</v>
      </c>
    </row>
    <row r="495" spans="1:17" hidden="1" x14ac:dyDescent="0.25">
      <c r="A495" s="114" t="s">
        <v>1798</v>
      </c>
      <c r="B495" s="115" t="s">
        <v>1799</v>
      </c>
      <c r="C495" s="116" t="s">
        <v>69</v>
      </c>
      <c r="D495" s="116">
        <v>0</v>
      </c>
      <c r="E495" s="136">
        <f ca="1">OFFSET(INDEX(Composições!A:J,MATCH(Orçamentária!A495,Composições!A:A,0),8),2,0)</f>
        <v>4.1514999999999995</v>
      </c>
      <c r="F495" s="137">
        <f t="shared" ca="1" si="76"/>
        <v>0</v>
      </c>
      <c r="G495" s="138" t="e">
        <f>IF(A495&lt;&gt;"",IF(AND(#REF!="Padrão",$H$4=#REF!),BDI!$B$17,IF(AND(#REF!="Padrão",$H$4=#REF!),BDI!#REF!,IF(AND(#REF!="Diferenciado",$H$4=#REF!),BDI!$E$17,IF(AND(#REF!="Diferenciado",$H$4=#REF!),BDI!#REF!,IF(#REF!="ZERO",0))))),"")</f>
        <v>#REF!</v>
      </c>
      <c r="H495" s="139" t="e">
        <f t="shared" ca="1" si="77"/>
        <v>#REF!</v>
      </c>
      <c r="I495" s="137" t="e">
        <f t="shared" ca="1" si="78"/>
        <v>#REF!</v>
      </c>
      <c r="J495" s="117"/>
      <c r="K495" s="116">
        <v>0</v>
      </c>
      <c r="M495" s="136" t="e">
        <f ca="1">OFFSET(INDEX([1]Composições!I:R,MATCH([1]Orçamentária!I495,[1]Composições!I:I,0),8),2,0)</f>
        <v>#REF!</v>
      </c>
      <c r="N495" t="e">
        <v>#REF!</v>
      </c>
      <c r="Q495" t="e">
        <v>#REF!</v>
      </c>
    </row>
    <row r="496" spans="1:17" hidden="1" x14ac:dyDescent="0.25">
      <c r="A496" s="114" t="s">
        <v>1800</v>
      </c>
      <c r="B496" s="115" t="s">
        <v>1801</v>
      </c>
      <c r="C496" s="116" t="s">
        <v>69</v>
      </c>
      <c r="D496" s="116">
        <v>0</v>
      </c>
      <c r="E496" s="136">
        <f ca="1">OFFSET(INDEX(Composições!A:J,MATCH(Orçamentária!A496,Composições!A:A,0),8),2,0)</f>
        <v>5.7664999999999997</v>
      </c>
      <c r="F496" s="137">
        <f t="shared" ca="1" si="76"/>
        <v>0</v>
      </c>
      <c r="G496" s="138" t="e">
        <f>IF(A496&lt;&gt;"",IF(AND(#REF!="Padrão",$H$4=#REF!),BDI!$B$17,IF(AND(#REF!="Padrão",$H$4=#REF!),BDI!#REF!,IF(AND(#REF!="Diferenciado",$H$4=#REF!),BDI!$E$17,IF(AND(#REF!="Diferenciado",$H$4=#REF!),BDI!#REF!,IF(#REF!="ZERO",0))))),"")</f>
        <v>#REF!</v>
      </c>
      <c r="H496" s="139" t="e">
        <f t="shared" ca="1" si="77"/>
        <v>#REF!</v>
      </c>
      <c r="I496" s="137" t="e">
        <f t="shared" ca="1" si="78"/>
        <v>#REF!</v>
      </c>
      <c r="J496" s="117"/>
      <c r="K496" s="116">
        <v>0</v>
      </c>
      <c r="M496" s="136" t="e">
        <f ca="1">OFFSET(INDEX([1]Composições!I:R,MATCH([1]Orçamentária!I496,[1]Composições!I:I,0),8),2,0)</f>
        <v>#REF!</v>
      </c>
      <c r="N496" t="e">
        <v>#REF!</v>
      </c>
      <c r="Q496" t="e">
        <v>#REF!</v>
      </c>
    </row>
    <row r="497" spans="1:17" hidden="1" x14ac:dyDescent="0.25">
      <c r="A497" s="114" t="s">
        <v>1802</v>
      </c>
      <c r="B497" s="115" t="s">
        <v>1803</v>
      </c>
      <c r="C497" s="116" t="s">
        <v>69</v>
      </c>
      <c r="D497" s="116">
        <v>0</v>
      </c>
      <c r="E497" s="136" t="s">
        <v>416</v>
      </c>
      <c r="F497" s="137" t="str">
        <f t="shared" si="76"/>
        <v/>
      </c>
      <c r="G497" s="138" t="e">
        <f>IF(A497&lt;&gt;"",IF(AND(#REF!="Padrão",$H$4=#REF!),BDI!$B$17,IF(AND(#REF!="Padrão",$H$4=#REF!),BDI!#REF!,IF(AND(#REF!="Diferenciado",$H$4=#REF!),BDI!$E$17,IF(AND(#REF!="Diferenciado",$H$4=#REF!),BDI!#REF!,IF(#REF!="ZERO",0))))),"")</f>
        <v>#REF!</v>
      </c>
      <c r="H497" s="139" t="str">
        <f t="shared" si="77"/>
        <v/>
      </c>
      <c r="I497" s="137" t="str">
        <f t="shared" si="78"/>
        <v/>
      </c>
      <c r="J497" s="117"/>
      <c r="K497" s="116">
        <v>0</v>
      </c>
      <c r="M497" s="136" t="s">
        <v>416</v>
      </c>
      <c r="N497" t="e">
        <v>#REF!</v>
      </c>
      <c r="Q497" t="s">
        <v>416</v>
      </c>
    </row>
    <row r="498" spans="1:17" hidden="1" x14ac:dyDescent="0.25">
      <c r="A498" s="114" t="s">
        <v>1804</v>
      </c>
      <c r="B498" s="115" t="s">
        <v>1805</v>
      </c>
      <c r="C498" s="116" t="s">
        <v>69</v>
      </c>
      <c r="D498" s="116">
        <v>0</v>
      </c>
      <c r="E498" s="136" t="s">
        <v>416</v>
      </c>
      <c r="F498" s="137" t="str">
        <f t="shared" si="76"/>
        <v/>
      </c>
      <c r="G498" s="138" t="e">
        <f>IF(A498&lt;&gt;"",IF(AND(#REF!="Padrão",$H$4=#REF!),BDI!$B$17,IF(AND(#REF!="Padrão",$H$4=#REF!),BDI!#REF!,IF(AND(#REF!="Diferenciado",$H$4=#REF!),BDI!$E$17,IF(AND(#REF!="Diferenciado",$H$4=#REF!),BDI!#REF!,IF(#REF!="ZERO",0))))),"")</f>
        <v>#REF!</v>
      </c>
      <c r="H498" s="139" t="str">
        <f t="shared" si="77"/>
        <v/>
      </c>
      <c r="I498" s="137" t="str">
        <f t="shared" si="78"/>
        <v/>
      </c>
      <c r="J498" s="117"/>
      <c r="K498" s="116">
        <v>0</v>
      </c>
      <c r="M498" s="136" t="s">
        <v>416</v>
      </c>
      <c r="N498" t="e">
        <v>#REF!</v>
      </c>
      <c r="Q498" t="s">
        <v>416</v>
      </c>
    </row>
    <row r="499" spans="1:17" hidden="1" x14ac:dyDescent="0.25">
      <c r="A499" s="114" t="s">
        <v>1806</v>
      </c>
      <c r="B499" s="115" t="s">
        <v>7622</v>
      </c>
      <c r="C499" s="116" t="s">
        <v>70</v>
      </c>
      <c r="D499" s="116">
        <v>0</v>
      </c>
      <c r="E499" s="136">
        <f ca="1">OFFSET(INDEX(Composições!A:J,MATCH(Orçamentária!A499,Composições!A:A,0),8),2,0)</f>
        <v>28.956</v>
      </c>
      <c r="F499" s="137">
        <f t="shared" ca="1" si="76"/>
        <v>0</v>
      </c>
      <c r="G499" s="138" t="e">
        <f>IF(A499&lt;&gt;"",IF(AND(#REF!="Padrão",$H$4=#REF!),BDI!$B$17,IF(AND(#REF!="Padrão",$H$4=#REF!),BDI!#REF!,IF(AND(#REF!="Diferenciado",$H$4=#REF!),BDI!$E$17,IF(AND(#REF!="Diferenciado",$H$4=#REF!),BDI!#REF!,IF(#REF!="ZERO",0))))),"")</f>
        <v>#REF!</v>
      </c>
      <c r="H499" s="139" t="e">
        <f t="shared" ca="1" si="77"/>
        <v>#REF!</v>
      </c>
      <c r="I499" s="137" t="e">
        <f t="shared" ca="1" si="78"/>
        <v>#REF!</v>
      </c>
      <c r="J499" s="117"/>
      <c r="K499" s="116">
        <v>0</v>
      </c>
      <c r="M499" s="136" t="e">
        <f ca="1">OFFSET(INDEX([1]Composições!I:R,MATCH([1]Orçamentária!I499,[1]Composições!I:I,0),8),2,0)</f>
        <v>#REF!</v>
      </c>
      <c r="N499" t="e">
        <v>#REF!</v>
      </c>
      <c r="Q499" t="e">
        <v>#REF!</v>
      </c>
    </row>
    <row r="500" spans="1:17" hidden="1" x14ac:dyDescent="0.25">
      <c r="A500" s="114" t="s">
        <v>1807</v>
      </c>
      <c r="B500" s="115" t="s">
        <v>7623</v>
      </c>
      <c r="C500" s="116" t="s">
        <v>70</v>
      </c>
      <c r="D500" s="116">
        <v>0</v>
      </c>
      <c r="E500" s="136" t="s">
        <v>416</v>
      </c>
      <c r="F500" s="137" t="str">
        <f t="shared" si="76"/>
        <v/>
      </c>
      <c r="G500" s="138" t="e">
        <f>IF(A500&lt;&gt;"",IF(AND(#REF!="Padrão",$H$4=#REF!),BDI!$B$17,IF(AND(#REF!="Padrão",$H$4=#REF!),BDI!#REF!,IF(AND(#REF!="Diferenciado",$H$4=#REF!),BDI!$E$17,IF(AND(#REF!="Diferenciado",$H$4=#REF!),BDI!#REF!,IF(#REF!="ZERO",0))))),"")</f>
        <v>#REF!</v>
      </c>
      <c r="H500" s="139" t="str">
        <f t="shared" si="77"/>
        <v/>
      </c>
      <c r="I500" s="137" t="str">
        <f t="shared" si="78"/>
        <v/>
      </c>
      <c r="J500" s="117"/>
      <c r="K500" s="116">
        <v>0</v>
      </c>
      <c r="M500" s="136" t="s">
        <v>416</v>
      </c>
      <c r="N500" t="e">
        <v>#REF!</v>
      </c>
      <c r="Q500" t="s">
        <v>416</v>
      </c>
    </row>
    <row r="501" spans="1:17" hidden="1" x14ac:dyDescent="0.25">
      <c r="A501" s="114" t="s">
        <v>1808</v>
      </c>
      <c r="B501" s="115" t="s">
        <v>7624</v>
      </c>
      <c r="C501" s="116" t="s">
        <v>70</v>
      </c>
      <c r="D501" s="116">
        <v>0</v>
      </c>
      <c r="E501" s="136">
        <f ca="1">OFFSET(INDEX(Composições!A:J,MATCH(Orçamentária!A501,Composições!A:A,0),8),2,0)</f>
        <v>45.438499999999998</v>
      </c>
      <c r="F501" s="137">
        <f t="shared" ca="1" si="76"/>
        <v>0</v>
      </c>
      <c r="G501" s="138" t="e">
        <f>IF(A501&lt;&gt;"",IF(AND(#REF!="Padrão",$H$4=#REF!),BDI!$B$17,IF(AND(#REF!="Padrão",$H$4=#REF!),BDI!#REF!,IF(AND(#REF!="Diferenciado",$H$4=#REF!),BDI!$E$17,IF(AND(#REF!="Diferenciado",$H$4=#REF!),BDI!#REF!,IF(#REF!="ZERO",0))))),"")</f>
        <v>#REF!</v>
      </c>
      <c r="H501" s="139" t="e">
        <f t="shared" ca="1" si="77"/>
        <v>#REF!</v>
      </c>
      <c r="I501" s="137" t="e">
        <f t="shared" ca="1" si="78"/>
        <v>#REF!</v>
      </c>
      <c r="J501" s="117"/>
      <c r="K501" s="116">
        <v>0</v>
      </c>
      <c r="M501" s="136" t="e">
        <f ca="1">OFFSET(INDEX([1]Composições!I:R,MATCH([1]Orçamentária!I501,[1]Composições!I:I,0),8),2,0)</f>
        <v>#REF!</v>
      </c>
      <c r="N501" t="e">
        <v>#REF!</v>
      </c>
      <c r="Q501" t="e">
        <v>#REF!</v>
      </c>
    </row>
    <row r="502" spans="1:17" hidden="1" x14ac:dyDescent="0.25">
      <c r="A502" s="114" t="s">
        <v>1809</v>
      </c>
      <c r="B502" s="115" t="s">
        <v>7625</v>
      </c>
      <c r="C502" s="116" t="s">
        <v>70</v>
      </c>
      <c r="D502" s="116">
        <v>0</v>
      </c>
      <c r="E502" s="136" t="s">
        <v>416</v>
      </c>
      <c r="F502" s="137" t="str">
        <f t="shared" si="76"/>
        <v/>
      </c>
      <c r="G502" s="138" t="e">
        <f>IF(A502&lt;&gt;"",IF(AND(#REF!="Padrão",$H$4=#REF!),BDI!$B$17,IF(AND(#REF!="Padrão",$H$4=#REF!),BDI!#REF!,IF(AND(#REF!="Diferenciado",$H$4=#REF!),BDI!$E$17,IF(AND(#REF!="Diferenciado",$H$4=#REF!),BDI!#REF!,IF(#REF!="ZERO",0))))),"")</f>
        <v>#REF!</v>
      </c>
      <c r="H502" s="139" t="str">
        <f t="shared" si="77"/>
        <v/>
      </c>
      <c r="I502" s="137" t="str">
        <f t="shared" si="78"/>
        <v/>
      </c>
      <c r="J502" s="117"/>
      <c r="K502" s="116">
        <v>0</v>
      </c>
      <c r="M502" s="136" t="s">
        <v>416</v>
      </c>
      <c r="N502" t="e">
        <v>#REF!</v>
      </c>
      <c r="Q502" t="s">
        <v>416</v>
      </c>
    </row>
    <row r="503" spans="1:17" hidden="1" x14ac:dyDescent="0.25">
      <c r="A503" s="114" t="s">
        <v>1810</v>
      </c>
      <c r="B503" s="115" t="s">
        <v>7626</v>
      </c>
      <c r="C503" s="116" t="s">
        <v>70</v>
      </c>
      <c r="D503" s="116">
        <v>0</v>
      </c>
      <c r="E503" s="136">
        <f ca="1">OFFSET(INDEX(Composições!A:J,MATCH(Orçamentária!A503,Composições!A:A,0),8),2,0)</f>
        <v>56.401499999999992</v>
      </c>
      <c r="F503" s="137">
        <f t="shared" ca="1" si="76"/>
        <v>0</v>
      </c>
      <c r="G503" s="138" t="e">
        <f>IF(A503&lt;&gt;"",IF(AND(#REF!="Padrão",$H$4=#REF!),BDI!$B$17,IF(AND(#REF!="Padrão",$H$4=#REF!),BDI!#REF!,IF(AND(#REF!="Diferenciado",$H$4=#REF!),BDI!$E$17,IF(AND(#REF!="Diferenciado",$H$4=#REF!),BDI!#REF!,IF(#REF!="ZERO",0))))),"")</f>
        <v>#REF!</v>
      </c>
      <c r="H503" s="139" t="e">
        <f t="shared" ca="1" si="77"/>
        <v>#REF!</v>
      </c>
      <c r="I503" s="137" t="e">
        <f t="shared" ca="1" si="78"/>
        <v>#REF!</v>
      </c>
      <c r="J503" s="117"/>
      <c r="K503" s="116">
        <v>0</v>
      </c>
      <c r="M503" s="136" t="e">
        <f ca="1">OFFSET(INDEX([1]Composições!I:R,MATCH([1]Orçamentária!I503,[1]Composições!I:I,0),8),2,0)</f>
        <v>#REF!</v>
      </c>
      <c r="N503" t="e">
        <v>#REF!</v>
      </c>
      <c r="Q503" t="e">
        <v>#REF!</v>
      </c>
    </row>
    <row r="504" spans="1:17" hidden="1" x14ac:dyDescent="0.25">
      <c r="A504" s="114" t="s">
        <v>1811</v>
      </c>
      <c r="B504" s="115" t="s">
        <v>7627</v>
      </c>
      <c r="C504" s="116" t="s">
        <v>70</v>
      </c>
      <c r="D504" s="116">
        <v>0</v>
      </c>
      <c r="E504" s="136" t="s">
        <v>416</v>
      </c>
      <c r="F504" s="137" t="str">
        <f t="shared" si="76"/>
        <v/>
      </c>
      <c r="G504" s="138" t="e">
        <f>IF(A504&lt;&gt;"",IF(AND(#REF!="Padrão",$H$4=#REF!),BDI!$B$17,IF(AND(#REF!="Padrão",$H$4=#REF!),BDI!#REF!,IF(AND(#REF!="Diferenciado",$H$4=#REF!),BDI!$E$17,IF(AND(#REF!="Diferenciado",$H$4=#REF!),BDI!#REF!,IF(#REF!="ZERO",0))))),"")</f>
        <v>#REF!</v>
      </c>
      <c r="H504" s="139" t="str">
        <f t="shared" si="77"/>
        <v/>
      </c>
      <c r="I504" s="137" t="str">
        <f t="shared" si="78"/>
        <v/>
      </c>
      <c r="J504" s="117"/>
      <c r="K504" s="116">
        <v>0</v>
      </c>
      <c r="M504" s="136" t="s">
        <v>416</v>
      </c>
      <c r="N504" t="e">
        <v>#REF!</v>
      </c>
      <c r="Q504" t="s">
        <v>416</v>
      </c>
    </row>
    <row r="505" spans="1:17" hidden="1" x14ac:dyDescent="0.25">
      <c r="A505" s="114" t="s">
        <v>1812</v>
      </c>
      <c r="B505" s="115" t="s">
        <v>1813</v>
      </c>
      <c r="C505" s="116" t="s">
        <v>69</v>
      </c>
      <c r="D505" s="116">
        <v>0</v>
      </c>
      <c r="E505" s="136">
        <f ca="1">OFFSET(INDEX(Composições!A:J,MATCH(Orçamentária!A505,Composições!A:A,0),8),2,0)</f>
        <v>17.421099999999996</v>
      </c>
      <c r="F505" s="137">
        <f t="shared" ca="1" si="76"/>
        <v>0</v>
      </c>
      <c r="G505" s="138" t="e">
        <f>IF(A505&lt;&gt;"",IF(AND(#REF!="Padrão",$H$4=#REF!),BDI!$B$17,IF(AND(#REF!="Padrão",$H$4=#REF!),BDI!#REF!,IF(AND(#REF!="Diferenciado",$H$4=#REF!),BDI!$E$17,IF(AND(#REF!="Diferenciado",$H$4=#REF!),BDI!#REF!,IF(#REF!="ZERO",0))))),"")</f>
        <v>#REF!</v>
      </c>
      <c r="H505" s="139" t="e">
        <f t="shared" ca="1" si="77"/>
        <v>#REF!</v>
      </c>
      <c r="I505" s="137" t="e">
        <f t="shared" ca="1" si="78"/>
        <v>#REF!</v>
      </c>
      <c r="J505" s="117"/>
      <c r="K505" s="116">
        <v>0</v>
      </c>
      <c r="M505" s="136" t="e">
        <f ca="1">OFFSET(INDEX([1]Composições!I:R,MATCH([1]Orçamentária!I505,[1]Composições!I:I,0),8),2,0)</f>
        <v>#REF!</v>
      </c>
      <c r="N505" t="e">
        <v>#REF!</v>
      </c>
      <c r="Q505" t="e">
        <v>#REF!</v>
      </c>
    </row>
    <row r="506" spans="1:17" hidden="1" x14ac:dyDescent="0.25">
      <c r="A506" s="114" t="s">
        <v>1814</v>
      </c>
      <c r="B506" s="115" t="s">
        <v>1815</v>
      </c>
      <c r="C506" s="116" t="s">
        <v>69</v>
      </c>
      <c r="D506" s="116">
        <v>0</v>
      </c>
      <c r="E506" s="136">
        <f ca="1">OFFSET(INDEX(Composições!A:J,MATCH(Orçamentária!A506,Composições!A:A,0),8),2,0)</f>
        <v>22.154</v>
      </c>
      <c r="F506" s="137">
        <f t="shared" ca="1" si="76"/>
        <v>0</v>
      </c>
      <c r="G506" s="138" t="e">
        <f>IF(A506&lt;&gt;"",IF(AND(#REF!="Padrão",$H$4=#REF!),BDI!$B$17,IF(AND(#REF!="Padrão",$H$4=#REF!),BDI!#REF!,IF(AND(#REF!="Diferenciado",$H$4=#REF!),BDI!$E$17,IF(AND(#REF!="Diferenciado",$H$4=#REF!),BDI!#REF!,IF(#REF!="ZERO",0))))),"")</f>
        <v>#REF!</v>
      </c>
      <c r="H506" s="139" t="e">
        <f t="shared" ca="1" si="77"/>
        <v>#REF!</v>
      </c>
      <c r="I506" s="137" t="e">
        <f t="shared" ca="1" si="78"/>
        <v>#REF!</v>
      </c>
      <c r="J506" s="117"/>
      <c r="K506" s="116">
        <v>0</v>
      </c>
      <c r="M506" s="136" t="e">
        <f ca="1">OFFSET(INDEX([1]Composições!I:R,MATCH([1]Orçamentária!I506,[1]Composições!I:I,0),8),2,0)</f>
        <v>#REF!</v>
      </c>
      <c r="N506" t="e">
        <v>#REF!</v>
      </c>
      <c r="Q506" t="e">
        <v>#REF!</v>
      </c>
    </row>
    <row r="507" spans="1:17" hidden="1" x14ac:dyDescent="0.25">
      <c r="A507" s="114" t="s">
        <v>1816</v>
      </c>
      <c r="B507" s="115" t="s">
        <v>1817</v>
      </c>
      <c r="C507" s="116" t="s">
        <v>69</v>
      </c>
      <c r="D507" s="116">
        <v>0</v>
      </c>
      <c r="E507" s="136">
        <f ca="1">OFFSET(INDEX(Composições!A:J,MATCH(Orçamentária!A507,Composições!A:A,0),8),2,0)</f>
        <v>24.772199999999994</v>
      </c>
      <c r="F507" s="137">
        <f t="shared" ca="1" si="76"/>
        <v>0</v>
      </c>
      <c r="G507" s="138" t="e">
        <f>IF(A507&lt;&gt;"",IF(AND(#REF!="Padrão",$H$4=#REF!),BDI!$B$17,IF(AND(#REF!="Padrão",$H$4=#REF!),BDI!#REF!,IF(AND(#REF!="Diferenciado",$H$4=#REF!),BDI!$E$17,IF(AND(#REF!="Diferenciado",$H$4=#REF!),BDI!#REF!,IF(#REF!="ZERO",0))))),"")</f>
        <v>#REF!</v>
      </c>
      <c r="H507" s="139" t="e">
        <f t="shared" ca="1" si="77"/>
        <v>#REF!</v>
      </c>
      <c r="I507" s="137" t="e">
        <f t="shared" ca="1" si="78"/>
        <v>#REF!</v>
      </c>
      <c r="J507" s="117"/>
      <c r="K507" s="116">
        <v>0</v>
      </c>
      <c r="M507" s="136" t="e">
        <f ca="1">OFFSET(INDEX([1]Composições!I:R,MATCH([1]Orçamentária!I507,[1]Composições!I:I,0),8),2,0)</f>
        <v>#REF!</v>
      </c>
      <c r="N507" t="e">
        <v>#REF!</v>
      </c>
      <c r="Q507" t="e">
        <v>#REF!</v>
      </c>
    </row>
    <row r="508" spans="1:17" hidden="1" x14ac:dyDescent="0.25">
      <c r="A508" s="114" t="s">
        <v>1818</v>
      </c>
      <c r="B508" s="115" t="s">
        <v>1819</v>
      </c>
      <c r="C508" s="116" t="s">
        <v>69</v>
      </c>
      <c r="D508" s="116">
        <v>0</v>
      </c>
      <c r="E508" s="136">
        <f ca="1">OFFSET(INDEX(Composições!A:J,MATCH(Orçamentária!A508,Composições!A:A,0),8),2,0)</f>
        <v>36.554099999999991</v>
      </c>
      <c r="F508" s="137">
        <f t="shared" ca="1" si="76"/>
        <v>0</v>
      </c>
      <c r="G508" s="138" t="e">
        <f>IF(A508&lt;&gt;"",IF(AND(#REF!="Padrão",$H$4=#REF!),BDI!$B$17,IF(AND(#REF!="Padrão",$H$4=#REF!),BDI!#REF!,IF(AND(#REF!="Diferenciado",$H$4=#REF!),BDI!$E$17,IF(AND(#REF!="Diferenciado",$H$4=#REF!),BDI!#REF!,IF(#REF!="ZERO",0))))),"")</f>
        <v>#REF!</v>
      </c>
      <c r="H508" s="139" t="e">
        <f t="shared" ca="1" si="77"/>
        <v>#REF!</v>
      </c>
      <c r="I508" s="137" t="e">
        <f t="shared" ca="1" si="78"/>
        <v>#REF!</v>
      </c>
      <c r="J508" s="117"/>
      <c r="K508" s="116">
        <v>0</v>
      </c>
      <c r="M508" s="136" t="e">
        <f ca="1">OFFSET(INDEX([1]Composições!I:R,MATCH([1]Orçamentária!I508,[1]Composições!I:I,0),8),2,0)</f>
        <v>#REF!</v>
      </c>
      <c r="N508" t="e">
        <v>#REF!</v>
      </c>
      <c r="Q508" t="e">
        <v>#REF!</v>
      </c>
    </row>
    <row r="509" spans="1:17" hidden="1" x14ac:dyDescent="0.25">
      <c r="A509" s="114" t="s">
        <v>1820</v>
      </c>
      <c r="B509" s="115" t="s">
        <v>1821</v>
      </c>
      <c r="C509" s="116" t="s">
        <v>69</v>
      </c>
      <c r="D509" s="116">
        <v>0</v>
      </c>
      <c r="E509" s="136">
        <f ca="1">OFFSET(INDEX(Composições!A:J,MATCH(Orçamentária!A509,Composições!A:A,0),8),2,0)</f>
        <v>7.1496999999999984</v>
      </c>
      <c r="F509" s="137">
        <f t="shared" ca="1" si="76"/>
        <v>0</v>
      </c>
      <c r="G509" s="138" t="e">
        <f>IF(A509&lt;&gt;"",IF(AND(#REF!="Padrão",$H$4=#REF!),BDI!$B$17,IF(AND(#REF!="Padrão",$H$4=#REF!),BDI!#REF!,IF(AND(#REF!="Diferenciado",$H$4=#REF!),BDI!$E$17,IF(AND(#REF!="Diferenciado",$H$4=#REF!),BDI!#REF!,IF(#REF!="ZERO",0))))),"")</f>
        <v>#REF!</v>
      </c>
      <c r="H509" s="139" t="e">
        <f t="shared" ca="1" si="77"/>
        <v>#REF!</v>
      </c>
      <c r="I509" s="137" t="e">
        <f t="shared" ca="1" si="78"/>
        <v>#REF!</v>
      </c>
      <c r="J509" s="117"/>
      <c r="K509" s="116">
        <v>0</v>
      </c>
      <c r="M509" s="136" t="e">
        <f ca="1">OFFSET(INDEX([1]Composições!I:R,MATCH([1]Orçamentária!I509,[1]Composições!I:I,0),8),2,0)</f>
        <v>#REF!</v>
      </c>
      <c r="N509" t="e">
        <v>#REF!</v>
      </c>
      <c r="Q509" t="e">
        <v>#REF!</v>
      </c>
    </row>
    <row r="510" spans="1:17" hidden="1" x14ac:dyDescent="0.25">
      <c r="A510" s="114" t="s">
        <v>1822</v>
      </c>
      <c r="B510" s="115" t="s">
        <v>1823</v>
      </c>
      <c r="C510" s="116" t="s">
        <v>28</v>
      </c>
      <c r="D510" s="116">
        <v>0</v>
      </c>
      <c r="E510" s="136">
        <f ca="1">OFFSET(INDEX(Composições!A:J,MATCH(Orçamentária!A510,Composições!A:A,0),8),2,0)</f>
        <v>14.420999999999999</v>
      </c>
      <c r="F510" s="137">
        <f t="shared" ca="1" si="76"/>
        <v>0</v>
      </c>
      <c r="G510" s="138" t="e">
        <f>IF(A510&lt;&gt;"",IF(AND(#REF!="Padrão",$H$4=#REF!),BDI!$B$17,IF(AND(#REF!="Padrão",$H$4=#REF!),BDI!#REF!,IF(AND(#REF!="Diferenciado",$H$4=#REF!),BDI!$E$17,IF(AND(#REF!="Diferenciado",$H$4=#REF!),BDI!#REF!,IF(#REF!="ZERO",0))))),"")</f>
        <v>#REF!</v>
      </c>
      <c r="H510" s="139" t="e">
        <f t="shared" ca="1" si="77"/>
        <v>#REF!</v>
      </c>
      <c r="I510" s="137" t="e">
        <f t="shared" ca="1" si="78"/>
        <v>#REF!</v>
      </c>
      <c r="J510" s="117"/>
      <c r="K510" s="116">
        <v>0</v>
      </c>
      <c r="M510" s="136" t="e">
        <f ca="1">OFFSET(INDEX([1]Composições!I:R,MATCH([1]Orçamentária!I510,[1]Composições!I:I,0),8),2,0)</f>
        <v>#REF!</v>
      </c>
      <c r="N510" t="e">
        <v>#REF!</v>
      </c>
      <c r="Q510" t="e">
        <v>#REF!</v>
      </c>
    </row>
    <row r="511" spans="1:17" hidden="1" x14ac:dyDescent="0.25">
      <c r="A511" s="114" t="s">
        <v>1824</v>
      </c>
      <c r="B511" s="115" t="s">
        <v>1825</v>
      </c>
      <c r="C511" s="116" t="s">
        <v>69</v>
      </c>
      <c r="D511" s="116">
        <v>0</v>
      </c>
      <c r="E511" s="136">
        <f ca="1">OFFSET(INDEX(Composições!A:J,MATCH(Orçamentária!A511,Composições!A:A,0),8),2,0)</f>
        <v>6.2603100000000005</v>
      </c>
      <c r="F511" s="137">
        <f t="shared" ca="1" si="76"/>
        <v>0</v>
      </c>
      <c r="G511" s="138" t="e">
        <f>IF(A511&lt;&gt;"",IF(AND(#REF!="Padrão",$H$4=#REF!),BDI!$B$17,IF(AND(#REF!="Padrão",$H$4=#REF!),BDI!#REF!,IF(AND(#REF!="Diferenciado",$H$4=#REF!),BDI!$E$17,IF(AND(#REF!="Diferenciado",$H$4=#REF!),BDI!#REF!,IF(#REF!="ZERO",0))))),"")</f>
        <v>#REF!</v>
      </c>
      <c r="H511" s="139" t="e">
        <f t="shared" ca="1" si="77"/>
        <v>#REF!</v>
      </c>
      <c r="I511" s="137" t="e">
        <f t="shared" ca="1" si="78"/>
        <v>#REF!</v>
      </c>
      <c r="J511" s="117"/>
      <c r="K511" s="116">
        <v>0</v>
      </c>
      <c r="M511" s="136" t="e">
        <f ca="1">OFFSET(INDEX([1]Composições!I:R,MATCH([1]Orçamentária!I511,[1]Composições!I:I,0),8),2,0)</f>
        <v>#REF!</v>
      </c>
      <c r="N511" t="e">
        <v>#REF!</v>
      </c>
      <c r="Q511" t="e">
        <v>#REF!</v>
      </c>
    </row>
    <row r="512" spans="1:17" hidden="1" x14ac:dyDescent="0.25">
      <c r="A512" s="114" t="s">
        <v>1826</v>
      </c>
      <c r="B512" s="115" t="s">
        <v>1827</v>
      </c>
      <c r="C512" s="116" t="s">
        <v>69</v>
      </c>
      <c r="D512" s="116">
        <v>0</v>
      </c>
      <c r="E512" s="136">
        <f ca="1">OFFSET(INDEX(Composições!A:J,MATCH(Orçamentária!A512,Composições!A:A,0),8),2,0)</f>
        <v>9.4401500000000009</v>
      </c>
      <c r="F512" s="137">
        <f t="shared" ca="1" si="76"/>
        <v>0</v>
      </c>
      <c r="G512" s="138" t="e">
        <f>IF(A512&lt;&gt;"",IF(AND(#REF!="Padrão",$H$4=#REF!),BDI!$B$17,IF(AND(#REF!="Padrão",$H$4=#REF!),BDI!#REF!,IF(AND(#REF!="Diferenciado",$H$4=#REF!),BDI!$E$17,IF(AND(#REF!="Diferenciado",$H$4=#REF!),BDI!#REF!,IF(#REF!="ZERO",0))))),"")</f>
        <v>#REF!</v>
      </c>
      <c r="H512" s="139" t="e">
        <f t="shared" ca="1" si="77"/>
        <v>#REF!</v>
      </c>
      <c r="I512" s="137" t="e">
        <f t="shared" ca="1" si="78"/>
        <v>#REF!</v>
      </c>
      <c r="J512" s="117"/>
      <c r="K512" s="116">
        <v>0</v>
      </c>
      <c r="M512" s="136" t="e">
        <f ca="1">OFFSET(INDEX([1]Composições!I:R,MATCH([1]Orçamentária!I512,[1]Composições!I:I,0),8),2,0)</f>
        <v>#REF!</v>
      </c>
      <c r="N512" t="e">
        <v>#REF!</v>
      </c>
      <c r="Q512" t="e">
        <v>#REF!</v>
      </c>
    </row>
    <row r="513" spans="1:17" hidden="1" x14ac:dyDescent="0.25">
      <c r="A513" s="114" t="s">
        <v>1828</v>
      </c>
      <c r="B513" s="115" t="s">
        <v>1829</v>
      </c>
      <c r="C513" s="116" t="s">
        <v>69</v>
      </c>
      <c r="D513" s="116">
        <v>0</v>
      </c>
      <c r="E513" s="136">
        <f ca="1">OFFSET(INDEX(Composições!A:J,MATCH(Orçamentária!A513,Composições!A:A,0),8),2,0)</f>
        <v>11.030070000000002</v>
      </c>
      <c r="F513" s="137">
        <f t="shared" ca="1" si="76"/>
        <v>0</v>
      </c>
      <c r="G513" s="138" t="e">
        <f>IF(A513&lt;&gt;"",IF(AND(#REF!="Padrão",$H$4=#REF!),BDI!$B$17,IF(AND(#REF!="Padrão",$H$4=#REF!),BDI!#REF!,IF(AND(#REF!="Diferenciado",$H$4=#REF!),BDI!$E$17,IF(AND(#REF!="Diferenciado",$H$4=#REF!),BDI!#REF!,IF(#REF!="ZERO",0))))),"")</f>
        <v>#REF!</v>
      </c>
      <c r="H513" s="139" t="e">
        <f t="shared" ca="1" si="77"/>
        <v>#REF!</v>
      </c>
      <c r="I513" s="137" t="e">
        <f t="shared" ca="1" si="78"/>
        <v>#REF!</v>
      </c>
      <c r="J513" s="117"/>
      <c r="K513" s="116">
        <v>0</v>
      </c>
      <c r="M513" s="136" t="e">
        <f ca="1">OFFSET(INDEX([1]Composições!I:R,MATCH([1]Orçamentária!I513,[1]Composições!I:I,0),8),2,0)</f>
        <v>#REF!</v>
      </c>
      <c r="N513" t="e">
        <v>#REF!</v>
      </c>
      <c r="Q513" t="e">
        <v>#REF!</v>
      </c>
    </row>
    <row r="514" spans="1:17" hidden="1" x14ac:dyDescent="0.25">
      <c r="A514" s="114" t="s">
        <v>1830</v>
      </c>
      <c r="B514" s="115" t="s">
        <v>1831</v>
      </c>
      <c r="C514" s="116" t="s">
        <v>69</v>
      </c>
      <c r="D514" s="116">
        <v>0</v>
      </c>
      <c r="E514" s="136">
        <f ca="1">OFFSET(INDEX(Composições!A:J,MATCH(Orçamentária!A514,Composições!A:A,0),8),2,0)</f>
        <v>4.7697600000000007</v>
      </c>
      <c r="F514" s="137">
        <f t="shared" ca="1" si="76"/>
        <v>0</v>
      </c>
      <c r="G514" s="138" t="e">
        <f>IF(A514&lt;&gt;"",IF(AND(#REF!="Padrão",$H$4=#REF!),BDI!$B$17,IF(AND(#REF!="Padrão",$H$4=#REF!),BDI!#REF!,IF(AND(#REF!="Diferenciado",$H$4=#REF!),BDI!$E$17,IF(AND(#REF!="Diferenciado",$H$4=#REF!),BDI!#REF!,IF(#REF!="ZERO",0))))),"")</f>
        <v>#REF!</v>
      </c>
      <c r="H514" s="139" t="e">
        <f t="shared" ca="1" si="77"/>
        <v>#REF!</v>
      </c>
      <c r="I514" s="137" t="e">
        <f t="shared" ca="1" si="78"/>
        <v>#REF!</v>
      </c>
      <c r="J514" s="117"/>
      <c r="K514" s="116">
        <v>0</v>
      </c>
      <c r="M514" s="136" t="e">
        <f ca="1">OFFSET(INDEX([1]Composições!I:R,MATCH([1]Orçamentária!I514,[1]Composições!I:I,0),8),2,0)</f>
        <v>#REF!</v>
      </c>
      <c r="N514" t="e">
        <v>#REF!</v>
      </c>
      <c r="Q514" t="e">
        <v>#REF!</v>
      </c>
    </row>
    <row r="515" spans="1:17" hidden="1" x14ac:dyDescent="0.25">
      <c r="A515" s="114" t="s">
        <v>1832</v>
      </c>
      <c r="B515" s="115" t="s">
        <v>1833</v>
      </c>
      <c r="C515" s="116" t="s">
        <v>69</v>
      </c>
      <c r="D515" s="116">
        <v>0</v>
      </c>
      <c r="E515" s="136">
        <f ca="1">OFFSET(INDEX(Composições!A:J,MATCH(Orçamentária!A515,Composições!A:A,0),8),2,0)</f>
        <v>7.0552700000000002</v>
      </c>
      <c r="F515" s="137">
        <f t="shared" ca="1" si="76"/>
        <v>0</v>
      </c>
      <c r="G515" s="138" t="e">
        <f>IF(A515&lt;&gt;"",IF(AND(#REF!="Padrão",$H$4=#REF!),BDI!$B$17,IF(AND(#REF!="Padrão",$H$4=#REF!),BDI!#REF!,IF(AND(#REF!="Diferenciado",$H$4=#REF!),BDI!$E$17,IF(AND(#REF!="Diferenciado",$H$4=#REF!),BDI!#REF!,IF(#REF!="ZERO",0))))),"")</f>
        <v>#REF!</v>
      </c>
      <c r="H515" s="139" t="e">
        <f t="shared" ca="1" si="77"/>
        <v>#REF!</v>
      </c>
      <c r="I515" s="137" t="e">
        <f t="shared" ca="1" si="78"/>
        <v>#REF!</v>
      </c>
      <c r="J515" s="117"/>
      <c r="K515" s="116">
        <v>0</v>
      </c>
      <c r="M515" s="136" t="e">
        <f ca="1">OFFSET(INDEX([1]Composições!I:R,MATCH([1]Orçamentária!I515,[1]Composições!I:I,0),8),2,0)</f>
        <v>#REF!</v>
      </c>
      <c r="N515" t="e">
        <v>#REF!</v>
      </c>
      <c r="Q515" t="e">
        <v>#REF!</v>
      </c>
    </row>
    <row r="516" spans="1:17" hidden="1" x14ac:dyDescent="0.25">
      <c r="A516" s="114" t="s">
        <v>1834</v>
      </c>
      <c r="B516" s="115" t="s">
        <v>1835</v>
      </c>
      <c r="C516" s="116" t="s">
        <v>69</v>
      </c>
      <c r="D516" s="116">
        <v>0</v>
      </c>
      <c r="E516" s="136">
        <f ca="1">OFFSET(INDEX(Composições!A:J,MATCH(Orçamentária!A516,Composições!A:A,0),8),2,0)</f>
        <v>3.9748000000000006</v>
      </c>
      <c r="F516" s="137">
        <f t="shared" ca="1" si="76"/>
        <v>0</v>
      </c>
      <c r="G516" s="138" t="e">
        <f>IF(A516&lt;&gt;"",IF(AND(#REF!="Padrão",$H$4=#REF!),BDI!$B$17,IF(AND(#REF!="Padrão",$H$4=#REF!),BDI!#REF!,IF(AND(#REF!="Diferenciado",$H$4=#REF!),BDI!$E$17,IF(AND(#REF!="Diferenciado",$H$4=#REF!),BDI!#REF!,IF(#REF!="ZERO",0))))),"")</f>
        <v>#REF!</v>
      </c>
      <c r="H516" s="139" t="e">
        <f t="shared" ca="1" si="77"/>
        <v>#REF!</v>
      </c>
      <c r="I516" s="137" t="e">
        <f t="shared" ca="1" si="78"/>
        <v>#REF!</v>
      </c>
      <c r="J516" s="117"/>
      <c r="K516" s="116">
        <v>0</v>
      </c>
      <c r="M516" s="136" t="e">
        <f ca="1">OFFSET(INDEX([1]Composições!I:R,MATCH([1]Orçamentária!I516,[1]Composições!I:I,0),8),2,0)</f>
        <v>#REF!</v>
      </c>
      <c r="N516" t="e">
        <v>#REF!</v>
      </c>
      <c r="Q516" t="e">
        <v>#REF!</v>
      </c>
    </row>
    <row r="517" spans="1:17" hidden="1" x14ac:dyDescent="0.25">
      <c r="A517" s="114" t="s">
        <v>1836</v>
      </c>
      <c r="B517" s="115" t="s">
        <v>1837</v>
      </c>
      <c r="C517" s="116" t="s">
        <v>69</v>
      </c>
      <c r="D517" s="116">
        <v>0</v>
      </c>
      <c r="E517" s="136">
        <f ca="1">OFFSET(INDEX(Composições!A:J,MATCH(Orçamentária!A517,Composições!A:A,0),8),2,0)</f>
        <v>7.8502300000000016</v>
      </c>
      <c r="F517" s="137">
        <f t="shared" ca="1" si="76"/>
        <v>0</v>
      </c>
      <c r="G517" s="138" t="e">
        <f>IF(A517&lt;&gt;"",IF(AND(#REF!="Padrão",$H$4=#REF!),BDI!$B$17,IF(AND(#REF!="Padrão",$H$4=#REF!),BDI!#REF!,IF(AND(#REF!="Diferenciado",$H$4=#REF!),BDI!$E$17,IF(AND(#REF!="Diferenciado",$H$4=#REF!),BDI!#REF!,IF(#REF!="ZERO",0))))),"")</f>
        <v>#REF!</v>
      </c>
      <c r="H517" s="139" t="e">
        <f t="shared" ca="1" si="77"/>
        <v>#REF!</v>
      </c>
      <c r="I517" s="137" t="e">
        <f t="shared" ca="1" si="78"/>
        <v>#REF!</v>
      </c>
      <c r="J517" s="117"/>
      <c r="K517" s="116">
        <v>0</v>
      </c>
      <c r="M517" s="136" t="e">
        <f ca="1">OFFSET(INDEX([1]Composições!I:R,MATCH([1]Orçamentária!I517,[1]Composições!I:I,0),8),2,0)</f>
        <v>#REF!</v>
      </c>
      <c r="N517" t="e">
        <v>#REF!</v>
      </c>
      <c r="Q517" t="e">
        <v>#REF!</v>
      </c>
    </row>
    <row r="518" spans="1:17" hidden="1" x14ac:dyDescent="0.25">
      <c r="A518" s="114" t="s">
        <v>1838</v>
      </c>
      <c r="B518" s="115" t="s">
        <v>1839</v>
      </c>
      <c r="C518" s="116" t="s">
        <v>69</v>
      </c>
      <c r="D518" s="116">
        <v>0</v>
      </c>
      <c r="E518" s="136">
        <f ca="1">OFFSET(INDEX(Composições!A:J,MATCH(Orçamentária!A518,Composições!A:A,0),8),2,0)</f>
        <v>5.4653500000000008</v>
      </c>
      <c r="F518" s="137">
        <f t="shared" ca="1" si="76"/>
        <v>0</v>
      </c>
      <c r="G518" s="138" t="e">
        <f>IF(A518&lt;&gt;"",IF(AND(#REF!="Padrão",$H$4=#REF!),BDI!$B$17,IF(AND(#REF!="Padrão",$H$4=#REF!),BDI!#REF!,IF(AND(#REF!="Diferenciado",$H$4=#REF!),BDI!$E$17,IF(AND(#REF!="Diferenciado",$H$4=#REF!),BDI!#REF!,IF(#REF!="ZERO",0))))),"")</f>
        <v>#REF!</v>
      </c>
      <c r="H518" s="139" t="e">
        <f t="shared" ca="1" si="77"/>
        <v>#REF!</v>
      </c>
      <c r="I518" s="137" t="e">
        <f t="shared" ca="1" si="78"/>
        <v>#REF!</v>
      </c>
      <c r="J518" s="117"/>
      <c r="K518" s="116">
        <v>0</v>
      </c>
      <c r="M518" s="136" t="e">
        <f ca="1">OFFSET(INDEX([1]Composições!I:R,MATCH([1]Orçamentária!I518,[1]Composições!I:I,0),8),2,0)</f>
        <v>#REF!</v>
      </c>
      <c r="N518" t="e">
        <v>#REF!</v>
      </c>
      <c r="Q518" t="e">
        <v>#REF!</v>
      </c>
    </row>
    <row r="519" spans="1:17" hidden="1" x14ac:dyDescent="0.25">
      <c r="A519" s="114" t="s">
        <v>1840</v>
      </c>
      <c r="B519" s="115" t="s">
        <v>1841</v>
      </c>
      <c r="C519" s="116" t="s">
        <v>69</v>
      </c>
      <c r="D519" s="116">
        <v>0</v>
      </c>
      <c r="E519" s="136">
        <f ca="1">OFFSET(INDEX(Composições!A:J,MATCH(Orçamentária!A519,Composições!A:A,0),8),2,0)</f>
        <v>8.2477100000000014</v>
      </c>
      <c r="F519" s="137">
        <f t="shared" ref="F519:F582" ca="1" si="79">IF(ISNUMBER(E519),D519*E519,"")</f>
        <v>0</v>
      </c>
      <c r="G519" s="138" t="e">
        <f>IF(A519&lt;&gt;"",IF(AND(#REF!="Padrão",$H$4=#REF!),BDI!$B$17,IF(AND(#REF!="Padrão",$H$4=#REF!),BDI!#REF!,IF(AND(#REF!="Diferenciado",$H$4=#REF!),BDI!$E$17,IF(AND(#REF!="Diferenciado",$H$4=#REF!),BDI!#REF!,IF(#REF!="ZERO",0))))),"")</f>
        <v>#REF!</v>
      </c>
      <c r="H519" s="139" t="e">
        <f t="shared" ref="H519:H582" ca="1" si="80">IF(ISNUMBER(E519),ROUND(E519*(1+G519),2),"")</f>
        <v>#REF!</v>
      </c>
      <c r="I519" s="137" t="e">
        <f t="shared" ref="I519:I582" ca="1" si="81">IF(ISNUMBER(E519),ROUND(H519*D519,2),"")</f>
        <v>#REF!</v>
      </c>
      <c r="J519" s="117"/>
      <c r="K519" s="116">
        <v>0</v>
      </c>
      <c r="M519" s="136" t="e">
        <f ca="1">OFFSET(INDEX([1]Composições!I:R,MATCH([1]Orçamentária!I519,[1]Composições!I:I,0),8),2,0)</f>
        <v>#REF!</v>
      </c>
      <c r="N519" t="e">
        <v>#REF!</v>
      </c>
      <c r="Q519" t="e">
        <v>#REF!</v>
      </c>
    </row>
    <row r="520" spans="1:17" hidden="1" x14ac:dyDescent="0.25">
      <c r="A520" s="114" t="s">
        <v>1842</v>
      </c>
      <c r="B520" s="115" t="s">
        <v>7628</v>
      </c>
      <c r="C520" s="116" t="s">
        <v>69</v>
      </c>
      <c r="D520" s="116">
        <v>0</v>
      </c>
      <c r="E520" s="136" t="s">
        <v>416</v>
      </c>
      <c r="F520" s="137" t="str">
        <f t="shared" si="79"/>
        <v/>
      </c>
      <c r="G520" s="138" t="e">
        <f>IF(A520&lt;&gt;"",IF(AND(#REF!="Padrão",$H$4=#REF!),BDI!$B$17,IF(AND(#REF!="Padrão",$H$4=#REF!),BDI!#REF!,IF(AND(#REF!="Diferenciado",$H$4=#REF!),BDI!$E$17,IF(AND(#REF!="Diferenciado",$H$4=#REF!),BDI!#REF!,IF(#REF!="ZERO",0))))),"")</f>
        <v>#REF!</v>
      </c>
      <c r="H520" s="139" t="str">
        <f t="shared" si="80"/>
        <v/>
      </c>
      <c r="I520" s="137" t="str">
        <f t="shared" si="81"/>
        <v/>
      </c>
      <c r="J520" s="117"/>
      <c r="K520" s="116">
        <v>0</v>
      </c>
      <c r="M520" s="136" t="s">
        <v>416</v>
      </c>
      <c r="N520" t="e">
        <v>#REF!</v>
      </c>
      <c r="Q520" t="s">
        <v>416</v>
      </c>
    </row>
    <row r="521" spans="1:17" hidden="1" x14ac:dyDescent="0.25">
      <c r="A521" s="114" t="s">
        <v>1843</v>
      </c>
      <c r="B521" s="115" t="s">
        <v>7629</v>
      </c>
      <c r="C521" s="116" t="s">
        <v>69</v>
      </c>
      <c r="D521" s="116">
        <v>0</v>
      </c>
      <c r="E521" s="136" t="s">
        <v>416</v>
      </c>
      <c r="F521" s="137" t="str">
        <f t="shared" si="79"/>
        <v/>
      </c>
      <c r="G521" s="138" t="e">
        <f>IF(A521&lt;&gt;"",IF(AND(#REF!="Padrão",$H$4=#REF!),BDI!$B$17,IF(AND(#REF!="Padrão",$H$4=#REF!),BDI!#REF!,IF(AND(#REF!="Diferenciado",$H$4=#REF!),BDI!$E$17,IF(AND(#REF!="Diferenciado",$H$4=#REF!),BDI!#REF!,IF(#REF!="ZERO",0))))),"")</f>
        <v>#REF!</v>
      </c>
      <c r="H521" s="139" t="str">
        <f t="shared" si="80"/>
        <v/>
      </c>
      <c r="I521" s="137" t="str">
        <f t="shared" si="81"/>
        <v/>
      </c>
      <c r="J521" s="117"/>
      <c r="K521" s="116">
        <v>0</v>
      </c>
      <c r="M521" s="136" t="s">
        <v>416</v>
      </c>
      <c r="N521" t="e">
        <v>#REF!</v>
      </c>
      <c r="Q521" t="s">
        <v>416</v>
      </c>
    </row>
    <row r="522" spans="1:17" hidden="1" x14ac:dyDescent="0.25">
      <c r="A522" s="114" t="s">
        <v>1844</v>
      </c>
      <c r="B522" s="115" t="s">
        <v>1845</v>
      </c>
      <c r="C522" s="116" t="s">
        <v>69</v>
      </c>
      <c r="D522" s="116">
        <v>0</v>
      </c>
      <c r="E522" s="136" t="s">
        <v>416</v>
      </c>
      <c r="F522" s="137" t="str">
        <f t="shared" si="79"/>
        <v/>
      </c>
      <c r="G522" s="138" t="e">
        <f>IF(A522&lt;&gt;"",IF(AND(#REF!="Padrão",$H$4=#REF!),BDI!$B$17,IF(AND(#REF!="Padrão",$H$4=#REF!),BDI!#REF!,IF(AND(#REF!="Diferenciado",$H$4=#REF!),BDI!$E$17,IF(AND(#REF!="Diferenciado",$H$4=#REF!),BDI!#REF!,IF(#REF!="ZERO",0))))),"")</f>
        <v>#REF!</v>
      </c>
      <c r="H522" s="139" t="str">
        <f t="shared" si="80"/>
        <v/>
      </c>
      <c r="I522" s="137" t="str">
        <f t="shared" si="81"/>
        <v/>
      </c>
      <c r="J522" s="117"/>
      <c r="K522" s="116">
        <v>0</v>
      </c>
      <c r="M522" s="136" t="s">
        <v>416</v>
      </c>
      <c r="N522" t="e">
        <v>#REF!</v>
      </c>
      <c r="Q522" t="s">
        <v>416</v>
      </c>
    </row>
    <row r="523" spans="1:17" hidden="1" x14ac:dyDescent="0.25">
      <c r="A523" s="114" t="s">
        <v>1846</v>
      </c>
      <c r="B523" s="115" t="s">
        <v>1847</v>
      </c>
      <c r="C523" s="116" t="s">
        <v>69</v>
      </c>
      <c r="D523" s="116">
        <v>0</v>
      </c>
      <c r="E523" s="136" t="s">
        <v>416</v>
      </c>
      <c r="F523" s="137" t="str">
        <f t="shared" si="79"/>
        <v/>
      </c>
      <c r="G523" s="138" t="e">
        <f>IF(A523&lt;&gt;"",IF(AND(#REF!="Padrão",$H$4=#REF!),BDI!$B$17,IF(AND(#REF!="Padrão",$H$4=#REF!),BDI!#REF!,IF(AND(#REF!="Diferenciado",$H$4=#REF!),BDI!$E$17,IF(AND(#REF!="Diferenciado",$H$4=#REF!),BDI!#REF!,IF(#REF!="ZERO",0))))),"")</f>
        <v>#REF!</v>
      </c>
      <c r="H523" s="139" t="str">
        <f t="shared" si="80"/>
        <v/>
      </c>
      <c r="I523" s="137" t="str">
        <f t="shared" si="81"/>
        <v/>
      </c>
      <c r="J523" s="117"/>
      <c r="K523" s="116">
        <v>0</v>
      </c>
      <c r="M523" s="136" t="s">
        <v>416</v>
      </c>
      <c r="N523" t="e">
        <v>#REF!</v>
      </c>
      <c r="Q523" t="s">
        <v>416</v>
      </c>
    </row>
    <row r="524" spans="1:17" hidden="1" x14ac:dyDescent="0.25">
      <c r="A524" s="114" t="s">
        <v>1848</v>
      </c>
      <c r="B524" s="115" t="s">
        <v>1849</v>
      </c>
      <c r="C524" s="116" t="s">
        <v>69</v>
      </c>
      <c r="D524" s="116">
        <v>0</v>
      </c>
      <c r="E524" s="136" t="s">
        <v>416</v>
      </c>
      <c r="F524" s="137" t="str">
        <f t="shared" si="79"/>
        <v/>
      </c>
      <c r="G524" s="138" t="e">
        <f>IF(A524&lt;&gt;"",IF(AND(#REF!="Padrão",$H$4=#REF!),BDI!$B$17,IF(AND(#REF!="Padrão",$H$4=#REF!),BDI!#REF!,IF(AND(#REF!="Diferenciado",$H$4=#REF!),BDI!$E$17,IF(AND(#REF!="Diferenciado",$H$4=#REF!),BDI!#REF!,IF(#REF!="ZERO",0))))),"")</f>
        <v>#REF!</v>
      </c>
      <c r="H524" s="139" t="str">
        <f t="shared" si="80"/>
        <v/>
      </c>
      <c r="I524" s="137" t="str">
        <f t="shared" si="81"/>
        <v/>
      </c>
      <c r="J524" s="117"/>
      <c r="K524" s="116">
        <v>0</v>
      </c>
      <c r="M524" s="136" t="s">
        <v>416</v>
      </c>
      <c r="N524" t="e">
        <v>#REF!</v>
      </c>
      <c r="Q524" t="s">
        <v>416</v>
      </c>
    </row>
    <row r="525" spans="1:17" hidden="1" x14ac:dyDescent="0.25">
      <c r="A525" s="114" t="s">
        <v>1850</v>
      </c>
      <c r="B525" s="115" t="s">
        <v>1851</v>
      </c>
      <c r="C525" s="116" t="s">
        <v>69</v>
      </c>
      <c r="D525" s="116">
        <v>0</v>
      </c>
      <c r="E525" s="136" t="s">
        <v>416</v>
      </c>
      <c r="F525" s="137" t="str">
        <f t="shared" si="79"/>
        <v/>
      </c>
      <c r="G525" s="138" t="e">
        <f>IF(A525&lt;&gt;"",IF(AND(#REF!="Padrão",$H$4=#REF!),BDI!$B$17,IF(AND(#REF!="Padrão",$H$4=#REF!),BDI!#REF!,IF(AND(#REF!="Diferenciado",$H$4=#REF!),BDI!$E$17,IF(AND(#REF!="Diferenciado",$H$4=#REF!),BDI!#REF!,IF(#REF!="ZERO",0))))),"")</f>
        <v>#REF!</v>
      </c>
      <c r="H525" s="139" t="str">
        <f t="shared" si="80"/>
        <v/>
      </c>
      <c r="I525" s="137" t="str">
        <f t="shared" si="81"/>
        <v/>
      </c>
      <c r="J525" s="117"/>
      <c r="K525" s="116">
        <v>0</v>
      </c>
      <c r="M525" s="136" t="s">
        <v>416</v>
      </c>
      <c r="N525" t="e">
        <v>#REF!</v>
      </c>
      <c r="Q525" t="s">
        <v>416</v>
      </c>
    </row>
    <row r="526" spans="1:17" hidden="1" x14ac:dyDescent="0.25">
      <c r="A526" s="114" t="s">
        <v>1852</v>
      </c>
      <c r="B526" s="115" t="s">
        <v>1853</v>
      </c>
      <c r="C526" s="116" t="s">
        <v>69</v>
      </c>
      <c r="D526" s="116">
        <v>0</v>
      </c>
      <c r="E526" s="136" t="s">
        <v>416</v>
      </c>
      <c r="F526" s="137" t="str">
        <f t="shared" si="79"/>
        <v/>
      </c>
      <c r="G526" s="138" t="e">
        <f>IF(A526&lt;&gt;"",IF(AND(#REF!="Padrão",$H$4=#REF!),BDI!$B$17,IF(AND(#REF!="Padrão",$H$4=#REF!),BDI!#REF!,IF(AND(#REF!="Diferenciado",$H$4=#REF!),BDI!$E$17,IF(AND(#REF!="Diferenciado",$H$4=#REF!),BDI!#REF!,IF(#REF!="ZERO",0))))),"")</f>
        <v>#REF!</v>
      </c>
      <c r="H526" s="139" t="str">
        <f t="shared" si="80"/>
        <v/>
      </c>
      <c r="I526" s="137" t="str">
        <f t="shared" si="81"/>
        <v/>
      </c>
      <c r="J526" s="117"/>
      <c r="K526" s="116">
        <v>0</v>
      </c>
      <c r="M526" s="136" t="s">
        <v>416</v>
      </c>
      <c r="N526" t="e">
        <v>#REF!</v>
      </c>
      <c r="Q526" t="s">
        <v>416</v>
      </c>
    </row>
    <row r="527" spans="1:17" hidden="1" x14ac:dyDescent="0.25">
      <c r="A527" s="114" t="s">
        <v>1854</v>
      </c>
      <c r="B527" s="115" t="s">
        <v>1855</v>
      </c>
      <c r="C527" s="116" t="s">
        <v>69</v>
      </c>
      <c r="D527" s="116">
        <v>0</v>
      </c>
      <c r="E527" s="136" t="s">
        <v>416</v>
      </c>
      <c r="F527" s="137" t="str">
        <f t="shared" si="79"/>
        <v/>
      </c>
      <c r="G527" s="138" t="e">
        <f>IF(A527&lt;&gt;"",IF(AND(#REF!="Padrão",$H$4=#REF!),BDI!$B$17,IF(AND(#REF!="Padrão",$H$4=#REF!),BDI!#REF!,IF(AND(#REF!="Diferenciado",$H$4=#REF!),BDI!$E$17,IF(AND(#REF!="Diferenciado",$H$4=#REF!),BDI!#REF!,IF(#REF!="ZERO",0))))),"")</f>
        <v>#REF!</v>
      </c>
      <c r="H527" s="139" t="str">
        <f t="shared" si="80"/>
        <v/>
      </c>
      <c r="I527" s="137" t="str">
        <f t="shared" si="81"/>
        <v/>
      </c>
      <c r="J527" s="117"/>
      <c r="K527" s="116">
        <v>0</v>
      </c>
      <c r="M527" s="136" t="s">
        <v>416</v>
      </c>
      <c r="N527" t="e">
        <v>#REF!</v>
      </c>
      <c r="Q527" t="s">
        <v>416</v>
      </c>
    </row>
    <row r="528" spans="1:17" hidden="1" x14ac:dyDescent="0.25">
      <c r="A528" s="114" t="s">
        <v>1856</v>
      </c>
      <c r="B528" s="115" t="s">
        <v>1857</v>
      </c>
      <c r="C528" s="116" t="s">
        <v>69</v>
      </c>
      <c r="D528" s="116">
        <v>0</v>
      </c>
      <c r="E528" s="136" t="s">
        <v>416</v>
      </c>
      <c r="F528" s="137" t="str">
        <f t="shared" si="79"/>
        <v/>
      </c>
      <c r="G528" s="138" t="e">
        <f>IF(A528&lt;&gt;"",IF(AND(#REF!="Padrão",$H$4=#REF!),BDI!$B$17,IF(AND(#REF!="Padrão",$H$4=#REF!),BDI!#REF!,IF(AND(#REF!="Diferenciado",$H$4=#REF!),BDI!$E$17,IF(AND(#REF!="Diferenciado",$H$4=#REF!),BDI!#REF!,IF(#REF!="ZERO",0))))),"")</f>
        <v>#REF!</v>
      </c>
      <c r="H528" s="139" t="str">
        <f t="shared" si="80"/>
        <v/>
      </c>
      <c r="I528" s="137" t="str">
        <f t="shared" si="81"/>
        <v/>
      </c>
      <c r="J528" s="117"/>
      <c r="K528" s="116">
        <v>0</v>
      </c>
      <c r="M528" s="136" t="s">
        <v>416</v>
      </c>
      <c r="N528" t="e">
        <v>#REF!</v>
      </c>
      <c r="Q528" t="s">
        <v>416</v>
      </c>
    </row>
    <row r="529" spans="1:17" hidden="1" x14ac:dyDescent="0.25">
      <c r="A529" s="114" t="s">
        <v>1858</v>
      </c>
      <c r="B529" s="115" t="s">
        <v>1859</v>
      </c>
      <c r="C529" s="116" t="s">
        <v>69</v>
      </c>
      <c r="D529" s="116">
        <v>0</v>
      </c>
      <c r="E529" s="136" t="s">
        <v>416</v>
      </c>
      <c r="F529" s="137" t="str">
        <f t="shared" si="79"/>
        <v/>
      </c>
      <c r="G529" s="138" t="e">
        <f>IF(A529&lt;&gt;"",IF(AND(#REF!="Padrão",$H$4=#REF!),BDI!$B$17,IF(AND(#REF!="Padrão",$H$4=#REF!),BDI!#REF!,IF(AND(#REF!="Diferenciado",$H$4=#REF!),BDI!$E$17,IF(AND(#REF!="Diferenciado",$H$4=#REF!),BDI!#REF!,IF(#REF!="ZERO",0))))),"")</f>
        <v>#REF!</v>
      </c>
      <c r="H529" s="139" t="str">
        <f t="shared" si="80"/>
        <v/>
      </c>
      <c r="I529" s="137" t="str">
        <f t="shared" si="81"/>
        <v/>
      </c>
      <c r="J529" s="117"/>
      <c r="K529" s="116">
        <v>0</v>
      </c>
      <c r="M529" s="136" t="s">
        <v>416</v>
      </c>
      <c r="N529" t="e">
        <v>#REF!</v>
      </c>
      <c r="Q529" t="s">
        <v>416</v>
      </c>
    </row>
    <row r="530" spans="1:17" hidden="1" x14ac:dyDescent="0.25">
      <c r="A530" s="114" t="s">
        <v>1860</v>
      </c>
      <c r="B530" s="115" t="s">
        <v>1861</v>
      </c>
      <c r="C530" s="116" t="s">
        <v>69</v>
      </c>
      <c r="D530" s="116">
        <v>0</v>
      </c>
      <c r="E530" s="136" t="s">
        <v>416</v>
      </c>
      <c r="F530" s="137" t="str">
        <f t="shared" si="79"/>
        <v/>
      </c>
      <c r="G530" s="138" t="e">
        <f>IF(A530&lt;&gt;"",IF(AND(#REF!="Padrão",$H$4=#REF!),BDI!$B$17,IF(AND(#REF!="Padrão",$H$4=#REF!),BDI!#REF!,IF(AND(#REF!="Diferenciado",$H$4=#REF!),BDI!$E$17,IF(AND(#REF!="Diferenciado",$H$4=#REF!),BDI!#REF!,IF(#REF!="ZERO",0))))),"")</f>
        <v>#REF!</v>
      </c>
      <c r="H530" s="139" t="str">
        <f t="shared" si="80"/>
        <v/>
      </c>
      <c r="I530" s="137" t="str">
        <f t="shared" si="81"/>
        <v/>
      </c>
      <c r="J530" s="117"/>
      <c r="K530" s="116">
        <v>0</v>
      </c>
      <c r="M530" s="136" t="s">
        <v>416</v>
      </c>
      <c r="N530" t="e">
        <v>#REF!</v>
      </c>
      <c r="Q530" t="s">
        <v>416</v>
      </c>
    </row>
    <row r="531" spans="1:17" hidden="1" x14ac:dyDescent="0.25">
      <c r="A531" s="114" t="s">
        <v>1862</v>
      </c>
      <c r="B531" s="115" t="s">
        <v>1863</v>
      </c>
      <c r="C531" s="116" t="s">
        <v>69</v>
      </c>
      <c r="D531" s="116">
        <v>0</v>
      </c>
      <c r="E531" s="136" t="s">
        <v>416</v>
      </c>
      <c r="F531" s="137" t="str">
        <f t="shared" si="79"/>
        <v/>
      </c>
      <c r="G531" s="138" t="e">
        <f>IF(A531&lt;&gt;"",IF(AND(#REF!="Padrão",$H$4=#REF!),BDI!$B$17,IF(AND(#REF!="Padrão",$H$4=#REF!),BDI!#REF!,IF(AND(#REF!="Diferenciado",$H$4=#REF!),BDI!$E$17,IF(AND(#REF!="Diferenciado",$H$4=#REF!),BDI!#REF!,IF(#REF!="ZERO",0))))),"")</f>
        <v>#REF!</v>
      </c>
      <c r="H531" s="139" t="str">
        <f t="shared" si="80"/>
        <v/>
      </c>
      <c r="I531" s="137" t="str">
        <f t="shared" si="81"/>
        <v/>
      </c>
      <c r="J531" s="117"/>
      <c r="K531" s="116">
        <v>0</v>
      </c>
      <c r="M531" s="136" t="s">
        <v>416</v>
      </c>
      <c r="N531" t="e">
        <v>#REF!</v>
      </c>
      <c r="Q531" t="s">
        <v>416</v>
      </c>
    </row>
    <row r="532" spans="1:17" hidden="1" x14ac:dyDescent="0.25">
      <c r="A532" s="114" t="s">
        <v>1864</v>
      </c>
      <c r="B532" s="115" t="s">
        <v>1865</v>
      </c>
      <c r="C532" s="116" t="s">
        <v>69</v>
      </c>
      <c r="D532" s="116">
        <v>0</v>
      </c>
      <c r="E532" s="136" t="s">
        <v>416</v>
      </c>
      <c r="F532" s="137" t="str">
        <f t="shared" si="79"/>
        <v/>
      </c>
      <c r="G532" s="138" t="e">
        <f>IF(A532&lt;&gt;"",IF(AND(#REF!="Padrão",$H$4=#REF!),BDI!$B$17,IF(AND(#REF!="Padrão",$H$4=#REF!),BDI!#REF!,IF(AND(#REF!="Diferenciado",$H$4=#REF!),BDI!$E$17,IF(AND(#REF!="Diferenciado",$H$4=#REF!),BDI!#REF!,IF(#REF!="ZERO",0))))),"")</f>
        <v>#REF!</v>
      </c>
      <c r="H532" s="139" t="str">
        <f t="shared" si="80"/>
        <v/>
      </c>
      <c r="I532" s="137" t="str">
        <f t="shared" si="81"/>
        <v/>
      </c>
      <c r="J532" s="117"/>
      <c r="K532" s="116">
        <v>0</v>
      </c>
      <c r="M532" s="136" t="s">
        <v>416</v>
      </c>
      <c r="N532" t="e">
        <v>#REF!</v>
      </c>
      <c r="Q532" t="s">
        <v>416</v>
      </c>
    </row>
    <row r="533" spans="1:17" hidden="1" x14ac:dyDescent="0.25">
      <c r="A533" s="114" t="s">
        <v>1866</v>
      </c>
      <c r="B533" s="115" t="s">
        <v>1867</v>
      </c>
      <c r="C533" s="116" t="s">
        <v>69</v>
      </c>
      <c r="D533" s="116">
        <v>0</v>
      </c>
      <c r="E533" s="136" t="s">
        <v>416</v>
      </c>
      <c r="F533" s="137" t="str">
        <f t="shared" si="79"/>
        <v/>
      </c>
      <c r="G533" s="138" t="e">
        <f>IF(A533&lt;&gt;"",IF(AND(#REF!="Padrão",$H$4=#REF!),BDI!$B$17,IF(AND(#REF!="Padrão",$H$4=#REF!),BDI!#REF!,IF(AND(#REF!="Diferenciado",$H$4=#REF!),BDI!$E$17,IF(AND(#REF!="Diferenciado",$H$4=#REF!),BDI!#REF!,IF(#REF!="ZERO",0))))),"")</f>
        <v>#REF!</v>
      </c>
      <c r="H533" s="139" t="str">
        <f t="shared" si="80"/>
        <v/>
      </c>
      <c r="I533" s="137" t="str">
        <f t="shared" si="81"/>
        <v/>
      </c>
      <c r="J533" s="117"/>
      <c r="K533" s="116">
        <v>0</v>
      </c>
      <c r="M533" s="136" t="s">
        <v>416</v>
      </c>
      <c r="N533" t="e">
        <v>#REF!</v>
      </c>
      <c r="Q533" t="s">
        <v>416</v>
      </c>
    </row>
    <row r="534" spans="1:17" hidden="1" x14ac:dyDescent="0.25">
      <c r="A534" s="114" t="s">
        <v>1868</v>
      </c>
      <c r="B534" s="115" t="s">
        <v>1869</v>
      </c>
      <c r="C534" s="116" t="s">
        <v>69</v>
      </c>
      <c r="D534" s="116">
        <v>0</v>
      </c>
      <c r="E534" s="136" t="s">
        <v>416</v>
      </c>
      <c r="F534" s="137" t="str">
        <f t="shared" si="79"/>
        <v/>
      </c>
      <c r="G534" s="138" t="e">
        <f>IF(A534&lt;&gt;"",IF(AND(#REF!="Padrão",$H$4=#REF!),BDI!$B$17,IF(AND(#REF!="Padrão",$H$4=#REF!),BDI!#REF!,IF(AND(#REF!="Diferenciado",$H$4=#REF!),BDI!$E$17,IF(AND(#REF!="Diferenciado",$H$4=#REF!),BDI!#REF!,IF(#REF!="ZERO",0))))),"")</f>
        <v>#REF!</v>
      </c>
      <c r="H534" s="139" t="str">
        <f t="shared" si="80"/>
        <v/>
      </c>
      <c r="I534" s="137" t="str">
        <f t="shared" si="81"/>
        <v/>
      </c>
      <c r="J534" s="117"/>
      <c r="K534" s="116">
        <v>0</v>
      </c>
      <c r="M534" s="136" t="s">
        <v>416</v>
      </c>
      <c r="N534" t="e">
        <v>#REF!</v>
      </c>
      <c r="Q534" t="s">
        <v>416</v>
      </c>
    </row>
    <row r="535" spans="1:17" hidden="1" x14ac:dyDescent="0.25">
      <c r="A535" s="114" t="s">
        <v>1870</v>
      </c>
      <c r="B535" s="115" t="s">
        <v>1871</v>
      </c>
      <c r="C535" s="116" t="s">
        <v>69</v>
      </c>
      <c r="D535" s="116">
        <v>0</v>
      </c>
      <c r="E535" s="136" t="s">
        <v>416</v>
      </c>
      <c r="F535" s="137" t="str">
        <f t="shared" si="79"/>
        <v/>
      </c>
      <c r="G535" s="138" t="e">
        <f>IF(A535&lt;&gt;"",IF(AND(#REF!="Padrão",$H$4=#REF!),BDI!$B$17,IF(AND(#REF!="Padrão",$H$4=#REF!),BDI!#REF!,IF(AND(#REF!="Diferenciado",$H$4=#REF!),BDI!$E$17,IF(AND(#REF!="Diferenciado",$H$4=#REF!),BDI!#REF!,IF(#REF!="ZERO",0))))),"")</f>
        <v>#REF!</v>
      </c>
      <c r="H535" s="139" t="str">
        <f t="shared" si="80"/>
        <v/>
      </c>
      <c r="I535" s="137" t="str">
        <f t="shared" si="81"/>
        <v/>
      </c>
      <c r="J535" s="117"/>
      <c r="K535" s="116">
        <v>0</v>
      </c>
      <c r="M535" s="136" t="s">
        <v>416</v>
      </c>
      <c r="N535" t="e">
        <v>#REF!</v>
      </c>
      <c r="Q535" t="s">
        <v>416</v>
      </c>
    </row>
    <row r="536" spans="1:17" hidden="1" x14ac:dyDescent="0.25">
      <c r="A536" s="114" t="s">
        <v>1872</v>
      </c>
      <c r="B536" s="115" t="s">
        <v>1873</v>
      </c>
      <c r="C536" s="116" t="s">
        <v>69</v>
      </c>
      <c r="D536" s="116">
        <v>0</v>
      </c>
      <c r="E536" s="136" t="s">
        <v>416</v>
      </c>
      <c r="F536" s="137" t="str">
        <f t="shared" si="79"/>
        <v/>
      </c>
      <c r="G536" s="138" t="e">
        <f>IF(A536&lt;&gt;"",IF(AND(#REF!="Padrão",$H$4=#REF!),BDI!$B$17,IF(AND(#REF!="Padrão",$H$4=#REF!),BDI!#REF!,IF(AND(#REF!="Diferenciado",$H$4=#REF!),BDI!$E$17,IF(AND(#REF!="Diferenciado",$H$4=#REF!),BDI!#REF!,IF(#REF!="ZERO",0))))),"")</f>
        <v>#REF!</v>
      </c>
      <c r="H536" s="139" t="str">
        <f t="shared" si="80"/>
        <v/>
      </c>
      <c r="I536" s="137" t="str">
        <f t="shared" si="81"/>
        <v/>
      </c>
      <c r="J536" s="117"/>
      <c r="K536" s="116">
        <v>0</v>
      </c>
      <c r="M536" s="136" t="s">
        <v>416</v>
      </c>
      <c r="N536" t="e">
        <v>#REF!</v>
      </c>
      <c r="Q536" t="s">
        <v>416</v>
      </c>
    </row>
    <row r="537" spans="1:17" hidden="1" x14ac:dyDescent="0.25">
      <c r="A537" s="114" t="s">
        <v>1874</v>
      </c>
      <c r="B537" s="115" t="s">
        <v>1875</v>
      </c>
      <c r="C537" s="116" t="s">
        <v>69</v>
      </c>
      <c r="D537" s="116">
        <v>0</v>
      </c>
      <c r="E537" s="136" t="s">
        <v>416</v>
      </c>
      <c r="F537" s="137" t="str">
        <f t="shared" si="79"/>
        <v/>
      </c>
      <c r="G537" s="138" t="e">
        <f>IF(A537&lt;&gt;"",IF(AND(#REF!="Padrão",$H$4=#REF!),BDI!$B$17,IF(AND(#REF!="Padrão",$H$4=#REF!),BDI!#REF!,IF(AND(#REF!="Diferenciado",$H$4=#REF!),BDI!$E$17,IF(AND(#REF!="Diferenciado",$H$4=#REF!),BDI!#REF!,IF(#REF!="ZERO",0))))),"")</f>
        <v>#REF!</v>
      </c>
      <c r="H537" s="139" t="str">
        <f t="shared" si="80"/>
        <v/>
      </c>
      <c r="I537" s="137" t="str">
        <f t="shared" si="81"/>
        <v/>
      </c>
      <c r="J537" s="117"/>
      <c r="K537" s="116">
        <v>0</v>
      </c>
      <c r="M537" s="136" t="s">
        <v>416</v>
      </c>
      <c r="N537" t="e">
        <v>#REF!</v>
      </c>
      <c r="Q537" t="s">
        <v>416</v>
      </c>
    </row>
    <row r="538" spans="1:17" hidden="1" x14ac:dyDescent="0.25">
      <c r="A538" s="114" t="s">
        <v>1876</v>
      </c>
      <c r="B538" s="115" t="s">
        <v>1877</v>
      </c>
      <c r="C538" s="116" t="s">
        <v>69</v>
      </c>
      <c r="D538" s="116">
        <v>0</v>
      </c>
      <c r="E538" s="136" t="s">
        <v>416</v>
      </c>
      <c r="F538" s="137" t="str">
        <f t="shared" si="79"/>
        <v/>
      </c>
      <c r="G538" s="138" t="e">
        <f>IF(A538&lt;&gt;"",IF(AND(#REF!="Padrão",$H$4=#REF!),BDI!$B$17,IF(AND(#REF!="Padrão",$H$4=#REF!),BDI!#REF!,IF(AND(#REF!="Diferenciado",$H$4=#REF!),BDI!$E$17,IF(AND(#REF!="Diferenciado",$H$4=#REF!),BDI!#REF!,IF(#REF!="ZERO",0))))),"")</f>
        <v>#REF!</v>
      </c>
      <c r="H538" s="139" t="str">
        <f t="shared" si="80"/>
        <v/>
      </c>
      <c r="I538" s="137" t="str">
        <f t="shared" si="81"/>
        <v/>
      </c>
      <c r="J538" s="117"/>
      <c r="K538" s="116">
        <v>0</v>
      </c>
      <c r="M538" s="136" t="s">
        <v>416</v>
      </c>
      <c r="N538" t="e">
        <v>#REF!</v>
      </c>
      <c r="Q538" t="s">
        <v>416</v>
      </c>
    </row>
    <row r="539" spans="1:17" hidden="1" x14ac:dyDescent="0.25">
      <c r="A539" s="114" t="s">
        <v>1878</v>
      </c>
      <c r="B539" s="115" t="s">
        <v>1879</v>
      </c>
      <c r="C539" s="116" t="s">
        <v>69</v>
      </c>
      <c r="D539" s="116">
        <v>0</v>
      </c>
      <c r="E539" s="136" t="s">
        <v>416</v>
      </c>
      <c r="F539" s="137" t="str">
        <f t="shared" si="79"/>
        <v/>
      </c>
      <c r="G539" s="138" t="e">
        <f>IF(A539&lt;&gt;"",IF(AND(#REF!="Padrão",$H$4=#REF!),BDI!$B$17,IF(AND(#REF!="Padrão",$H$4=#REF!),BDI!#REF!,IF(AND(#REF!="Diferenciado",$H$4=#REF!),BDI!$E$17,IF(AND(#REF!="Diferenciado",$H$4=#REF!),BDI!#REF!,IF(#REF!="ZERO",0))))),"")</f>
        <v>#REF!</v>
      </c>
      <c r="H539" s="139" t="str">
        <f t="shared" si="80"/>
        <v/>
      </c>
      <c r="I539" s="137" t="str">
        <f t="shared" si="81"/>
        <v/>
      </c>
      <c r="J539" s="117"/>
      <c r="K539" s="116">
        <v>0</v>
      </c>
      <c r="M539" s="136" t="s">
        <v>416</v>
      </c>
      <c r="N539" t="e">
        <v>#REF!</v>
      </c>
      <c r="Q539" t="s">
        <v>416</v>
      </c>
    </row>
    <row r="540" spans="1:17" hidden="1" x14ac:dyDescent="0.25">
      <c r="A540" s="114" t="s">
        <v>1880</v>
      </c>
      <c r="B540" s="115" t="s">
        <v>1881</v>
      </c>
      <c r="C540" s="116" t="s">
        <v>69</v>
      </c>
      <c r="D540" s="116">
        <v>0</v>
      </c>
      <c r="E540" s="136" t="s">
        <v>416</v>
      </c>
      <c r="F540" s="137" t="str">
        <f t="shared" si="79"/>
        <v/>
      </c>
      <c r="G540" s="138" t="e">
        <f>IF(A540&lt;&gt;"",IF(AND(#REF!="Padrão",$H$4=#REF!),BDI!$B$17,IF(AND(#REF!="Padrão",$H$4=#REF!),BDI!#REF!,IF(AND(#REF!="Diferenciado",$H$4=#REF!),BDI!$E$17,IF(AND(#REF!="Diferenciado",$H$4=#REF!),BDI!#REF!,IF(#REF!="ZERO",0))))),"")</f>
        <v>#REF!</v>
      </c>
      <c r="H540" s="139" t="str">
        <f t="shared" si="80"/>
        <v/>
      </c>
      <c r="I540" s="137" t="str">
        <f t="shared" si="81"/>
        <v/>
      </c>
      <c r="J540" s="117"/>
      <c r="K540" s="116">
        <v>0</v>
      </c>
      <c r="M540" s="136" t="s">
        <v>416</v>
      </c>
      <c r="N540" t="e">
        <v>#REF!</v>
      </c>
      <c r="Q540" t="s">
        <v>416</v>
      </c>
    </row>
    <row r="541" spans="1:17" hidden="1" x14ac:dyDescent="0.25">
      <c r="A541" s="114" t="s">
        <v>1882</v>
      </c>
      <c r="B541" s="115" t="s">
        <v>1883</v>
      </c>
      <c r="C541" s="116" t="s">
        <v>69</v>
      </c>
      <c r="D541" s="116">
        <v>0</v>
      </c>
      <c r="E541" s="136" t="s">
        <v>416</v>
      </c>
      <c r="F541" s="137" t="str">
        <f t="shared" si="79"/>
        <v/>
      </c>
      <c r="G541" s="138" t="e">
        <f>IF(A541&lt;&gt;"",IF(AND(#REF!="Padrão",$H$4=#REF!),BDI!$B$17,IF(AND(#REF!="Padrão",$H$4=#REF!),BDI!#REF!,IF(AND(#REF!="Diferenciado",$H$4=#REF!),BDI!$E$17,IF(AND(#REF!="Diferenciado",$H$4=#REF!),BDI!#REF!,IF(#REF!="ZERO",0))))),"")</f>
        <v>#REF!</v>
      </c>
      <c r="H541" s="139" t="str">
        <f t="shared" si="80"/>
        <v/>
      </c>
      <c r="I541" s="137" t="str">
        <f t="shared" si="81"/>
        <v/>
      </c>
      <c r="J541" s="117"/>
      <c r="K541" s="116">
        <v>0</v>
      </c>
      <c r="M541" s="136" t="s">
        <v>416</v>
      </c>
      <c r="N541" t="e">
        <v>#REF!</v>
      </c>
      <c r="Q541" t="s">
        <v>416</v>
      </c>
    </row>
    <row r="542" spans="1:17" hidden="1" x14ac:dyDescent="0.25">
      <c r="A542" s="114" t="s">
        <v>1884</v>
      </c>
      <c r="B542" s="115" t="s">
        <v>1885</v>
      </c>
      <c r="C542" s="116" t="s">
        <v>69</v>
      </c>
      <c r="D542" s="116">
        <v>0</v>
      </c>
      <c r="E542" s="136" t="s">
        <v>416</v>
      </c>
      <c r="F542" s="137" t="str">
        <f t="shared" si="79"/>
        <v/>
      </c>
      <c r="G542" s="138" t="e">
        <f>IF(A542&lt;&gt;"",IF(AND(#REF!="Padrão",$H$4=#REF!),BDI!$B$17,IF(AND(#REF!="Padrão",$H$4=#REF!),BDI!#REF!,IF(AND(#REF!="Diferenciado",$H$4=#REF!),BDI!$E$17,IF(AND(#REF!="Diferenciado",$H$4=#REF!),BDI!#REF!,IF(#REF!="ZERO",0))))),"")</f>
        <v>#REF!</v>
      </c>
      <c r="H542" s="139" t="str">
        <f t="shared" si="80"/>
        <v/>
      </c>
      <c r="I542" s="137" t="str">
        <f t="shared" si="81"/>
        <v/>
      </c>
      <c r="J542" s="117"/>
      <c r="K542" s="116">
        <v>0</v>
      </c>
      <c r="M542" s="136" t="s">
        <v>416</v>
      </c>
      <c r="N542" t="e">
        <v>#REF!</v>
      </c>
      <c r="Q542" t="s">
        <v>416</v>
      </c>
    </row>
    <row r="543" spans="1:17" hidden="1" x14ac:dyDescent="0.25">
      <c r="A543" s="114" t="s">
        <v>1886</v>
      </c>
      <c r="B543" s="115" t="s">
        <v>1887</v>
      </c>
      <c r="C543" s="116" t="s">
        <v>16</v>
      </c>
      <c r="D543" s="116">
        <v>0</v>
      </c>
      <c r="E543" s="136" t="s">
        <v>416</v>
      </c>
      <c r="F543" s="137" t="str">
        <f t="shared" si="79"/>
        <v/>
      </c>
      <c r="G543" s="138" t="e">
        <f>IF(A543&lt;&gt;"",IF(AND(#REF!="Padrão",$H$4=#REF!),BDI!$B$17,IF(AND(#REF!="Padrão",$H$4=#REF!),BDI!#REF!,IF(AND(#REF!="Diferenciado",$H$4=#REF!),BDI!$E$17,IF(AND(#REF!="Diferenciado",$H$4=#REF!),BDI!#REF!,IF(#REF!="ZERO",0))))),"")</f>
        <v>#REF!</v>
      </c>
      <c r="H543" s="139" t="str">
        <f t="shared" si="80"/>
        <v/>
      </c>
      <c r="I543" s="137" t="str">
        <f t="shared" si="81"/>
        <v/>
      </c>
      <c r="J543" s="117"/>
      <c r="K543" s="116">
        <v>0</v>
      </c>
      <c r="M543" s="136" t="s">
        <v>416</v>
      </c>
      <c r="N543" t="e">
        <v>#REF!</v>
      </c>
      <c r="Q543" t="s">
        <v>416</v>
      </c>
    </row>
    <row r="544" spans="1:17" hidden="1" x14ac:dyDescent="0.25">
      <c r="A544" s="114" t="s">
        <v>1888</v>
      </c>
      <c r="B544" s="115" t="s">
        <v>1889</v>
      </c>
      <c r="C544" s="116" t="s">
        <v>16</v>
      </c>
      <c r="D544" s="116">
        <v>0</v>
      </c>
      <c r="E544" s="136" t="s">
        <v>416</v>
      </c>
      <c r="F544" s="137" t="str">
        <f t="shared" si="79"/>
        <v/>
      </c>
      <c r="G544" s="138" t="e">
        <f>IF(A544&lt;&gt;"",IF(AND(#REF!="Padrão",$H$4=#REF!),BDI!$B$17,IF(AND(#REF!="Padrão",$H$4=#REF!),BDI!#REF!,IF(AND(#REF!="Diferenciado",$H$4=#REF!),BDI!$E$17,IF(AND(#REF!="Diferenciado",$H$4=#REF!),BDI!#REF!,IF(#REF!="ZERO",0))))),"")</f>
        <v>#REF!</v>
      </c>
      <c r="H544" s="139" t="str">
        <f t="shared" si="80"/>
        <v/>
      </c>
      <c r="I544" s="137" t="str">
        <f t="shared" si="81"/>
        <v/>
      </c>
      <c r="J544" s="117"/>
      <c r="K544" s="116">
        <v>0</v>
      </c>
      <c r="M544" s="136" t="s">
        <v>416</v>
      </c>
      <c r="N544" t="e">
        <v>#REF!</v>
      </c>
      <c r="Q544" t="s">
        <v>416</v>
      </c>
    </row>
    <row r="545" spans="1:17" hidden="1" x14ac:dyDescent="0.25">
      <c r="A545" s="114" t="s">
        <v>1890</v>
      </c>
      <c r="B545" s="115" t="s">
        <v>1891</v>
      </c>
      <c r="C545" s="116" t="s">
        <v>69</v>
      </c>
      <c r="D545" s="116">
        <v>0</v>
      </c>
      <c r="E545" s="136" t="s">
        <v>416</v>
      </c>
      <c r="F545" s="137" t="str">
        <f t="shared" si="79"/>
        <v/>
      </c>
      <c r="G545" s="138" t="e">
        <f>IF(A545&lt;&gt;"",IF(AND(#REF!="Padrão",$H$4=#REF!),BDI!$B$17,IF(AND(#REF!="Padrão",$H$4=#REF!),BDI!#REF!,IF(AND(#REF!="Diferenciado",$H$4=#REF!),BDI!$E$17,IF(AND(#REF!="Diferenciado",$H$4=#REF!),BDI!#REF!,IF(#REF!="ZERO",0))))),"")</f>
        <v>#REF!</v>
      </c>
      <c r="H545" s="139" t="str">
        <f t="shared" si="80"/>
        <v/>
      </c>
      <c r="I545" s="137" t="str">
        <f t="shared" si="81"/>
        <v/>
      </c>
      <c r="J545" s="117"/>
      <c r="K545" s="116">
        <v>0</v>
      </c>
      <c r="M545" s="136" t="s">
        <v>416</v>
      </c>
      <c r="N545" t="e">
        <v>#REF!</v>
      </c>
      <c r="Q545" t="s">
        <v>416</v>
      </c>
    </row>
    <row r="546" spans="1:17" hidden="1" x14ac:dyDescent="0.25">
      <c r="A546" s="114" t="s">
        <v>1892</v>
      </c>
      <c r="B546" s="115" t="s">
        <v>1893</v>
      </c>
      <c r="C546" s="116" t="s">
        <v>69</v>
      </c>
      <c r="D546" s="116">
        <v>0</v>
      </c>
      <c r="E546" s="136" t="s">
        <v>416</v>
      </c>
      <c r="F546" s="137" t="str">
        <f t="shared" si="79"/>
        <v/>
      </c>
      <c r="G546" s="138" t="e">
        <f>IF(A546&lt;&gt;"",IF(AND(#REF!="Padrão",$H$4=#REF!),BDI!$B$17,IF(AND(#REF!="Padrão",$H$4=#REF!),BDI!#REF!,IF(AND(#REF!="Diferenciado",$H$4=#REF!),BDI!$E$17,IF(AND(#REF!="Diferenciado",$H$4=#REF!),BDI!#REF!,IF(#REF!="ZERO",0))))),"")</f>
        <v>#REF!</v>
      </c>
      <c r="H546" s="139" t="str">
        <f t="shared" si="80"/>
        <v/>
      </c>
      <c r="I546" s="137" t="str">
        <f t="shared" si="81"/>
        <v/>
      </c>
      <c r="J546" s="117"/>
      <c r="K546" s="116">
        <v>0</v>
      </c>
      <c r="M546" s="136" t="s">
        <v>416</v>
      </c>
      <c r="N546" t="e">
        <v>#REF!</v>
      </c>
      <c r="Q546" t="s">
        <v>416</v>
      </c>
    </row>
    <row r="547" spans="1:17" hidden="1" x14ac:dyDescent="0.25">
      <c r="A547" s="114" t="s">
        <v>1894</v>
      </c>
      <c r="B547" s="115" t="s">
        <v>1895</v>
      </c>
      <c r="C547" s="116" t="s">
        <v>69</v>
      </c>
      <c r="D547" s="116">
        <v>0</v>
      </c>
      <c r="E547" s="136" t="s">
        <v>416</v>
      </c>
      <c r="F547" s="137" t="str">
        <f t="shared" si="79"/>
        <v/>
      </c>
      <c r="G547" s="138" t="e">
        <f>IF(A547&lt;&gt;"",IF(AND(#REF!="Padrão",$H$4=#REF!),BDI!$B$17,IF(AND(#REF!="Padrão",$H$4=#REF!),BDI!#REF!,IF(AND(#REF!="Diferenciado",$H$4=#REF!),BDI!$E$17,IF(AND(#REF!="Diferenciado",$H$4=#REF!),BDI!#REF!,IF(#REF!="ZERO",0))))),"")</f>
        <v>#REF!</v>
      </c>
      <c r="H547" s="139" t="str">
        <f t="shared" si="80"/>
        <v/>
      </c>
      <c r="I547" s="137" t="str">
        <f t="shared" si="81"/>
        <v/>
      </c>
      <c r="J547" s="117"/>
      <c r="K547" s="116">
        <v>0</v>
      </c>
      <c r="M547" s="136" t="s">
        <v>416</v>
      </c>
      <c r="N547" t="e">
        <v>#REF!</v>
      </c>
      <c r="Q547" t="s">
        <v>416</v>
      </c>
    </row>
    <row r="548" spans="1:17" hidden="1" x14ac:dyDescent="0.25">
      <c r="A548" s="114" t="s">
        <v>1896</v>
      </c>
      <c r="B548" s="115" t="s">
        <v>1897</v>
      </c>
      <c r="C548" s="116" t="s">
        <v>69</v>
      </c>
      <c r="D548" s="116">
        <v>0</v>
      </c>
      <c r="E548" s="136" t="s">
        <v>416</v>
      </c>
      <c r="F548" s="137" t="str">
        <f t="shared" si="79"/>
        <v/>
      </c>
      <c r="G548" s="138" t="e">
        <f>IF(A548&lt;&gt;"",IF(AND(#REF!="Padrão",$H$4=#REF!),BDI!$B$17,IF(AND(#REF!="Padrão",$H$4=#REF!),BDI!#REF!,IF(AND(#REF!="Diferenciado",$H$4=#REF!),BDI!$E$17,IF(AND(#REF!="Diferenciado",$H$4=#REF!),BDI!#REF!,IF(#REF!="ZERO",0))))),"")</f>
        <v>#REF!</v>
      </c>
      <c r="H548" s="139" t="str">
        <f t="shared" si="80"/>
        <v/>
      </c>
      <c r="I548" s="137" t="str">
        <f t="shared" si="81"/>
        <v/>
      </c>
      <c r="J548" s="117"/>
      <c r="K548" s="116">
        <v>0</v>
      </c>
      <c r="M548" s="136" t="s">
        <v>416</v>
      </c>
      <c r="N548" t="e">
        <v>#REF!</v>
      </c>
      <c r="Q548" t="s">
        <v>416</v>
      </c>
    </row>
    <row r="549" spans="1:17" hidden="1" x14ac:dyDescent="0.25">
      <c r="A549" s="114" t="s">
        <v>1898</v>
      </c>
      <c r="B549" s="115" t="s">
        <v>1899</v>
      </c>
      <c r="C549" s="116" t="s">
        <v>69</v>
      </c>
      <c r="D549" s="116">
        <v>0</v>
      </c>
      <c r="E549" s="136" t="s">
        <v>416</v>
      </c>
      <c r="F549" s="137" t="str">
        <f t="shared" si="79"/>
        <v/>
      </c>
      <c r="G549" s="138" t="e">
        <f>IF(A549&lt;&gt;"",IF(AND(#REF!="Padrão",$H$4=#REF!),BDI!$B$17,IF(AND(#REF!="Padrão",$H$4=#REF!),BDI!#REF!,IF(AND(#REF!="Diferenciado",$H$4=#REF!),BDI!$E$17,IF(AND(#REF!="Diferenciado",$H$4=#REF!),BDI!#REF!,IF(#REF!="ZERO",0))))),"")</f>
        <v>#REF!</v>
      </c>
      <c r="H549" s="139" t="str">
        <f t="shared" si="80"/>
        <v/>
      </c>
      <c r="I549" s="137" t="str">
        <f t="shared" si="81"/>
        <v/>
      </c>
      <c r="J549" s="117"/>
      <c r="K549" s="116">
        <v>0</v>
      </c>
      <c r="M549" s="136" t="s">
        <v>416</v>
      </c>
      <c r="N549" t="e">
        <v>#REF!</v>
      </c>
      <c r="Q549" t="s">
        <v>416</v>
      </c>
    </row>
    <row r="550" spans="1:17" hidden="1" x14ac:dyDescent="0.25">
      <c r="A550" s="114" t="s">
        <v>1900</v>
      </c>
      <c r="B550" s="115" t="s">
        <v>1901</v>
      </c>
      <c r="C550" s="116" t="s">
        <v>69</v>
      </c>
      <c r="D550" s="116">
        <v>0</v>
      </c>
      <c r="E550" s="136" t="s">
        <v>416</v>
      </c>
      <c r="F550" s="137" t="str">
        <f t="shared" si="79"/>
        <v/>
      </c>
      <c r="G550" s="138" t="e">
        <f>IF(A550&lt;&gt;"",IF(AND(#REF!="Padrão",$H$4=#REF!),BDI!$B$17,IF(AND(#REF!="Padrão",$H$4=#REF!),BDI!#REF!,IF(AND(#REF!="Diferenciado",$H$4=#REF!),BDI!$E$17,IF(AND(#REF!="Diferenciado",$H$4=#REF!),BDI!#REF!,IF(#REF!="ZERO",0))))),"")</f>
        <v>#REF!</v>
      </c>
      <c r="H550" s="139" t="str">
        <f t="shared" si="80"/>
        <v/>
      </c>
      <c r="I550" s="137" t="str">
        <f t="shared" si="81"/>
        <v/>
      </c>
      <c r="J550" s="117"/>
      <c r="K550" s="116">
        <v>0</v>
      </c>
      <c r="M550" s="136" t="s">
        <v>416</v>
      </c>
      <c r="N550" t="e">
        <v>#REF!</v>
      </c>
      <c r="Q550" t="s">
        <v>416</v>
      </c>
    </row>
    <row r="551" spans="1:17" hidden="1" x14ac:dyDescent="0.25">
      <c r="A551" s="114" t="s">
        <v>1902</v>
      </c>
      <c r="B551" s="115" t="s">
        <v>1903</v>
      </c>
      <c r="C551" s="116" t="s">
        <v>69</v>
      </c>
      <c r="D551" s="116">
        <v>0</v>
      </c>
      <c r="E551" s="136" t="s">
        <v>416</v>
      </c>
      <c r="F551" s="137" t="str">
        <f t="shared" si="79"/>
        <v/>
      </c>
      <c r="G551" s="138" t="e">
        <f>IF(A551&lt;&gt;"",IF(AND(#REF!="Padrão",$H$4=#REF!),BDI!$B$17,IF(AND(#REF!="Padrão",$H$4=#REF!),BDI!#REF!,IF(AND(#REF!="Diferenciado",$H$4=#REF!),BDI!$E$17,IF(AND(#REF!="Diferenciado",$H$4=#REF!),BDI!#REF!,IF(#REF!="ZERO",0))))),"")</f>
        <v>#REF!</v>
      </c>
      <c r="H551" s="139" t="str">
        <f t="shared" si="80"/>
        <v/>
      </c>
      <c r="I551" s="137" t="str">
        <f t="shared" si="81"/>
        <v/>
      </c>
      <c r="J551" s="117"/>
      <c r="K551" s="116">
        <v>0</v>
      </c>
      <c r="M551" s="136" t="s">
        <v>416</v>
      </c>
      <c r="N551" t="e">
        <v>#REF!</v>
      </c>
      <c r="Q551" t="s">
        <v>416</v>
      </c>
    </row>
    <row r="552" spans="1:17" hidden="1" x14ac:dyDescent="0.25">
      <c r="A552" s="114" t="s">
        <v>1904</v>
      </c>
      <c r="B552" s="115" t="s">
        <v>1905</v>
      </c>
      <c r="C552" s="116" t="s">
        <v>69</v>
      </c>
      <c r="D552" s="116">
        <v>0</v>
      </c>
      <c r="E552" s="136" t="s">
        <v>416</v>
      </c>
      <c r="F552" s="137" t="str">
        <f t="shared" si="79"/>
        <v/>
      </c>
      <c r="G552" s="138" t="e">
        <f>IF(A552&lt;&gt;"",IF(AND(#REF!="Padrão",$H$4=#REF!),BDI!$B$17,IF(AND(#REF!="Padrão",$H$4=#REF!),BDI!#REF!,IF(AND(#REF!="Diferenciado",$H$4=#REF!),BDI!$E$17,IF(AND(#REF!="Diferenciado",$H$4=#REF!),BDI!#REF!,IF(#REF!="ZERO",0))))),"")</f>
        <v>#REF!</v>
      </c>
      <c r="H552" s="139" t="str">
        <f t="shared" si="80"/>
        <v/>
      </c>
      <c r="I552" s="137" t="str">
        <f t="shared" si="81"/>
        <v/>
      </c>
      <c r="J552" s="117"/>
      <c r="K552" s="116">
        <v>0</v>
      </c>
      <c r="M552" s="136" t="s">
        <v>416</v>
      </c>
      <c r="N552" t="e">
        <v>#REF!</v>
      </c>
      <c r="Q552" t="s">
        <v>416</v>
      </c>
    </row>
    <row r="553" spans="1:17" hidden="1" x14ac:dyDescent="0.25">
      <c r="A553" s="114" t="s">
        <v>1906</v>
      </c>
      <c r="B553" s="115" t="s">
        <v>1907</v>
      </c>
      <c r="C553" s="116" t="s">
        <v>69</v>
      </c>
      <c r="D553" s="116">
        <v>0</v>
      </c>
      <c r="E553" s="136" t="s">
        <v>416</v>
      </c>
      <c r="F553" s="137" t="str">
        <f t="shared" si="79"/>
        <v/>
      </c>
      <c r="G553" s="138" t="e">
        <f>IF(A553&lt;&gt;"",IF(AND(#REF!="Padrão",$H$4=#REF!),BDI!$B$17,IF(AND(#REF!="Padrão",$H$4=#REF!),BDI!#REF!,IF(AND(#REF!="Diferenciado",$H$4=#REF!),BDI!$E$17,IF(AND(#REF!="Diferenciado",$H$4=#REF!),BDI!#REF!,IF(#REF!="ZERO",0))))),"")</f>
        <v>#REF!</v>
      </c>
      <c r="H553" s="139" t="str">
        <f t="shared" si="80"/>
        <v/>
      </c>
      <c r="I553" s="137" t="str">
        <f t="shared" si="81"/>
        <v/>
      </c>
      <c r="J553" s="117"/>
      <c r="K553" s="116">
        <v>0</v>
      </c>
      <c r="M553" s="136" t="s">
        <v>416</v>
      </c>
      <c r="N553" t="e">
        <v>#REF!</v>
      </c>
      <c r="Q553" t="s">
        <v>416</v>
      </c>
    </row>
    <row r="554" spans="1:17" hidden="1" x14ac:dyDescent="0.25">
      <c r="A554" s="114" t="s">
        <v>1908</v>
      </c>
      <c r="B554" s="115" t="s">
        <v>1909</v>
      </c>
      <c r="C554" s="116" t="s">
        <v>69</v>
      </c>
      <c r="D554" s="116">
        <v>0</v>
      </c>
      <c r="E554" s="136" t="s">
        <v>416</v>
      </c>
      <c r="F554" s="137" t="str">
        <f t="shared" si="79"/>
        <v/>
      </c>
      <c r="G554" s="138" t="e">
        <f>IF(A554&lt;&gt;"",IF(AND(#REF!="Padrão",$H$4=#REF!),BDI!$B$17,IF(AND(#REF!="Padrão",$H$4=#REF!),BDI!#REF!,IF(AND(#REF!="Diferenciado",$H$4=#REF!),BDI!$E$17,IF(AND(#REF!="Diferenciado",$H$4=#REF!),BDI!#REF!,IF(#REF!="ZERO",0))))),"")</f>
        <v>#REF!</v>
      </c>
      <c r="H554" s="139" t="str">
        <f t="shared" si="80"/>
        <v/>
      </c>
      <c r="I554" s="137" t="str">
        <f t="shared" si="81"/>
        <v/>
      </c>
      <c r="J554" s="117"/>
      <c r="K554" s="116">
        <v>0</v>
      </c>
      <c r="M554" s="136" t="s">
        <v>416</v>
      </c>
      <c r="N554" t="e">
        <v>#REF!</v>
      </c>
      <c r="Q554" t="s">
        <v>416</v>
      </c>
    </row>
    <row r="555" spans="1:17" hidden="1" x14ac:dyDescent="0.25">
      <c r="A555" s="114" t="s">
        <v>1910</v>
      </c>
      <c r="B555" s="115" t="s">
        <v>1911</v>
      </c>
      <c r="C555" s="116" t="s">
        <v>69</v>
      </c>
      <c r="D555" s="116">
        <v>0</v>
      </c>
      <c r="E555" s="136" t="s">
        <v>416</v>
      </c>
      <c r="F555" s="137" t="str">
        <f t="shared" si="79"/>
        <v/>
      </c>
      <c r="G555" s="138" t="e">
        <f>IF(A555&lt;&gt;"",IF(AND(#REF!="Padrão",$H$4=#REF!),BDI!$B$17,IF(AND(#REF!="Padrão",$H$4=#REF!),BDI!#REF!,IF(AND(#REF!="Diferenciado",$H$4=#REF!),BDI!$E$17,IF(AND(#REF!="Diferenciado",$H$4=#REF!),BDI!#REF!,IF(#REF!="ZERO",0))))),"")</f>
        <v>#REF!</v>
      </c>
      <c r="H555" s="139" t="str">
        <f t="shared" si="80"/>
        <v/>
      </c>
      <c r="I555" s="137" t="str">
        <f t="shared" si="81"/>
        <v/>
      </c>
      <c r="J555" s="117"/>
      <c r="K555" s="116">
        <v>0</v>
      </c>
      <c r="M555" s="136" t="s">
        <v>416</v>
      </c>
      <c r="N555" t="e">
        <v>#REF!</v>
      </c>
      <c r="Q555" t="s">
        <v>416</v>
      </c>
    </row>
    <row r="556" spans="1:17" hidden="1" x14ac:dyDescent="0.25">
      <c r="A556" s="114" t="s">
        <v>1912</v>
      </c>
      <c r="B556" s="115" t="s">
        <v>7630</v>
      </c>
      <c r="C556" s="116" t="s">
        <v>69</v>
      </c>
      <c r="D556" s="116">
        <v>0</v>
      </c>
      <c r="E556" s="136" t="s">
        <v>416</v>
      </c>
      <c r="F556" s="137" t="str">
        <f t="shared" si="79"/>
        <v/>
      </c>
      <c r="G556" s="138" t="e">
        <f>IF(A556&lt;&gt;"",IF(AND(#REF!="Padrão",$H$4=#REF!),BDI!$B$17,IF(AND(#REF!="Padrão",$H$4=#REF!),BDI!#REF!,IF(AND(#REF!="Diferenciado",$H$4=#REF!),BDI!$E$17,IF(AND(#REF!="Diferenciado",$H$4=#REF!),BDI!#REF!,IF(#REF!="ZERO",0))))),"")</f>
        <v>#REF!</v>
      </c>
      <c r="H556" s="139" t="str">
        <f t="shared" si="80"/>
        <v/>
      </c>
      <c r="I556" s="137" t="str">
        <f t="shared" si="81"/>
        <v/>
      </c>
      <c r="J556" s="117"/>
      <c r="K556" s="116">
        <v>0</v>
      </c>
      <c r="M556" s="136" t="s">
        <v>416</v>
      </c>
      <c r="N556" t="e">
        <v>#REF!</v>
      </c>
      <c r="Q556" t="s">
        <v>416</v>
      </c>
    </row>
    <row r="557" spans="1:17" hidden="1" x14ac:dyDescent="0.25">
      <c r="A557" s="114" t="s">
        <v>1913</v>
      </c>
      <c r="B557" s="115" t="s">
        <v>7631</v>
      </c>
      <c r="C557" s="116" t="s">
        <v>69</v>
      </c>
      <c r="D557" s="116">
        <v>0</v>
      </c>
      <c r="E557" s="136" t="s">
        <v>416</v>
      </c>
      <c r="F557" s="137" t="str">
        <f t="shared" si="79"/>
        <v/>
      </c>
      <c r="G557" s="138" t="e">
        <f>IF(A557&lt;&gt;"",IF(AND(#REF!="Padrão",$H$4=#REF!),BDI!$B$17,IF(AND(#REF!="Padrão",$H$4=#REF!),BDI!#REF!,IF(AND(#REF!="Diferenciado",$H$4=#REF!),BDI!$E$17,IF(AND(#REF!="Diferenciado",$H$4=#REF!),BDI!#REF!,IF(#REF!="ZERO",0))))),"")</f>
        <v>#REF!</v>
      </c>
      <c r="H557" s="139" t="str">
        <f t="shared" si="80"/>
        <v/>
      </c>
      <c r="I557" s="137" t="str">
        <f t="shared" si="81"/>
        <v/>
      </c>
      <c r="J557" s="117"/>
      <c r="K557" s="116">
        <v>0</v>
      </c>
      <c r="M557" s="136" t="s">
        <v>416</v>
      </c>
      <c r="N557" t="e">
        <v>#REF!</v>
      </c>
      <c r="Q557" t="s">
        <v>416</v>
      </c>
    </row>
    <row r="558" spans="1:17" hidden="1" x14ac:dyDescent="0.25">
      <c r="A558" s="114" t="s">
        <v>1914</v>
      </c>
      <c r="B558" s="115" t="s">
        <v>7632</v>
      </c>
      <c r="C558" s="116" t="s">
        <v>69</v>
      </c>
      <c r="D558" s="116">
        <v>0</v>
      </c>
      <c r="E558" s="136" t="s">
        <v>416</v>
      </c>
      <c r="F558" s="137" t="str">
        <f t="shared" si="79"/>
        <v/>
      </c>
      <c r="G558" s="138" t="e">
        <f>IF(A558&lt;&gt;"",IF(AND(#REF!="Padrão",$H$4=#REF!),BDI!$B$17,IF(AND(#REF!="Padrão",$H$4=#REF!),BDI!#REF!,IF(AND(#REF!="Diferenciado",$H$4=#REF!),BDI!$E$17,IF(AND(#REF!="Diferenciado",$H$4=#REF!),BDI!#REF!,IF(#REF!="ZERO",0))))),"")</f>
        <v>#REF!</v>
      </c>
      <c r="H558" s="139" t="str">
        <f t="shared" si="80"/>
        <v/>
      </c>
      <c r="I558" s="137" t="str">
        <f t="shared" si="81"/>
        <v/>
      </c>
      <c r="J558" s="117"/>
      <c r="K558" s="116">
        <v>0</v>
      </c>
      <c r="M558" s="136" t="s">
        <v>416</v>
      </c>
      <c r="N558" t="e">
        <v>#REF!</v>
      </c>
      <c r="Q558" t="s">
        <v>416</v>
      </c>
    </row>
    <row r="559" spans="1:17" hidden="1" x14ac:dyDescent="0.25">
      <c r="A559" s="114" t="s">
        <v>1915</v>
      </c>
      <c r="B559" s="115" t="s">
        <v>7633</v>
      </c>
      <c r="C559" s="116" t="s">
        <v>69</v>
      </c>
      <c r="D559" s="116">
        <v>0</v>
      </c>
      <c r="E559" s="136" t="s">
        <v>416</v>
      </c>
      <c r="F559" s="137" t="str">
        <f t="shared" si="79"/>
        <v/>
      </c>
      <c r="G559" s="138" t="e">
        <f>IF(A559&lt;&gt;"",IF(AND(#REF!="Padrão",$H$4=#REF!),BDI!$B$17,IF(AND(#REF!="Padrão",$H$4=#REF!),BDI!#REF!,IF(AND(#REF!="Diferenciado",$H$4=#REF!),BDI!$E$17,IF(AND(#REF!="Diferenciado",$H$4=#REF!),BDI!#REF!,IF(#REF!="ZERO",0))))),"")</f>
        <v>#REF!</v>
      </c>
      <c r="H559" s="139" t="str">
        <f t="shared" si="80"/>
        <v/>
      </c>
      <c r="I559" s="137" t="str">
        <f t="shared" si="81"/>
        <v/>
      </c>
      <c r="J559" s="117"/>
      <c r="K559" s="116">
        <v>0</v>
      </c>
      <c r="M559" s="136" t="s">
        <v>416</v>
      </c>
      <c r="N559" t="e">
        <v>#REF!</v>
      </c>
      <c r="Q559" t="s">
        <v>416</v>
      </c>
    </row>
    <row r="560" spans="1:17" hidden="1" x14ac:dyDescent="0.25">
      <c r="A560" s="114" t="s">
        <v>1916</v>
      </c>
      <c r="B560" s="115" t="s">
        <v>7634</v>
      </c>
      <c r="C560" s="116" t="s">
        <v>69</v>
      </c>
      <c r="D560" s="116">
        <v>0</v>
      </c>
      <c r="E560" s="136" t="s">
        <v>416</v>
      </c>
      <c r="F560" s="137" t="str">
        <f t="shared" si="79"/>
        <v/>
      </c>
      <c r="G560" s="138" t="e">
        <f>IF(A560&lt;&gt;"",IF(AND(#REF!="Padrão",$H$4=#REF!),BDI!$B$17,IF(AND(#REF!="Padrão",$H$4=#REF!),BDI!#REF!,IF(AND(#REF!="Diferenciado",$H$4=#REF!),BDI!$E$17,IF(AND(#REF!="Diferenciado",$H$4=#REF!),BDI!#REF!,IF(#REF!="ZERO",0))))),"")</f>
        <v>#REF!</v>
      </c>
      <c r="H560" s="139" t="str">
        <f t="shared" si="80"/>
        <v/>
      </c>
      <c r="I560" s="137" t="str">
        <f t="shared" si="81"/>
        <v/>
      </c>
      <c r="J560" s="117"/>
      <c r="K560" s="116">
        <v>0</v>
      </c>
      <c r="M560" s="136" t="s">
        <v>416</v>
      </c>
      <c r="N560" t="e">
        <v>#REF!</v>
      </c>
      <c r="Q560" t="s">
        <v>416</v>
      </c>
    </row>
    <row r="561" spans="1:17" ht="25.5" hidden="1" x14ac:dyDescent="0.25">
      <c r="A561" s="114" t="s">
        <v>1917</v>
      </c>
      <c r="B561" s="115" t="s">
        <v>7635</v>
      </c>
      <c r="C561" s="116" t="s">
        <v>1918</v>
      </c>
      <c r="D561" s="116">
        <v>0</v>
      </c>
      <c r="E561" s="136" t="s">
        <v>416</v>
      </c>
      <c r="F561" s="137" t="str">
        <f t="shared" si="79"/>
        <v/>
      </c>
      <c r="G561" s="138" t="e">
        <f>IF(A561&lt;&gt;"",IF(AND(#REF!="Padrão",$H$4=#REF!),BDI!$B$17,IF(AND(#REF!="Padrão",$H$4=#REF!),BDI!#REF!,IF(AND(#REF!="Diferenciado",$H$4=#REF!),BDI!$E$17,IF(AND(#REF!="Diferenciado",$H$4=#REF!),BDI!#REF!,IF(#REF!="ZERO",0))))),"")</f>
        <v>#REF!</v>
      </c>
      <c r="H561" s="139" t="str">
        <f t="shared" si="80"/>
        <v/>
      </c>
      <c r="I561" s="137" t="str">
        <f t="shared" si="81"/>
        <v/>
      </c>
      <c r="J561" s="117"/>
      <c r="K561" s="116">
        <v>0</v>
      </c>
      <c r="M561" s="136" t="s">
        <v>416</v>
      </c>
      <c r="N561" t="e">
        <v>#REF!</v>
      </c>
      <c r="Q561" t="s">
        <v>416</v>
      </c>
    </row>
    <row r="562" spans="1:17" hidden="1" x14ac:dyDescent="0.25">
      <c r="A562" s="114" t="s">
        <v>1919</v>
      </c>
      <c r="B562" s="115" t="s">
        <v>1920</v>
      </c>
      <c r="C562" s="116" t="s">
        <v>70</v>
      </c>
      <c r="D562" s="116">
        <v>0</v>
      </c>
      <c r="E562" s="136">
        <f ca="1">OFFSET(INDEX(Composições!A:J,MATCH(Orçamentária!A562,Composições!A:A,0),8),2,0)</f>
        <v>5.7285000000000004</v>
      </c>
      <c r="F562" s="137">
        <f t="shared" ca="1" si="79"/>
        <v>0</v>
      </c>
      <c r="G562" s="138" t="e">
        <f>IF(A562&lt;&gt;"",IF(AND(#REF!="Padrão",$H$4=#REF!),BDI!$B$17,IF(AND(#REF!="Padrão",$H$4=#REF!),BDI!#REF!,IF(AND(#REF!="Diferenciado",$H$4=#REF!),BDI!$E$17,IF(AND(#REF!="Diferenciado",$H$4=#REF!),BDI!#REF!,IF(#REF!="ZERO",0))))),"")</f>
        <v>#REF!</v>
      </c>
      <c r="H562" s="139" t="e">
        <f t="shared" ca="1" si="80"/>
        <v>#REF!</v>
      </c>
      <c r="I562" s="137" t="e">
        <f t="shared" ca="1" si="81"/>
        <v>#REF!</v>
      </c>
      <c r="J562" s="117"/>
      <c r="K562" s="116">
        <v>0</v>
      </c>
      <c r="M562" s="136" t="e">
        <f ca="1">OFFSET(INDEX([1]Composições!I:R,MATCH([1]Orçamentária!I562,[1]Composições!I:I,0),8),2,0)</f>
        <v>#REF!</v>
      </c>
      <c r="N562" t="e">
        <v>#REF!</v>
      </c>
      <c r="Q562" t="e">
        <v>#REF!</v>
      </c>
    </row>
    <row r="563" spans="1:17" hidden="1" x14ac:dyDescent="0.25">
      <c r="A563" s="114" t="s">
        <v>1921</v>
      </c>
      <c r="B563" s="115" t="s">
        <v>1922</v>
      </c>
      <c r="C563" s="116" t="s">
        <v>70</v>
      </c>
      <c r="D563" s="116">
        <v>0</v>
      </c>
      <c r="E563" s="136" t="s">
        <v>416</v>
      </c>
      <c r="F563" s="137" t="str">
        <f t="shared" si="79"/>
        <v/>
      </c>
      <c r="G563" s="138" t="e">
        <f>IF(A563&lt;&gt;"",IF(AND(#REF!="Padrão",$H$4=#REF!),BDI!$B$17,IF(AND(#REF!="Padrão",$H$4=#REF!),BDI!#REF!,IF(AND(#REF!="Diferenciado",$H$4=#REF!),BDI!$E$17,IF(AND(#REF!="Diferenciado",$H$4=#REF!),BDI!#REF!,IF(#REF!="ZERO",0))))),"")</f>
        <v>#REF!</v>
      </c>
      <c r="H563" s="139" t="str">
        <f t="shared" si="80"/>
        <v/>
      </c>
      <c r="I563" s="137" t="str">
        <f t="shared" si="81"/>
        <v/>
      </c>
      <c r="J563" s="117"/>
      <c r="K563" s="116">
        <v>0</v>
      </c>
      <c r="M563" s="136" t="s">
        <v>416</v>
      </c>
      <c r="N563" t="e">
        <v>#REF!</v>
      </c>
      <c r="Q563" t="s">
        <v>416</v>
      </c>
    </row>
    <row r="564" spans="1:17" hidden="1" x14ac:dyDescent="0.25">
      <c r="A564" s="114" t="s">
        <v>1923</v>
      </c>
      <c r="B564" s="115" t="s">
        <v>7636</v>
      </c>
      <c r="C564" s="116" t="s">
        <v>28</v>
      </c>
      <c r="D564" s="116">
        <v>0</v>
      </c>
      <c r="E564" s="136">
        <f ca="1">OFFSET(INDEX(Composições!A:J,MATCH(Orçamentária!A564,Composições!A:A,0),8),2,0)</f>
        <v>27.663999999999998</v>
      </c>
      <c r="F564" s="137">
        <f t="shared" ca="1" si="79"/>
        <v>0</v>
      </c>
      <c r="G564" s="138" t="e">
        <f>IF(A564&lt;&gt;"",IF(AND(#REF!="Padrão",$H$4=#REF!),BDI!$B$17,IF(AND(#REF!="Padrão",$H$4=#REF!),BDI!#REF!,IF(AND(#REF!="Diferenciado",$H$4=#REF!),BDI!$E$17,IF(AND(#REF!="Diferenciado",$H$4=#REF!),BDI!#REF!,IF(#REF!="ZERO",0))))),"")</f>
        <v>#REF!</v>
      </c>
      <c r="H564" s="139" t="e">
        <f t="shared" ca="1" si="80"/>
        <v>#REF!</v>
      </c>
      <c r="I564" s="137" t="e">
        <f t="shared" ca="1" si="81"/>
        <v>#REF!</v>
      </c>
      <c r="J564" s="117"/>
      <c r="K564" s="116">
        <v>0</v>
      </c>
      <c r="M564" s="136" t="e">
        <f ca="1">OFFSET(INDEX([1]Composições!I:R,MATCH([1]Orçamentária!I564,[1]Composições!I:I,0),8),2,0)</f>
        <v>#REF!</v>
      </c>
      <c r="N564" t="e">
        <v>#REF!</v>
      </c>
      <c r="Q564" t="e">
        <v>#REF!</v>
      </c>
    </row>
    <row r="565" spans="1:17" hidden="1" x14ac:dyDescent="0.25">
      <c r="A565" s="114" t="s">
        <v>1924</v>
      </c>
      <c r="B565" s="115" t="s">
        <v>1925</v>
      </c>
      <c r="C565" s="116" t="s">
        <v>28</v>
      </c>
      <c r="D565" s="116">
        <v>0</v>
      </c>
      <c r="E565" s="136" t="s">
        <v>416</v>
      </c>
      <c r="F565" s="137" t="str">
        <f t="shared" si="79"/>
        <v/>
      </c>
      <c r="G565" s="138" t="e">
        <f>IF(A565&lt;&gt;"",IF(AND(#REF!="Padrão",$H$4=#REF!),BDI!$B$17,IF(AND(#REF!="Padrão",$H$4=#REF!),BDI!#REF!,IF(AND(#REF!="Diferenciado",$H$4=#REF!),BDI!$E$17,IF(AND(#REF!="Diferenciado",$H$4=#REF!),BDI!#REF!,IF(#REF!="ZERO",0))))),"")</f>
        <v>#REF!</v>
      </c>
      <c r="H565" s="139" t="str">
        <f t="shared" si="80"/>
        <v/>
      </c>
      <c r="I565" s="137" t="str">
        <f t="shared" si="81"/>
        <v/>
      </c>
      <c r="J565" s="117"/>
      <c r="K565" s="116">
        <v>0</v>
      </c>
      <c r="M565" s="136" t="s">
        <v>416</v>
      </c>
      <c r="N565" t="e">
        <v>#REF!</v>
      </c>
      <c r="Q565" t="s">
        <v>416</v>
      </c>
    </row>
    <row r="566" spans="1:17" hidden="1" x14ac:dyDescent="0.25">
      <c r="A566" s="114" t="s">
        <v>1926</v>
      </c>
      <c r="B566" s="115" t="s">
        <v>1927</v>
      </c>
      <c r="C566" s="116" t="s">
        <v>70</v>
      </c>
      <c r="D566" s="116">
        <v>0</v>
      </c>
      <c r="E566" s="136">
        <f ca="1">OFFSET(INDEX(Composições!A:J,MATCH(Orçamentária!A566,Composições!A:A,0),8),2,0)</f>
        <v>40.802500000000002</v>
      </c>
      <c r="F566" s="137">
        <f t="shared" ca="1" si="79"/>
        <v>0</v>
      </c>
      <c r="G566" s="138" t="e">
        <f>IF(A566&lt;&gt;"",IF(AND(#REF!="Padrão",$H$4=#REF!),BDI!$B$17,IF(AND(#REF!="Padrão",$H$4=#REF!),BDI!#REF!,IF(AND(#REF!="Diferenciado",$H$4=#REF!),BDI!$E$17,IF(AND(#REF!="Diferenciado",$H$4=#REF!),BDI!#REF!,IF(#REF!="ZERO",0))))),"")</f>
        <v>#REF!</v>
      </c>
      <c r="H566" s="139" t="e">
        <f t="shared" ca="1" si="80"/>
        <v>#REF!</v>
      </c>
      <c r="I566" s="137" t="e">
        <f t="shared" ca="1" si="81"/>
        <v>#REF!</v>
      </c>
      <c r="J566" s="117"/>
      <c r="K566" s="116">
        <v>0</v>
      </c>
      <c r="M566" s="136" t="e">
        <f ca="1">OFFSET(INDEX([1]Composições!I:R,MATCH([1]Orçamentária!I566,[1]Composições!I:I,0),8),2,0)</f>
        <v>#REF!</v>
      </c>
      <c r="N566" t="e">
        <v>#REF!</v>
      </c>
      <c r="Q566" t="e">
        <v>#REF!</v>
      </c>
    </row>
    <row r="567" spans="1:17" hidden="1" x14ac:dyDescent="0.25">
      <c r="A567" s="114" t="s">
        <v>1928</v>
      </c>
      <c r="B567" s="115" t="s">
        <v>1929</v>
      </c>
      <c r="C567" s="116" t="s">
        <v>16</v>
      </c>
      <c r="D567" s="116">
        <v>0</v>
      </c>
      <c r="E567" s="136">
        <f ca="1">OFFSET(INDEX(Composições!A:J,MATCH(Orçamentária!A567,Composições!A:A,0),8),2,0)</f>
        <v>15.5306</v>
      </c>
      <c r="F567" s="137">
        <f t="shared" ca="1" si="79"/>
        <v>0</v>
      </c>
      <c r="G567" s="138" t="e">
        <f>IF(A567&lt;&gt;"",IF(AND(#REF!="Padrão",$H$4=#REF!),BDI!$B$17,IF(AND(#REF!="Padrão",$H$4=#REF!),BDI!#REF!,IF(AND(#REF!="Diferenciado",$H$4=#REF!),BDI!$E$17,IF(AND(#REF!="Diferenciado",$H$4=#REF!),BDI!#REF!,IF(#REF!="ZERO",0))))),"")</f>
        <v>#REF!</v>
      </c>
      <c r="H567" s="139" t="e">
        <f t="shared" ca="1" si="80"/>
        <v>#REF!</v>
      </c>
      <c r="I567" s="137" t="e">
        <f t="shared" ca="1" si="81"/>
        <v>#REF!</v>
      </c>
      <c r="J567" s="117"/>
      <c r="K567" s="116">
        <v>0</v>
      </c>
      <c r="M567" s="136" t="e">
        <f ca="1">OFFSET(INDEX([1]Composições!I:R,MATCH([1]Orçamentária!I567,[1]Composições!I:I,0),8),2,0)</f>
        <v>#REF!</v>
      </c>
      <c r="N567" t="e">
        <v>#REF!</v>
      </c>
      <c r="Q567" t="e">
        <v>#REF!</v>
      </c>
    </row>
    <row r="568" spans="1:17" hidden="1" x14ac:dyDescent="0.25">
      <c r="A568" s="114" t="s">
        <v>622</v>
      </c>
      <c r="B568" s="115" t="s">
        <v>1930</v>
      </c>
      <c r="C568" s="116" t="s">
        <v>1931</v>
      </c>
      <c r="D568" s="116">
        <v>0</v>
      </c>
      <c r="E568" s="136">
        <f ca="1">OFFSET(INDEX(Composições!A:J,MATCH(Orçamentária!A568,Composições!A:A,0),8),2,0)</f>
        <v>24.32</v>
      </c>
      <c r="F568" s="137">
        <f t="shared" ca="1" si="79"/>
        <v>0</v>
      </c>
      <c r="G568" s="138" t="e">
        <f>IF(A568&lt;&gt;"",IF(AND(#REF!="Padrão",$H$4=#REF!),BDI!$B$17,IF(AND(#REF!="Padrão",$H$4=#REF!),BDI!#REF!,IF(AND(#REF!="Diferenciado",$H$4=#REF!),BDI!$E$17,IF(AND(#REF!="Diferenciado",$H$4=#REF!),BDI!#REF!,IF(#REF!="ZERO",0))))),"")</f>
        <v>#REF!</v>
      </c>
      <c r="H568" s="139" t="e">
        <f t="shared" ca="1" si="80"/>
        <v>#REF!</v>
      </c>
      <c r="I568" s="137" t="e">
        <f t="shared" ca="1" si="81"/>
        <v>#REF!</v>
      </c>
      <c r="J568" s="117"/>
      <c r="K568" s="116">
        <v>0</v>
      </c>
      <c r="M568" s="136" t="e">
        <f ca="1">OFFSET(INDEX([1]Composições!I:R,MATCH([1]Orçamentária!I568,[1]Composições!I:I,0),8),2,0)</f>
        <v>#REF!</v>
      </c>
      <c r="N568" t="e">
        <v>#REF!</v>
      </c>
      <c r="Q568" t="e">
        <v>#REF!</v>
      </c>
    </row>
    <row r="569" spans="1:17" hidden="1" x14ac:dyDescent="0.25">
      <c r="A569" s="114" t="s">
        <v>624</v>
      </c>
      <c r="B569" s="115" t="s">
        <v>1932</v>
      </c>
      <c r="C569" s="116" t="s">
        <v>1931</v>
      </c>
      <c r="D569" s="116">
        <v>0</v>
      </c>
      <c r="E569" s="136">
        <f ca="1">OFFSET(INDEX(Composições!A:J,MATCH(Orçamentária!A569,Composições!A:A,0),8),2,0)</f>
        <v>25.459999999999997</v>
      </c>
      <c r="F569" s="137">
        <f t="shared" ca="1" si="79"/>
        <v>0</v>
      </c>
      <c r="G569" s="138" t="e">
        <f>IF(A569&lt;&gt;"",IF(AND(#REF!="Padrão",$H$4=#REF!),BDI!$B$17,IF(AND(#REF!="Padrão",$H$4=#REF!),BDI!#REF!,IF(AND(#REF!="Diferenciado",$H$4=#REF!),BDI!$E$17,IF(AND(#REF!="Diferenciado",$H$4=#REF!),BDI!#REF!,IF(#REF!="ZERO",0))))),"")</f>
        <v>#REF!</v>
      </c>
      <c r="H569" s="139" t="e">
        <f t="shared" ca="1" si="80"/>
        <v>#REF!</v>
      </c>
      <c r="I569" s="137" t="e">
        <f t="shared" ca="1" si="81"/>
        <v>#REF!</v>
      </c>
      <c r="J569" s="117"/>
      <c r="K569" s="116">
        <v>0</v>
      </c>
      <c r="M569" s="136" t="e">
        <f ca="1">OFFSET(INDEX([1]Composições!I:R,MATCH([1]Orçamentária!I569,[1]Composições!I:I,0),8),2,0)</f>
        <v>#REF!</v>
      </c>
      <c r="N569" t="e">
        <v>#REF!</v>
      </c>
      <c r="Q569" t="e">
        <v>#REF!</v>
      </c>
    </row>
    <row r="570" spans="1:17" hidden="1" x14ac:dyDescent="0.25">
      <c r="A570" s="114" t="s">
        <v>625</v>
      </c>
      <c r="B570" s="115" t="s">
        <v>1933</v>
      </c>
      <c r="C570" s="116" t="s">
        <v>1934</v>
      </c>
      <c r="D570" s="116">
        <v>0</v>
      </c>
      <c r="E570" s="136">
        <f ca="1">OFFSET(INDEX(Composições!A:J,MATCH(Orçamentária!A570,Composições!A:A,0),8),2,0)</f>
        <v>31.35</v>
      </c>
      <c r="F570" s="137">
        <f t="shared" ca="1" si="79"/>
        <v>0</v>
      </c>
      <c r="G570" s="138" t="e">
        <f>IF(A570&lt;&gt;"",IF(AND(#REF!="Padrão",$H$4=#REF!),BDI!$B$17,IF(AND(#REF!="Padrão",$H$4=#REF!),BDI!#REF!,IF(AND(#REF!="Diferenciado",$H$4=#REF!),BDI!$E$17,IF(AND(#REF!="Diferenciado",$H$4=#REF!),BDI!#REF!,IF(#REF!="ZERO",0))))),"")</f>
        <v>#REF!</v>
      </c>
      <c r="H570" s="139" t="e">
        <f t="shared" ca="1" si="80"/>
        <v>#REF!</v>
      </c>
      <c r="I570" s="137" t="e">
        <f t="shared" ca="1" si="81"/>
        <v>#REF!</v>
      </c>
      <c r="J570" s="117"/>
      <c r="K570" s="116">
        <v>0</v>
      </c>
      <c r="M570" s="136" t="e">
        <f ca="1">OFFSET(INDEX([1]Composições!I:R,MATCH([1]Orçamentária!I570,[1]Composições!I:I,0),8),2,0)</f>
        <v>#REF!</v>
      </c>
      <c r="N570" t="e">
        <v>#REF!</v>
      </c>
      <c r="Q570" t="e">
        <v>#REF!</v>
      </c>
    </row>
    <row r="571" spans="1:17" hidden="1" x14ac:dyDescent="0.25">
      <c r="A571" s="114" t="s">
        <v>626</v>
      </c>
      <c r="B571" s="115" t="s">
        <v>7637</v>
      </c>
      <c r="C571" s="116" t="s">
        <v>1935</v>
      </c>
      <c r="D571" s="116">
        <v>0</v>
      </c>
      <c r="E571" s="136">
        <f ca="1">OFFSET(INDEX(Composições!A:J,MATCH(Orçamentária!A571,Composições!A:A,0),8),2,0)</f>
        <v>36.1</v>
      </c>
      <c r="F571" s="137">
        <f t="shared" ca="1" si="79"/>
        <v>0</v>
      </c>
      <c r="G571" s="138" t="e">
        <f>IF(A571&lt;&gt;"",IF(AND(#REF!="Padrão",$H$4=#REF!),BDI!$B$17,IF(AND(#REF!="Padrão",$H$4=#REF!),BDI!#REF!,IF(AND(#REF!="Diferenciado",$H$4=#REF!),BDI!$E$17,IF(AND(#REF!="Diferenciado",$H$4=#REF!),BDI!#REF!,IF(#REF!="ZERO",0))))),"")</f>
        <v>#REF!</v>
      </c>
      <c r="H571" s="139" t="e">
        <f t="shared" ca="1" si="80"/>
        <v>#REF!</v>
      </c>
      <c r="I571" s="137" t="e">
        <f t="shared" ca="1" si="81"/>
        <v>#REF!</v>
      </c>
      <c r="J571" s="117"/>
      <c r="K571" s="116">
        <v>0</v>
      </c>
      <c r="M571" s="136" t="e">
        <f ca="1">OFFSET(INDEX([1]Composições!I:R,MATCH([1]Orçamentária!I571,[1]Composições!I:I,0),8),2,0)</f>
        <v>#REF!</v>
      </c>
      <c r="N571" t="e">
        <v>#REF!</v>
      </c>
      <c r="Q571" t="e">
        <v>#REF!</v>
      </c>
    </row>
    <row r="572" spans="1:17" hidden="1" x14ac:dyDescent="0.25">
      <c r="A572" s="114" t="s">
        <v>627</v>
      </c>
      <c r="B572" s="115" t="s">
        <v>1936</v>
      </c>
      <c r="C572" s="116" t="s">
        <v>1931</v>
      </c>
      <c r="D572" s="116">
        <v>0</v>
      </c>
      <c r="E572" s="136">
        <f ca="1">OFFSET(INDEX(Composições!A:J,MATCH(Orçamentária!A572,Composições!A:A,0),8),2,0)</f>
        <v>27.740000000000002</v>
      </c>
      <c r="F572" s="137">
        <f t="shared" ca="1" si="79"/>
        <v>0</v>
      </c>
      <c r="G572" s="138" t="e">
        <f>IF(A572&lt;&gt;"",IF(AND(#REF!="Padrão",$H$4=#REF!),BDI!$B$17,IF(AND(#REF!="Padrão",$H$4=#REF!),BDI!#REF!,IF(AND(#REF!="Diferenciado",$H$4=#REF!),BDI!$E$17,IF(AND(#REF!="Diferenciado",$H$4=#REF!),BDI!#REF!,IF(#REF!="ZERO",0))))),"")</f>
        <v>#REF!</v>
      </c>
      <c r="H572" s="139" t="e">
        <f t="shared" ca="1" si="80"/>
        <v>#REF!</v>
      </c>
      <c r="I572" s="137" t="e">
        <f t="shared" ca="1" si="81"/>
        <v>#REF!</v>
      </c>
      <c r="J572" s="117"/>
      <c r="K572" s="116">
        <v>0</v>
      </c>
      <c r="M572" s="136" t="e">
        <f ca="1">OFFSET(INDEX([1]Composições!I:R,MATCH([1]Orçamentária!I572,[1]Composições!I:I,0),8),2,0)</f>
        <v>#REF!</v>
      </c>
      <c r="N572" t="e">
        <v>#REF!</v>
      </c>
      <c r="Q572" t="e">
        <v>#REF!</v>
      </c>
    </row>
    <row r="573" spans="1:17" hidden="1" x14ac:dyDescent="0.25">
      <c r="A573" s="114" t="s">
        <v>628</v>
      </c>
      <c r="B573" s="115" t="s">
        <v>1937</v>
      </c>
      <c r="C573" s="116" t="s">
        <v>80</v>
      </c>
      <c r="D573" s="116">
        <v>0</v>
      </c>
      <c r="E573" s="136">
        <f ca="1">OFFSET(INDEX(Composições!A:J,MATCH(Orçamentária!A573,Composições!A:A,0),8),2,0)</f>
        <v>245.80475179999999</v>
      </c>
      <c r="F573" s="137">
        <f t="shared" ca="1" si="79"/>
        <v>0</v>
      </c>
      <c r="G573" s="138" t="e">
        <f>IF(A573&lt;&gt;"",IF(AND(#REF!="Padrão",$H$4=#REF!),BDI!$B$17,IF(AND(#REF!="Padrão",$H$4=#REF!),BDI!#REF!,IF(AND(#REF!="Diferenciado",$H$4=#REF!),BDI!$E$17,IF(AND(#REF!="Diferenciado",$H$4=#REF!),BDI!#REF!,IF(#REF!="ZERO",0))))),"")</f>
        <v>#REF!</v>
      </c>
      <c r="H573" s="139" t="e">
        <f t="shared" ca="1" si="80"/>
        <v>#REF!</v>
      </c>
      <c r="I573" s="137" t="e">
        <f t="shared" ca="1" si="81"/>
        <v>#REF!</v>
      </c>
      <c r="J573" s="117"/>
      <c r="K573" s="116">
        <v>0</v>
      </c>
      <c r="M573" s="136" t="e">
        <f ca="1">OFFSET(INDEX([1]Composições!I:R,MATCH([1]Orçamentária!I573,[1]Composições!I:I,0),8),2,0)</f>
        <v>#REF!</v>
      </c>
      <c r="N573" t="e">
        <v>#REF!</v>
      </c>
      <c r="Q573" t="e">
        <v>#REF!</v>
      </c>
    </row>
    <row r="574" spans="1:17" hidden="1" x14ac:dyDescent="0.25">
      <c r="A574" s="114" t="s">
        <v>632</v>
      </c>
      <c r="B574" s="115" t="s">
        <v>1938</v>
      </c>
      <c r="C574" s="116" t="s">
        <v>80</v>
      </c>
      <c r="D574" s="116">
        <v>0</v>
      </c>
      <c r="E574" s="136">
        <f ca="1">OFFSET(INDEX(Composições!A:J,MATCH(Orçamentária!A574,Composições!A:A,0),8),2,0)</f>
        <v>247.19175179999999</v>
      </c>
      <c r="F574" s="137">
        <f t="shared" ca="1" si="79"/>
        <v>0</v>
      </c>
      <c r="G574" s="138" t="e">
        <f>IF(A574&lt;&gt;"",IF(AND(#REF!="Padrão",$H$4=#REF!),BDI!$B$17,IF(AND(#REF!="Padrão",$H$4=#REF!),BDI!#REF!,IF(AND(#REF!="Diferenciado",$H$4=#REF!),BDI!$E$17,IF(AND(#REF!="Diferenciado",$H$4=#REF!),BDI!#REF!,IF(#REF!="ZERO",0))))),"")</f>
        <v>#REF!</v>
      </c>
      <c r="H574" s="139" t="e">
        <f t="shared" ca="1" si="80"/>
        <v>#REF!</v>
      </c>
      <c r="I574" s="137" t="e">
        <f t="shared" ca="1" si="81"/>
        <v>#REF!</v>
      </c>
      <c r="J574" s="117"/>
      <c r="K574" s="116">
        <v>0</v>
      </c>
      <c r="M574" s="136" t="e">
        <f ca="1">OFFSET(INDEX([1]Composições!I:R,MATCH([1]Orçamentária!I574,[1]Composições!I:I,0),8),2,0)</f>
        <v>#REF!</v>
      </c>
      <c r="N574" t="e">
        <v>#REF!</v>
      </c>
      <c r="Q574" t="e">
        <v>#REF!</v>
      </c>
    </row>
    <row r="575" spans="1:17" hidden="1" x14ac:dyDescent="0.25">
      <c r="A575" s="114" t="s">
        <v>635</v>
      </c>
      <c r="B575" s="115" t="s">
        <v>1939</v>
      </c>
      <c r="C575" s="116" t="s">
        <v>80</v>
      </c>
      <c r="D575" s="116">
        <v>0</v>
      </c>
      <c r="E575" s="136">
        <f ca="1">OFFSET(INDEX(Composições!A:J,MATCH(Orçamentária!A575,Composições!A:A,0),8),2,0)</f>
        <v>219.92675180000001</v>
      </c>
      <c r="F575" s="137">
        <f t="shared" ca="1" si="79"/>
        <v>0</v>
      </c>
      <c r="G575" s="138" t="e">
        <f>IF(A575&lt;&gt;"",IF(AND(#REF!="Padrão",$H$4=#REF!),BDI!$B$17,IF(AND(#REF!="Padrão",$H$4=#REF!),BDI!#REF!,IF(AND(#REF!="Diferenciado",$H$4=#REF!),BDI!$E$17,IF(AND(#REF!="Diferenciado",$H$4=#REF!),BDI!#REF!,IF(#REF!="ZERO",0))))),"")</f>
        <v>#REF!</v>
      </c>
      <c r="H575" s="139" t="e">
        <f t="shared" ca="1" si="80"/>
        <v>#REF!</v>
      </c>
      <c r="I575" s="137" t="e">
        <f t="shared" ca="1" si="81"/>
        <v>#REF!</v>
      </c>
      <c r="J575" s="117"/>
      <c r="K575" s="116">
        <v>0</v>
      </c>
      <c r="M575" s="136" t="e">
        <f ca="1">OFFSET(INDEX([1]Composições!I:R,MATCH([1]Orçamentária!I575,[1]Composições!I:I,0),8),2,0)</f>
        <v>#REF!</v>
      </c>
      <c r="N575" t="e">
        <v>#REF!</v>
      </c>
      <c r="Q575" t="e">
        <v>#REF!</v>
      </c>
    </row>
    <row r="576" spans="1:17" hidden="1" x14ac:dyDescent="0.25">
      <c r="A576" s="114" t="s">
        <v>636</v>
      </c>
      <c r="B576" s="115" t="s">
        <v>1940</v>
      </c>
      <c r="C576" s="116" t="s">
        <v>16</v>
      </c>
      <c r="D576" s="116">
        <v>0</v>
      </c>
      <c r="E576" s="136">
        <f ca="1">OFFSET(INDEX(Composições!A:J,MATCH(Orçamentária!A576,Composições!A:A,0),8),2,0)</f>
        <v>0.66499999999999992</v>
      </c>
      <c r="F576" s="137">
        <f t="shared" ca="1" si="79"/>
        <v>0</v>
      </c>
      <c r="G576" s="138" t="e">
        <f>IF(A576&lt;&gt;"",IF(AND(#REF!="Padrão",$H$4=#REF!),BDI!$B$17,IF(AND(#REF!="Padrão",$H$4=#REF!),BDI!#REF!,IF(AND(#REF!="Diferenciado",$H$4=#REF!),BDI!$E$17,IF(AND(#REF!="Diferenciado",$H$4=#REF!),BDI!#REF!,IF(#REF!="ZERO",0))))),"")</f>
        <v>#REF!</v>
      </c>
      <c r="H576" s="139" t="e">
        <f t="shared" ca="1" si="80"/>
        <v>#REF!</v>
      </c>
      <c r="I576" s="137" t="e">
        <f t="shared" ca="1" si="81"/>
        <v>#REF!</v>
      </c>
      <c r="J576" s="117"/>
      <c r="K576" s="116">
        <v>0</v>
      </c>
      <c r="M576" s="136" t="e">
        <f ca="1">OFFSET(INDEX([1]Composições!I:R,MATCH([1]Orçamentária!I576,[1]Composições!I:I,0),8),2,0)</f>
        <v>#REF!</v>
      </c>
      <c r="N576" t="e">
        <v>#REF!</v>
      </c>
      <c r="Q576" t="e">
        <v>#REF!</v>
      </c>
    </row>
    <row r="577" spans="1:17" hidden="1" x14ac:dyDescent="0.25">
      <c r="A577" s="114" t="s">
        <v>637</v>
      </c>
      <c r="B577" s="115" t="s">
        <v>1941</v>
      </c>
      <c r="C577" s="116" t="s">
        <v>16</v>
      </c>
      <c r="D577" s="116">
        <v>0</v>
      </c>
      <c r="E577" s="136">
        <f ca="1">OFFSET(INDEX(Composições!A:J,MATCH(Orçamentária!A577,Composições!A:A,0),8),2,0)</f>
        <v>0.56999999999999995</v>
      </c>
      <c r="F577" s="137">
        <f t="shared" ca="1" si="79"/>
        <v>0</v>
      </c>
      <c r="G577" s="138" t="e">
        <f>IF(A577&lt;&gt;"",IF(AND(#REF!="Padrão",$H$4=#REF!),BDI!$B$17,IF(AND(#REF!="Padrão",$H$4=#REF!),BDI!#REF!,IF(AND(#REF!="Diferenciado",$H$4=#REF!),BDI!$E$17,IF(AND(#REF!="Diferenciado",$H$4=#REF!),BDI!#REF!,IF(#REF!="ZERO",0))))),"")</f>
        <v>#REF!</v>
      </c>
      <c r="H577" s="139" t="e">
        <f t="shared" ca="1" si="80"/>
        <v>#REF!</v>
      </c>
      <c r="I577" s="137" t="e">
        <f t="shared" ca="1" si="81"/>
        <v>#REF!</v>
      </c>
      <c r="J577" s="117"/>
      <c r="K577" s="116">
        <v>0</v>
      </c>
      <c r="M577" s="136" t="e">
        <f ca="1">OFFSET(INDEX([1]Composições!I:R,MATCH([1]Orçamentária!I577,[1]Composições!I:I,0),8),2,0)</f>
        <v>#REF!</v>
      </c>
      <c r="N577" t="e">
        <v>#REF!</v>
      </c>
      <c r="Q577" t="e">
        <v>#REF!</v>
      </c>
    </row>
    <row r="578" spans="1:17" hidden="1" x14ac:dyDescent="0.25">
      <c r="A578" s="114" t="s">
        <v>638</v>
      </c>
      <c r="B578" s="115" t="s">
        <v>1942</v>
      </c>
      <c r="C578" s="116" t="s">
        <v>16</v>
      </c>
      <c r="D578" s="116">
        <v>0</v>
      </c>
      <c r="E578" s="136">
        <f ca="1">OFFSET(INDEX(Composições!A:J,MATCH(Orçamentária!A578,Composições!A:A,0),8),2,0)</f>
        <v>4.5504999999999995</v>
      </c>
      <c r="F578" s="137">
        <f t="shared" ca="1" si="79"/>
        <v>0</v>
      </c>
      <c r="G578" s="138" t="e">
        <f>IF(A578&lt;&gt;"",IF(AND(#REF!="Padrão",$H$4=#REF!),BDI!$B$17,IF(AND(#REF!="Padrão",$H$4=#REF!),BDI!#REF!,IF(AND(#REF!="Diferenciado",$H$4=#REF!),BDI!$E$17,IF(AND(#REF!="Diferenciado",$H$4=#REF!),BDI!#REF!,IF(#REF!="ZERO",0))))),"")</f>
        <v>#REF!</v>
      </c>
      <c r="H578" s="139" t="e">
        <f t="shared" ca="1" si="80"/>
        <v>#REF!</v>
      </c>
      <c r="I578" s="137" t="e">
        <f t="shared" ca="1" si="81"/>
        <v>#REF!</v>
      </c>
      <c r="J578" s="117"/>
      <c r="K578" s="116">
        <v>0</v>
      </c>
      <c r="M578" s="136" t="e">
        <f ca="1">OFFSET(INDEX([1]Composições!I:R,MATCH([1]Orçamentária!I578,[1]Composições!I:I,0),8),2,0)</f>
        <v>#REF!</v>
      </c>
      <c r="N578" t="e">
        <v>#REF!</v>
      </c>
      <c r="Q578" t="e">
        <v>#REF!</v>
      </c>
    </row>
    <row r="579" spans="1:17" hidden="1" x14ac:dyDescent="0.25">
      <c r="A579" s="114" t="s">
        <v>639</v>
      </c>
      <c r="B579" s="115" t="s">
        <v>1943</v>
      </c>
      <c r="C579" s="116" t="s">
        <v>16</v>
      </c>
      <c r="D579" s="116">
        <v>0</v>
      </c>
      <c r="E579" s="136">
        <f ca="1">OFFSET(INDEX(Composições!A:J,MATCH(Orçamentária!A579,Composições!A:A,0),8),2,0)</f>
        <v>0</v>
      </c>
      <c r="F579" s="137">
        <f t="shared" ca="1" si="79"/>
        <v>0</v>
      </c>
      <c r="G579" s="138" t="e">
        <f>IF(A579&lt;&gt;"",IF(AND(#REF!="Padrão",$H$4=#REF!),BDI!$B$17,IF(AND(#REF!="Padrão",$H$4=#REF!),BDI!#REF!,IF(AND(#REF!="Diferenciado",$H$4=#REF!),BDI!$E$17,IF(AND(#REF!="Diferenciado",$H$4=#REF!),BDI!#REF!,IF(#REF!="ZERO",0))))),"")</f>
        <v>#REF!</v>
      </c>
      <c r="H579" s="139" t="e">
        <f t="shared" ca="1" si="80"/>
        <v>#REF!</v>
      </c>
      <c r="I579" s="137" t="e">
        <f t="shared" ca="1" si="81"/>
        <v>#REF!</v>
      </c>
      <c r="J579" s="117"/>
      <c r="K579" s="116">
        <v>0</v>
      </c>
      <c r="M579" s="136" t="e">
        <f ca="1">OFFSET(INDEX([1]Composições!I:R,MATCH([1]Orçamentária!I579,[1]Composições!I:I,0),8),2,0)</f>
        <v>#REF!</v>
      </c>
      <c r="N579" t="e">
        <v>#REF!</v>
      </c>
      <c r="Q579" t="e">
        <v>#REF!</v>
      </c>
    </row>
    <row r="580" spans="1:17" hidden="1" x14ac:dyDescent="0.25">
      <c r="A580" s="114" t="s">
        <v>640</v>
      </c>
      <c r="B580" s="115" t="s">
        <v>7638</v>
      </c>
      <c r="C580" s="116" t="s">
        <v>69</v>
      </c>
      <c r="D580" s="116">
        <v>0</v>
      </c>
      <c r="E580" s="136">
        <f ca="1">OFFSET(INDEX(Composições!A:J,MATCH(Orçamentária!A580,Composições!A:A,0),8),2,0)</f>
        <v>1.3737570000000001</v>
      </c>
      <c r="F580" s="137">
        <f t="shared" ca="1" si="79"/>
        <v>0</v>
      </c>
      <c r="G580" s="138" t="e">
        <f>IF(A580&lt;&gt;"",IF(AND(#REF!="Padrão",$H$4=#REF!),BDI!$B$17,IF(AND(#REF!="Padrão",$H$4=#REF!),BDI!#REF!,IF(AND(#REF!="Diferenciado",$H$4=#REF!),BDI!$E$17,IF(AND(#REF!="Diferenciado",$H$4=#REF!),BDI!#REF!,IF(#REF!="ZERO",0))))),"")</f>
        <v>#REF!</v>
      </c>
      <c r="H580" s="139" t="e">
        <f t="shared" ca="1" si="80"/>
        <v>#REF!</v>
      </c>
      <c r="I580" s="137" t="e">
        <f t="shared" ca="1" si="81"/>
        <v>#REF!</v>
      </c>
      <c r="J580" s="117"/>
      <c r="K580" s="116">
        <v>0</v>
      </c>
      <c r="M580" s="136" t="e">
        <f ca="1">OFFSET(INDEX([1]Composições!I:R,MATCH([1]Orçamentária!I580,[1]Composições!I:I,0),8),2,0)</f>
        <v>#REF!</v>
      </c>
      <c r="N580" t="e">
        <v>#REF!</v>
      </c>
      <c r="Q580" t="e">
        <v>#REF!</v>
      </c>
    </row>
    <row r="581" spans="1:17" hidden="1" x14ac:dyDescent="0.25">
      <c r="A581" s="114" t="s">
        <v>641</v>
      </c>
      <c r="B581" s="115" t="s">
        <v>7639</v>
      </c>
      <c r="C581" s="116" t="s">
        <v>69</v>
      </c>
      <c r="D581" s="116">
        <v>0</v>
      </c>
      <c r="E581" s="136">
        <f ca="1">OFFSET(INDEX(Composições!A:J,MATCH(Orçamentária!A581,Composições!A:A,0),8),2,0)</f>
        <v>2.4368924999999999</v>
      </c>
      <c r="F581" s="137">
        <f t="shared" ca="1" si="79"/>
        <v>0</v>
      </c>
      <c r="G581" s="138" t="e">
        <f>IF(A581&lt;&gt;"",IF(AND(#REF!="Padrão",$H$4=#REF!),BDI!$B$17,IF(AND(#REF!="Padrão",$H$4=#REF!),BDI!#REF!,IF(AND(#REF!="Diferenciado",$H$4=#REF!),BDI!$E$17,IF(AND(#REF!="Diferenciado",$H$4=#REF!),BDI!#REF!,IF(#REF!="ZERO",0))))),"")</f>
        <v>#REF!</v>
      </c>
      <c r="H581" s="139" t="e">
        <f t="shared" ca="1" si="80"/>
        <v>#REF!</v>
      </c>
      <c r="I581" s="137" t="e">
        <f t="shared" ca="1" si="81"/>
        <v>#REF!</v>
      </c>
      <c r="J581" s="117"/>
      <c r="K581" s="116">
        <v>0</v>
      </c>
      <c r="M581" s="136" t="e">
        <f ca="1">OFFSET(INDEX([1]Composições!I:R,MATCH([1]Orçamentária!I581,[1]Composições!I:I,0),8),2,0)</f>
        <v>#REF!</v>
      </c>
      <c r="N581" t="e">
        <v>#REF!</v>
      </c>
      <c r="Q581" t="e">
        <v>#REF!</v>
      </c>
    </row>
    <row r="582" spans="1:17" hidden="1" x14ac:dyDescent="0.25">
      <c r="A582" s="114" t="s">
        <v>643</v>
      </c>
      <c r="B582" s="115" t="s">
        <v>7640</v>
      </c>
      <c r="C582" s="116" t="s">
        <v>69</v>
      </c>
      <c r="D582" s="116">
        <v>0</v>
      </c>
      <c r="E582" s="136">
        <f ca="1">OFFSET(INDEX(Composições!A:J,MATCH(Orçamentária!A582,Composições!A:A,0),8),2,0)</f>
        <v>3.9513824999999998</v>
      </c>
      <c r="F582" s="137">
        <f t="shared" ca="1" si="79"/>
        <v>0</v>
      </c>
      <c r="G582" s="138" t="e">
        <f>IF(A582&lt;&gt;"",IF(AND(#REF!="Padrão",$H$4=#REF!),BDI!$B$17,IF(AND(#REF!="Padrão",$H$4=#REF!),BDI!#REF!,IF(AND(#REF!="Diferenciado",$H$4=#REF!),BDI!$E$17,IF(AND(#REF!="Diferenciado",$H$4=#REF!),BDI!#REF!,IF(#REF!="ZERO",0))))),"")</f>
        <v>#REF!</v>
      </c>
      <c r="H582" s="139" t="e">
        <f t="shared" ca="1" si="80"/>
        <v>#REF!</v>
      </c>
      <c r="I582" s="137" t="e">
        <f t="shared" ca="1" si="81"/>
        <v>#REF!</v>
      </c>
      <c r="J582" s="117"/>
      <c r="K582" s="116">
        <v>0</v>
      </c>
      <c r="M582" s="136" t="e">
        <f ca="1">OFFSET(INDEX([1]Composições!I:R,MATCH([1]Orçamentária!I582,[1]Composições!I:I,0),8),2,0)</f>
        <v>#REF!</v>
      </c>
      <c r="N582" t="e">
        <v>#REF!</v>
      </c>
      <c r="Q582" t="e">
        <v>#REF!</v>
      </c>
    </row>
    <row r="583" spans="1:17" hidden="1" x14ac:dyDescent="0.25">
      <c r="A583" s="114" t="s">
        <v>645</v>
      </c>
      <c r="B583" s="115" t="s">
        <v>7641</v>
      </c>
      <c r="C583" s="116" t="s">
        <v>69</v>
      </c>
      <c r="D583" s="116">
        <v>0</v>
      </c>
      <c r="E583" s="136">
        <f ca="1">OFFSET(INDEX(Composições!A:J,MATCH(Orçamentária!A583,Composições!A:A,0),8),2,0)</f>
        <v>5.8204694999999989</v>
      </c>
      <c r="F583" s="137">
        <f t="shared" ref="F583:F646" ca="1" si="82">IF(ISNUMBER(E583),D583*E583,"")</f>
        <v>0</v>
      </c>
      <c r="G583" s="138" t="e">
        <f>IF(A583&lt;&gt;"",IF(AND(#REF!="Padrão",$H$4=#REF!),BDI!$B$17,IF(AND(#REF!="Padrão",$H$4=#REF!),BDI!#REF!,IF(AND(#REF!="Diferenciado",$H$4=#REF!),BDI!$E$17,IF(AND(#REF!="Diferenciado",$H$4=#REF!),BDI!#REF!,IF(#REF!="ZERO",0))))),"")</f>
        <v>#REF!</v>
      </c>
      <c r="H583" s="139" t="e">
        <f t="shared" ref="H583:H646" ca="1" si="83">IF(ISNUMBER(E583),ROUND(E583*(1+G583),2),"")</f>
        <v>#REF!</v>
      </c>
      <c r="I583" s="137" t="e">
        <f t="shared" ref="I583:I646" ca="1" si="84">IF(ISNUMBER(E583),ROUND(H583*D583,2),"")</f>
        <v>#REF!</v>
      </c>
      <c r="J583" s="117"/>
      <c r="K583" s="116">
        <v>0</v>
      </c>
      <c r="M583" s="136" t="e">
        <f ca="1">OFFSET(INDEX([1]Composições!I:R,MATCH([1]Orçamentária!I583,[1]Composições!I:I,0),8),2,0)</f>
        <v>#REF!</v>
      </c>
      <c r="N583" t="e">
        <v>#REF!</v>
      </c>
      <c r="Q583" t="e">
        <v>#REF!</v>
      </c>
    </row>
    <row r="584" spans="1:17" hidden="1" x14ac:dyDescent="0.25">
      <c r="A584" s="114" t="s">
        <v>646</v>
      </c>
      <c r="B584" s="115" t="s">
        <v>7642</v>
      </c>
      <c r="C584" s="116" t="s">
        <v>69</v>
      </c>
      <c r="D584" s="116">
        <v>0</v>
      </c>
      <c r="E584" s="136">
        <f ca="1">OFFSET(INDEX(Composições!A:J,MATCH(Orçamentária!A584,Composições!A:A,0),8),2,0)</f>
        <v>7.8677099999999998</v>
      </c>
      <c r="F584" s="137">
        <f t="shared" ca="1" si="82"/>
        <v>0</v>
      </c>
      <c r="G584" s="138" t="e">
        <f>IF(A584&lt;&gt;"",IF(AND(#REF!="Padrão",$H$4=#REF!),BDI!$B$17,IF(AND(#REF!="Padrão",$H$4=#REF!),BDI!#REF!,IF(AND(#REF!="Diferenciado",$H$4=#REF!),BDI!$E$17,IF(AND(#REF!="Diferenciado",$H$4=#REF!),BDI!#REF!,IF(#REF!="ZERO",0))))),"")</f>
        <v>#REF!</v>
      </c>
      <c r="H584" s="139" t="e">
        <f t="shared" ca="1" si="83"/>
        <v>#REF!</v>
      </c>
      <c r="I584" s="137" t="e">
        <f t="shared" ca="1" si="84"/>
        <v>#REF!</v>
      </c>
      <c r="J584" s="117"/>
      <c r="K584" s="116">
        <v>0</v>
      </c>
      <c r="M584" s="136" t="e">
        <f ca="1">OFFSET(INDEX([1]Composições!I:R,MATCH([1]Orçamentária!I584,[1]Composições!I:I,0),8),2,0)</f>
        <v>#REF!</v>
      </c>
      <c r="N584" t="e">
        <v>#REF!</v>
      </c>
      <c r="Q584" t="e">
        <v>#REF!</v>
      </c>
    </row>
    <row r="585" spans="1:17" hidden="1" x14ac:dyDescent="0.25">
      <c r="A585" s="114" t="s">
        <v>648</v>
      </c>
      <c r="B585" s="115" t="s">
        <v>1944</v>
      </c>
      <c r="C585" s="116" t="s">
        <v>28</v>
      </c>
      <c r="D585" s="116">
        <v>0</v>
      </c>
      <c r="E585" s="136">
        <f ca="1">OFFSET(INDEX(Composições!A:J,MATCH(Orçamentária!A585,Composições!A:A,0),8),2,0)</f>
        <v>21.042499999999997</v>
      </c>
      <c r="F585" s="137">
        <f t="shared" ca="1" si="82"/>
        <v>0</v>
      </c>
      <c r="G585" s="138" t="e">
        <f>IF(A585&lt;&gt;"",IF(AND(#REF!="Padrão",$H$4=#REF!),BDI!$B$17,IF(AND(#REF!="Padrão",$H$4=#REF!),BDI!#REF!,IF(AND(#REF!="Diferenciado",$H$4=#REF!),BDI!$E$17,IF(AND(#REF!="Diferenciado",$H$4=#REF!),BDI!#REF!,IF(#REF!="ZERO",0))))),"")</f>
        <v>#REF!</v>
      </c>
      <c r="H585" s="139" t="e">
        <f t="shared" ca="1" si="83"/>
        <v>#REF!</v>
      </c>
      <c r="I585" s="137" t="e">
        <f t="shared" ca="1" si="84"/>
        <v>#REF!</v>
      </c>
      <c r="J585" s="117"/>
      <c r="K585" s="116">
        <v>0</v>
      </c>
      <c r="M585" s="136" t="e">
        <f ca="1">OFFSET(INDEX([1]Composições!I:R,MATCH([1]Orçamentária!I585,[1]Composições!I:I,0),8),2,0)</f>
        <v>#REF!</v>
      </c>
      <c r="N585" t="e">
        <v>#REF!</v>
      </c>
      <c r="Q585" t="e">
        <v>#REF!</v>
      </c>
    </row>
    <row r="586" spans="1:17" hidden="1" x14ac:dyDescent="0.25">
      <c r="A586" s="114" t="s">
        <v>649</v>
      </c>
      <c r="B586" s="115" t="s">
        <v>1945</v>
      </c>
      <c r="C586" s="116" t="s">
        <v>28</v>
      </c>
      <c r="D586" s="116">
        <v>0</v>
      </c>
      <c r="E586" s="136">
        <f ca="1">OFFSET(INDEX(Composições!A:J,MATCH(Orçamentária!A586,Composições!A:A,0),8),2,0)</f>
        <v>61.113499999999995</v>
      </c>
      <c r="F586" s="137">
        <f t="shared" ca="1" si="82"/>
        <v>0</v>
      </c>
      <c r="G586" s="138" t="e">
        <f>IF(A586&lt;&gt;"",IF(AND(#REF!="Padrão",$H$4=#REF!),BDI!$B$17,IF(AND(#REF!="Padrão",$H$4=#REF!),BDI!#REF!,IF(AND(#REF!="Diferenciado",$H$4=#REF!),BDI!$E$17,IF(AND(#REF!="Diferenciado",$H$4=#REF!),BDI!#REF!,IF(#REF!="ZERO",0))))),"")</f>
        <v>#REF!</v>
      </c>
      <c r="H586" s="139" t="e">
        <f t="shared" ca="1" si="83"/>
        <v>#REF!</v>
      </c>
      <c r="I586" s="137" t="e">
        <f t="shared" ca="1" si="84"/>
        <v>#REF!</v>
      </c>
      <c r="J586" s="117"/>
      <c r="K586" s="116">
        <v>0</v>
      </c>
      <c r="M586" s="136" t="e">
        <f ca="1">OFFSET(INDEX([1]Composições!I:R,MATCH([1]Orçamentária!I586,[1]Composições!I:I,0),8),2,0)</f>
        <v>#REF!</v>
      </c>
      <c r="N586" t="e">
        <v>#REF!</v>
      </c>
      <c r="Q586" t="e">
        <v>#REF!</v>
      </c>
    </row>
    <row r="587" spans="1:17" hidden="1" x14ac:dyDescent="0.25">
      <c r="A587" s="114" t="s">
        <v>1946</v>
      </c>
      <c r="B587" s="115" t="s">
        <v>1947</v>
      </c>
      <c r="C587" s="116" t="s">
        <v>16</v>
      </c>
      <c r="D587" s="116">
        <v>0</v>
      </c>
      <c r="E587" s="136">
        <f ca="1">OFFSET(INDEX(Composições!A:J,MATCH(Orçamentária!A587,Composições!A:A,0),8),2,0)</f>
        <v>39.548499999999997</v>
      </c>
      <c r="F587" s="137">
        <f t="shared" ca="1" si="82"/>
        <v>0</v>
      </c>
      <c r="G587" s="138" t="e">
        <f>IF(A587&lt;&gt;"",IF(AND(#REF!="Padrão",$H$4=#REF!),BDI!$B$17,IF(AND(#REF!="Padrão",$H$4=#REF!),BDI!#REF!,IF(AND(#REF!="Diferenciado",$H$4=#REF!),BDI!$E$17,IF(AND(#REF!="Diferenciado",$H$4=#REF!),BDI!#REF!,IF(#REF!="ZERO",0))))),"")</f>
        <v>#REF!</v>
      </c>
      <c r="H587" s="139" t="e">
        <f t="shared" ca="1" si="83"/>
        <v>#REF!</v>
      </c>
      <c r="I587" s="137" t="e">
        <f t="shared" ca="1" si="84"/>
        <v>#REF!</v>
      </c>
      <c r="J587" s="117"/>
      <c r="K587" s="116">
        <v>0</v>
      </c>
      <c r="M587" s="136" t="e">
        <f ca="1">OFFSET(INDEX([1]Composições!I:R,MATCH([1]Orçamentária!I587,[1]Composições!I:I,0),8),2,0)</f>
        <v>#REF!</v>
      </c>
      <c r="N587" t="e">
        <v>#REF!</v>
      </c>
      <c r="Q587" t="e">
        <v>#REF!</v>
      </c>
    </row>
    <row r="588" spans="1:17" hidden="1" x14ac:dyDescent="0.25">
      <c r="A588" s="114" t="s">
        <v>1948</v>
      </c>
      <c r="B588" s="115" t="s">
        <v>1949</v>
      </c>
      <c r="C588" s="116" t="s">
        <v>16</v>
      </c>
      <c r="D588" s="116">
        <v>0</v>
      </c>
      <c r="E588" s="136">
        <f ca="1">OFFSET(INDEX(Composições!A:J,MATCH(Orçamentária!A588,Composições!A:A,0),8),2,0)</f>
        <v>26.125</v>
      </c>
      <c r="F588" s="137">
        <f t="shared" ca="1" si="82"/>
        <v>0</v>
      </c>
      <c r="G588" s="138" t="e">
        <f>IF(A588&lt;&gt;"",IF(AND(#REF!="Padrão",$H$4=#REF!),BDI!$B$17,IF(AND(#REF!="Padrão",$H$4=#REF!),BDI!#REF!,IF(AND(#REF!="Diferenciado",$H$4=#REF!),BDI!$E$17,IF(AND(#REF!="Diferenciado",$H$4=#REF!),BDI!#REF!,IF(#REF!="ZERO",0))))),"")</f>
        <v>#REF!</v>
      </c>
      <c r="H588" s="139" t="e">
        <f t="shared" ca="1" si="83"/>
        <v>#REF!</v>
      </c>
      <c r="I588" s="137" t="e">
        <f t="shared" ca="1" si="84"/>
        <v>#REF!</v>
      </c>
      <c r="J588" s="117"/>
      <c r="K588" s="116">
        <v>0</v>
      </c>
      <c r="M588" s="136" t="e">
        <f ca="1">OFFSET(INDEX([1]Composições!I:R,MATCH([1]Orçamentária!I588,[1]Composições!I:I,0),8),2,0)</f>
        <v>#REF!</v>
      </c>
      <c r="N588" t="e">
        <v>#REF!</v>
      </c>
      <c r="Q588" t="e">
        <v>#REF!</v>
      </c>
    </row>
    <row r="589" spans="1:17" hidden="1" x14ac:dyDescent="0.25">
      <c r="A589" s="114" t="s">
        <v>1950</v>
      </c>
      <c r="B589" s="115" t="s">
        <v>1951</v>
      </c>
      <c r="C589" s="116" t="s">
        <v>69</v>
      </c>
      <c r="D589" s="116">
        <v>0</v>
      </c>
      <c r="E589" s="136" t="s">
        <v>416</v>
      </c>
      <c r="F589" s="137" t="str">
        <f t="shared" si="82"/>
        <v/>
      </c>
      <c r="G589" s="138" t="e">
        <f>IF(A589&lt;&gt;"",IF(AND(#REF!="Padrão",$H$4=#REF!),BDI!$B$17,IF(AND(#REF!="Padrão",$H$4=#REF!),BDI!#REF!,IF(AND(#REF!="Diferenciado",$H$4=#REF!),BDI!$E$17,IF(AND(#REF!="Diferenciado",$H$4=#REF!),BDI!#REF!,IF(#REF!="ZERO",0))))),"")</f>
        <v>#REF!</v>
      </c>
      <c r="H589" s="139" t="str">
        <f t="shared" si="83"/>
        <v/>
      </c>
      <c r="I589" s="137" t="str">
        <f t="shared" si="84"/>
        <v/>
      </c>
      <c r="J589" s="117"/>
      <c r="K589" s="116">
        <v>0</v>
      </c>
      <c r="M589" s="136" t="s">
        <v>416</v>
      </c>
      <c r="N589" t="e">
        <v>#REF!</v>
      </c>
      <c r="Q589" t="s">
        <v>416</v>
      </c>
    </row>
    <row r="590" spans="1:17" hidden="1" x14ac:dyDescent="0.25">
      <c r="A590" s="114" t="s">
        <v>1952</v>
      </c>
      <c r="B590" s="115" t="s">
        <v>1953</v>
      </c>
      <c r="C590" s="116" t="s">
        <v>69</v>
      </c>
      <c r="D590" s="116">
        <v>0</v>
      </c>
      <c r="E590" s="136" t="s">
        <v>416</v>
      </c>
      <c r="F590" s="137" t="str">
        <f t="shared" si="82"/>
        <v/>
      </c>
      <c r="G590" s="138" t="e">
        <f>IF(A590&lt;&gt;"",IF(AND(#REF!="Padrão",$H$4=#REF!),BDI!$B$17,IF(AND(#REF!="Padrão",$H$4=#REF!),BDI!#REF!,IF(AND(#REF!="Diferenciado",$H$4=#REF!),BDI!$E$17,IF(AND(#REF!="Diferenciado",$H$4=#REF!),BDI!#REF!,IF(#REF!="ZERO",0))))),"")</f>
        <v>#REF!</v>
      </c>
      <c r="H590" s="139" t="str">
        <f t="shared" si="83"/>
        <v/>
      </c>
      <c r="I590" s="137" t="str">
        <f t="shared" si="84"/>
        <v/>
      </c>
      <c r="J590" s="117"/>
      <c r="K590" s="116">
        <v>0</v>
      </c>
      <c r="M590" s="136" t="s">
        <v>416</v>
      </c>
      <c r="N590" t="e">
        <v>#REF!</v>
      </c>
      <c r="Q590" t="s">
        <v>416</v>
      </c>
    </row>
    <row r="591" spans="1:17" hidden="1" x14ac:dyDescent="0.25">
      <c r="A591" s="114" t="s">
        <v>1954</v>
      </c>
      <c r="B591" s="115" t="s">
        <v>1955</v>
      </c>
      <c r="C591" s="116" t="s">
        <v>28</v>
      </c>
      <c r="D591" s="116">
        <v>0</v>
      </c>
      <c r="E591" s="136" t="s">
        <v>416</v>
      </c>
      <c r="F591" s="137" t="str">
        <f t="shared" si="82"/>
        <v/>
      </c>
      <c r="G591" s="138" t="e">
        <f>IF(A591&lt;&gt;"",IF(AND(#REF!="Padrão",$H$4=#REF!),BDI!$B$17,IF(AND(#REF!="Padrão",$H$4=#REF!),BDI!#REF!,IF(AND(#REF!="Diferenciado",$H$4=#REF!),BDI!$E$17,IF(AND(#REF!="Diferenciado",$H$4=#REF!),BDI!#REF!,IF(#REF!="ZERO",0))))),"")</f>
        <v>#REF!</v>
      </c>
      <c r="H591" s="139" t="str">
        <f t="shared" si="83"/>
        <v/>
      </c>
      <c r="I591" s="137" t="str">
        <f t="shared" si="84"/>
        <v/>
      </c>
      <c r="J591" s="117"/>
      <c r="K591" s="116">
        <v>0</v>
      </c>
      <c r="M591" s="136" t="s">
        <v>416</v>
      </c>
      <c r="N591" t="e">
        <v>#REF!</v>
      </c>
      <c r="Q591" t="s">
        <v>416</v>
      </c>
    </row>
    <row r="592" spans="1:17" hidden="1" x14ac:dyDescent="0.25">
      <c r="A592" s="114" t="s">
        <v>1956</v>
      </c>
      <c r="B592" s="115" t="s">
        <v>1957</v>
      </c>
      <c r="C592" s="116" t="s">
        <v>75</v>
      </c>
      <c r="D592" s="116">
        <v>0</v>
      </c>
      <c r="E592" s="136" t="s">
        <v>416</v>
      </c>
      <c r="F592" s="137" t="str">
        <f t="shared" si="82"/>
        <v/>
      </c>
      <c r="G592" s="138" t="e">
        <f>IF(A592&lt;&gt;"",IF(AND(#REF!="Padrão",$H$4=#REF!),BDI!$B$17,IF(AND(#REF!="Padrão",$H$4=#REF!),BDI!#REF!,IF(AND(#REF!="Diferenciado",$H$4=#REF!),BDI!$E$17,IF(AND(#REF!="Diferenciado",$H$4=#REF!),BDI!#REF!,IF(#REF!="ZERO",0))))),"")</f>
        <v>#REF!</v>
      </c>
      <c r="H592" s="139" t="str">
        <f t="shared" si="83"/>
        <v/>
      </c>
      <c r="I592" s="137" t="str">
        <f t="shared" si="84"/>
        <v/>
      </c>
      <c r="J592" s="117"/>
      <c r="K592" s="116">
        <v>0</v>
      </c>
      <c r="M592" s="136" t="s">
        <v>416</v>
      </c>
      <c r="N592" t="e">
        <v>#REF!</v>
      </c>
      <c r="Q592" t="s">
        <v>416</v>
      </c>
    </row>
    <row r="593" spans="1:17" hidden="1" x14ac:dyDescent="0.25">
      <c r="A593" s="114" t="s">
        <v>651</v>
      </c>
      <c r="B593" s="115" t="s">
        <v>1958</v>
      </c>
      <c r="C593" s="116" t="s">
        <v>75</v>
      </c>
      <c r="D593" s="116">
        <v>0</v>
      </c>
      <c r="E593" s="136">
        <f ca="1">OFFSET(INDEX(Composições!A:J,MATCH(Orçamentária!A593,Composições!A:A,0),8),2,0)</f>
        <v>8.2459999999999987</v>
      </c>
      <c r="F593" s="137">
        <f t="shared" ca="1" si="82"/>
        <v>0</v>
      </c>
      <c r="G593" s="138" t="e">
        <f>IF(A593&lt;&gt;"",IF(AND(#REF!="Padrão",$H$4=#REF!),BDI!$B$17,IF(AND(#REF!="Padrão",$H$4=#REF!),BDI!#REF!,IF(AND(#REF!="Diferenciado",$H$4=#REF!),BDI!$E$17,IF(AND(#REF!="Diferenciado",$H$4=#REF!),BDI!#REF!,IF(#REF!="ZERO",0))))),"")</f>
        <v>#REF!</v>
      </c>
      <c r="H593" s="139" t="e">
        <f t="shared" ca="1" si="83"/>
        <v>#REF!</v>
      </c>
      <c r="I593" s="137" t="e">
        <f t="shared" ca="1" si="84"/>
        <v>#REF!</v>
      </c>
      <c r="J593" s="117"/>
      <c r="K593" s="116">
        <v>0</v>
      </c>
      <c r="M593" s="136" t="e">
        <f ca="1">OFFSET(INDEX([1]Composições!I:R,MATCH([1]Orçamentária!I593,[1]Composições!I:I,0),8),2,0)</f>
        <v>#REF!</v>
      </c>
      <c r="N593" t="e">
        <v>#REF!</v>
      </c>
      <c r="Q593" t="e">
        <v>#REF!</v>
      </c>
    </row>
    <row r="594" spans="1:17" hidden="1" x14ac:dyDescent="0.25">
      <c r="A594" s="114" t="s">
        <v>1959</v>
      </c>
      <c r="B594" s="115" t="s">
        <v>1960</v>
      </c>
      <c r="C594" s="116" t="s">
        <v>75</v>
      </c>
      <c r="D594" s="116">
        <v>0</v>
      </c>
      <c r="E594" s="136" t="s">
        <v>416</v>
      </c>
      <c r="F594" s="137" t="str">
        <f t="shared" si="82"/>
        <v/>
      </c>
      <c r="G594" s="138" t="e">
        <f>IF(A594&lt;&gt;"",IF(AND(#REF!="Padrão",$H$4=#REF!),BDI!$B$17,IF(AND(#REF!="Padrão",$H$4=#REF!),BDI!#REF!,IF(AND(#REF!="Diferenciado",$H$4=#REF!),BDI!$E$17,IF(AND(#REF!="Diferenciado",$H$4=#REF!),BDI!#REF!,IF(#REF!="ZERO",0))))),"")</f>
        <v>#REF!</v>
      </c>
      <c r="H594" s="139" t="str">
        <f t="shared" si="83"/>
        <v/>
      </c>
      <c r="I594" s="137" t="str">
        <f t="shared" si="84"/>
        <v/>
      </c>
      <c r="J594" s="117"/>
      <c r="K594" s="116">
        <v>0</v>
      </c>
      <c r="M594" s="136" t="s">
        <v>416</v>
      </c>
      <c r="N594" t="e">
        <v>#REF!</v>
      </c>
      <c r="Q594" t="s">
        <v>416</v>
      </c>
    </row>
    <row r="595" spans="1:17" hidden="1" x14ac:dyDescent="0.25">
      <c r="A595" s="114" t="s">
        <v>1961</v>
      </c>
      <c r="B595" s="115" t="s">
        <v>1962</v>
      </c>
      <c r="C595" s="116" t="s">
        <v>69</v>
      </c>
      <c r="D595" s="116">
        <v>0</v>
      </c>
      <c r="E595" s="136" t="s">
        <v>416</v>
      </c>
      <c r="F595" s="137" t="str">
        <f t="shared" si="82"/>
        <v/>
      </c>
      <c r="G595" s="138" t="e">
        <f>IF(A595&lt;&gt;"",IF(AND(#REF!="Padrão",$H$4=#REF!),BDI!$B$17,IF(AND(#REF!="Padrão",$H$4=#REF!),BDI!#REF!,IF(AND(#REF!="Diferenciado",$H$4=#REF!),BDI!$E$17,IF(AND(#REF!="Diferenciado",$H$4=#REF!),BDI!#REF!,IF(#REF!="ZERO",0))))),"")</f>
        <v>#REF!</v>
      </c>
      <c r="H595" s="139" t="str">
        <f t="shared" si="83"/>
        <v/>
      </c>
      <c r="I595" s="137" t="str">
        <f t="shared" si="84"/>
        <v/>
      </c>
      <c r="J595" s="117"/>
      <c r="K595" s="116">
        <v>0</v>
      </c>
      <c r="M595" s="136" t="s">
        <v>416</v>
      </c>
      <c r="N595" t="e">
        <v>#REF!</v>
      </c>
      <c r="Q595" t="s">
        <v>416</v>
      </c>
    </row>
    <row r="596" spans="1:17" hidden="1" x14ac:dyDescent="0.25">
      <c r="A596" s="114" t="s">
        <v>1963</v>
      </c>
      <c r="B596" s="115" t="s">
        <v>1964</v>
      </c>
      <c r="C596" s="116" t="s">
        <v>69</v>
      </c>
      <c r="D596" s="116">
        <v>0</v>
      </c>
      <c r="E596" s="136" t="s">
        <v>416</v>
      </c>
      <c r="F596" s="137" t="str">
        <f t="shared" si="82"/>
        <v/>
      </c>
      <c r="G596" s="138" t="e">
        <f>IF(A596&lt;&gt;"",IF(AND(#REF!="Padrão",$H$4=#REF!),BDI!$B$17,IF(AND(#REF!="Padrão",$H$4=#REF!),BDI!#REF!,IF(AND(#REF!="Diferenciado",$H$4=#REF!),BDI!$E$17,IF(AND(#REF!="Diferenciado",$H$4=#REF!),BDI!#REF!,IF(#REF!="ZERO",0))))),"")</f>
        <v>#REF!</v>
      </c>
      <c r="H596" s="139" t="str">
        <f t="shared" si="83"/>
        <v/>
      </c>
      <c r="I596" s="137" t="str">
        <f t="shared" si="84"/>
        <v/>
      </c>
      <c r="J596" s="117"/>
      <c r="K596" s="116">
        <v>0</v>
      </c>
      <c r="M596" s="136" t="s">
        <v>416</v>
      </c>
      <c r="N596" t="e">
        <v>#REF!</v>
      </c>
      <c r="Q596" t="s">
        <v>416</v>
      </c>
    </row>
    <row r="597" spans="1:17" hidden="1" x14ac:dyDescent="0.25">
      <c r="A597" s="114" t="s">
        <v>1965</v>
      </c>
      <c r="B597" s="115" t="s">
        <v>1966</v>
      </c>
      <c r="C597" s="116" t="s">
        <v>70</v>
      </c>
      <c r="D597" s="116">
        <v>0</v>
      </c>
      <c r="E597" s="136">
        <f ca="1">OFFSET(INDEX(Composições!A:J,MATCH(Orçamentária!A597,Composições!A:A,0),8),2,0)</f>
        <v>1.8144999999999998</v>
      </c>
      <c r="F597" s="137">
        <f t="shared" ca="1" si="82"/>
        <v>0</v>
      </c>
      <c r="G597" s="138" t="e">
        <f>IF(A597&lt;&gt;"",IF(AND(#REF!="Padrão",$H$4=#REF!),BDI!$B$17,IF(AND(#REF!="Padrão",$H$4=#REF!),BDI!#REF!,IF(AND(#REF!="Diferenciado",$H$4=#REF!),BDI!$E$17,IF(AND(#REF!="Diferenciado",$H$4=#REF!),BDI!#REF!,IF(#REF!="ZERO",0))))),"")</f>
        <v>#REF!</v>
      </c>
      <c r="H597" s="139" t="e">
        <f t="shared" ca="1" si="83"/>
        <v>#REF!</v>
      </c>
      <c r="I597" s="137" t="e">
        <f t="shared" ca="1" si="84"/>
        <v>#REF!</v>
      </c>
      <c r="J597" s="117"/>
      <c r="K597" s="116">
        <v>0</v>
      </c>
      <c r="M597" s="136" t="e">
        <f ca="1">OFFSET(INDEX([1]Composições!I:R,MATCH([1]Orçamentária!I597,[1]Composições!I:I,0),8),2,0)</f>
        <v>#REF!</v>
      </c>
      <c r="N597" t="e">
        <v>#REF!</v>
      </c>
      <c r="Q597" t="e">
        <v>#REF!</v>
      </c>
    </row>
    <row r="598" spans="1:17" hidden="1" x14ac:dyDescent="0.25">
      <c r="A598" s="114" t="s">
        <v>1967</v>
      </c>
      <c r="B598" s="115" t="s">
        <v>1968</v>
      </c>
      <c r="C598" s="116" t="s">
        <v>16</v>
      </c>
      <c r="D598" s="116">
        <v>0</v>
      </c>
      <c r="E598" s="136" t="s">
        <v>416</v>
      </c>
      <c r="F598" s="137" t="str">
        <f t="shared" si="82"/>
        <v/>
      </c>
      <c r="G598" s="138" t="e">
        <f>IF(A598&lt;&gt;"",IF(AND(#REF!="Padrão",$H$4=#REF!),BDI!$B$17,IF(AND(#REF!="Padrão",$H$4=#REF!),BDI!#REF!,IF(AND(#REF!="Diferenciado",$H$4=#REF!),BDI!$E$17,IF(AND(#REF!="Diferenciado",$H$4=#REF!),BDI!#REF!,IF(#REF!="ZERO",0))))),"")</f>
        <v>#REF!</v>
      </c>
      <c r="H598" s="139" t="str">
        <f t="shared" si="83"/>
        <v/>
      </c>
      <c r="I598" s="137" t="str">
        <f t="shared" si="84"/>
        <v/>
      </c>
      <c r="J598" s="117"/>
      <c r="K598" s="116">
        <v>0</v>
      </c>
      <c r="M598" s="136" t="s">
        <v>416</v>
      </c>
      <c r="N598" t="e">
        <v>#REF!</v>
      </c>
      <c r="Q598" t="s">
        <v>416</v>
      </c>
    </row>
    <row r="599" spans="1:17" hidden="1" x14ac:dyDescent="0.25">
      <c r="A599" s="114" t="s">
        <v>1969</v>
      </c>
      <c r="B599" s="115" t="s">
        <v>1970</v>
      </c>
      <c r="C599" s="116" t="s">
        <v>16</v>
      </c>
      <c r="D599" s="116">
        <v>0</v>
      </c>
      <c r="E599" s="136" t="s">
        <v>416</v>
      </c>
      <c r="F599" s="137" t="str">
        <f t="shared" si="82"/>
        <v/>
      </c>
      <c r="G599" s="138" t="e">
        <f>IF(A599&lt;&gt;"",IF(AND(#REF!="Padrão",$H$4=#REF!),BDI!$B$17,IF(AND(#REF!="Padrão",$H$4=#REF!),BDI!#REF!,IF(AND(#REF!="Diferenciado",$H$4=#REF!),BDI!$E$17,IF(AND(#REF!="Diferenciado",$H$4=#REF!),BDI!#REF!,IF(#REF!="ZERO",0))))),"")</f>
        <v>#REF!</v>
      </c>
      <c r="H599" s="139" t="str">
        <f t="shared" si="83"/>
        <v/>
      </c>
      <c r="I599" s="137" t="str">
        <f t="shared" si="84"/>
        <v/>
      </c>
      <c r="J599" s="117"/>
      <c r="K599" s="116">
        <v>0</v>
      </c>
      <c r="M599" s="136" t="s">
        <v>416</v>
      </c>
      <c r="N599" t="e">
        <v>#REF!</v>
      </c>
      <c r="Q599" t="s">
        <v>416</v>
      </c>
    </row>
    <row r="600" spans="1:17" hidden="1" x14ac:dyDescent="0.25">
      <c r="A600" s="114" t="s">
        <v>1971</v>
      </c>
      <c r="B600" s="115" t="s">
        <v>1972</v>
      </c>
      <c r="C600" s="116" t="s">
        <v>16</v>
      </c>
      <c r="D600" s="116">
        <v>0</v>
      </c>
      <c r="E600" s="136" t="s">
        <v>416</v>
      </c>
      <c r="F600" s="137" t="str">
        <f t="shared" si="82"/>
        <v/>
      </c>
      <c r="G600" s="138" t="e">
        <f>IF(A600&lt;&gt;"",IF(AND(#REF!="Padrão",$H$4=#REF!),BDI!$B$17,IF(AND(#REF!="Padrão",$H$4=#REF!),BDI!#REF!,IF(AND(#REF!="Diferenciado",$H$4=#REF!),BDI!$E$17,IF(AND(#REF!="Diferenciado",$H$4=#REF!),BDI!#REF!,IF(#REF!="ZERO",0))))),"")</f>
        <v>#REF!</v>
      </c>
      <c r="H600" s="139" t="str">
        <f t="shared" si="83"/>
        <v/>
      </c>
      <c r="I600" s="137" t="str">
        <f t="shared" si="84"/>
        <v/>
      </c>
      <c r="J600" s="117"/>
      <c r="K600" s="116">
        <v>0</v>
      </c>
      <c r="M600" s="136" t="s">
        <v>416</v>
      </c>
      <c r="N600" t="e">
        <v>#REF!</v>
      </c>
      <c r="Q600" t="s">
        <v>416</v>
      </c>
    </row>
    <row r="601" spans="1:17" hidden="1" x14ac:dyDescent="0.25">
      <c r="A601" s="114" t="s">
        <v>1973</v>
      </c>
      <c r="B601" s="115" t="s">
        <v>1974</v>
      </c>
      <c r="C601" s="116" t="s">
        <v>16</v>
      </c>
      <c r="D601" s="116">
        <v>0</v>
      </c>
      <c r="E601" s="136" t="s">
        <v>416</v>
      </c>
      <c r="F601" s="137" t="str">
        <f t="shared" si="82"/>
        <v/>
      </c>
      <c r="G601" s="138" t="e">
        <f>IF(A601&lt;&gt;"",IF(AND(#REF!="Padrão",$H$4=#REF!),BDI!$B$17,IF(AND(#REF!="Padrão",$H$4=#REF!),BDI!#REF!,IF(AND(#REF!="Diferenciado",$H$4=#REF!),BDI!$E$17,IF(AND(#REF!="Diferenciado",$H$4=#REF!),BDI!#REF!,IF(#REF!="ZERO",0))))),"")</f>
        <v>#REF!</v>
      </c>
      <c r="H601" s="139" t="str">
        <f t="shared" si="83"/>
        <v/>
      </c>
      <c r="I601" s="137" t="str">
        <f t="shared" si="84"/>
        <v/>
      </c>
      <c r="J601" s="117"/>
      <c r="K601" s="116">
        <v>0</v>
      </c>
      <c r="M601" s="136" t="s">
        <v>416</v>
      </c>
      <c r="N601" t="e">
        <v>#REF!</v>
      </c>
      <c r="Q601" t="s">
        <v>416</v>
      </c>
    </row>
    <row r="602" spans="1:17" hidden="1" x14ac:dyDescent="0.25">
      <c r="A602" s="114" t="s">
        <v>1975</v>
      </c>
      <c r="B602" s="115" t="s">
        <v>1976</v>
      </c>
      <c r="C602" s="116" t="s">
        <v>16</v>
      </c>
      <c r="D602" s="116">
        <v>0</v>
      </c>
      <c r="E602" s="136" t="s">
        <v>416</v>
      </c>
      <c r="F602" s="137" t="str">
        <f t="shared" si="82"/>
        <v/>
      </c>
      <c r="G602" s="138" t="e">
        <f>IF(A602&lt;&gt;"",IF(AND(#REF!="Padrão",$H$4=#REF!),BDI!$B$17,IF(AND(#REF!="Padrão",$H$4=#REF!),BDI!#REF!,IF(AND(#REF!="Diferenciado",$H$4=#REF!),BDI!$E$17,IF(AND(#REF!="Diferenciado",$H$4=#REF!),BDI!#REF!,IF(#REF!="ZERO",0))))),"")</f>
        <v>#REF!</v>
      </c>
      <c r="H602" s="139" t="str">
        <f t="shared" si="83"/>
        <v/>
      </c>
      <c r="I602" s="137" t="str">
        <f t="shared" si="84"/>
        <v/>
      </c>
      <c r="J602" s="117"/>
      <c r="K602" s="116">
        <v>0</v>
      </c>
      <c r="M602" s="136" t="s">
        <v>416</v>
      </c>
      <c r="N602" t="e">
        <v>#REF!</v>
      </c>
      <c r="Q602" t="s">
        <v>416</v>
      </c>
    </row>
    <row r="603" spans="1:17" hidden="1" x14ac:dyDescent="0.25">
      <c r="A603" s="114" t="s">
        <v>1977</v>
      </c>
      <c r="B603" s="115" t="s">
        <v>1978</v>
      </c>
      <c r="C603" s="116" t="s">
        <v>16</v>
      </c>
      <c r="D603" s="116">
        <v>0</v>
      </c>
      <c r="E603" s="136" t="s">
        <v>416</v>
      </c>
      <c r="F603" s="137" t="str">
        <f t="shared" si="82"/>
        <v/>
      </c>
      <c r="G603" s="138" t="e">
        <f>IF(A603&lt;&gt;"",IF(AND(#REF!="Padrão",$H$4=#REF!),BDI!$B$17,IF(AND(#REF!="Padrão",$H$4=#REF!),BDI!#REF!,IF(AND(#REF!="Diferenciado",$H$4=#REF!),BDI!$E$17,IF(AND(#REF!="Diferenciado",$H$4=#REF!),BDI!#REF!,IF(#REF!="ZERO",0))))),"")</f>
        <v>#REF!</v>
      </c>
      <c r="H603" s="139" t="str">
        <f t="shared" si="83"/>
        <v/>
      </c>
      <c r="I603" s="137" t="str">
        <f t="shared" si="84"/>
        <v/>
      </c>
      <c r="J603" s="117"/>
      <c r="K603" s="116">
        <v>0</v>
      </c>
      <c r="M603" s="136" t="s">
        <v>416</v>
      </c>
      <c r="N603" t="e">
        <v>#REF!</v>
      </c>
      <c r="Q603" t="s">
        <v>416</v>
      </c>
    </row>
    <row r="604" spans="1:17" hidden="1" x14ac:dyDescent="0.25">
      <c r="A604" s="114" t="s">
        <v>1979</v>
      </c>
      <c r="B604" s="115" t="s">
        <v>1980</v>
      </c>
      <c r="C604" s="116" t="s">
        <v>16</v>
      </c>
      <c r="D604" s="116">
        <v>0</v>
      </c>
      <c r="E604" s="136" t="s">
        <v>416</v>
      </c>
      <c r="F604" s="137" t="str">
        <f t="shared" si="82"/>
        <v/>
      </c>
      <c r="G604" s="138" t="e">
        <f>IF(A604&lt;&gt;"",IF(AND(#REF!="Padrão",$H$4=#REF!),BDI!$B$17,IF(AND(#REF!="Padrão",$H$4=#REF!),BDI!#REF!,IF(AND(#REF!="Diferenciado",$H$4=#REF!),BDI!$E$17,IF(AND(#REF!="Diferenciado",$H$4=#REF!),BDI!#REF!,IF(#REF!="ZERO",0))))),"")</f>
        <v>#REF!</v>
      </c>
      <c r="H604" s="139" t="str">
        <f t="shared" si="83"/>
        <v/>
      </c>
      <c r="I604" s="137" t="str">
        <f t="shared" si="84"/>
        <v/>
      </c>
      <c r="J604" s="117"/>
      <c r="K604" s="116">
        <v>0</v>
      </c>
      <c r="M604" s="136" t="s">
        <v>416</v>
      </c>
      <c r="N604" t="e">
        <v>#REF!</v>
      </c>
      <c r="Q604" t="s">
        <v>416</v>
      </c>
    </row>
    <row r="605" spans="1:17" hidden="1" x14ac:dyDescent="0.25">
      <c r="A605" s="114" t="s">
        <v>1981</v>
      </c>
      <c r="B605" s="115" t="s">
        <v>1982</v>
      </c>
      <c r="C605" s="116" t="s">
        <v>16</v>
      </c>
      <c r="D605" s="116">
        <v>0</v>
      </c>
      <c r="E605" s="136" t="s">
        <v>416</v>
      </c>
      <c r="F605" s="137" t="str">
        <f t="shared" si="82"/>
        <v/>
      </c>
      <c r="G605" s="138" t="e">
        <f>IF(A605&lt;&gt;"",IF(AND(#REF!="Padrão",$H$4=#REF!),BDI!$B$17,IF(AND(#REF!="Padrão",$H$4=#REF!),BDI!#REF!,IF(AND(#REF!="Diferenciado",$H$4=#REF!),BDI!$E$17,IF(AND(#REF!="Diferenciado",$H$4=#REF!),BDI!#REF!,IF(#REF!="ZERO",0))))),"")</f>
        <v>#REF!</v>
      </c>
      <c r="H605" s="139" t="str">
        <f t="shared" si="83"/>
        <v/>
      </c>
      <c r="I605" s="137" t="str">
        <f t="shared" si="84"/>
        <v/>
      </c>
      <c r="J605" s="117"/>
      <c r="K605" s="116">
        <v>0</v>
      </c>
      <c r="M605" s="136" t="s">
        <v>416</v>
      </c>
      <c r="N605" t="e">
        <v>#REF!</v>
      </c>
      <c r="Q605" t="s">
        <v>416</v>
      </c>
    </row>
    <row r="606" spans="1:17" hidden="1" x14ac:dyDescent="0.25">
      <c r="A606" s="114" t="s">
        <v>1983</v>
      </c>
      <c r="B606" s="115" t="s">
        <v>1984</v>
      </c>
      <c r="C606" s="116" t="s">
        <v>16</v>
      </c>
      <c r="D606" s="116">
        <v>0</v>
      </c>
      <c r="E606" s="136" t="s">
        <v>416</v>
      </c>
      <c r="F606" s="137" t="str">
        <f t="shared" si="82"/>
        <v/>
      </c>
      <c r="G606" s="138" t="e">
        <f>IF(A606&lt;&gt;"",IF(AND(#REF!="Padrão",$H$4=#REF!),BDI!$B$17,IF(AND(#REF!="Padrão",$H$4=#REF!),BDI!#REF!,IF(AND(#REF!="Diferenciado",$H$4=#REF!),BDI!$E$17,IF(AND(#REF!="Diferenciado",$H$4=#REF!),BDI!#REF!,IF(#REF!="ZERO",0))))),"")</f>
        <v>#REF!</v>
      </c>
      <c r="H606" s="139" t="str">
        <f t="shared" si="83"/>
        <v/>
      </c>
      <c r="I606" s="137" t="str">
        <f t="shared" si="84"/>
        <v/>
      </c>
      <c r="J606" s="117"/>
      <c r="K606" s="116">
        <v>0</v>
      </c>
      <c r="M606" s="136" t="s">
        <v>416</v>
      </c>
      <c r="N606" t="e">
        <v>#REF!</v>
      </c>
      <c r="Q606" t="s">
        <v>416</v>
      </c>
    </row>
    <row r="607" spans="1:17" hidden="1" x14ac:dyDescent="0.25">
      <c r="A607" s="114" t="s">
        <v>1985</v>
      </c>
      <c r="B607" s="115" t="s">
        <v>1986</v>
      </c>
      <c r="C607" s="116" t="s">
        <v>16</v>
      </c>
      <c r="D607" s="116">
        <v>0</v>
      </c>
      <c r="E607" s="136" t="s">
        <v>416</v>
      </c>
      <c r="F607" s="137" t="str">
        <f t="shared" si="82"/>
        <v/>
      </c>
      <c r="G607" s="138" t="e">
        <f>IF(A607&lt;&gt;"",IF(AND(#REF!="Padrão",$H$4=#REF!),BDI!$B$17,IF(AND(#REF!="Padrão",$H$4=#REF!),BDI!#REF!,IF(AND(#REF!="Diferenciado",$H$4=#REF!),BDI!$E$17,IF(AND(#REF!="Diferenciado",$H$4=#REF!),BDI!#REF!,IF(#REF!="ZERO",0))))),"")</f>
        <v>#REF!</v>
      </c>
      <c r="H607" s="139" t="str">
        <f t="shared" si="83"/>
        <v/>
      </c>
      <c r="I607" s="137" t="str">
        <f t="shared" si="84"/>
        <v/>
      </c>
      <c r="J607" s="117"/>
      <c r="K607" s="116">
        <v>0</v>
      </c>
      <c r="M607" s="136" t="s">
        <v>416</v>
      </c>
      <c r="N607" t="e">
        <v>#REF!</v>
      </c>
      <c r="Q607" t="s">
        <v>416</v>
      </c>
    </row>
    <row r="608" spans="1:17" hidden="1" x14ac:dyDescent="0.25">
      <c r="A608" s="114" t="s">
        <v>1987</v>
      </c>
      <c r="B608" s="115" t="s">
        <v>1988</v>
      </c>
      <c r="C608" s="116" t="s">
        <v>16</v>
      </c>
      <c r="D608" s="116">
        <v>0</v>
      </c>
      <c r="E608" s="136" t="s">
        <v>416</v>
      </c>
      <c r="F608" s="137" t="str">
        <f t="shared" si="82"/>
        <v/>
      </c>
      <c r="G608" s="138" t="e">
        <f>IF(A608&lt;&gt;"",IF(AND(#REF!="Padrão",$H$4=#REF!),BDI!$B$17,IF(AND(#REF!="Padrão",$H$4=#REF!),BDI!#REF!,IF(AND(#REF!="Diferenciado",$H$4=#REF!),BDI!$E$17,IF(AND(#REF!="Diferenciado",$H$4=#REF!),BDI!#REF!,IF(#REF!="ZERO",0))))),"")</f>
        <v>#REF!</v>
      </c>
      <c r="H608" s="139" t="str">
        <f t="shared" si="83"/>
        <v/>
      </c>
      <c r="I608" s="137" t="str">
        <f t="shared" si="84"/>
        <v/>
      </c>
      <c r="J608" s="117"/>
      <c r="K608" s="116">
        <v>0</v>
      </c>
      <c r="M608" s="136" t="s">
        <v>416</v>
      </c>
      <c r="N608" t="e">
        <v>#REF!</v>
      </c>
      <c r="Q608" t="s">
        <v>416</v>
      </c>
    </row>
    <row r="609" spans="1:17" hidden="1" x14ac:dyDescent="0.25">
      <c r="A609" s="114" t="s">
        <v>1989</v>
      </c>
      <c r="B609" s="115" t="s">
        <v>1990</v>
      </c>
      <c r="C609" s="116" t="s">
        <v>16</v>
      </c>
      <c r="D609" s="116">
        <v>0</v>
      </c>
      <c r="E609" s="136" t="s">
        <v>416</v>
      </c>
      <c r="F609" s="137" t="str">
        <f t="shared" si="82"/>
        <v/>
      </c>
      <c r="G609" s="138" t="e">
        <f>IF(A609&lt;&gt;"",IF(AND(#REF!="Padrão",$H$4=#REF!),BDI!$B$17,IF(AND(#REF!="Padrão",$H$4=#REF!),BDI!#REF!,IF(AND(#REF!="Diferenciado",$H$4=#REF!),BDI!$E$17,IF(AND(#REF!="Diferenciado",$H$4=#REF!),BDI!#REF!,IF(#REF!="ZERO",0))))),"")</f>
        <v>#REF!</v>
      </c>
      <c r="H609" s="139" t="str">
        <f t="shared" si="83"/>
        <v/>
      </c>
      <c r="I609" s="137" t="str">
        <f t="shared" si="84"/>
        <v/>
      </c>
      <c r="J609" s="117"/>
      <c r="K609" s="116">
        <v>0</v>
      </c>
      <c r="M609" s="136" t="s">
        <v>416</v>
      </c>
      <c r="N609" t="e">
        <v>#REF!</v>
      </c>
      <c r="Q609" t="s">
        <v>416</v>
      </c>
    </row>
    <row r="610" spans="1:17" hidden="1" x14ac:dyDescent="0.25">
      <c r="A610" s="114" t="s">
        <v>1991</v>
      </c>
      <c r="B610" s="115" t="s">
        <v>1992</v>
      </c>
      <c r="C610" s="116" t="s">
        <v>16</v>
      </c>
      <c r="D610" s="116">
        <v>0</v>
      </c>
      <c r="E610" s="136" t="s">
        <v>416</v>
      </c>
      <c r="F610" s="137" t="str">
        <f t="shared" si="82"/>
        <v/>
      </c>
      <c r="G610" s="138" t="e">
        <f>IF(A610&lt;&gt;"",IF(AND(#REF!="Padrão",$H$4=#REF!),BDI!$B$17,IF(AND(#REF!="Padrão",$H$4=#REF!),BDI!#REF!,IF(AND(#REF!="Diferenciado",$H$4=#REF!),BDI!$E$17,IF(AND(#REF!="Diferenciado",$H$4=#REF!),BDI!#REF!,IF(#REF!="ZERO",0))))),"")</f>
        <v>#REF!</v>
      </c>
      <c r="H610" s="139" t="str">
        <f t="shared" si="83"/>
        <v/>
      </c>
      <c r="I610" s="137" t="str">
        <f t="shared" si="84"/>
        <v/>
      </c>
      <c r="J610" s="117"/>
      <c r="K610" s="116">
        <v>0</v>
      </c>
      <c r="M610" s="136" t="s">
        <v>416</v>
      </c>
      <c r="N610" t="e">
        <v>#REF!</v>
      </c>
      <c r="Q610" t="s">
        <v>416</v>
      </c>
    </row>
    <row r="611" spans="1:17" hidden="1" x14ac:dyDescent="0.25">
      <c r="A611" s="114" t="s">
        <v>1993</v>
      </c>
      <c r="B611" s="115" t="s">
        <v>1994</v>
      </c>
      <c r="C611" s="116" t="s">
        <v>16</v>
      </c>
      <c r="D611" s="116">
        <v>0</v>
      </c>
      <c r="E611" s="136" t="s">
        <v>416</v>
      </c>
      <c r="F611" s="137" t="str">
        <f t="shared" si="82"/>
        <v/>
      </c>
      <c r="G611" s="138" t="e">
        <f>IF(A611&lt;&gt;"",IF(AND(#REF!="Padrão",$H$4=#REF!),BDI!$B$17,IF(AND(#REF!="Padrão",$H$4=#REF!),BDI!#REF!,IF(AND(#REF!="Diferenciado",$H$4=#REF!),BDI!$E$17,IF(AND(#REF!="Diferenciado",$H$4=#REF!),BDI!#REF!,IF(#REF!="ZERO",0))))),"")</f>
        <v>#REF!</v>
      </c>
      <c r="H611" s="139" t="str">
        <f t="shared" si="83"/>
        <v/>
      </c>
      <c r="I611" s="137" t="str">
        <f t="shared" si="84"/>
        <v/>
      </c>
      <c r="J611" s="117"/>
      <c r="K611" s="116">
        <v>0</v>
      </c>
      <c r="M611" s="136" t="s">
        <v>416</v>
      </c>
      <c r="N611" t="e">
        <v>#REF!</v>
      </c>
      <c r="Q611" t="s">
        <v>416</v>
      </c>
    </row>
    <row r="612" spans="1:17" hidden="1" x14ac:dyDescent="0.25">
      <c r="A612" s="114" t="s">
        <v>1995</v>
      </c>
      <c r="B612" s="115" t="s">
        <v>1996</v>
      </c>
      <c r="C612" s="116" t="s">
        <v>16</v>
      </c>
      <c r="D612" s="116">
        <v>0</v>
      </c>
      <c r="E612" s="136" t="s">
        <v>416</v>
      </c>
      <c r="F612" s="137" t="str">
        <f t="shared" si="82"/>
        <v/>
      </c>
      <c r="G612" s="138" t="e">
        <f>IF(A612&lt;&gt;"",IF(AND(#REF!="Padrão",$H$4=#REF!),BDI!$B$17,IF(AND(#REF!="Padrão",$H$4=#REF!),BDI!#REF!,IF(AND(#REF!="Diferenciado",$H$4=#REF!),BDI!$E$17,IF(AND(#REF!="Diferenciado",$H$4=#REF!),BDI!#REF!,IF(#REF!="ZERO",0))))),"")</f>
        <v>#REF!</v>
      </c>
      <c r="H612" s="139" t="str">
        <f t="shared" si="83"/>
        <v/>
      </c>
      <c r="I612" s="137" t="str">
        <f t="shared" si="84"/>
        <v/>
      </c>
      <c r="J612" s="117"/>
      <c r="K612" s="116">
        <v>0</v>
      </c>
      <c r="M612" s="136" t="s">
        <v>416</v>
      </c>
      <c r="N612" t="e">
        <v>#REF!</v>
      </c>
      <c r="Q612" t="s">
        <v>416</v>
      </c>
    </row>
    <row r="613" spans="1:17" hidden="1" x14ac:dyDescent="0.25">
      <c r="A613" s="114" t="s">
        <v>1997</v>
      </c>
      <c r="B613" s="115" t="s">
        <v>1998</v>
      </c>
      <c r="C613" s="116" t="s">
        <v>16</v>
      </c>
      <c r="D613" s="116">
        <v>0</v>
      </c>
      <c r="E613" s="136" t="s">
        <v>416</v>
      </c>
      <c r="F613" s="137" t="str">
        <f t="shared" si="82"/>
        <v/>
      </c>
      <c r="G613" s="138" t="e">
        <f>IF(A613&lt;&gt;"",IF(AND(#REF!="Padrão",$H$4=#REF!),BDI!$B$17,IF(AND(#REF!="Padrão",$H$4=#REF!),BDI!#REF!,IF(AND(#REF!="Diferenciado",$H$4=#REF!),BDI!$E$17,IF(AND(#REF!="Diferenciado",$H$4=#REF!),BDI!#REF!,IF(#REF!="ZERO",0))))),"")</f>
        <v>#REF!</v>
      </c>
      <c r="H613" s="139" t="str">
        <f t="shared" si="83"/>
        <v/>
      </c>
      <c r="I613" s="137" t="str">
        <f t="shared" si="84"/>
        <v/>
      </c>
      <c r="J613" s="117"/>
      <c r="K613" s="116">
        <v>0</v>
      </c>
      <c r="M613" s="136" t="s">
        <v>416</v>
      </c>
      <c r="N613" t="e">
        <v>#REF!</v>
      </c>
      <c r="Q613" t="s">
        <v>416</v>
      </c>
    </row>
    <row r="614" spans="1:17" hidden="1" x14ac:dyDescent="0.25">
      <c r="A614" s="114" t="s">
        <v>1999</v>
      </c>
      <c r="B614" s="115" t="s">
        <v>2000</v>
      </c>
      <c r="C614" s="116" t="s">
        <v>16</v>
      </c>
      <c r="D614" s="116">
        <v>0</v>
      </c>
      <c r="E614" s="136" t="s">
        <v>416</v>
      </c>
      <c r="F614" s="137" t="str">
        <f t="shared" si="82"/>
        <v/>
      </c>
      <c r="G614" s="138" t="e">
        <f>IF(A614&lt;&gt;"",IF(AND(#REF!="Padrão",$H$4=#REF!),BDI!$B$17,IF(AND(#REF!="Padrão",$H$4=#REF!),BDI!#REF!,IF(AND(#REF!="Diferenciado",$H$4=#REF!),BDI!$E$17,IF(AND(#REF!="Diferenciado",$H$4=#REF!),BDI!#REF!,IF(#REF!="ZERO",0))))),"")</f>
        <v>#REF!</v>
      </c>
      <c r="H614" s="139" t="str">
        <f t="shared" si="83"/>
        <v/>
      </c>
      <c r="I614" s="137" t="str">
        <f t="shared" si="84"/>
        <v/>
      </c>
      <c r="J614" s="117"/>
      <c r="K614" s="116">
        <v>0</v>
      </c>
      <c r="M614" s="136" t="s">
        <v>416</v>
      </c>
      <c r="N614" t="e">
        <v>#REF!</v>
      </c>
      <c r="Q614" t="s">
        <v>416</v>
      </c>
    </row>
    <row r="615" spans="1:17" hidden="1" x14ac:dyDescent="0.25">
      <c r="A615" s="114" t="s">
        <v>2001</v>
      </c>
      <c r="B615" s="115" t="s">
        <v>2002</v>
      </c>
      <c r="C615" s="116" t="s">
        <v>16</v>
      </c>
      <c r="D615" s="116">
        <v>0</v>
      </c>
      <c r="E615" s="136" t="s">
        <v>416</v>
      </c>
      <c r="F615" s="137" t="str">
        <f t="shared" si="82"/>
        <v/>
      </c>
      <c r="G615" s="138" t="e">
        <f>IF(A615&lt;&gt;"",IF(AND(#REF!="Padrão",$H$4=#REF!),BDI!$B$17,IF(AND(#REF!="Padrão",$H$4=#REF!),BDI!#REF!,IF(AND(#REF!="Diferenciado",$H$4=#REF!),BDI!$E$17,IF(AND(#REF!="Diferenciado",$H$4=#REF!),BDI!#REF!,IF(#REF!="ZERO",0))))),"")</f>
        <v>#REF!</v>
      </c>
      <c r="H615" s="139" t="str">
        <f t="shared" si="83"/>
        <v/>
      </c>
      <c r="I615" s="137" t="str">
        <f t="shared" si="84"/>
        <v/>
      </c>
      <c r="J615" s="117"/>
      <c r="K615" s="116">
        <v>0</v>
      </c>
      <c r="M615" s="136" t="s">
        <v>416</v>
      </c>
      <c r="N615" t="e">
        <v>#REF!</v>
      </c>
      <c r="Q615" t="s">
        <v>416</v>
      </c>
    </row>
    <row r="616" spans="1:17" hidden="1" x14ac:dyDescent="0.25">
      <c r="A616" s="114" t="s">
        <v>2003</v>
      </c>
      <c r="B616" s="115" t="s">
        <v>2004</v>
      </c>
      <c r="C616" s="116" t="s">
        <v>16</v>
      </c>
      <c r="D616" s="116">
        <v>0</v>
      </c>
      <c r="E616" s="136" t="s">
        <v>416</v>
      </c>
      <c r="F616" s="137" t="str">
        <f t="shared" si="82"/>
        <v/>
      </c>
      <c r="G616" s="138" t="e">
        <f>IF(A616&lt;&gt;"",IF(AND(#REF!="Padrão",$H$4=#REF!),BDI!$B$17,IF(AND(#REF!="Padrão",$H$4=#REF!),BDI!#REF!,IF(AND(#REF!="Diferenciado",$H$4=#REF!),BDI!$E$17,IF(AND(#REF!="Diferenciado",$H$4=#REF!),BDI!#REF!,IF(#REF!="ZERO",0))))),"")</f>
        <v>#REF!</v>
      </c>
      <c r="H616" s="139" t="str">
        <f t="shared" si="83"/>
        <v/>
      </c>
      <c r="I616" s="137" t="str">
        <f t="shared" si="84"/>
        <v/>
      </c>
      <c r="J616" s="117"/>
      <c r="K616" s="116">
        <v>0</v>
      </c>
      <c r="M616" s="136" t="s">
        <v>416</v>
      </c>
      <c r="N616" t="e">
        <v>#REF!</v>
      </c>
      <c r="Q616" t="s">
        <v>416</v>
      </c>
    </row>
    <row r="617" spans="1:17" hidden="1" x14ac:dyDescent="0.25">
      <c r="A617" s="114" t="s">
        <v>2005</v>
      </c>
      <c r="B617" s="115" t="s">
        <v>2006</v>
      </c>
      <c r="C617" s="116" t="s">
        <v>16</v>
      </c>
      <c r="D617" s="116">
        <v>0</v>
      </c>
      <c r="E617" s="136" t="s">
        <v>416</v>
      </c>
      <c r="F617" s="137" t="str">
        <f t="shared" si="82"/>
        <v/>
      </c>
      <c r="G617" s="138" t="e">
        <f>IF(A617&lt;&gt;"",IF(AND(#REF!="Padrão",$H$4=#REF!),BDI!$B$17,IF(AND(#REF!="Padrão",$H$4=#REF!),BDI!#REF!,IF(AND(#REF!="Diferenciado",$H$4=#REF!),BDI!$E$17,IF(AND(#REF!="Diferenciado",$H$4=#REF!),BDI!#REF!,IF(#REF!="ZERO",0))))),"")</f>
        <v>#REF!</v>
      </c>
      <c r="H617" s="139" t="str">
        <f t="shared" si="83"/>
        <v/>
      </c>
      <c r="I617" s="137" t="str">
        <f t="shared" si="84"/>
        <v/>
      </c>
      <c r="J617" s="117"/>
      <c r="K617" s="116">
        <v>0</v>
      </c>
      <c r="M617" s="136" t="s">
        <v>416</v>
      </c>
      <c r="N617" t="e">
        <v>#REF!</v>
      </c>
      <c r="Q617" t="s">
        <v>416</v>
      </c>
    </row>
    <row r="618" spans="1:17" hidden="1" x14ac:dyDescent="0.25">
      <c r="A618" s="114" t="s">
        <v>2007</v>
      </c>
      <c r="B618" s="115" t="s">
        <v>2008</v>
      </c>
      <c r="C618" s="116" t="s">
        <v>16</v>
      </c>
      <c r="D618" s="116">
        <v>0</v>
      </c>
      <c r="E618" s="136" t="s">
        <v>416</v>
      </c>
      <c r="F618" s="137" t="str">
        <f t="shared" si="82"/>
        <v/>
      </c>
      <c r="G618" s="138" t="e">
        <f>IF(A618&lt;&gt;"",IF(AND(#REF!="Padrão",$H$4=#REF!),BDI!$B$17,IF(AND(#REF!="Padrão",$H$4=#REF!),BDI!#REF!,IF(AND(#REF!="Diferenciado",$H$4=#REF!),BDI!$E$17,IF(AND(#REF!="Diferenciado",$H$4=#REF!),BDI!#REF!,IF(#REF!="ZERO",0))))),"")</f>
        <v>#REF!</v>
      </c>
      <c r="H618" s="139" t="str">
        <f t="shared" si="83"/>
        <v/>
      </c>
      <c r="I618" s="137" t="str">
        <f t="shared" si="84"/>
        <v/>
      </c>
      <c r="J618" s="117"/>
      <c r="K618" s="116">
        <v>0</v>
      </c>
      <c r="M618" s="136" t="s">
        <v>416</v>
      </c>
      <c r="N618" t="e">
        <v>#REF!</v>
      </c>
      <c r="Q618" t="s">
        <v>416</v>
      </c>
    </row>
    <row r="619" spans="1:17" hidden="1" x14ac:dyDescent="0.25">
      <c r="A619" s="114" t="s">
        <v>2009</v>
      </c>
      <c r="B619" s="115" t="s">
        <v>2010</v>
      </c>
      <c r="C619" s="116" t="s">
        <v>16</v>
      </c>
      <c r="D619" s="116">
        <v>0</v>
      </c>
      <c r="E619" s="136" t="s">
        <v>416</v>
      </c>
      <c r="F619" s="137" t="str">
        <f t="shared" si="82"/>
        <v/>
      </c>
      <c r="G619" s="138" t="e">
        <f>IF(A619&lt;&gt;"",IF(AND(#REF!="Padrão",$H$4=#REF!),BDI!$B$17,IF(AND(#REF!="Padrão",$H$4=#REF!),BDI!#REF!,IF(AND(#REF!="Diferenciado",$H$4=#REF!),BDI!$E$17,IF(AND(#REF!="Diferenciado",$H$4=#REF!),BDI!#REF!,IF(#REF!="ZERO",0))))),"")</f>
        <v>#REF!</v>
      </c>
      <c r="H619" s="139" t="str">
        <f t="shared" si="83"/>
        <v/>
      </c>
      <c r="I619" s="137" t="str">
        <f t="shared" si="84"/>
        <v/>
      </c>
      <c r="J619" s="117"/>
      <c r="K619" s="116">
        <v>0</v>
      </c>
      <c r="M619" s="136" t="s">
        <v>416</v>
      </c>
      <c r="N619" t="e">
        <v>#REF!</v>
      </c>
      <c r="Q619" t="s">
        <v>416</v>
      </c>
    </row>
    <row r="620" spans="1:17" hidden="1" x14ac:dyDescent="0.25">
      <c r="A620" s="114" t="s">
        <v>2011</v>
      </c>
      <c r="B620" s="115" t="s">
        <v>2012</v>
      </c>
      <c r="C620" s="116" t="s">
        <v>16</v>
      </c>
      <c r="D620" s="116">
        <v>0</v>
      </c>
      <c r="E620" s="136" t="s">
        <v>416</v>
      </c>
      <c r="F620" s="137" t="str">
        <f t="shared" si="82"/>
        <v/>
      </c>
      <c r="G620" s="138" t="e">
        <f>IF(A620&lt;&gt;"",IF(AND(#REF!="Padrão",$H$4=#REF!),BDI!$B$17,IF(AND(#REF!="Padrão",$H$4=#REF!),BDI!#REF!,IF(AND(#REF!="Diferenciado",$H$4=#REF!),BDI!$E$17,IF(AND(#REF!="Diferenciado",$H$4=#REF!),BDI!#REF!,IF(#REF!="ZERO",0))))),"")</f>
        <v>#REF!</v>
      </c>
      <c r="H620" s="139" t="str">
        <f t="shared" si="83"/>
        <v/>
      </c>
      <c r="I620" s="137" t="str">
        <f t="shared" si="84"/>
        <v/>
      </c>
      <c r="J620" s="117"/>
      <c r="K620" s="116">
        <v>0</v>
      </c>
      <c r="M620" s="136" t="s">
        <v>416</v>
      </c>
      <c r="N620" t="e">
        <v>#REF!</v>
      </c>
      <c r="Q620" t="s">
        <v>416</v>
      </c>
    </row>
    <row r="621" spans="1:17" hidden="1" x14ac:dyDescent="0.25">
      <c r="A621" s="114" t="s">
        <v>2013</v>
      </c>
      <c r="B621" s="115" t="s">
        <v>7643</v>
      </c>
      <c r="C621" s="116" t="s">
        <v>16</v>
      </c>
      <c r="D621" s="116">
        <v>0</v>
      </c>
      <c r="E621" s="136" t="s">
        <v>416</v>
      </c>
      <c r="F621" s="137" t="str">
        <f t="shared" si="82"/>
        <v/>
      </c>
      <c r="G621" s="138" t="e">
        <f>IF(A621&lt;&gt;"",IF(AND(#REF!="Padrão",$H$4=#REF!),BDI!$B$17,IF(AND(#REF!="Padrão",$H$4=#REF!),BDI!#REF!,IF(AND(#REF!="Diferenciado",$H$4=#REF!),BDI!$E$17,IF(AND(#REF!="Diferenciado",$H$4=#REF!),BDI!#REF!,IF(#REF!="ZERO",0))))),"")</f>
        <v>#REF!</v>
      </c>
      <c r="H621" s="139" t="str">
        <f t="shared" si="83"/>
        <v/>
      </c>
      <c r="I621" s="137" t="str">
        <f t="shared" si="84"/>
        <v/>
      </c>
      <c r="J621" s="117"/>
      <c r="K621" s="116">
        <v>0</v>
      </c>
      <c r="M621" s="136" t="s">
        <v>416</v>
      </c>
      <c r="N621" t="e">
        <v>#REF!</v>
      </c>
      <c r="Q621" t="s">
        <v>416</v>
      </c>
    </row>
    <row r="622" spans="1:17" hidden="1" x14ac:dyDescent="0.25">
      <c r="A622" s="114" t="s">
        <v>2014</v>
      </c>
      <c r="B622" s="115" t="s">
        <v>7644</v>
      </c>
      <c r="C622" s="116" t="s">
        <v>16</v>
      </c>
      <c r="D622" s="116">
        <v>0</v>
      </c>
      <c r="E622" s="136" t="s">
        <v>416</v>
      </c>
      <c r="F622" s="137" t="str">
        <f t="shared" si="82"/>
        <v/>
      </c>
      <c r="G622" s="138" t="e">
        <f>IF(A622&lt;&gt;"",IF(AND(#REF!="Padrão",$H$4=#REF!),BDI!$B$17,IF(AND(#REF!="Padrão",$H$4=#REF!),BDI!#REF!,IF(AND(#REF!="Diferenciado",$H$4=#REF!),BDI!$E$17,IF(AND(#REF!="Diferenciado",$H$4=#REF!),BDI!#REF!,IF(#REF!="ZERO",0))))),"")</f>
        <v>#REF!</v>
      </c>
      <c r="H622" s="139" t="str">
        <f t="shared" si="83"/>
        <v/>
      </c>
      <c r="I622" s="137" t="str">
        <f t="shared" si="84"/>
        <v/>
      </c>
      <c r="J622" s="117"/>
      <c r="K622" s="116">
        <v>0</v>
      </c>
      <c r="M622" s="136" t="s">
        <v>416</v>
      </c>
      <c r="N622" t="e">
        <v>#REF!</v>
      </c>
      <c r="Q622" t="s">
        <v>416</v>
      </c>
    </row>
    <row r="623" spans="1:17" hidden="1" x14ac:dyDescent="0.25">
      <c r="A623" s="114" t="s">
        <v>2015</v>
      </c>
      <c r="B623" s="115" t="s">
        <v>7645</v>
      </c>
      <c r="C623" s="116" t="s">
        <v>16</v>
      </c>
      <c r="D623" s="116">
        <v>0</v>
      </c>
      <c r="E623" s="136" t="s">
        <v>416</v>
      </c>
      <c r="F623" s="137" t="str">
        <f t="shared" si="82"/>
        <v/>
      </c>
      <c r="G623" s="138" t="e">
        <f>IF(A623&lt;&gt;"",IF(AND(#REF!="Padrão",$H$4=#REF!),BDI!$B$17,IF(AND(#REF!="Padrão",$H$4=#REF!),BDI!#REF!,IF(AND(#REF!="Diferenciado",$H$4=#REF!),BDI!$E$17,IF(AND(#REF!="Diferenciado",$H$4=#REF!),BDI!#REF!,IF(#REF!="ZERO",0))))),"")</f>
        <v>#REF!</v>
      </c>
      <c r="H623" s="139" t="str">
        <f t="shared" si="83"/>
        <v/>
      </c>
      <c r="I623" s="137" t="str">
        <f t="shared" si="84"/>
        <v/>
      </c>
      <c r="J623" s="117"/>
      <c r="K623" s="116">
        <v>0</v>
      </c>
      <c r="M623" s="136" t="s">
        <v>416</v>
      </c>
      <c r="N623" t="e">
        <v>#REF!</v>
      </c>
      <c r="Q623" t="s">
        <v>416</v>
      </c>
    </row>
    <row r="624" spans="1:17" hidden="1" x14ac:dyDescent="0.25">
      <c r="A624" s="114" t="s">
        <v>2016</v>
      </c>
      <c r="B624" s="115" t="s">
        <v>7646</v>
      </c>
      <c r="C624" s="116" t="s">
        <v>16</v>
      </c>
      <c r="D624" s="116">
        <v>0</v>
      </c>
      <c r="E624" s="136" t="s">
        <v>416</v>
      </c>
      <c r="F624" s="137" t="str">
        <f t="shared" si="82"/>
        <v/>
      </c>
      <c r="G624" s="138" t="e">
        <f>IF(A624&lt;&gt;"",IF(AND(#REF!="Padrão",$H$4=#REF!),BDI!$B$17,IF(AND(#REF!="Padrão",$H$4=#REF!),BDI!#REF!,IF(AND(#REF!="Diferenciado",$H$4=#REF!),BDI!$E$17,IF(AND(#REF!="Diferenciado",$H$4=#REF!),BDI!#REF!,IF(#REF!="ZERO",0))))),"")</f>
        <v>#REF!</v>
      </c>
      <c r="H624" s="139" t="str">
        <f t="shared" si="83"/>
        <v/>
      </c>
      <c r="I624" s="137" t="str">
        <f t="shared" si="84"/>
        <v/>
      </c>
      <c r="J624" s="117"/>
      <c r="K624" s="116">
        <v>0</v>
      </c>
      <c r="M624" s="136" t="s">
        <v>416</v>
      </c>
      <c r="N624" t="e">
        <v>#REF!</v>
      </c>
      <c r="Q624" t="s">
        <v>416</v>
      </c>
    </row>
    <row r="625" spans="1:17" hidden="1" x14ac:dyDescent="0.25">
      <c r="A625" s="114" t="s">
        <v>2017</v>
      </c>
      <c r="B625" s="115" t="s">
        <v>7647</v>
      </c>
      <c r="C625" s="116" t="s">
        <v>16</v>
      </c>
      <c r="D625" s="116">
        <v>0</v>
      </c>
      <c r="E625" s="136" t="s">
        <v>416</v>
      </c>
      <c r="F625" s="137" t="str">
        <f t="shared" si="82"/>
        <v/>
      </c>
      <c r="G625" s="138" t="e">
        <f>IF(A625&lt;&gt;"",IF(AND(#REF!="Padrão",$H$4=#REF!),BDI!$B$17,IF(AND(#REF!="Padrão",$H$4=#REF!),BDI!#REF!,IF(AND(#REF!="Diferenciado",$H$4=#REF!),BDI!$E$17,IF(AND(#REF!="Diferenciado",$H$4=#REF!),BDI!#REF!,IF(#REF!="ZERO",0))))),"")</f>
        <v>#REF!</v>
      </c>
      <c r="H625" s="139" t="str">
        <f t="shared" si="83"/>
        <v/>
      </c>
      <c r="I625" s="137" t="str">
        <f t="shared" si="84"/>
        <v/>
      </c>
      <c r="J625" s="117"/>
      <c r="K625" s="116">
        <v>0</v>
      </c>
      <c r="M625" s="136" t="s">
        <v>416</v>
      </c>
      <c r="N625" t="e">
        <v>#REF!</v>
      </c>
      <c r="Q625" t="s">
        <v>416</v>
      </c>
    </row>
    <row r="626" spans="1:17" hidden="1" x14ac:dyDescent="0.25">
      <c r="A626" s="114" t="s">
        <v>2018</v>
      </c>
      <c r="B626" s="115" t="s">
        <v>7648</v>
      </c>
      <c r="C626" s="116" t="s">
        <v>16</v>
      </c>
      <c r="D626" s="116">
        <v>0</v>
      </c>
      <c r="E626" s="136" t="s">
        <v>416</v>
      </c>
      <c r="F626" s="137" t="str">
        <f t="shared" si="82"/>
        <v/>
      </c>
      <c r="G626" s="138" t="e">
        <f>IF(A626&lt;&gt;"",IF(AND(#REF!="Padrão",$H$4=#REF!),BDI!$B$17,IF(AND(#REF!="Padrão",$H$4=#REF!),BDI!#REF!,IF(AND(#REF!="Diferenciado",$H$4=#REF!),BDI!$E$17,IF(AND(#REF!="Diferenciado",$H$4=#REF!),BDI!#REF!,IF(#REF!="ZERO",0))))),"")</f>
        <v>#REF!</v>
      </c>
      <c r="H626" s="139" t="str">
        <f t="shared" si="83"/>
        <v/>
      </c>
      <c r="I626" s="137" t="str">
        <f t="shared" si="84"/>
        <v/>
      </c>
      <c r="J626" s="117"/>
      <c r="K626" s="116">
        <v>0</v>
      </c>
      <c r="M626" s="136" t="s">
        <v>416</v>
      </c>
      <c r="N626" t="e">
        <v>#REF!</v>
      </c>
      <c r="Q626" t="s">
        <v>416</v>
      </c>
    </row>
    <row r="627" spans="1:17" hidden="1" x14ac:dyDescent="0.25">
      <c r="A627" s="114" t="s">
        <v>2019</v>
      </c>
      <c r="B627" s="115" t="s">
        <v>7649</v>
      </c>
      <c r="C627" s="116" t="s">
        <v>16</v>
      </c>
      <c r="D627" s="116">
        <v>0</v>
      </c>
      <c r="E627" s="136" t="s">
        <v>416</v>
      </c>
      <c r="F627" s="137" t="str">
        <f t="shared" si="82"/>
        <v/>
      </c>
      <c r="G627" s="138" t="e">
        <f>IF(A627&lt;&gt;"",IF(AND(#REF!="Padrão",$H$4=#REF!),BDI!$B$17,IF(AND(#REF!="Padrão",$H$4=#REF!),BDI!#REF!,IF(AND(#REF!="Diferenciado",$H$4=#REF!),BDI!$E$17,IF(AND(#REF!="Diferenciado",$H$4=#REF!),BDI!#REF!,IF(#REF!="ZERO",0))))),"")</f>
        <v>#REF!</v>
      </c>
      <c r="H627" s="139" t="str">
        <f t="shared" si="83"/>
        <v/>
      </c>
      <c r="I627" s="137" t="str">
        <f t="shared" si="84"/>
        <v/>
      </c>
      <c r="J627" s="117"/>
      <c r="K627" s="116">
        <v>0</v>
      </c>
      <c r="M627" s="136" t="s">
        <v>416</v>
      </c>
      <c r="N627" t="e">
        <v>#REF!</v>
      </c>
      <c r="Q627" t="s">
        <v>416</v>
      </c>
    </row>
    <row r="628" spans="1:17" hidden="1" x14ac:dyDescent="0.25">
      <c r="A628" s="114" t="s">
        <v>2020</v>
      </c>
      <c r="B628" s="115" t="s">
        <v>2021</v>
      </c>
      <c r="C628" s="116" t="s">
        <v>16</v>
      </c>
      <c r="D628" s="116">
        <v>0</v>
      </c>
      <c r="E628" s="136" t="s">
        <v>416</v>
      </c>
      <c r="F628" s="137" t="str">
        <f t="shared" si="82"/>
        <v/>
      </c>
      <c r="G628" s="138" t="e">
        <f>IF(A628&lt;&gt;"",IF(AND(#REF!="Padrão",$H$4=#REF!),BDI!$B$17,IF(AND(#REF!="Padrão",$H$4=#REF!),BDI!#REF!,IF(AND(#REF!="Diferenciado",$H$4=#REF!),BDI!$E$17,IF(AND(#REF!="Diferenciado",$H$4=#REF!),BDI!#REF!,IF(#REF!="ZERO",0))))),"")</f>
        <v>#REF!</v>
      </c>
      <c r="H628" s="139" t="str">
        <f t="shared" si="83"/>
        <v/>
      </c>
      <c r="I628" s="137" t="str">
        <f t="shared" si="84"/>
        <v/>
      </c>
      <c r="J628" s="117"/>
      <c r="K628" s="116">
        <v>0</v>
      </c>
      <c r="M628" s="136" t="s">
        <v>416</v>
      </c>
      <c r="N628" t="e">
        <v>#REF!</v>
      </c>
      <c r="Q628" t="s">
        <v>416</v>
      </c>
    </row>
    <row r="629" spans="1:17" hidden="1" x14ac:dyDescent="0.25">
      <c r="A629" s="114" t="s">
        <v>2022</v>
      </c>
      <c r="B629" s="115" t="s">
        <v>2023</v>
      </c>
      <c r="C629" s="116" t="s">
        <v>16</v>
      </c>
      <c r="D629" s="116">
        <v>0</v>
      </c>
      <c r="E629" s="136" t="s">
        <v>416</v>
      </c>
      <c r="F629" s="137" t="str">
        <f t="shared" si="82"/>
        <v/>
      </c>
      <c r="G629" s="138" t="e">
        <f>IF(A629&lt;&gt;"",IF(AND(#REF!="Padrão",$H$4=#REF!),BDI!$B$17,IF(AND(#REF!="Padrão",$H$4=#REF!),BDI!#REF!,IF(AND(#REF!="Diferenciado",$H$4=#REF!),BDI!$E$17,IF(AND(#REF!="Diferenciado",$H$4=#REF!),BDI!#REF!,IF(#REF!="ZERO",0))))),"")</f>
        <v>#REF!</v>
      </c>
      <c r="H629" s="139" t="str">
        <f t="shared" si="83"/>
        <v/>
      </c>
      <c r="I629" s="137" t="str">
        <f t="shared" si="84"/>
        <v/>
      </c>
      <c r="J629" s="117"/>
      <c r="K629" s="116">
        <v>0</v>
      </c>
      <c r="M629" s="136" t="s">
        <v>416</v>
      </c>
      <c r="N629" t="e">
        <v>#REF!</v>
      </c>
      <c r="Q629" t="s">
        <v>416</v>
      </c>
    </row>
    <row r="630" spans="1:17" hidden="1" x14ac:dyDescent="0.25">
      <c r="A630" s="114" t="s">
        <v>2024</v>
      </c>
      <c r="B630" s="115" t="s">
        <v>7650</v>
      </c>
      <c r="C630" s="116" t="s">
        <v>16</v>
      </c>
      <c r="D630" s="116">
        <v>0</v>
      </c>
      <c r="E630" s="136" t="s">
        <v>416</v>
      </c>
      <c r="F630" s="137" t="str">
        <f t="shared" si="82"/>
        <v/>
      </c>
      <c r="G630" s="138" t="e">
        <f>IF(A630&lt;&gt;"",IF(AND(#REF!="Padrão",$H$4=#REF!),BDI!$B$17,IF(AND(#REF!="Padrão",$H$4=#REF!),BDI!#REF!,IF(AND(#REF!="Diferenciado",$H$4=#REF!),BDI!$E$17,IF(AND(#REF!="Diferenciado",$H$4=#REF!),BDI!#REF!,IF(#REF!="ZERO",0))))),"")</f>
        <v>#REF!</v>
      </c>
      <c r="H630" s="139" t="str">
        <f t="shared" si="83"/>
        <v/>
      </c>
      <c r="I630" s="137" t="str">
        <f t="shared" si="84"/>
        <v/>
      </c>
      <c r="J630" s="117"/>
      <c r="K630" s="116">
        <v>0</v>
      </c>
      <c r="M630" s="136" t="s">
        <v>416</v>
      </c>
      <c r="N630" t="e">
        <v>#REF!</v>
      </c>
      <c r="Q630" t="s">
        <v>416</v>
      </c>
    </row>
    <row r="631" spans="1:17" hidden="1" x14ac:dyDescent="0.25">
      <c r="A631" s="114" t="s">
        <v>2025</v>
      </c>
      <c r="B631" s="115" t="s">
        <v>7651</v>
      </c>
      <c r="C631" s="116" t="s">
        <v>16</v>
      </c>
      <c r="D631" s="116">
        <v>0</v>
      </c>
      <c r="E631" s="136" t="s">
        <v>416</v>
      </c>
      <c r="F631" s="137" t="str">
        <f t="shared" si="82"/>
        <v/>
      </c>
      <c r="G631" s="138" t="e">
        <f>IF(A631&lt;&gt;"",IF(AND(#REF!="Padrão",$H$4=#REF!),BDI!$B$17,IF(AND(#REF!="Padrão",$H$4=#REF!),BDI!#REF!,IF(AND(#REF!="Diferenciado",$H$4=#REF!),BDI!$E$17,IF(AND(#REF!="Diferenciado",$H$4=#REF!),BDI!#REF!,IF(#REF!="ZERO",0))))),"")</f>
        <v>#REF!</v>
      </c>
      <c r="H631" s="139" t="str">
        <f t="shared" si="83"/>
        <v/>
      </c>
      <c r="I631" s="137" t="str">
        <f t="shared" si="84"/>
        <v/>
      </c>
      <c r="J631" s="117"/>
      <c r="K631" s="116">
        <v>0</v>
      </c>
      <c r="M631" s="136" t="s">
        <v>416</v>
      </c>
      <c r="N631" t="e">
        <v>#REF!</v>
      </c>
      <c r="Q631" t="s">
        <v>416</v>
      </c>
    </row>
    <row r="632" spans="1:17" hidden="1" x14ac:dyDescent="0.25">
      <c r="A632" s="114" t="s">
        <v>2026</v>
      </c>
      <c r="B632" s="115" t="s">
        <v>7652</v>
      </c>
      <c r="C632" s="116" t="s">
        <v>16</v>
      </c>
      <c r="D632" s="116">
        <v>0</v>
      </c>
      <c r="E632" s="136" t="s">
        <v>416</v>
      </c>
      <c r="F632" s="137" t="str">
        <f t="shared" si="82"/>
        <v/>
      </c>
      <c r="G632" s="138" t="e">
        <f>IF(A632&lt;&gt;"",IF(AND(#REF!="Padrão",$H$4=#REF!),BDI!$B$17,IF(AND(#REF!="Padrão",$H$4=#REF!),BDI!#REF!,IF(AND(#REF!="Diferenciado",$H$4=#REF!),BDI!$E$17,IF(AND(#REF!="Diferenciado",$H$4=#REF!),BDI!#REF!,IF(#REF!="ZERO",0))))),"")</f>
        <v>#REF!</v>
      </c>
      <c r="H632" s="139" t="str">
        <f t="shared" si="83"/>
        <v/>
      </c>
      <c r="I632" s="137" t="str">
        <f t="shared" si="84"/>
        <v/>
      </c>
      <c r="J632" s="117"/>
      <c r="K632" s="116">
        <v>0</v>
      </c>
      <c r="M632" s="136" t="s">
        <v>416</v>
      </c>
      <c r="N632" t="e">
        <v>#REF!</v>
      </c>
      <c r="Q632" t="s">
        <v>416</v>
      </c>
    </row>
    <row r="633" spans="1:17" hidden="1" x14ac:dyDescent="0.25">
      <c r="A633" s="114" t="s">
        <v>2027</v>
      </c>
      <c r="B633" s="115" t="s">
        <v>7654</v>
      </c>
      <c r="C633" s="116" t="s">
        <v>16</v>
      </c>
      <c r="D633" s="116">
        <v>0</v>
      </c>
      <c r="E633" s="136" t="s">
        <v>416</v>
      </c>
      <c r="F633" s="137" t="str">
        <f t="shared" si="82"/>
        <v/>
      </c>
      <c r="G633" s="138" t="e">
        <f>IF(A633&lt;&gt;"",IF(AND(#REF!="Padrão",$H$4=#REF!),BDI!$B$17,IF(AND(#REF!="Padrão",$H$4=#REF!),BDI!#REF!,IF(AND(#REF!="Diferenciado",$H$4=#REF!),BDI!$E$17,IF(AND(#REF!="Diferenciado",$H$4=#REF!),BDI!#REF!,IF(#REF!="ZERO",0))))),"")</f>
        <v>#REF!</v>
      </c>
      <c r="H633" s="139" t="str">
        <f t="shared" si="83"/>
        <v/>
      </c>
      <c r="I633" s="137" t="str">
        <f t="shared" si="84"/>
        <v/>
      </c>
      <c r="J633" s="117"/>
      <c r="K633" s="116">
        <v>0</v>
      </c>
      <c r="M633" s="136" t="s">
        <v>416</v>
      </c>
      <c r="N633" t="e">
        <v>#REF!</v>
      </c>
      <c r="Q633" t="s">
        <v>416</v>
      </c>
    </row>
    <row r="634" spans="1:17" hidden="1" x14ac:dyDescent="0.25">
      <c r="A634" s="114" t="s">
        <v>2028</v>
      </c>
      <c r="B634" s="115" t="s">
        <v>7653</v>
      </c>
      <c r="C634" s="116" t="s">
        <v>16</v>
      </c>
      <c r="D634" s="116">
        <v>0</v>
      </c>
      <c r="E634" s="136" t="s">
        <v>416</v>
      </c>
      <c r="F634" s="137" t="str">
        <f t="shared" si="82"/>
        <v/>
      </c>
      <c r="G634" s="138" t="e">
        <f>IF(A634&lt;&gt;"",IF(AND(#REF!="Padrão",$H$4=#REF!),BDI!$B$17,IF(AND(#REF!="Padrão",$H$4=#REF!),BDI!#REF!,IF(AND(#REF!="Diferenciado",$H$4=#REF!),BDI!$E$17,IF(AND(#REF!="Diferenciado",$H$4=#REF!),BDI!#REF!,IF(#REF!="ZERO",0))))),"")</f>
        <v>#REF!</v>
      </c>
      <c r="H634" s="139" t="str">
        <f t="shared" si="83"/>
        <v/>
      </c>
      <c r="I634" s="137" t="str">
        <f t="shared" si="84"/>
        <v/>
      </c>
      <c r="J634" s="117"/>
      <c r="K634" s="116">
        <v>0</v>
      </c>
      <c r="M634" s="136" t="s">
        <v>416</v>
      </c>
      <c r="N634" t="e">
        <v>#REF!</v>
      </c>
      <c r="Q634" t="s">
        <v>416</v>
      </c>
    </row>
    <row r="635" spans="1:17" hidden="1" x14ac:dyDescent="0.25">
      <c r="A635" s="114" t="s">
        <v>2029</v>
      </c>
      <c r="B635" s="115" t="s">
        <v>7655</v>
      </c>
      <c r="C635" s="116" t="s">
        <v>16</v>
      </c>
      <c r="D635" s="116">
        <v>0</v>
      </c>
      <c r="E635" s="136" t="s">
        <v>416</v>
      </c>
      <c r="F635" s="137" t="str">
        <f t="shared" si="82"/>
        <v/>
      </c>
      <c r="G635" s="138" t="e">
        <f>IF(A635&lt;&gt;"",IF(AND(#REF!="Padrão",$H$4=#REF!),BDI!$B$17,IF(AND(#REF!="Padrão",$H$4=#REF!),BDI!#REF!,IF(AND(#REF!="Diferenciado",$H$4=#REF!),BDI!$E$17,IF(AND(#REF!="Diferenciado",$H$4=#REF!),BDI!#REF!,IF(#REF!="ZERO",0))))),"")</f>
        <v>#REF!</v>
      </c>
      <c r="H635" s="139" t="str">
        <f t="shared" si="83"/>
        <v/>
      </c>
      <c r="I635" s="137" t="str">
        <f t="shared" si="84"/>
        <v/>
      </c>
      <c r="J635" s="117"/>
      <c r="K635" s="116">
        <v>0</v>
      </c>
      <c r="M635" s="136" t="s">
        <v>416</v>
      </c>
      <c r="N635" t="e">
        <v>#REF!</v>
      </c>
      <c r="Q635" t="s">
        <v>416</v>
      </c>
    </row>
    <row r="636" spans="1:17" hidden="1" x14ac:dyDescent="0.25">
      <c r="A636" s="114" t="s">
        <v>2030</v>
      </c>
      <c r="B636" s="115" t="s">
        <v>7656</v>
      </c>
      <c r="C636" s="116" t="s">
        <v>16</v>
      </c>
      <c r="D636" s="116">
        <v>0</v>
      </c>
      <c r="E636" s="136" t="s">
        <v>416</v>
      </c>
      <c r="F636" s="137" t="str">
        <f t="shared" si="82"/>
        <v/>
      </c>
      <c r="G636" s="138" t="e">
        <f>IF(A636&lt;&gt;"",IF(AND(#REF!="Padrão",$H$4=#REF!),BDI!$B$17,IF(AND(#REF!="Padrão",$H$4=#REF!),BDI!#REF!,IF(AND(#REF!="Diferenciado",$H$4=#REF!),BDI!$E$17,IF(AND(#REF!="Diferenciado",$H$4=#REF!),BDI!#REF!,IF(#REF!="ZERO",0))))),"")</f>
        <v>#REF!</v>
      </c>
      <c r="H636" s="139" t="str">
        <f t="shared" si="83"/>
        <v/>
      </c>
      <c r="I636" s="137" t="str">
        <f t="shared" si="84"/>
        <v/>
      </c>
      <c r="J636" s="117"/>
      <c r="K636" s="116">
        <v>0</v>
      </c>
      <c r="M636" s="136" t="s">
        <v>416</v>
      </c>
      <c r="N636" t="e">
        <v>#REF!</v>
      </c>
      <c r="Q636" t="s">
        <v>416</v>
      </c>
    </row>
    <row r="637" spans="1:17" hidden="1" x14ac:dyDescent="0.25">
      <c r="A637" s="114" t="s">
        <v>2031</v>
      </c>
      <c r="B637" s="115" t="s">
        <v>7657</v>
      </c>
      <c r="C637" s="116" t="s">
        <v>16</v>
      </c>
      <c r="D637" s="116">
        <v>0</v>
      </c>
      <c r="E637" s="136" t="s">
        <v>416</v>
      </c>
      <c r="F637" s="137" t="str">
        <f t="shared" si="82"/>
        <v/>
      </c>
      <c r="G637" s="138" t="e">
        <f>IF(A637&lt;&gt;"",IF(AND(#REF!="Padrão",$H$4=#REF!),BDI!$B$17,IF(AND(#REF!="Padrão",$H$4=#REF!),BDI!#REF!,IF(AND(#REF!="Diferenciado",$H$4=#REF!),BDI!$E$17,IF(AND(#REF!="Diferenciado",$H$4=#REF!),BDI!#REF!,IF(#REF!="ZERO",0))))),"")</f>
        <v>#REF!</v>
      </c>
      <c r="H637" s="139" t="str">
        <f t="shared" si="83"/>
        <v/>
      </c>
      <c r="I637" s="137" t="str">
        <f t="shared" si="84"/>
        <v/>
      </c>
      <c r="J637" s="117"/>
      <c r="K637" s="116">
        <v>0</v>
      </c>
      <c r="M637" s="136" t="s">
        <v>416</v>
      </c>
      <c r="N637" t="e">
        <v>#REF!</v>
      </c>
      <c r="Q637" t="s">
        <v>416</v>
      </c>
    </row>
    <row r="638" spans="1:17" hidden="1" x14ac:dyDescent="0.25">
      <c r="A638" s="114" t="s">
        <v>2032</v>
      </c>
      <c r="B638" s="115" t="s">
        <v>7658</v>
      </c>
      <c r="C638" s="116" t="s">
        <v>16</v>
      </c>
      <c r="D638" s="116">
        <v>0</v>
      </c>
      <c r="E638" s="136" t="s">
        <v>416</v>
      </c>
      <c r="F638" s="137" t="str">
        <f t="shared" si="82"/>
        <v/>
      </c>
      <c r="G638" s="138" t="e">
        <f>IF(A638&lt;&gt;"",IF(AND(#REF!="Padrão",$H$4=#REF!),BDI!$B$17,IF(AND(#REF!="Padrão",$H$4=#REF!),BDI!#REF!,IF(AND(#REF!="Diferenciado",$H$4=#REF!),BDI!$E$17,IF(AND(#REF!="Diferenciado",$H$4=#REF!),BDI!#REF!,IF(#REF!="ZERO",0))))),"")</f>
        <v>#REF!</v>
      </c>
      <c r="H638" s="139" t="str">
        <f t="shared" si="83"/>
        <v/>
      </c>
      <c r="I638" s="137" t="str">
        <f t="shared" si="84"/>
        <v/>
      </c>
      <c r="J638" s="117"/>
      <c r="K638" s="116">
        <v>0</v>
      </c>
      <c r="M638" s="136" t="s">
        <v>416</v>
      </c>
      <c r="N638" t="e">
        <v>#REF!</v>
      </c>
      <c r="Q638" t="s">
        <v>416</v>
      </c>
    </row>
    <row r="639" spans="1:17" hidden="1" x14ac:dyDescent="0.25">
      <c r="A639" s="114" t="s">
        <v>2033</v>
      </c>
      <c r="B639" s="115" t="s">
        <v>7659</v>
      </c>
      <c r="C639" s="116" t="s">
        <v>16</v>
      </c>
      <c r="D639" s="116">
        <v>0</v>
      </c>
      <c r="E639" s="136" t="s">
        <v>416</v>
      </c>
      <c r="F639" s="137" t="str">
        <f t="shared" si="82"/>
        <v/>
      </c>
      <c r="G639" s="138" t="e">
        <f>IF(A639&lt;&gt;"",IF(AND(#REF!="Padrão",$H$4=#REF!),BDI!$B$17,IF(AND(#REF!="Padrão",$H$4=#REF!),BDI!#REF!,IF(AND(#REF!="Diferenciado",$H$4=#REF!),BDI!$E$17,IF(AND(#REF!="Diferenciado",$H$4=#REF!),BDI!#REF!,IF(#REF!="ZERO",0))))),"")</f>
        <v>#REF!</v>
      </c>
      <c r="H639" s="139" t="str">
        <f t="shared" si="83"/>
        <v/>
      </c>
      <c r="I639" s="137" t="str">
        <f t="shared" si="84"/>
        <v/>
      </c>
      <c r="J639" s="117"/>
      <c r="K639" s="116">
        <v>0</v>
      </c>
      <c r="M639" s="136" t="s">
        <v>416</v>
      </c>
      <c r="N639" t="e">
        <v>#REF!</v>
      </c>
      <c r="Q639" t="s">
        <v>416</v>
      </c>
    </row>
    <row r="640" spans="1:17" hidden="1" x14ac:dyDescent="0.25">
      <c r="A640" s="114" t="s">
        <v>2034</v>
      </c>
      <c r="B640" s="115" t="s">
        <v>7660</v>
      </c>
      <c r="C640" s="116" t="s">
        <v>16</v>
      </c>
      <c r="D640" s="116">
        <v>0</v>
      </c>
      <c r="E640" s="136" t="s">
        <v>416</v>
      </c>
      <c r="F640" s="137" t="str">
        <f t="shared" si="82"/>
        <v/>
      </c>
      <c r="G640" s="138" t="e">
        <f>IF(A640&lt;&gt;"",IF(AND(#REF!="Padrão",$H$4=#REF!),BDI!$B$17,IF(AND(#REF!="Padrão",$H$4=#REF!),BDI!#REF!,IF(AND(#REF!="Diferenciado",$H$4=#REF!),BDI!$E$17,IF(AND(#REF!="Diferenciado",$H$4=#REF!),BDI!#REF!,IF(#REF!="ZERO",0))))),"")</f>
        <v>#REF!</v>
      </c>
      <c r="H640" s="139" t="str">
        <f t="shared" si="83"/>
        <v/>
      </c>
      <c r="I640" s="137" t="str">
        <f t="shared" si="84"/>
        <v/>
      </c>
      <c r="J640" s="117"/>
      <c r="K640" s="116">
        <v>0</v>
      </c>
      <c r="M640" s="136" t="s">
        <v>416</v>
      </c>
      <c r="N640" t="e">
        <v>#REF!</v>
      </c>
      <c r="Q640" t="s">
        <v>416</v>
      </c>
    </row>
    <row r="641" spans="1:17" hidden="1" x14ac:dyDescent="0.25">
      <c r="A641" s="114" t="s">
        <v>2035</v>
      </c>
      <c r="B641" s="115" t="s">
        <v>7661</v>
      </c>
      <c r="C641" s="116" t="s">
        <v>16</v>
      </c>
      <c r="D641" s="116">
        <v>0</v>
      </c>
      <c r="E641" s="136" t="s">
        <v>416</v>
      </c>
      <c r="F641" s="137" t="str">
        <f t="shared" si="82"/>
        <v/>
      </c>
      <c r="G641" s="138" t="e">
        <f>IF(A641&lt;&gt;"",IF(AND(#REF!="Padrão",$H$4=#REF!),BDI!$B$17,IF(AND(#REF!="Padrão",$H$4=#REF!),BDI!#REF!,IF(AND(#REF!="Diferenciado",$H$4=#REF!),BDI!$E$17,IF(AND(#REF!="Diferenciado",$H$4=#REF!),BDI!#REF!,IF(#REF!="ZERO",0))))),"")</f>
        <v>#REF!</v>
      </c>
      <c r="H641" s="139" t="str">
        <f t="shared" si="83"/>
        <v/>
      </c>
      <c r="I641" s="137" t="str">
        <f t="shared" si="84"/>
        <v/>
      </c>
      <c r="J641" s="117"/>
      <c r="K641" s="116">
        <v>0</v>
      </c>
      <c r="M641" s="136" t="s">
        <v>416</v>
      </c>
      <c r="N641" t="e">
        <v>#REF!</v>
      </c>
      <c r="Q641" t="s">
        <v>416</v>
      </c>
    </row>
    <row r="642" spans="1:17" hidden="1" x14ac:dyDescent="0.25">
      <c r="A642" s="114" t="s">
        <v>2036</v>
      </c>
      <c r="B642" s="115" t="s">
        <v>2037</v>
      </c>
      <c r="C642" s="116" t="s">
        <v>16</v>
      </c>
      <c r="D642" s="116">
        <v>0</v>
      </c>
      <c r="E642" s="136" t="s">
        <v>416</v>
      </c>
      <c r="F642" s="137" t="str">
        <f t="shared" si="82"/>
        <v/>
      </c>
      <c r="G642" s="138" t="e">
        <f>IF(A642&lt;&gt;"",IF(AND(#REF!="Padrão",$H$4=#REF!),BDI!$B$17,IF(AND(#REF!="Padrão",$H$4=#REF!),BDI!#REF!,IF(AND(#REF!="Diferenciado",$H$4=#REF!),BDI!$E$17,IF(AND(#REF!="Diferenciado",$H$4=#REF!),BDI!#REF!,IF(#REF!="ZERO",0))))),"")</f>
        <v>#REF!</v>
      </c>
      <c r="H642" s="139" t="str">
        <f t="shared" si="83"/>
        <v/>
      </c>
      <c r="I642" s="137" t="str">
        <f t="shared" si="84"/>
        <v/>
      </c>
      <c r="J642" s="117"/>
      <c r="K642" s="116">
        <v>0</v>
      </c>
      <c r="M642" s="136" t="s">
        <v>416</v>
      </c>
      <c r="N642" t="e">
        <v>#REF!</v>
      </c>
      <c r="Q642" t="s">
        <v>416</v>
      </c>
    </row>
    <row r="643" spans="1:17" hidden="1" x14ac:dyDescent="0.25">
      <c r="A643" s="114" t="s">
        <v>2038</v>
      </c>
      <c r="B643" s="115" t="s">
        <v>7662</v>
      </c>
      <c r="C643" s="116" t="s">
        <v>16</v>
      </c>
      <c r="D643" s="116">
        <v>0</v>
      </c>
      <c r="E643" s="136" t="s">
        <v>416</v>
      </c>
      <c r="F643" s="137" t="str">
        <f t="shared" si="82"/>
        <v/>
      </c>
      <c r="G643" s="138" t="e">
        <f>IF(A643&lt;&gt;"",IF(AND(#REF!="Padrão",$H$4=#REF!),BDI!$B$17,IF(AND(#REF!="Padrão",$H$4=#REF!),BDI!#REF!,IF(AND(#REF!="Diferenciado",$H$4=#REF!),BDI!$E$17,IF(AND(#REF!="Diferenciado",$H$4=#REF!),BDI!#REF!,IF(#REF!="ZERO",0))))),"")</f>
        <v>#REF!</v>
      </c>
      <c r="H643" s="139" t="str">
        <f t="shared" si="83"/>
        <v/>
      </c>
      <c r="I643" s="137" t="str">
        <f t="shared" si="84"/>
        <v/>
      </c>
      <c r="J643" s="117"/>
      <c r="K643" s="116">
        <v>0</v>
      </c>
      <c r="M643" s="136" t="s">
        <v>416</v>
      </c>
      <c r="N643" t="e">
        <v>#REF!</v>
      </c>
      <c r="Q643" t="s">
        <v>416</v>
      </c>
    </row>
    <row r="644" spans="1:17" hidden="1" x14ac:dyDescent="0.25">
      <c r="A644" s="114" t="s">
        <v>2039</v>
      </c>
      <c r="B644" s="115" t="s">
        <v>2040</v>
      </c>
      <c r="C644" s="116" t="s">
        <v>16</v>
      </c>
      <c r="D644" s="116">
        <v>0</v>
      </c>
      <c r="E644" s="136" t="s">
        <v>416</v>
      </c>
      <c r="F644" s="137" t="str">
        <f t="shared" si="82"/>
        <v/>
      </c>
      <c r="G644" s="138" t="e">
        <f>IF(A644&lt;&gt;"",IF(AND(#REF!="Padrão",$H$4=#REF!),BDI!$B$17,IF(AND(#REF!="Padrão",$H$4=#REF!),BDI!#REF!,IF(AND(#REF!="Diferenciado",$H$4=#REF!),BDI!$E$17,IF(AND(#REF!="Diferenciado",$H$4=#REF!),BDI!#REF!,IF(#REF!="ZERO",0))))),"")</f>
        <v>#REF!</v>
      </c>
      <c r="H644" s="139" t="str">
        <f t="shared" si="83"/>
        <v/>
      </c>
      <c r="I644" s="137" t="str">
        <f t="shared" si="84"/>
        <v/>
      </c>
      <c r="J644" s="117"/>
      <c r="K644" s="116">
        <v>0</v>
      </c>
      <c r="M644" s="136" t="s">
        <v>416</v>
      </c>
      <c r="N644" t="e">
        <v>#REF!</v>
      </c>
      <c r="Q644" t="s">
        <v>416</v>
      </c>
    </row>
    <row r="645" spans="1:17" hidden="1" x14ac:dyDescent="0.25">
      <c r="A645" s="114" t="s">
        <v>2041</v>
      </c>
      <c r="B645" s="115" t="s">
        <v>2042</v>
      </c>
      <c r="C645" s="116" t="s">
        <v>16</v>
      </c>
      <c r="D645" s="116">
        <v>0</v>
      </c>
      <c r="E645" s="136" t="s">
        <v>416</v>
      </c>
      <c r="F645" s="137" t="str">
        <f t="shared" si="82"/>
        <v/>
      </c>
      <c r="G645" s="138" t="e">
        <f>IF(A645&lt;&gt;"",IF(AND(#REF!="Padrão",$H$4=#REF!),BDI!$B$17,IF(AND(#REF!="Padrão",$H$4=#REF!),BDI!#REF!,IF(AND(#REF!="Diferenciado",$H$4=#REF!),BDI!$E$17,IF(AND(#REF!="Diferenciado",$H$4=#REF!),BDI!#REF!,IF(#REF!="ZERO",0))))),"")</f>
        <v>#REF!</v>
      </c>
      <c r="H645" s="139" t="str">
        <f t="shared" si="83"/>
        <v/>
      </c>
      <c r="I645" s="137" t="str">
        <f t="shared" si="84"/>
        <v/>
      </c>
      <c r="J645" s="117"/>
      <c r="K645" s="116">
        <v>0</v>
      </c>
      <c r="M645" s="136" t="s">
        <v>416</v>
      </c>
      <c r="N645" t="e">
        <v>#REF!</v>
      </c>
      <c r="Q645" t="s">
        <v>416</v>
      </c>
    </row>
    <row r="646" spans="1:17" hidden="1" x14ac:dyDescent="0.25">
      <c r="A646" s="114" t="s">
        <v>2043</v>
      </c>
      <c r="B646" s="115" t="s">
        <v>2044</v>
      </c>
      <c r="C646" s="116" t="s">
        <v>16</v>
      </c>
      <c r="D646" s="116">
        <v>0</v>
      </c>
      <c r="E646" s="136" t="s">
        <v>416</v>
      </c>
      <c r="F646" s="137" t="str">
        <f t="shared" si="82"/>
        <v/>
      </c>
      <c r="G646" s="138" t="e">
        <f>IF(A646&lt;&gt;"",IF(AND(#REF!="Padrão",$H$4=#REF!),BDI!$B$17,IF(AND(#REF!="Padrão",$H$4=#REF!),BDI!#REF!,IF(AND(#REF!="Diferenciado",$H$4=#REF!),BDI!$E$17,IF(AND(#REF!="Diferenciado",$H$4=#REF!),BDI!#REF!,IF(#REF!="ZERO",0))))),"")</f>
        <v>#REF!</v>
      </c>
      <c r="H646" s="139" t="str">
        <f t="shared" si="83"/>
        <v/>
      </c>
      <c r="I646" s="137" t="str">
        <f t="shared" si="84"/>
        <v/>
      </c>
      <c r="J646" s="117"/>
      <c r="K646" s="116">
        <v>0</v>
      </c>
      <c r="M646" s="136" t="s">
        <v>416</v>
      </c>
      <c r="N646" t="e">
        <v>#REF!</v>
      </c>
      <c r="Q646" t="s">
        <v>416</v>
      </c>
    </row>
    <row r="647" spans="1:17" hidden="1" x14ac:dyDescent="0.25">
      <c r="A647" s="114" t="s">
        <v>2045</v>
      </c>
      <c r="B647" s="115" t="s">
        <v>2046</v>
      </c>
      <c r="C647" s="116" t="s">
        <v>16</v>
      </c>
      <c r="D647" s="116">
        <v>0</v>
      </c>
      <c r="E647" s="136" t="s">
        <v>416</v>
      </c>
      <c r="F647" s="137" t="str">
        <f t="shared" ref="F647:F710" si="85">IF(ISNUMBER(E647),D647*E647,"")</f>
        <v/>
      </c>
      <c r="G647" s="138" t="e">
        <f>IF(A647&lt;&gt;"",IF(AND(#REF!="Padrão",$H$4=#REF!),BDI!$B$17,IF(AND(#REF!="Padrão",$H$4=#REF!),BDI!#REF!,IF(AND(#REF!="Diferenciado",$H$4=#REF!),BDI!$E$17,IF(AND(#REF!="Diferenciado",$H$4=#REF!),BDI!#REF!,IF(#REF!="ZERO",0))))),"")</f>
        <v>#REF!</v>
      </c>
      <c r="H647" s="139" t="str">
        <f t="shared" ref="H647:H710" si="86">IF(ISNUMBER(E647),ROUND(E647*(1+G647),2),"")</f>
        <v/>
      </c>
      <c r="I647" s="137" t="str">
        <f t="shared" ref="I647:I710" si="87">IF(ISNUMBER(E647),ROUND(H647*D647,2),"")</f>
        <v/>
      </c>
      <c r="J647" s="117"/>
      <c r="K647" s="116">
        <v>0</v>
      </c>
      <c r="M647" s="136" t="s">
        <v>416</v>
      </c>
      <c r="N647" t="e">
        <v>#REF!</v>
      </c>
      <c r="Q647" t="s">
        <v>416</v>
      </c>
    </row>
    <row r="648" spans="1:17" hidden="1" x14ac:dyDescent="0.25">
      <c r="A648" s="114" t="s">
        <v>2047</v>
      </c>
      <c r="B648" s="115" t="s">
        <v>2048</v>
      </c>
      <c r="C648" s="116" t="s">
        <v>16</v>
      </c>
      <c r="D648" s="116">
        <v>0</v>
      </c>
      <c r="E648" s="136" t="s">
        <v>416</v>
      </c>
      <c r="F648" s="137" t="str">
        <f t="shared" si="85"/>
        <v/>
      </c>
      <c r="G648" s="138" t="e">
        <f>IF(A648&lt;&gt;"",IF(AND(#REF!="Padrão",$H$4=#REF!),BDI!$B$17,IF(AND(#REF!="Padrão",$H$4=#REF!),BDI!#REF!,IF(AND(#REF!="Diferenciado",$H$4=#REF!),BDI!$E$17,IF(AND(#REF!="Diferenciado",$H$4=#REF!),BDI!#REF!,IF(#REF!="ZERO",0))))),"")</f>
        <v>#REF!</v>
      </c>
      <c r="H648" s="139" t="str">
        <f t="shared" si="86"/>
        <v/>
      </c>
      <c r="I648" s="137" t="str">
        <f t="shared" si="87"/>
        <v/>
      </c>
      <c r="J648" s="117"/>
      <c r="K648" s="116">
        <v>0</v>
      </c>
      <c r="M648" s="136" t="s">
        <v>416</v>
      </c>
      <c r="N648" t="e">
        <v>#REF!</v>
      </c>
      <c r="Q648" t="s">
        <v>416</v>
      </c>
    </row>
    <row r="649" spans="1:17" hidden="1" x14ac:dyDescent="0.25">
      <c r="A649" s="114" t="s">
        <v>2049</v>
      </c>
      <c r="B649" s="115" t="s">
        <v>2050</v>
      </c>
      <c r="C649" s="116" t="s">
        <v>28</v>
      </c>
      <c r="D649" s="116">
        <v>0</v>
      </c>
      <c r="E649" s="136" t="s">
        <v>416</v>
      </c>
      <c r="F649" s="137" t="str">
        <f t="shared" si="85"/>
        <v/>
      </c>
      <c r="G649" s="138" t="e">
        <f>IF(A649&lt;&gt;"",IF(AND(#REF!="Padrão",$H$4=#REF!),BDI!$B$17,IF(AND(#REF!="Padrão",$H$4=#REF!),BDI!#REF!,IF(AND(#REF!="Diferenciado",$H$4=#REF!),BDI!$E$17,IF(AND(#REF!="Diferenciado",$H$4=#REF!),BDI!#REF!,IF(#REF!="ZERO",0))))),"")</f>
        <v>#REF!</v>
      </c>
      <c r="H649" s="139" t="str">
        <f t="shared" si="86"/>
        <v/>
      </c>
      <c r="I649" s="137" t="str">
        <f t="shared" si="87"/>
        <v/>
      </c>
      <c r="J649" s="117"/>
      <c r="K649" s="116">
        <v>0</v>
      </c>
      <c r="M649" s="136" t="s">
        <v>416</v>
      </c>
      <c r="N649" t="e">
        <v>#REF!</v>
      </c>
      <c r="Q649" t="s">
        <v>416</v>
      </c>
    </row>
    <row r="650" spans="1:17" hidden="1" x14ac:dyDescent="0.25">
      <c r="A650" s="114" t="s">
        <v>2051</v>
      </c>
      <c r="B650" s="115" t="s">
        <v>2052</v>
      </c>
      <c r="C650" s="116" t="s">
        <v>75</v>
      </c>
      <c r="D650" s="116">
        <v>0</v>
      </c>
      <c r="E650" s="136" t="s">
        <v>416</v>
      </c>
      <c r="F650" s="137" t="str">
        <f t="shared" si="85"/>
        <v/>
      </c>
      <c r="G650" s="138" t="e">
        <f>IF(A650&lt;&gt;"",IF(AND(#REF!="Padrão",$H$4=#REF!),BDI!$B$17,IF(AND(#REF!="Padrão",$H$4=#REF!),BDI!#REF!,IF(AND(#REF!="Diferenciado",$H$4=#REF!),BDI!$E$17,IF(AND(#REF!="Diferenciado",$H$4=#REF!),BDI!#REF!,IF(#REF!="ZERO",0))))),"")</f>
        <v>#REF!</v>
      </c>
      <c r="H650" s="139" t="str">
        <f t="shared" si="86"/>
        <v/>
      </c>
      <c r="I650" s="137" t="str">
        <f t="shared" si="87"/>
        <v/>
      </c>
      <c r="J650" s="117"/>
      <c r="K650" s="116">
        <v>0</v>
      </c>
      <c r="M650" s="136" t="s">
        <v>416</v>
      </c>
      <c r="N650" t="e">
        <v>#REF!</v>
      </c>
      <c r="Q650" t="s">
        <v>416</v>
      </c>
    </row>
    <row r="651" spans="1:17" hidden="1" x14ac:dyDescent="0.25">
      <c r="A651" s="114" t="s">
        <v>2053</v>
      </c>
      <c r="B651" s="115" t="s">
        <v>2054</v>
      </c>
      <c r="C651" s="116" t="s">
        <v>75</v>
      </c>
      <c r="D651" s="116">
        <v>0</v>
      </c>
      <c r="E651" s="136" t="s">
        <v>416</v>
      </c>
      <c r="F651" s="137" t="str">
        <f t="shared" si="85"/>
        <v/>
      </c>
      <c r="G651" s="138" t="e">
        <f>IF(A651&lt;&gt;"",IF(AND(#REF!="Padrão",$H$4=#REF!),BDI!$B$17,IF(AND(#REF!="Padrão",$H$4=#REF!),BDI!#REF!,IF(AND(#REF!="Diferenciado",$H$4=#REF!),BDI!$E$17,IF(AND(#REF!="Diferenciado",$H$4=#REF!),BDI!#REF!,IF(#REF!="ZERO",0))))),"")</f>
        <v>#REF!</v>
      </c>
      <c r="H651" s="139" t="str">
        <f t="shared" si="86"/>
        <v/>
      </c>
      <c r="I651" s="137" t="str">
        <f t="shared" si="87"/>
        <v/>
      </c>
      <c r="J651" s="117"/>
      <c r="K651" s="116">
        <v>0</v>
      </c>
      <c r="M651" s="136" t="s">
        <v>416</v>
      </c>
      <c r="N651" t="e">
        <v>#REF!</v>
      </c>
      <c r="Q651" t="s">
        <v>416</v>
      </c>
    </row>
    <row r="652" spans="1:17" hidden="1" x14ac:dyDescent="0.25">
      <c r="A652" s="114" t="s">
        <v>2055</v>
      </c>
      <c r="B652" s="115" t="s">
        <v>2056</v>
      </c>
      <c r="C652" s="116" t="s">
        <v>75</v>
      </c>
      <c r="D652" s="116">
        <v>0</v>
      </c>
      <c r="E652" s="136" t="s">
        <v>416</v>
      </c>
      <c r="F652" s="137" t="str">
        <f t="shared" si="85"/>
        <v/>
      </c>
      <c r="G652" s="138" t="e">
        <f>IF(A652&lt;&gt;"",IF(AND(#REF!="Padrão",$H$4=#REF!),BDI!$B$17,IF(AND(#REF!="Padrão",$H$4=#REF!),BDI!#REF!,IF(AND(#REF!="Diferenciado",$H$4=#REF!),BDI!$E$17,IF(AND(#REF!="Diferenciado",$H$4=#REF!),BDI!#REF!,IF(#REF!="ZERO",0))))),"")</f>
        <v>#REF!</v>
      </c>
      <c r="H652" s="139" t="str">
        <f t="shared" si="86"/>
        <v/>
      </c>
      <c r="I652" s="137" t="str">
        <f t="shared" si="87"/>
        <v/>
      </c>
      <c r="J652" s="117"/>
      <c r="K652" s="116">
        <v>0</v>
      </c>
      <c r="M652" s="136" t="s">
        <v>416</v>
      </c>
      <c r="N652" t="e">
        <v>#REF!</v>
      </c>
      <c r="Q652" t="s">
        <v>416</v>
      </c>
    </row>
    <row r="653" spans="1:17" hidden="1" x14ac:dyDescent="0.25">
      <c r="A653" s="114" t="s">
        <v>2057</v>
      </c>
      <c r="B653" s="115" t="s">
        <v>2058</v>
      </c>
      <c r="C653" s="116" t="s">
        <v>75</v>
      </c>
      <c r="D653" s="116">
        <v>0</v>
      </c>
      <c r="E653" s="136" t="s">
        <v>416</v>
      </c>
      <c r="F653" s="137" t="str">
        <f t="shared" si="85"/>
        <v/>
      </c>
      <c r="G653" s="138" t="e">
        <f>IF(A653&lt;&gt;"",IF(AND(#REF!="Padrão",$H$4=#REF!),BDI!$B$17,IF(AND(#REF!="Padrão",$H$4=#REF!),BDI!#REF!,IF(AND(#REF!="Diferenciado",$H$4=#REF!),BDI!$E$17,IF(AND(#REF!="Diferenciado",$H$4=#REF!),BDI!#REF!,IF(#REF!="ZERO",0))))),"")</f>
        <v>#REF!</v>
      </c>
      <c r="H653" s="139" t="str">
        <f t="shared" si="86"/>
        <v/>
      </c>
      <c r="I653" s="137" t="str">
        <f t="shared" si="87"/>
        <v/>
      </c>
      <c r="J653" s="117"/>
      <c r="K653" s="116">
        <v>0</v>
      </c>
      <c r="M653" s="136" t="s">
        <v>416</v>
      </c>
      <c r="N653" t="e">
        <v>#REF!</v>
      </c>
      <c r="Q653" t="s">
        <v>416</v>
      </c>
    </row>
    <row r="654" spans="1:17" hidden="1" x14ac:dyDescent="0.25">
      <c r="A654" s="114" t="s">
        <v>2059</v>
      </c>
      <c r="B654" s="115" t="s">
        <v>2060</v>
      </c>
      <c r="C654" s="116" t="s">
        <v>75</v>
      </c>
      <c r="D654" s="116">
        <v>0</v>
      </c>
      <c r="E654" s="136" t="s">
        <v>416</v>
      </c>
      <c r="F654" s="137" t="str">
        <f t="shared" si="85"/>
        <v/>
      </c>
      <c r="G654" s="138" t="e">
        <f>IF(A654&lt;&gt;"",IF(AND(#REF!="Padrão",$H$4=#REF!),BDI!$B$17,IF(AND(#REF!="Padrão",$H$4=#REF!),BDI!#REF!,IF(AND(#REF!="Diferenciado",$H$4=#REF!),BDI!$E$17,IF(AND(#REF!="Diferenciado",$H$4=#REF!),BDI!#REF!,IF(#REF!="ZERO",0))))),"")</f>
        <v>#REF!</v>
      </c>
      <c r="H654" s="139" t="str">
        <f t="shared" si="86"/>
        <v/>
      </c>
      <c r="I654" s="137" t="str">
        <f t="shared" si="87"/>
        <v/>
      </c>
      <c r="J654" s="117"/>
      <c r="K654" s="116">
        <v>0</v>
      </c>
      <c r="M654" s="136" t="s">
        <v>416</v>
      </c>
      <c r="N654" t="e">
        <v>#REF!</v>
      </c>
      <c r="Q654" t="s">
        <v>416</v>
      </c>
    </row>
    <row r="655" spans="1:17" hidden="1" x14ac:dyDescent="0.25">
      <c r="A655" s="114" t="s">
        <v>2061</v>
      </c>
      <c r="B655" s="115" t="s">
        <v>5505</v>
      </c>
      <c r="C655" s="116" t="s">
        <v>16</v>
      </c>
      <c r="D655" s="116">
        <v>0</v>
      </c>
      <c r="E655" s="136" t="s">
        <v>416</v>
      </c>
      <c r="F655" s="137" t="str">
        <f t="shared" si="85"/>
        <v/>
      </c>
      <c r="G655" s="138" t="e">
        <f>IF(A655&lt;&gt;"",IF(AND(#REF!="Padrão",$H$4=#REF!),BDI!$B$17,IF(AND(#REF!="Padrão",$H$4=#REF!),BDI!#REF!,IF(AND(#REF!="Diferenciado",$H$4=#REF!),BDI!$E$17,IF(AND(#REF!="Diferenciado",$H$4=#REF!),BDI!#REF!,IF(#REF!="ZERO",0))))),"")</f>
        <v>#REF!</v>
      </c>
      <c r="H655" s="139" t="str">
        <f t="shared" si="86"/>
        <v/>
      </c>
      <c r="I655" s="137" t="str">
        <f t="shared" si="87"/>
        <v/>
      </c>
      <c r="J655" s="117"/>
      <c r="K655" s="116">
        <v>0</v>
      </c>
      <c r="M655" s="136" t="s">
        <v>416</v>
      </c>
      <c r="N655" t="e">
        <v>#REF!</v>
      </c>
      <c r="Q655" t="s">
        <v>416</v>
      </c>
    </row>
    <row r="656" spans="1:17" hidden="1" x14ac:dyDescent="0.25">
      <c r="A656" s="114" t="s">
        <v>2062</v>
      </c>
      <c r="B656" s="115" t="s">
        <v>2063</v>
      </c>
      <c r="C656" s="116" t="s">
        <v>28</v>
      </c>
      <c r="D656" s="116">
        <v>0</v>
      </c>
      <c r="E656" s="136" t="s">
        <v>416</v>
      </c>
      <c r="F656" s="137" t="str">
        <f t="shared" si="85"/>
        <v/>
      </c>
      <c r="G656" s="138" t="e">
        <f>IF(A656&lt;&gt;"",IF(AND(#REF!="Padrão",$H$4=#REF!),BDI!$B$17,IF(AND(#REF!="Padrão",$H$4=#REF!),BDI!#REF!,IF(AND(#REF!="Diferenciado",$H$4=#REF!),BDI!$E$17,IF(AND(#REF!="Diferenciado",$H$4=#REF!),BDI!#REF!,IF(#REF!="ZERO",0))))),"")</f>
        <v>#REF!</v>
      </c>
      <c r="H656" s="139" t="str">
        <f t="shared" si="86"/>
        <v/>
      </c>
      <c r="I656" s="137" t="str">
        <f t="shared" si="87"/>
        <v/>
      </c>
      <c r="J656" s="117"/>
      <c r="K656" s="116">
        <v>0</v>
      </c>
      <c r="M656" s="136" t="s">
        <v>416</v>
      </c>
      <c r="N656" t="e">
        <v>#REF!</v>
      </c>
      <c r="Q656" t="s">
        <v>416</v>
      </c>
    </row>
    <row r="657" spans="1:17" hidden="1" x14ac:dyDescent="0.25">
      <c r="A657" s="114" t="s">
        <v>2064</v>
      </c>
      <c r="B657" s="115" t="s">
        <v>2065</v>
      </c>
      <c r="C657" s="116" t="s">
        <v>16</v>
      </c>
      <c r="D657" s="116">
        <v>0</v>
      </c>
      <c r="E657" s="136" t="s">
        <v>416</v>
      </c>
      <c r="F657" s="137" t="str">
        <f t="shared" si="85"/>
        <v/>
      </c>
      <c r="G657" s="138" t="e">
        <f>IF(A657&lt;&gt;"",IF(AND(#REF!="Padrão",$H$4=#REF!),BDI!$B$17,IF(AND(#REF!="Padrão",$H$4=#REF!),BDI!#REF!,IF(AND(#REF!="Diferenciado",$H$4=#REF!),BDI!$E$17,IF(AND(#REF!="Diferenciado",$H$4=#REF!),BDI!#REF!,IF(#REF!="ZERO",0))))),"")</f>
        <v>#REF!</v>
      </c>
      <c r="H657" s="139" t="str">
        <f t="shared" si="86"/>
        <v/>
      </c>
      <c r="I657" s="137" t="str">
        <f t="shared" si="87"/>
        <v/>
      </c>
      <c r="J657" s="117"/>
      <c r="K657" s="116">
        <v>0</v>
      </c>
      <c r="M657" s="136" t="s">
        <v>416</v>
      </c>
      <c r="N657" t="e">
        <v>#REF!</v>
      </c>
      <c r="Q657" t="s">
        <v>416</v>
      </c>
    </row>
    <row r="658" spans="1:17" hidden="1" x14ac:dyDescent="0.25">
      <c r="A658" s="114" t="s">
        <v>2066</v>
      </c>
      <c r="B658" s="115" t="s">
        <v>2067</v>
      </c>
      <c r="C658" s="116" t="s">
        <v>16</v>
      </c>
      <c r="D658" s="116">
        <v>0</v>
      </c>
      <c r="E658" s="136" t="s">
        <v>416</v>
      </c>
      <c r="F658" s="137" t="str">
        <f t="shared" si="85"/>
        <v/>
      </c>
      <c r="G658" s="138" t="e">
        <f>IF(A658&lt;&gt;"",IF(AND(#REF!="Padrão",$H$4=#REF!),BDI!$B$17,IF(AND(#REF!="Padrão",$H$4=#REF!),BDI!#REF!,IF(AND(#REF!="Diferenciado",$H$4=#REF!),BDI!$E$17,IF(AND(#REF!="Diferenciado",$H$4=#REF!),BDI!#REF!,IF(#REF!="ZERO",0))))),"")</f>
        <v>#REF!</v>
      </c>
      <c r="H658" s="139" t="str">
        <f t="shared" si="86"/>
        <v/>
      </c>
      <c r="I658" s="137" t="str">
        <f t="shared" si="87"/>
        <v/>
      </c>
      <c r="J658" s="117"/>
      <c r="K658" s="116">
        <v>0</v>
      </c>
      <c r="M658" s="136" t="s">
        <v>416</v>
      </c>
      <c r="N658" t="e">
        <v>#REF!</v>
      </c>
      <c r="Q658" t="s">
        <v>416</v>
      </c>
    </row>
    <row r="659" spans="1:17" hidden="1" x14ac:dyDescent="0.25">
      <c r="A659" s="114" t="s">
        <v>2068</v>
      </c>
      <c r="B659" s="115" t="s">
        <v>2069</v>
      </c>
      <c r="C659" s="116" t="s">
        <v>16</v>
      </c>
      <c r="D659" s="116">
        <v>0</v>
      </c>
      <c r="E659" s="136" t="s">
        <v>416</v>
      </c>
      <c r="F659" s="137" t="str">
        <f t="shared" si="85"/>
        <v/>
      </c>
      <c r="G659" s="138" t="e">
        <f>IF(A659&lt;&gt;"",IF(AND(#REF!="Padrão",$H$4=#REF!),BDI!$B$17,IF(AND(#REF!="Padrão",$H$4=#REF!),BDI!#REF!,IF(AND(#REF!="Diferenciado",$H$4=#REF!),BDI!$E$17,IF(AND(#REF!="Diferenciado",$H$4=#REF!),BDI!#REF!,IF(#REF!="ZERO",0))))),"")</f>
        <v>#REF!</v>
      </c>
      <c r="H659" s="139" t="str">
        <f t="shared" si="86"/>
        <v/>
      </c>
      <c r="I659" s="137" t="str">
        <f t="shared" si="87"/>
        <v/>
      </c>
      <c r="J659" s="117"/>
      <c r="K659" s="116">
        <v>0</v>
      </c>
      <c r="M659" s="136" t="s">
        <v>416</v>
      </c>
      <c r="N659" t="e">
        <v>#REF!</v>
      </c>
      <c r="Q659" t="s">
        <v>416</v>
      </c>
    </row>
    <row r="660" spans="1:17" hidden="1" x14ac:dyDescent="0.25">
      <c r="A660" s="114" t="s">
        <v>2070</v>
      </c>
      <c r="B660" s="115" t="s">
        <v>2071</v>
      </c>
      <c r="C660" s="116" t="s">
        <v>16</v>
      </c>
      <c r="D660" s="116">
        <v>0</v>
      </c>
      <c r="E660" s="136" t="s">
        <v>416</v>
      </c>
      <c r="F660" s="137" t="str">
        <f t="shared" si="85"/>
        <v/>
      </c>
      <c r="G660" s="138" t="e">
        <f>IF(A660&lt;&gt;"",IF(AND(#REF!="Padrão",$H$4=#REF!),BDI!$B$17,IF(AND(#REF!="Padrão",$H$4=#REF!),BDI!#REF!,IF(AND(#REF!="Diferenciado",$H$4=#REF!),BDI!$E$17,IF(AND(#REF!="Diferenciado",$H$4=#REF!),BDI!#REF!,IF(#REF!="ZERO",0))))),"")</f>
        <v>#REF!</v>
      </c>
      <c r="H660" s="139" t="str">
        <f t="shared" si="86"/>
        <v/>
      </c>
      <c r="I660" s="137" t="str">
        <f t="shared" si="87"/>
        <v/>
      </c>
      <c r="J660" s="117"/>
      <c r="K660" s="116">
        <v>0</v>
      </c>
      <c r="M660" s="136" t="s">
        <v>416</v>
      </c>
      <c r="N660" t="e">
        <v>#REF!</v>
      </c>
      <c r="Q660" t="s">
        <v>416</v>
      </c>
    </row>
    <row r="661" spans="1:17" hidden="1" x14ac:dyDescent="0.25">
      <c r="A661" s="114" t="s">
        <v>2072</v>
      </c>
      <c r="B661" s="115" t="s">
        <v>2073</v>
      </c>
      <c r="C661" s="116" t="s">
        <v>16</v>
      </c>
      <c r="D661" s="116">
        <v>0</v>
      </c>
      <c r="E661" s="136" t="s">
        <v>416</v>
      </c>
      <c r="F661" s="137" t="str">
        <f t="shared" si="85"/>
        <v/>
      </c>
      <c r="G661" s="138" t="e">
        <f>IF(A661&lt;&gt;"",IF(AND(#REF!="Padrão",$H$4=#REF!),BDI!$B$17,IF(AND(#REF!="Padrão",$H$4=#REF!),BDI!#REF!,IF(AND(#REF!="Diferenciado",$H$4=#REF!),BDI!$E$17,IF(AND(#REF!="Diferenciado",$H$4=#REF!),BDI!#REF!,IF(#REF!="ZERO",0))))),"")</f>
        <v>#REF!</v>
      </c>
      <c r="H661" s="139" t="str">
        <f t="shared" si="86"/>
        <v/>
      </c>
      <c r="I661" s="137" t="str">
        <f t="shared" si="87"/>
        <v/>
      </c>
      <c r="J661" s="117"/>
      <c r="K661" s="116">
        <v>0</v>
      </c>
      <c r="M661" s="136" t="s">
        <v>416</v>
      </c>
      <c r="N661" t="e">
        <v>#REF!</v>
      </c>
      <c r="Q661" t="s">
        <v>416</v>
      </c>
    </row>
    <row r="662" spans="1:17" hidden="1" x14ac:dyDescent="0.25">
      <c r="A662" s="114" t="s">
        <v>2074</v>
      </c>
      <c r="B662" s="115" t="s">
        <v>2075</v>
      </c>
      <c r="C662" s="116" t="s">
        <v>16</v>
      </c>
      <c r="D662" s="116">
        <v>0</v>
      </c>
      <c r="E662" s="136" t="s">
        <v>416</v>
      </c>
      <c r="F662" s="137" t="str">
        <f t="shared" si="85"/>
        <v/>
      </c>
      <c r="G662" s="138" t="e">
        <f>IF(A662&lt;&gt;"",IF(AND(#REF!="Padrão",$H$4=#REF!),BDI!$B$17,IF(AND(#REF!="Padrão",$H$4=#REF!),BDI!#REF!,IF(AND(#REF!="Diferenciado",$H$4=#REF!),BDI!$E$17,IF(AND(#REF!="Diferenciado",$H$4=#REF!),BDI!#REF!,IF(#REF!="ZERO",0))))),"")</f>
        <v>#REF!</v>
      </c>
      <c r="H662" s="139" t="str">
        <f t="shared" si="86"/>
        <v/>
      </c>
      <c r="I662" s="137" t="str">
        <f t="shared" si="87"/>
        <v/>
      </c>
      <c r="J662" s="117"/>
      <c r="K662" s="116">
        <v>0</v>
      </c>
      <c r="M662" s="136" t="s">
        <v>416</v>
      </c>
      <c r="N662" t="e">
        <v>#REF!</v>
      </c>
      <c r="Q662" t="s">
        <v>416</v>
      </c>
    </row>
    <row r="663" spans="1:17" hidden="1" x14ac:dyDescent="0.25">
      <c r="A663" s="114" t="s">
        <v>2076</v>
      </c>
      <c r="B663" s="115" t="s">
        <v>2077</v>
      </c>
      <c r="C663" s="116" t="s">
        <v>16</v>
      </c>
      <c r="D663" s="116">
        <v>0</v>
      </c>
      <c r="E663" s="136" t="s">
        <v>416</v>
      </c>
      <c r="F663" s="137" t="str">
        <f t="shared" si="85"/>
        <v/>
      </c>
      <c r="G663" s="138" t="e">
        <f>IF(A663&lt;&gt;"",IF(AND(#REF!="Padrão",$H$4=#REF!),BDI!$B$17,IF(AND(#REF!="Padrão",$H$4=#REF!),BDI!#REF!,IF(AND(#REF!="Diferenciado",$H$4=#REF!),BDI!$E$17,IF(AND(#REF!="Diferenciado",$H$4=#REF!),BDI!#REF!,IF(#REF!="ZERO",0))))),"")</f>
        <v>#REF!</v>
      </c>
      <c r="H663" s="139" t="str">
        <f t="shared" si="86"/>
        <v/>
      </c>
      <c r="I663" s="137" t="str">
        <f t="shared" si="87"/>
        <v/>
      </c>
      <c r="J663" s="117"/>
      <c r="K663" s="116">
        <v>0</v>
      </c>
      <c r="M663" s="136" t="s">
        <v>416</v>
      </c>
      <c r="N663" t="e">
        <v>#REF!</v>
      </c>
      <c r="Q663" t="s">
        <v>416</v>
      </c>
    </row>
    <row r="664" spans="1:17" hidden="1" x14ac:dyDescent="0.25">
      <c r="A664" s="114" t="s">
        <v>2078</v>
      </c>
      <c r="B664" s="115" t="s">
        <v>2079</v>
      </c>
      <c r="C664" s="116" t="s">
        <v>16</v>
      </c>
      <c r="D664" s="116">
        <v>0</v>
      </c>
      <c r="E664" s="136" t="s">
        <v>416</v>
      </c>
      <c r="F664" s="137" t="str">
        <f t="shared" si="85"/>
        <v/>
      </c>
      <c r="G664" s="138" t="e">
        <f>IF(A664&lt;&gt;"",IF(AND(#REF!="Padrão",$H$4=#REF!),BDI!$B$17,IF(AND(#REF!="Padrão",$H$4=#REF!),BDI!#REF!,IF(AND(#REF!="Diferenciado",$H$4=#REF!),BDI!$E$17,IF(AND(#REF!="Diferenciado",$H$4=#REF!),BDI!#REF!,IF(#REF!="ZERO",0))))),"")</f>
        <v>#REF!</v>
      </c>
      <c r="H664" s="139" t="str">
        <f t="shared" si="86"/>
        <v/>
      </c>
      <c r="I664" s="137" t="str">
        <f t="shared" si="87"/>
        <v/>
      </c>
      <c r="J664" s="117"/>
      <c r="K664" s="116">
        <v>0</v>
      </c>
      <c r="M664" s="136" t="s">
        <v>416</v>
      </c>
      <c r="N664" t="e">
        <v>#REF!</v>
      </c>
      <c r="Q664" t="s">
        <v>416</v>
      </c>
    </row>
    <row r="665" spans="1:17" hidden="1" x14ac:dyDescent="0.25">
      <c r="A665" s="114" t="s">
        <v>2080</v>
      </c>
      <c r="B665" s="115" t="s">
        <v>2081</v>
      </c>
      <c r="C665" s="116" t="s">
        <v>16</v>
      </c>
      <c r="D665" s="116">
        <v>0</v>
      </c>
      <c r="E665" s="136" t="s">
        <v>416</v>
      </c>
      <c r="F665" s="137" t="str">
        <f t="shared" si="85"/>
        <v/>
      </c>
      <c r="G665" s="138" t="e">
        <f>IF(A665&lt;&gt;"",IF(AND(#REF!="Padrão",$H$4=#REF!),BDI!$B$17,IF(AND(#REF!="Padrão",$H$4=#REF!),BDI!#REF!,IF(AND(#REF!="Diferenciado",$H$4=#REF!),BDI!$E$17,IF(AND(#REF!="Diferenciado",$H$4=#REF!),BDI!#REF!,IF(#REF!="ZERO",0))))),"")</f>
        <v>#REF!</v>
      </c>
      <c r="H665" s="139" t="str">
        <f t="shared" si="86"/>
        <v/>
      </c>
      <c r="I665" s="137" t="str">
        <f t="shared" si="87"/>
        <v/>
      </c>
      <c r="J665" s="117"/>
      <c r="K665" s="116">
        <v>0</v>
      </c>
      <c r="M665" s="136" t="s">
        <v>416</v>
      </c>
      <c r="N665" t="e">
        <v>#REF!</v>
      </c>
      <c r="Q665" t="s">
        <v>416</v>
      </c>
    </row>
    <row r="666" spans="1:17" hidden="1" x14ac:dyDescent="0.25">
      <c r="A666" s="114" t="s">
        <v>2082</v>
      </c>
      <c r="B666" s="115" t="s">
        <v>2083</v>
      </c>
      <c r="C666" s="116" t="s">
        <v>16</v>
      </c>
      <c r="D666" s="116">
        <v>0</v>
      </c>
      <c r="E666" s="136" t="s">
        <v>416</v>
      </c>
      <c r="F666" s="137" t="str">
        <f t="shared" si="85"/>
        <v/>
      </c>
      <c r="G666" s="138" t="e">
        <f>IF(A666&lt;&gt;"",IF(AND(#REF!="Padrão",$H$4=#REF!),BDI!$B$17,IF(AND(#REF!="Padrão",$H$4=#REF!),BDI!#REF!,IF(AND(#REF!="Diferenciado",$H$4=#REF!),BDI!$E$17,IF(AND(#REF!="Diferenciado",$H$4=#REF!),BDI!#REF!,IF(#REF!="ZERO",0))))),"")</f>
        <v>#REF!</v>
      </c>
      <c r="H666" s="139" t="str">
        <f t="shared" si="86"/>
        <v/>
      </c>
      <c r="I666" s="137" t="str">
        <f t="shared" si="87"/>
        <v/>
      </c>
      <c r="J666" s="117"/>
      <c r="K666" s="116">
        <v>0</v>
      </c>
      <c r="M666" s="136" t="s">
        <v>416</v>
      </c>
      <c r="N666" t="e">
        <v>#REF!</v>
      </c>
      <c r="Q666" t="s">
        <v>416</v>
      </c>
    </row>
    <row r="667" spans="1:17" hidden="1" x14ac:dyDescent="0.25">
      <c r="A667" s="114" t="s">
        <v>2084</v>
      </c>
      <c r="B667" s="115" t="s">
        <v>2085</v>
      </c>
      <c r="C667" s="116" t="s">
        <v>16</v>
      </c>
      <c r="D667" s="116">
        <v>0</v>
      </c>
      <c r="E667" s="136" t="s">
        <v>416</v>
      </c>
      <c r="F667" s="137" t="str">
        <f t="shared" si="85"/>
        <v/>
      </c>
      <c r="G667" s="138" t="e">
        <f>IF(A667&lt;&gt;"",IF(AND(#REF!="Padrão",$H$4=#REF!),BDI!$B$17,IF(AND(#REF!="Padrão",$H$4=#REF!),BDI!#REF!,IF(AND(#REF!="Diferenciado",$H$4=#REF!),BDI!$E$17,IF(AND(#REF!="Diferenciado",$H$4=#REF!),BDI!#REF!,IF(#REF!="ZERO",0))))),"")</f>
        <v>#REF!</v>
      </c>
      <c r="H667" s="139" t="str">
        <f t="shared" si="86"/>
        <v/>
      </c>
      <c r="I667" s="137" t="str">
        <f t="shared" si="87"/>
        <v/>
      </c>
      <c r="J667" s="117"/>
      <c r="K667" s="116">
        <v>0</v>
      </c>
      <c r="M667" s="136" t="s">
        <v>416</v>
      </c>
      <c r="N667" t="e">
        <v>#REF!</v>
      </c>
      <c r="Q667" t="s">
        <v>416</v>
      </c>
    </row>
    <row r="668" spans="1:17" hidden="1" x14ac:dyDescent="0.25">
      <c r="A668" s="114" t="s">
        <v>2086</v>
      </c>
      <c r="B668" s="115" t="s">
        <v>2087</v>
      </c>
      <c r="C668" s="116" t="s">
        <v>16</v>
      </c>
      <c r="D668" s="116">
        <v>0</v>
      </c>
      <c r="E668" s="136" t="s">
        <v>416</v>
      </c>
      <c r="F668" s="137" t="str">
        <f t="shared" si="85"/>
        <v/>
      </c>
      <c r="G668" s="138" t="e">
        <f>IF(A668&lt;&gt;"",IF(AND(#REF!="Padrão",$H$4=#REF!),BDI!$B$17,IF(AND(#REF!="Padrão",$H$4=#REF!),BDI!#REF!,IF(AND(#REF!="Diferenciado",$H$4=#REF!),BDI!$E$17,IF(AND(#REF!="Diferenciado",$H$4=#REF!),BDI!#REF!,IF(#REF!="ZERO",0))))),"")</f>
        <v>#REF!</v>
      </c>
      <c r="H668" s="139" t="str">
        <f t="shared" si="86"/>
        <v/>
      </c>
      <c r="I668" s="137" t="str">
        <f t="shared" si="87"/>
        <v/>
      </c>
      <c r="J668" s="117"/>
      <c r="K668" s="116">
        <v>0</v>
      </c>
      <c r="M668" s="136" t="s">
        <v>416</v>
      </c>
      <c r="N668" t="e">
        <v>#REF!</v>
      </c>
      <c r="Q668" t="s">
        <v>416</v>
      </c>
    </row>
    <row r="669" spans="1:17" hidden="1" x14ac:dyDescent="0.25">
      <c r="A669" s="114" t="s">
        <v>2088</v>
      </c>
      <c r="B669" s="115" t="s">
        <v>2089</v>
      </c>
      <c r="C669" s="116" t="s">
        <v>16</v>
      </c>
      <c r="D669" s="116">
        <v>0</v>
      </c>
      <c r="E669" s="136" t="s">
        <v>416</v>
      </c>
      <c r="F669" s="137" t="str">
        <f t="shared" si="85"/>
        <v/>
      </c>
      <c r="G669" s="138" t="e">
        <f>IF(A669&lt;&gt;"",IF(AND(#REF!="Padrão",$H$4=#REF!),BDI!$B$17,IF(AND(#REF!="Padrão",$H$4=#REF!),BDI!#REF!,IF(AND(#REF!="Diferenciado",$H$4=#REF!),BDI!$E$17,IF(AND(#REF!="Diferenciado",$H$4=#REF!),BDI!#REF!,IF(#REF!="ZERO",0))))),"")</f>
        <v>#REF!</v>
      </c>
      <c r="H669" s="139" t="str">
        <f t="shared" si="86"/>
        <v/>
      </c>
      <c r="I669" s="137" t="str">
        <f t="shared" si="87"/>
        <v/>
      </c>
      <c r="J669" s="117"/>
      <c r="K669" s="116">
        <v>0</v>
      </c>
      <c r="M669" s="136" t="s">
        <v>416</v>
      </c>
      <c r="N669" t="e">
        <v>#REF!</v>
      </c>
      <c r="Q669" t="s">
        <v>416</v>
      </c>
    </row>
    <row r="670" spans="1:17" hidden="1" x14ac:dyDescent="0.25">
      <c r="A670" s="114" t="s">
        <v>2090</v>
      </c>
      <c r="B670" s="115" t="s">
        <v>2091</v>
      </c>
      <c r="C670" s="116" t="s">
        <v>16</v>
      </c>
      <c r="D670" s="116">
        <v>0</v>
      </c>
      <c r="E670" s="136" t="s">
        <v>416</v>
      </c>
      <c r="F670" s="137" t="str">
        <f t="shared" si="85"/>
        <v/>
      </c>
      <c r="G670" s="138" t="e">
        <f>IF(A670&lt;&gt;"",IF(AND(#REF!="Padrão",$H$4=#REF!),BDI!$B$17,IF(AND(#REF!="Padrão",$H$4=#REF!),BDI!#REF!,IF(AND(#REF!="Diferenciado",$H$4=#REF!),BDI!$E$17,IF(AND(#REF!="Diferenciado",$H$4=#REF!),BDI!#REF!,IF(#REF!="ZERO",0))))),"")</f>
        <v>#REF!</v>
      </c>
      <c r="H670" s="139" t="str">
        <f t="shared" si="86"/>
        <v/>
      </c>
      <c r="I670" s="137" t="str">
        <f t="shared" si="87"/>
        <v/>
      </c>
      <c r="J670" s="117"/>
      <c r="K670" s="116">
        <v>0</v>
      </c>
      <c r="M670" s="136" t="s">
        <v>416</v>
      </c>
      <c r="N670" t="e">
        <v>#REF!</v>
      </c>
      <c r="Q670" t="s">
        <v>416</v>
      </c>
    </row>
    <row r="671" spans="1:17" hidden="1" x14ac:dyDescent="0.25">
      <c r="A671" s="114" t="s">
        <v>2092</v>
      </c>
      <c r="B671" s="115" t="s">
        <v>2093</v>
      </c>
      <c r="C671" s="116" t="s">
        <v>75</v>
      </c>
      <c r="D671" s="116">
        <v>0</v>
      </c>
      <c r="E671" s="136" t="s">
        <v>416</v>
      </c>
      <c r="F671" s="137" t="str">
        <f t="shared" si="85"/>
        <v/>
      </c>
      <c r="G671" s="138" t="e">
        <f>IF(A671&lt;&gt;"",IF(AND(#REF!="Padrão",$H$4=#REF!),BDI!$B$17,IF(AND(#REF!="Padrão",$H$4=#REF!),BDI!#REF!,IF(AND(#REF!="Diferenciado",$H$4=#REF!),BDI!$E$17,IF(AND(#REF!="Diferenciado",$H$4=#REF!),BDI!#REF!,IF(#REF!="ZERO",0))))),"")</f>
        <v>#REF!</v>
      </c>
      <c r="H671" s="139" t="str">
        <f t="shared" si="86"/>
        <v/>
      </c>
      <c r="I671" s="137" t="str">
        <f t="shared" si="87"/>
        <v/>
      </c>
      <c r="J671" s="117"/>
      <c r="K671" s="116">
        <v>0</v>
      </c>
      <c r="M671" s="136" t="s">
        <v>416</v>
      </c>
      <c r="N671" t="e">
        <v>#REF!</v>
      </c>
      <c r="Q671" t="s">
        <v>416</v>
      </c>
    </row>
    <row r="672" spans="1:17" hidden="1" x14ac:dyDescent="0.25">
      <c r="A672" s="114" t="s">
        <v>2094</v>
      </c>
      <c r="B672" s="115" t="s">
        <v>2095</v>
      </c>
      <c r="C672" s="116" t="s">
        <v>16</v>
      </c>
      <c r="D672" s="116">
        <v>0</v>
      </c>
      <c r="E672" s="136" t="s">
        <v>416</v>
      </c>
      <c r="F672" s="137" t="str">
        <f t="shared" si="85"/>
        <v/>
      </c>
      <c r="G672" s="138" t="e">
        <f>IF(A672&lt;&gt;"",IF(AND(#REF!="Padrão",$H$4=#REF!),BDI!$B$17,IF(AND(#REF!="Padrão",$H$4=#REF!),BDI!#REF!,IF(AND(#REF!="Diferenciado",$H$4=#REF!),BDI!$E$17,IF(AND(#REF!="Diferenciado",$H$4=#REF!),BDI!#REF!,IF(#REF!="ZERO",0))))),"")</f>
        <v>#REF!</v>
      </c>
      <c r="H672" s="139" t="str">
        <f t="shared" si="86"/>
        <v/>
      </c>
      <c r="I672" s="137" t="str">
        <f t="shared" si="87"/>
        <v/>
      </c>
      <c r="J672" s="117"/>
      <c r="K672" s="116">
        <v>0</v>
      </c>
      <c r="M672" s="136" t="s">
        <v>416</v>
      </c>
      <c r="N672" t="e">
        <v>#REF!</v>
      </c>
      <c r="Q672" t="s">
        <v>416</v>
      </c>
    </row>
    <row r="673" spans="1:17" hidden="1" x14ac:dyDescent="0.25">
      <c r="A673" s="114" t="s">
        <v>2096</v>
      </c>
      <c r="B673" s="115" t="s">
        <v>2097</v>
      </c>
      <c r="C673" s="116" t="s">
        <v>16</v>
      </c>
      <c r="D673" s="116">
        <v>0</v>
      </c>
      <c r="E673" s="136" t="s">
        <v>416</v>
      </c>
      <c r="F673" s="137" t="str">
        <f t="shared" si="85"/>
        <v/>
      </c>
      <c r="G673" s="138" t="e">
        <f>IF(A673&lt;&gt;"",IF(AND(#REF!="Padrão",$H$4=#REF!),BDI!$B$17,IF(AND(#REF!="Padrão",$H$4=#REF!),BDI!#REF!,IF(AND(#REF!="Diferenciado",$H$4=#REF!),BDI!$E$17,IF(AND(#REF!="Diferenciado",$H$4=#REF!),BDI!#REF!,IF(#REF!="ZERO",0))))),"")</f>
        <v>#REF!</v>
      </c>
      <c r="H673" s="139" t="str">
        <f t="shared" si="86"/>
        <v/>
      </c>
      <c r="I673" s="137" t="str">
        <f t="shared" si="87"/>
        <v/>
      </c>
      <c r="J673" s="117"/>
      <c r="K673" s="116">
        <v>0</v>
      </c>
      <c r="M673" s="136" t="s">
        <v>416</v>
      </c>
      <c r="N673" t="e">
        <v>#REF!</v>
      </c>
      <c r="Q673" t="s">
        <v>416</v>
      </c>
    </row>
    <row r="674" spans="1:17" hidden="1" x14ac:dyDescent="0.25">
      <c r="A674" s="114" t="s">
        <v>2098</v>
      </c>
      <c r="B674" s="115" t="s">
        <v>2099</v>
      </c>
      <c r="C674" s="116" t="s">
        <v>16</v>
      </c>
      <c r="D674" s="116">
        <v>0</v>
      </c>
      <c r="E674" s="136" t="s">
        <v>416</v>
      </c>
      <c r="F674" s="137" t="str">
        <f t="shared" si="85"/>
        <v/>
      </c>
      <c r="G674" s="138" t="e">
        <f>IF(A674&lt;&gt;"",IF(AND(#REF!="Padrão",$H$4=#REF!),BDI!$B$17,IF(AND(#REF!="Padrão",$H$4=#REF!),BDI!#REF!,IF(AND(#REF!="Diferenciado",$H$4=#REF!),BDI!$E$17,IF(AND(#REF!="Diferenciado",$H$4=#REF!),BDI!#REF!,IF(#REF!="ZERO",0))))),"")</f>
        <v>#REF!</v>
      </c>
      <c r="H674" s="139" t="str">
        <f t="shared" si="86"/>
        <v/>
      </c>
      <c r="I674" s="137" t="str">
        <f t="shared" si="87"/>
        <v/>
      </c>
      <c r="J674" s="117"/>
      <c r="K674" s="116">
        <v>0</v>
      </c>
      <c r="M674" s="136" t="s">
        <v>416</v>
      </c>
      <c r="N674" t="e">
        <v>#REF!</v>
      </c>
      <c r="Q674" t="s">
        <v>416</v>
      </c>
    </row>
    <row r="675" spans="1:17" hidden="1" x14ac:dyDescent="0.25">
      <c r="A675" s="114" t="s">
        <v>2100</v>
      </c>
      <c r="B675" s="115" t="s">
        <v>2101</v>
      </c>
      <c r="C675" s="116" t="s">
        <v>16</v>
      </c>
      <c r="D675" s="116">
        <v>0</v>
      </c>
      <c r="E675" s="136" t="s">
        <v>416</v>
      </c>
      <c r="F675" s="137" t="str">
        <f t="shared" si="85"/>
        <v/>
      </c>
      <c r="G675" s="138" t="e">
        <f>IF(A675&lt;&gt;"",IF(AND(#REF!="Padrão",$H$4=#REF!),BDI!$B$17,IF(AND(#REF!="Padrão",$H$4=#REF!),BDI!#REF!,IF(AND(#REF!="Diferenciado",$H$4=#REF!),BDI!$E$17,IF(AND(#REF!="Diferenciado",$H$4=#REF!),BDI!#REF!,IF(#REF!="ZERO",0))))),"")</f>
        <v>#REF!</v>
      </c>
      <c r="H675" s="139" t="str">
        <f t="shared" si="86"/>
        <v/>
      </c>
      <c r="I675" s="137" t="str">
        <f t="shared" si="87"/>
        <v/>
      </c>
      <c r="J675" s="117"/>
      <c r="K675" s="116">
        <v>0</v>
      </c>
      <c r="M675" s="136" t="s">
        <v>416</v>
      </c>
      <c r="N675" t="e">
        <v>#REF!</v>
      </c>
      <c r="Q675" t="s">
        <v>416</v>
      </c>
    </row>
    <row r="676" spans="1:17" hidden="1" x14ac:dyDescent="0.25">
      <c r="A676" s="114" t="s">
        <v>2102</v>
      </c>
      <c r="B676" s="115" t="s">
        <v>2103</v>
      </c>
      <c r="C676" s="116" t="s">
        <v>16</v>
      </c>
      <c r="D676" s="116">
        <v>0</v>
      </c>
      <c r="E676" s="136" t="s">
        <v>416</v>
      </c>
      <c r="F676" s="137" t="str">
        <f t="shared" si="85"/>
        <v/>
      </c>
      <c r="G676" s="138" t="e">
        <f>IF(A676&lt;&gt;"",IF(AND(#REF!="Padrão",$H$4=#REF!),BDI!$B$17,IF(AND(#REF!="Padrão",$H$4=#REF!),BDI!#REF!,IF(AND(#REF!="Diferenciado",$H$4=#REF!),BDI!$E$17,IF(AND(#REF!="Diferenciado",$H$4=#REF!),BDI!#REF!,IF(#REF!="ZERO",0))))),"")</f>
        <v>#REF!</v>
      </c>
      <c r="H676" s="139" t="str">
        <f t="shared" si="86"/>
        <v/>
      </c>
      <c r="I676" s="137" t="str">
        <f t="shared" si="87"/>
        <v/>
      </c>
      <c r="J676" s="117"/>
      <c r="K676" s="116">
        <v>0</v>
      </c>
      <c r="M676" s="136" t="s">
        <v>416</v>
      </c>
      <c r="N676" t="e">
        <v>#REF!</v>
      </c>
      <c r="Q676" t="s">
        <v>416</v>
      </c>
    </row>
    <row r="677" spans="1:17" hidden="1" x14ac:dyDescent="0.25">
      <c r="A677" s="114" t="s">
        <v>2104</v>
      </c>
      <c r="B677" s="115" t="s">
        <v>2105</v>
      </c>
      <c r="C677" s="116" t="s">
        <v>16</v>
      </c>
      <c r="D677" s="116">
        <v>0</v>
      </c>
      <c r="E677" s="136" t="s">
        <v>416</v>
      </c>
      <c r="F677" s="137" t="str">
        <f t="shared" si="85"/>
        <v/>
      </c>
      <c r="G677" s="138" t="e">
        <f>IF(A677&lt;&gt;"",IF(AND(#REF!="Padrão",$H$4=#REF!),BDI!$B$17,IF(AND(#REF!="Padrão",$H$4=#REF!),BDI!#REF!,IF(AND(#REF!="Diferenciado",$H$4=#REF!),BDI!$E$17,IF(AND(#REF!="Diferenciado",$H$4=#REF!),BDI!#REF!,IF(#REF!="ZERO",0))))),"")</f>
        <v>#REF!</v>
      </c>
      <c r="H677" s="139" t="str">
        <f t="shared" si="86"/>
        <v/>
      </c>
      <c r="I677" s="137" t="str">
        <f t="shared" si="87"/>
        <v/>
      </c>
      <c r="J677" s="117"/>
      <c r="K677" s="116">
        <v>0</v>
      </c>
      <c r="M677" s="136" t="s">
        <v>416</v>
      </c>
      <c r="N677" t="e">
        <v>#REF!</v>
      </c>
      <c r="Q677" t="s">
        <v>416</v>
      </c>
    </row>
    <row r="678" spans="1:17" hidden="1" x14ac:dyDescent="0.25">
      <c r="A678" s="114" t="s">
        <v>2106</v>
      </c>
      <c r="B678" s="115" t="s">
        <v>2107</v>
      </c>
      <c r="C678" s="116" t="s">
        <v>16</v>
      </c>
      <c r="D678" s="116">
        <v>0</v>
      </c>
      <c r="E678" s="136" t="s">
        <v>416</v>
      </c>
      <c r="F678" s="137" t="str">
        <f t="shared" si="85"/>
        <v/>
      </c>
      <c r="G678" s="138" t="e">
        <f>IF(A678&lt;&gt;"",IF(AND(#REF!="Padrão",$H$4=#REF!),BDI!$B$17,IF(AND(#REF!="Padrão",$H$4=#REF!),BDI!#REF!,IF(AND(#REF!="Diferenciado",$H$4=#REF!),BDI!$E$17,IF(AND(#REF!="Diferenciado",$H$4=#REF!),BDI!#REF!,IF(#REF!="ZERO",0))))),"")</f>
        <v>#REF!</v>
      </c>
      <c r="H678" s="139" t="str">
        <f t="shared" si="86"/>
        <v/>
      </c>
      <c r="I678" s="137" t="str">
        <f t="shared" si="87"/>
        <v/>
      </c>
      <c r="J678" s="117"/>
      <c r="K678" s="116">
        <v>0</v>
      </c>
      <c r="M678" s="136" t="s">
        <v>416</v>
      </c>
      <c r="N678" t="e">
        <v>#REF!</v>
      </c>
      <c r="Q678" t="s">
        <v>416</v>
      </c>
    </row>
    <row r="679" spans="1:17" hidden="1" x14ac:dyDescent="0.25">
      <c r="A679" s="114" t="s">
        <v>2108</v>
      </c>
      <c r="B679" s="115" t="s">
        <v>2109</v>
      </c>
      <c r="C679" s="116" t="s">
        <v>16</v>
      </c>
      <c r="D679" s="116">
        <v>0</v>
      </c>
      <c r="E679" s="136" t="s">
        <v>416</v>
      </c>
      <c r="F679" s="137" t="str">
        <f t="shared" si="85"/>
        <v/>
      </c>
      <c r="G679" s="138" t="e">
        <f>IF(A679&lt;&gt;"",IF(AND(#REF!="Padrão",$H$4=#REF!),BDI!$B$17,IF(AND(#REF!="Padrão",$H$4=#REF!),BDI!#REF!,IF(AND(#REF!="Diferenciado",$H$4=#REF!),BDI!$E$17,IF(AND(#REF!="Diferenciado",$H$4=#REF!),BDI!#REF!,IF(#REF!="ZERO",0))))),"")</f>
        <v>#REF!</v>
      </c>
      <c r="H679" s="139" t="str">
        <f t="shared" si="86"/>
        <v/>
      </c>
      <c r="I679" s="137" t="str">
        <f t="shared" si="87"/>
        <v/>
      </c>
      <c r="J679" s="117"/>
      <c r="K679" s="116">
        <v>0</v>
      </c>
      <c r="M679" s="136" t="s">
        <v>416</v>
      </c>
      <c r="N679" t="e">
        <v>#REF!</v>
      </c>
      <c r="Q679" t="s">
        <v>416</v>
      </c>
    </row>
    <row r="680" spans="1:17" hidden="1" x14ac:dyDescent="0.25">
      <c r="A680" s="114" t="s">
        <v>2110</v>
      </c>
      <c r="B680" s="115" t="s">
        <v>2111</v>
      </c>
      <c r="C680" s="116" t="s">
        <v>16</v>
      </c>
      <c r="D680" s="116">
        <v>0</v>
      </c>
      <c r="E680" s="136" t="s">
        <v>416</v>
      </c>
      <c r="F680" s="137" t="str">
        <f t="shared" si="85"/>
        <v/>
      </c>
      <c r="G680" s="138" t="e">
        <f>IF(A680&lt;&gt;"",IF(AND(#REF!="Padrão",$H$4=#REF!),BDI!$B$17,IF(AND(#REF!="Padrão",$H$4=#REF!),BDI!#REF!,IF(AND(#REF!="Diferenciado",$H$4=#REF!),BDI!$E$17,IF(AND(#REF!="Diferenciado",$H$4=#REF!),BDI!#REF!,IF(#REF!="ZERO",0))))),"")</f>
        <v>#REF!</v>
      </c>
      <c r="H680" s="139" t="str">
        <f t="shared" si="86"/>
        <v/>
      </c>
      <c r="I680" s="137" t="str">
        <f t="shared" si="87"/>
        <v/>
      </c>
      <c r="J680" s="117"/>
      <c r="K680" s="116">
        <v>0</v>
      </c>
      <c r="M680" s="136" t="s">
        <v>416</v>
      </c>
      <c r="N680" t="e">
        <v>#REF!</v>
      </c>
      <c r="Q680" t="s">
        <v>416</v>
      </c>
    </row>
    <row r="681" spans="1:17" hidden="1" x14ac:dyDescent="0.25">
      <c r="A681" s="114" t="s">
        <v>2112</v>
      </c>
      <c r="B681" s="115" t="s">
        <v>2113</v>
      </c>
      <c r="C681" s="116" t="s">
        <v>16</v>
      </c>
      <c r="D681" s="116">
        <v>0</v>
      </c>
      <c r="E681" s="136" t="s">
        <v>416</v>
      </c>
      <c r="F681" s="137" t="str">
        <f t="shared" si="85"/>
        <v/>
      </c>
      <c r="G681" s="138" t="e">
        <f>IF(A681&lt;&gt;"",IF(AND(#REF!="Padrão",$H$4=#REF!),BDI!$B$17,IF(AND(#REF!="Padrão",$H$4=#REF!),BDI!#REF!,IF(AND(#REF!="Diferenciado",$H$4=#REF!),BDI!$E$17,IF(AND(#REF!="Diferenciado",$H$4=#REF!),BDI!#REF!,IF(#REF!="ZERO",0))))),"")</f>
        <v>#REF!</v>
      </c>
      <c r="H681" s="139" t="str">
        <f t="shared" si="86"/>
        <v/>
      </c>
      <c r="I681" s="137" t="str">
        <f t="shared" si="87"/>
        <v/>
      </c>
      <c r="J681" s="117"/>
      <c r="K681" s="116">
        <v>0</v>
      </c>
      <c r="M681" s="136" t="s">
        <v>416</v>
      </c>
      <c r="N681" t="e">
        <v>#REF!</v>
      </c>
      <c r="Q681" t="s">
        <v>416</v>
      </c>
    </row>
    <row r="682" spans="1:17" hidden="1" x14ac:dyDescent="0.25">
      <c r="A682" s="114" t="s">
        <v>2114</v>
      </c>
      <c r="B682" s="115" t="s">
        <v>2115</v>
      </c>
      <c r="C682" s="116" t="s">
        <v>16</v>
      </c>
      <c r="D682" s="116">
        <v>0</v>
      </c>
      <c r="E682" s="136" t="s">
        <v>416</v>
      </c>
      <c r="F682" s="137" t="str">
        <f t="shared" si="85"/>
        <v/>
      </c>
      <c r="G682" s="138" t="e">
        <f>IF(A682&lt;&gt;"",IF(AND(#REF!="Padrão",$H$4=#REF!),BDI!$B$17,IF(AND(#REF!="Padrão",$H$4=#REF!),BDI!#REF!,IF(AND(#REF!="Diferenciado",$H$4=#REF!),BDI!$E$17,IF(AND(#REF!="Diferenciado",$H$4=#REF!),BDI!#REF!,IF(#REF!="ZERO",0))))),"")</f>
        <v>#REF!</v>
      </c>
      <c r="H682" s="139" t="str">
        <f t="shared" si="86"/>
        <v/>
      </c>
      <c r="I682" s="137" t="str">
        <f t="shared" si="87"/>
        <v/>
      </c>
      <c r="J682" s="117"/>
      <c r="K682" s="116">
        <v>0</v>
      </c>
      <c r="M682" s="136" t="s">
        <v>416</v>
      </c>
      <c r="N682" t="e">
        <v>#REF!</v>
      </c>
      <c r="Q682" t="s">
        <v>416</v>
      </c>
    </row>
    <row r="683" spans="1:17" hidden="1" x14ac:dyDescent="0.25">
      <c r="A683" s="114" t="s">
        <v>2116</v>
      </c>
      <c r="B683" s="115" t="s">
        <v>2117</v>
      </c>
      <c r="C683" s="116" t="s">
        <v>16</v>
      </c>
      <c r="D683" s="116">
        <v>0</v>
      </c>
      <c r="E683" s="136" t="s">
        <v>416</v>
      </c>
      <c r="F683" s="137" t="str">
        <f t="shared" si="85"/>
        <v/>
      </c>
      <c r="G683" s="138" t="e">
        <f>IF(A683&lt;&gt;"",IF(AND(#REF!="Padrão",$H$4=#REF!),BDI!$B$17,IF(AND(#REF!="Padrão",$H$4=#REF!),BDI!#REF!,IF(AND(#REF!="Diferenciado",$H$4=#REF!),BDI!$E$17,IF(AND(#REF!="Diferenciado",$H$4=#REF!),BDI!#REF!,IF(#REF!="ZERO",0))))),"")</f>
        <v>#REF!</v>
      </c>
      <c r="H683" s="139" t="str">
        <f t="shared" si="86"/>
        <v/>
      </c>
      <c r="I683" s="137" t="str">
        <f t="shared" si="87"/>
        <v/>
      </c>
      <c r="J683" s="117"/>
      <c r="K683" s="116">
        <v>0</v>
      </c>
      <c r="M683" s="136" t="s">
        <v>416</v>
      </c>
      <c r="N683" t="e">
        <v>#REF!</v>
      </c>
      <c r="Q683" t="s">
        <v>416</v>
      </c>
    </row>
    <row r="684" spans="1:17" hidden="1" x14ac:dyDescent="0.25">
      <c r="A684" s="114" t="s">
        <v>2118</v>
      </c>
      <c r="B684" s="115" t="s">
        <v>2119</v>
      </c>
      <c r="C684" s="116" t="s">
        <v>16</v>
      </c>
      <c r="D684" s="116">
        <v>0</v>
      </c>
      <c r="E684" s="136" t="s">
        <v>416</v>
      </c>
      <c r="F684" s="137" t="str">
        <f t="shared" si="85"/>
        <v/>
      </c>
      <c r="G684" s="138" t="e">
        <f>IF(A684&lt;&gt;"",IF(AND(#REF!="Padrão",$H$4=#REF!),BDI!$B$17,IF(AND(#REF!="Padrão",$H$4=#REF!),BDI!#REF!,IF(AND(#REF!="Diferenciado",$H$4=#REF!),BDI!$E$17,IF(AND(#REF!="Diferenciado",$H$4=#REF!),BDI!#REF!,IF(#REF!="ZERO",0))))),"")</f>
        <v>#REF!</v>
      </c>
      <c r="H684" s="139" t="str">
        <f t="shared" si="86"/>
        <v/>
      </c>
      <c r="I684" s="137" t="str">
        <f t="shared" si="87"/>
        <v/>
      </c>
      <c r="J684" s="117"/>
      <c r="K684" s="116">
        <v>0</v>
      </c>
      <c r="M684" s="136" t="s">
        <v>416</v>
      </c>
      <c r="N684" t="e">
        <v>#REF!</v>
      </c>
      <c r="Q684" t="s">
        <v>416</v>
      </c>
    </row>
    <row r="685" spans="1:17" hidden="1" x14ac:dyDescent="0.25">
      <c r="A685" s="114" t="s">
        <v>2120</v>
      </c>
      <c r="B685" s="115" t="s">
        <v>2121</v>
      </c>
      <c r="C685" s="116" t="s">
        <v>16</v>
      </c>
      <c r="D685" s="116">
        <v>0</v>
      </c>
      <c r="E685" s="136" t="s">
        <v>416</v>
      </c>
      <c r="F685" s="137" t="str">
        <f t="shared" si="85"/>
        <v/>
      </c>
      <c r="G685" s="138" t="e">
        <f>IF(A685&lt;&gt;"",IF(AND(#REF!="Padrão",$H$4=#REF!),BDI!$B$17,IF(AND(#REF!="Padrão",$H$4=#REF!),BDI!#REF!,IF(AND(#REF!="Diferenciado",$H$4=#REF!),BDI!$E$17,IF(AND(#REF!="Diferenciado",$H$4=#REF!),BDI!#REF!,IF(#REF!="ZERO",0))))),"")</f>
        <v>#REF!</v>
      </c>
      <c r="H685" s="139" t="str">
        <f t="shared" si="86"/>
        <v/>
      </c>
      <c r="I685" s="137" t="str">
        <f t="shared" si="87"/>
        <v/>
      </c>
      <c r="J685" s="117"/>
      <c r="K685" s="116">
        <v>0</v>
      </c>
      <c r="M685" s="136" t="s">
        <v>416</v>
      </c>
      <c r="N685" t="e">
        <v>#REF!</v>
      </c>
      <c r="Q685" t="s">
        <v>416</v>
      </c>
    </row>
    <row r="686" spans="1:17" hidden="1" x14ac:dyDescent="0.25">
      <c r="A686" s="114" t="s">
        <v>2122</v>
      </c>
      <c r="B686" s="115" t="s">
        <v>2123</v>
      </c>
      <c r="C686" s="116" t="s">
        <v>16</v>
      </c>
      <c r="D686" s="116">
        <v>0</v>
      </c>
      <c r="E686" s="136" t="s">
        <v>416</v>
      </c>
      <c r="F686" s="137" t="str">
        <f t="shared" si="85"/>
        <v/>
      </c>
      <c r="G686" s="138" t="e">
        <f>IF(A686&lt;&gt;"",IF(AND(#REF!="Padrão",$H$4=#REF!),BDI!$B$17,IF(AND(#REF!="Padrão",$H$4=#REF!),BDI!#REF!,IF(AND(#REF!="Diferenciado",$H$4=#REF!),BDI!$E$17,IF(AND(#REF!="Diferenciado",$H$4=#REF!),BDI!#REF!,IF(#REF!="ZERO",0))))),"")</f>
        <v>#REF!</v>
      </c>
      <c r="H686" s="139" t="str">
        <f t="shared" si="86"/>
        <v/>
      </c>
      <c r="I686" s="137" t="str">
        <f t="shared" si="87"/>
        <v/>
      </c>
      <c r="J686" s="117"/>
      <c r="K686" s="116">
        <v>0</v>
      </c>
      <c r="M686" s="136" t="s">
        <v>416</v>
      </c>
      <c r="N686" t="e">
        <v>#REF!</v>
      </c>
      <c r="Q686" t="s">
        <v>416</v>
      </c>
    </row>
    <row r="687" spans="1:17" hidden="1" x14ac:dyDescent="0.25">
      <c r="A687" s="114" t="s">
        <v>2124</v>
      </c>
      <c r="B687" s="115" t="s">
        <v>2125</v>
      </c>
      <c r="C687" s="116" t="s">
        <v>16</v>
      </c>
      <c r="D687" s="116">
        <v>0</v>
      </c>
      <c r="E687" s="136" t="s">
        <v>416</v>
      </c>
      <c r="F687" s="137" t="str">
        <f t="shared" si="85"/>
        <v/>
      </c>
      <c r="G687" s="138" t="e">
        <f>IF(A687&lt;&gt;"",IF(AND(#REF!="Padrão",$H$4=#REF!),BDI!$B$17,IF(AND(#REF!="Padrão",$H$4=#REF!),BDI!#REF!,IF(AND(#REF!="Diferenciado",$H$4=#REF!),BDI!$E$17,IF(AND(#REF!="Diferenciado",$H$4=#REF!),BDI!#REF!,IF(#REF!="ZERO",0))))),"")</f>
        <v>#REF!</v>
      </c>
      <c r="H687" s="139" t="str">
        <f t="shared" si="86"/>
        <v/>
      </c>
      <c r="I687" s="137" t="str">
        <f t="shared" si="87"/>
        <v/>
      </c>
      <c r="J687" s="117"/>
      <c r="K687" s="116">
        <v>0</v>
      </c>
      <c r="M687" s="136" t="s">
        <v>416</v>
      </c>
      <c r="N687" t="e">
        <v>#REF!</v>
      </c>
      <c r="Q687" t="s">
        <v>416</v>
      </c>
    </row>
    <row r="688" spans="1:17" hidden="1" x14ac:dyDescent="0.25">
      <c r="A688" s="114" t="s">
        <v>2126</v>
      </c>
      <c r="B688" s="115" t="s">
        <v>2127</v>
      </c>
      <c r="C688" s="116" t="s">
        <v>16</v>
      </c>
      <c r="D688" s="116">
        <v>0</v>
      </c>
      <c r="E688" s="136" t="s">
        <v>416</v>
      </c>
      <c r="F688" s="137" t="str">
        <f t="shared" si="85"/>
        <v/>
      </c>
      <c r="G688" s="138" t="e">
        <f>IF(A688&lt;&gt;"",IF(AND(#REF!="Padrão",$H$4=#REF!),BDI!$B$17,IF(AND(#REF!="Padrão",$H$4=#REF!),BDI!#REF!,IF(AND(#REF!="Diferenciado",$H$4=#REF!),BDI!$E$17,IF(AND(#REF!="Diferenciado",$H$4=#REF!),BDI!#REF!,IF(#REF!="ZERO",0))))),"")</f>
        <v>#REF!</v>
      </c>
      <c r="H688" s="139" t="str">
        <f t="shared" si="86"/>
        <v/>
      </c>
      <c r="I688" s="137" t="str">
        <f t="shared" si="87"/>
        <v/>
      </c>
      <c r="J688" s="117"/>
      <c r="K688" s="116">
        <v>0</v>
      </c>
      <c r="M688" s="136" t="s">
        <v>416</v>
      </c>
      <c r="N688" t="e">
        <v>#REF!</v>
      </c>
      <c r="Q688" t="s">
        <v>416</v>
      </c>
    </row>
    <row r="689" spans="1:17" hidden="1" x14ac:dyDescent="0.25">
      <c r="A689" s="114" t="s">
        <v>2128</v>
      </c>
      <c r="B689" s="115" t="s">
        <v>2129</v>
      </c>
      <c r="C689" s="116" t="s">
        <v>16</v>
      </c>
      <c r="D689" s="116">
        <v>0</v>
      </c>
      <c r="E689" s="136" t="s">
        <v>416</v>
      </c>
      <c r="F689" s="137" t="str">
        <f t="shared" si="85"/>
        <v/>
      </c>
      <c r="G689" s="138" t="e">
        <f>IF(A689&lt;&gt;"",IF(AND(#REF!="Padrão",$H$4=#REF!),BDI!$B$17,IF(AND(#REF!="Padrão",$H$4=#REF!),BDI!#REF!,IF(AND(#REF!="Diferenciado",$H$4=#REF!),BDI!$E$17,IF(AND(#REF!="Diferenciado",$H$4=#REF!),BDI!#REF!,IF(#REF!="ZERO",0))))),"")</f>
        <v>#REF!</v>
      </c>
      <c r="H689" s="139" t="str">
        <f t="shared" si="86"/>
        <v/>
      </c>
      <c r="I689" s="137" t="str">
        <f t="shared" si="87"/>
        <v/>
      </c>
      <c r="J689" s="117"/>
      <c r="K689" s="116">
        <v>0</v>
      </c>
      <c r="M689" s="136" t="s">
        <v>416</v>
      </c>
      <c r="N689" t="e">
        <v>#REF!</v>
      </c>
      <c r="Q689" t="s">
        <v>416</v>
      </c>
    </row>
    <row r="690" spans="1:17" hidden="1" x14ac:dyDescent="0.25">
      <c r="A690" s="114" t="s">
        <v>2130</v>
      </c>
      <c r="B690" s="115" t="s">
        <v>2131</v>
      </c>
      <c r="C690" s="116" t="s">
        <v>16</v>
      </c>
      <c r="D690" s="116">
        <v>0</v>
      </c>
      <c r="E690" s="136" t="s">
        <v>416</v>
      </c>
      <c r="F690" s="137" t="str">
        <f t="shared" si="85"/>
        <v/>
      </c>
      <c r="G690" s="138" t="e">
        <f>IF(A690&lt;&gt;"",IF(AND(#REF!="Padrão",$H$4=#REF!),BDI!$B$17,IF(AND(#REF!="Padrão",$H$4=#REF!),BDI!#REF!,IF(AND(#REF!="Diferenciado",$H$4=#REF!),BDI!$E$17,IF(AND(#REF!="Diferenciado",$H$4=#REF!),BDI!#REF!,IF(#REF!="ZERO",0))))),"")</f>
        <v>#REF!</v>
      </c>
      <c r="H690" s="139" t="str">
        <f t="shared" si="86"/>
        <v/>
      </c>
      <c r="I690" s="137" t="str">
        <f t="shared" si="87"/>
        <v/>
      </c>
      <c r="J690" s="117"/>
      <c r="K690" s="116">
        <v>0</v>
      </c>
      <c r="M690" s="136" t="s">
        <v>416</v>
      </c>
      <c r="N690" t="e">
        <v>#REF!</v>
      </c>
      <c r="Q690" t="s">
        <v>416</v>
      </c>
    </row>
    <row r="691" spans="1:17" hidden="1" x14ac:dyDescent="0.25">
      <c r="A691" s="114" t="s">
        <v>2132</v>
      </c>
      <c r="B691" s="115" t="s">
        <v>2133</v>
      </c>
      <c r="C691" s="116" t="s">
        <v>16</v>
      </c>
      <c r="D691" s="116">
        <v>0</v>
      </c>
      <c r="E691" s="136" t="s">
        <v>416</v>
      </c>
      <c r="F691" s="137" t="str">
        <f t="shared" si="85"/>
        <v/>
      </c>
      <c r="G691" s="138" t="e">
        <f>IF(A691&lt;&gt;"",IF(AND(#REF!="Padrão",$H$4=#REF!),BDI!$B$17,IF(AND(#REF!="Padrão",$H$4=#REF!),BDI!#REF!,IF(AND(#REF!="Diferenciado",$H$4=#REF!),BDI!$E$17,IF(AND(#REF!="Diferenciado",$H$4=#REF!),BDI!#REF!,IF(#REF!="ZERO",0))))),"")</f>
        <v>#REF!</v>
      </c>
      <c r="H691" s="139" t="str">
        <f t="shared" si="86"/>
        <v/>
      </c>
      <c r="I691" s="137" t="str">
        <f t="shared" si="87"/>
        <v/>
      </c>
      <c r="J691" s="117"/>
      <c r="K691" s="116">
        <v>0</v>
      </c>
      <c r="M691" s="136" t="s">
        <v>416</v>
      </c>
      <c r="N691" t="e">
        <v>#REF!</v>
      </c>
      <c r="Q691" t="s">
        <v>416</v>
      </c>
    </row>
    <row r="692" spans="1:17" hidden="1" x14ac:dyDescent="0.25">
      <c r="A692" s="114" t="s">
        <v>2134</v>
      </c>
      <c r="B692" s="115" t="s">
        <v>2135</v>
      </c>
      <c r="C692" s="116" t="s">
        <v>16</v>
      </c>
      <c r="D692" s="116">
        <v>0</v>
      </c>
      <c r="E692" s="136" t="s">
        <v>416</v>
      </c>
      <c r="F692" s="137" t="str">
        <f t="shared" si="85"/>
        <v/>
      </c>
      <c r="G692" s="138" t="e">
        <f>IF(A692&lt;&gt;"",IF(AND(#REF!="Padrão",$H$4=#REF!),BDI!$B$17,IF(AND(#REF!="Padrão",$H$4=#REF!),BDI!#REF!,IF(AND(#REF!="Diferenciado",$H$4=#REF!),BDI!$E$17,IF(AND(#REF!="Diferenciado",$H$4=#REF!),BDI!#REF!,IF(#REF!="ZERO",0))))),"")</f>
        <v>#REF!</v>
      </c>
      <c r="H692" s="139" t="str">
        <f t="shared" si="86"/>
        <v/>
      </c>
      <c r="I692" s="137" t="str">
        <f t="shared" si="87"/>
        <v/>
      </c>
      <c r="J692" s="117"/>
      <c r="K692" s="116">
        <v>0</v>
      </c>
      <c r="M692" s="136" t="s">
        <v>416</v>
      </c>
      <c r="N692" t="e">
        <v>#REF!</v>
      </c>
      <c r="Q692" t="s">
        <v>416</v>
      </c>
    </row>
    <row r="693" spans="1:17" hidden="1" x14ac:dyDescent="0.25">
      <c r="A693" s="114" t="s">
        <v>2136</v>
      </c>
      <c r="B693" s="115" t="s">
        <v>2137</v>
      </c>
      <c r="C693" s="116" t="s">
        <v>16</v>
      </c>
      <c r="D693" s="116">
        <v>0</v>
      </c>
      <c r="E693" s="136" t="s">
        <v>416</v>
      </c>
      <c r="F693" s="137" t="str">
        <f t="shared" si="85"/>
        <v/>
      </c>
      <c r="G693" s="138" t="e">
        <f>IF(A693&lt;&gt;"",IF(AND(#REF!="Padrão",$H$4=#REF!),BDI!$B$17,IF(AND(#REF!="Padrão",$H$4=#REF!),BDI!#REF!,IF(AND(#REF!="Diferenciado",$H$4=#REF!),BDI!$E$17,IF(AND(#REF!="Diferenciado",$H$4=#REF!),BDI!#REF!,IF(#REF!="ZERO",0))))),"")</f>
        <v>#REF!</v>
      </c>
      <c r="H693" s="139" t="str">
        <f t="shared" si="86"/>
        <v/>
      </c>
      <c r="I693" s="137" t="str">
        <f t="shared" si="87"/>
        <v/>
      </c>
      <c r="J693" s="117"/>
      <c r="K693" s="116">
        <v>0</v>
      </c>
      <c r="M693" s="136" t="s">
        <v>416</v>
      </c>
      <c r="N693" t="e">
        <v>#REF!</v>
      </c>
      <c r="Q693" t="s">
        <v>416</v>
      </c>
    </row>
    <row r="694" spans="1:17" hidden="1" x14ac:dyDescent="0.25">
      <c r="A694" s="114" t="s">
        <v>2138</v>
      </c>
      <c r="B694" s="115" t="s">
        <v>2139</v>
      </c>
      <c r="C694" s="116" t="s">
        <v>16</v>
      </c>
      <c r="D694" s="116">
        <v>0</v>
      </c>
      <c r="E694" s="136" t="s">
        <v>416</v>
      </c>
      <c r="F694" s="137" t="str">
        <f t="shared" si="85"/>
        <v/>
      </c>
      <c r="G694" s="138" t="e">
        <f>IF(A694&lt;&gt;"",IF(AND(#REF!="Padrão",$H$4=#REF!),BDI!$B$17,IF(AND(#REF!="Padrão",$H$4=#REF!),BDI!#REF!,IF(AND(#REF!="Diferenciado",$H$4=#REF!),BDI!$E$17,IF(AND(#REF!="Diferenciado",$H$4=#REF!),BDI!#REF!,IF(#REF!="ZERO",0))))),"")</f>
        <v>#REF!</v>
      </c>
      <c r="H694" s="139" t="str">
        <f t="shared" si="86"/>
        <v/>
      </c>
      <c r="I694" s="137" t="str">
        <f t="shared" si="87"/>
        <v/>
      </c>
      <c r="J694" s="117"/>
      <c r="K694" s="116">
        <v>0</v>
      </c>
      <c r="M694" s="136" t="s">
        <v>416</v>
      </c>
      <c r="N694" t="e">
        <v>#REF!</v>
      </c>
      <c r="Q694" t="s">
        <v>416</v>
      </c>
    </row>
    <row r="695" spans="1:17" hidden="1" x14ac:dyDescent="0.25">
      <c r="A695" s="114" t="s">
        <v>2140</v>
      </c>
      <c r="B695" s="115" t="s">
        <v>2141</v>
      </c>
      <c r="C695" s="116" t="s">
        <v>16</v>
      </c>
      <c r="D695" s="116">
        <v>0</v>
      </c>
      <c r="E695" s="136" t="s">
        <v>416</v>
      </c>
      <c r="F695" s="137" t="str">
        <f t="shared" si="85"/>
        <v/>
      </c>
      <c r="G695" s="138" t="e">
        <f>IF(A695&lt;&gt;"",IF(AND(#REF!="Padrão",$H$4=#REF!),BDI!$B$17,IF(AND(#REF!="Padrão",$H$4=#REF!),BDI!#REF!,IF(AND(#REF!="Diferenciado",$H$4=#REF!),BDI!$E$17,IF(AND(#REF!="Diferenciado",$H$4=#REF!),BDI!#REF!,IF(#REF!="ZERO",0))))),"")</f>
        <v>#REF!</v>
      </c>
      <c r="H695" s="139" t="str">
        <f t="shared" si="86"/>
        <v/>
      </c>
      <c r="I695" s="137" t="str">
        <f t="shared" si="87"/>
        <v/>
      </c>
      <c r="J695" s="117"/>
      <c r="K695" s="116">
        <v>0</v>
      </c>
      <c r="M695" s="136" t="s">
        <v>416</v>
      </c>
      <c r="N695" t="e">
        <v>#REF!</v>
      </c>
      <c r="Q695" t="s">
        <v>416</v>
      </c>
    </row>
    <row r="696" spans="1:17" hidden="1" x14ac:dyDescent="0.25">
      <c r="A696" s="114" t="s">
        <v>2142</v>
      </c>
      <c r="B696" s="115" t="s">
        <v>2143</v>
      </c>
      <c r="C696" s="116" t="s">
        <v>16</v>
      </c>
      <c r="D696" s="116">
        <v>0</v>
      </c>
      <c r="E696" s="136" t="s">
        <v>416</v>
      </c>
      <c r="F696" s="137" t="str">
        <f t="shared" si="85"/>
        <v/>
      </c>
      <c r="G696" s="138" t="e">
        <f>IF(A696&lt;&gt;"",IF(AND(#REF!="Padrão",$H$4=#REF!),BDI!$B$17,IF(AND(#REF!="Padrão",$H$4=#REF!),BDI!#REF!,IF(AND(#REF!="Diferenciado",$H$4=#REF!),BDI!$E$17,IF(AND(#REF!="Diferenciado",$H$4=#REF!),BDI!#REF!,IF(#REF!="ZERO",0))))),"")</f>
        <v>#REF!</v>
      </c>
      <c r="H696" s="139" t="str">
        <f t="shared" si="86"/>
        <v/>
      </c>
      <c r="I696" s="137" t="str">
        <f t="shared" si="87"/>
        <v/>
      </c>
      <c r="J696" s="117"/>
      <c r="K696" s="116">
        <v>0</v>
      </c>
      <c r="M696" s="136" t="s">
        <v>416</v>
      </c>
      <c r="N696" t="e">
        <v>#REF!</v>
      </c>
      <c r="Q696" t="s">
        <v>416</v>
      </c>
    </row>
    <row r="697" spans="1:17" hidden="1" x14ac:dyDescent="0.25">
      <c r="A697" s="114" t="s">
        <v>2144</v>
      </c>
      <c r="B697" s="115" t="s">
        <v>2145</v>
      </c>
      <c r="C697" s="116" t="s">
        <v>16</v>
      </c>
      <c r="D697" s="116">
        <v>0</v>
      </c>
      <c r="E697" s="136" t="s">
        <v>416</v>
      </c>
      <c r="F697" s="137" t="str">
        <f t="shared" si="85"/>
        <v/>
      </c>
      <c r="G697" s="138" t="e">
        <f>IF(A697&lt;&gt;"",IF(AND(#REF!="Padrão",$H$4=#REF!),BDI!$B$17,IF(AND(#REF!="Padrão",$H$4=#REF!),BDI!#REF!,IF(AND(#REF!="Diferenciado",$H$4=#REF!),BDI!$E$17,IF(AND(#REF!="Diferenciado",$H$4=#REF!),BDI!#REF!,IF(#REF!="ZERO",0))))),"")</f>
        <v>#REF!</v>
      </c>
      <c r="H697" s="139" t="str">
        <f t="shared" si="86"/>
        <v/>
      </c>
      <c r="I697" s="137" t="str">
        <f t="shared" si="87"/>
        <v/>
      </c>
      <c r="J697" s="117"/>
      <c r="K697" s="116">
        <v>0</v>
      </c>
      <c r="M697" s="136" t="s">
        <v>416</v>
      </c>
      <c r="N697" t="e">
        <v>#REF!</v>
      </c>
      <c r="Q697" t="s">
        <v>416</v>
      </c>
    </row>
    <row r="698" spans="1:17" hidden="1" x14ac:dyDescent="0.25">
      <c r="A698" s="114" t="s">
        <v>2146</v>
      </c>
      <c r="B698" s="115" t="s">
        <v>2147</v>
      </c>
      <c r="C698" s="116" t="s">
        <v>16</v>
      </c>
      <c r="D698" s="116">
        <v>0</v>
      </c>
      <c r="E698" s="136" t="s">
        <v>416</v>
      </c>
      <c r="F698" s="137" t="str">
        <f t="shared" si="85"/>
        <v/>
      </c>
      <c r="G698" s="138" t="e">
        <f>IF(A698&lt;&gt;"",IF(AND(#REF!="Padrão",$H$4=#REF!),BDI!$B$17,IF(AND(#REF!="Padrão",$H$4=#REF!),BDI!#REF!,IF(AND(#REF!="Diferenciado",$H$4=#REF!),BDI!$E$17,IF(AND(#REF!="Diferenciado",$H$4=#REF!),BDI!#REF!,IF(#REF!="ZERO",0))))),"")</f>
        <v>#REF!</v>
      </c>
      <c r="H698" s="139" t="str">
        <f t="shared" si="86"/>
        <v/>
      </c>
      <c r="I698" s="137" t="str">
        <f t="shared" si="87"/>
        <v/>
      </c>
      <c r="J698" s="117"/>
      <c r="K698" s="116">
        <v>0</v>
      </c>
      <c r="M698" s="136" t="s">
        <v>416</v>
      </c>
      <c r="N698" t="e">
        <v>#REF!</v>
      </c>
      <c r="Q698" t="s">
        <v>416</v>
      </c>
    </row>
    <row r="699" spans="1:17" hidden="1" x14ac:dyDescent="0.25">
      <c r="A699" s="114" t="s">
        <v>2148</v>
      </c>
      <c r="B699" s="115" t="s">
        <v>2149</v>
      </c>
      <c r="C699" s="116" t="s">
        <v>16</v>
      </c>
      <c r="D699" s="116">
        <v>0</v>
      </c>
      <c r="E699" s="136" t="s">
        <v>416</v>
      </c>
      <c r="F699" s="137" t="str">
        <f t="shared" si="85"/>
        <v/>
      </c>
      <c r="G699" s="138" t="e">
        <f>IF(A699&lt;&gt;"",IF(AND(#REF!="Padrão",$H$4=#REF!),BDI!$B$17,IF(AND(#REF!="Padrão",$H$4=#REF!),BDI!#REF!,IF(AND(#REF!="Diferenciado",$H$4=#REF!),BDI!$E$17,IF(AND(#REF!="Diferenciado",$H$4=#REF!),BDI!#REF!,IF(#REF!="ZERO",0))))),"")</f>
        <v>#REF!</v>
      </c>
      <c r="H699" s="139" t="str">
        <f t="shared" si="86"/>
        <v/>
      </c>
      <c r="I699" s="137" t="str">
        <f t="shared" si="87"/>
        <v/>
      </c>
      <c r="J699" s="117"/>
      <c r="K699" s="116">
        <v>0</v>
      </c>
      <c r="M699" s="136" t="s">
        <v>416</v>
      </c>
      <c r="N699" t="e">
        <v>#REF!</v>
      </c>
      <c r="Q699" t="s">
        <v>416</v>
      </c>
    </row>
    <row r="700" spans="1:17" hidden="1" x14ac:dyDescent="0.25">
      <c r="A700" s="114" t="s">
        <v>2150</v>
      </c>
      <c r="B700" s="115" t="s">
        <v>2151</v>
      </c>
      <c r="C700" s="116" t="s">
        <v>16</v>
      </c>
      <c r="D700" s="116">
        <v>0</v>
      </c>
      <c r="E700" s="136" t="s">
        <v>416</v>
      </c>
      <c r="F700" s="137" t="str">
        <f t="shared" si="85"/>
        <v/>
      </c>
      <c r="G700" s="138" t="e">
        <f>IF(A700&lt;&gt;"",IF(AND(#REF!="Padrão",$H$4=#REF!),BDI!$B$17,IF(AND(#REF!="Padrão",$H$4=#REF!),BDI!#REF!,IF(AND(#REF!="Diferenciado",$H$4=#REF!),BDI!$E$17,IF(AND(#REF!="Diferenciado",$H$4=#REF!),BDI!#REF!,IF(#REF!="ZERO",0))))),"")</f>
        <v>#REF!</v>
      </c>
      <c r="H700" s="139" t="str">
        <f t="shared" si="86"/>
        <v/>
      </c>
      <c r="I700" s="137" t="str">
        <f t="shared" si="87"/>
        <v/>
      </c>
      <c r="J700" s="117"/>
      <c r="K700" s="116">
        <v>0</v>
      </c>
      <c r="M700" s="136" t="s">
        <v>416</v>
      </c>
      <c r="N700" t="e">
        <v>#REF!</v>
      </c>
      <c r="Q700" t="s">
        <v>416</v>
      </c>
    </row>
    <row r="701" spans="1:17" hidden="1" x14ac:dyDescent="0.25">
      <c r="A701" s="114" t="s">
        <v>2152</v>
      </c>
      <c r="B701" s="115" t="s">
        <v>2153</v>
      </c>
      <c r="C701" s="116" t="s">
        <v>16</v>
      </c>
      <c r="D701" s="116">
        <v>0</v>
      </c>
      <c r="E701" s="136" t="s">
        <v>416</v>
      </c>
      <c r="F701" s="137" t="str">
        <f t="shared" si="85"/>
        <v/>
      </c>
      <c r="G701" s="138" t="e">
        <f>IF(A701&lt;&gt;"",IF(AND(#REF!="Padrão",$H$4=#REF!),BDI!$B$17,IF(AND(#REF!="Padrão",$H$4=#REF!),BDI!#REF!,IF(AND(#REF!="Diferenciado",$H$4=#REF!),BDI!$E$17,IF(AND(#REF!="Diferenciado",$H$4=#REF!),BDI!#REF!,IF(#REF!="ZERO",0))))),"")</f>
        <v>#REF!</v>
      </c>
      <c r="H701" s="139" t="str">
        <f t="shared" si="86"/>
        <v/>
      </c>
      <c r="I701" s="137" t="str">
        <f t="shared" si="87"/>
        <v/>
      </c>
      <c r="J701" s="117"/>
      <c r="K701" s="116">
        <v>0</v>
      </c>
      <c r="M701" s="136" t="s">
        <v>416</v>
      </c>
      <c r="N701" t="e">
        <v>#REF!</v>
      </c>
      <c r="Q701" t="s">
        <v>416</v>
      </c>
    </row>
    <row r="702" spans="1:17" hidden="1" x14ac:dyDescent="0.25">
      <c r="A702" s="114" t="s">
        <v>2154</v>
      </c>
      <c r="B702" s="115" t="s">
        <v>2155</v>
      </c>
      <c r="C702" s="116" t="s">
        <v>16</v>
      </c>
      <c r="D702" s="116">
        <v>0</v>
      </c>
      <c r="E702" s="136" t="s">
        <v>416</v>
      </c>
      <c r="F702" s="137" t="str">
        <f t="shared" si="85"/>
        <v/>
      </c>
      <c r="G702" s="138" t="e">
        <f>IF(A702&lt;&gt;"",IF(AND(#REF!="Padrão",$H$4=#REF!),BDI!$B$17,IF(AND(#REF!="Padrão",$H$4=#REF!),BDI!#REF!,IF(AND(#REF!="Diferenciado",$H$4=#REF!),BDI!$E$17,IF(AND(#REF!="Diferenciado",$H$4=#REF!),BDI!#REF!,IF(#REF!="ZERO",0))))),"")</f>
        <v>#REF!</v>
      </c>
      <c r="H702" s="139" t="str">
        <f t="shared" si="86"/>
        <v/>
      </c>
      <c r="I702" s="137" t="str">
        <f t="shared" si="87"/>
        <v/>
      </c>
      <c r="J702" s="117"/>
      <c r="K702" s="116">
        <v>0</v>
      </c>
      <c r="M702" s="136" t="s">
        <v>416</v>
      </c>
      <c r="N702" t="e">
        <v>#REF!</v>
      </c>
      <c r="Q702" t="s">
        <v>416</v>
      </c>
    </row>
    <row r="703" spans="1:17" hidden="1" x14ac:dyDescent="0.25">
      <c r="A703" s="114" t="s">
        <v>2156</v>
      </c>
      <c r="B703" s="115" t="s">
        <v>2157</v>
      </c>
      <c r="C703" s="116" t="s">
        <v>16</v>
      </c>
      <c r="D703" s="116">
        <v>0</v>
      </c>
      <c r="E703" s="136" t="s">
        <v>416</v>
      </c>
      <c r="F703" s="137" t="str">
        <f t="shared" si="85"/>
        <v/>
      </c>
      <c r="G703" s="138" t="e">
        <f>IF(A703&lt;&gt;"",IF(AND(#REF!="Padrão",$H$4=#REF!),BDI!$B$17,IF(AND(#REF!="Padrão",$H$4=#REF!),BDI!#REF!,IF(AND(#REF!="Diferenciado",$H$4=#REF!),BDI!$E$17,IF(AND(#REF!="Diferenciado",$H$4=#REF!),BDI!#REF!,IF(#REF!="ZERO",0))))),"")</f>
        <v>#REF!</v>
      </c>
      <c r="H703" s="139" t="str">
        <f t="shared" si="86"/>
        <v/>
      </c>
      <c r="I703" s="137" t="str">
        <f t="shared" si="87"/>
        <v/>
      </c>
      <c r="J703" s="117"/>
      <c r="K703" s="116">
        <v>0</v>
      </c>
      <c r="M703" s="136" t="s">
        <v>416</v>
      </c>
      <c r="N703" t="e">
        <v>#REF!</v>
      </c>
      <c r="Q703" t="s">
        <v>416</v>
      </c>
    </row>
    <row r="704" spans="1:17" hidden="1" x14ac:dyDescent="0.25">
      <c r="A704" s="114" t="s">
        <v>2158</v>
      </c>
      <c r="B704" s="115" t="s">
        <v>2159</v>
      </c>
      <c r="C704" s="116" t="s">
        <v>16</v>
      </c>
      <c r="D704" s="116">
        <v>0</v>
      </c>
      <c r="E704" s="136" t="s">
        <v>416</v>
      </c>
      <c r="F704" s="137" t="str">
        <f t="shared" si="85"/>
        <v/>
      </c>
      <c r="G704" s="138" t="e">
        <f>IF(A704&lt;&gt;"",IF(AND(#REF!="Padrão",$H$4=#REF!),BDI!$B$17,IF(AND(#REF!="Padrão",$H$4=#REF!),BDI!#REF!,IF(AND(#REF!="Diferenciado",$H$4=#REF!),BDI!$E$17,IF(AND(#REF!="Diferenciado",$H$4=#REF!),BDI!#REF!,IF(#REF!="ZERO",0))))),"")</f>
        <v>#REF!</v>
      </c>
      <c r="H704" s="139" t="str">
        <f t="shared" si="86"/>
        <v/>
      </c>
      <c r="I704" s="137" t="str">
        <f t="shared" si="87"/>
        <v/>
      </c>
      <c r="J704" s="117"/>
      <c r="K704" s="116">
        <v>0</v>
      </c>
      <c r="M704" s="136" t="s">
        <v>416</v>
      </c>
      <c r="N704" t="e">
        <v>#REF!</v>
      </c>
      <c r="Q704" t="s">
        <v>416</v>
      </c>
    </row>
    <row r="705" spans="1:17" hidden="1" x14ac:dyDescent="0.25">
      <c r="A705" s="114" t="s">
        <v>2160</v>
      </c>
      <c r="B705" s="115" t="s">
        <v>2161</v>
      </c>
      <c r="C705" s="116" t="s">
        <v>16</v>
      </c>
      <c r="D705" s="116">
        <v>0</v>
      </c>
      <c r="E705" s="136" t="s">
        <v>416</v>
      </c>
      <c r="F705" s="137" t="str">
        <f t="shared" si="85"/>
        <v/>
      </c>
      <c r="G705" s="138" t="e">
        <f>IF(A705&lt;&gt;"",IF(AND(#REF!="Padrão",$H$4=#REF!),BDI!$B$17,IF(AND(#REF!="Padrão",$H$4=#REF!),BDI!#REF!,IF(AND(#REF!="Diferenciado",$H$4=#REF!),BDI!$E$17,IF(AND(#REF!="Diferenciado",$H$4=#REF!),BDI!#REF!,IF(#REF!="ZERO",0))))),"")</f>
        <v>#REF!</v>
      </c>
      <c r="H705" s="139" t="str">
        <f t="shared" si="86"/>
        <v/>
      </c>
      <c r="I705" s="137" t="str">
        <f t="shared" si="87"/>
        <v/>
      </c>
      <c r="J705" s="117"/>
      <c r="K705" s="116">
        <v>0</v>
      </c>
      <c r="M705" s="136" t="s">
        <v>416</v>
      </c>
      <c r="N705" t="e">
        <v>#REF!</v>
      </c>
      <c r="Q705" t="s">
        <v>416</v>
      </c>
    </row>
    <row r="706" spans="1:17" hidden="1" x14ac:dyDescent="0.25">
      <c r="A706" s="114" t="s">
        <v>2162</v>
      </c>
      <c r="B706" s="115" t="s">
        <v>2163</v>
      </c>
      <c r="C706" s="116" t="s">
        <v>16</v>
      </c>
      <c r="D706" s="116">
        <v>0</v>
      </c>
      <c r="E706" s="136" t="s">
        <v>416</v>
      </c>
      <c r="F706" s="137" t="str">
        <f t="shared" si="85"/>
        <v/>
      </c>
      <c r="G706" s="138" t="e">
        <f>IF(A706&lt;&gt;"",IF(AND(#REF!="Padrão",$H$4=#REF!),BDI!$B$17,IF(AND(#REF!="Padrão",$H$4=#REF!),BDI!#REF!,IF(AND(#REF!="Diferenciado",$H$4=#REF!),BDI!$E$17,IF(AND(#REF!="Diferenciado",$H$4=#REF!),BDI!#REF!,IF(#REF!="ZERO",0))))),"")</f>
        <v>#REF!</v>
      </c>
      <c r="H706" s="139" t="str">
        <f t="shared" si="86"/>
        <v/>
      </c>
      <c r="I706" s="137" t="str">
        <f t="shared" si="87"/>
        <v/>
      </c>
      <c r="J706" s="117"/>
      <c r="K706" s="116">
        <v>0</v>
      </c>
      <c r="M706" s="136" t="s">
        <v>416</v>
      </c>
      <c r="N706" t="e">
        <v>#REF!</v>
      </c>
      <c r="Q706" t="s">
        <v>416</v>
      </c>
    </row>
    <row r="707" spans="1:17" hidden="1" x14ac:dyDescent="0.25">
      <c r="A707" s="114" t="s">
        <v>2164</v>
      </c>
      <c r="B707" s="115" t="s">
        <v>2165</v>
      </c>
      <c r="C707" s="116" t="s">
        <v>16</v>
      </c>
      <c r="D707" s="116">
        <v>0</v>
      </c>
      <c r="E707" s="136" t="s">
        <v>416</v>
      </c>
      <c r="F707" s="137" t="str">
        <f t="shared" si="85"/>
        <v/>
      </c>
      <c r="G707" s="138" t="e">
        <f>IF(A707&lt;&gt;"",IF(AND(#REF!="Padrão",$H$4=#REF!),BDI!$B$17,IF(AND(#REF!="Padrão",$H$4=#REF!),BDI!#REF!,IF(AND(#REF!="Diferenciado",$H$4=#REF!),BDI!$E$17,IF(AND(#REF!="Diferenciado",$H$4=#REF!),BDI!#REF!,IF(#REF!="ZERO",0))))),"")</f>
        <v>#REF!</v>
      </c>
      <c r="H707" s="139" t="str">
        <f t="shared" si="86"/>
        <v/>
      </c>
      <c r="I707" s="137" t="str">
        <f t="shared" si="87"/>
        <v/>
      </c>
      <c r="J707" s="117"/>
      <c r="K707" s="116">
        <v>0</v>
      </c>
      <c r="M707" s="136" t="s">
        <v>416</v>
      </c>
      <c r="N707" t="e">
        <v>#REF!</v>
      </c>
      <c r="Q707" t="s">
        <v>416</v>
      </c>
    </row>
    <row r="708" spans="1:17" hidden="1" x14ac:dyDescent="0.25">
      <c r="A708" s="114" t="s">
        <v>2166</v>
      </c>
      <c r="B708" s="115" t="s">
        <v>2167</v>
      </c>
      <c r="C708" s="116" t="s">
        <v>16</v>
      </c>
      <c r="D708" s="116">
        <v>0</v>
      </c>
      <c r="E708" s="136" t="s">
        <v>416</v>
      </c>
      <c r="F708" s="137" t="str">
        <f t="shared" si="85"/>
        <v/>
      </c>
      <c r="G708" s="138" t="e">
        <f>IF(A708&lt;&gt;"",IF(AND(#REF!="Padrão",$H$4=#REF!),BDI!$B$17,IF(AND(#REF!="Padrão",$H$4=#REF!),BDI!#REF!,IF(AND(#REF!="Diferenciado",$H$4=#REF!),BDI!$E$17,IF(AND(#REF!="Diferenciado",$H$4=#REF!),BDI!#REF!,IF(#REF!="ZERO",0))))),"")</f>
        <v>#REF!</v>
      </c>
      <c r="H708" s="139" t="str">
        <f t="shared" si="86"/>
        <v/>
      </c>
      <c r="I708" s="137" t="str">
        <f t="shared" si="87"/>
        <v/>
      </c>
      <c r="J708" s="117"/>
      <c r="K708" s="116">
        <v>0</v>
      </c>
      <c r="M708" s="136" t="s">
        <v>416</v>
      </c>
      <c r="N708" t="e">
        <v>#REF!</v>
      </c>
      <c r="Q708" t="s">
        <v>416</v>
      </c>
    </row>
    <row r="709" spans="1:17" hidden="1" x14ac:dyDescent="0.25">
      <c r="A709" s="114" t="s">
        <v>2168</v>
      </c>
      <c r="B709" s="115" t="s">
        <v>2169</v>
      </c>
      <c r="C709" s="116" t="s">
        <v>16</v>
      </c>
      <c r="D709" s="116">
        <v>0</v>
      </c>
      <c r="E709" s="136" t="s">
        <v>416</v>
      </c>
      <c r="F709" s="137" t="str">
        <f t="shared" si="85"/>
        <v/>
      </c>
      <c r="G709" s="138" t="e">
        <f>IF(A709&lt;&gt;"",IF(AND(#REF!="Padrão",$H$4=#REF!),BDI!$B$17,IF(AND(#REF!="Padrão",$H$4=#REF!),BDI!#REF!,IF(AND(#REF!="Diferenciado",$H$4=#REF!),BDI!$E$17,IF(AND(#REF!="Diferenciado",$H$4=#REF!),BDI!#REF!,IF(#REF!="ZERO",0))))),"")</f>
        <v>#REF!</v>
      </c>
      <c r="H709" s="139" t="str">
        <f t="shared" si="86"/>
        <v/>
      </c>
      <c r="I709" s="137" t="str">
        <f t="shared" si="87"/>
        <v/>
      </c>
      <c r="J709" s="117"/>
      <c r="K709" s="116">
        <v>0</v>
      </c>
      <c r="M709" s="136" t="s">
        <v>416</v>
      </c>
      <c r="N709" t="e">
        <v>#REF!</v>
      </c>
      <c r="Q709" t="s">
        <v>416</v>
      </c>
    </row>
    <row r="710" spans="1:17" hidden="1" x14ac:dyDescent="0.25">
      <c r="A710" s="114" t="s">
        <v>2170</v>
      </c>
      <c r="B710" s="115" t="s">
        <v>2171</v>
      </c>
      <c r="C710" s="116" t="s">
        <v>16</v>
      </c>
      <c r="D710" s="116">
        <v>0</v>
      </c>
      <c r="E710" s="136" t="s">
        <v>416</v>
      </c>
      <c r="F710" s="137" t="str">
        <f t="shared" si="85"/>
        <v/>
      </c>
      <c r="G710" s="138" t="e">
        <f>IF(A710&lt;&gt;"",IF(AND(#REF!="Padrão",$H$4=#REF!),BDI!$B$17,IF(AND(#REF!="Padrão",$H$4=#REF!),BDI!#REF!,IF(AND(#REF!="Diferenciado",$H$4=#REF!),BDI!$E$17,IF(AND(#REF!="Diferenciado",$H$4=#REF!),BDI!#REF!,IF(#REF!="ZERO",0))))),"")</f>
        <v>#REF!</v>
      </c>
      <c r="H710" s="139" t="str">
        <f t="shared" si="86"/>
        <v/>
      </c>
      <c r="I710" s="137" t="str">
        <f t="shared" si="87"/>
        <v/>
      </c>
      <c r="J710" s="117"/>
      <c r="K710" s="116">
        <v>0</v>
      </c>
      <c r="M710" s="136" t="s">
        <v>416</v>
      </c>
      <c r="N710" t="e">
        <v>#REF!</v>
      </c>
      <c r="Q710" t="s">
        <v>416</v>
      </c>
    </row>
    <row r="711" spans="1:17" hidden="1" x14ac:dyDescent="0.25">
      <c r="A711" s="114" t="s">
        <v>2172</v>
      </c>
      <c r="B711" s="115" t="s">
        <v>2173</v>
      </c>
      <c r="C711" s="116" t="s">
        <v>16</v>
      </c>
      <c r="D711" s="116">
        <v>0</v>
      </c>
      <c r="E711" s="136" t="s">
        <v>416</v>
      </c>
      <c r="F711" s="137" t="str">
        <f t="shared" ref="F711:F774" si="88">IF(ISNUMBER(E711),D711*E711,"")</f>
        <v/>
      </c>
      <c r="G711" s="138" t="e">
        <f>IF(A711&lt;&gt;"",IF(AND(#REF!="Padrão",$H$4=#REF!),BDI!$B$17,IF(AND(#REF!="Padrão",$H$4=#REF!),BDI!#REF!,IF(AND(#REF!="Diferenciado",$H$4=#REF!),BDI!$E$17,IF(AND(#REF!="Diferenciado",$H$4=#REF!),BDI!#REF!,IF(#REF!="ZERO",0))))),"")</f>
        <v>#REF!</v>
      </c>
      <c r="H711" s="139" t="str">
        <f t="shared" ref="H711:H774" si="89">IF(ISNUMBER(E711),ROUND(E711*(1+G711),2),"")</f>
        <v/>
      </c>
      <c r="I711" s="137" t="str">
        <f t="shared" ref="I711:I774" si="90">IF(ISNUMBER(E711),ROUND(H711*D711,2),"")</f>
        <v/>
      </c>
      <c r="J711" s="117"/>
      <c r="K711" s="116">
        <v>0</v>
      </c>
      <c r="M711" s="136" t="s">
        <v>416</v>
      </c>
      <c r="N711" t="e">
        <v>#REF!</v>
      </c>
      <c r="Q711" t="s">
        <v>416</v>
      </c>
    </row>
    <row r="712" spans="1:17" hidden="1" x14ac:dyDescent="0.25">
      <c r="A712" s="114" t="s">
        <v>2174</v>
      </c>
      <c r="B712" s="115" t="s">
        <v>2175</v>
      </c>
      <c r="C712" s="116" t="s">
        <v>16</v>
      </c>
      <c r="D712" s="116">
        <v>0</v>
      </c>
      <c r="E712" s="136" t="s">
        <v>416</v>
      </c>
      <c r="F712" s="137" t="str">
        <f t="shared" si="88"/>
        <v/>
      </c>
      <c r="G712" s="138" t="e">
        <f>IF(A712&lt;&gt;"",IF(AND(#REF!="Padrão",$H$4=#REF!),BDI!$B$17,IF(AND(#REF!="Padrão",$H$4=#REF!),BDI!#REF!,IF(AND(#REF!="Diferenciado",$H$4=#REF!),BDI!$E$17,IF(AND(#REF!="Diferenciado",$H$4=#REF!),BDI!#REF!,IF(#REF!="ZERO",0))))),"")</f>
        <v>#REF!</v>
      </c>
      <c r="H712" s="139" t="str">
        <f t="shared" si="89"/>
        <v/>
      </c>
      <c r="I712" s="137" t="str">
        <f t="shared" si="90"/>
        <v/>
      </c>
      <c r="J712" s="117"/>
      <c r="K712" s="116">
        <v>0</v>
      </c>
      <c r="M712" s="136" t="s">
        <v>416</v>
      </c>
      <c r="N712" t="e">
        <v>#REF!</v>
      </c>
      <c r="Q712" t="s">
        <v>416</v>
      </c>
    </row>
    <row r="713" spans="1:17" hidden="1" x14ac:dyDescent="0.25">
      <c r="A713" s="114" t="s">
        <v>653</v>
      </c>
      <c r="B713" s="115" t="s">
        <v>2176</v>
      </c>
      <c r="C713" s="116" t="s">
        <v>2177</v>
      </c>
      <c r="D713" s="116">
        <v>0</v>
      </c>
      <c r="E713" s="136">
        <f ca="1">OFFSET(INDEX(Composições!A:J,MATCH(Orçamentária!A713,Composições!A:A,0),8),2,0)</f>
        <v>12375.49610285</v>
      </c>
      <c r="F713" s="137">
        <f t="shared" ca="1" si="88"/>
        <v>0</v>
      </c>
      <c r="G713" s="138" t="e">
        <f>IF(A713&lt;&gt;"",IF(AND(#REF!="Padrão",$H$4=#REF!),BDI!$B$17,IF(AND(#REF!="Padrão",$H$4=#REF!),BDI!#REF!,IF(AND(#REF!="Diferenciado",$H$4=#REF!),BDI!$E$17,IF(AND(#REF!="Diferenciado",$H$4=#REF!),BDI!#REF!,IF(#REF!="ZERO",0))))),"")</f>
        <v>#REF!</v>
      </c>
      <c r="H713" s="139" t="e">
        <f t="shared" ca="1" si="89"/>
        <v>#REF!</v>
      </c>
      <c r="I713" s="137" t="e">
        <f t="shared" ca="1" si="90"/>
        <v>#REF!</v>
      </c>
      <c r="J713" s="117"/>
      <c r="K713" s="116">
        <v>0</v>
      </c>
      <c r="M713" s="136" t="e">
        <f ca="1">OFFSET(INDEX([1]Composições!I:R,MATCH([1]Orçamentária!I713,[1]Composições!I:I,0),8),2,0)</f>
        <v>#REF!</v>
      </c>
      <c r="N713" t="e">
        <v>#REF!</v>
      </c>
      <c r="Q713" t="e">
        <v>#REF!</v>
      </c>
    </row>
    <row r="714" spans="1:17" hidden="1" x14ac:dyDescent="0.25">
      <c r="A714" s="114" t="s">
        <v>656</v>
      </c>
      <c r="B714" s="115" t="s">
        <v>2178</v>
      </c>
      <c r="C714" s="116" t="s">
        <v>2177</v>
      </c>
      <c r="D714" s="116">
        <v>0</v>
      </c>
      <c r="E714" s="136">
        <f ca="1">OFFSET(INDEX(Composições!A:J,MATCH(Orçamentária!A714,Composições!A:A,0),8),2,0)</f>
        <v>3273.1461604499991</v>
      </c>
      <c r="F714" s="137">
        <f t="shared" ca="1" si="88"/>
        <v>0</v>
      </c>
      <c r="G714" s="138" t="e">
        <f>IF(A714&lt;&gt;"",IF(AND(#REF!="Padrão",$H$4=#REF!),BDI!$B$17,IF(AND(#REF!="Padrão",$H$4=#REF!),BDI!#REF!,IF(AND(#REF!="Diferenciado",$H$4=#REF!),BDI!$E$17,IF(AND(#REF!="Diferenciado",$H$4=#REF!),BDI!#REF!,IF(#REF!="ZERO",0))))),"")</f>
        <v>#REF!</v>
      </c>
      <c r="H714" s="139" t="e">
        <f t="shared" ca="1" si="89"/>
        <v>#REF!</v>
      </c>
      <c r="I714" s="137" t="e">
        <f t="shared" ca="1" si="90"/>
        <v>#REF!</v>
      </c>
      <c r="J714" s="117"/>
      <c r="K714" s="116">
        <v>0</v>
      </c>
      <c r="M714" s="136" t="e">
        <f ca="1">OFFSET(INDEX([1]Composições!I:R,MATCH([1]Orçamentária!I714,[1]Composições!I:I,0),8),2,0)</f>
        <v>#REF!</v>
      </c>
      <c r="N714" t="e">
        <v>#REF!</v>
      </c>
      <c r="Q714" t="e">
        <v>#REF!</v>
      </c>
    </row>
    <row r="715" spans="1:17" hidden="1" x14ac:dyDescent="0.25">
      <c r="A715" s="114" t="s">
        <v>658</v>
      </c>
      <c r="B715" s="115" t="s">
        <v>2179</v>
      </c>
      <c r="C715" s="116" t="s">
        <v>2177</v>
      </c>
      <c r="D715" s="116">
        <v>0</v>
      </c>
      <c r="E715" s="136">
        <f ca="1">OFFSET(INDEX(Composições!A:J,MATCH(Orçamentária!A715,Composições!A:A,0),8),2,0)</f>
        <v>2117.4500685499997</v>
      </c>
      <c r="F715" s="137">
        <f t="shared" ca="1" si="88"/>
        <v>0</v>
      </c>
      <c r="G715" s="138" t="e">
        <f>IF(A715&lt;&gt;"",IF(AND(#REF!="Padrão",$H$4=#REF!),BDI!$B$17,IF(AND(#REF!="Padrão",$H$4=#REF!),BDI!#REF!,IF(AND(#REF!="Diferenciado",$H$4=#REF!),BDI!$E$17,IF(AND(#REF!="Diferenciado",$H$4=#REF!),BDI!#REF!,IF(#REF!="ZERO",0))))),"")</f>
        <v>#REF!</v>
      </c>
      <c r="H715" s="139" t="e">
        <f t="shared" ca="1" si="89"/>
        <v>#REF!</v>
      </c>
      <c r="I715" s="137" t="e">
        <f t="shared" ca="1" si="90"/>
        <v>#REF!</v>
      </c>
      <c r="J715" s="117"/>
      <c r="K715" s="116">
        <v>0</v>
      </c>
      <c r="M715" s="136" t="e">
        <f ca="1">OFFSET(INDEX([1]Composições!I:R,MATCH([1]Orçamentária!I715,[1]Composições!I:I,0),8),2,0)</f>
        <v>#REF!</v>
      </c>
      <c r="N715" t="e">
        <v>#REF!</v>
      </c>
      <c r="Q715" t="e">
        <v>#REF!</v>
      </c>
    </row>
    <row r="716" spans="1:17" hidden="1" x14ac:dyDescent="0.25">
      <c r="A716" s="114" t="s">
        <v>659</v>
      </c>
      <c r="B716" s="115" t="s">
        <v>2180</v>
      </c>
      <c r="C716" s="116" t="s">
        <v>2177</v>
      </c>
      <c r="D716" s="116">
        <v>0</v>
      </c>
      <c r="E716" s="136">
        <f ca="1">OFFSET(INDEX(Composições!A:J,MATCH(Orçamentária!A716,Composições!A:A,0),8),2,0)</f>
        <v>2233.8153376999999</v>
      </c>
      <c r="F716" s="137">
        <f t="shared" ca="1" si="88"/>
        <v>0</v>
      </c>
      <c r="G716" s="138" t="e">
        <f>IF(A716&lt;&gt;"",IF(AND(#REF!="Padrão",$H$4=#REF!),BDI!$B$17,IF(AND(#REF!="Padrão",$H$4=#REF!),BDI!#REF!,IF(AND(#REF!="Diferenciado",$H$4=#REF!),BDI!$E$17,IF(AND(#REF!="Diferenciado",$H$4=#REF!),BDI!#REF!,IF(#REF!="ZERO",0))))),"")</f>
        <v>#REF!</v>
      </c>
      <c r="H716" s="139" t="e">
        <f t="shared" ca="1" si="89"/>
        <v>#REF!</v>
      </c>
      <c r="I716" s="137" t="e">
        <f t="shared" ca="1" si="90"/>
        <v>#REF!</v>
      </c>
      <c r="J716" s="117"/>
      <c r="K716" s="116">
        <v>0</v>
      </c>
      <c r="M716" s="136" t="e">
        <f ca="1">OFFSET(INDEX([1]Composições!I:R,MATCH([1]Orçamentária!I716,[1]Composições!I:I,0),8),2,0)</f>
        <v>#REF!</v>
      </c>
      <c r="N716" t="e">
        <v>#REF!</v>
      </c>
      <c r="Q716" t="e">
        <v>#REF!</v>
      </c>
    </row>
    <row r="717" spans="1:17" hidden="1" x14ac:dyDescent="0.25">
      <c r="A717" s="114" t="s">
        <v>661</v>
      </c>
      <c r="B717" s="115" t="s">
        <v>2181</v>
      </c>
      <c r="C717" s="116" t="s">
        <v>2177</v>
      </c>
      <c r="D717" s="116">
        <v>0</v>
      </c>
      <c r="E717" s="136">
        <f ca="1">OFFSET(INDEX(Composições!A:J,MATCH(Orçamentária!A717,Composições!A:A,0),8),2,0)</f>
        <v>2248.7339619499999</v>
      </c>
      <c r="F717" s="137">
        <f t="shared" ca="1" si="88"/>
        <v>0</v>
      </c>
      <c r="G717" s="138" t="e">
        <f>IF(A717&lt;&gt;"",IF(AND(#REF!="Padrão",$H$4=#REF!),BDI!$B$17,IF(AND(#REF!="Padrão",$H$4=#REF!),BDI!#REF!,IF(AND(#REF!="Diferenciado",$H$4=#REF!),BDI!$E$17,IF(AND(#REF!="Diferenciado",$H$4=#REF!),BDI!#REF!,IF(#REF!="ZERO",0))))),"")</f>
        <v>#REF!</v>
      </c>
      <c r="H717" s="139" t="e">
        <f t="shared" ca="1" si="89"/>
        <v>#REF!</v>
      </c>
      <c r="I717" s="137" t="e">
        <f t="shared" ca="1" si="90"/>
        <v>#REF!</v>
      </c>
      <c r="J717" s="117"/>
      <c r="K717" s="116">
        <v>0</v>
      </c>
      <c r="M717" s="136" t="e">
        <f ca="1">OFFSET(INDEX([1]Composições!I:R,MATCH([1]Orçamentária!I717,[1]Composições!I:I,0),8),2,0)</f>
        <v>#REF!</v>
      </c>
      <c r="N717" t="e">
        <v>#REF!</v>
      </c>
      <c r="Q717" t="e">
        <v>#REF!</v>
      </c>
    </row>
    <row r="718" spans="1:17" hidden="1" x14ac:dyDescent="0.25">
      <c r="A718" s="114" t="s">
        <v>663</v>
      </c>
      <c r="B718" s="115" t="s">
        <v>2182</v>
      </c>
      <c r="C718" s="116" t="s">
        <v>2177</v>
      </c>
      <c r="D718" s="116">
        <v>0</v>
      </c>
      <c r="E718" s="136">
        <f ca="1">OFFSET(INDEX(Composições!A:J,MATCH(Orçamentária!A718,Composições!A:A,0),8),2,0)</f>
        <v>2662.4771411500001</v>
      </c>
      <c r="F718" s="137">
        <f t="shared" ca="1" si="88"/>
        <v>0</v>
      </c>
      <c r="G718" s="138" t="e">
        <f>IF(A718&lt;&gt;"",IF(AND(#REF!="Padrão",$H$4=#REF!),BDI!$B$17,IF(AND(#REF!="Padrão",$H$4=#REF!),BDI!#REF!,IF(AND(#REF!="Diferenciado",$H$4=#REF!),BDI!$E$17,IF(AND(#REF!="Diferenciado",$H$4=#REF!),BDI!#REF!,IF(#REF!="ZERO",0))))),"")</f>
        <v>#REF!</v>
      </c>
      <c r="H718" s="139" t="e">
        <f t="shared" ca="1" si="89"/>
        <v>#REF!</v>
      </c>
      <c r="I718" s="137" t="e">
        <f t="shared" ca="1" si="90"/>
        <v>#REF!</v>
      </c>
      <c r="J718" s="117"/>
      <c r="K718" s="116">
        <v>0</v>
      </c>
      <c r="M718" s="136" t="e">
        <f ca="1">OFFSET(INDEX([1]Composições!I:R,MATCH([1]Orçamentária!I718,[1]Composições!I:I,0),8),2,0)</f>
        <v>#REF!</v>
      </c>
      <c r="N718" t="e">
        <v>#REF!</v>
      </c>
      <c r="Q718" t="e">
        <v>#REF!</v>
      </c>
    </row>
    <row r="719" spans="1:17" hidden="1" x14ac:dyDescent="0.25">
      <c r="A719" s="114" t="s">
        <v>664</v>
      </c>
      <c r="B719" s="115" t="s">
        <v>2183</v>
      </c>
      <c r="C719" s="116" t="s">
        <v>2177</v>
      </c>
      <c r="D719" s="116">
        <v>0</v>
      </c>
      <c r="E719" s="136">
        <f ca="1">OFFSET(INDEX(Composições!A:J,MATCH(Orçamentária!A719,Composições!A:A,0),8),2,0)</f>
        <v>2662.4771411500001</v>
      </c>
      <c r="F719" s="137">
        <f t="shared" ca="1" si="88"/>
        <v>0</v>
      </c>
      <c r="G719" s="138" t="e">
        <f>IF(A719&lt;&gt;"",IF(AND(#REF!="Padrão",$H$4=#REF!),BDI!$B$17,IF(AND(#REF!="Padrão",$H$4=#REF!),BDI!#REF!,IF(AND(#REF!="Diferenciado",$H$4=#REF!),BDI!$E$17,IF(AND(#REF!="Diferenciado",$H$4=#REF!),BDI!#REF!,IF(#REF!="ZERO",0))))),"")</f>
        <v>#REF!</v>
      </c>
      <c r="H719" s="139" t="e">
        <f t="shared" ca="1" si="89"/>
        <v>#REF!</v>
      </c>
      <c r="I719" s="137" t="e">
        <f t="shared" ca="1" si="90"/>
        <v>#REF!</v>
      </c>
      <c r="J719" s="117"/>
      <c r="K719" s="116">
        <v>0</v>
      </c>
      <c r="M719" s="136" t="e">
        <f ca="1">OFFSET(INDEX([1]Composições!I:R,MATCH([1]Orçamentária!I719,[1]Composições!I:I,0),8),2,0)</f>
        <v>#REF!</v>
      </c>
      <c r="N719" t="e">
        <v>#REF!</v>
      </c>
      <c r="Q719" t="e">
        <v>#REF!</v>
      </c>
    </row>
    <row r="720" spans="1:17" hidden="1" x14ac:dyDescent="0.25">
      <c r="A720" s="114" t="s">
        <v>665</v>
      </c>
      <c r="B720" s="115" t="s">
        <v>2184</v>
      </c>
      <c r="C720" s="116" t="s">
        <v>2177</v>
      </c>
      <c r="D720" s="116">
        <v>0</v>
      </c>
      <c r="E720" s="136">
        <f ca="1">OFFSET(INDEX(Composições!A:J,MATCH(Orçamentária!A720,Composições!A:A,0),8),2,0)</f>
        <v>2823.5982830499997</v>
      </c>
      <c r="F720" s="137">
        <f t="shared" ca="1" si="88"/>
        <v>0</v>
      </c>
      <c r="G720" s="138" t="e">
        <f>IF(A720&lt;&gt;"",IF(AND(#REF!="Padrão",$H$4=#REF!),BDI!$B$17,IF(AND(#REF!="Padrão",$H$4=#REF!),BDI!#REF!,IF(AND(#REF!="Diferenciado",$H$4=#REF!),BDI!$E$17,IF(AND(#REF!="Diferenciado",$H$4=#REF!),BDI!#REF!,IF(#REF!="ZERO",0))))),"")</f>
        <v>#REF!</v>
      </c>
      <c r="H720" s="139" t="e">
        <f t="shared" ca="1" si="89"/>
        <v>#REF!</v>
      </c>
      <c r="I720" s="137" t="e">
        <f t="shared" ca="1" si="90"/>
        <v>#REF!</v>
      </c>
      <c r="J720" s="117"/>
      <c r="K720" s="116">
        <v>0</v>
      </c>
      <c r="M720" s="136" t="e">
        <f ca="1">OFFSET(INDEX([1]Composições!I:R,MATCH([1]Orçamentária!I720,[1]Composições!I:I,0),8),2,0)</f>
        <v>#REF!</v>
      </c>
      <c r="N720" t="e">
        <v>#REF!</v>
      </c>
      <c r="Q720" t="e">
        <v>#REF!</v>
      </c>
    </row>
    <row r="721" spans="1:17" hidden="1" x14ac:dyDescent="0.25">
      <c r="A721" s="114" t="s">
        <v>666</v>
      </c>
      <c r="B721" s="115" t="s">
        <v>2185</v>
      </c>
      <c r="C721" s="116" t="s">
        <v>2177</v>
      </c>
      <c r="D721" s="116">
        <v>0</v>
      </c>
      <c r="E721" s="136">
        <f ca="1">OFFSET(INDEX(Composições!A:J,MATCH(Orçamentária!A721,Composições!A:A,0),8),2,0)</f>
        <v>4665.5510904499997</v>
      </c>
      <c r="F721" s="137">
        <f t="shared" ca="1" si="88"/>
        <v>0</v>
      </c>
      <c r="G721" s="138" t="e">
        <f>IF(A721&lt;&gt;"",IF(AND(#REF!="Padrão",$H$4=#REF!),BDI!$B$17,IF(AND(#REF!="Padrão",$H$4=#REF!),BDI!#REF!,IF(AND(#REF!="Diferenciado",$H$4=#REF!),BDI!$E$17,IF(AND(#REF!="Diferenciado",$H$4=#REF!),BDI!#REF!,IF(#REF!="ZERO",0))))),"")</f>
        <v>#REF!</v>
      </c>
      <c r="H721" s="139" t="e">
        <f t="shared" ca="1" si="89"/>
        <v>#REF!</v>
      </c>
      <c r="I721" s="137" t="e">
        <f t="shared" ca="1" si="90"/>
        <v>#REF!</v>
      </c>
      <c r="J721" s="117"/>
      <c r="K721" s="116">
        <v>0</v>
      </c>
      <c r="M721" s="136" t="e">
        <f ca="1">OFFSET(INDEX([1]Composições!I:R,MATCH([1]Orçamentária!I721,[1]Composições!I:I,0),8),2,0)</f>
        <v>#REF!</v>
      </c>
      <c r="N721" t="e">
        <v>#REF!</v>
      </c>
      <c r="Q721" t="e">
        <v>#REF!</v>
      </c>
    </row>
    <row r="722" spans="1:17" hidden="1" x14ac:dyDescent="0.25">
      <c r="A722" s="114" t="s">
        <v>667</v>
      </c>
      <c r="B722" s="115" t="s">
        <v>2186</v>
      </c>
      <c r="C722" s="116" t="s">
        <v>2177</v>
      </c>
      <c r="D722" s="116">
        <v>0</v>
      </c>
      <c r="E722" s="136">
        <f ca="1">OFFSET(INDEX(Composições!A:J,MATCH(Orçamentária!A722,Composições!A:A,0),8),2,0)</f>
        <v>2843.4897820499996</v>
      </c>
      <c r="F722" s="137">
        <f t="shared" ca="1" si="88"/>
        <v>0</v>
      </c>
      <c r="G722" s="138" t="e">
        <f>IF(A722&lt;&gt;"",IF(AND(#REF!="Padrão",$H$4=#REF!),BDI!$B$17,IF(AND(#REF!="Padrão",$H$4=#REF!),BDI!#REF!,IF(AND(#REF!="Diferenciado",$H$4=#REF!),BDI!$E$17,IF(AND(#REF!="Diferenciado",$H$4=#REF!),BDI!#REF!,IF(#REF!="ZERO",0))))),"")</f>
        <v>#REF!</v>
      </c>
      <c r="H722" s="139" t="e">
        <f t="shared" ca="1" si="89"/>
        <v>#REF!</v>
      </c>
      <c r="I722" s="137" t="e">
        <f t="shared" ca="1" si="90"/>
        <v>#REF!</v>
      </c>
      <c r="J722" s="117"/>
      <c r="K722" s="116">
        <v>0</v>
      </c>
      <c r="M722" s="136" t="e">
        <f ca="1">OFFSET(INDEX([1]Composições!I:R,MATCH([1]Orçamentária!I722,[1]Composições!I:I,0),8),2,0)</f>
        <v>#REF!</v>
      </c>
      <c r="N722" t="e">
        <v>#REF!</v>
      </c>
      <c r="Q722" t="e">
        <v>#REF!</v>
      </c>
    </row>
    <row r="723" spans="1:17" hidden="1" x14ac:dyDescent="0.25">
      <c r="A723" s="114" t="s">
        <v>2187</v>
      </c>
      <c r="B723" s="115" t="s">
        <v>2188</v>
      </c>
      <c r="C723" s="116" t="s">
        <v>16</v>
      </c>
      <c r="D723" s="116">
        <v>0</v>
      </c>
      <c r="E723" s="136">
        <f ca="1">OFFSET(INDEX(Composições!A:J,MATCH(Orçamentária!A723,Composições!A:A,0),8),2,0)</f>
        <v>52.610999999999997</v>
      </c>
      <c r="F723" s="137">
        <f t="shared" ca="1" si="88"/>
        <v>0</v>
      </c>
      <c r="G723" s="138" t="e">
        <f>IF(A723&lt;&gt;"",IF(AND(#REF!="Padrão",$H$4=#REF!),BDI!$B$17,IF(AND(#REF!="Padrão",$H$4=#REF!),BDI!#REF!,IF(AND(#REF!="Diferenciado",$H$4=#REF!),BDI!$E$17,IF(AND(#REF!="Diferenciado",$H$4=#REF!),BDI!#REF!,IF(#REF!="ZERO",0))))),"")</f>
        <v>#REF!</v>
      </c>
      <c r="H723" s="139" t="e">
        <f t="shared" ca="1" si="89"/>
        <v>#REF!</v>
      </c>
      <c r="I723" s="137" t="e">
        <f t="shared" ca="1" si="90"/>
        <v>#REF!</v>
      </c>
      <c r="J723" s="117"/>
      <c r="K723" s="116">
        <v>0</v>
      </c>
      <c r="M723" s="136" t="e">
        <f ca="1">OFFSET(INDEX([1]Composições!I:R,MATCH([1]Orçamentária!I723,[1]Composições!I:I,0),8),2,0)</f>
        <v>#REF!</v>
      </c>
      <c r="N723" t="e">
        <v>#REF!</v>
      </c>
      <c r="Q723" t="e">
        <v>#REF!</v>
      </c>
    </row>
    <row r="724" spans="1:17" hidden="1" x14ac:dyDescent="0.25">
      <c r="A724" s="114" t="s">
        <v>2189</v>
      </c>
      <c r="B724" s="115" t="s">
        <v>2190</v>
      </c>
      <c r="C724" s="116" t="s">
        <v>16</v>
      </c>
      <c r="D724" s="116">
        <v>0</v>
      </c>
      <c r="E724" s="136" t="s">
        <v>416</v>
      </c>
      <c r="F724" s="137" t="str">
        <f t="shared" si="88"/>
        <v/>
      </c>
      <c r="G724" s="138" t="e">
        <f>IF(A724&lt;&gt;"",IF(AND(#REF!="Padrão",$H$4=#REF!),BDI!$B$17,IF(AND(#REF!="Padrão",$H$4=#REF!),BDI!#REF!,IF(AND(#REF!="Diferenciado",$H$4=#REF!),BDI!$E$17,IF(AND(#REF!="Diferenciado",$H$4=#REF!),BDI!#REF!,IF(#REF!="ZERO",0))))),"")</f>
        <v>#REF!</v>
      </c>
      <c r="H724" s="139" t="str">
        <f t="shared" si="89"/>
        <v/>
      </c>
      <c r="I724" s="137" t="str">
        <f t="shared" si="90"/>
        <v/>
      </c>
      <c r="J724" s="117"/>
      <c r="K724" s="116">
        <v>0</v>
      </c>
      <c r="M724" s="136" t="s">
        <v>416</v>
      </c>
      <c r="N724" t="e">
        <v>#REF!</v>
      </c>
      <c r="Q724" t="s">
        <v>416</v>
      </c>
    </row>
    <row r="725" spans="1:17" hidden="1" x14ac:dyDescent="0.25">
      <c r="A725" s="114" t="s">
        <v>2191</v>
      </c>
      <c r="B725" s="115" t="s">
        <v>2192</v>
      </c>
      <c r="C725" s="116" t="s">
        <v>16</v>
      </c>
      <c r="D725" s="116">
        <v>0</v>
      </c>
      <c r="E725" s="136" t="s">
        <v>416</v>
      </c>
      <c r="F725" s="137" t="str">
        <f t="shared" si="88"/>
        <v/>
      </c>
      <c r="G725" s="138" t="e">
        <f>IF(A725&lt;&gt;"",IF(AND(#REF!="Padrão",$H$4=#REF!),BDI!$B$17,IF(AND(#REF!="Padrão",$H$4=#REF!),BDI!#REF!,IF(AND(#REF!="Diferenciado",$H$4=#REF!),BDI!$E$17,IF(AND(#REF!="Diferenciado",$H$4=#REF!),BDI!#REF!,IF(#REF!="ZERO",0))))),"")</f>
        <v>#REF!</v>
      </c>
      <c r="H725" s="139" t="str">
        <f t="shared" si="89"/>
        <v/>
      </c>
      <c r="I725" s="137" t="str">
        <f t="shared" si="90"/>
        <v/>
      </c>
      <c r="J725" s="117"/>
      <c r="K725" s="116">
        <v>0</v>
      </c>
      <c r="M725" s="136" t="s">
        <v>416</v>
      </c>
      <c r="N725" t="e">
        <v>#REF!</v>
      </c>
      <c r="Q725" t="s">
        <v>416</v>
      </c>
    </row>
    <row r="726" spans="1:17" hidden="1" x14ac:dyDescent="0.25">
      <c r="A726" s="114" t="s">
        <v>2193</v>
      </c>
      <c r="B726" s="115" t="s">
        <v>2955</v>
      </c>
      <c r="C726" s="116" t="s">
        <v>16</v>
      </c>
      <c r="D726" s="116">
        <v>0</v>
      </c>
      <c r="E726" s="136" t="s">
        <v>416</v>
      </c>
      <c r="F726" s="137" t="str">
        <f t="shared" si="88"/>
        <v/>
      </c>
      <c r="G726" s="138" t="e">
        <f>IF(A726&lt;&gt;"",IF(AND(#REF!="Padrão",$H$4=#REF!),BDI!$B$17,IF(AND(#REF!="Padrão",$H$4=#REF!),BDI!#REF!,IF(AND(#REF!="Diferenciado",$H$4=#REF!),BDI!$E$17,IF(AND(#REF!="Diferenciado",$H$4=#REF!),BDI!#REF!,IF(#REF!="ZERO",0))))),"")</f>
        <v>#REF!</v>
      </c>
      <c r="H726" s="139" t="str">
        <f t="shared" si="89"/>
        <v/>
      </c>
      <c r="I726" s="137" t="str">
        <f t="shared" si="90"/>
        <v/>
      </c>
      <c r="J726" s="117"/>
      <c r="K726" s="116">
        <v>0</v>
      </c>
      <c r="M726" s="136" t="s">
        <v>416</v>
      </c>
      <c r="N726" t="e">
        <v>#REF!</v>
      </c>
      <c r="Q726" t="s">
        <v>416</v>
      </c>
    </row>
    <row r="727" spans="1:17" hidden="1" x14ac:dyDescent="0.25">
      <c r="A727" s="114" t="s">
        <v>2194</v>
      </c>
      <c r="B727" s="115" t="s">
        <v>2195</v>
      </c>
      <c r="C727" s="116" t="s">
        <v>16</v>
      </c>
      <c r="D727" s="116">
        <v>0</v>
      </c>
      <c r="E727" s="136" t="s">
        <v>416</v>
      </c>
      <c r="F727" s="137" t="str">
        <f t="shared" si="88"/>
        <v/>
      </c>
      <c r="G727" s="138" t="e">
        <f>IF(A727&lt;&gt;"",IF(AND(#REF!="Padrão",$H$4=#REF!),BDI!$B$17,IF(AND(#REF!="Padrão",$H$4=#REF!),BDI!#REF!,IF(AND(#REF!="Diferenciado",$H$4=#REF!),BDI!$E$17,IF(AND(#REF!="Diferenciado",$H$4=#REF!),BDI!#REF!,IF(#REF!="ZERO",0))))),"")</f>
        <v>#REF!</v>
      </c>
      <c r="H727" s="139" t="str">
        <f t="shared" si="89"/>
        <v/>
      </c>
      <c r="I727" s="137" t="str">
        <f t="shared" si="90"/>
        <v/>
      </c>
      <c r="J727" s="117"/>
      <c r="K727" s="116">
        <v>0</v>
      </c>
      <c r="M727" s="136" t="s">
        <v>416</v>
      </c>
      <c r="N727" t="e">
        <v>#REF!</v>
      </c>
      <c r="Q727" t="s">
        <v>416</v>
      </c>
    </row>
    <row r="728" spans="1:17" hidden="1" x14ac:dyDescent="0.25">
      <c r="A728" s="114" t="s">
        <v>2196</v>
      </c>
      <c r="B728" s="115" t="s">
        <v>2197</v>
      </c>
      <c r="C728" s="116" t="s">
        <v>16</v>
      </c>
      <c r="D728" s="116">
        <v>0</v>
      </c>
      <c r="E728" s="136" t="s">
        <v>416</v>
      </c>
      <c r="F728" s="137" t="str">
        <f t="shared" si="88"/>
        <v/>
      </c>
      <c r="G728" s="138" t="e">
        <f>IF(A728&lt;&gt;"",IF(AND(#REF!="Padrão",$H$4=#REF!),BDI!$B$17,IF(AND(#REF!="Padrão",$H$4=#REF!),BDI!#REF!,IF(AND(#REF!="Diferenciado",$H$4=#REF!),BDI!$E$17,IF(AND(#REF!="Diferenciado",$H$4=#REF!),BDI!#REF!,IF(#REF!="ZERO",0))))),"")</f>
        <v>#REF!</v>
      </c>
      <c r="H728" s="139" t="str">
        <f t="shared" si="89"/>
        <v/>
      </c>
      <c r="I728" s="137" t="str">
        <f t="shared" si="90"/>
        <v/>
      </c>
      <c r="J728" s="117"/>
      <c r="K728" s="116">
        <v>0</v>
      </c>
      <c r="M728" s="136" t="s">
        <v>416</v>
      </c>
      <c r="N728" t="e">
        <v>#REF!</v>
      </c>
      <c r="Q728" t="s">
        <v>416</v>
      </c>
    </row>
    <row r="729" spans="1:17" hidden="1" x14ac:dyDescent="0.25">
      <c r="A729" s="114" t="s">
        <v>2198</v>
      </c>
      <c r="B729" s="115" t="s">
        <v>2199</v>
      </c>
      <c r="C729" s="116" t="s">
        <v>16</v>
      </c>
      <c r="D729" s="116">
        <v>0</v>
      </c>
      <c r="E729" s="136" t="s">
        <v>416</v>
      </c>
      <c r="F729" s="137" t="str">
        <f t="shared" si="88"/>
        <v/>
      </c>
      <c r="G729" s="138" t="e">
        <f>IF(A729&lt;&gt;"",IF(AND(#REF!="Padrão",$H$4=#REF!),BDI!$B$17,IF(AND(#REF!="Padrão",$H$4=#REF!),BDI!#REF!,IF(AND(#REF!="Diferenciado",$H$4=#REF!),BDI!$E$17,IF(AND(#REF!="Diferenciado",$H$4=#REF!),BDI!#REF!,IF(#REF!="ZERO",0))))),"")</f>
        <v>#REF!</v>
      </c>
      <c r="H729" s="139" t="str">
        <f t="shared" si="89"/>
        <v/>
      </c>
      <c r="I729" s="137" t="str">
        <f t="shared" si="90"/>
        <v/>
      </c>
      <c r="J729" s="117"/>
      <c r="K729" s="116">
        <v>0</v>
      </c>
      <c r="M729" s="136" t="s">
        <v>416</v>
      </c>
      <c r="N729" t="e">
        <v>#REF!</v>
      </c>
      <c r="Q729" t="s">
        <v>416</v>
      </c>
    </row>
    <row r="730" spans="1:17" hidden="1" x14ac:dyDescent="0.25">
      <c r="A730" s="114" t="s">
        <v>2200</v>
      </c>
      <c r="B730" s="115" t="s">
        <v>5443</v>
      </c>
      <c r="C730" s="116" t="s">
        <v>16</v>
      </c>
      <c r="D730" s="116">
        <v>0</v>
      </c>
      <c r="E730" s="136" t="s">
        <v>416</v>
      </c>
      <c r="F730" s="137" t="str">
        <f t="shared" si="88"/>
        <v/>
      </c>
      <c r="G730" s="138" t="e">
        <f>IF(A730&lt;&gt;"",IF(AND(#REF!="Padrão",$H$4=#REF!),BDI!$B$17,IF(AND(#REF!="Padrão",$H$4=#REF!),BDI!#REF!,IF(AND(#REF!="Diferenciado",$H$4=#REF!),BDI!$E$17,IF(AND(#REF!="Diferenciado",$H$4=#REF!),BDI!#REF!,IF(#REF!="ZERO",0))))),"")</f>
        <v>#REF!</v>
      </c>
      <c r="H730" s="139" t="str">
        <f t="shared" si="89"/>
        <v/>
      </c>
      <c r="I730" s="137" t="str">
        <f t="shared" si="90"/>
        <v/>
      </c>
      <c r="J730" s="117"/>
      <c r="K730" s="116">
        <v>0</v>
      </c>
      <c r="M730" s="136" t="s">
        <v>416</v>
      </c>
      <c r="N730" t="e">
        <v>#REF!</v>
      </c>
      <c r="Q730" t="s">
        <v>416</v>
      </c>
    </row>
    <row r="731" spans="1:17" hidden="1" x14ac:dyDescent="0.25">
      <c r="A731" s="114" t="s">
        <v>2201</v>
      </c>
      <c r="B731" s="115" t="s">
        <v>2202</v>
      </c>
      <c r="C731" s="116" t="s">
        <v>16</v>
      </c>
      <c r="D731" s="116">
        <v>0</v>
      </c>
      <c r="E731" s="136" t="s">
        <v>416</v>
      </c>
      <c r="F731" s="137" t="str">
        <f t="shared" si="88"/>
        <v/>
      </c>
      <c r="G731" s="138" t="e">
        <f>IF(A731&lt;&gt;"",IF(AND(#REF!="Padrão",$H$4=#REF!),BDI!$B$17,IF(AND(#REF!="Padrão",$H$4=#REF!),BDI!#REF!,IF(AND(#REF!="Diferenciado",$H$4=#REF!),BDI!$E$17,IF(AND(#REF!="Diferenciado",$H$4=#REF!),BDI!#REF!,IF(#REF!="ZERO",0))))),"")</f>
        <v>#REF!</v>
      </c>
      <c r="H731" s="139" t="str">
        <f t="shared" si="89"/>
        <v/>
      </c>
      <c r="I731" s="137" t="str">
        <f t="shared" si="90"/>
        <v/>
      </c>
      <c r="J731" s="117"/>
      <c r="K731" s="116">
        <v>0</v>
      </c>
      <c r="M731" s="136" t="s">
        <v>416</v>
      </c>
      <c r="N731" t="e">
        <v>#REF!</v>
      </c>
      <c r="Q731" t="s">
        <v>416</v>
      </c>
    </row>
    <row r="732" spans="1:17" hidden="1" x14ac:dyDescent="0.25">
      <c r="A732" s="114" t="s">
        <v>2203</v>
      </c>
      <c r="B732" s="115" t="s">
        <v>2204</v>
      </c>
      <c r="C732" s="116" t="s">
        <v>16</v>
      </c>
      <c r="D732" s="116">
        <v>0</v>
      </c>
      <c r="E732" s="136" t="s">
        <v>416</v>
      </c>
      <c r="F732" s="137" t="str">
        <f t="shared" si="88"/>
        <v/>
      </c>
      <c r="G732" s="138" t="e">
        <f>IF(A732&lt;&gt;"",IF(AND(#REF!="Padrão",$H$4=#REF!),BDI!$B$17,IF(AND(#REF!="Padrão",$H$4=#REF!),BDI!#REF!,IF(AND(#REF!="Diferenciado",$H$4=#REF!),BDI!$E$17,IF(AND(#REF!="Diferenciado",$H$4=#REF!),BDI!#REF!,IF(#REF!="ZERO",0))))),"")</f>
        <v>#REF!</v>
      </c>
      <c r="H732" s="139" t="str">
        <f t="shared" si="89"/>
        <v/>
      </c>
      <c r="I732" s="137" t="str">
        <f t="shared" si="90"/>
        <v/>
      </c>
      <c r="J732" s="117"/>
      <c r="K732" s="116">
        <v>0</v>
      </c>
      <c r="M732" s="136" t="s">
        <v>416</v>
      </c>
      <c r="N732" t="e">
        <v>#REF!</v>
      </c>
      <c r="Q732" t="s">
        <v>416</v>
      </c>
    </row>
    <row r="733" spans="1:17" hidden="1" x14ac:dyDescent="0.25">
      <c r="A733" s="114" t="s">
        <v>2205</v>
      </c>
      <c r="B733" s="115" t="s">
        <v>2206</v>
      </c>
      <c r="C733" s="116" t="s">
        <v>16</v>
      </c>
      <c r="D733" s="116">
        <v>0</v>
      </c>
      <c r="E733" s="136">
        <f ca="1">OFFSET(INDEX(Composições!A:J,MATCH(Orçamentária!A733,Composições!A:A,0),8),2,0)</f>
        <v>229.00700000000001</v>
      </c>
      <c r="F733" s="137">
        <f t="shared" ca="1" si="88"/>
        <v>0</v>
      </c>
      <c r="G733" s="138" t="e">
        <f>IF(A733&lt;&gt;"",IF(AND(#REF!="Padrão",$H$4=#REF!),BDI!$B$17,IF(AND(#REF!="Padrão",$H$4=#REF!),BDI!#REF!,IF(AND(#REF!="Diferenciado",$H$4=#REF!),BDI!$E$17,IF(AND(#REF!="Diferenciado",$H$4=#REF!),BDI!#REF!,IF(#REF!="ZERO",0))))),"")</f>
        <v>#REF!</v>
      </c>
      <c r="H733" s="139" t="e">
        <f t="shared" ca="1" si="89"/>
        <v>#REF!</v>
      </c>
      <c r="I733" s="137" t="e">
        <f t="shared" ca="1" si="90"/>
        <v>#REF!</v>
      </c>
      <c r="J733" s="117"/>
      <c r="K733" s="116">
        <v>0</v>
      </c>
      <c r="M733" s="136" t="e">
        <f ca="1">OFFSET(INDEX([1]Composições!I:R,MATCH([1]Orçamentária!I733,[1]Composições!I:I,0),8),2,0)</f>
        <v>#REF!</v>
      </c>
      <c r="N733" t="e">
        <v>#REF!</v>
      </c>
      <c r="Q733" t="e">
        <v>#REF!</v>
      </c>
    </row>
    <row r="734" spans="1:17" hidden="1" x14ac:dyDescent="0.25">
      <c r="A734" s="114" t="s">
        <v>2207</v>
      </c>
      <c r="B734" s="115" t="s">
        <v>2208</v>
      </c>
      <c r="C734" s="116" t="s">
        <v>16</v>
      </c>
      <c r="D734" s="116">
        <v>0</v>
      </c>
      <c r="E734" s="136" t="s">
        <v>416</v>
      </c>
      <c r="F734" s="137" t="str">
        <f t="shared" si="88"/>
        <v/>
      </c>
      <c r="G734" s="138" t="e">
        <f>IF(A734&lt;&gt;"",IF(AND(#REF!="Padrão",$H$4=#REF!),BDI!$B$17,IF(AND(#REF!="Padrão",$H$4=#REF!),BDI!#REF!,IF(AND(#REF!="Diferenciado",$H$4=#REF!),BDI!$E$17,IF(AND(#REF!="Diferenciado",$H$4=#REF!),BDI!#REF!,IF(#REF!="ZERO",0))))),"")</f>
        <v>#REF!</v>
      </c>
      <c r="H734" s="139" t="str">
        <f t="shared" si="89"/>
        <v/>
      </c>
      <c r="I734" s="137" t="str">
        <f t="shared" si="90"/>
        <v/>
      </c>
      <c r="J734" s="117"/>
      <c r="K734" s="116">
        <v>0</v>
      </c>
      <c r="M734" s="136" t="s">
        <v>416</v>
      </c>
      <c r="N734" t="e">
        <v>#REF!</v>
      </c>
      <c r="Q734" t="s">
        <v>416</v>
      </c>
    </row>
    <row r="735" spans="1:17" hidden="1" x14ac:dyDescent="0.25">
      <c r="A735" s="114" t="s">
        <v>2209</v>
      </c>
      <c r="B735" s="115" t="s">
        <v>2210</v>
      </c>
      <c r="C735" s="116" t="s">
        <v>16</v>
      </c>
      <c r="D735" s="116">
        <v>0</v>
      </c>
      <c r="E735" s="136" t="s">
        <v>416</v>
      </c>
      <c r="F735" s="137" t="str">
        <f t="shared" si="88"/>
        <v/>
      </c>
      <c r="G735" s="138" t="e">
        <f>IF(A735&lt;&gt;"",IF(AND(#REF!="Padrão",$H$4=#REF!),BDI!$B$17,IF(AND(#REF!="Padrão",$H$4=#REF!),BDI!#REF!,IF(AND(#REF!="Diferenciado",$H$4=#REF!),BDI!$E$17,IF(AND(#REF!="Diferenciado",$H$4=#REF!),BDI!#REF!,IF(#REF!="ZERO",0))))),"")</f>
        <v>#REF!</v>
      </c>
      <c r="H735" s="139" t="str">
        <f t="shared" si="89"/>
        <v/>
      </c>
      <c r="I735" s="137" t="str">
        <f t="shared" si="90"/>
        <v/>
      </c>
      <c r="J735" s="117"/>
      <c r="K735" s="116">
        <v>0</v>
      </c>
      <c r="M735" s="136" t="s">
        <v>416</v>
      </c>
      <c r="N735" t="e">
        <v>#REF!</v>
      </c>
      <c r="Q735" t="s">
        <v>416</v>
      </c>
    </row>
    <row r="736" spans="1:17" hidden="1" x14ac:dyDescent="0.25">
      <c r="A736" s="114" t="s">
        <v>2211</v>
      </c>
      <c r="B736" s="115" t="s">
        <v>5444</v>
      </c>
      <c r="C736" s="116" t="s">
        <v>16</v>
      </c>
      <c r="D736" s="116">
        <v>0</v>
      </c>
      <c r="E736" s="136" t="s">
        <v>416</v>
      </c>
      <c r="F736" s="137" t="str">
        <f t="shared" si="88"/>
        <v/>
      </c>
      <c r="G736" s="138" t="e">
        <f>IF(A736&lt;&gt;"",IF(AND(#REF!="Padrão",$H$4=#REF!),BDI!$B$17,IF(AND(#REF!="Padrão",$H$4=#REF!),BDI!#REF!,IF(AND(#REF!="Diferenciado",$H$4=#REF!),BDI!$E$17,IF(AND(#REF!="Diferenciado",$H$4=#REF!),BDI!#REF!,IF(#REF!="ZERO",0))))),"")</f>
        <v>#REF!</v>
      </c>
      <c r="H736" s="139" t="str">
        <f t="shared" si="89"/>
        <v/>
      </c>
      <c r="I736" s="137" t="str">
        <f t="shared" si="90"/>
        <v/>
      </c>
      <c r="J736" s="117"/>
      <c r="K736" s="116">
        <v>0</v>
      </c>
      <c r="M736" s="136" t="s">
        <v>416</v>
      </c>
      <c r="N736" t="e">
        <v>#REF!</v>
      </c>
      <c r="Q736" t="s">
        <v>416</v>
      </c>
    </row>
    <row r="737" spans="1:17" hidden="1" x14ac:dyDescent="0.25">
      <c r="A737" s="114" t="s">
        <v>2212</v>
      </c>
      <c r="B737" s="115" t="s">
        <v>2213</v>
      </c>
      <c r="C737" s="116" t="s">
        <v>16</v>
      </c>
      <c r="D737" s="116">
        <v>0</v>
      </c>
      <c r="E737" s="136" t="s">
        <v>416</v>
      </c>
      <c r="F737" s="137" t="str">
        <f t="shared" si="88"/>
        <v/>
      </c>
      <c r="G737" s="138" t="e">
        <f>IF(A737&lt;&gt;"",IF(AND(#REF!="Padrão",$H$4=#REF!),BDI!$B$17,IF(AND(#REF!="Padrão",$H$4=#REF!),BDI!#REF!,IF(AND(#REF!="Diferenciado",$H$4=#REF!),BDI!$E$17,IF(AND(#REF!="Diferenciado",$H$4=#REF!),BDI!#REF!,IF(#REF!="ZERO",0))))),"")</f>
        <v>#REF!</v>
      </c>
      <c r="H737" s="139" t="str">
        <f t="shared" si="89"/>
        <v/>
      </c>
      <c r="I737" s="137" t="str">
        <f t="shared" si="90"/>
        <v/>
      </c>
      <c r="J737" s="117"/>
      <c r="K737" s="116">
        <v>0</v>
      </c>
      <c r="M737" s="136" t="s">
        <v>416</v>
      </c>
      <c r="N737" t="e">
        <v>#REF!</v>
      </c>
      <c r="Q737" t="s">
        <v>416</v>
      </c>
    </row>
    <row r="738" spans="1:17" hidden="1" x14ac:dyDescent="0.25">
      <c r="A738" s="114" t="s">
        <v>2214</v>
      </c>
      <c r="B738" s="115" t="s">
        <v>2215</v>
      </c>
      <c r="C738" s="116" t="s">
        <v>16</v>
      </c>
      <c r="D738" s="116">
        <v>0</v>
      </c>
      <c r="E738" s="136" t="s">
        <v>416</v>
      </c>
      <c r="F738" s="137" t="str">
        <f t="shared" si="88"/>
        <v/>
      </c>
      <c r="G738" s="138" t="e">
        <f>IF(A738&lt;&gt;"",IF(AND(#REF!="Padrão",$H$4=#REF!),BDI!$B$17,IF(AND(#REF!="Padrão",$H$4=#REF!),BDI!#REF!,IF(AND(#REF!="Diferenciado",$H$4=#REF!),BDI!$E$17,IF(AND(#REF!="Diferenciado",$H$4=#REF!),BDI!#REF!,IF(#REF!="ZERO",0))))),"")</f>
        <v>#REF!</v>
      </c>
      <c r="H738" s="139" t="str">
        <f t="shared" si="89"/>
        <v/>
      </c>
      <c r="I738" s="137" t="str">
        <f t="shared" si="90"/>
        <v/>
      </c>
      <c r="J738" s="117"/>
      <c r="K738" s="116">
        <v>0</v>
      </c>
      <c r="M738" s="136" t="s">
        <v>416</v>
      </c>
      <c r="N738" t="e">
        <v>#REF!</v>
      </c>
      <c r="Q738" t="s">
        <v>416</v>
      </c>
    </row>
    <row r="739" spans="1:17" hidden="1" x14ac:dyDescent="0.25">
      <c r="A739" s="114" t="s">
        <v>2216</v>
      </c>
      <c r="B739" s="115" t="s">
        <v>2217</v>
      </c>
      <c r="C739" s="116" t="s">
        <v>16</v>
      </c>
      <c r="D739" s="116">
        <v>0</v>
      </c>
      <c r="E739" s="136" t="s">
        <v>416</v>
      </c>
      <c r="F739" s="137" t="str">
        <f t="shared" si="88"/>
        <v/>
      </c>
      <c r="G739" s="138" t="e">
        <f>IF(A739&lt;&gt;"",IF(AND(#REF!="Padrão",$H$4=#REF!),BDI!$B$17,IF(AND(#REF!="Padrão",$H$4=#REF!),BDI!#REF!,IF(AND(#REF!="Diferenciado",$H$4=#REF!),BDI!$E$17,IF(AND(#REF!="Diferenciado",$H$4=#REF!),BDI!#REF!,IF(#REF!="ZERO",0))))),"")</f>
        <v>#REF!</v>
      </c>
      <c r="H739" s="139" t="str">
        <f t="shared" si="89"/>
        <v/>
      </c>
      <c r="I739" s="137" t="str">
        <f t="shared" si="90"/>
        <v/>
      </c>
      <c r="J739" s="117"/>
      <c r="K739" s="116">
        <v>0</v>
      </c>
      <c r="M739" s="136" t="s">
        <v>416</v>
      </c>
      <c r="N739" t="e">
        <v>#REF!</v>
      </c>
      <c r="Q739" t="s">
        <v>416</v>
      </c>
    </row>
    <row r="740" spans="1:17" hidden="1" x14ac:dyDescent="0.25">
      <c r="A740" s="114" t="s">
        <v>2218</v>
      </c>
      <c r="B740" s="115" t="s">
        <v>5506</v>
      </c>
      <c r="C740" s="116" t="s">
        <v>16</v>
      </c>
      <c r="D740" s="116">
        <v>0</v>
      </c>
      <c r="E740" s="136" t="s">
        <v>416</v>
      </c>
      <c r="F740" s="137" t="str">
        <f t="shared" si="88"/>
        <v/>
      </c>
      <c r="G740" s="138" t="e">
        <f>IF(A740&lt;&gt;"",IF(AND(#REF!="Padrão",$H$4=#REF!),BDI!$B$17,IF(AND(#REF!="Padrão",$H$4=#REF!),BDI!#REF!,IF(AND(#REF!="Diferenciado",$H$4=#REF!),BDI!$E$17,IF(AND(#REF!="Diferenciado",$H$4=#REF!),BDI!#REF!,IF(#REF!="ZERO",0))))),"")</f>
        <v>#REF!</v>
      </c>
      <c r="H740" s="139" t="str">
        <f t="shared" si="89"/>
        <v/>
      </c>
      <c r="I740" s="137" t="str">
        <f t="shared" si="90"/>
        <v/>
      </c>
      <c r="J740" s="117"/>
      <c r="K740" s="116">
        <v>0</v>
      </c>
      <c r="M740" s="136" t="s">
        <v>416</v>
      </c>
      <c r="N740" t="e">
        <v>#REF!</v>
      </c>
      <c r="Q740" t="s">
        <v>416</v>
      </c>
    </row>
    <row r="741" spans="1:17" hidden="1" x14ac:dyDescent="0.25">
      <c r="A741" s="114" t="s">
        <v>2219</v>
      </c>
      <c r="B741" s="115" t="s">
        <v>2220</v>
      </c>
      <c r="C741" s="116" t="s">
        <v>16</v>
      </c>
      <c r="D741" s="116">
        <v>0</v>
      </c>
      <c r="E741" s="136" t="s">
        <v>416</v>
      </c>
      <c r="F741" s="137" t="str">
        <f t="shared" si="88"/>
        <v/>
      </c>
      <c r="G741" s="138" t="e">
        <f>IF(A741&lt;&gt;"",IF(AND(#REF!="Padrão",$H$4=#REF!),BDI!$B$17,IF(AND(#REF!="Padrão",$H$4=#REF!),BDI!#REF!,IF(AND(#REF!="Diferenciado",$H$4=#REF!),BDI!$E$17,IF(AND(#REF!="Diferenciado",$H$4=#REF!),BDI!#REF!,IF(#REF!="ZERO",0))))),"")</f>
        <v>#REF!</v>
      </c>
      <c r="H741" s="139" t="str">
        <f t="shared" si="89"/>
        <v/>
      </c>
      <c r="I741" s="137" t="str">
        <f t="shared" si="90"/>
        <v/>
      </c>
      <c r="J741" s="117"/>
      <c r="K741" s="116">
        <v>0</v>
      </c>
      <c r="M741" s="136" t="s">
        <v>416</v>
      </c>
      <c r="N741" t="e">
        <v>#REF!</v>
      </c>
      <c r="Q741" t="s">
        <v>416</v>
      </c>
    </row>
    <row r="742" spans="1:17" hidden="1" x14ac:dyDescent="0.25">
      <c r="A742" s="114" t="s">
        <v>2221</v>
      </c>
      <c r="B742" s="115" t="s">
        <v>2222</v>
      </c>
      <c r="C742" s="116" t="s">
        <v>16</v>
      </c>
      <c r="D742" s="116">
        <v>0</v>
      </c>
      <c r="E742" s="136">
        <f ca="1">OFFSET(INDEX(Composições!A:J,MATCH(Orçamentária!A742,Composições!A:A,0),8),2,0)</f>
        <v>56.733999999999995</v>
      </c>
      <c r="F742" s="137">
        <f t="shared" ca="1" si="88"/>
        <v>0</v>
      </c>
      <c r="G742" s="138" t="e">
        <f>IF(A742&lt;&gt;"",IF(AND(#REF!="Padrão",$H$4=#REF!),BDI!$B$17,IF(AND(#REF!="Padrão",$H$4=#REF!),BDI!#REF!,IF(AND(#REF!="Diferenciado",$H$4=#REF!),BDI!$E$17,IF(AND(#REF!="Diferenciado",$H$4=#REF!),BDI!#REF!,IF(#REF!="ZERO",0))))),"")</f>
        <v>#REF!</v>
      </c>
      <c r="H742" s="139" t="e">
        <f t="shared" ca="1" si="89"/>
        <v>#REF!</v>
      </c>
      <c r="I742" s="137" t="e">
        <f t="shared" ca="1" si="90"/>
        <v>#REF!</v>
      </c>
      <c r="J742" s="117"/>
      <c r="K742" s="116">
        <v>0</v>
      </c>
      <c r="M742" s="136" t="e">
        <f ca="1">OFFSET(INDEX([1]Composições!I:R,MATCH([1]Orçamentária!I742,[1]Composições!I:I,0),8),2,0)</f>
        <v>#REF!</v>
      </c>
      <c r="N742" t="e">
        <v>#REF!</v>
      </c>
      <c r="Q742" t="e">
        <v>#REF!</v>
      </c>
    </row>
    <row r="743" spans="1:17" hidden="1" x14ac:dyDescent="0.25">
      <c r="A743" s="114" t="s">
        <v>2223</v>
      </c>
      <c r="B743" s="115" t="s">
        <v>5445</v>
      </c>
      <c r="C743" s="116" t="s">
        <v>16</v>
      </c>
      <c r="D743" s="116">
        <v>0</v>
      </c>
      <c r="E743" s="136" t="s">
        <v>416</v>
      </c>
      <c r="F743" s="137" t="str">
        <f t="shared" si="88"/>
        <v/>
      </c>
      <c r="G743" s="138" t="e">
        <f>IF(A743&lt;&gt;"",IF(AND(#REF!="Padrão",$H$4=#REF!),BDI!$B$17,IF(AND(#REF!="Padrão",$H$4=#REF!),BDI!#REF!,IF(AND(#REF!="Diferenciado",$H$4=#REF!),BDI!$E$17,IF(AND(#REF!="Diferenciado",$H$4=#REF!),BDI!#REF!,IF(#REF!="ZERO",0))))),"")</f>
        <v>#REF!</v>
      </c>
      <c r="H743" s="139" t="str">
        <f t="shared" si="89"/>
        <v/>
      </c>
      <c r="I743" s="137" t="str">
        <f t="shared" si="90"/>
        <v/>
      </c>
      <c r="J743" s="117"/>
      <c r="K743" s="116">
        <v>0</v>
      </c>
      <c r="M743" s="136" t="s">
        <v>416</v>
      </c>
      <c r="N743" t="e">
        <v>#REF!</v>
      </c>
      <c r="Q743" t="s">
        <v>416</v>
      </c>
    </row>
    <row r="744" spans="1:17" hidden="1" x14ac:dyDescent="0.25">
      <c r="A744" s="114" t="s">
        <v>2224</v>
      </c>
      <c r="B744" s="115" t="s">
        <v>2225</v>
      </c>
      <c r="C744" s="116" t="s">
        <v>16</v>
      </c>
      <c r="D744" s="116">
        <v>0</v>
      </c>
      <c r="E744" s="136" t="s">
        <v>416</v>
      </c>
      <c r="F744" s="137" t="str">
        <f t="shared" si="88"/>
        <v/>
      </c>
      <c r="G744" s="138" t="e">
        <f>IF(A744&lt;&gt;"",IF(AND(#REF!="Padrão",$H$4=#REF!),BDI!$B$17,IF(AND(#REF!="Padrão",$H$4=#REF!),BDI!#REF!,IF(AND(#REF!="Diferenciado",$H$4=#REF!),BDI!$E$17,IF(AND(#REF!="Diferenciado",$H$4=#REF!),BDI!#REF!,IF(#REF!="ZERO",0))))),"")</f>
        <v>#REF!</v>
      </c>
      <c r="H744" s="139" t="str">
        <f t="shared" si="89"/>
        <v/>
      </c>
      <c r="I744" s="137" t="str">
        <f t="shared" si="90"/>
        <v/>
      </c>
      <c r="J744" s="117"/>
      <c r="K744" s="116">
        <v>0</v>
      </c>
      <c r="M744" s="136" t="s">
        <v>416</v>
      </c>
      <c r="N744" t="e">
        <v>#REF!</v>
      </c>
      <c r="Q744" t="s">
        <v>416</v>
      </c>
    </row>
    <row r="745" spans="1:17" hidden="1" x14ac:dyDescent="0.25">
      <c r="A745" s="114" t="s">
        <v>2226</v>
      </c>
      <c r="B745" s="115" t="s">
        <v>7663</v>
      </c>
      <c r="C745" s="116" t="s">
        <v>16</v>
      </c>
      <c r="D745" s="116">
        <v>0</v>
      </c>
      <c r="E745" s="136" t="s">
        <v>416</v>
      </c>
      <c r="F745" s="137" t="str">
        <f t="shared" si="88"/>
        <v/>
      </c>
      <c r="G745" s="138" t="e">
        <f>IF(A745&lt;&gt;"",IF(AND(#REF!="Padrão",$H$4=#REF!),BDI!$B$17,IF(AND(#REF!="Padrão",$H$4=#REF!),BDI!#REF!,IF(AND(#REF!="Diferenciado",$H$4=#REF!),BDI!$E$17,IF(AND(#REF!="Diferenciado",$H$4=#REF!),BDI!#REF!,IF(#REF!="ZERO",0))))),"")</f>
        <v>#REF!</v>
      </c>
      <c r="H745" s="139" t="str">
        <f t="shared" si="89"/>
        <v/>
      </c>
      <c r="I745" s="137" t="str">
        <f t="shared" si="90"/>
        <v/>
      </c>
      <c r="J745" s="117"/>
      <c r="K745" s="116">
        <v>0</v>
      </c>
      <c r="M745" s="136" t="s">
        <v>416</v>
      </c>
      <c r="N745" t="e">
        <v>#REF!</v>
      </c>
      <c r="Q745" t="s">
        <v>416</v>
      </c>
    </row>
    <row r="746" spans="1:17" hidden="1" x14ac:dyDescent="0.25">
      <c r="A746" s="114" t="s">
        <v>2227</v>
      </c>
      <c r="B746" s="115" t="s">
        <v>2228</v>
      </c>
      <c r="C746" s="116" t="s">
        <v>16</v>
      </c>
      <c r="D746" s="116">
        <v>0</v>
      </c>
      <c r="E746" s="136" t="s">
        <v>416</v>
      </c>
      <c r="F746" s="137" t="str">
        <f t="shared" si="88"/>
        <v/>
      </c>
      <c r="G746" s="138" t="e">
        <f>IF(A746&lt;&gt;"",IF(AND(#REF!="Padrão",$H$4=#REF!),BDI!$B$17,IF(AND(#REF!="Padrão",$H$4=#REF!),BDI!#REF!,IF(AND(#REF!="Diferenciado",$H$4=#REF!),BDI!$E$17,IF(AND(#REF!="Diferenciado",$H$4=#REF!),BDI!#REF!,IF(#REF!="ZERO",0))))),"")</f>
        <v>#REF!</v>
      </c>
      <c r="H746" s="139" t="str">
        <f t="shared" si="89"/>
        <v/>
      </c>
      <c r="I746" s="137" t="str">
        <f t="shared" si="90"/>
        <v/>
      </c>
      <c r="J746" s="117"/>
      <c r="K746" s="116">
        <v>0</v>
      </c>
      <c r="M746" s="136" t="s">
        <v>416</v>
      </c>
      <c r="N746" t="e">
        <v>#REF!</v>
      </c>
      <c r="Q746" t="s">
        <v>416</v>
      </c>
    </row>
    <row r="747" spans="1:17" hidden="1" x14ac:dyDescent="0.25">
      <c r="A747" s="114" t="s">
        <v>2229</v>
      </c>
      <c r="B747" s="115" t="s">
        <v>2230</v>
      </c>
      <c r="C747" s="116" t="s">
        <v>16</v>
      </c>
      <c r="D747" s="116">
        <v>0</v>
      </c>
      <c r="E747" s="136" t="s">
        <v>416</v>
      </c>
      <c r="F747" s="137" t="str">
        <f t="shared" si="88"/>
        <v/>
      </c>
      <c r="G747" s="138" t="e">
        <f>IF(A747&lt;&gt;"",IF(AND(#REF!="Padrão",$H$4=#REF!),BDI!$B$17,IF(AND(#REF!="Padrão",$H$4=#REF!),BDI!#REF!,IF(AND(#REF!="Diferenciado",$H$4=#REF!),BDI!$E$17,IF(AND(#REF!="Diferenciado",$H$4=#REF!),BDI!#REF!,IF(#REF!="ZERO",0))))),"")</f>
        <v>#REF!</v>
      </c>
      <c r="H747" s="139" t="str">
        <f t="shared" si="89"/>
        <v/>
      </c>
      <c r="I747" s="137" t="str">
        <f t="shared" si="90"/>
        <v/>
      </c>
      <c r="J747" s="117"/>
      <c r="K747" s="116">
        <v>0</v>
      </c>
      <c r="M747" s="136" t="s">
        <v>416</v>
      </c>
      <c r="N747" t="e">
        <v>#REF!</v>
      </c>
      <c r="Q747" t="s">
        <v>416</v>
      </c>
    </row>
    <row r="748" spans="1:17" hidden="1" x14ac:dyDescent="0.25">
      <c r="A748" s="114" t="s">
        <v>2231</v>
      </c>
      <c r="B748" s="115" t="s">
        <v>2232</v>
      </c>
      <c r="C748" s="116" t="s">
        <v>16</v>
      </c>
      <c r="D748" s="116">
        <v>0</v>
      </c>
      <c r="E748" s="136" t="s">
        <v>416</v>
      </c>
      <c r="F748" s="137" t="str">
        <f t="shared" si="88"/>
        <v/>
      </c>
      <c r="G748" s="138" t="e">
        <f>IF(A748&lt;&gt;"",IF(AND(#REF!="Padrão",$H$4=#REF!),BDI!$B$17,IF(AND(#REF!="Padrão",$H$4=#REF!),BDI!#REF!,IF(AND(#REF!="Diferenciado",$H$4=#REF!),BDI!$E$17,IF(AND(#REF!="Diferenciado",$H$4=#REF!),BDI!#REF!,IF(#REF!="ZERO",0))))),"")</f>
        <v>#REF!</v>
      </c>
      <c r="H748" s="139" t="str">
        <f t="shared" si="89"/>
        <v/>
      </c>
      <c r="I748" s="137" t="str">
        <f t="shared" si="90"/>
        <v/>
      </c>
      <c r="J748" s="117"/>
      <c r="K748" s="116">
        <v>0</v>
      </c>
      <c r="M748" s="136" t="s">
        <v>416</v>
      </c>
      <c r="N748" t="e">
        <v>#REF!</v>
      </c>
      <c r="Q748" t="s">
        <v>416</v>
      </c>
    </row>
    <row r="749" spans="1:17" hidden="1" x14ac:dyDescent="0.25">
      <c r="A749" s="114" t="s">
        <v>2233</v>
      </c>
      <c r="B749" s="115" t="s">
        <v>2234</v>
      </c>
      <c r="C749" s="116" t="s">
        <v>16</v>
      </c>
      <c r="D749" s="116">
        <v>0</v>
      </c>
      <c r="E749" s="136" t="s">
        <v>416</v>
      </c>
      <c r="F749" s="137" t="str">
        <f t="shared" si="88"/>
        <v/>
      </c>
      <c r="G749" s="138" t="e">
        <f>IF(A749&lt;&gt;"",IF(AND(#REF!="Padrão",$H$4=#REF!),BDI!$B$17,IF(AND(#REF!="Padrão",$H$4=#REF!),BDI!#REF!,IF(AND(#REF!="Diferenciado",$H$4=#REF!),BDI!$E$17,IF(AND(#REF!="Diferenciado",$H$4=#REF!),BDI!#REF!,IF(#REF!="ZERO",0))))),"")</f>
        <v>#REF!</v>
      </c>
      <c r="H749" s="139" t="str">
        <f t="shared" si="89"/>
        <v/>
      </c>
      <c r="I749" s="137" t="str">
        <f t="shared" si="90"/>
        <v/>
      </c>
      <c r="J749" s="117"/>
      <c r="K749" s="116">
        <v>0</v>
      </c>
      <c r="M749" s="136" t="s">
        <v>416</v>
      </c>
      <c r="N749" t="e">
        <v>#REF!</v>
      </c>
      <c r="Q749" t="s">
        <v>416</v>
      </c>
    </row>
    <row r="750" spans="1:17" hidden="1" x14ac:dyDescent="0.25">
      <c r="A750" s="114" t="s">
        <v>2235</v>
      </c>
      <c r="B750" s="115" t="s">
        <v>2236</v>
      </c>
      <c r="C750" s="116" t="s">
        <v>16</v>
      </c>
      <c r="D750" s="116">
        <v>0</v>
      </c>
      <c r="E750" s="136">
        <f ca="1">OFFSET(INDEX(Composições!A:J,MATCH(Orçamentária!A750,Composições!A:A,0),8),2,0)</f>
        <v>22.904499999999999</v>
      </c>
      <c r="F750" s="137">
        <f t="shared" ca="1" si="88"/>
        <v>0</v>
      </c>
      <c r="G750" s="138" t="e">
        <f>IF(A750&lt;&gt;"",IF(AND(#REF!="Padrão",$H$4=#REF!),BDI!$B$17,IF(AND(#REF!="Padrão",$H$4=#REF!),BDI!#REF!,IF(AND(#REF!="Diferenciado",$H$4=#REF!),BDI!$E$17,IF(AND(#REF!="Diferenciado",$H$4=#REF!),BDI!#REF!,IF(#REF!="ZERO",0))))),"")</f>
        <v>#REF!</v>
      </c>
      <c r="H750" s="139" t="e">
        <f t="shared" ca="1" si="89"/>
        <v>#REF!</v>
      </c>
      <c r="I750" s="137" t="e">
        <f t="shared" ca="1" si="90"/>
        <v>#REF!</v>
      </c>
      <c r="J750" s="117"/>
      <c r="K750" s="116">
        <v>0</v>
      </c>
      <c r="M750" s="136" t="e">
        <f ca="1">OFFSET(INDEX([1]Composições!I:R,MATCH([1]Orçamentária!I750,[1]Composições!I:I,0),8),2,0)</f>
        <v>#REF!</v>
      </c>
      <c r="N750" t="e">
        <v>#REF!</v>
      </c>
      <c r="Q750" t="e">
        <v>#REF!</v>
      </c>
    </row>
    <row r="751" spans="1:17" hidden="1" x14ac:dyDescent="0.25">
      <c r="A751" s="114" t="s">
        <v>2237</v>
      </c>
      <c r="B751" s="115" t="s">
        <v>5446</v>
      </c>
      <c r="C751" s="116" t="s">
        <v>16</v>
      </c>
      <c r="D751" s="116">
        <v>0</v>
      </c>
      <c r="E751" s="136">
        <f ca="1">OFFSET(INDEX(Composições!A:J,MATCH(Orçamentária!A751,Composições!A:A,0),8),2,0)</f>
        <v>36.394500000000001</v>
      </c>
      <c r="F751" s="137">
        <f t="shared" ca="1" si="88"/>
        <v>0</v>
      </c>
      <c r="G751" s="138" t="e">
        <f>IF(A751&lt;&gt;"",IF(AND(#REF!="Padrão",$H$4=#REF!),BDI!$B$17,IF(AND(#REF!="Padrão",$H$4=#REF!),BDI!#REF!,IF(AND(#REF!="Diferenciado",$H$4=#REF!),BDI!$E$17,IF(AND(#REF!="Diferenciado",$H$4=#REF!),BDI!#REF!,IF(#REF!="ZERO",0))))),"")</f>
        <v>#REF!</v>
      </c>
      <c r="H751" s="139" t="e">
        <f t="shared" ca="1" si="89"/>
        <v>#REF!</v>
      </c>
      <c r="I751" s="137" t="e">
        <f t="shared" ca="1" si="90"/>
        <v>#REF!</v>
      </c>
      <c r="J751" s="117"/>
      <c r="K751" s="116">
        <v>0</v>
      </c>
      <c r="M751" s="136" t="e">
        <f ca="1">OFFSET(INDEX([1]Composições!I:R,MATCH([1]Orçamentária!I751,[1]Composições!I:I,0),8),2,0)</f>
        <v>#REF!</v>
      </c>
      <c r="N751" t="e">
        <v>#REF!</v>
      </c>
      <c r="Q751" t="e">
        <v>#REF!</v>
      </c>
    </row>
    <row r="752" spans="1:17" hidden="1" x14ac:dyDescent="0.25">
      <c r="A752" s="114" t="s">
        <v>2238</v>
      </c>
      <c r="B752" s="115" t="s">
        <v>2239</v>
      </c>
      <c r="C752" s="116" t="s">
        <v>16</v>
      </c>
      <c r="D752" s="116">
        <v>0</v>
      </c>
      <c r="E752" s="136" t="s">
        <v>416</v>
      </c>
      <c r="F752" s="137" t="str">
        <f t="shared" si="88"/>
        <v/>
      </c>
      <c r="G752" s="138" t="e">
        <f>IF(A752&lt;&gt;"",IF(AND(#REF!="Padrão",$H$4=#REF!),BDI!$B$17,IF(AND(#REF!="Padrão",$H$4=#REF!),BDI!#REF!,IF(AND(#REF!="Diferenciado",$H$4=#REF!),BDI!$E$17,IF(AND(#REF!="Diferenciado",$H$4=#REF!),BDI!#REF!,IF(#REF!="ZERO",0))))),"")</f>
        <v>#REF!</v>
      </c>
      <c r="H752" s="139" t="str">
        <f t="shared" si="89"/>
        <v/>
      </c>
      <c r="I752" s="137" t="str">
        <f t="shared" si="90"/>
        <v/>
      </c>
      <c r="J752" s="117"/>
      <c r="K752" s="116">
        <v>0</v>
      </c>
      <c r="M752" s="136" t="s">
        <v>416</v>
      </c>
      <c r="N752" t="e">
        <v>#REF!</v>
      </c>
      <c r="Q752" t="s">
        <v>416</v>
      </c>
    </row>
    <row r="753" spans="1:17" hidden="1" x14ac:dyDescent="0.25">
      <c r="A753" s="114" t="s">
        <v>2240</v>
      </c>
      <c r="B753" s="115" t="s">
        <v>2241</v>
      </c>
      <c r="C753" s="116" t="s">
        <v>16</v>
      </c>
      <c r="D753" s="116">
        <v>0</v>
      </c>
      <c r="E753" s="136" t="s">
        <v>416</v>
      </c>
      <c r="F753" s="137" t="str">
        <f t="shared" si="88"/>
        <v/>
      </c>
      <c r="G753" s="138" t="e">
        <f>IF(A753&lt;&gt;"",IF(AND(#REF!="Padrão",$H$4=#REF!),BDI!$B$17,IF(AND(#REF!="Padrão",$H$4=#REF!),BDI!#REF!,IF(AND(#REF!="Diferenciado",$H$4=#REF!),BDI!$E$17,IF(AND(#REF!="Diferenciado",$H$4=#REF!),BDI!#REF!,IF(#REF!="ZERO",0))))),"")</f>
        <v>#REF!</v>
      </c>
      <c r="H753" s="139" t="str">
        <f t="shared" si="89"/>
        <v/>
      </c>
      <c r="I753" s="137" t="str">
        <f t="shared" si="90"/>
        <v/>
      </c>
      <c r="J753" s="117"/>
      <c r="K753" s="116">
        <v>0</v>
      </c>
      <c r="M753" s="136" t="s">
        <v>416</v>
      </c>
      <c r="N753" t="e">
        <v>#REF!</v>
      </c>
      <c r="Q753" t="s">
        <v>416</v>
      </c>
    </row>
    <row r="754" spans="1:17" hidden="1" x14ac:dyDescent="0.25">
      <c r="A754" s="114" t="s">
        <v>2242</v>
      </c>
      <c r="B754" s="115" t="s">
        <v>2243</v>
      </c>
      <c r="C754" s="116" t="s">
        <v>16</v>
      </c>
      <c r="D754" s="116">
        <v>0</v>
      </c>
      <c r="E754" s="136" t="s">
        <v>416</v>
      </c>
      <c r="F754" s="137" t="str">
        <f t="shared" si="88"/>
        <v/>
      </c>
      <c r="G754" s="138" t="e">
        <f>IF(A754&lt;&gt;"",IF(AND(#REF!="Padrão",$H$4=#REF!),BDI!$B$17,IF(AND(#REF!="Padrão",$H$4=#REF!),BDI!#REF!,IF(AND(#REF!="Diferenciado",$H$4=#REF!),BDI!$E$17,IF(AND(#REF!="Diferenciado",$H$4=#REF!),BDI!#REF!,IF(#REF!="ZERO",0))))),"")</f>
        <v>#REF!</v>
      </c>
      <c r="H754" s="139" t="str">
        <f t="shared" si="89"/>
        <v/>
      </c>
      <c r="I754" s="137" t="str">
        <f t="shared" si="90"/>
        <v/>
      </c>
      <c r="J754" s="117"/>
      <c r="K754" s="116">
        <v>0</v>
      </c>
      <c r="M754" s="136" t="s">
        <v>416</v>
      </c>
      <c r="N754" t="e">
        <v>#REF!</v>
      </c>
      <c r="Q754" t="s">
        <v>416</v>
      </c>
    </row>
    <row r="755" spans="1:17" hidden="1" x14ac:dyDescent="0.25">
      <c r="A755" s="114" t="s">
        <v>2244</v>
      </c>
      <c r="B755" s="115" t="s">
        <v>2245</v>
      </c>
      <c r="C755" s="116" t="s">
        <v>16</v>
      </c>
      <c r="D755" s="116">
        <v>0</v>
      </c>
      <c r="E755" s="136" t="s">
        <v>416</v>
      </c>
      <c r="F755" s="137" t="str">
        <f t="shared" si="88"/>
        <v/>
      </c>
      <c r="G755" s="138" t="e">
        <f>IF(A755&lt;&gt;"",IF(AND(#REF!="Padrão",$H$4=#REF!),BDI!$B$17,IF(AND(#REF!="Padrão",$H$4=#REF!),BDI!#REF!,IF(AND(#REF!="Diferenciado",$H$4=#REF!),BDI!$E$17,IF(AND(#REF!="Diferenciado",$H$4=#REF!),BDI!#REF!,IF(#REF!="ZERO",0))))),"")</f>
        <v>#REF!</v>
      </c>
      <c r="H755" s="139" t="str">
        <f t="shared" si="89"/>
        <v/>
      </c>
      <c r="I755" s="137" t="str">
        <f t="shared" si="90"/>
        <v/>
      </c>
      <c r="J755" s="117"/>
      <c r="K755" s="116">
        <v>0</v>
      </c>
      <c r="M755" s="136" t="s">
        <v>416</v>
      </c>
      <c r="N755" t="e">
        <v>#REF!</v>
      </c>
      <c r="Q755" t="s">
        <v>416</v>
      </c>
    </row>
    <row r="756" spans="1:17" hidden="1" x14ac:dyDescent="0.25">
      <c r="A756" s="114" t="s">
        <v>2246</v>
      </c>
      <c r="B756" s="115" t="s">
        <v>2247</v>
      </c>
      <c r="C756" s="116" t="s">
        <v>16</v>
      </c>
      <c r="D756" s="116">
        <v>0</v>
      </c>
      <c r="E756" s="136" t="s">
        <v>416</v>
      </c>
      <c r="F756" s="137" t="str">
        <f t="shared" si="88"/>
        <v/>
      </c>
      <c r="G756" s="138" t="e">
        <f>IF(A756&lt;&gt;"",IF(AND(#REF!="Padrão",$H$4=#REF!),BDI!$B$17,IF(AND(#REF!="Padrão",$H$4=#REF!),BDI!#REF!,IF(AND(#REF!="Diferenciado",$H$4=#REF!),BDI!$E$17,IF(AND(#REF!="Diferenciado",$H$4=#REF!),BDI!#REF!,IF(#REF!="ZERO",0))))),"")</f>
        <v>#REF!</v>
      </c>
      <c r="H756" s="139" t="str">
        <f t="shared" si="89"/>
        <v/>
      </c>
      <c r="I756" s="137" t="str">
        <f t="shared" si="90"/>
        <v/>
      </c>
      <c r="J756" s="117"/>
      <c r="K756" s="116">
        <v>0</v>
      </c>
      <c r="M756" s="136" t="s">
        <v>416</v>
      </c>
      <c r="N756" t="e">
        <v>#REF!</v>
      </c>
      <c r="Q756" t="s">
        <v>416</v>
      </c>
    </row>
    <row r="757" spans="1:17" hidden="1" x14ac:dyDescent="0.25">
      <c r="A757" s="114" t="s">
        <v>2248</v>
      </c>
      <c r="B757" s="115" t="s">
        <v>2249</v>
      </c>
      <c r="C757" s="116" t="s">
        <v>16</v>
      </c>
      <c r="D757" s="116">
        <v>0</v>
      </c>
      <c r="E757" s="136" t="s">
        <v>416</v>
      </c>
      <c r="F757" s="137" t="str">
        <f t="shared" si="88"/>
        <v/>
      </c>
      <c r="G757" s="138" t="e">
        <f>IF(A757&lt;&gt;"",IF(AND(#REF!="Padrão",$H$4=#REF!),BDI!$B$17,IF(AND(#REF!="Padrão",$H$4=#REF!),BDI!#REF!,IF(AND(#REF!="Diferenciado",$H$4=#REF!),BDI!$E$17,IF(AND(#REF!="Diferenciado",$H$4=#REF!),BDI!#REF!,IF(#REF!="ZERO",0))))),"")</f>
        <v>#REF!</v>
      </c>
      <c r="H757" s="139" t="str">
        <f t="shared" si="89"/>
        <v/>
      </c>
      <c r="I757" s="137" t="str">
        <f t="shared" si="90"/>
        <v/>
      </c>
      <c r="J757" s="117"/>
      <c r="K757" s="116">
        <v>0</v>
      </c>
      <c r="M757" s="136" t="s">
        <v>416</v>
      </c>
      <c r="N757" t="e">
        <v>#REF!</v>
      </c>
      <c r="Q757" t="s">
        <v>416</v>
      </c>
    </row>
    <row r="758" spans="1:17" hidden="1" x14ac:dyDescent="0.25">
      <c r="A758" s="114" t="s">
        <v>2250</v>
      </c>
      <c r="B758" s="115" t="s">
        <v>2251</v>
      </c>
      <c r="C758" s="116" t="s">
        <v>16</v>
      </c>
      <c r="D758" s="116">
        <v>0</v>
      </c>
      <c r="E758" s="136" t="s">
        <v>416</v>
      </c>
      <c r="F758" s="137" t="str">
        <f t="shared" si="88"/>
        <v/>
      </c>
      <c r="G758" s="138" t="e">
        <f>IF(A758&lt;&gt;"",IF(AND(#REF!="Padrão",$H$4=#REF!),BDI!$B$17,IF(AND(#REF!="Padrão",$H$4=#REF!),BDI!#REF!,IF(AND(#REF!="Diferenciado",$H$4=#REF!),BDI!$E$17,IF(AND(#REF!="Diferenciado",$H$4=#REF!),BDI!#REF!,IF(#REF!="ZERO",0))))),"")</f>
        <v>#REF!</v>
      </c>
      <c r="H758" s="139" t="str">
        <f t="shared" si="89"/>
        <v/>
      </c>
      <c r="I758" s="137" t="str">
        <f t="shared" si="90"/>
        <v/>
      </c>
      <c r="J758" s="117"/>
      <c r="K758" s="116">
        <v>0</v>
      </c>
      <c r="M758" s="136" t="s">
        <v>416</v>
      </c>
      <c r="N758" t="e">
        <v>#REF!</v>
      </c>
      <c r="Q758" t="s">
        <v>416</v>
      </c>
    </row>
    <row r="759" spans="1:17" hidden="1" x14ac:dyDescent="0.25">
      <c r="A759" s="114" t="s">
        <v>2252</v>
      </c>
      <c r="B759" s="115" t="s">
        <v>2253</v>
      </c>
      <c r="C759" s="116" t="s">
        <v>16</v>
      </c>
      <c r="D759" s="116">
        <v>0</v>
      </c>
      <c r="E759" s="136" t="s">
        <v>416</v>
      </c>
      <c r="F759" s="137" t="str">
        <f t="shared" si="88"/>
        <v/>
      </c>
      <c r="G759" s="138" t="e">
        <f>IF(A759&lt;&gt;"",IF(AND(#REF!="Padrão",$H$4=#REF!),BDI!$B$17,IF(AND(#REF!="Padrão",$H$4=#REF!),BDI!#REF!,IF(AND(#REF!="Diferenciado",$H$4=#REF!),BDI!$E$17,IF(AND(#REF!="Diferenciado",$H$4=#REF!),BDI!#REF!,IF(#REF!="ZERO",0))))),"")</f>
        <v>#REF!</v>
      </c>
      <c r="H759" s="139" t="str">
        <f t="shared" si="89"/>
        <v/>
      </c>
      <c r="I759" s="137" t="str">
        <f t="shared" si="90"/>
        <v/>
      </c>
      <c r="J759" s="117"/>
      <c r="K759" s="116">
        <v>0</v>
      </c>
      <c r="M759" s="136" t="s">
        <v>416</v>
      </c>
      <c r="N759" t="e">
        <v>#REF!</v>
      </c>
      <c r="Q759" t="s">
        <v>416</v>
      </c>
    </row>
    <row r="760" spans="1:17" hidden="1" x14ac:dyDescent="0.25">
      <c r="A760" s="114" t="s">
        <v>2254</v>
      </c>
      <c r="B760" s="115" t="s">
        <v>7664</v>
      </c>
      <c r="C760" s="116" t="s">
        <v>16</v>
      </c>
      <c r="D760" s="116">
        <v>0</v>
      </c>
      <c r="E760" s="136" t="s">
        <v>416</v>
      </c>
      <c r="F760" s="137" t="str">
        <f t="shared" si="88"/>
        <v/>
      </c>
      <c r="G760" s="138" t="e">
        <f>IF(A760&lt;&gt;"",IF(AND(#REF!="Padrão",$H$4=#REF!),BDI!$B$17,IF(AND(#REF!="Padrão",$H$4=#REF!),BDI!#REF!,IF(AND(#REF!="Diferenciado",$H$4=#REF!),BDI!$E$17,IF(AND(#REF!="Diferenciado",$H$4=#REF!),BDI!#REF!,IF(#REF!="ZERO",0))))),"")</f>
        <v>#REF!</v>
      </c>
      <c r="H760" s="139" t="str">
        <f t="shared" si="89"/>
        <v/>
      </c>
      <c r="I760" s="137" t="str">
        <f t="shared" si="90"/>
        <v/>
      </c>
      <c r="J760" s="117"/>
      <c r="K760" s="116">
        <v>0</v>
      </c>
      <c r="M760" s="136" t="s">
        <v>416</v>
      </c>
      <c r="N760" t="e">
        <v>#REF!</v>
      </c>
      <c r="Q760" t="s">
        <v>416</v>
      </c>
    </row>
    <row r="761" spans="1:17" hidden="1" x14ac:dyDescent="0.25">
      <c r="A761" s="114" t="s">
        <v>2255</v>
      </c>
      <c r="B761" s="115" t="s">
        <v>2256</v>
      </c>
      <c r="C761" s="116" t="s">
        <v>16</v>
      </c>
      <c r="D761" s="116">
        <v>0</v>
      </c>
      <c r="E761" s="136" t="s">
        <v>416</v>
      </c>
      <c r="F761" s="137" t="str">
        <f t="shared" si="88"/>
        <v/>
      </c>
      <c r="G761" s="138" t="e">
        <f>IF(A761&lt;&gt;"",IF(AND(#REF!="Padrão",$H$4=#REF!),BDI!$B$17,IF(AND(#REF!="Padrão",$H$4=#REF!),BDI!#REF!,IF(AND(#REF!="Diferenciado",$H$4=#REF!),BDI!$E$17,IF(AND(#REF!="Diferenciado",$H$4=#REF!),BDI!#REF!,IF(#REF!="ZERO",0))))),"")</f>
        <v>#REF!</v>
      </c>
      <c r="H761" s="139" t="str">
        <f t="shared" si="89"/>
        <v/>
      </c>
      <c r="I761" s="137" t="str">
        <f t="shared" si="90"/>
        <v/>
      </c>
      <c r="J761" s="117"/>
      <c r="K761" s="116">
        <v>0</v>
      </c>
      <c r="M761" s="136" t="s">
        <v>416</v>
      </c>
      <c r="N761" t="e">
        <v>#REF!</v>
      </c>
      <c r="Q761" t="s">
        <v>416</v>
      </c>
    </row>
    <row r="762" spans="1:17" hidden="1" x14ac:dyDescent="0.25">
      <c r="A762" s="114" t="s">
        <v>2257</v>
      </c>
      <c r="B762" s="115" t="s">
        <v>7665</v>
      </c>
      <c r="C762" s="116" t="s">
        <v>16</v>
      </c>
      <c r="D762" s="116">
        <v>0</v>
      </c>
      <c r="E762" s="136" t="s">
        <v>416</v>
      </c>
      <c r="F762" s="137" t="str">
        <f t="shared" si="88"/>
        <v/>
      </c>
      <c r="G762" s="138" t="e">
        <f>IF(A762&lt;&gt;"",IF(AND(#REF!="Padrão",$H$4=#REF!),BDI!$B$17,IF(AND(#REF!="Padrão",$H$4=#REF!),BDI!#REF!,IF(AND(#REF!="Diferenciado",$H$4=#REF!),BDI!$E$17,IF(AND(#REF!="Diferenciado",$H$4=#REF!),BDI!#REF!,IF(#REF!="ZERO",0))))),"")</f>
        <v>#REF!</v>
      </c>
      <c r="H762" s="139" t="str">
        <f t="shared" si="89"/>
        <v/>
      </c>
      <c r="I762" s="137" t="str">
        <f t="shared" si="90"/>
        <v/>
      </c>
      <c r="J762" s="117"/>
      <c r="K762" s="116">
        <v>0</v>
      </c>
      <c r="M762" s="136" t="s">
        <v>416</v>
      </c>
      <c r="N762" t="e">
        <v>#REF!</v>
      </c>
      <c r="Q762" t="s">
        <v>416</v>
      </c>
    </row>
    <row r="763" spans="1:17" hidden="1" x14ac:dyDescent="0.25">
      <c r="A763" s="114" t="s">
        <v>2258</v>
      </c>
      <c r="B763" s="115" t="s">
        <v>7666</v>
      </c>
      <c r="C763" s="116" t="s">
        <v>16</v>
      </c>
      <c r="D763" s="116">
        <v>0</v>
      </c>
      <c r="E763" s="136" t="s">
        <v>416</v>
      </c>
      <c r="F763" s="137" t="str">
        <f t="shared" si="88"/>
        <v/>
      </c>
      <c r="G763" s="138" t="e">
        <f>IF(A763&lt;&gt;"",IF(AND(#REF!="Padrão",$H$4=#REF!),BDI!$B$17,IF(AND(#REF!="Padrão",$H$4=#REF!),BDI!#REF!,IF(AND(#REF!="Diferenciado",$H$4=#REF!),BDI!$E$17,IF(AND(#REF!="Diferenciado",$H$4=#REF!),BDI!#REF!,IF(#REF!="ZERO",0))))),"")</f>
        <v>#REF!</v>
      </c>
      <c r="H763" s="139" t="str">
        <f t="shared" si="89"/>
        <v/>
      </c>
      <c r="I763" s="137" t="str">
        <f t="shared" si="90"/>
        <v/>
      </c>
      <c r="J763" s="117"/>
      <c r="K763" s="116">
        <v>0</v>
      </c>
      <c r="M763" s="136" t="s">
        <v>416</v>
      </c>
      <c r="N763" t="e">
        <v>#REF!</v>
      </c>
      <c r="Q763" t="s">
        <v>416</v>
      </c>
    </row>
    <row r="764" spans="1:17" hidden="1" x14ac:dyDescent="0.25">
      <c r="A764" s="114" t="s">
        <v>2259</v>
      </c>
      <c r="B764" s="115" t="s">
        <v>7667</v>
      </c>
      <c r="C764" s="116" t="s">
        <v>16</v>
      </c>
      <c r="D764" s="116">
        <v>0</v>
      </c>
      <c r="E764" s="136" t="s">
        <v>416</v>
      </c>
      <c r="F764" s="137" t="str">
        <f t="shared" si="88"/>
        <v/>
      </c>
      <c r="G764" s="138" t="e">
        <f>IF(A764&lt;&gt;"",IF(AND(#REF!="Padrão",$H$4=#REF!),BDI!$B$17,IF(AND(#REF!="Padrão",$H$4=#REF!),BDI!#REF!,IF(AND(#REF!="Diferenciado",$H$4=#REF!),BDI!$E$17,IF(AND(#REF!="Diferenciado",$H$4=#REF!),BDI!#REF!,IF(#REF!="ZERO",0))))),"")</f>
        <v>#REF!</v>
      </c>
      <c r="H764" s="139" t="str">
        <f t="shared" si="89"/>
        <v/>
      </c>
      <c r="I764" s="137" t="str">
        <f t="shared" si="90"/>
        <v/>
      </c>
      <c r="J764" s="117"/>
      <c r="K764" s="116">
        <v>0</v>
      </c>
      <c r="M764" s="136" t="s">
        <v>416</v>
      </c>
      <c r="N764" t="e">
        <v>#REF!</v>
      </c>
      <c r="Q764" t="s">
        <v>416</v>
      </c>
    </row>
    <row r="765" spans="1:17" hidden="1" x14ac:dyDescent="0.25">
      <c r="A765" s="114" t="s">
        <v>2260</v>
      </c>
      <c r="B765" s="115" t="s">
        <v>5447</v>
      </c>
      <c r="C765" s="116" t="s">
        <v>16</v>
      </c>
      <c r="D765" s="116">
        <v>0</v>
      </c>
      <c r="E765" s="136" t="s">
        <v>416</v>
      </c>
      <c r="F765" s="137" t="str">
        <f t="shared" si="88"/>
        <v/>
      </c>
      <c r="G765" s="138" t="e">
        <f>IF(A765&lt;&gt;"",IF(AND(#REF!="Padrão",$H$4=#REF!),BDI!$B$17,IF(AND(#REF!="Padrão",$H$4=#REF!),BDI!#REF!,IF(AND(#REF!="Diferenciado",$H$4=#REF!),BDI!$E$17,IF(AND(#REF!="Diferenciado",$H$4=#REF!),BDI!#REF!,IF(#REF!="ZERO",0))))),"")</f>
        <v>#REF!</v>
      </c>
      <c r="H765" s="139" t="str">
        <f t="shared" si="89"/>
        <v/>
      </c>
      <c r="I765" s="137" t="str">
        <f t="shared" si="90"/>
        <v/>
      </c>
      <c r="J765" s="117"/>
      <c r="K765" s="116">
        <v>0</v>
      </c>
      <c r="M765" s="136" t="s">
        <v>416</v>
      </c>
      <c r="N765" t="e">
        <v>#REF!</v>
      </c>
      <c r="Q765" t="s">
        <v>416</v>
      </c>
    </row>
    <row r="766" spans="1:17" hidden="1" x14ac:dyDescent="0.25">
      <c r="A766" s="114" t="s">
        <v>2261</v>
      </c>
      <c r="B766" s="115" t="s">
        <v>2262</v>
      </c>
      <c r="C766" s="116" t="s">
        <v>16</v>
      </c>
      <c r="D766" s="116">
        <v>0</v>
      </c>
      <c r="E766" s="136" t="s">
        <v>416</v>
      </c>
      <c r="F766" s="137" t="str">
        <f t="shared" si="88"/>
        <v/>
      </c>
      <c r="G766" s="138" t="e">
        <f>IF(A766&lt;&gt;"",IF(AND(#REF!="Padrão",$H$4=#REF!),BDI!$B$17,IF(AND(#REF!="Padrão",$H$4=#REF!),BDI!#REF!,IF(AND(#REF!="Diferenciado",$H$4=#REF!),BDI!$E$17,IF(AND(#REF!="Diferenciado",$H$4=#REF!),BDI!#REF!,IF(#REF!="ZERO",0))))),"")</f>
        <v>#REF!</v>
      </c>
      <c r="H766" s="139" t="str">
        <f t="shared" si="89"/>
        <v/>
      </c>
      <c r="I766" s="137" t="str">
        <f t="shared" si="90"/>
        <v/>
      </c>
      <c r="J766" s="117"/>
      <c r="K766" s="116">
        <v>0</v>
      </c>
      <c r="M766" s="136" t="s">
        <v>416</v>
      </c>
      <c r="N766" t="e">
        <v>#REF!</v>
      </c>
      <c r="Q766" t="s">
        <v>416</v>
      </c>
    </row>
    <row r="767" spans="1:17" hidden="1" x14ac:dyDescent="0.25">
      <c r="A767" s="114" t="s">
        <v>2263</v>
      </c>
      <c r="B767" s="115" t="s">
        <v>2264</v>
      </c>
      <c r="C767" s="116" t="s">
        <v>16</v>
      </c>
      <c r="D767" s="116">
        <v>0</v>
      </c>
      <c r="E767" s="136" t="s">
        <v>416</v>
      </c>
      <c r="F767" s="137" t="str">
        <f t="shared" si="88"/>
        <v/>
      </c>
      <c r="G767" s="138" t="e">
        <f>IF(A767&lt;&gt;"",IF(AND(#REF!="Padrão",$H$4=#REF!),BDI!$B$17,IF(AND(#REF!="Padrão",$H$4=#REF!),BDI!#REF!,IF(AND(#REF!="Diferenciado",$H$4=#REF!),BDI!$E$17,IF(AND(#REF!="Diferenciado",$H$4=#REF!),BDI!#REF!,IF(#REF!="ZERO",0))))),"")</f>
        <v>#REF!</v>
      </c>
      <c r="H767" s="139" t="str">
        <f t="shared" si="89"/>
        <v/>
      </c>
      <c r="I767" s="137" t="str">
        <f t="shared" si="90"/>
        <v/>
      </c>
      <c r="J767" s="117"/>
      <c r="K767" s="116">
        <v>0</v>
      </c>
      <c r="M767" s="136" t="s">
        <v>416</v>
      </c>
      <c r="N767" t="e">
        <v>#REF!</v>
      </c>
      <c r="Q767" t="s">
        <v>416</v>
      </c>
    </row>
    <row r="768" spans="1:17" hidden="1" x14ac:dyDescent="0.25">
      <c r="A768" s="114" t="s">
        <v>2265</v>
      </c>
      <c r="B768" s="115" t="s">
        <v>2266</v>
      </c>
      <c r="C768" s="116" t="s">
        <v>16</v>
      </c>
      <c r="D768" s="116">
        <v>0</v>
      </c>
      <c r="E768" s="136" t="s">
        <v>416</v>
      </c>
      <c r="F768" s="137" t="str">
        <f t="shared" si="88"/>
        <v/>
      </c>
      <c r="G768" s="138" t="e">
        <f>IF(A768&lt;&gt;"",IF(AND(#REF!="Padrão",$H$4=#REF!),BDI!$B$17,IF(AND(#REF!="Padrão",$H$4=#REF!),BDI!#REF!,IF(AND(#REF!="Diferenciado",$H$4=#REF!),BDI!$E$17,IF(AND(#REF!="Diferenciado",$H$4=#REF!),BDI!#REF!,IF(#REF!="ZERO",0))))),"")</f>
        <v>#REF!</v>
      </c>
      <c r="H768" s="139" t="str">
        <f t="shared" si="89"/>
        <v/>
      </c>
      <c r="I768" s="137" t="str">
        <f t="shared" si="90"/>
        <v/>
      </c>
      <c r="J768" s="117"/>
      <c r="K768" s="116">
        <v>0</v>
      </c>
      <c r="M768" s="136" t="s">
        <v>416</v>
      </c>
      <c r="N768" t="e">
        <v>#REF!</v>
      </c>
      <c r="Q768" t="s">
        <v>416</v>
      </c>
    </row>
    <row r="769" spans="1:17" hidden="1" x14ac:dyDescent="0.25">
      <c r="A769" s="114" t="s">
        <v>2267</v>
      </c>
      <c r="B769" s="115" t="s">
        <v>2268</v>
      </c>
      <c r="C769" s="116" t="s">
        <v>16</v>
      </c>
      <c r="D769" s="116">
        <v>0</v>
      </c>
      <c r="E769" s="136" t="s">
        <v>416</v>
      </c>
      <c r="F769" s="137" t="str">
        <f t="shared" si="88"/>
        <v/>
      </c>
      <c r="G769" s="138" t="e">
        <f>IF(A769&lt;&gt;"",IF(AND(#REF!="Padrão",$H$4=#REF!),BDI!$B$17,IF(AND(#REF!="Padrão",$H$4=#REF!),BDI!#REF!,IF(AND(#REF!="Diferenciado",$H$4=#REF!),BDI!$E$17,IF(AND(#REF!="Diferenciado",$H$4=#REF!),BDI!#REF!,IF(#REF!="ZERO",0))))),"")</f>
        <v>#REF!</v>
      </c>
      <c r="H769" s="139" t="str">
        <f t="shared" si="89"/>
        <v/>
      </c>
      <c r="I769" s="137" t="str">
        <f t="shared" si="90"/>
        <v/>
      </c>
      <c r="J769" s="117"/>
      <c r="K769" s="116">
        <v>0</v>
      </c>
      <c r="M769" s="136" t="s">
        <v>416</v>
      </c>
      <c r="N769" t="e">
        <v>#REF!</v>
      </c>
      <c r="Q769" t="s">
        <v>416</v>
      </c>
    </row>
    <row r="770" spans="1:17" hidden="1" x14ac:dyDescent="0.25">
      <c r="A770" s="114" t="s">
        <v>2269</v>
      </c>
      <c r="B770" s="115" t="s">
        <v>2270</v>
      </c>
      <c r="C770" s="116" t="s">
        <v>16</v>
      </c>
      <c r="D770" s="116">
        <v>0</v>
      </c>
      <c r="E770" s="136" t="s">
        <v>416</v>
      </c>
      <c r="F770" s="137" t="str">
        <f t="shared" si="88"/>
        <v/>
      </c>
      <c r="G770" s="138" t="e">
        <f>IF(A770&lt;&gt;"",IF(AND(#REF!="Padrão",$H$4=#REF!),BDI!$B$17,IF(AND(#REF!="Padrão",$H$4=#REF!),BDI!#REF!,IF(AND(#REF!="Diferenciado",$H$4=#REF!),BDI!$E$17,IF(AND(#REF!="Diferenciado",$H$4=#REF!),BDI!#REF!,IF(#REF!="ZERO",0))))),"")</f>
        <v>#REF!</v>
      </c>
      <c r="H770" s="139" t="str">
        <f t="shared" si="89"/>
        <v/>
      </c>
      <c r="I770" s="137" t="str">
        <f t="shared" si="90"/>
        <v/>
      </c>
      <c r="J770" s="117"/>
      <c r="K770" s="116">
        <v>0</v>
      </c>
      <c r="M770" s="136" t="s">
        <v>416</v>
      </c>
      <c r="N770" t="e">
        <v>#REF!</v>
      </c>
      <c r="Q770" t="s">
        <v>416</v>
      </c>
    </row>
    <row r="771" spans="1:17" hidden="1" x14ac:dyDescent="0.25">
      <c r="A771" s="114" t="s">
        <v>2271</v>
      </c>
      <c r="B771" s="115" t="s">
        <v>2272</v>
      </c>
      <c r="C771" s="116" t="s">
        <v>16</v>
      </c>
      <c r="D771" s="116">
        <v>0</v>
      </c>
      <c r="E771" s="136" t="s">
        <v>416</v>
      </c>
      <c r="F771" s="137" t="str">
        <f t="shared" si="88"/>
        <v/>
      </c>
      <c r="G771" s="138" t="e">
        <f>IF(A771&lt;&gt;"",IF(AND(#REF!="Padrão",$H$4=#REF!),BDI!$B$17,IF(AND(#REF!="Padrão",$H$4=#REF!),BDI!#REF!,IF(AND(#REF!="Diferenciado",$H$4=#REF!),BDI!$E$17,IF(AND(#REF!="Diferenciado",$H$4=#REF!),BDI!#REF!,IF(#REF!="ZERO",0))))),"")</f>
        <v>#REF!</v>
      </c>
      <c r="H771" s="139" t="str">
        <f t="shared" si="89"/>
        <v/>
      </c>
      <c r="I771" s="137" t="str">
        <f t="shared" si="90"/>
        <v/>
      </c>
      <c r="J771" s="117"/>
      <c r="K771" s="116">
        <v>0</v>
      </c>
      <c r="M771" s="136" t="s">
        <v>416</v>
      </c>
      <c r="N771" t="e">
        <v>#REF!</v>
      </c>
      <c r="Q771" t="s">
        <v>416</v>
      </c>
    </row>
    <row r="772" spans="1:17" hidden="1" x14ac:dyDescent="0.25">
      <c r="A772" s="114" t="s">
        <v>2273</v>
      </c>
      <c r="B772" s="115" t="s">
        <v>2274</v>
      </c>
      <c r="C772" s="116" t="s">
        <v>16</v>
      </c>
      <c r="D772" s="116">
        <v>0</v>
      </c>
      <c r="E772" s="136" t="s">
        <v>416</v>
      </c>
      <c r="F772" s="137" t="str">
        <f t="shared" si="88"/>
        <v/>
      </c>
      <c r="G772" s="138" t="e">
        <f>IF(A772&lt;&gt;"",IF(AND(#REF!="Padrão",$H$4=#REF!),BDI!$B$17,IF(AND(#REF!="Padrão",$H$4=#REF!),BDI!#REF!,IF(AND(#REF!="Diferenciado",$H$4=#REF!),BDI!$E$17,IF(AND(#REF!="Diferenciado",$H$4=#REF!),BDI!#REF!,IF(#REF!="ZERO",0))))),"")</f>
        <v>#REF!</v>
      </c>
      <c r="H772" s="139" t="str">
        <f t="shared" si="89"/>
        <v/>
      </c>
      <c r="I772" s="137" t="str">
        <f t="shared" si="90"/>
        <v/>
      </c>
      <c r="J772" s="117"/>
      <c r="K772" s="116">
        <v>0</v>
      </c>
      <c r="M772" s="136" t="s">
        <v>416</v>
      </c>
      <c r="N772" t="e">
        <v>#REF!</v>
      </c>
      <c r="Q772" t="s">
        <v>416</v>
      </c>
    </row>
    <row r="773" spans="1:17" hidden="1" x14ac:dyDescent="0.25">
      <c r="A773" s="114" t="s">
        <v>2275</v>
      </c>
      <c r="B773" s="115" t="s">
        <v>2276</v>
      </c>
      <c r="C773" s="116" t="s">
        <v>16</v>
      </c>
      <c r="D773" s="116">
        <v>0</v>
      </c>
      <c r="E773" s="136" t="s">
        <v>416</v>
      </c>
      <c r="F773" s="137" t="str">
        <f t="shared" si="88"/>
        <v/>
      </c>
      <c r="G773" s="138" t="e">
        <f>IF(A773&lt;&gt;"",IF(AND(#REF!="Padrão",$H$4=#REF!),BDI!$B$17,IF(AND(#REF!="Padrão",$H$4=#REF!),BDI!#REF!,IF(AND(#REF!="Diferenciado",$H$4=#REF!),BDI!$E$17,IF(AND(#REF!="Diferenciado",$H$4=#REF!),BDI!#REF!,IF(#REF!="ZERO",0))))),"")</f>
        <v>#REF!</v>
      </c>
      <c r="H773" s="139" t="str">
        <f t="shared" si="89"/>
        <v/>
      </c>
      <c r="I773" s="137" t="str">
        <f t="shared" si="90"/>
        <v/>
      </c>
      <c r="J773" s="117"/>
      <c r="K773" s="116">
        <v>0</v>
      </c>
      <c r="M773" s="136" t="s">
        <v>416</v>
      </c>
      <c r="N773" t="e">
        <v>#REF!</v>
      </c>
      <c r="Q773" t="s">
        <v>416</v>
      </c>
    </row>
    <row r="774" spans="1:17" hidden="1" x14ac:dyDescent="0.25">
      <c r="A774" s="114" t="s">
        <v>2277</v>
      </c>
      <c r="B774" s="115" t="s">
        <v>2278</v>
      </c>
      <c r="C774" s="116" t="s">
        <v>16</v>
      </c>
      <c r="D774" s="116">
        <v>0</v>
      </c>
      <c r="E774" s="136">
        <f ca="1">OFFSET(INDEX(Composições!A:J,MATCH(Orçamentária!A774,Composições!A:A,0),8),2,0)</f>
        <v>46.036999999999999</v>
      </c>
      <c r="F774" s="137">
        <f t="shared" ca="1" si="88"/>
        <v>0</v>
      </c>
      <c r="G774" s="138" t="e">
        <f>IF(A774&lt;&gt;"",IF(AND(#REF!="Padrão",$H$4=#REF!),BDI!$B$17,IF(AND(#REF!="Padrão",$H$4=#REF!),BDI!#REF!,IF(AND(#REF!="Diferenciado",$H$4=#REF!),BDI!$E$17,IF(AND(#REF!="Diferenciado",$H$4=#REF!),BDI!#REF!,IF(#REF!="ZERO",0))))),"")</f>
        <v>#REF!</v>
      </c>
      <c r="H774" s="139" t="e">
        <f t="shared" ca="1" si="89"/>
        <v>#REF!</v>
      </c>
      <c r="I774" s="137" t="e">
        <f t="shared" ca="1" si="90"/>
        <v>#REF!</v>
      </c>
      <c r="J774" s="117"/>
      <c r="K774" s="116">
        <v>0</v>
      </c>
      <c r="M774" s="136" t="e">
        <f ca="1">OFFSET(INDEX([1]Composições!I:R,MATCH([1]Orçamentária!I774,[1]Composições!I:I,0),8),2,0)</f>
        <v>#REF!</v>
      </c>
      <c r="N774" t="e">
        <v>#REF!</v>
      </c>
      <c r="Q774" t="e">
        <v>#REF!</v>
      </c>
    </row>
    <row r="775" spans="1:17" hidden="1" x14ac:dyDescent="0.25">
      <c r="A775" s="114" t="s">
        <v>2279</v>
      </c>
      <c r="B775" s="115" t="s">
        <v>2280</v>
      </c>
      <c r="C775" s="116" t="s">
        <v>16</v>
      </c>
      <c r="D775" s="116">
        <v>0</v>
      </c>
      <c r="E775" s="136">
        <f ca="1">OFFSET(INDEX(Composições!A:J,MATCH(Orçamentária!A775,Composições!A:A,0),8),2,0)</f>
        <v>52.487499999999997</v>
      </c>
      <c r="F775" s="137">
        <f t="shared" ref="F775:F838" ca="1" si="91">IF(ISNUMBER(E775),D775*E775,"")</f>
        <v>0</v>
      </c>
      <c r="G775" s="138" t="e">
        <f>IF(A775&lt;&gt;"",IF(AND(#REF!="Padrão",$H$4=#REF!),BDI!$B$17,IF(AND(#REF!="Padrão",$H$4=#REF!),BDI!#REF!,IF(AND(#REF!="Diferenciado",$H$4=#REF!),BDI!$E$17,IF(AND(#REF!="Diferenciado",$H$4=#REF!),BDI!#REF!,IF(#REF!="ZERO",0))))),"")</f>
        <v>#REF!</v>
      </c>
      <c r="H775" s="139" t="e">
        <f t="shared" ref="H775:H838" ca="1" si="92">IF(ISNUMBER(E775),ROUND(E775*(1+G775),2),"")</f>
        <v>#REF!</v>
      </c>
      <c r="I775" s="137" t="e">
        <f t="shared" ref="I775:I838" ca="1" si="93">IF(ISNUMBER(E775),ROUND(H775*D775,2),"")</f>
        <v>#REF!</v>
      </c>
      <c r="J775" s="117"/>
      <c r="K775" s="116">
        <v>0</v>
      </c>
      <c r="M775" s="136" t="e">
        <f ca="1">OFFSET(INDEX([1]Composições!I:R,MATCH([1]Orçamentária!I775,[1]Composições!I:I,0),8),2,0)</f>
        <v>#REF!</v>
      </c>
      <c r="N775" t="e">
        <v>#REF!</v>
      </c>
      <c r="Q775" t="e">
        <v>#REF!</v>
      </c>
    </row>
    <row r="776" spans="1:17" hidden="1" x14ac:dyDescent="0.25">
      <c r="A776" s="114" t="s">
        <v>2281</v>
      </c>
      <c r="B776" s="115" t="s">
        <v>5448</v>
      </c>
      <c r="C776" s="116" t="s">
        <v>16</v>
      </c>
      <c r="D776" s="116">
        <v>0</v>
      </c>
      <c r="E776" s="136" t="s">
        <v>416</v>
      </c>
      <c r="F776" s="137" t="str">
        <f t="shared" si="91"/>
        <v/>
      </c>
      <c r="G776" s="138" t="e">
        <f>IF(A776&lt;&gt;"",IF(AND(#REF!="Padrão",$H$4=#REF!),BDI!$B$17,IF(AND(#REF!="Padrão",$H$4=#REF!),BDI!#REF!,IF(AND(#REF!="Diferenciado",$H$4=#REF!),BDI!$E$17,IF(AND(#REF!="Diferenciado",$H$4=#REF!),BDI!#REF!,IF(#REF!="ZERO",0))))),"")</f>
        <v>#REF!</v>
      </c>
      <c r="H776" s="139" t="str">
        <f t="shared" si="92"/>
        <v/>
      </c>
      <c r="I776" s="137" t="str">
        <f t="shared" si="93"/>
        <v/>
      </c>
      <c r="J776" s="117"/>
      <c r="K776" s="116">
        <v>0</v>
      </c>
      <c r="M776" s="136" t="s">
        <v>416</v>
      </c>
      <c r="N776" t="e">
        <v>#REF!</v>
      </c>
      <c r="Q776" t="s">
        <v>416</v>
      </c>
    </row>
    <row r="777" spans="1:17" hidden="1" x14ac:dyDescent="0.25">
      <c r="A777" s="114" t="s">
        <v>2282</v>
      </c>
      <c r="B777" s="115" t="s">
        <v>7668</v>
      </c>
      <c r="C777" s="116" t="s">
        <v>16</v>
      </c>
      <c r="D777" s="116">
        <v>0</v>
      </c>
      <c r="E777" s="136">
        <f ca="1">OFFSET(INDEX(Composições!A:J,MATCH(Orçamentária!A777,Composições!A:A,0),8),2,0)</f>
        <v>123.17699999999999</v>
      </c>
      <c r="F777" s="137">
        <f t="shared" ca="1" si="91"/>
        <v>0</v>
      </c>
      <c r="G777" s="138" t="e">
        <f>IF(A777&lt;&gt;"",IF(AND(#REF!="Padrão",$H$4=#REF!),BDI!$B$17,IF(AND(#REF!="Padrão",$H$4=#REF!),BDI!#REF!,IF(AND(#REF!="Diferenciado",$H$4=#REF!),BDI!$E$17,IF(AND(#REF!="Diferenciado",$H$4=#REF!),BDI!#REF!,IF(#REF!="ZERO",0))))),"")</f>
        <v>#REF!</v>
      </c>
      <c r="H777" s="139" t="e">
        <f t="shared" ca="1" si="92"/>
        <v>#REF!</v>
      </c>
      <c r="I777" s="137" t="e">
        <f t="shared" ca="1" si="93"/>
        <v>#REF!</v>
      </c>
      <c r="J777" s="117"/>
      <c r="K777" s="116">
        <v>0</v>
      </c>
      <c r="M777" s="136" t="e">
        <f ca="1">OFFSET(INDEX([1]Composições!I:R,MATCH([1]Orçamentária!I777,[1]Composições!I:I,0),8),2,0)</f>
        <v>#REF!</v>
      </c>
      <c r="N777" t="e">
        <v>#REF!</v>
      </c>
      <c r="Q777" t="e">
        <v>#REF!</v>
      </c>
    </row>
    <row r="778" spans="1:17" hidden="1" x14ac:dyDescent="0.25">
      <c r="A778" s="114" t="s">
        <v>2283</v>
      </c>
      <c r="B778" s="115" t="s">
        <v>5507</v>
      </c>
      <c r="C778" s="116" t="s">
        <v>16</v>
      </c>
      <c r="D778" s="116">
        <v>0</v>
      </c>
      <c r="E778" s="136" t="s">
        <v>416</v>
      </c>
      <c r="F778" s="137" t="str">
        <f t="shared" si="91"/>
        <v/>
      </c>
      <c r="G778" s="138" t="e">
        <f>IF(A778&lt;&gt;"",IF(AND(#REF!="Padrão",$H$4=#REF!),BDI!$B$17,IF(AND(#REF!="Padrão",$H$4=#REF!),BDI!#REF!,IF(AND(#REF!="Diferenciado",$H$4=#REF!),BDI!$E$17,IF(AND(#REF!="Diferenciado",$H$4=#REF!),BDI!#REF!,IF(#REF!="ZERO",0))))),"")</f>
        <v>#REF!</v>
      </c>
      <c r="H778" s="139" t="str">
        <f t="shared" si="92"/>
        <v/>
      </c>
      <c r="I778" s="137" t="str">
        <f t="shared" si="93"/>
        <v/>
      </c>
      <c r="J778" s="117"/>
      <c r="K778" s="116">
        <v>0</v>
      </c>
      <c r="M778" s="136" t="s">
        <v>416</v>
      </c>
      <c r="N778" t="e">
        <v>#REF!</v>
      </c>
      <c r="Q778" t="s">
        <v>416</v>
      </c>
    </row>
    <row r="779" spans="1:17" hidden="1" x14ac:dyDescent="0.25">
      <c r="A779" s="114" t="s">
        <v>2284</v>
      </c>
      <c r="B779" s="115" t="s">
        <v>2285</v>
      </c>
      <c r="C779" s="116" t="s">
        <v>16</v>
      </c>
      <c r="D779" s="116">
        <v>0</v>
      </c>
      <c r="E779" s="136" t="s">
        <v>416</v>
      </c>
      <c r="F779" s="137" t="str">
        <f t="shared" si="91"/>
        <v/>
      </c>
      <c r="G779" s="138" t="e">
        <f>IF(A779&lt;&gt;"",IF(AND(#REF!="Padrão",$H$4=#REF!),BDI!$B$17,IF(AND(#REF!="Padrão",$H$4=#REF!),BDI!#REF!,IF(AND(#REF!="Diferenciado",$H$4=#REF!),BDI!$E$17,IF(AND(#REF!="Diferenciado",$H$4=#REF!),BDI!#REF!,IF(#REF!="ZERO",0))))),"")</f>
        <v>#REF!</v>
      </c>
      <c r="H779" s="139" t="str">
        <f t="shared" si="92"/>
        <v/>
      </c>
      <c r="I779" s="137" t="str">
        <f t="shared" si="93"/>
        <v/>
      </c>
      <c r="J779" s="117"/>
      <c r="K779" s="116">
        <v>0</v>
      </c>
      <c r="M779" s="136" t="s">
        <v>416</v>
      </c>
      <c r="N779" t="e">
        <v>#REF!</v>
      </c>
      <c r="Q779" t="s">
        <v>416</v>
      </c>
    </row>
    <row r="780" spans="1:17" hidden="1" x14ac:dyDescent="0.25">
      <c r="A780" s="114" t="s">
        <v>2286</v>
      </c>
      <c r="B780" s="115" t="s">
        <v>5449</v>
      </c>
      <c r="C780" s="116" t="s">
        <v>16</v>
      </c>
      <c r="D780" s="116">
        <v>0</v>
      </c>
      <c r="E780" s="136" t="s">
        <v>416</v>
      </c>
      <c r="F780" s="137" t="str">
        <f t="shared" si="91"/>
        <v/>
      </c>
      <c r="G780" s="138" t="e">
        <f>IF(A780&lt;&gt;"",IF(AND(#REF!="Padrão",$H$4=#REF!),BDI!$B$17,IF(AND(#REF!="Padrão",$H$4=#REF!),BDI!#REF!,IF(AND(#REF!="Diferenciado",$H$4=#REF!),BDI!$E$17,IF(AND(#REF!="Diferenciado",$H$4=#REF!),BDI!#REF!,IF(#REF!="ZERO",0))))),"")</f>
        <v>#REF!</v>
      </c>
      <c r="H780" s="139" t="str">
        <f t="shared" si="92"/>
        <v/>
      </c>
      <c r="I780" s="137" t="str">
        <f t="shared" si="93"/>
        <v/>
      </c>
      <c r="J780" s="117"/>
      <c r="K780" s="116">
        <v>0</v>
      </c>
      <c r="M780" s="136" t="s">
        <v>416</v>
      </c>
      <c r="N780" t="e">
        <v>#REF!</v>
      </c>
      <c r="Q780" t="s">
        <v>416</v>
      </c>
    </row>
    <row r="781" spans="1:17" hidden="1" x14ac:dyDescent="0.25">
      <c r="A781" s="114" t="s">
        <v>2287</v>
      </c>
      <c r="B781" s="115" t="s">
        <v>2288</v>
      </c>
      <c r="C781" s="116" t="s">
        <v>16</v>
      </c>
      <c r="D781" s="116">
        <v>0</v>
      </c>
      <c r="E781" s="136" t="s">
        <v>416</v>
      </c>
      <c r="F781" s="137" t="str">
        <f t="shared" si="91"/>
        <v/>
      </c>
      <c r="G781" s="138" t="e">
        <f>IF(A781&lt;&gt;"",IF(AND(#REF!="Padrão",$H$4=#REF!),BDI!$B$17,IF(AND(#REF!="Padrão",$H$4=#REF!),BDI!#REF!,IF(AND(#REF!="Diferenciado",$H$4=#REF!),BDI!$E$17,IF(AND(#REF!="Diferenciado",$H$4=#REF!),BDI!#REF!,IF(#REF!="ZERO",0))))),"")</f>
        <v>#REF!</v>
      </c>
      <c r="H781" s="139" t="str">
        <f t="shared" si="92"/>
        <v/>
      </c>
      <c r="I781" s="137" t="str">
        <f t="shared" si="93"/>
        <v/>
      </c>
      <c r="J781" s="117"/>
      <c r="K781" s="116">
        <v>0</v>
      </c>
      <c r="M781" s="136" t="s">
        <v>416</v>
      </c>
      <c r="N781" t="e">
        <v>#REF!</v>
      </c>
      <c r="Q781" t="s">
        <v>416</v>
      </c>
    </row>
    <row r="782" spans="1:17" hidden="1" x14ac:dyDescent="0.25">
      <c r="A782" s="114" t="s">
        <v>2289</v>
      </c>
      <c r="B782" s="115" t="s">
        <v>5508</v>
      </c>
      <c r="C782" s="116" t="s">
        <v>16</v>
      </c>
      <c r="D782" s="116">
        <v>0</v>
      </c>
      <c r="E782" s="136" t="s">
        <v>416</v>
      </c>
      <c r="F782" s="137" t="str">
        <f t="shared" si="91"/>
        <v/>
      </c>
      <c r="G782" s="138" t="e">
        <f>IF(A782&lt;&gt;"",IF(AND(#REF!="Padrão",$H$4=#REF!),BDI!$B$17,IF(AND(#REF!="Padrão",$H$4=#REF!),BDI!#REF!,IF(AND(#REF!="Diferenciado",$H$4=#REF!),BDI!$E$17,IF(AND(#REF!="Diferenciado",$H$4=#REF!),BDI!#REF!,IF(#REF!="ZERO",0))))),"")</f>
        <v>#REF!</v>
      </c>
      <c r="H782" s="139" t="str">
        <f t="shared" si="92"/>
        <v/>
      </c>
      <c r="I782" s="137" t="str">
        <f t="shared" si="93"/>
        <v/>
      </c>
      <c r="J782" s="117"/>
      <c r="K782" s="116">
        <v>0</v>
      </c>
      <c r="M782" s="136" t="s">
        <v>416</v>
      </c>
      <c r="N782" t="e">
        <v>#REF!</v>
      </c>
      <c r="Q782" t="s">
        <v>416</v>
      </c>
    </row>
    <row r="783" spans="1:17" hidden="1" x14ac:dyDescent="0.25">
      <c r="A783" s="114" t="s">
        <v>2290</v>
      </c>
      <c r="B783" s="115" t="s">
        <v>2291</v>
      </c>
      <c r="C783" s="116" t="s">
        <v>16</v>
      </c>
      <c r="D783" s="116">
        <v>0</v>
      </c>
      <c r="E783" s="136" t="s">
        <v>416</v>
      </c>
      <c r="F783" s="137" t="str">
        <f t="shared" si="91"/>
        <v/>
      </c>
      <c r="G783" s="138" t="e">
        <f>IF(A783&lt;&gt;"",IF(AND(#REF!="Padrão",$H$4=#REF!),BDI!$B$17,IF(AND(#REF!="Padrão",$H$4=#REF!),BDI!#REF!,IF(AND(#REF!="Diferenciado",$H$4=#REF!),BDI!$E$17,IF(AND(#REF!="Diferenciado",$H$4=#REF!),BDI!#REF!,IF(#REF!="ZERO",0))))),"")</f>
        <v>#REF!</v>
      </c>
      <c r="H783" s="139" t="str">
        <f t="shared" si="92"/>
        <v/>
      </c>
      <c r="I783" s="137" t="str">
        <f t="shared" si="93"/>
        <v/>
      </c>
      <c r="J783" s="117"/>
      <c r="K783" s="116">
        <v>0</v>
      </c>
      <c r="M783" s="136" t="s">
        <v>416</v>
      </c>
      <c r="N783" t="e">
        <v>#REF!</v>
      </c>
      <c r="Q783" t="s">
        <v>416</v>
      </c>
    </row>
    <row r="784" spans="1:17" hidden="1" x14ac:dyDescent="0.25">
      <c r="A784" s="114" t="s">
        <v>2292</v>
      </c>
      <c r="B784" s="115" t="s">
        <v>2293</v>
      </c>
      <c r="C784" s="116" t="s">
        <v>16</v>
      </c>
      <c r="D784" s="116">
        <v>0</v>
      </c>
      <c r="E784" s="136" t="s">
        <v>416</v>
      </c>
      <c r="F784" s="137" t="str">
        <f t="shared" si="91"/>
        <v/>
      </c>
      <c r="G784" s="138" t="e">
        <f>IF(A784&lt;&gt;"",IF(AND(#REF!="Padrão",$H$4=#REF!),BDI!$B$17,IF(AND(#REF!="Padrão",$H$4=#REF!),BDI!#REF!,IF(AND(#REF!="Diferenciado",$H$4=#REF!),BDI!$E$17,IF(AND(#REF!="Diferenciado",$H$4=#REF!),BDI!#REF!,IF(#REF!="ZERO",0))))),"")</f>
        <v>#REF!</v>
      </c>
      <c r="H784" s="139" t="str">
        <f t="shared" si="92"/>
        <v/>
      </c>
      <c r="I784" s="137" t="str">
        <f t="shared" si="93"/>
        <v/>
      </c>
      <c r="J784" s="117"/>
      <c r="K784" s="116">
        <v>0</v>
      </c>
      <c r="M784" s="136" t="s">
        <v>416</v>
      </c>
      <c r="N784" t="e">
        <v>#REF!</v>
      </c>
      <c r="Q784" t="s">
        <v>416</v>
      </c>
    </row>
    <row r="785" spans="1:17" hidden="1" x14ac:dyDescent="0.25">
      <c r="A785" s="114" t="s">
        <v>2294</v>
      </c>
      <c r="B785" s="115" t="s">
        <v>2295</v>
      </c>
      <c r="C785" s="116" t="s">
        <v>16</v>
      </c>
      <c r="D785" s="116">
        <v>0</v>
      </c>
      <c r="E785" s="136" t="s">
        <v>416</v>
      </c>
      <c r="F785" s="137" t="str">
        <f t="shared" si="91"/>
        <v/>
      </c>
      <c r="G785" s="138" t="e">
        <f>IF(A785&lt;&gt;"",IF(AND(#REF!="Padrão",$H$4=#REF!),BDI!$B$17,IF(AND(#REF!="Padrão",$H$4=#REF!),BDI!#REF!,IF(AND(#REF!="Diferenciado",$H$4=#REF!),BDI!$E$17,IF(AND(#REF!="Diferenciado",$H$4=#REF!),BDI!#REF!,IF(#REF!="ZERO",0))))),"")</f>
        <v>#REF!</v>
      </c>
      <c r="H785" s="139" t="str">
        <f t="shared" si="92"/>
        <v/>
      </c>
      <c r="I785" s="137" t="str">
        <f t="shared" si="93"/>
        <v/>
      </c>
      <c r="J785" s="117"/>
      <c r="K785" s="116">
        <v>0</v>
      </c>
      <c r="M785" s="136" t="s">
        <v>416</v>
      </c>
      <c r="N785" t="e">
        <v>#REF!</v>
      </c>
      <c r="Q785" t="s">
        <v>416</v>
      </c>
    </row>
    <row r="786" spans="1:17" hidden="1" x14ac:dyDescent="0.25">
      <c r="A786" s="114" t="s">
        <v>2296</v>
      </c>
      <c r="B786" s="115" t="s">
        <v>2297</v>
      </c>
      <c r="C786" s="116" t="s">
        <v>16</v>
      </c>
      <c r="D786" s="116">
        <v>0</v>
      </c>
      <c r="E786" s="136" t="s">
        <v>416</v>
      </c>
      <c r="F786" s="137" t="str">
        <f t="shared" si="91"/>
        <v/>
      </c>
      <c r="G786" s="138" t="e">
        <f>IF(A786&lt;&gt;"",IF(AND(#REF!="Padrão",$H$4=#REF!),BDI!$B$17,IF(AND(#REF!="Padrão",$H$4=#REF!),BDI!#REF!,IF(AND(#REF!="Diferenciado",$H$4=#REF!),BDI!$E$17,IF(AND(#REF!="Diferenciado",$H$4=#REF!),BDI!#REF!,IF(#REF!="ZERO",0))))),"")</f>
        <v>#REF!</v>
      </c>
      <c r="H786" s="139" t="str">
        <f t="shared" si="92"/>
        <v/>
      </c>
      <c r="I786" s="137" t="str">
        <f t="shared" si="93"/>
        <v/>
      </c>
      <c r="J786" s="117"/>
      <c r="K786" s="116">
        <v>0</v>
      </c>
      <c r="M786" s="136" t="s">
        <v>416</v>
      </c>
      <c r="N786" t="e">
        <v>#REF!</v>
      </c>
      <c r="Q786" t="s">
        <v>416</v>
      </c>
    </row>
    <row r="787" spans="1:17" hidden="1" x14ac:dyDescent="0.25">
      <c r="A787" s="114" t="s">
        <v>2298</v>
      </c>
      <c r="B787" s="115" t="s">
        <v>2299</v>
      </c>
      <c r="C787" s="116" t="s">
        <v>16</v>
      </c>
      <c r="D787" s="116">
        <v>0</v>
      </c>
      <c r="E787" s="136" t="s">
        <v>416</v>
      </c>
      <c r="F787" s="137" t="str">
        <f t="shared" si="91"/>
        <v/>
      </c>
      <c r="G787" s="138" t="e">
        <f>IF(A787&lt;&gt;"",IF(AND(#REF!="Padrão",$H$4=#REF!),BDI!$B$17,IF(AND(#REF!="Padrão",$H$4=#REF!),BDI!#REF!,IF(AND(#REF!="Diferenciado",$H$4=#REF!),BDI!$E$17,IF(AND(#REF!="Diferenciado",$H$4=#REF!),BDI!#REF!,IF(#REF!="ZERO",0))))),"")</f>
        <v>#REF!</v>
      </c>
      <c r="H787" s="139" t="str">
        <f t="shared" si="92"/>
        <v/>
      </c>
      <c r="I787" s="137" t="str">
        <f t="shared" si="93"/>
        <v/>
      </c>
      <c r="J787" s="117"/>
      <c r="K787" s="116">
        <v>0</v>
      </c>
      <c r="M787" s="136" t="s">
        <v>416</v>
      </c>
      <c r="N787" t="e">
        <v>#REF!</v>
      </c>
      <c r="Q787" t="s">
        <v>416</v>
      </c>
    </row>
    <row r="788" spans="1:17" hidden="1" x14ac:dyDescent="0.25">
      <c r="A788" s="114" t="s">
        <v>2300</v>
      </c>
      <c r="B788" s="115" t="s">
        <v>2301</v>
      </c>
      <c r="C788" s="116" t="s">
        <v>16</v>
      </c>
      <c r="D788" s="116">
        <v>0</v>
      </c>
      <c r="E788" s="136" t="s">
        <v>416</v>
      </c>
      <c r="F788" s="137" t="str">
        <f t="shared" si="91"/>
        <v/>
      </c>
      <c r="G788" s="138" t="e">
        <f>IF(A788&lt;&gt;"",IF(AND(#REF!="Padrão",$H$4=#REF!),BDI!$B$17,IF(AND(#REF!="Padrão",$H$4=#REF!),BDI!#REF!,IF(AND(#REF!="Diferenciado",$H$4=#REF!),BDI!$E$17,IF(AND(#REF!="Diferenciado",$H$4=#REF!),BDI!#REF!,IF(#REF!="ZERO",0))))),"")</f>
        <v>#REF!</v>
      </c>
      <c r="H788" s="139" t="str">
        <f t="shared" si="92"/>
        <v/>
      </c>
      <c r="I788" s="137" t="str">
        <f t="shared" si="93"/>
        <v/>
      </c>
      <c r="J788" s="117"/>
      <c r="K788" s="116">
        <v>0</v>
      </c>
      <c r="M788" s="136" t="s">
        <v>416</v>
      </c>
      <c r="N788" t="e">
        <v>#REF!</v>
      </c>
      <c r="Q788" t="s">
        <v>416</v>
      </c>
    </row>
    <row r="789" spans="1:17" hidden="1" x14ac:dyDescent="0.25">
      <c r="A789" s="114" t="s">
        <v>2302</v>
      </c>
      <c r="B789" s="115" t="s">
        <v>2303</v>
      </c>
      <c r="C789" s="116" t="s">
        <v>16</v>
      </c>
      <c r="D789" s="116">
        <v>0</v>
      </c>
      <c r="E789" s="136" t="s">
        <v>416</v>
      </c>
      <c r="F789" s="137" t="str">
        <f t="shared" si="91"/>
        <v/>
      </c>
      <c r="G789" s="138" t="e">
        <f>IF(A789&lt;&gt;"",IF(AND(#REF!="Padrão",$H$4=#REF!),BDI!$B$17,IF(AND(#REF!="Padrão",$H$4=#REF!),BDI!#REF!,IF(AND(#REF!="Diferenciado",$H$4=#REF!),BDI!$E$17,IF(AND(#REF!="Diferenciado",$H$4=#REF!),BDI!#REF!,IF(#REF!="ZERO",0))))),"")</f>
        <v>#REF!</v>
      </c>
      <c r="H789" s="139" t="str">
        <f t="shared" si="92"/>
        <v/>
      </c>
      <c r="I789" s="137" t="str">
        <f t="shared" si="93"/>
        <v/>
      </c>
      <c r="J789" s="117"/>
      <c r="K789" s="116">
        <v>0</v>
      </c>
      <c r="M789" s="136" t="s">
        <v>416</v>
      </c>
      <c r="N789" t="e">
        <v>#REF!</v>
      </c>
      <c r="Q789" t="s">
        <v>416</v>
      </c>
    </row>
    <row r="790" spans="1:17" hidden="1" x14ac:dyDescent="0.25">
      <c r="A790" s="114" t="s">
        <v>2304</v>
      </c>
      <c r="B790" s="115" t="s">
        <v>2305</v>
      </c>
      <c r="C790" s="116" t="s">
        <v>16</v>
      </c>
      <c r="D790" s="116">
        <v>0</v>
      </c>
      <c r="E790" s="136" t="s">
        <v>416</v>
      </c>
      <c r="F790" s="137" t="str">
        <f t="shared" si="91"/>
        <v/>
      </c>
      <c r="G790" s="138" t="e">
        <f>IF(A790&lt;&gt;"",IF(AND(#REF!="Padrão",$H$4=#REF!),BDI!$B$17,IF(AND(#REF!="Padrão",$H$4=#REF!),BDI!#REF!,IF(AND(#REF!="Diferenciado",$H$4=#REF!),BDI!$E$17,IF(AND(#REF!="Diferenciado",$H$4=#REF!),BDI!#REF!,IF(#REF!="ZERO",0))))),"")</f>
        <v>#REF!</v>
      </c>
      <c r="H790" s="139" t="str">
        <f t="shared" si="92"/>
        <v/>
      </c>
      <c r="I790" s="137" t="str">
        <f t="shared" si="93"/>
        <v/>
      </c>
      <c r="J790" s="117"/>
      <c r="K790" s="116">
        <v>0</v>
      </c>
      <c r="M790" s="136" t="s">
        <v>416</v>
      </c>
      <c r="N790" t="e">
        <v>#REF!</v>
      </c>
      <c r="Q790" t="s">
        <v>416</v>
      </c>
    </row>
    <row r="791" spans="1:17" hidden="1" x14ac:dyDescent="0.25">
      <c r="A791" s="114" t="s">
        <v>2306</v>
      </c>
      <c r="B791" s="115" t="s">
        <v>2307</v>
      </c>
      <c r="C791" s="116" t="s">
        <v>16</v>
      </c>
      <c r="D791" s="116">
        <v>0</v>
      </c>
      <c r="E791" s="136" t="s">
        <v>416</v>
      </c>
      <c r="F791" s="137" t="str">
        <f t="shared" si="91"/>
        <v/>
      </c>
      <c r="G791" s="138" t="e">
        <f>IF(A791&lt;&gt;"",IF(AND(#REF!="Padrão",$H$4=#REF!),BDI!$B$17,IF(AND(#REF!="Padrão",$H$4=#REF!),BDI!#REF!,IF(AND(#REF!="Diferenciado",$H$4=#REF!),BDI!$E$17,IF(AND(#REF!="Diferenciado",$H$4=#REF!),BDI!#REF!,IF(#REF!="ZERO",0))))),"")</f>
        <v>#REF!</v>
      </c>
      <c r="H791" s="139" t="str">
        <f t="shared" si="92"/>
        <v/>
      </c>
      <c r="I791" s="137" t="str">
        <f t="shared" si="93"/>
        <v/>
      </c>
      <c r="J791" s="117"/>
      <c r="K791" s="116">
        <v>0</v>
      </c>
      <c r="M791" s="136" t="s">
        <v>416</v>
      </c>
      <c r="N791" t="e">
        <v>#REF!</v>
      </c>
      <c r="Q791" t="s">
        <v>416</v>
      </c>
    </row>
    <row r="792" spans="1:17" hidden="1" x14ac:dyDescent="0.25">
      <c r="A792" s="114" t="s">
        <v>2308</v>
      </c>
      <c r="B792" s="115" t="s">
        <v>2309</v>
      </c>
      <c r="C792" s="116" t="s">
        <v>16</v>
      </c>
      <c r="D792" s="116">
        <v>0</v>
      </c>
      <c r="E792" s="136" t="s">
        <v>416</v>
      </c>
      <c r="F792" s="137" t="str">
        <f t="shared" si="91"/>
        <v/>
      </c>
      <c r="G792" s="138" t="e">
        <f>IF(A792&lt;&gt;"",IF(AND(#REF!="Padrão",$H$4=#REF!),BDI!$B$17,IF(AND(#REF!="Padrão",$H$4=#REF!),BDI!#REF!,IF(AND(#REF!="Diferenciado",$H$4=#REF!),BDI!$E$17,IF(AND(#REF!="Diferenciado",$H$4=#REF!),BDI!#REF!,IF(#REF!="ZERO",0))))),"")</f>
        <v>#REF!</v>
      </c>
      <c r="H792" s="139" t="str">
        <f t="shared" si="92"/>
        <v/>
      </c>
      <c r="I792" s="137" t="str">
        <f t="shared" si="93"/>
        <v/>
      </c>
      <c r="J792" s="117"/>
      <c r="K792" s="116">
        <v>0</v>
      </c>
      <c r="M792" s="136" t="s">
        <v>416</v>
      </c>
      <c r="N792" t="e">
        <v>#REF!</v>
      </c>
      <c r="Q792" t="s">
        <v>416</v>
      </c>
    </row>
    <row r="793" spans="1:17" hidden="1" x14ac:dyDescent="0.25">
      <c r="A793" s="114" t="s">
        <v>2310</v>
      </c>
      <c r="B793" s="115" t="s">
        <v>2311</v>
      </c>
      <c r="C793" s="116" t="s">
        <v>16</v>
      </c>
      <c r="D793" s="116">
        <v>0</v>
      </c>
      <c r="E793" s="136" t="s">
        <v>416</v>
      </c>
      <c r="F793" s="137" t="str">
        <f t="shared" si="91"/>
        <v/>
      </c>
      <c r="G793" s="138" t="e">
        <f>IF(A793&lt;&gt;"",IF(AND(#REF!="Padrão",$H$4=#REF!),BDI!$B$17,IF(AND(#REF!="Padrão",$H$4=#REF!),BDI!#REF!,IF(AND(#REF!="Diferenciado",$H$4=#REF!),BDI!$E$17,IF(AND(#REF!="Diferenciado",$H$4=#REF!),BDI!#REF!,IF(#REF!="ZERO",0))))),"")</f>
        <v>#REF!</v>
      </c>
      <c r="H793" s="139" t="str">
        <f t="shared" si="92"/>
        <v/>
      </c>
      <c r="I793" s="137" t="str">
        <f t="shared" si="93"/>
        <v/>
      </c>
      <c r="J793" s="117"/>
      <c r="K793" s="116">
        <v>0</v>
      </c>
      <c r="M793" s="136" t="s">
        <v>416</v>
      </c>
      <c r="N793" t="e">
        <v>#REF!</v>
      </c>
      <c r="Q793" t="s">
        <v>416</v>
      </c>
    </row>
    <row r="794" spans="1:17" hidden="1" x14ac:dyDescent="0.25">
      <c r="A794" s="114" t="s">
        <v>2312</v>
      </c>
      <c r="B794" s="115" t="s">
        <v>2313</v>
      </c>
      <c r="C794" s="116" t="s">
        <v>16</v>
      </c>
      <c r="D794" s="116">
        <v>0</v>
      </c>
      <c r="E794" s="136" t="s">
        <v>416</v>
      </c>
      <c r="F794" s="137" t="str">
        <f t="shared" si="91"/>
        <v/>
      </c>
      <c r="G794" s="138" t="e">
        <f>IF(A794&lt;&gt;"",IF(AND(#REF!="Padrão",$H$4=#REF!),BDI!$B$17,IF(AND(#REF!="Padrão",$H$4=#REF!),BDI!#REF!,IF(AND(#REF!="Diferenciado",$H$4=#REF!),BDI!$E$17,IF(AND(#REF!="Diferenciado",$H$4=#REF!),BDI!#REF!,IF(#REF!="ZERO",0))))),"")</f>
        <v>#REF!</v>
      </c>
      <c r="H794" s="139" t="str">
        <f t="shared" si="92"/>
        <v/>
      </c>
      <c r="I794" s="137" t="str">
        <f t="shared" si="93"/>
        <v/>
      </c>
      <c r="J794" s="117"/>
      <c r="K794" s="116">
        <v>0</v>
      </c>
      <c r="M794" s="136" t="s">
        <v>416</v>
      </c>
      <c r="N794" t="e">
        <v>#REF!</v>
      </c>
      <c r="Q794" t="s">
        <v>416</v>
      </c>
    </row>
    <row r="795" spans="1:17" hidden="1" x14ac:dyDescent="0.25">
      <c r="A795" s="114" t="s">
        <v>2314</v>
      </c>
      <c r="B795" s="115" t="s">
        <v>2315</v>
      </c>
      <c r="C795" s="116" t="s">
        <v>16</v>
      </c>
      <c r="D795" s="116">
        <v>0</v>
      </c>
      <c r="E795" s="136" t="s">
        <v>416</v>
      </c>
      <c r="F795" s="137" t="str">
        <f t="shared" si="91"/>
        <v/>
      </c>
      <c r="G795" s="138" t="e">
        <f>IF(A795&lt;&gt;"",IF(AND(#REF!="Padrão",$H$4=#REF!),BDI!$B$17,IF(AND(#REF!="Padrão",$H$4=#REF!),BDI!#REF!,IF(AND(#REF!="Diferenciado",$H$4=#REF!),BDI!$E$17,IF(AND(#REF!="Diferenciado",$H$4=#REF!),BDI!#REF!,IF(#REF!="ZERO",0))))),"")</f>
        <v>#REF!</v>
      </c>
      <c r="H795" s="139" t="str">
        <f t="shared" si="92"/>
        <v/>
      </c>
      <c r="I795" s="137" t="str">
        <f t="shared" si="93"/>
        <v/>
      </c>
      <c r="J795" s="117"/>
      <c r="K795" s="116">
        <v>0</v>
      </c>
      <c r="M795" s="136" t="s">
        <v>416</v>
      </c>
      <c r="N795" t="e">
        <v>#REF!</v>
      </c>
      <c r="Q795" t="s">
        <v>416</v>
      </c>
    </row>
    <row r="796" spans="1:17" hidden="1" x14ac:dyDescent="0.25">
      <c r="A796" s="114" t="s">
        <v>2316</v>
      </c>
      <c r="B796" s="115" t="s">
        <v>2317</v>
      </c>
      <c r="C796" s="116" t="s">
        <v>16</v>
      </c>
      <c r="D796" s="116">
        <v>0</v>
      </c>
      <c r="E796" s="136" t="s">
        <v>416</v>
      </c>
      <c r="F796" s="137" t="str">
        <f t="shared" si="91"/>
        <v/>
      </c>
      <c r="G796" s="138" t="e">
        <f>IF(A796&lt;&gt;"",IF(AND(#REF!="Padrão",$H$4=#REF!),BDI!$B$17,IF(AND(#REF!="Padrão",$H$4=#REF!),BDI!#REF!,IF(AND(#REF!="Diferenciado",$H$4=#REF!),BDI!$E$17,IF(AND(#REF!="Diferenciado",$H$4=#REF!),BDI!#REF!,IF(#REF!="ZERO",0))))),"")</f>
        <v>#REF!</v>
      </c>
      <c r="H796" s="139" t="str">
        <f t="shared" si="92"/>
        <v/>
      </c>
      <c r="I796" s="137" t="str">
        <f t="shared" si="93"/>
        <v/>
      </c>
      <c r="J796" s="117"/>
      <c r="K796" s="116">
        <v>0</v>
      </c>
      <c r="M796" s="136" t="s">
        <v>416</v>
      </c>
      <c r="N796" t="e">
        <v>#REF!</v>
      </c>
      <c r="Q796" t="s">
        <v>416</v>
      </c>
    </row>
    <row r="797" spans="1:17" hidden="1" x14ac:dyDescent="0.25">
      <c r="A797" s="114" t="s">
        <v>2318</v>
      </c>
      <c r="B797" s="115" t="s">
        <v>2319</v>
      </c>
      <c r="C797" s="116" t="s">
        <v>16</v>
      </c>
      <c r="D797" s="116">
        <v>0</v>
      </c>
      <c r="E797" s="136" t="s">
        <v>416</v>
      </c>
      <c r="F797" s="137" t="str">
        <f t="shared" si="91"/>
        <v/>
      </c>
      <c r="G797" s="138" t="e">
        <f>IF(A797&lt;&gt;"",IF(AND(#REF!="Padrão",$H$4=#REF!),BDI!$B$17,IF(AND(#REF!="Padrão",$H$4=#REF!),BDI!#REF!,IF(AND(#REF!="Diferenciado",$H$4=#REF!),BDI!$E$17,IF(AND(#REF!="Diferenciado",$H$4=#REF!),BDI!#REF!,IF(#REF!="ZERO",0))))),"")</f>
        <v>#REF!</v>
      </c>
      <c r="H797" s="139" t="str">
        <f t="shared" si="92"/>
        <v/>
      </c>
      <c r="I797" s="137" t="str">
        <f t="shared" si="93"/>
        <v/>
      </c>
      <c r="J797" s="117"/>
      <c r="K797" s="116">
        <v>0</v>
      </c>
      <c r="M797" s="136" t="s">
        <v>416</v>
      </c>
      <c r="N797" t="e">
        <v>#REF!</v>
      </c>
      <c r="Q797" t="s">
        <v>416</v>
      </c>
    </row>
    <row r="798" spans="1:17" hidden="1" x14ac:dyDescent="0.25">
      <c r="A798" s="114" t="s">
        <v>2320</v>
      </c>
      <c r="B798" s="115" t="s">
        <v>2321</v>
      </c>
      <c r="C798" s="116" t="s">
        <v>16</v>
      </c>
      <c r="D798" s="116">
        <v>0</v>
      </c>
      <c r="E798" s="136" t="s">
        <v>416</v>
      </c>
      <c r="F798" s="137" t="str">
        <f t="shared" si="91"/>
        <v/>
      </c>
      <c r="G798" s="138" t="e">
        <f>IF(A798&lt;&gt;"",IF(AND(#REF!="Padrão",$H$4=#REF!),BDI!$B$17,IF(AND(#REF!="Padrão",$H$4=#REF!),BDI!#REF!,IF(AND(#REF!="Diferenciado",$H$4=#REF!),BDI!$E$17,IF(AND(#REF!="Diferenciado",$H$4=#REF!),BDI!#REF!,IF(#REF!="ZERO",0))))),"")</f>
        <v>#REF!</v>
      </c>
      <c r="H798" s="139" t="str">
        <f t="shared" si="92"/>
        <v/>
      </c>
      <c r="I798" s="137" t="str">
        <f t="shared" si="93"/>
        <v/>
      </c>
      <c r="J798" s="117"/>
      <c r="K798" s="116">
        <v>0</v>
      </c>
      <c r="M798" s="136" t="s">
        <v>416</v>
      </c>
      <c r="N798" t="e">
        <v>#REF!</v>
      </c>
      <c r="Q798" t="s">
        <v>416</v>
      </c>
    </row>
    <row r="799" spans="1:17" hidden="1" x14ac:dyDescent="0.25">
      <c r="A799" s="114" t="s">
        <v>2322</v>
      </c>
      <c r="B799" s="115" t="s">
        <v>2323</v>
      </c>
      <c r="C799" s="116" t="s">
        <v>16</v>
      </c>
      <c r="D799" s="116">
        <v>0</v>
      </c>
      <c r="E799" s="136" t="s">
        <v>416</v>
      </c>
      <c r="F799" s="137" t="str">
        <f t="shared" si="91"/>
        <v/>
      </c>
      <c r="G799" s="138" t="e">
        <f>IF(A799&lt;&gt;"",IF(AND(#REF!="Padrão",$H$4=#REF!),BDI!$B$17,IF(AND(#REF!="Padrão",$H$4=#REF!),BDI!#REF!,IF(AND(#REF!="Diferenciado",$H$4=#REF!),BDI!$E$17,IF(AND(#REF!="Diferenciado",$H$4=#REF!),BDI!#REF!,IF(#REF!="ZERO",0))))),"")</f>
        <v>#REF!</v>
      </c>
      <c r="H799" s="139" t="str">
        <f t="shared" si="92"/>
        <v/>
      </c>
      <c r="I799" s="137" t="str">
        <f t="shared" si="93"/>
        <v/>
      </c>
      <c r="J799" s="117"/>
      <c r="K799" s="116">
        <v>0</v>
      </c>
      <c r="M799" s="136" t="s">
        <v>416</v>
      </c>
      <c r="N799" t="e">
        <v>#REF!</v>
      </c>
      <c r="Q799" t="s">
        <v>416</v>
      </c>
    </row>
    <row r="800" spans="1:17" hidden="1" x14ac:dyDescent="0.25">
      <c r="A800" s="114" t="s">
        <v>2324</v>
      </c>
      <c r="B800" s="115" t="s">
        <v>2325</v>
      </c>
      <c r="C800" s="116" t="s">
        <v>16</v>
      </c>
      <c r="D800" s="116">
        <v>0</v>
      </c>
      <c r="E800" s="136" t="s">
        <v>416</v>
      </c>
      <c r="F800" s="137" t="str">
        <f t="shared" si="91"/>
        <v/>
      </c>
      <c r="G800" s="138" t="e">
        <f>IF(A800&lt;&gt;"",IF(AND(#REF!="Padrão",$H$4=#REF!),BDI!$B$17,IF(AND(#REF!="Padrão",$H$4=#REF!),BDI!#REF!,IF(AND(#REF!="Diferenciado",$H$4=#REF!),BDI!$E$17,IF(AND(#REF!="Diferenciado",$H$4=#REF!),BDI!#REF!,IF(#REF!="ZERO",0))))),"")</f>
        <v>#REF!</v>
      </c>
      <c r="H800" s="139" t="str">
        <f t="shared" si="92"/>
        <v/>
      </c>
      <c r="I800" s="137" t="str">
        <f t="shared" si="93"/>
        <v/>
      </c>
      <c r="J800" s="117"/>
      <c r="K800" s="116">
        <v>0</v>
      </c>
      <c r="M800" s="136" t="s">
        <v>416</v>
      </c>
      <c r="N800" t="e">
        <v>#REF!</v>
      </c>
      <c r="Q800" t="s">
        <v>416</v>
      </c>
    </row>
    <row r="801" spans="1:17" hidden="1" x14ac:dyDescent="0.25">
      <c r="A801" s="114" t="s">
        <v>2326</v>
      </c>
      <c r="B801" s="115" t="s">
        <v>2327</v>
      </c>
      <c r="C801" s="116" t="s">
        <v>16</v>
      </c>
      <c r="D801" s="116">
        <v>0</v>
      </c>
      <c r="E801" s="136" t="s">
        <v>416</v>
      </c>
      <c r="F801" s="137" t="str">
        <f t="shared" si="91"/>
        <v/>
      </c>
      <c r="G801" s="138" t="e">
        <f>IF(A801&lt;&gt;"",IF(AND(#REF!="Padrão",$H$4=#REF!),BDI!$B$17,IF(AND(#REF!="Padrão",$H$4=#REF!),BDI!#REF!,IF(AND(#REF!="Diferenciado",$H$4=#REF!),BDI!$E$17,IF(AND(#REF!="Diferenciado",$H$4=#REF!),BDI!#REF!,IF(#REF!="ZERO",0))))),"")</f>
        <v>#REF!</v>
      </c>
      <c r="H801" s="139" t="str">
        <f t="shared" si="92"/>
        <v/>
      </c>
      <c r="I801" s="137" t="str">
        <f t="shared" si="93"/>
        <v/>
      </c>
      <c r="J801" s="117"/>
      <c r="K801" s="116">
        <v>0</v>
      </c>
      <c r="M801" s="136" t="s">
        <v>416</v>
      </c>
      <c r="N801" t="e">
        <v>#REF!</v>
      </c>
      <c r="Q801" t="s">
        <v>416</v>
      </c>
    </row>
    <row r="802" spans="1:17" hidden="1" x14ac:dyDescent="0.25">
      <c r="A802" s="114" t="s">
        <v>2328</v>
      </c>
      <c r="B802" s="115" t="s">
        <v>2329</v>
      </c>
      <c r="C802" s="116" t="s">
        <v>16</v>
      </c>
      <c r="D802" s="116">
        <v>0</v>
      </c>
      <c r="E802" s="136" t="s">
        <v>416</v>
      </c>
      <c r="F802" s="137" t="str">
        <f t="shared" si="91"/>
        <v/>
      </c>
      <c r="G802" s="138" t="e">
        <f>IF(A802&lt;&gt;"",IF(AND(#REF!="Padrão",$H$4=#REF!),BDI!$B$17,IF(AND(#REF!="Padrão",$H$4=#REF!),BDI!#REF!,IF(AND(#REF!="Diferenciado",$H$4=#REF!),BDI!$E$17,IF(AND(#REF!="Diferenciado",$H$4=#REF!),BDI!#REF!,IF(#REF!="ZERO",0))))),"")</f>
        <v>#REF!</v>
      </c>
      <c r="H802" s="139" t="str">
        <f t="shared" si="92"/>
        <v/>
      </c>
      <c r="I802" s="137" t="str">
        <f t="shared" si="93"/>
        <v/>
      </c>
      <c r="J802" s="117"/>
      <c r="K802" s="116">
        <v>0</v>
      </c>
      <c r="M802" s="136" t="s">
        <v>416</v>
      </c>
      <c r="N802" t="e">
        <v>#REF!</v>
      </c>
      <c r="Q802" t="s">
        <v>416</v>
      </c>
    </row>
    <row r="803" spans="1:17" hidden="1" x14ac:dyDescent="0.25">
      <c r="A803" s="114" t="s">
        <v>2330</v>
      </c>
      <c r="B803" s="115" t="s">
        <v>2331</v>
      </c>
      <c r="C803" s="116" t="s">
        <v>16</v>
      </c>
      <c r="D803" s="116">
        <v>0</v>
      </c>
      <c r="E803" s="136" t="s">
        <v>416</v>
      </c>
      <c r="F803" s="137" t="str">
        <f t="shared" si="91"/>
        <v/>
      </c>
      <c r="G803" s="138" t="e">
        <f>IF(A803&lt;&gt;"",IF(AND(#REF!="Padrão",$H$4=#REF!),BDI!$B$17,IF(AND(#REF!="Padrão",$H$4=#REF!),BDI!#REF!,IF(AND(#REF!="Diferenciado",$H$4=#REF!),BDI!$E$17,IF(AND(#REF!="Diferenciado",$H$4=#REF!),BDI!#REF!,IF(#REF!="ZERO",0))))),"")</f>
        <v>#REF!</v>
      </c>
      <c r="H803" s="139" t="str">
        <f t="shared" si="92"/>
        <v/>
      </c>
      <c r="I803" s="137" t="str">
        <f t="shared" si="93"/>
        <v/>
      </c>
      <c r="J803" s="117"/>
      <c r="K803" s="116">
        <v>0</v>
      </c>
      <c r="M803" s="136" t="s">
        <v>416</v>
      </c>
      <c r="N803" t="e">
        <v>#REF!</v>
      </c>
      <c r="Q803" t="s">
        <v>416</v>
      </c>
    </row>
    <row r="804" spans="1:17" hidden="1" x14ac:dyDescent="0.25">
      <c r="A804" s="114" t="s">
        <v>2332</v>
      </c>
      <c r="B804" s="115" t="s">
        <v>2333</v>
      </c>
      <c r="C804" s="116" t="s">
        <v>16</v>
      </c>
      <c r="D804" s="116">
        <v>0</v>
      </c>
      <c r="E804" s="136" t="s">
        <v>416</v>
      </c>
      <c r="F804" s="137" t="str">
        <f t="shared" si="91"/>
        <v/>
      </c>
      <c r="G804" s="138" t="e">
        <f>IF(A804&lt;&gt;"",IF(AND(#REF!="Padrão",$H$4=#REF!),BDI!$B$17,IF(AND(#REF!="Padrão",$H$4=#REF!),BDI!#REF!,IF(AND(#REF!="Diferenciado",$H$4=#REF!),BDI!$E$17,IF(AND(#REF!="Diferenciado",$H$4=#REF!),BDI!#REF!,IF(#REF!="ZERO",0))))),"")</f>
        <v>#REF!</v>
      </c>
      <c r="H804" s="139" t="str">
        <f t="shared" si="92"/>
        <v/>
      </c>
      <c r="I804" s="137" t="str">
        <f t="shared" si="93"/>
        <v/>
      </c>
      <c r="J804" s="117"/>
      <c r="K804" s="116">
        <v>0</v>
      </c>
      <c r="M804" s="136" t="s">
        <v>416</v>
      </c>
      <c r="N804" t="e">
        <v>#REF!</v>
      </c>
      <c r="Q804" t="s">
        <v>416</v>
      </c>
    </row>
    <row r="805" spans="1:17" hidden="1" x14ac:dyDescent="0.25">
      <c r="A805" s="114" t="s">
        <v>2334</v>
      </c>
      <c r="B805" s="115" t="s">
        <v>2335</v>
      </c>
      <c r="C805" s="116" t="s">
        <v>16</v>
      </c>
      <c r="D805" s="116">
        <v>0</v>
      </c>
      <c r="E805" s="136" t="s">
        <v>416</v>
      </c>
      <c r="F805" s="137" t="str">
        <f t="shared" si="91"/>
        <v/>
      </c>
      <c r="G805" s="138" t="e">
        <f>IF(A805&lt;&gt;"",IF(AND(#REF!="Padrão",$H$4=#REF!),BDI!$B$17,IF(AND(#REF!="Padrão",$H$4=#REF!),BDI!#REF!,IF(AND(#REF!="Diferenciado",$H$4=#REF!),BDI!$E$17,IF(AND(#REF!="Diferenciado",$H$4=#REF!),BDI!#REF!,IF(#REF!="ZERO",0))))),"")</f>
        <v>#REF!</v>
      </c>
      <c r="H805" s="139" t="str">
        <f t="shared" si="92"/>
        <v/>
      </c>
      <c r="I805" s="137" t="str">
        <f t="shared" si="93"/>
        <v/>
      </c>
      <c r="J805" s="117"/>
      <c r="K805" s="116">
        <v>0</v>
      </c>
      <c r="M805" s="136" t="s">
        <v>416</v>
      </c>
      <c r="N805" t="e">
        <v>#REF!</v>
      </c>
      <c r="Q805" t="s">
        <v>416</v>
      </c>
    </row>
    <row r="806" spans="1:17" hidden="1" x14ac:dyDescent="0.25">
      <c r="A806" s="114" t="s">
        <v>2336</v>
      </c>
      <c r="B806" s="115" t="s">
        <v>2337</v>
      </c>
      <c r="C806" s="116" t="s">
        <v>16</v>
      </c>
      <c r="D806" s="116">
        <v>0</v>
      </c>
      <c r="E806" s="136" t="s">
        <v>416</v>
      </c>
      <c r="F806" s="137" t="str">
        <f t="shared" si="91"/>
        <v/>
      </c>
      <c r="G806" s="138" t="e">
        <f>IF(A806&lt;&gt;"",IF(AND(#REF!="Padrão",$H$4=#REF!),BDI!$B$17,IF(AND(#REF!="Padrão",$H$4=#REF!),BDI!#REF!,IF(AND(#REF!="Diferenciado",$H$4=#REF!),BDI!$E$17,IF(AND(#REF!="Diferenciado",$H$4=#REF!),BDI!#REF!,IF(#REF!="ZERO",0))))),"")</f>
        <v>#REF!</v>
      </c>
      <c r="H806" s="139" t="str">
        <f t="shared" si="92"/>
        <v/>
      </c>
      <c r="I806" s="137" t="str">
        <f t="shared" si="93"/>
        <v/>
      </c>
      <c r="J806" s="117"/>
      <c r="K806" s="116">
        <v>0</v>
      </c>
      <c r="M806" s="136" t="s">
        <v>416</v>
      </c>
      <c r="N806" t="e">
        <v>#REF!</v>
      </c>
      <c r="Q806" t="s">
        <v>416</v>
      </c>
    </row>
    <row r="807" spans="1:17" hidden="1" x14ac:dyDescent="0.25">
      <c r="A807" s="114" t="s">
        <v>2338</v>
      </c>
      <c r="B807" s="115" t="s">
        <v>2339</v>
      </c>
      <c r="C807" s="116" t="s">
        <v>16</v>
      </c>
      <c r="D807" s="116">
        <v>0</v>
      </c>
      <c r="E807" s="136" t="s">
        <v>416</v>
      </c>
      <c r="F807" s="137" t="str">
        <f t="shared" si="91"/>
        <v/>
      </c>
      <c r="G807" s="138" t="e">
        <f>IF(A807&lt;&gt;"",IF(AND(#REF!="Padrão",$H$4=#REF!),BDI!$B$17,IF(AND(#REF!="Padrão",$H$4=#REF!),BDI!#REF!,IF(AND(#REF!="Diferenciado",$H$4=#REF!),BDI!$E$17,IF(AND(#REF!="Diferenciado",$H$4=#REF!),BDI!#REF!,IF(#REF!="ZERO",0))))),"")</f>
        <v>#REF!</v>
      </c>
      <c r="H807" s="139" t="str">
        <f t="shared" si="92"/>
        <v/>
      </c>
      <c r="I807" s="137" t="str">
        <f t="shared" si="93"/>
        <v/>
      </c>
      <c r="J807" s="117"/>
      <c r="K807" s="116">
        <v>0</v>
      </c>
      <c r="M807" s="136" t="s">
        <v>416</v>
      </c>
      <c r="N807" t="e">
        <v>#REF!</v>
      </c>
      <c r="Q807" t="s">
        <v>416</v>
      </c>
    </row>
    <row r="808" spans="1:17" hidden="1" x14ac:dyDescent="0.25">
      <c r="A808" s="114" t="s">
        <v>2340</v>
      </c>
      <c r="B808" s="115" t="s">
        <v>2341</v>
      </c>
      <c r="C808" s="116" t="s">
        <v>16</v>
      </c>
      <c r="D808" s="116">
        <v>0</v>
      </c>
      <c r="E808" s="136" t="s">
        <v>416</v>
      </c>
      <c r="F808" s="137" t="str">
        <f t="shared" si="91"/>
        <v/>
      </c>
      <c r="G808" s="138" t="e">
        <f>IF(A808&lt;&gt;"",IF(AND(#REF!="Padrão",$H$4=#REF!),BDI!$B$17,IF(AND(#REF!="Padrão",$H$4=#REF!),BDI!#REF!,IF(AND(#REF!="Diferenciado",$H$4=#REF!),BDI!$E$17,IF(AND(#REF!="Diferenciado",$H$4=#REF!),BDI!#REF!,IF(#REF!="ZERO",0))))),"")</f>
        <v>#REF!</v>
      </c>
      <c r="H808" s="139" t="str">
        <f t="shared" si="92"/>
        <v/>
      </c>
      <c r="I808" s="137" t="str">
        <f t="shared" si="93"/>
        <v/>
      </c>
      <c r="J808" s="117"/>
      <c r="K808" s="116">
        <v>0</v>
      </c>
      <c r="M808" s="136" t="s">
        <v>416</v>
      </c>
      <c r="N808" t="e">
        <v>#REF!</v>
      </c>
      <c r="Q808" t="s">
        <v>416</v>
      </c>
    </row>
    <row r="809" spans="1:17" hidden="1" x14ac:dyDescent="0.25">
      <c r="A809" s="114" t="s">
        <v>2342</v>
      </c>
      <c r="B809" s="115" t="s">
        <v>2343</v>
      </c>
      <c r="C809" s="116" t="s">
        <v>16</v>
      </c>
      <c r="D809" s="116">
        <v>0</v>
      </c>
      <c r="E809" s="136" t="s">
        <v>416</v>
      </c>
      <c r="F809" s="137" t="str">
        <f t="shared" si="91"/>
        <v/>
      </c>
      <c r="G809" s="138" t="e">
        <f>IF(A809&lt;&gt;"",IF(AND(#REF!="Padrão",$H$4=#REF!),BDI!$B$17,IF(AND(#REF!="Padrão",$H$4=#REF!),BDI!#REF!,IF(AND(#REF!="Diferenciado",$H$4=#REF!),BDI!$E$17,IF(AND(#REF!="Diferenciado",$H$4=#REF!),BDI!#REF!,IF(#REF!="ZERO",0))))),"")</f>
        <v>#REF!</v>
      </c>
      <c r="H809" s="139" t="str">
        <f t="shared" si="92"/>
        <v/>
      </c>
      <c r="I809" s="137" t="str">
        <f t="shared" si="93"/>
        <v/>
      </c>
      <c r="J809" s="117"/>
      <c r="K809" s="116">
        <v>0</v>
      </c>
      <c r="M809" s="136" t="s">
        <v>416</v>
      </c>
      <c r="N809" t="e">
        <v>#REF!</v>
      </c>
      <c r="Q809" t="s">
        <v>416</v>
      </c>
    </row>
    <row r="810" spans="1:17" hidden="1" x14ac:dyDescent="0.25">
      <c r="A810" s="114" t="s">
        <v>2344</v>
      </c>
      <c r="B810" s="115" t="s">
        <v>7669</v>
      </c>
      <c r="C810" s="116" t="s">
        <v>16</v>
      </c>
      <c r="D810" s="116">
        <v>0</v>
      </c>
      <c r="E810" s="136" t="s">
        <v>416</v>
      </c>
      <c r="F810" s="137" t="str">
        <f t="shared" si="91"/>
        <v/>
      </c>
      <c r="G810" s="138" t="e">
        <f>IF(A810&lt;&gt;"",IF(AND(#REF!="Padrão",$H$4=#REF!),BDI!$B$17,IF(AND(#REF!="Padrão",$H$4=#REF!),BDI!#REF!,IF(AND(#REF!="Diferenciado",$H$4=#REF!),BDI!$E$17,IF(AND(#REF!="Diferenciado",$H$4=#REF!),BDI!#REF!,IF(#REF!="ZERO",0))))),"")</f>
        <v>#REF!</v>
      </c>
      <c r="H810" s="139" t="str">
        <f t="shared" si="92"/>
        <v/>
      </c>
      <c r="I810" s="137" t="str">
        <f t="shared" si="93"/>
        <v/>
      </c>
      <c r="J810" s="117"/>
      <c r="K810" s="116">
        <v>0</v>
      </c>
      <c r="M810" s="136" t="s">
        <v>416</v>
      </c>
      <c r="N810" t="e">
        <v>#REF!</v>
      </c>
      <c r="Q810" t="s">
        <v>416</v>
      </c>
    </row>
    <row r="811" spans="1:17" hidden="1" x14ac:dyDescent="0.25">
      <c r="A811" s="114" t="s">
        <v>2345</v>
      </c>
      <c r="B811" s="115" t="s">
        <v>2346</v>
      </c>
      <c r="C811" s="116" t="s">
        <v>16</v>
      </c>
      <c r="D811" s="116">
        <v>0</v>
      </c>
      <c r="E811" s="136" t="s">
        <v>416</v>
      </c>
      <c r="F811" s="137" t="str">
        <f t="shared" si="91"/>
        <v/>
      </c>
      <c r="G811" s="138" t="e">
        <f>IF(A811&lt;&gt;"",IF(AND(#REF!="Padrão",$H$4=#REF!),BDI!$B$17,IF(AND(#REF!="Padrão",$H$4=#REF!),BDI!#REF!,IF(AND(#REF!="Diferenciado",$H$4=#REF!),BDI!$E$17,IF(AND(#REF!="Diferenciado",$H$4=#REF!),BDI!#REF!,IF(#REF!="ZERO",0))))),"")</f>
        <v>#REF!</v>
      </c>
      <c r="H811" s="139" t="str">
        <f t="shared" si="92"/>
        <v/>
      </c>
      <c r="I811" s="137" t="str">
        <f t="shared" si="93"/>
        <v/>
      </c>
      <c r="J811" s="117"/>
      <c r="K811" s="116">
        <v>0</v>
      </c>
      <c r="M811" s="136" t="s">
        <v>416</v>
      </c>
      <c r="N811" t="e">
        <v>#REF!</v>
      </c>
      <c r="Q811" t="s">
        <v>416</v>
      </c>
    </row>
    <row r="812" spans="1:17" hidden="1" x14ac:dyDescent="0.25">
      <c r="A812" s="114" t="s">
        <v>2347</v>
      </c>
      <c r="B812" s="115" t="s">
        <v>7670</v>
      </c>
      <c r="C812" s="116" t="s">
        <v>16</v>
      </c>
      <c r="D812" s="116">
        <v>0</v>
      </c>
      <c r="E812" s="136" t="s">
        <v>416</v>
      </c>
      <c r="F812" s="137" t="str">
        <f t="shared" si="91"/>
        <v/>
      </c>
      <c r="G812" s="138" t="e">
        <f>IF(A812&lt;&gt;"",IF(AND(#REF!="Padrão",$H$4=#REF!),BDI!$B$17,IF(AND(#REF!="Padrão",$H$4=#REF!),BDI!#REF!,IF(AND(#REF!="Diferenciado",$H$4=#REF!),BDI!$E$17,IF(AND(#REF!="Diferenciado",$H$4=#REF!),BDI!#REF!,IF(#REF!="ZERO",0))))),"")</f>
        <v>#REF!</v>
      </c>
      <c r="H812" s="139" t="str">
        <f t="shared" si="92"/>
        <v/>
      </c>
      <c r="I812" s="137" t="str">
        <f t="shared" si="93"/>
        <v/>
      </c>
      <c r="J812" s="117"/>
      <c r="K812" s="116">
        <v>0</v>
      </c>
      <c r="M812" s="136" t="s">
        <v>416</v>
      </c>
      <c r="N812" t="e">
        <v>#REF!</v>
      </c>
      <c r="Q812" t="s">
        <v>416</v>
      </c>
    </row>
    <row r="813" spans="1:17" hidden="1" x14ac:dyDescent="0.25">
      <c r="A813" s="114" t="s">
        <v>2348</v>
      </c>
      <c r="B813" s="115" t="s">
        <v>7671</v>
      </c>
      <c r="C813" s="116" t="s">
        <v>16</v>
      </c>
      <c r="D813" s="116">
        <v>0</v>
      </c>
      <c r="E813" s="136" t="s">
        <v>416</v>
      </c>
      <c r="F813" s="137" t="str">
        <f t="shared" si="91"/>
        <v/>
      </c>
      <c r="G813" s="138" t="e">
        <f>IF(A813&lt;&gt;"",IF(AND(#REF!="Padrão",$H$4=#REF!),BDI!$B$17,IF(AND(#REF!="Padrão",$H$4=#REF!),BDI!#REF!,IF(AND(#REF!="Diferenciado",$H$4=#REF!),BDI!$E$17,IF(AND(#REF!="Diferenciado",$H$4=#REF!),BDI!#REF!,IF(#REF!="ZERO",0))))),"")</f>
        <v>#REF!</v>
      </c>
      <c r="H813" s="139" t="str">
        <f t="shared" si="92"/>
        <v/>
      </c>
      <c r="I813" s="137" t="str">
        <f t="shared" si="93"/>
        <v/>
      </c>
      <c r="J813" s="117"/>
      <c r="K813" s="116">
        <v>0</v>
      </c>
      <c r="M813" s="136" t="s">
        <v>416</v>
      </c>
      <c r="N813" t="e">
        <v>#REF!</v>
      </c>
      <c r="Q813" t="s">
        <v>416</v>
      </c>
    </row>
    <row r="814" spans="1:17" hidden="1" x14ac:dyDescent="0.25">
      <c r="A814" s="114" t="s">
        <v>2349</v>
      </c>
      <c r="B814" s="115" t="s">
        <v>2350</v>
      </c>
      <c r="C814" s="116" t="s">
        <v>16</v>
      </c>
      <c r="D814" s="116">
        <v>0</v>
      </c>
      <c r="E814" s="136" t="s">
        <v>416</v>
      </c>
      <c r="F814" s="137" t="str">
        <f t="shared" si="91"/>
        <v/>
      </c>
      <c r="G814" s="138" t="e">
        <f>IF(A814&lt;&gt;"",IF(AND(#REF!="Padrão",$H$4=#REF!),BDI!$B$17,IF(AND(#REF!="Padrão",$H$4=#REF!),BDI!#REF!,IF(AND(#REF!="Diferenciado",$H$4=#REF!),BDI!$E$17,IF(AND(#REF!="Diferenciado",$H$4=#REF!),BDI!#REF!,IF(#REF!="ZERO",0))))),"")</f>
        <v>#REF!</v>
      </c>
      <c r="H814" s="139" t="str">
        <f t="shared" si="92"/>
        <v/>
      </c>
      <c r="I814" s="137" t="str">
        <f t="shared" si="93"/>
        <v/>
      </c>
      <c r="J814" s="117"/>
      <c r="K814" s="116">
        <v>0</v>
      </c>
      <c r="M814" s="136" t="s">
        <v>416</v>
      </c>
      <c r="N814" t="e">
        <v>#REF!</v>
      </c>
      <c r="Q814" t="s">
        <v>416</v>
      </c>
    </row>
    <row r="815" spans="1:17" hidden="1" x14ac:dyDescent="0.25">
      <c r="A815" s="114" t="s">
        <v>2351</v>
      </c>
      <c r="B815" s="115" t="s">
        <v>2352</v>
      </c>
      <c r="C815" s="116" t="s">
        <v>16</v>
      </c>
      <c r="D815" s="116">
        <v>0</v>
      </c>
      <c r="E815" s="136" t="s">
        <v>416</v>
      </c>
      <c r="F815" s="137" t="str">
        <f t="shared" si="91"/>
        <v/>
      </c>
      <c r="G815" s="138" t="e">
        <f>IF(A815&lt;&gt;"",IF(AND(#REF!="Padrão",$H$4=#REF!),BDI!$B$17,IF(AND(#REF!="Padrão",$H$4=#REF!),BDI!#REF!,IF(AND(#REF!="Diferenciado",$H$4=#REF!),BDI!$E$17,IF(AND(#REF!="Diferenciado",$H$4=#REF!),BDI!#REF!,IF(#REF!="ZERO",0))))),"")</f>
        <v>#REF!</v>
      </c>
      <c r="H815" s="139" t="str">
        <f t="shared" si="92"/>
        <v/>
      </c>
      <c r="I815" s="137" t="str">
        <f t="shared" si="93"/>
        <v/>
      </c>
      <c r="J815" s="117"/>
      <c r="K815" s="116">
        <v>0</v>
      </c>
      <c r="M815" s="136" t="s">
        <v>416</v>
      </c>
      <c r="N815" t="e">
        <v>#REF!</v>
      </c>
      <c r="Q815" t="s">
        <v>416</v>
      </c>
    </row>
    <row r="816" spans="1:17" hidden="1" x14ac:dyDescent="0.25">
      <c r="A816" s="114" t="s">
        <v>2353</v>
      </c>
      <c r="B816" s="115" t="s">
        <v>2354</v>
      </c>
      <c r="C816" s="116" t="s">
        <v>16</v>
      </c>
      <c r="D816" s="116">
        <v>0</v>
      </c>
      <c r="E816" s="136" t="s">
        <v>416</v>
      </c>
      <c r="F816" s="137" t="str">
        <f t="shared" si="91"/>
        <v/>
      </c>
      <c r="G816" s="138" t="e">
        <f>IF(A816&lt;&gt;"",IF(AND(#REF!="Padrão",$H$4=#REF!),BDI!$B$17,IF(AND(#REF!="Padrão",$H$4=#REF!),BDI!#REF!,IF(AND(#REF!="Diferenciado",$H$4=#REF!),BDI!$E$17,IF(AND(#REF!="Diferenciado",$H$4=#REF!),BDI!#REF!,IF(#REF!="ZERO",0))))),"")</f>
        <v>#REF!</v>
      </c>
      <c r="H816" s="139" t="str">
        <f t="shared" si="92"/>
        <v/>
      </c>
      <c r="I816" s="137" t="str">
        <f t="shared" si="93"/>
        <v/>
      </c>
      <c r="J816" s="117"/>
      <c r="K816" s="116">
        <v>0</v>
      </c>
      <c r="M816" s="136" t="s">
        <v>416</v>
      </c>
      <c r="N816" t="e">
        <v>#REF!</v>
      </c>
      <c r="Q816" t="s">
        <v>416</v>
      </c>
    </row>
    <row r="817" spans="1:17" hidden="1" x14ac:dyDescent="0.25">
      <c r="A817" s="114" t="s">
        <v>2355</v>
      </c>
      <c r="B817" s="115" t="s">
        <v>2356</v>
      </c>
      <c r="C817" s="116" t="s">
        <v>16</v>
      </c>
      <c r="D817" s="116">
        <v>0</v>
      </c>
      <c r="E817" s="136" t="s">
        <v>416</v>
      </c>
      <c r="F817" s="137" t="str">
        <f t="shared" si="91"/>
        <v/>
      </c>
      <c r="G817" s="138" t="e">
        <f>IF(A817&lt;&gt;"",IF(AND(#REF!="Padrão",$H$4=#REF!),BDI!$B$17,IF(AND(#REF!="Padrão",$H$4=#REF!),BDI!#REF!,IF(AND(#REF!="Diferenciado",$H$4=#REF!),BDI!$E$17,IF(AND(#REF!="Diferenciado",$H$4=#REF!),BDI!#REF!,IF(#REF!="ZERO",0))))),"")</f>
        <v>#REF!</v>
      </c>
      <c r="H817" s="139" t="str">
        <f t="shared" si="92"/>
        <v/>
      </c>
      <c r="I817" s="137" t="str">
        <f t="shared" si="93"/>
        <v/>
      </c>
      <c r="J817" s="117"/>
      <c r="K817" s="116">
        <v>0</v>
      </c>
      <c r="M817" s="136" t="s">
        <v>416</v>
      </c>
      <c r="N817" t="e">
        <v>#REF!</v>
      </c>
      <c r="Q817" t="s">
        <v>416</v>
      </c>
    </row>
    <row r="818" spans="1:17" hidden="1" x14ac:dyDescent="0.25">
      <c r="A818" s="114" t="s">
        <v>2357</v>
      </c>
      <c r="B818" s="115" t="s">
        <v>2358</v>
      </c>
      <c r="C818" s="116" t="s">
        <v>16</v>
      </c>
      <c r="D818" s="116">
        <v>0</v>
      </c>
      <c r="E818" s="136" t="s">
        <v>416</v>
      </c>
      <c r="F818" s="137" t="str">
        <f t="shared" si="91"/>
        <v/>
      </c>
      <c r="G818" s="138" t="e">
        <f>IF(A818&lt;&gt;"",IF(AND(#REF!="Padrão",$H$4=#REF!),BDI!$B$17,IF(AND(#REF!="Padrão",$H$4=#REF!),BDI!#REF!,IF(AND(#REF!="Diferenciado",$H$4=#REF!),BDI!$E$17,IF(AND(#REF!="Diferenciado",$H$4=#REF!),BDI!#REF!,IF(#REF!="ZERO",0))))),"")</f>
        <v>#REF!</v>
      </c>
      <c r="H818" s="139" t="str">
        <f t="shared" si="92"/>
        <v/>
      </c>
      <c r="I818" s="137" t="str">
        <f t="shared" si="93"/>
        <v/>
      </c>
      <c r="J818" s="117"/>
      <c r="K818" s="116">
        <v>0</v>
      </c>
      <c r="M818" s="136" t="s">
        <v>416</v>
      </c>
      <c r="N818" t="e">
        <v>#REF!</v>
      </c>
      <c r="Q818" t="s">
        <v>416</v>
      </c>
    </row>
    <row r="819" spans="1:17" hidden="1" x14ac:dyDescent="0.25">
      <c r="A819" s="114" t="s">
        <v>2359</v>
      </c>
      <c r="B819" s="115" t="s">
        <v>2360</v>
      </c>
      <c r="C819" s="116" t="s">
        <v>16</v>
      </c>
      <c r="D819" s="116">
        <v>0</v>
      </c>
      <c r="E819" s="136">
        <f ca="1">OFFSET(INDEX(Composições!A:J,MATCH(Orçamentária!A819,Composições!A:A,0),8),2,0)</f>
        <v>22.923499999999997</v>
      </c>
      <c r="F819" s="137">
        <f t="shared" ca="1" si="91"/>
        <v>0</v>
      </c>
      <c r="G819" s="138" t="e">
        <f>IF(A819&lt;&gt;"",IF(AND(#REF!="Padrão",$H$4=#REF!),BDI!$B$17,IF(AND(#REF!="Padrão",$H$4=#REF!),BDI!#REF!,IF(AND(#REF!="Diferenciado",$H$4=#REF!),BDI!$E$17,IF(AND(#REF!="Diferenciado",$H$4=#REF!),BDI!#REF!,IF(#REF!="ZERO",0))))),"")</f>
        <v>#REF!</v>
      </c>
      <c r="H819" s="139" t="e">
        <f t="shared" ca="1" si="92"/>
        <v>#REF!</v>
      </c>
      <c r="I819" s="137" t="e">
        <f t="shared" ca="1" si="93"/>
        <v>#REF!</v>
      </c>
      <c r="J819" s="117"/>
      <c r="K819" s="116">
        <v>0</v>
      </c>
      <c r="M819" s="136" t="e">
        <f ca="1">OFFSET(INDEX([1]Composições!I:R,MATCH([1]Orçamentária!I819,[1]Composições!I:I,0),8),2,0)</f>
        <v>#REF!</v>
      </c>
      <c r="N819" t="e">
        <v>#REF!</v>
      </c>
      <c r="Q819" t="e">
        <v>#REF!</v>
      </c>
    </row>
    <row r="820" spans="1:17" hidden="1" x14ac:dyDescent="0.25">
      <c r="A820" s="114" t="s">
        <v>2361</v>
      </c>
      <c r="B820" s="115" t="s">
        <v>2362</v>
      </c>
      <c r="C820" s="116" t="s">
        <v>16</v>
      </c>
      <c r="D820" s="116">
        <v>0</v>
      </c>
      <c r="E820" s="136">
        <f ca="1">OFFSET(INDEX(Composições!A:J,MATCH(Orçamentária!A820,Composições!A:A,0),8),2,0)</f>
        <v>19.57</v>
      </c>
      <c r="F820" s="137">
        <f t="shared" ca="1" si="91"/>
        <v>0</v>
      </c>
      <c r="G820" s="138" t="e">
        <f>IF(A820&lt;&gt;"",IF(AND(#REF!="Padrão",$H$4=#REF!),BDI!$B$17,IF(AND(#REF!="Padrão",$H$4=#REF!),BDI!#REF!,IF(AND(#REF!="Diferenciado",$H$4=#REF!),BDI!$E$17,IF(AND(#REF!="Diferenciado",$H$4=#REF!),BDI!#REF!,IF(#REF!="ZERO",0))))),"")</f>
        <v>#REF!</v>
      </c>
      <c r="H820" s="139" t="e">
        <f t="shared" ca="1" si="92"/>
        <v>#REF!</v>
      </c>
      <c r="I820" s="137" t="e">
        <f t="shared" ca="1" si="93"/>
        <v>#REF!</v>
      </c>
      <c r="J820" s="117"/>
      <c r="K820" s="116">
        <v>0</v>
      </c>
      <c r="M820" s="136" t="e">
        <f ca="1">OFFSET(INDEX([1]Composições!I:R,MATCH([1]Orçamentária!I820,[1]Composições!I:I,0),8),2,0)</f>
        <v>#REF!</v>
      </c>
      <c r="N820" t="e">
        <v>#REF!</v>
      </c>
      <c r="Q820" t="e">
        <v>#REF!</v>
      </c>
    </row>
    <row r="821" spans="1:17" hidden="1" x14ac:dyDescent="0.25">
      <c r="A821" s="114" t="s">
        <v>2363</v>
      </c>
      <c r="B821" s="115" t="s">
        <v>2364</v>
      </c>
      <c r="C821" s="116" t="s">
        <v>16</v>
      </c>
      <c r="D821" s="116">
        <v>0</v>
      </c>
      <c r="E821" s="136" t="s">
        <v>416</v>
      </c>
      <c r="F821" s="137" t="str">
        <f t="shared" si="91"/>
        <v/>
      </c>
      <c r="G821" s="138" t="e">
        <f>IF(A821&lt;&gt;"",IF(AND(#REF!="Padrão",$H$4=#REF!),BDI!$B$17,IF(AND(#REF!="Padrão",$H$4=#REF!),BDI!#REF!,IF(AND(#REF!="Diferenciado",$H$4=#REF!),BDI!$E$17,IF(AND(#REF!="Diferenciado",$H$4=#REF!),BDI!#REF!,IF(#REF!="ZERO",0))))),"")</f>
        <v>#REF!</v>
      </c>
      <c r="H821" s="139" t="str">
        <f t="shared" si="92"/>
        <v/>
      </c>
      <c r="I821" s="137" t="str">
        <f t="shared" si="93"/>
        <v/>
      </c>
      <c r="J821" s="117"/>
      <c r="K821" s="116">
        <v>0</v>
      </c>
      <c r="M821" s="136" t="s">
        <v>416</v>
      </c>
      <c r="N821" t="e">
        <v>#REF!</v>
      </c>
      <c r="Q821" t="s">
        <v>416</v>
      </c>
    </row>
    <row r="822" spans="1:17" hidden="1" x14ac:dyDescent="0.25">
      <c r="A822" s="114" t="s">
        <v>2365</v>
      </c>
      <c r="B822" s="115" t="s">
        <v>2366</v>
      </c>
      <c r="C822" s="116" t="s">
        <v>16</v>
      </c>
      <c r="D822" s="116">
        <v>0</v>
      </c>
      <c r="E822" s="136" t="s">
        <v>416</v>
      </c>
      <c r="F822" s="137" t="str">
        <f t="shared" si="91"/>
        <v/>
      </c>
      <c r="G822" s="138" t="e">
        <f>IF(A822&lt;&gt;"",IF(AND(#REF!="Padrão",$H$4=#REF!),BDI!$B$17,IF(AND(#REF!="Padrão",$H$4=#REF!),BDI!#REF!,IF(AND(#REF!="Diferenciado",$H$4=#REF!),BDI!$E$17,IF(AND(#REF!="Diferenciado",$H$4=#REF!),BDI!#REF!,IF(#REF!="ZERO",0))))),"")</f>
        <v>#REF!</v>
      </c>
      <c r="H822" s="139" t="str">
        <f t="shared" si="92"/>
        <v/>
      </c>
      <c r="I822" s="137" t="str">
        <f t="shared" si="93"/>
        <v/>
      </c>
      <c r="J822" s="117"/>
      <c r="K822" s="116">
        <v>0</v>
      </c>
      <c r="M822" s="136" t="s">
        <v>416</v>
      </c>
      <c r="N822" t="e">
        <v>#REF!</v>
      </c>
      <c r="Q822" t="s">
        <v>416</v>
      </c>
    </row>
    <row r="823" spans="1:17" hidden="1" x14ac:dyDescent="0.25">
      <c r="A823" s="114" t="s">
        <v>2367</v>
      </c>
      <c r="B823" s="115" t="s">
        <v>7672</v>
      </c>
      <c r="C823" s="116" t="s">
        <v>16</v>
      </c>
      <c r="D823" s="116">
        <v>0</v>
      </c>
      <c r="E823" s="136" t="s">
        <v>416</v>
      </c>
      <c r="F823" s="137" t="str">
        <f t="shared" si="91"/>
        <v/>
      </c>
      <c r="G823" s="138" t="e">
        <f>IF(A823&lt;&gt;"",IF(AND(#REF!="Padrão",$H$4=#REF!),BDI!$B$17,IF(AND(#REF!="Padrão",$H$4=#REF!),BDI!#REF!,IF(AND(#REF!="Diferenciado",$H$4=#REF!),BDI!$E$17,IF(AND(#REF!="Diferenciado",$H$4=#REF!),BDI!#REF!,IF(#REF!="ZERO",0))))),"")</f>
        <v>#REF!</v>
      </c>
      <c r="H823" s="139" t="str">
        <f t="shared" si="92"/>
        <v/>
      </c>
      <c r="I823" s="137" t="str">
        <f t="shared" si="93"/>
        <v/>
      </c>
      <c r="J823" s="117"/>
      <c r="K823" s="116">
        <v>0</v>
      </c>
      <c r="M823" s="136" t="s">
        <v>416</v>
      </c>
      <c r="N823" t="e">
        <v>#REF!</v>
      </c>
      <c r="Q823" t="s">
        <v>416</v>
      </c>
    </row>
    <row r="824" spans="1:17" hidden="1" x14ac:dyDescent="0.25">
      <c r="A824" s="114" t="s">
        <v>2368</v>
      </c>
      <c r="B824" s="115" t="s">
        <v>7673</v>
      </c>
      <c r="C824" s="116" t="s">
        <v>16</v>
      </c>
      <c r="D824" s="116">
        <v>0</v>
      </c>
      <c r="E824" s="136" t="s">
        <v>416</v>
      </c>
      <c r="F824" s="137" t="str">
        <f t="shared" si="91"/>
        <v/>
      </c>
      <c r="G824" s="138" t="e">
        <f>IF(A824&lt;&gt;"",IF(AND(#REF!="Padrão",$H$4=#REF!),BDI!$B$17,IF(AND(#REF!="Padrão",$H$4=#REF!),BDI!#REF!,IF(AND(#REF!="Diferenciado",$H$4=#REF!),BDI!$E$17,IF(AND(#REF!="Diferenciado",$H$4=#REF!),BDI!#REF!,IF(#REF!="ZERO",0))))),"")</f>
        <v>#REF!</v>
      </c>
      <c r="H824" s="139" t="str">
        <f t="shared" si="92"/>
        <v/>
      </c>
      <c r="I824" s="137" t="str">
        <f t="shared" si="93"/>
        <v/>
      </c>
      <c r="J824" s="117"/>
      <c r="K824" s="116">
        <v>0</v>
      </c>
      <c r="M824" s="136" t="s">
        <v>416</v>
      </c>
      <c r="N824" t="e">
        <v>#REF!</v>
      </c>
      <c r="Q824" t="s">
        <v>416</v>
      </c>
    </row>
    <row r="825" spans="1:17" hidden="1" x14ac:dyDescent="0.25">
      <c r="A825" s="114" t="s">
        <v>2369</v>
      </c>
      <c r="B825" s="115" t="s">
        <v>2370</v>
      </c>
      <c r="C825" s="116" t="s">
        <v>16</v>
      </c>
      <c r="D825" s="116">
        <v>0</v>
      </c>
      <c r="E825" s="136" t="s">
        <v>416</v>
      </c>
      <c r="F825" s="137" t="str">
        <f t="shared" si="91"/>
        <v/>
      </c>
      <c r="G825" s="138" t="e">
        <f>IF(A825&lt;&gt;"",IF(AND(#REF!="Padrão",$H$4=#REF!),BDI!$B$17,IF(AND(#REF!="Padrão",$H$4=#REF!),BDI!#REF!,IF(AND(#REF!="Diferenciado",$H$4=#REF!),BDI!$E$17,IF(AND(#REF!="Diferenciado",$H$4=#REF!),BDI!#REF!,IF(#REF!="ZERO",0))))),"")</f>
        <v>#REF!</v>
      </c>
      <c r="H825" s="139" t="str">
        <f t="shared" si="92"/>
        <v/>
      </c>
      <c r="I825" s="137" t="str">
        <f t="shared" si="93"/>
        <v/>
      </c>
      <c r="J825" s="117"/>
      <c r="K825" s="116">
        <v>0</v>
      </c>
      <c r="M825" s="136" t="s">
        <v>416</v>
      </c>
      <c r="N825" t="e">
        <v>#REF!</v>
      </c>
      <c r="Q825" t="s">
        <v>416</v>
      </c>
    </row>
    <row r="826" spans="1:17" hidden="1" x14ac:dyDescent="0.25">
      <c r="A826" s="114" t="s">
        <v>2371</v>
      </c>
      <c r="B826" s="115" t="s">
        <v>2372</v>
      </c>
      <c r="C826" s="116" t="s">
        <v>2373</v>
      </c>
      <c r="D826" s="116">
        <v>0</v>
      </c>
      <c r="E826" s="136" t="s">
        <v>416</v>
      </c>
      <c r="F826" s="137" t="str">
        <f t="shared" si="91"/>
        <v/>
      </c>
      <c r="G826" s="138" t="e">
        <f>IF(A826&lt;&gt;"",IF(AND(#REF!="Padrão",$H$4=#REF!),BDI!$B$17,IF(AND(#REF!="Padrão",$H$4=#REF!),BDI!#REF!,IF(AND(#REF!="Diferenciado",$H$4=#REF!),BDI!$E$17,IF(AND(#REF!="Diferenciado",$H$4=#REF!),BDI!#REF!,IF(#REF!="ZERO",0))))),"")</f>
        <v>#REF!</v>
      </c>
      <c r="H826" s="139" t="str">
        <f t="shared" si="92"/>
        <v/>
      </c>
      <c r="I826" s="137" t="str">
        <f t="shared" si="93"/>
        <v/>
      </c>
      <c r="J826" s="117"/>
      <c r="K826" s="116">
        <v>0</v>
      </c>
      <c r="M826" s="136" t="s">
        <v>416</v>
      </c>
      <c r="N826" t="e">
        <v>#REF!</v>
      </c>
      <c r="Q826" t="s">
        <v>416</v>
      </c>
    </row>
    <row r="827" spans="1:17" hidden="1" x14ac:dyDescent="0.25">
      <c r="A827" s="114" t="s">
        <v>2374</v>
      </c>
      <c r="B827" s="115" t="s">
        <v>5450</v>
      </c>
      <c r="C827" s="116" t="s">
        <v>16</v>
      </c>
      <c r="D827" s="116">
        <v>0</v>
      </c>
      <c r="E827" s="136" t="s">
        <v>416</v>
      </c>
      <c r="F827" s="137" t="str">
        <f t="shared" si="91"/>
        <v/>
      </c>
      <c r="G827" s="138" t="e">
        <f>IF(A827&lt;&gt;"",IF(AND(#REF!="Padrão",$H$4=#REF!),BDI!$B$17,IF(AND(#REF!="Padrão",$H$4=#REF!),BDI!#REF!,IF(AND(#REF!="Diferenciado",$H$4=#REF!),BDI!$E$17,IF(AND(#REF!="Diferenciado",$H$4=#REF!),BDI!#REF!,IF(#REF!="ZERO",0))))),"")</f>
        <v>#REF!</v>
      </c>
      <c r="H827" s="139" t="str">
        <f t="shared" si="92"/>
        <v/>
      </c>
      <c r="I827" s="137" t="str">
        <f t="shared" si="93"/>
        <v/>
      </c>
      <c r="J827" s="117"/>
      <c r="K827" s="116">
        <v>0</v>
      </c>
      <c r="M827" s="136" t="s">
        <v>416</v>
      </c>
      <c r="N827" t="e">
        <v>#REF!</v>
      </c>
      <c r="Q827" t="s">
        <v>416</v>
      </c>
    </row>
    <row r="828" spans="1:17" ht="25.5" hidden="1" x14ac:dyDescent="0.25">
      <c r="A828" s="114" t="s">
        <v>2375</v>
      </c>
      <c r="B828" s="115" t="s">
        <v>2376</v>
      </c>
      <c r="C828" s="116" t="s">
        <v>2377</v>
      </c>
      <c r="D828" s="116">
        <v>0</v>
      </c>
      <c r="E828" s="136" t="s">
        <v>416</v>
      </c>
      <c r="F828" s="137" t="str">
        <f t="shared" si="91"/>
        <v/>
      </c>
      <c r="G828" s="138" t="e">
        <f>IF(A828&lt;&gt;"",IF(AND(#REF!="Padrão",$H$4=#REF!),BDI!$B$17,IF(AND(#REF!="Padrão",$H$4=#REF!),BDI!#REF!,IF(AND(#REF!="Diferenciado",$H$4=#REF!),BDI!$E$17,IF(AND(#REF!="Diferenciado",$H$4=#REF!),BDI!#REF!,IF(#REF!="ZERO",0))))),"")</f>
        <v>#REF!</v>
      </c>
      <c r="H828" s="139" t="str">
        <f t="shared" si="92"/>
        <v/>
      </c>
      <c r="I828" s="137" t="str">
        <f t="shared" si="93"/>
        <v/>
      </c>
      <c r="J828" s="117"/>
      <c r="K828" s="116">
        <v>0</v>
      </c>
      <c r="M828" s="136" t="s">
        <v>416</v>
      </c>
      <c r="N828" t="e">
        <v>#REF!</v>
      </c>
      <c r="Q828" t="s">
        <v>416</v>
      </c>
    </row>
    <row r="829" spans="1:17" ht="25.5" hidden="1" x14ac:dyDescent="0.25">
      <c r="A829" s="114" t="s">
        <v>2378</v>
      </c>
      <c r="B829" s="115" t="s">
        <v>2379</v>
      </c>
      <c r="C829" s="116" t="s">
        <v>2377</v>
      </c>
      <c r="D829" s="116">
        <v>0</v>
      </c>
      <c r="E829" s="136" t="s">
        <v>416</v>
      </c>
      <c r="F829" s="137" t="str">
        <f t="shared" si="91"/>
        <v/>
      </c>
      <c r="G829" s="138" t="e">
        <f>IF(A829&lt;&gt;"",IF(AND(#REF!="Padrão",$H$4=#REF!),BDI!$B$17,IF(AND(#REF!="Padrão",$H$4=#REF!),BDI!#REF!,IF(AND(#REF!="Diferenciado",$H$4=#REF!),BDI!$E$17,IF(AND(#REF!="Diferenciado",$H$4=#REF!),BDI!#REF!,IF(#REF!="ZERO",0))))),"")</f>
        <v>#REF!</v>
      </c>
      <c r="H829" s="139" t="str">
        <f t="shared" si="92"/>
        <v/>
      </c>
      <c r="I829" s="137" t="str">
        <f t="shared" si="93"/>
        <v/>
      </c>
      <c r="J829" s="117"/>
      <c r="K829" s="116">
        <v>0</v>
      </c>
      <c r="M829" s="136" t="s">
        <v>416</v>
      </c>
      <c r="N829" t="e">
        <v>#REF!</v>
      </c>
      <c r="Q829" t="s">
        <v>416</v>
      </c>
    </row>
    <row r="830" spans="1:17" hidden="1" x14ac:dyDescent="0.25">
      <c r="A830" s="114" t="s">
        <v>2380</v>
      </c>
      <c r="B830" s="115" t="s">
        <v>5451</v>
      </c>
      <c r="C830" s="116" t="s">
        <v>16</v>
      </c>
      <c r="D830" s="116">
        <v>0</v>
      </c>
      <c r="E830" s="136" t="s">
        <v>416</v>
      </c>
      <c r="F830" s="137" t="str">
        <f t="shared" si="91"/>
        <v/>
      </c>
      <c r="G830" s="138" t="e">
        <f>IF(A830&lt;&gt;"",IF(AND(#REF!="Padrão",$H$4=#REF!),BDI!$B$17,IF(AND(#REF!="Padrão",$H$4=#REF!),BDI!#REF!,IF(AND(#REF!="Diferenciado",$H$4=#REF!),BDI!$E$17,IF(AND(#REF!="Diferenciado",$H$4=#REF!),BDI!#REF!,IF(#REF!="ZERO",0))))),"")</f>
        <v>#REF!</v>
      </c>
      <c r="H830" s="139" t="str">
        <f t="shared" si="92"/>
        <v/>
      </c>
      <c r="I830" s="137" t="str">
        <f t="shared" si="93"/>
        <v/>
      </c>
      <c r="J830" s="117"/>
      <c r="K830" s="116">
        <v>0</v>
      </c>
      <c r="M830" s="136" t="s">
        <v>416</v>
      </c>
      <c r="N830" t="e">
        <v>#REF!</v>
      </c>
      <c r="Q830" t="s">
        <v>416</v>
      </c>
    </row>
    <row r="831" spans="1:17" hidden="1" x14ac:dyDescent="0.25">
      <c r="A831" s="114" t="s">
        <v>2381</v>
      </c>
      <c r="B831" s="115" t="s">
        <v>2382</v>
      </c>
      <c r="C831" s="116" t="s">
        <v>2377</v>
      </c>
      <c r="D831" s="116">
        <v>0</v>
      </c>
      <c r="E831" s="136" t="s">
        <v>416</v>
      </c>
      <c r="F831" s="137" t="str">
        <f t="shared" si="91"/>
        <v/>
      </c>
      <c r="G831" s="138" t="e">
        <f>IF(A831&lt;&gt;"",IF(AND(#REF!="Padrão",$H$4=#REF!),BDI!$B$17,IF(AND(#REF!="Padrão",$H$4=#REF!),BDI!#REF!,IF(AND(#REF!="Diferenciado",$H$4=#REF!),BDI!$E$17,IF(AND(#REF!="Diferenciado",$H$4=#REF!),BDI!#REF!,IF(#REF!="ZERO",0))))),"")</f>
        <v>#REF!</v>
      </c>
      <c r="H831" s="139" t="str">
        <f t="shared" si="92"/>
        <v/>
      </c>
      <c r="I831" s="137" t="str">
        <f t="shared" si="93"/>
        <v/>
      </c>
      <c r="J831" s="117"/>
      <c r="K831" s="116">
        <v>0</v>
      </c>
      <c r="M831" s="136" t="s">
        <v>416</v>
      </c>
      <c r="N831" t="e">
        <v>#REF!</v>
      </c>
      <c r="Q831" t="s">
        <v>416</v>
      </c>
    </row>
    <row r="832" spans="1:17" hidden="1" x14ac:dyDescent="0.25">
      <c r="A832" s="114" t="s">
        <v>2383</v>
      </c>
      <c r="B832" s="115" t="s">
        <v>5452</v>
      </c>
      <c r="C832" s="116" t="s">
        <v>1683</v>
      </c>
      <c r="D832" s="116">
        <v>0</v>
      </c>
      <c r="E832" s="136" t="s">
        <v>416</v>
      </c>
      <c r="F832" s="137" t="str">
        <f t="shared" si="91"/>
        <v/>
      </c>
      <c r="G832" s="138" t="e">
        <f>IF(A832&lt;&gt;"",IF(AND(#REF!="Padrão",$H$4=#REF!),BDI!$B$17,IF(AND(#REF!="Padrão",$H$4=#REF!),BDI!#REF!,IF(AND(#REF!="Diferenciado",$H$4=#REF!),BDI!$E$17,IF(AND(#REF!="Diferenciado",$H$4=#REF!),BDI!#REF!,IF(#REF!="ZERO",0))))),"")</f>
        <v>#REF!</v>
      </c>
      <c r="H832" s="139" t="str">
        <f t="shared" si="92"/>
        <v/>
      </c>
      <c r="I832" s="137" t="str">
        <f t="shared" si="93"/>
        <v/>
      </c>
      <c r="J832" s="117"/>
      <c r="K832" s="116">
        <v>0</v>
      </c>
      <c r="M832" s="136" t="s">
        <v>416</v>
      </c>
      <c r="N832" t="e">
        <v>#REF!</v>
      </c>
      <c r="Q832" t="s">
        <v>416</v>
      </c>
    </row>
    <row r="833" spans="1:17" hidden="1" x14ac:dyDescent="0.25">
      <c r="A833" s="114" t="s">
        <v>2384</v>
      </c>
      <c r="B833" s="115" t="s">
        <v>5453</v>
      </c>
      <c r="C833" s="116" t="s">
        <v>1683</v>
      </c>
      <c r="D833" s="116">
        <v>0</v>
      </c>
      <c r="E833" s="136">
        <f ca="1">OFFSET(INDEX(Composições!A:J,MATCH(Orçamentária!A833,Composições!A:A,0),8),2,0)</f>
        <v>38.959499999999998</v>
      </c>
      <c r="F833" s="137">
        <f t="shared" ca="1" si="91"/>
        <v>0</v>
      </c>
      <c r="G833" s="138" t="e">
        <f>IF(A833&lt;&gt;"",IF(AND(#REF!="Padrão",$H$4=#REF!),BDI!$B$17,IF(AND(#REF!="Padrão",$H$4=#REF!),BDI!#REF!,IF(AND(#REF!="Diferenciado",$H$4=#REF!),BDI!$E$17,IF(AND(#REF!="Diferenciado",$H$4=#REF!),BDI!#REF!,IF(#REF!="ZERO",0))))),"")</f>
        <v>#REF!</v>
      </c>
      <c r="H833" s="139" t="e">
        <f t="shared" ca="1" si="92"/>
        <v>#REF!</v>
      </c>
      <c r="I833" s="137" t="e">
        <f t="shared" ca="1" si="93"/>
        <v>#REF!</v>
      </c>
      <c r="J833" s="117"/>
      <c r="K833" s="116">
        <v>0</v>
      </c>
      <c r="M833" s="136" t="e">
        <f ca="1">OFFSET(INDEX([1]Composições!I:R,MATCH([1]Orçamentária!I833,[1]Composições!I:I,0),8),2,0)</f>
        <v>#REF!</v>
      </c>
      <c r="N833" t="e">
        <v>#REF!</v>
      </c>
      <c r="Q833" t="e">
        <v>#REF!</v>
      </c>
    </row>
    <row r="834" spans="1:17" hidden="1" x14ac:dyDescent="0.25">
      <c r="A834" s="114" t="s">
        <v>2385</v>
      </c>
      <c r="B834" s="115" t="s">
        <v>2386</v>
      </c>
      <c r="C834" s="116" t="s">
        <v>16</v>
      </c>
      <c r="D834" s="116">
        <v>0</v>
      </c>
      <c r="E834" s="136">
        <f ca="1">OFFSET(INDEX(Composições!A:J,MATCH(Orçamentária!A834,Composições!A:A,0),8),2,0)</f>
        <v>17.584500000000002</v>
      </c>
      <c r="F834" s="137">
        <f t="shared" ca="1" si="91"/>
        <v>0</v>
      </c>
      <c r="G834" s="138" t="e">
        <f>IF(A834&lt;&gt;"",IF(AND(#REF!="Padrão",$H$4=#REF!),BDI!$B$17,IF(AND(#REF!="Padrão",$H$4=#REF!),BDI!#REF!,IF(AND(#REF!="Diferenciado",$H$4=#REF!),BDI!$E$17,IF(AND(#REF!="Diferenciado",$H$4=#REF!),BDI!#REF!,IF(#REF!="ZERO",0))))),"")</f>
        <v>#REF!</v>
      </c>
      <c r="H834" s="139" t="e">
        <f t="shared" ca="1" si="92"/>
        <v>#REF!</v>
      </c>
      <c r="I834" s="137" t="e">
        <f t="shared" ca="1" si="93"/>
        <v>#REF!</v>
      </c>
      <c r="J834" s="117"/>
      <c r="K834" s="116">
        <v>0</v>
      </c>
      <c r="M834" s="136" t="e">
        <f ca="1">OFFSET(INDEX([1]Composições!I:R,MATCH([1]Orçamentária!I834,[1]Composições!I:I,0),8),2,0)</f>
        <v>#REF!</v>
      </c>
      <c r="N834" t="e">
        <v>#REF!</v>
      </c>
      <c r="Q834" t="e">
        <v>#REF!</v>
      </c>
    </row>
    <row r="835" spans="1:17" hidden="1" x14ac:dyDescent="0.25">
      <c r="A835" s="114" t="s">
        <v>2387</v>
      </c>
      <c r="B835" s="115" t="s">
        <v>2388</v>
      </c>
      <c r="C835" s="116" t="s">
        <v>16</v>
      </c>
      <c r="D835" s="116">
        <v>0</v>
      </c>
      <c r="E835" s="136" t="s">
        <v>416</v>
      </c>
      <c r="F835" s="137" t="str">
        <f t="shared" si="91"/>
        <v/>
      </c>
      <c r="G835" s="138" t="e">
        <f>IF(A835&lt;&gt;"",IF(AND(#REF!="Padrão",$H$4=#REF!),BDI!$B$17,IF(AND(#REF!="Padrão",$H$4=#REF!),BDI!#REF!,IF(AND(#REF!="Diferenciado",$H$4=#REF!),BDI!$E$17,IF(AND(#REF!="Diferenciado",$H$4=#REF!),BDI!#REF!,IF(#REF!="ZERO",0))))),"")</f>
        <v>#REF!</v>
      </c>
      <c r="H835" s="139" t="str">
        <f t="shared" si="92"/>
        <v/>
      </c>
      <c r="I835" s="137" t="str">
        <f t="shared" si="93"/>
        <v/>
      </c>
      <c r="J835" s="117"/>
      <c r="K835" s="116">
        <v>0</v>
      </c>
      <c r="M835" s="136" t="s">
        <v>416</v>
      </c>
      <c r="N835" t="e">
        <v>#REF!</v>
      </c>
      <c r="Q835" t="s">
        <v>416</v>
      </c>
    </row>
    <row r="836" spans="1:17" hidden="1" x14ac:dyDescent="0.25">
      <c r="A836" s="114" t="s">
        <v>2389</v>
      </c>
      <c r="B836" s="115" t="s">
        <v>2390</v>
      </c>
      <c r="C836" s="116" t="s">
        <v>16</v>
      </c>
      <c r="D836" s="116">
        <v>0</v>
      </c>
      <c r="E836" s="136" t="s">
        <v>416</v>
      </c>
      <c r="F836" s="137" t="str">
        <f t="shared" si="91"/>
        <v/>
      </c>
      <c r="G836" s="138" t="e">
        <f>IF(A836&lt;&gt;"",IF(AND(#REF!="Padrão",$H$4=#REF!),BDI!$B$17,IF(AND(#REF!="Padrão",$H$4=#REF!),BDI!#REF!,IF(AND(#REF!="Diferenciado",$H$4=#REF!),BDI!$E$17,IF(AND(#REF!="Diferenciado",$H$4=#REF!),BDI!#REF!,IF(#REF!="ZERO",0))))),"")</f>
        <v>#REF!</v>
      </c>
      <c r="H836" s="139" t="str">
        <f t="shared" si="92"/>
        <v/>
      </c>
      <c r="I836" s="137" t="str">
        <f t="shared" si="93"/>
        <v/>
      </c>
      <c r="J836" s="117"/>
      <c r="K836" s="116">
        <v>0</v>
      </c>
      <c r="M836" s="136" t="s">
        <v>416</v>
      </c>
      <c r="N836" t="e">
        <v>#REF!</v>
      </c>
      <c r="Q836" t="s">
        <v>416</v>
      </c>
    </row>
    <row r="837" spans="1:17" hidden="1" x14ac:dyDescent="0.25">
      <c r="A837" s="114" t="s">
        <v>2391</v>
      </c>
      <c r="B837" s="115" t="s">
        <v>2392</v>
      </c>
      <c r="C837" s="116" t="s">
        <v>2377</v>
      </c>
      <c r="D837" s="116">
        <v>0</v>
      </c>
      <c r="E837" s="136" t="s">
        <v>416</v>
      </c>
      <c r="F837" s="137" t="str">
        <f t="shared" si="91"/>
        <v/>
      </c>
      <c r="G837" s="138" t="e">
        <f>IF(A837&lt;&gt;"",IF(AND(#REF!="Padrão",$H$4=#REF!),BDI!$B$17,IF(AND(#REF!="Padrão",$H$4=#REF!),BDI!#REF!,IF(AND(#REF!="Diferenciado",$H$4=#REF!),BDI!$E$17,IF(AND(#REF!="Diferenciado",$H$4=#REF!),BDI!#REF!,IF(#REF!="ZERO",0))))),"")</f>
        <v>#REF!</v>
      </c>
      <c r="H837" s="139" t="str">
        <f t="shared" si="92"/>
        <v/>
      </c>
      <c r="I837" s="137" t="str">
        <f t="shared" si="93"/>
        <v/>
      </c>
      <c r="J837" s="117"/>
      <c r="K837" s="116">
        <v>0</v>
      </c>
      <c r="M837" s="136" t="s">
        <v>416</v>
      </c>
      <c r="N837" t="e">
        <v>#REF!</v>
      </c>
      <c r="Q837" t="s">
        <v>416</v>
      </c>
    </row>
    <row r="838" spans="1:17" hidden="1" x14ac:dyDescent="0.25">
      <c r="A838" s="114" t="s">
        <v>2393</v>
      </c>
      <c r="B838" s="115" t="s">
        <v>2394</v>
      </c>
      <c r="C838" s="116" t="s">
        <v>2377</v>
      </c>
      <c r="D838" s="116">
        <v>0</v>
      </c>
      <c r="E838" s="136" t="s">
        <v>416</v>
      </c>
      <c r="F838" s="137" t="str">
        <f t="shared" si="91"/>
        <v/>
      </c>
      <c r="G838" s="138" t="e">
        <f>IF(A838&lt;&gt;"",IF(AND(#REF!="Padrão",$H$4=#REF!),BDI!$B$17,IF(AND(#REF!="Padrão",$H$4=#REF!),BDI!#REF!,IF(AND(#REF!="Diferenciado",$H$4=#REF!),BDI!$E$17,IF(AND(#REF!="Diferenciado",$H$4=#REF!),BDI!#REF!,IF(#REF!="ZERO",0))))),"")</f>
        <v>#REF!</v>
      </c>
      <c r="H838" s="139" t="str">
        <f t="shared" si="92"/>
        <v/>
      </c>
      <c r="I838" s="137" t="str">
        <f t="shared" si="93"/>
        <v/>
      </c>
      <c r="J838" s="117"/>
      <c r="K838" s="116">
        <v>0</v>
      </c>
      <c r="M838" s="136" t="s">
        <v>416</v>
      </c>
      <c r="N838" t="e">
        <v>#REF!</v>
      </c>
      <c r="Q838" t="s">
        <v>416</v>
      </c>
    </row>
    <row r="839" spans="1:17" hidden="1" x14ac:dyDescent="0.25">
      <c r="A839" s="114" t="s">
        <v>2395</v>
      </c>
      <c r="B839" s="115" t="s">
        <v>2396</v>
      </c>
      <c r="C839" s="116" t="s">
        <v>1683</v>
      </c>
      <c r="D839" s="116">
        <v>0</v>
      </c>
      <c r="E839" s="136" t="s">
        <v>416</v>
      </c>
      <c r="F839" s="137" t="str">
        <f t="shared" ref="F839:F902" si="94">IF(ISNUMBER(E839),D839*E839,"")</f>
        <v/>
      </c>
      <c r="G839" s="138" t="e">
        <f>IF(A839&lt;&gt;"",IF(AND(#REF!="Padrão",$H$4=#REF!),BDI!$B$17,IF(AND(#REF!="Padrão",$H$4=#REF!),BDI!#REF!,IF(AND(#REF!="Diferenciado",$H$4=#REF!),BDI!$E$17,IF(AND(#REF!="Diferenciado",$H$4=#REF!),BDI!#REF!,IF(#REF!="ZERO",0))))),"")</f>
        <v>#REF!</v>
      </c>
      <c r="H839" s="139" t="str">
        <f t="shared" ref="H839:H902" si="95">IF(ISNUMBER(E839),ROUND(E839*(1+G839),2),"")</f>
        <v/>
      </c>
      <c r="I839" s="137" t="str">
        <f t="shared" ref="I839:I902" si="96">IF(ISNUMBER(E839),ROUND(H839*D839,2),"")</f>
        <v/>
      </c>
      <c r="J839" s="117"/>
      <c r="K839" s="116">
        <v>0</v>
      </c>
      <c r="M839" s="136" t="s">
        <v>416</v>
      </c>
      <c r="N839" t="e">
        <v>#REF!</v>
      </c>
      <c r="Q839" t="s">
        <v>416</v>
      </c>
    </row>
    <row r="840" spans="1:17" hidden="1" x14ac:dyDescent="0.25">
      <c r="A840" s="114" t="s">
        <v>2397</v>
      </c>
      <c r="B840" s="115" t="s">
        <v>2398</v>
      </c>
      <c r="C840" s="116" t="s">
        <v>2377</v>
      </c>
      <c r="D840" s="116">
        <v>0</v>
      </c>
      <c r="E840" s="136" t="s">
        <v>416</v>
      </c>
      <c r="F840" s="137" t="str">
        <f t="shared" si="94"/>
        <v/>
      </c>
      <c r="G840" s="138" t="e">
        <f>IF(A840&lt;&gt;"",IF(AND(#REF!="Padrão",$H$4=#REF!),BDI!$B$17,IF(AND(#REF!="Padrão",$H$4=#REF!),BDI!#REF!,IF(AND(#REF!="Diferenciado",$H$4=#REF!),BDI!$E$17,IF(AND(#REF!="Diferenciado",$H$4=#REF!),BDI!#REF!,IF(#REF!="ZERO",0))))),"")</f>
        <v>#REF!</v>
      </c>
      <c r="H840" s="139" t="str">
        <f t="shared" si="95"/>
        <v/>
      </c>
      <c r="I840" s="137" t="str">
        <f t="shared" si="96"/>
        <v/>
      </c>
      <c r="J840" s="117"/>
      <c r="K840" s="116">
        <v>0</v>
      </c>
      <c r="M840" s="136" t="s">
        <v>416</v>
      </c>
      <c r="N840" t="e">
        <v>#REF!</v>
      </c>
      <c r="Q840" t="s">
        <v>416</v>
      </c>
    </row>
    <row r="841" spans="1:17" hidden="1" x14ac:dyDescent="0.25">
      <c r="A841" s="114" t="s">
        <v>2399</v>
      </c>
      <c r="B841" s="115" t="s">
        <v>5454</v>
      </c>
      <c r="C841" s="116" t="s">
        <v>16</v>
      </c>
      <c r="D841" s="116">
        <v>0</v>
      </c>
      <c r="E841" s="136" t="s">
        <v>416</v>
      </c>
      <c r="F841" s="137" t="str">
        <f t="shared" si="94"/>
        <v/>
      </c>
      <c r="G841" s="138" t="e">
        <f>IF(A841&lt;&gt;"",IF(AND(#REF!="Padrão",$H$4=#REF!),BDI!$B$17,IF(AND(#REF!="Padrão",$H$4=#REF!),BDI!#REF!,IF(AND(#REF!="Diferenciado",$H$4=#REF!),BDI!$E$17,IF(AND(#REF!="Diferenciado",$H$4=#REF!),BDI!#REF!,IF(#REF!="ZERO",0))))),"")</f>
        <v>#REF!</v>
      </c>
      <c r="H841" s="139" t="str">
        <f t="shared" si="95"/>
        <v/>
      </c>
      <c r="I841" s="137" t="str">
        <f t="shared" si="96"/>
        <v/>
      </c>
      <c r="J841" s="117"/>
      <c r="K841" s="116">
        <v>0</v>
      </c>
      <c r="M841" s="136" t="s">
        <v>416</v>
      </c>
      <c r="N841" t="e">
        <v>#REF!</v>
      </c>
      <c r="Q841" t="s">
        <v>416</v>
      </c>
    </row>
    <row r="842" spans="1:17" hidden="1" x14ac:dyDescent="0.25">
      <c r="A842" s="114" t="s">
        <v>2400</v>
      </c>
      <c r="B842" s="115" t="s">
        <v>5509</v>
      </c>
      <c r="C842" s="116" t="s">
        <v>16</v>
      </c>
      <c r="D842" s="116">
        <v>0</v>
      </c>
      <c r="E842" s="136" t="s">
        <v>416</v>
      </c>
      <c r="F842" s="137" t="str">
        <f t="shared" si="94"/>
        <v/>
      </c>
      <c r="G842" s="138" t="e">
        <f>IF(A842&lt;&gt;"",IF(AND(#REF!="Padrão",$H$4=#REF!),BDI!$B$17,IF(AND(#REF!="Padrão",$H$4=#REF!),BDI!#REF!,IF(AND(#REF!="Diferenciado",$H$4=#REF!),BDI!$E$17,IF(AND(#REF!="Diferenciado",$H$4=#REF!),BDI!#REF!,IF(#REF!="ZERO",0))))),"")</f>
        <v>#REF!</v>
      </c>
      <c r="H842" s="139" t="str">
        <f t="shared" si="95"/>
        <v/>
      </c>
      <c r="I842" s="137" t="str">
        <f t="shared" si="96"/>
        <v/>
      </c>
      <c r="J842" s="117"/>
      <c r="K842" s="116">
        <v>0</v>
      </c>
      <c r="M842" s="136" t="s">
        <v>416</v>
      </c>
      <c r="N842" t="e">
        <v>#REF!</v>
      </c>
      <c r="Q842" t="s">
        <v>416</v>
      </c>
    </row>
    <row r="843" spans="1:17" hidden="1" x14ac:dyDescent="0.25">
      <c r="A843" s="114" t="s">
        <v>2401</v>
      </c>
      <c r="B843" s="115" t="s">
        <v>2402</v>
      </c>
      <c r="C843" s="116" t="s">
        <v>16</v>
      </c>
      <c r="D843" s="116">
        <v>0</v>
      </c>
      <c r="E843" s="136" t="s">
        <v>416</v>
      </c>
      <c r="F843" s="137" t="str">
        <f t="shared" si="94"/>
        <v/>
      </c>
      <c r="G843" s="138" t="e">
        <f>IF(A843&lt;&gt;"",IF(AND(#REF!="Padrão",$H$4=#REF!),BDI!$B$17,IF(AND(#REF!="Padrão",$H$4=#REF!),BDI!#REF!,IF(AND(#REF!="Diferenciado",$H$4=#REF!),BDI!$E$17,IF(AND(#REF!="Diferenciado",$H$4=#REF!),BDI!#REF!,IF(#REF!="ZERO",0))))),"")</f>
        <v>#REF!</v>
      </c>
      <c r="H843" s="139" t="str">
        <f t="shared" si="95"/>
        <v/>
      </c>
      <c r="I843" s="137" t="str">
        <f t="shared" si="96"/>
        <v/>
      </c>
      <c r="J843" s="117"/>
      <c r="K843" s="116">
        <v>0</v>
      </c>
      <c r="M843" s="136" t="s">
        <v>416</v>
      </c>
      <c r="N843" t="e">
        <v>#REF!</v>
      </c>
      <c r="Q843" t="s">
        <v>416</v>
      </c>
    </row>
    <row r="844" spans="1:17" hidden="1" x14ac:dyDescent="0.25">
      <c r="A844" s="114" t="s">
        <v>2403</v>
      </c>
      <c r="B844" s="115" t="s">
        <v>5510</v>
      </c>
      <c r="C844" s="116" t="s">
        <v>16</v>
      </c>
      <c r="D844" s="116">
        <v>0</v>
      </c>
      <c r="E844" s="136" t="s">
        <v>416</v>
      </c>
      <c r="F844" s="137" t="str">
        <f t="shared" si="94"/>
        <v/>
      </c>
      <c r="G844" s="138" t="e">
        <f>IF(A844&lt;&gt;"",IF(AND(#REF!="Padrão",$H$4=#REF!),BDI!$B$17,IF(AND(#REF!="Padrão",$H$4=#REF!),BDI!#REF!,IF(AND(#REF!="Diferenciado",$H$4=#REF!),BDI!$E$17,IF(AND(#REF!="Diferenciado",$H$4=#REF!),BDI!#REF!,IF(#REF!="ZERO",0))))),"")</f>
        <v>#REF!</v>
      </c>
      <c r="H844" s="139" t="str">
        <f t="shared" si="95"/>
        <v/>
      </c>
      <c r="I844" s="137" t="str">
        <f t="shared" si="96"/>
        <v/>
      </c>
      <c r="J844" s="117"/>
      <c r="K844" s="116">
        <v>0</v>
      </c>
      <c r="M844" s="136" t="s">
        <v>416</v>
      </c>
      <c r="N844" t="e">
        <v>#REF!</v>
      </c>
      <c r="Q844" t="s">
        <v>416</v>
      </c>
    </row>
    <row r="845" spans="1:17" hidden="1" x14ac:dyDescent="0.25">
      <c r="A845" s="114" t="s">
        <v>2404</v>
      </c>
      <c r="B845" s="115" t="s">
        <v>2405</v>
      </c>
      <c r="C845" s="116" t="s">
        <v>16</v>
      </c>
      <c r="D845" s="116">
        <v>0</v>
      </c>
      <c r="E845" s="136">
        <f ca="1">OFFSET(INDEX(Composições!A:J,MATCH(Orçamentária!A845,Composições!A:A,0),8),2,0)</f>
        <v>180.93700000000001</v>
      </c>
      <c r="F845" s="137">
        <f t="shared" ca="1" si="94"/>
        <v>0</v>
      </c>
      <c r="G845" s="138" t="e">
        <f>IF(A845&lt;&gt;"",IF(AND(#REF!="Padrão",$H$4=#REF!),BDI!$B$17,IF(AND(#REF!="Padrão",$H$4=#REF!),BDI!#REF!,IF(AND(#REF!="Diferenciado",$H$4=#REF!),BDI!$E$17,IF(AND(#REF!="Diferenciado",$H$4=#REF!),BDI!#REF!,IF(#REF!="ZERO",0))))),"")</f>
        <v>#REF!</v>
      </c>
      <c r="H845" s="139" t="e">
        <f t="shared" ca="1" si="95"/>
        <v>#REF!</v>
      </c>
      <c r="I845" s="137" t="e">
        <f t="shared" ca="1" si="96"/>
        <v>#REF!</v>
      </c>
      <c r="J845" s="117"/>
      <c r="K845" s="116">
        <v>0</v>
      </c>
      <c r="M845" s="136" t="e">
        <f ca="1">OFFSET(INDEX([1]Composições!I:R,MATCH([1]Orçamentária!I845,[1]Composições!I:I,0),8),2,0)</f>
        <v>#REF!</v>
      </c>
      <c r="N845" t="e">
        <v>#REF!</v>
      </c>
      <c r="Q845" t="e">
        <v>#REF!</v>
      </c>
    </row>
    <row r="846" spans="1:17" hidden="1" x14ac:dyDescent="0.25">
      <c r="A846" s="114" t="s">
        <v>2406</v>
      </c>
      <c r="B846" s="115" t="s">
        <v>5511</v>
      </c>
      <c r="C846" s="116" t="s">
        <v>16</v>
      </c>
      <c r="D846" s="116">
        <v>0</v>
      </c>
      <c r="E846" s="136">
        <f ca="1">OFFSET(INDEX(Composições!A:J,MATCH(Orçamentária!A846,Composições!A:A,0),8),2,0)</f>
        <v>158.95399999999998</v>
      </c>
      <c r="F846" s="137">
        <f t="shared" ca="1" si="94"/>
        <v>0</v>
      </c>
      <c r="G846" s="138" t="e">
        <f>IF(A846&lt;&gt;"",IF(AND(#REF!="Padrão",$H$4=#REF!),BDI!$B$17,IF(AND(#REF!="Padrão",$H$4=#REF!),BDI!#REF!,IF(AND(#REF!="Diferenciado",$H$4=#REF!),BDI!$E$17,IF(AND(#REF!="Diferenciado",$H$4=#REF!),BDI!#REF!,IF(#REF!="ZERO",0))))),"")</f>
        <v>#REF!</v>
      </c>
      <c r="H846" s="139" t="e">
        <f t="shared" ca="1" si="95"/>
        <v>#REF!</v>
      </c>
      <c r="I846" s="137" t="e">
        <f t="shared" ca="1" si="96"/>
        <v>#REF!</v>
      </c>
      <c r="J846" s="117"/>
      <c r="K846" s="116">
        <v>0</v>
      </c>
      <c r="M846" s="136" t="e">
        <f ca="1">OFFSET(INDEX([1]Composições!I:R,MATCH([1]Orçamentária!I846,[1]Composições!I:I,0),8),2,0)</f>
        <v>#REF!</v>
      </c>
      <c r="N846" t="e">
        <v>#REF!</v>
      </c>
      <c r="Q846" t="e">
        <v>#REF!</v>
      </c>
    </row>
    <row r="847" spans="1:17" hidden="1" x14ac:dyDescent="0.25">
      <c r="A847" s="114" t="s">
        <v>2407</v>
      </c>
      <c r="B847" s="115" t="s">
        <v>5512</v>
      </c>
      <c r="C847" s="116" t="s">
        <v>16</v>
      </c>
      <c r="D847" s="116">
        <v>0</v>
      </c>
      <c r="E847" s="136" t="s">
        <v>416</v>
      </c>
      <c r="F847" s="137" t="str">
        <f t="shared" si="94"/>
        <v/>
      </c>
      <c r="G847" s="138" t="e">
        <f>IF(A847&lt;&gt;"",IF(AND(#REF!="Padrão",$H$4=#REF!),BDI!$B$17,IF(AND(#REF!="Padrão",$H$4=#REF!),BDI!#REF!,IF(AND(#REF!="Diferenciado",$H$4=#REF!),BDI!$E$17,IF(AND(#REF!="Diferenciado",$H$4=#REF!),BDI!#REF!,IF(#REF!="ZERO",0))))),"")</f>
        <v>#REF!</v>
      </c>
      <c r="H847" s="139" t="str">
        <f t="shared" si="95"/>
        <v/>
      </c>
      <c r="I847" s="137" t="str">
        <f t="shared" si="96"/>
        <v/>
      </c>
      <c r="J847" s="117"/>
      <c r="K847" s="116">
        <v>0</v>
      </c>
      <c r="M847" s="136" t="s">
        <v>416</v>
      </c>
      <c r="N847" t="e">
        <v>#REF!</v>
      </c>
      <c r="Q847" t="s">
        <v>416</v>
      </c>
    </row>
    <row r="848" spans="1:17" hidden="1" x14ac:dyDescent="0.25">
      <c r="A848" s="114" t="s">
        <v>2408</v>
      </c>
      <c r="B848" s="115" t="s">
        <v>2409</v>
      </c>
      <c r="C848" s="116" t="s">
        <v>2377</v>
      </c>
      <c r="D848" s="116">
        <v>0</v>
      </c>
      <c r="E848" s="136" t="s">
        <v>416</v>
      </c>
      <c r="F848" s="137" t="str">
        <f t="shared" si="94"/>
        <v/>
      </c>
      <c r="G848" s="138" t="e">
        <f>IF(A848&lt;&gt;"",IF(AND(#REF!="Padrão",$H$4=#REF!),BDI!$B$17,IF(AND(#REF!="Padrão",$H$4=#REF!),BDI!#REF!,IF(AND(#REF!="Diferenciado",$H$4=#REF!),BDI!$E$17,IF(AND(#REF!="Diferenciado",$H$4=#REF!),BDI!#REF!,IF(#REF!="ZERO",0))))),"")</f>
        <v>#REF!</v>
      </c>
      <c r="H848" s="139" t="str">
        <f t="shared" si="95"/>
        <v/>
      </c>
      <c r="I848" s="137" t="str">
        <f t="shared" si="96"/>
        <v/>
      </c>
      <c r="J848" s="117"/>
      <c r="K848" s="116">
        <v>0</v>
      </c>
      <c r="M848" s="136" t="s">
        <v>416</v>
      </c>
      <c r="N848" t="e">
        <v>#REF!</v>
      </c>
      <c r="Q848" t="s">
        <v>416</v>
      </c>
    </row>
    <row r="849" spans="1:17" hidden="1" x14ac:dyDescent="0.25">
      <c r="A849" s="114" t="s">
        <v>668</v>
      </c>
      <c r="B849" s="115" t="s">
        <v>2410</v>
      </c>
      <c r="C849" s="116" t="s">
        <v>70</v>
      </c>
      <c r="D849" s="116">
        <v>0</v>
      </c>
      <c r="E849" s="136">
        <f ca="1">OFFSET(INDEX(Composições!A:J,MATCH(Orçamentária!A849,Composições!A:A,0),8),2,0)</f>
        <v>33.933999999999997</v>
      </c>
      <c r="F849" s="137">
        <f t="shared" ca="1" si="94"/>
        <v>0</v>
      </c>
      <c r="G849" s="138" t="e">
        <f>IF(A849&lt;&gt;"",IF(AND(#REF!="Padrão",$H$4=#REF!),BDI!$B$17,IF(AND(#REF!="Padrão",$H$4=#REF!),BDI!#REF!,IF(AND(#REF!="Diferenciado",$H$4=#REF!),BDI!$E$17,IF(AND(#REF!="Diferenciado",$H$4=#REF!),BDI!#REF!,IF(#REF!="ZERO",0))))),"")</f>
        <v>#REF!</v>
      </c>
      <c r="H849" s="139" t="e">
        <f t="shared" ca="1" si="95"/>
        <v>#REF!</v>
      </c>
      <c r="I849" s="137" t="e">
        <f t="shared" ca="1" si="96"/>
        <v>#REF!</v>
      </c>
      <c r="J849" s="117"/>
      <c r="K849" s="116">
        <v>0</v>
      </c>
      <c r="M849" s="136" t="e">
        <f ca="1">OFFSET(INDEX([1]Composições!I:R,MATCH([1]Orçamentária!I849,[1]Composições!I:I,0),8),2,0)</f>
        <v>#REF!</v>
      </c>
      <c r="N849" t="e">
        <v>#REF!</v>
      </c>
      <c r="Q849" t="e">
        <v>#REF!</v>
      </c>
    </row>
    <row r="850" spans="1:17" hidden="1" x14ac:dyDescent="0.25">
      <c r="A850" s="114" t="s">
        <v>670</v>
      </c>
      <c r="B850" s="115" t="s">
        <v>2411</v>
      </c>
      <c r="C850" s="116" t="s">
        <v>70</v>
      </c>
      <c r="D850" s="116">
        <v>0</v>
      </c>
      <c r="E850" s="136">
        <f ca="1">OFFSET(INDEX(Composições!A:J,MATCH(Orçamentária!A850,Composições!A:A,0),8),2,0)</f>
        <v>275.42850299999998</v>
      </c>
      <c r="F850" s="137">
        <f t="shared" ca="1" si="94"/>
        <v>0</v>
      </c>
      <c r="G850" s="138" t="e">
        <f>IF(A850&lt;&gt;"",IF(AND(#REF!="Padrão",$H$4=#REF!),BDI!$B$17,IF(AND(#REF!="Padrão",$H$4=#REF!),BDI!#REF!,IF(AND(#REF!="Diferenciado",$H$4=#REF!),BDI!$E$17,IF(AND(#REF!="Diferenciado",$H$4=#REF!),BDI!#REF!,IF(#REF!="ZERO",0))))),"")</f>
        <v>#REF!</v>
      </c>
      <c r="H850" s="139" t="e">
        <f t="shared" ca="1" si="95"/>
        <v>#REF!</v>
      </c>
      <c r="I850" s="137" t="e">
        <f t="shared" ca="1" si="96"/>
        <v>#REF!</v>
      </c>
      <c r="J850" s="117"/>
      <c r="K850" s="116">
        <v>0</v>
      </c>
      <c r="M850" s="136" t="e">
        <f ca="1">OFFSET(INDEX([1]Composições!I:R,MATCH([1]Orçamentária!I850,[1]Composições!I:I,0),8),2,0)</f>
        <v>#REF!</v>
      </c>
      <c r="N850" t="e">
        <v>#REF!</v>
      </c>
      <c r="Q850" t="e">
        <v>#REF!</v>
      </c>
    </row>
    <row r="851" spans="1:17" hidden="1" x14ac:dyDescent="0.25">
      <c r="A851" s="114" t="s">
        <v>672</v>
      </c>
      <c r="B851" s="115" t="s">
        <v>2412</v>
      </c>
      <c r="C851" s="116" t="s">
        <v>70</v>
      </c>
      <c r="D851" s="116">
        <v>0</v>
      </c>
      <c r="E851" s="136">
        <f ca="1">OFFSET(INDEX(Composições!A:J,MATCH(Orçamentária!A851,Composições!A:A,0),8),2,0)</f>
        <v>115.28249999999998</v>
      </c>
      <c r="F851" s="137">
        <f t="shared" ca="1" si="94"/>
        <v>0</v>
      </c>
      <c r="G851" s="138" t="e">
        <f>IF(A851&lt;&gt;"",IF(AND(#REF!="Padrão",$H$4=#REF!),BDI!$B$17,IF(AND(#REF!="Padrão",$H$4=#REF!),BDI!#REF!,IF(AND(#REF!="Diferenciado",$H$4=#REF!),BDI!$E$17,IF(AND(#REF!="Diferenciado",$H$4=#REF!),BDI!#REF!,IF(#REF!="ZERO",0))))),"")</f>
        <v>#REF!</v>
      </c>
      <c r="H851" s="139" t="e">
        <f t="shared" ca="1" si="95"/>
        <v>#REF!</v>
      </c>
      <c r="I851" s="137" t="e">
        <f t="shared" ca="1" si="96"/>
        <v>#REF!</v>
      </c>
      <c r="J851" s="117"/>
      <c r="K851" s="116">
        <v>0</v>
      </c>
      <c r="M851" s="136" t="e">
        <f ca="1">OFFSET(INDEX([1]Composições!I:R,MATCH([1]Orçamentária!I851,[1]Composições!I:I,0),8),2,0)</f>
        <v>#REF!</v>
      </c>
      <c r="N851" t="e">
        <v>#REF!</v>
      </c>
      <c r="Q851" t="e">
        <v>#REF!</v>
      </c>
    </row>
    <row r="852" spans="1:17" hidden="1" x14ac:dyDescent="0.25">
      <c r="A852" s="114" t="s">
        <v>2413</v>
      </c>
      <c r="B852" s="115" t="s">
        <v>2414</v>
      </c>
      <c r="C852" s="116" t="s">
        <v>69</v>
      </c>
      <c r="D852" s="116">
        <v>0</v>
      </c>
      <c r="E852" s="136">
        <f ca="1">OFFSET(INDEX(Composições!A:J,MATCH(Orçamentária!A852,Composições!A:A,0),8),2,0)</f>
        <v>22.643249999999995</v>
      </c>
      <c r="F852" s="137">
        <f t="shared" ca="1" si="94"/>
        <v>0</v>
      </c>
      <c r="G852" s="138" t="e">
        <f>IF(A852&lt;&gt;"",IF(AND(#REF!="Padrão",$H$4=#REF!),BDI!$B$17,IF(AND(#REF!="Padrão",$H$4=#REF!),BDI!#REF!,IF(AND(#REF!="Diferenciado",$H$4=#REF!),BDI!$E$17,IF(AND(#REF!="Diferenciado",$H$4=#REF!),BDI!#REF!,IF(#REF!="ZERO",0))))),"")</f>
        <v>#REF!</v>
      </c>
      <c r="H852" s="139" t="e">
        <f t="shared" ca="1" si="95"/>
        <v>#REF!</v>
      </c>
      <c r="I852" s="137" t="e">
        <f t="shared" ca="1" si="96"/>
        <v>#REF!</v>
      </c>
      <c r="J852" s="117"/>
      <c r="K852" s="116">
        <v>0</v>
      </c>
      <c r="M852" s="136" t="e">
        <f ca="1">OFFSET(INDEX([1]Composições!I:R,MATCH([1]Orçamentária!I852,[1]Composições!I:I,0),8),2,0)</f>
        <v>#REF!</v>
      </c>
      <c r="N852" t="e">
        <v>#REF!</v>
      </c>
      <c r="Q852" t="e">
        <v>#REF!</v>
      </c>
    </row>
    <row r="853" spans="1:17" hidden="1" x14ac:dyDescent="0.25">
      <c r="A853" s="114" t="s">
        <v>2415</v>
      </c>
      <c r="B853" s="115" t="s">
        <v>2416</v>
      </c>
      <c r="C853" s="116" t="s">
        <v>69</v>
      </c>
      <c r="D853" s="116">
        <v>0</v>
      </c>
      <c r="E853" s="136">
        <f ca="1">OFFSET(INDEX(Composições!A:J,MATCH(Orçamentária!A853,Composições!A:A,0),8),2,0)</f>
        <v>33.964874999999992</v>
      </c>
      <c r="F853" s="137">
        <f t="shared" ca="1" si="94"/>
        <v>0</v>
      </c>
      <c r="G853" s="138" t="e">
        <f>IF(A853&lt;&gt;"",IF(AND(#REF!="Padrão",$H$4=#REF!),BDI!$B$17,IF(AND(#REF!="Padrão",$H$4=#REF!),BDI!#REF!,IF(AND(#REF!="Diferenciado",$H$4=#REF!),BDI!$E$17,IF(AND(#REF!="Diferenciado",$H$4=#REF!),BDI!#REF!,IF(#REF!="ZERO",0))))),"")</f>
        <v>#REF!</v>
      </c>
      <c r="H853" s="139" t="e">
        <f t="shared" ca="1" si="95"/>
        <v>#REF!</v>
      </c>
      <c r="I853" s="137" t="e">
        <f t="shared" ca="1" si="96"/>
        <v>#REF!</v>
      </c>
      <c r="J853" s="117"/>
      <c r="K853" s="116">
        <v>0</v>
      </c>
      <c r="M853" s="136" t="e">
        <f ca="1">OFFSET(INDEX([1]Composições!I:R,MATCH([1]Orçamentária!I853,[1]Composições!I:I,0),8),2,0)</f>
        <v>#REF!</v>
      </c>
      <c r="N853" t="e">
        <v>#REF!</v>
      </c>
      <c r="Q853" t="e">
        <v>#REF!</v>
      </c>
    </row>
    <row r="854" spans="1:17" hidden="1" x14ac:dyDescent="0.25">
      <c r="A854" s="114" t="s">
        <v>674</v>
      </c>
      <c r="B854" s="115" t="s">
        <v>2417</v>
      </c>
      <c r="C854" s="116" t="s">
        <v>70</v>
      </c>
      <c r="D854" s="116">
        <v>0</v>
      </c>
      <c r="E854" s="136">
        <f ca="1">OFFSET(INDEX(Composições!A:J,MATCH(Orçamentária!A854,Composições!A:A,0),8),2,0)</f>
        <v>313.38504049999995</v>
      </c>
      <c r="F854" s="137">
        <f t="shared" ca="1" si="94"/>
        <v>0</v>
      </c>
      <c r="G854" s="138" t="e">
        <f>IF(A854&lt;&gt;"",IF(AND(#REF!="Padrão",$H$4=#REF!),BDI!$B$17,IF(AND(#REF!="Padrão",$H$4=#REF!),BDI!#REF!,IF(AND(#REF!="Diferenciado",$H$4=#REF!),BDI!$E$17,IF(AND(#REF!="Diferenciado",$H$4=#REF!),BDI!#REF!,IF(#REF!="ZERO",0))))),"")</f>
        <v>#REF!</v>
      </c>
      <c r="H854" s="139" t="e">
        <f t="shared" ca="1" si="95"/>
        <v>#REF!</v>
      </c>
      <c r="I854" s="137" t="e">
        <f t="shared" ca="1" si="96"/>
        <v>#REF!</v>
      </c>
      <c r="J854" s="117"/>
      <c r="K854" s="116">
        <v>0</v>
      </c>
      <c r="M854" s="136" t="e">
        <f ca="1">OFFSET(INDEX([1]Composições!I:R,MATCH([1]Orçamentária!I854,[1]Composições!I:I,0),8),2,0)</f>
        <v>#REF!</v>
      </c>
      <c r="N854" t="e">
        <v>#REF!</v>
      </c>
      <c r="Q854" t="e">
        <v>#REF!</v>
      </c>
    </row>
    <row r="855" spans="1:17" hidden="1" x14ac:dyDescent="0.25">
      <c r="A855" s="114" t="s">
        <v>676</v>
      </c>
      <c r="B855" s="115" t="s">
        <v>2418</v>
      </c>
      <c r="C855" s="116" t="s">
        <v>16</v>
      </c>
      <c r="D855" s="116">
        <v>0</v>
      </c>
      <c r="E855" s="136">
        <f ca="1">OFFSET(INDEX(Composições!A:J,MATCH(Orçamentária!A855,Composições!A:A,0),8),2,0)</f>
        <v>3.7591499999999991</v>
      </c>
      <c r="F855" s="137">
        <f t="shared" ca="1" si="94"/>
        <v>0</v>
      </c>
      <c r="G855" s="138" t="e">
        <f>IF(A855&lt;&gt;"",IF(AND(#REF!="Padrão",$H$4=#REF!),BDI!$B$17,IF(AND(#REF!="Padrão",$H$4=#REF!),BDI!#REF!,IF(AND(#REF!="Diferenciado",$H$4=#REF!),BDI!$E$17,IF(AND(#REF!="Diferenciado",$H$4=#REF!),BDI!#REF!,IF(#REF!="ZERO",0))))),"")</f>
        <v>#REF!</v>
      </c>
      <c r="H855" s="139" t="e">
        <f t="shared" ca="1" si="95"/>
        <v>#REF!</v>
      </c>
      <c r="I855" s="137" t="e">
        <f t="shared" ca="1" si="96"/>
        <v>#REF!</v>
      </c>
      <c r="J855" s="117"/>
      <c r="K855" s="116">
        <v>0</v>
      </c>
      <c r="M855" s="136" t="e">
        <f ca="1">OFFSET(INDEX([1]Composições!I:R,MATCH([1]Orçamentária!I855,[1]Composições!I:I,0),8),2,0)</f>
        <v>#REF!</v>
      </c>
      <c r="N855" t="e">
        <v>#REF!</v>
      </c>
      <c r="Q855" t="e">
        <v>#REF!</v>
      </c>
    </row>
    <row r="856" spans="1:17" hidden="1" x14ac:dyDescent="0.25">
      <c r="A856" s="114" t="s">
        <v>678</v>
      </c>
      <c r="B856" s="115" t="s">
        <v>2419</v>
      </c>
      <c r="C856" s="116" t="s">
        <v>16</v>
      </c>
      <c r="D856" s="116">
        <v>0</v>
      </c>
      <c r="E856" s="136">
        <f ca="1">OFFSET(INDEX(Composições!A:J,MATCH(Orçamentária!A856,Composições!A:A,0),8),2,0)</f>
        <v>7.5182999999999982</v>
      </c>
      <c r="F856" s="137">
        <f t="shared" ca="1" si="94"/>
        <v>0</v>
      </c>
      <c r="G856" s="138" t="e">
        <f>IF(A856&lt;&gt;"",IF(AND(#REF!="Padrão",$H$4=#REF!),BDI!$B$17,IF(AND(#REF!="Padrão",$H$4=#REF!),BDI!#REF!,IF(AND(#REF!="Diferenciado",$H$4=#REF!),BDI!$E$17,IF(AND(#REF!="Diferenciado",$H$4=#REF!),BDI!#REF!,IF(#REF!="ZERO",0))))),"")</f>
        <v>#REF!</v>
      </c>
      <c r="H856" s="139" t="e">
        <f t="shared" ca="1" si="95"/>
        <v>#REF!</v>
      </c>
      <c r="I856" s="137" t="e">
        <f t="shared" ca="1" si="96"/>
        <v>#REF!</v>
      </c>
      <c r="J856" s="117"/>
      <c r="K856" s="116">
        <v>0</v>
      </c>
      <c r="M856" s="136" t="e">
        <f ca="1">OFFSET(INDEX([1]Composições!I:R,MATCH([1]Orçamentária!I856,[1]Composições!I:I,0),8),2,0)</f>
        <v>#REF!</v>
      </c>
      <c r="N856" t="e">
        <v>#REF!</v>
      </c>
      <c r="Q856" t="e">
        <v>#REF!</v>
      </c>
    </row>
    <row r="857" spans="1:17" hidden="1" x14ac:dyDescent="0.25">
      <c r="A857" s="114" t="s">
        <v>680</v>
      </c>
      <c r="B857" s="115" t="s">
        <v>2420</v>
      </c>
      <c r="C857" s="116" t="s">
        <v>16</v>
      </c>
      <c r="D857" s="116">
        <v>0</v>
      </c>
      <c r="E857" s="136">
        <f ca="1">OFFSET(INDEX(Composições!A:J,MATCH(Orçamentária!A857,Composições!A:A,0),8),2,0)</f>
        <v>3.7591499999999991</v>
      </c>
      <c r="F857" s="137">
        <f t="shared" ca="1" si="94"/>
        <v>0</v>
      </c>
      <c r="G857" s="138" t="e">
        <f>IF(A857&lt;&gt;"",IF(AND(#REF!="Padrão",$H$4=#REF!),BDI!$B$17,IF(AND(#REF!="Padrão",$H$4=#REF!),BDI!#REF!,IF(AND(#REF!="Diferenciado",$H$4=#REF!),BDI!$E$17,IF(AND(#REF!="Diferenciado",$H$4=#REF!),BDI!#REF!,IF(#REF!="ZERO",0))))),"")</f>
        <v>#REF!</v>
      </c>
      <c r="H857" s="139" t="e">
        <f t="shared" ca="1" si="95"/>
        <v>#REF!</v>
      </c>
      <c r="I857" s="137" t="e">
        <f t="shared" ca="1" si="96"/>
        <v>#REF!</v>
      </c>
      <c r="J857" s="117"/>
      <c r="K857" s="116">
        <v>0</v>
      </c>
      <c r="M857" s="136" t="e">
        <f ca="1">OFFSET(INDEX([1]Composições!I:R,MATCH([1]Orçamentária!I857,[1]Composições!I:I,0),8),2,0)</f>
        <v>#REF!</v>
      </c>
      <c r="N857" t="e">
        <v>#REF!</v>
      </c>
      <c r="Q857" t="e">
        <v>#REF!</v>
      </c>
    </row>
    <row r="858" spans="1:17" hidden="1" x14ac:dyDescent="0.25">
      <c r="A858" s="114" t="s">
        <v>682</v>
      </c>
      <c r="B858" s="115" t="s">
        <v>2421</v>
      </c>
      <c r="C858" s="116" t="s">
        <v>16</v>
      </c>
      <c r="D858" s="116">
        <v>0</v>
      </c>
      <c r="E858" s="136">
        <f ca="1">OFFSET(INDEX(Composições!A:J,MATCH(Orçamentária!A858,Composições!A:A,0),8),2,0)</f>
        <v>7.5182999999999982</v>
      </c>
      <c r="F858" s="137">
        <f t="shared" ca="1" si="94"/>
        <v>0</v>
      </c>
      <c r="G858" s="138" t="e">
        <f>IF(A858&lt;&gt;"",IF(AND(#REF!="Padrão",$H$4=#REF!),BDI!$B$17,IF(AND(#REF!="Padrão",$H$4=#REF!),BDI!#REF!,IF(AND(#REF!="Diferenciado",$H$4=#REF!),BDI!$E$17,IF(AND(#REF!="Diferenciado",$H$4=#REF!),BDI!#REF!,IF(#REF!="ZERO",0))))),"")</f>
        <v>#REF!</v>
      </c>
      <c r="H858" s="139" t="e">
        <f t="shared" ca="1" si="95"/>
        <v>#REF!</v>
      </c>
      <c r="I858" s="137" t="e">
        <f t="shared" ca="1" si="96"/>
        <v>#REF!</v>
      </c>
      <c r="J858" s="117"/>
      <c r="K858" s="116">
        <v>0</v>
      </c>
      <c r="M858" s="136" t="e">
        <f ca="1">OFFSET(INDEX([1]Composições!I:R,MATCH([1]Orçamentária!I858,[1]Composições!I:I,0),8),2,0)</f>
        <v>#REF!</v>
      </c>
      <c r="N858" t="e">
        <v>#REF!</v>
      </c>
      <c r="Q858" t="e">
        <v>#REF!</v>
      </c>
    </row>
    <row r="859" spans="1:17" hidden="1" x14ac:dyDescent="0.25">
      <c r="A859" s="114" t="s">
        <v>685</v>
      </c>
      <c r="B859" s="115" t="s">
        <v>2422</v>
      </c>
      <c r="C859" s="116" t="s">
        <v>16</v>
      </c>
      <c r="D859" s="116">
        <v>0</v>
      </c>
      <c r="E859" s="136">
        <f ca="1">OFFSET(INDEX(Composições!A:J,MATCH(Orçamentária!A859,Composições!A:A,0),8),2,0)</f>
        <v>3.7591499999999991</v>
      </c>
      <c r="F859" s="137">
        <f t="shared" ca="1" si="94"/>
        <v>0</v>
      </c>
      <c r="G859" s="138" t="e">
        <f>IF(A859&lt;&gt;"",IF(AND(#REF!="Padrão",$H$4=#REF!),BDI!$B$17,IF(AND(#REF!="Padrão",$H$4=#REF!),BDI!#REF!,IF(AND(#REF!="Diferenciado",$H$4=#REF!),BDI!$E$17,IF(AND(#REF!="Diferenciado",$H$4=#REF!),BDI!#REF!,IF(#REF!="ZERO",0))))),"")</f>
        <v>#REF!</v>
      </c>
      <c r="H859" s="139" t="e">
        <f t="shared" ca="1" si="95"/>
        <v>#REF!</v>
      </c>
      <c r="I859" s="137" t="e">
        <f t="shared" ca="1" si="96"/>
        <v>#REF!</v>
      </c>
      <c r="J859" s="117"/>
      <c r="K859" s="116">
        <v>0</v>
      </c>
      <c r="M859" s="136" t="e">
        <f ca="1">OFFSET(INDEX([1]Composições!I:R,MATCH([1]Orçamentária!I859,[1]Composições!I:I,0),8),2,0)</f>
        <v>#REF!</v>
      </c>
      <c r="N859" t="e">
        <v>#REF!</v>
      </c>
      <c r="Q859" t="e">
        <v>#REF!</v>
      </c>
    </row>
    <row r="860" spans="1:17" hidden="1" x14ac:dyDescent="0.25">
      <c r="A860" s="114" t="s">
        <v>687</v>
      </c>
      <c r="B860" s="115" t="s">
        <v>2423</v>
      </c>
      <c r="C860" s="116" t="s">
        <v>16</v>
      </c>
      <c r="D860" s="116">
        <v>0</v>
      </c>
      <c r="E860" s="136">
        <f ca="1">OFFSET(INDEX(Composições!A:J,MATCH(Orçamentária!A860,Composições!A:A,0),8),2,0)</f>
        <v>10.0244</v>
      </c>
      <c r="F860" s="137">
        <f t="shared" ca="1" si="94"/>
        <v>0</v>
      </c>
      <c r="G860" s="138" t="e">
        <f>IF(A860&lt;&gt;"",IF(AND(#REF!="Padrão",$H$4=#REF!),BDI!$B$17,IF(AND(#REF!="Padrão",$H$4=#REF!),BDI!#REF!,IF(AND(#REF!="Diferenciado",$H$4=#REF!),BDI!$E$17,IF(AND(#REF!="Diferenciado",$H$4=#REF!),BDI!#REF!,IF(#REF!="ZERO",0))))),"")</f>
        <v>#REF!</v>
      </c>
      <c r="H860" s="139" t="e">
        <f t="shared" ca="1" si="95"/>
        <v>#REF!</v>
      </c>
      <c r="I860" s="137" t="e">
        <f t="shared" ca="1" si="96"/>
        <v>#REF!</v>
      </c>
      <c r="J860" s="117"/>
      <c r="K860" s="116">
        <v>0</v>
      </c>
      <c r="M860" s="136" t="e">
        <f ca="1">OFFSET(INDEX([1]Composições!I:R,MATCH([1]Orçamentária!I860,[1]Composições!I:I,0),8),2,0)</f>
        <v>#REF!</v>
      </c>
      <c r="N860" t="e">
        <v>#REF!</v>
      </c>
      <c r="Q860" t="e">
        <v>#REF!</v>
      </c>
    </row>
    <row r="861" spans="1:17" hidden="1" x14ac:dyDescent="0.25">
      <c r="A861" s="114" t="s">
        <v>689</v>
      </c>
      <c r="B861" s="115" t="s">
        <v>2424</v>
      </c>
      <c r="C861" s="116" t="s">
        <v>16</v>
      </c>
      <c r="D861" s="116">
        <v>0</v>
      </c>
      <c r="E861" s="136">
        <f ca="1">OFFSET(INDEX(Composições!A:J,MATCH(Orçamentária!A861,Composições!A:A,0),8),2,0)</f>
        <v>10.0244</v>
      </c>
      <c r="F861" s="137">
        <f t="shared" ca="1" si="94"/>
        <v>0</v>
      </c>
      <c r="G861" s="138" t="e">
        <f>IF(A861&lt;&gt;"",IF(AND(#REF!="Padrão",$H$4=#REF!),BDI!$B$17,IF(AND(#REF!="Padrão",$H$4=#REF!),BDI!#REF!,IF(AND(#REF!="Diferenciado",$H$4=#REF!),BDI!$E$17,IF(AND(#REF!="Diferenciado",$H$4=#REF!),BDI!#REF!,IF(#REF!="ZERO",0))))),"")</f>
        <v>#REF!</v>
      </c>
      <c r="H861" s="139" t="e">
        <f t="shared" ca="1" si="95"/>
        <v>#REF!</v>
      </c>
      <c r="I861" s="137" t="e">
        <f t="shared" ca="1" si="96"/>
        <v>#REF!</v>
      </c>
      <c r="J861" s="117"/>
      <c r="K861" s="116">
        <v>0</v>
      </c>
      <c r="M861" s="136" t="e">
        <f ca="1">OFFSET(INDEX([1]Composições!I:R,MATCH([1]Orçamentária!I861,[1]Composições!I:I,0),8),2,0)</f>
        <v>#REF!</v>
      </c>
      <c r="N861" t="e">
        <v>#REF!</v>
      </c>
      <c r="Q861" t="e">
        <v>#REF!</v>
      </c>
    </row>
    <row r="862" spans="1:17" hidden="1" x14ac:dyDescent="0.25">
      <c r="A862" s="114" t="s">
        <v>691</v>
      </c>
      <c r="B862" s="115" t="s">
        <v>2425</v>
      </c>
      <c r="C862" s="116" t="s">
        <v>16</v>
      </c>
      <c r="D862" s="116">
        <v>0</v>
      </c>
      <c r="E862" s="136">
        <f ca="1">OFFSET(INDEX(Composições!A:J,MATCH(Orçamentária!A862,Composições!A:A,0),8),2,0)</f>
        <v>10.0244</v>
      </c>
      <c r="F862" s="137">
        <f t="shared" ca="1" si="94"/>
        <v>0</v>
      </c>
      <c r="G862" s="138" t="e">
        <f>IF(A862&lt;&gt;"",IF(AND(#REF!="Padrão",$H$4=#REF!),BDI!$B$17,IF(AND(#REF!="Padrão",$H$4=#REF!),BDI!#REF!,IF(AND(#REF!="Diferenciado",$H$4=#REF!),BDI!$E$17,IF(AND(#REF!="Diferenciado",$H$4=#REF!),BDI!#REF!,IF(#REF!="ZERO",0))))),"")</f>
        <v>#REF!</v>
      </c>
      <c r="H862" s="139" t="e">
        <f t="shared" ca="1" si="95"/>
        <v>#REF!</v>
      </c>
      <c r="I862" s="137" t="e">
        <f t="shared" ca="1" si="96"/>
        <v>#REF!</v>
      </c>
      <c r="J862" s="117"/>
      <c r="K862" s="116">
        <v>0</v>
      </c>
      <c r="M862" s="136" t="e">
        <f ca="1">OFFSET(INDEX([1]Composições!I:R,MATCH([1]Orçamentária!I862,[1]Composições!I:I,0),8),2,0)</f>
        <v>#REF!</v>
      </c>
      <c r="N862" t="e">
        <v>#REF!</v>
      </c>
      <c r="Q862" t="e">
        <v>#REF!</v>
      </c>
    </row>
    <row r="863" spans="1:17" hidden="1" x14ac:dyDescent="0.25">
      <c r="A863" s="114" t="s">
        <v>693</v>
      </c>
      <c r="B863" s="115" t="s">
        <v>2426</v>
      </c>
      <c r="C863" s="116" t="s">
        <v>16</v>
      </c>
      <c r="D863" s="116">
        <v>0</v>
      </c>
      <c r="E863" s="136">
        <f ca="1">OFFSET(INDEX(Composições!A:J,MATCH(Orçamentária!A863,Composições!A:A,0),8),2,0)</f>
        <v>6.2652499999999991</v>
      </c>
      <c r="F863" s="137">
        <f t="shared" ca="1" si="94"/>
        <v>0</v>
      </c>
      <c r="G863" s="138" t="e">
        <f>IF(A863&lt;&gt;"",IF(AND(#REF!="Padrão",$H$4=#REF!),BDI!$B$17,IF(AND(#REF!="Padrão",$H$4=#REF!),BDI!#REF!,IF(AND(#REF!="Diferenciado",$H$4=#REF!),BDI!$E$17,IF(AND(#REF!="Diferenciado",$H$4=#REF!),BDI!#REF!,IF(#REF!="ZERO",0))))),"")</f>
        <v>#REF!</v>
      </c>
      <c r="H863" s="139" t="e">
        <f t="shared" ca="1" si="95"/>
        <v>#REF!</v>
      </c>
      <c r="I863" s="137" t="e">
        <f t="shared" ca="1" si="96"/>
        <v>#REF!</v>
      </c>
      <c r="J863" s="117"/>
      <c r="K863" s="116">
        <v>0</v>
      </c>
      <c r="M863" s="136" t="e">
        <f ca="1">OFFSET(INDEX([1]Composições!I:R,MATCH([1]Orçamentária!I863,[1]Composições!I:I,0),8),2,0)</f>
        <v>#REF!</v>
      </c>
      <c r="N863" t="e">
        <v>#REF!</v>
      </c>
      <c r="Q863" t="e">
        <v>#REF!</v>
      </c>
    </row>
    <row r="864" spans="1:17" hidden="1" x14ac:dyDescent="0.25">
      <c r="A864" s="114" t="s">
        <v>695</v>
      </c>
      <c r="B864" s="115" t="s">
        <v>2427</v>
      </c>
      <c r="C864" s="116" t="s">
        <v>16</v>
      </c>
      <c r="D864" s="116">
        <v>0</v>
      </c>
      <c r="E864" s="136">
        <f ca="1">OFFSET(INDEX(Composições!A:J,MATCH(Orçamentária!A864,Composições!A:A,0),8),2,0)</f>
        <v>6.2652499999999991</v>
      </c>
      <c r="F864" s="137">
        <f t="shared" ca="1" si="94"/>
        <v>0</v>
      </c>
      <c r="G864" s="138" t="e">
        <f>IF(A864&lt;&gt;"",IF(AND(#REF!="Padrão",$H$4=#REF!),BDI!$B$17,IF(AND(#REF!="Padrão",$H$4=#REF!),BDI!#REF!,IF(AND(#REF!="Diferenciado",$H$4=#REF!),BDI!$E$17,IF(AND(#REF!="Diferenciado",$H$4=#REF!),BDI!#REF!,IF(#REF!="ZERO",0))))),"")</f>
        <v>#REF!</v>
      </c>
      <c r="H864" s="139" t="e">
        <f t="shared" ca="1" si="95"/>
        <v>#REF!</v>
      </c>
      <c r="I864" s="137" t="e">
        <f t="shared" ca="1" si="96"/>
        <v>#REF!</v>
      </c>
      <c r="J864" s="117"/>
      <c r="K864" s="116">
        <v>0</v>
      </c>
      <c r="M864" s="136" t="e">
        <f ca="1">OFFSET(INDEX([1]Composições!I:R,MATCH([1]Orçamentária!I864,[1]Composições!I:I,0),8),2,0)</f>
        <v>#REF!</v>
      </c>
      <c r="N864" t="e">
        <v>#REF!</v>
      </c>
      <c r="Q864" t="e">
        <v>#REF!</v>
      </c>
    </row>
    <row r="865" spans="1:17" hidden="1" x14ac:dyDescent="0.25">
      <c r="A865" s="114" t="s">
        <v>697</v>
      </c>
      <c r="B865" s="115" t="s">
        <v>2428</v>
      </c>
      <c r="C865" s="116" t="s">
        <v>16</v>
      </c>
      <c r="D865" s="116">
        <v>0</v>
      </c>
      <c r="E865" s="136">
        <f ca="1">OFFSET(INDEX(Composições!A:J,MATCH(Orçamentária!A865,Composições!A:A,0),8),2,0)</f>
        <v>6.2652499999999991</v>
      </c>
      <c r="F865" s="137">
        <f t="shared" ca="1" si="94"/>
        <v>0</v>
      </c>
      <c r="G865" s="138" t="e">
        <f>IF(A865&lt;&gt;"",IF(AND(#REF!="Padrão",$H$4=#REF!),BDI!$B$17,IF(AND(#REF!="Padrão",$H$4=#REF!),BDI!#REF!,IF(AND(#REF!="Diferenciado",$H$4=#REF!),BDI!$E$17,IF(AND(#REF!="Diferenciado",$H$4=#REF!),BDI!#REF!,IF(#REF!="ZERO",0))))),"")</f>
        <v>#REF!</v>
      </c>
      <c r="H865" s="139" t="e">
        <f t="shared" ca="1" si="95"/>
        <v>#REF!</v>
      </c>
      <c r="I865" s="137" t="e">
        <f t="shared" ca="1" si="96"/>
        <v>#REF!</v>
      </c>
      <c r="J865" s="117"/>
      <c r="K865" s="116">
        <v>0</v>
      </c>
      <c r="M865" s="136" t="e">
        <f ca="1">OFFSET(INDEX([1]Composições!I:R,MATCH([1]Orçamentária!I865,[1]Composições!I:I,0),8),2,0)</f>
        <v>#REF!</v>
      </c>
      <c r="N865" t="e">
        <v>#REF!</v>
      </c>
      <c r="Q865" t="e">
        <v>#REF!</v>
      </c>
    </row>
    <row r="866" spans="1:17" hidden="1" x14ac:dyDescent="0.25">
      <c r="A866" s="114" t="s">
        <v>699</v>
      </c>
      <c r="B866" s="115" t="s">
        <v>2429</v>
      </c>
      <c r="C866" s="116" t="s">
        <v>16</v>
      </c>
      <c r="D866" s="116">
        <v>0</v>
      </c>
      <c r="E866" s="136">
        <f ca="1">OFFSET(INDEX(Composições!A:J,MATCH(Orçamentária!A866,Composições!A:A,0),8),2,0)</f>
        <v>6.2652499999999991</v>
      </c>
      <c r="F866" s="137">
        <f t="shared" ca="1" si="94"/>
        <v>0</v>
      </c>
      <c r="G866" s="138" t="e">
        <f>IF(A866&lt;&gt;"",IF(AND(#REF!="Padrão",$H$4=#REF!),BDI!$B$17,IF(AND(#REF!="Padrão",$H$4=#REF!),BDI!#REF!,IF(AND(#REF!="Diferenciado",$H$4=#REF!),BDI!$E$17,IF(AND(#REF!="Diferenciado",$H$4=#REF!),BDI!#REF!,IF(#REF!="ZERO",0))))),"")</f>
        <v>#REF!</v>
      </c>
      <c r="H866" s="139" t="e">
        <f t="shared" ca="1" si="95"/>
        <v>#REF!</v>
      </c>
      <c r="I866" s="137" t="e">
        <f t="shared" ca="1" si="96"/>
        <v>#REF!</v>
      </c>
      <c r="J866" s="117"/>
      <c r="K866" s="116">
        <v>0</v>
      </c>
      <c r="M866" s="136" t="e">
        <f ca="1">OFFSET(INDEX([1]Composições!I:R,MATCH([1]Orçamentária!I866,[1]Composições!I:I,0),8),2,0)</f>
        <v>#REF!</v>
      </c>
      <c r="N866" t="e">
        <v>#REF!</v>
      </c>
      <c r="Q866" t="e">
        <v>#REF!</v>
      </c>
    </row>
    <row r="867" spans="1:17" hidden="1" x14ac:dyDescent="0.25">
      <c r="A867" s="114" t="s">
        <v>701</v>
      </c>
      <c r="B867" s="115" t="s">
        <v>2430</v>
      </c>
      <c r="C867" s="116" t="s">
        <v>16</v>
      </c>
      <c r="D867" s="116">
        <v>0</v>
      </c>
      <c r="E867" s="136">
        <f ca="1">OFFSET(INDEX(Composições!A:J,MATCH(Orçamentária!A867,Composições!A:A,0),8),2,0)</f>
        <v>81.299356499999988</v>
      </c>
      <c r="F867" s="137">
        <f t="shared" ca="1" si="94"/>
        <v>0</v>
      </c>
      <c r="G867" s="138" t="e">
        <f>IF(A867&lt;&gt;"",IF(AND(#REF!="Padrão",$H$4=#REF!),BDI!$B$17,IF(AND(#REF!="Padrão",$H$4=#REF!),BDI!#REF!,IF(AND(#REF!="Diferenciado",$H$4=#REF!),BDI!$E$17,IF(AND(#REF!="Diferenciado",$H$4=#REF!),BDI!#REF!,IF(#REF!="ZERO",0))))),"")</f>
        <v>#REF!</v>
      </c>
      <c r="H867" s="139" t="e">
        <f t="shared" ca="1" si="95"/>
        <v>#REF!</v>
      </c>
      <c r="I867" s="137" t="e">
        <f t="shared" ca="1" si="96"/>
        <v>#REF!</v>
      </c>
      <c r="J867" s="117"/>
      <c r="K867" s="116">
        <v>0</v>
      </c>
      <c r="M867" s="136" t="e">
        <f ca="1">OFFSET(INDEX([1]Composições!I:R,MATCH([1]Orçamentária!I867,[1]Composições!I:I,0),8),2,0)</f>
        <v>#REF!</v>
      </c>
      <c r="N867" t="e">
        <v>#REF!</v>
      </c>
      <c r="Q867" t="e">
        <v>#REF!</v>
      </c>
    </row>
    <row r="868" spans="1:17" hidden="1" x14ac:dyDescent="0.25">
      <c r="A868" s="114" t="s">
        <v>702</v>
      </c>
      <c r="B868" s="115" t="s">
        <v>2431</v>
      </c>
      <c r="C868" s="116" t="s">
        <v>16</v>
      </c>
      <c r="D868" s="116">
        <v>0</v>
      </c>
      <c r="E868" s="136">
        <f ca="1">OFFSET(INDEX(Composições!A:J,MATCH(Orçamentária!A868,Composições!A:A,0),8),2,0)</f>
        <v>5.0122</v>
      </c>
      <c r="F868" s="137">
        <f t="shared" ca="1" si="94"/>
        <v>0</v>
      </c>
      <c r="G868" s="138" t="e">
        <f>IF(A868&lt;&gt;"",IF(AND(#REF!="Padrão",$H$4=#REF!),BDI!$B$17,IF(AND(#REF!="Padrão",$H$4=#REF!),BDI!#REF!,IF(AND(#REF!="Diferenciado",$H$4=#REF!),BDI!$E$17,IF(AND(#REF!="Diferenciado",$H$4=#REF!),BDI!#REF!,IF(#REF!="ZERO",0))))),"")</f>
        <v>#REF!</v>
      </c>
      <c r="H868" s="139" t="e">
        <f t="shared" ca="1" si="95"/>
        <v>#REF!</v>
      </c>
      <c r="I868" s="137" t="e">
        <f t="shared" ca="1" si="96"/>
        <v>#REF!</v>
      </c>
      <c r="J868" s="117"/>
      <c r="K868" s="116">
        <v>0</v>
      </c>
      <c r="M868" s="136" t="e">
        <f ca="1">OFFSET(INDEX([1]Composições!I:R,MATCH([1]Orçamentária!I868,[1]Composições!I:I,0),8),2,0)</f>
        <v>#REF!</v>
      </c>
      <c r="N868" t="e">
        <v>#REF!</v>
      </c>
      <c r="Q868" t="e">
        <v>#REF!</v>
      </c>
    </row>
    <row r="869" spans="1:17" hidden="1" x14ac:dyDescent="0.25">
      <c r="A869" s="114" t="s">
        <v>704</v>
      </c>
      <c r="B869" s="115" t="s">
        <v>2432</v>
      </c>
      <c r="C869" s="116" t="s">
        <v>16</v>
      </c>
      <c r="D869" s="116">
        <v>0</v>
      </c>
      <c r="E869" s="136">
        <f ca="1">OFFSET(INDEX(Composições!A:J,MATCH(Orçamentária!A869,Composições!A:A,0),8),2,0)</f>
        <v>10.0244</v>
      </c>
      <c r="F869" s="137">
        <f t="shared" ca="1" si="94"/>
        <v>0</v>
      </c>
      <c r="G869" s="138" t="e">
        <f>IF(A869&lt;&gt;"",IF(AND(#REF!="Padrão",$H$4=#REF!),BDI!$B$17,IF(AND(#REF!="Padrão",$H$4=#REF!),BDI!#REF!,IF(AND(#REF!="Diferenciado",$H$4=#REF!),BDI!$E$17,IF(AND(#REF!="Diferenciado",$H$4=#REF!),BDI!#REF!,IF(#REF!="ZERO",0))))),"")</f>
        <v>#REF!</v>
      </c>
      <c r="H869" s="139" t="e">
        <f t="shared" ca="1" si="95"/>
        <v>#REF!</v>
      </c>
      <c r="I869" s="137" t="e">
        <f t="shared" ca="1" si="96"/>
        <v>#REF!</v>
      </c>
      <c r="J869" s="117"/>
      <c r="K869" s="116">
        <v>0</v>
      </c>
      <c r="M869" s="136" t="e">
        <f ca="1">OFFSET(INDEX([1]Composições!I:R,MATCH([1]Orçamentária!I869,[1]Composições!I:I,0),8),2,0)</f>
        <v>#REF!</v>
      </c>
      <c r="N869" t="e">
        <v>#REF!</v>
      </c>
      <c r="Q869" t="e">
        <v>#REF!</v>
      </c>
    </row>
    <row r="870" spans="1:17" hidden="1" x14ac:dyDescent="0.25">
      <c r="A870" s="114" t="s">
        <v>706</v>
      </c>
      <c r="B870" s="115" t="s">
        <v>2433</v>
      </c>
      <c r="C870" s="116" t="s">
        <v>16</v>
      </c>
      <c r="D870" s="116">
        <v>0</v>
      </c>
      <c r="E870" s="136">
        <f ca="1">OFFSET(INDEX(Composições!A:J,MATCH(Orçamentária!A870,Composições!A:A,0),8),2,0)</f>
        <v>7.5182999999999982</v>
      </c>
      <c r="F870" s="137">
        <f t="shared" ca="1" si="94"/>
        <v>0</v>
      </c>
      <c r="G870" s="138" t="e">
        <f>IF(A870&lt;&gt;"",IF(AND(#REF!="Padrão",$H$4=#REF!),BDI!$B$17,IF(AND(#REF!="Padrão",$H$4=#REF!),BDI!#REF!,IF(AND(#REF!="Diferenciado",$H$4=#REF!),BDI!$E$17,IF(AND(#REF!="Diferenciado",$H$4=#REF!),BDI!#REF!,IF(#REF!="ZERO",0))))),"")</f>
        <v>#REF!</v>
      </c>
      <c r="H870" s="139" t="e">
        <f t="shared" ca="1" si="95"/>
        <v>#REF!</v>
      </c>
      <c r="I870" s="137" t="e">
        <f t="shared" ca="1" si="96"/>
        <v>#REF!</v>
      </c>
      <c r="J870" s="117"/>
      <c r="K870" s="116">
        <v>0</v>
      </c>
      <c r="M870" s="136" t="e">
        <f ca="1">OFFSET(INDEX([1]Composições!I:R,MATCH([1]Orçamentária!I870,[1]Composições!I:I,0),8),2,0)</f>
        <v>#REF!</v>
      </c>
      <c r="N870" t="e">
        <v>#REF!</v>
      </c>
      <c r="Q870" t="e">
        <v>#REF!</v>
      </c>
    </row>
    <row r="871" spans="1:17" hidden="1" x14ac:dyDescent="0.25">
      <c r="A871" s="114" t="s">
        <v>708</v>
      </c>
      <c r="B871" s="115" t="s">
        <v>7675</v>
      </c>
      <c r="C871" s="116" t="s">
        <v>69</v>
      </c>
      <c r="D871" s="116">
        <v>0</v>
      </c>
      <c r="E871" s="136">
        <f ca="1">OFFSET(INDEX(Composições!A:J,MATCH(Orçamentária!A871,Composições!A:A,0),8),2,0)</f>
        <v>12.434359999999998</v>
      </c>
      <c r="F871" s="137">
        <f t="shared" ca="1" si="94"/>
        <v>0</v>
      </c>
      <c r="G871" s="138" t="e">
        <f>IF(A871&lt;&gt;"",IF(AND(#REF!="Padrão",$H$4=#REF!),BDI!$B$17,IF(AND(#REF!="Padrão",$H$4=#REF!),BDI!#REF!,IF(AND(#REF!="Diferenciado",$H$4=#REF!),BDI!$E$17,IF(AND(#REF!="Diferenciado",$H$4=#REF!),BDI!#REF!,IF(#REF!="ZERO",0))))),"")</f>
        <v>#REF!</v>
      </c>
      <c r="H871" s="139" t="e">
        <f t="shared" ca="1" si="95"/>
        <v>#REF!</v>
      </c>
      <c r="I871" s="137" t="e">
        <f t="shared" ca="1" si="96"/>
        <v>#REF!</v>
      </c>
      <c r="J871" s="117"/>
      <c r="K871" s="116">
        <v>0</v>
      </c>
      <c r="M871" s="136" t="e">
        <f ca="1">OFFSET(INDEX([1]Composições!I:R,MATCH([1]Orçamentária!I871,[1]Composições!I:I,0),8),2,0)</f>
        <v>#REF!</v>
      </c>
      <c r="N871" t="e">
        <v>#REF!</v>
      </c>
      <c r="Q871" t="e">
        <v>#REF!</v>
      </c>
    </row>
    <row r="872" spans="1:17" hidden="1" x14ac:dyDescent="0.25">
      <c r="A872" s="114" t="s">
        <v>712</v>
      </c>
      <c r="B872" s="115" t="s">
        <v>7674</v>
      </c>
      <c r="C872" s="116" t="s">
        <v>69</v>
      </c>
      <c r="D872" s="116">
        <v>0</v>
      </c>
      <c r="E872" s="136">
        <f ca="1">OFFSET(INDEX(Composições!A:J,MATCH(Orçamentária!A872,Composições!A:A,0),8),2,0)</f>
        <v>37.714771999999996</v>
      </c>
      <c r="F872" s="137">
        <f t="shared" ca="1" si="94"/>
        <v>0</v>
      </c>
      <c r="G872" s="138" t="e">
        <f>IF(A872&lt;&gt;"",IF(AND(#REF!="Padrão",$H$4=#REF!),BDI!$B$17,IF(AND(#REF!="Padrão",$H$4=#REF!),BDI!#REF!,IF(AND(#REF!="Diferenciado",$H$4=#REF!),BDI!$E$17,IF(AND(#REF!="Diferenciado",$H$4=#REF!),BDI!#REF!,IF(#REF!="ZERO",0))))),"")</f>
        <v>#REF!</v>
      </c>
      <c r="H872" s="139" t="e">
        <f t="shared" ca="1" si="95"/>
        <v>#REF!</v>
      </c>
      <c r="I872" s="137" t="e">
        <f t="shared" ca="1" si="96"/>
        <v>#REF!</v>
      </c>
      <c r="J872" s="117"/>
      <c r="K872" s="116">
        <v>0</v>
      </c>
      <c r="M872" s="136" t="e">
        <f ca="1">OFFSET(INDEX([1]Composições!I:R,MATCH([1]Orçamentária!I872,[1]Composições!I:I,0),8),2,0)</f>
        <v>#REF!</v>
      </c>
      <c r="N872" t="e">
        <v>#REF!</v>
      </c>
      <c r="Q872" t="e">
        <v>#REF!</v>
      </c>
    </row>
    <row r="873" spans="1:17" hidden="1" x14ac:dyDescent="0.25">
      <c r="A873" s="114" t="s">
        <v>715</v>
      </c>
      <c r="B873" s="115" t="s">
        <v>2434</v>
      </c>
      <c r="C873" s="116" t="s">
        <v>69</v>
      </c>
      <c r="D873" s="116">
        <v>0</v>
      </c>
      <c r="E873" s="136">
        <f ca="1">OFFSET(INDEX(Composições!A:J,MATCH(Orçamentária!A873,Composições!A:A,0),8),2,0)</f>
        <v>15.989184</v>
      </c>
      <c r="F873" s="137">
        <f t="shared" ca="1" si="94"/>
        <v>0</v>
      </c>
      <c r="G873" s="138" t="e">
        <f>IF(A873&lt;&gt;"",IF(AND(#REF!="Padrão",$H$4=#REF!),BDI!$B$17,IF(AND(#REF!="Padrão",$H$4=#REF!),BDI!#REF!,IF(AND(#REF!="Diferenciado",$H$4=#REF!),BDI!$E$17,IF(AND(#REF!="Diferenciado",$H$4=#REF!),BDI!#REF!,IF(#REF!="ZERO",0))))),"")</f>
        <v>#REF!</v>
      </c>
      <c r="H873" s="139" t="e">
        <f t="shared" ca="1" si="95"/>
        <v>#REF!</v>
      </c>
      <c r="I873" s="137" t="e">
        <f t="shared" ca="1" si="96"/>
        <v>#REF!</v>
      </c>
      <c r="J873" s="117"/>
      <c r="K873" s="116">
        <v>0</v>
      </c>
      <c r="M873" s="136" t="e">
        <f ca="1">OFFSET(INDEX([1]Composições!I:R,MATCH([1]Orçamentária!I873,[1]Composições!I:I,0),8),2,0)</f>
        <v>#REF!</v>
      </c>
      <c r="N873" t="e">
        <v>#REF!</v>
      </c>
      <c r="Q873" t="e">
        <v>#REF!</v>
      </c>
    </row>
    <row r="874" spans="1:17" hidden="1" x14ac:dyDescent="0.25">
      <c r="A874" s="114" t="s">
        <v>717</v>
      </c>
      <c r="B874" s="115" t="s">
        <v>7676</v>
      </c>
      <c r="C874" s="116" t="s">
        <v>69</v>
      </c>
      <c r="D874" s="116">
        <v>0</v>
      </c>
      <c r="E874" s="136">
        <f ca="1">OFFSET(INDEX(Composições!A:J,MATCH(Orçamentária!A874,Composições!A:A,0),8),2,0)</f>
        <v>25.136163999999994</v>
      </c>
      <c r="F874" s="137">
        <f t="shared" ca="1" si="94"/>
        <v>0</v>
      </c>
      <c r="G874" s="138" t="e">
        <f>IF(A874&lt;&gt;"",IF(AND(#REF!="Padrão",$H$4=#REF!),BDI!$B$17,IF(AND(#REF!="Padrão",$H$4=#REF!),BDI!#REF!,IF(AND(#REF!="Diferenciado",$H$4=#REF!),BDI!$E$17,IF(AND(#REF!="Diferenciado",$H$4=#REF!),BDI!#REF!,IF(#REF!="ZERO",0))))),"")</f>
        <v>#REF!</v>
      </c>
      <c r="H874" s="139" t="e">
        <f t="shared" ca="1" si="95"/>
        <v>#REF!</v>
      </c>
      <c r="I874" s="137" t="e">
        <f t="shared" ca="1" si="96"/>
        <v>#REF!</v>
      </c>
      <c r="J874" s="117"/>
      <c r="K874" s="116">
        <v>0</v>
      </c>
      <c r="M874" s="136" t="e">
        <f ca="1">OFFSET(INDEX([1]Composições!I:R,MATCH([1]Orçamentária!I874,[1]Composições!I:I,0),8),2,0)</f>
        <v>#REF!</v>
      </c>
      <c r="N874" t="e">
        <v>#REF!</v>
      </c>
      <c r="Q874" t="e">
        <v>#REF!</v>
      </c>
    </row>
    <row r="875" spans="1:17" hidden="1" x14ac:dyDescent="0.25">
      <c r="A875" s="114" t="s">
        <v>718</v>
      </c>
      <c r="B875" s="115" t="s">
        <v>2435</v>
      </c>
      <c r="C875" s="116" t="s">
        <v>69</v>
      </c>
      <c r="D875" s="116">
        <v>0</v>
      </c>
      <c r="E875" s="136">
        <f ca="1">OFFSET(INDEX(Composições!A:J,MATCH(Orçamentária!A875,Composições!A:A,0),8),2,0)</f>
        <v>8.0561899999999973</v>
      </c>
      <c r="F875" s="137">
        <f t="shared" ca="1" si="94"/>
        <v>0</v>
      </c>
      <c r="G875" s="138" t="e">
        <f>IF(A875&lt;&gt;"",IF(AND(#REF!="Padrão",$H$4=#REF!),BDI!$B$17,IF(AND(#REF!="Padrão",$H$4=#REF!),BDI!#REF!,IF(AND(#REF!="Diferenciado",$H$4=#REF!),BDI!$E$17,IF(AND(#REF!="Diferenciado",$H$4=#REF!),BDI!#REF!,IF(#REF!="ZERO",0))))),"")</f>
        <v>#REF!</v>
      </c>
      <c r="H875" s="139" t="e">
        <f t="shared" ca="1" si="95"/>
        <v>#REF!</v>
      </c>
      <c r="I875" s="137" t="e">
        <f t="shared" ca="1" si="96"/>
        <v>#REF!</v>
      </c>
      <c r="J875" s="117"/>
      <c r="K875" s="116">
        <v>0</v>
      </c>
      <c r="M875" s="136" t="e">
        <f ca="1">OFFSET(INDEX([1]Composições!I:R,MATCH([1]Orçamentária!I875,[1]Composições!I:I,0),8),2,0)</f>
        <v>#REF!</v>
      </c>
      <c r="N875" t="e">
        <v>#REF!</v>
      </c>
      <c r="Q875" t="e">
        <v>#REF!</v>
      </c>
    </row>
    <row r="876" spans="1:17" hidden="1" x14ac:dyDescent="0.25">
      <c r="A876" s="114" t="s">
        <v>720</v>
      </c>
      <c r="B876" s="115" t="s">
        <v>2436</v>
      </c>
      <c r="C876" s="116" t="s">
        <v>16</v>
      </c>
      <c r="D876" s="116">
        <v>0</v>
      </c>
      <c r="E876" s="136">
        <f ca="1">OFFSET(INDEX(Composições!A:J,MATCH(Orçamentária!A876,Composições!A:A,0),8),2,0)</f>
        <v>7.5182999999999982</v>
      </c>
      <c r="F876" s="137">
        <f t="shared" ca="1" si="94"/>
        <v>0</v>
      </c>
      <c r="G876" s="138" t="e">
        <f>IF(A876&lt;&gt;"",IF(AND(#REF!="Padrão",$H$4=#REF!),BDI!$B$17,IF(AND(#REF!="Padrão",$H$4=#REF!),BDI!#REF!,IF(AND(#REF!="Diferenciado",$H$4=#REF!),BDI!$E$17,IF(AND(#REF!="Diferenciado",$H$4=#REF!),BDI!#REF!,IF(#REF!="ZERO",0))))),"")</f>
        <v>#REF!</v>
      </c>
      <c r="H876" s="139" t="e">
        <f t="shared" ca="1" si="95"/>
        <v>#REF!</v>
      </c>
      <c r="I876" s="137" t="e">
        <f t="shared" ca="1" si="96"/>
        <v>#REF!</v>
      </c>
      <c r="J876" s="117"/>
      <c r="K876" s="116">
        <v>0</v>
      </c>
      <c r="M876" s="136" t="e">
        <f ca="1">OFFSET(INDEX([1]Composições!I:R,MATCH([1]Orçamentária!I876,[1]Composições!I:I,0),8),2,0)</f>
        <v>#REF!</v>
      </c>
      <c r="N876" t="e">
        <v>#REF!</v>
      </c>
      <c r="Q876" t="e">
        <v>#REF!</v>
      </c>
    </row>
    <row r="877" spans="1:17" hidden="1" x14ac:dyDescent="0.25">
      <c r="A877" s="114" t="s">
        <v>722</v>
      </c>
      <c r="B877" s="115" t="s">
        <v>2437</v>
      </c>
      <c r="C877" s="116" t="s">
        <v>69</v>
      </c>
      <c r="D877" s="116">
        <v>0</v>
      </c>
      <c r="E877" s="136">
        <f ca="1">OFFSET(INDEX(Composições!A:J,MATCH(Orçamentária!A877,Composições!A:A,0),8),2,0)</f>
        <v>7.5182999999999982</v>
      </c>
      <c r="F877" s="137">
        <f t="shared" ca="1" si="94"/>
        <v>0</v>
      </c>
      <c r="G877" s="138" t="e">
        <f>IF(A877&lt;&gt;"",IF(AND(#REF!="Padrão",$H$4=#REF!),BDI!$B$17,IF(AND(#REF!="Padrão",$H$4=#REF!),BDI!#REF!,IF(AND(#REF!="Diferenciado",$H$4=#REF!),BDI!$E$17,IF(AND(#REF!="Diferenciado",$H$4=#REF!),BDI!#REF!,IF(#REF!="ZERO",0))))),"")</f>
        <v>#REF!</v>
      </c>
      <c r="H877" s="139" t="e">
        <f t="shared" ca="1" si="95"/>
        <v>#REF!</v>
      </c>
      <c r="I877" s="137" t="e">
        <f t="shared" ca="1" si="96"/>
        <v>#REF!</v>
      </c>
      <c r="J877" s="117"/>
      <c r="K877" s="116">
        <v>0</v>
      </c>
      <c r="M877" s="136" t="e">
        <f ca="1">OFFSET(INDEX([1]Composições!I:R,MATCH([1]Orçamentária!I877,[1]Composições!I:I,0),8),2,0)</f>
        <v>#REF!</v>
      </c>
      <c r="N877" t="e">
        <v>#REF!</v>
      </c>
      <c r="Q877" t="e">
        <v>#REF!</v>
      </c>
    </row>
    <row r="878" spans="1:17" hidden="1" x14ac:dyDescent="0.25">
      <c r="A878" s="114" t="s">
        <v>724</v>
      </c>
      <c r="B878" s="115" t="s">
        <v>2438</v>
      </c>
      <c r="C878" s="116" t="s">
        <v>16</v>
      </c>
      <c r="D878" s="116">
        <v>0</v>
      </c>
      <c r="E878" s="136">
        <f ca="1">OFFSET(INDEX(Composições!A:J,MATCH(Orçamentária!A878,Composições!A:A,0),8),2,0)</f>
        <v>3.7591499999999991</v>
      </c>
      <c r="F878" s="137">
        <f t="shared" ca="1" si="94"/>
        <v>0</v>
      </c>
      <c r="G878" s="138" t="e">
        <f>IF(A878&lt;&gt;"",IF(AND(#REF!="Padrão",$H$4=#REF!),BDI!$B$17,IF(AND(#REF!="Padrão",$H$4=#REF!),BDI!#REF!,IF(AND(#REF!="Diferenciado",$H$4=#REF!),BDI!$E$17,IF(AND(#REF!="Diferenciado",$H$4=#REF!),BDI!#REF!,IF(#REF!="ZERO",0))))),"")</f>
        <v>#REF!</v>
      </c>
      <c r="H878" s="139" t="e">
        <f t="shared" ca="1" si="95"/>
        <v>#REF!</v>
      </c>
      <c r="I878" s="137" t="e">
        <f t="shared" ca="1" si="96"/>
        <v>#REF!</v>
      </c>
      <c r="J878" s="117"/>
      <c r="K878" s="116">
        <v>0</v>
      </c>
      <c r="M878" s="136" t="e">
        <f ca="1">OFFSET(INDEX([1]Composições!I:R,MATCH([1]Orçamentária!I878,[1]Composições!I:I,0),8),2,0)</f>
        <v>#REF!</v>
      </c>
      <c r="N878" t="e">
        <v>#REF!</v>
      </c>
      <c r="Q878" t="e">
        <v>#REF!</v>
      </c>
    </row>
    <row r="879" spans="1:17" hidden="1" x14ac:dyDescent="0.25">
      <c r="A879" s="114" t="s">
        <v>726</v>
      </c>
      <c r="B879" s="115" t="s">
        <v>2439</v>
      </c>
      <c r="C879" s="116" t="s">
        <v>16</v>
      </c>
      <c r="D879" s="116">
        <v>0</v>
      </c>
      <c r="E879" s="136">
        <f ca="1">OFFSET(INDEX(Composições!A:J,MATCH(Orçamentária!A879,Composições!A:A,0),8),2,0)</f>
        <v>3.7591499999999991</v>
      </c>
      <c r="F879" s="137">
        <f t="shared" ca="1" si="94"/>
        <v>0</v>
      </c>
      <c r="G879" s="138" t="e">
        <f>IF(A879&lt;&gt;"",IF(AND(#REF!="Padrão",$H$4=#REF!),BDI!$B$17,IF(AND(#REF!="Padrão",$H$4=#REF!),BDI!#REF!,IF(AND(#REF!="Diferenciado",$H$4=#REF!),BDI!$E$17,IF(AND(#REF!="Diferenciado",$H$4=#REF!),BDI!#REF!,IF(#REF!="ZERO",0))))),"")</f>
        <v>#REF!</v>
      </c>
      <c r="H879" s="139" t="e">
        <f t="shared" ca="1" si="95"/>
        <v>#REF!</v>
      </c>
      <c r="I879" s="137" t="e">
        <f t="shared" ca="1" si="96"/>
        <v>#REF!</v>
      </c>
      <c r="J879" s="117"/>
      <c r="K879" s="116">
        <v>0</v>
      </c>
      <c r="M879" s="136" t="e">
        <f ca="1">OFFSET(INDEX([1]Composições!I:R,MATCH([1]Orçamentária!I879,[1]Composições!I:I,0),8),2,0)</f>
        <v>#REF!</v>
      </c>
      <c r="N879" t="e">
        <v>#REF!</v>
      </c>
      <c r="Q879" t="e">
        <v>#REF!</v>
      </c>
    </row>
    <row r="880" spans="1:17" hidden="1" x14ac:dyDescent="0.25">
      <c r="A880" s="114" t="s">
        <v>728</v>
      </c>
      <c r="B880" s="115" t="s">
        <v>2440</v>
      </c>
      <c r="C880" s="116" t="s">
        <v>16</v>
      </c>
      <c r="D880" s="116">
        <v>0</v>
      </c>
      <c r="E880" s="136">
        <f ca="1">OFFSET(INDEX(Composições!A:J,MATCH(Orçamentária!A880,Composições!A:A,0),8),2,0)</f>
        <v>2.5061</v>
      </c>
      <c r="F880" s="137">
        <f t="shared" ca="1" si="94"/>
        <v>0</v>
      </c>
      <c r="G880" s="138" t="e">
        <f>IF(A880&lt;&gt;"",IF(AND(#REF!="Padrão",$H$4=#REF!),BDI!$B$17,IF(AND(#REF!="Padrão",$H$4=#REF!),BDI!#REF!,IF(AND(#REF!="Diferenciado",$H$4=#REF!),BDI!$E$17,IF(AND(#REF!="Diferenciado",$H$4=#REF!),BDI!#REF!,IF(#REF!="ZERO",0))))),"")</f>
        <v>#REF!</v>
      </c>
      <c r="H880" s="139" t="e">
        <f t="shared" ca="1" si="95"/>
        <v>#REF!</v>
      </c>
      <c r="I880" s="137" t="e">
        <f t="shared" ca="1" si="96"/>
        <v>#REF!</v>
      </c>
      <c r="J880" s="117"/>
      <c r="K880" s="116">
        <v>0</v>
      </c>
      <c r="M880" s="136" t="e">
        <f ca="1">OFFSET(INDEX([1]Composições!I:R,MATCH([1]Orçamentária!I880,[1]Composições!I:I,0),8),2,0)</f>
        <v>#REF!</v>
      </c>
      <c r="N880" t="e">
        <v>#REF!</v>
      </c>
      <c r="Q880" t="e">
        <v>#REF!</v>
      </c>
    </row>
    <row r="881" spans="1:17" hidden="1" x14ac:dyDescent="0.25">
      <c r="A881" s="114" t="s">
        <v>730</v>
      </c>
      <c r="B881" s="115" t="s">
        <v>2441</v>
      </c>
      <c r="C881" s="116" t="s">
        <v>16</v>
      </c>
      <c r="D881" s="116">
        <v>0</v>
      </c>
      <c r="E881" s="136">
        <f ca="1">OFFSET(INDEX(Composições!A:J,MATCH(Orçamentária!A881,Composições!A:A,0),8),2,0)</f>
        <v>10.0244</v>
      </c>
      <c r="F881" s="137">
        <f t="shared" ca="1" si="94"/>
        <v>0</v>
      </c>
      <c r="G881" s="138" t="e">
        <f>IF(A881&lt;&gt;"",IF(AND(#REF!="Padrão",$H$4=#REF!),BDI!$B$17,IF(AND(#REF!="Padrão",$H$4=#REF!),BDI!#REF!,IF(AND(#REF!="Diferenciado",$H$4=#REF!),BDI!$E$17,IF(AND(#REF!="Diferenciado",$H$4=#REF!),BDI!#REF!,IF(#REF!="ZERO",0))))),"")</f>
        <v>#REF!</v>
      </c>
      <c r="H881" s="139" t="e">
        <f t="shared" ca="1" si="95"/>
        <v>#REF!</v>
      </c>
      <c r="I881" s="137" t="e">
        <f t="shared" ca="1" si="96"/>
        <v>#REF!</v>
      </c>
      <c r="J881" s="117"/>
      <c r="K881" s="116">
        <v>0</v>
      </c>
      <c r="M881" s="136" t="e">
        <f ca="1">OFFSET(INDEX([1]Composições!I:R,MATCH([1]Orçamentária!I881,[1]Composições!I:I,0),8),2,0)</f>
        <v>#REF!</v>
      </c>
      <c r="N881" t="e">
        <v>#REF!</v>
      </c>
      <c r="Q881" t="e">
        <v>#REF!</v>
      </c>
    </row>
    <row r="882" spans="1:17" hidden="1" x14ac:dyDescent="0.25">
      <c r="A882" s="114" t="s">
        <v>732</v>
      </c>
      <c r="B882" s="115" t="s">
        <v>2442</v>
      </c>
      <c r="C882" s="116" t="s">
        <v>16</v>
      </c>
      <c r="D882" s="116">
        <v>0</v>
      </c>
      <c r="E882" s="136">
        <f ca="1">OFFSET(INDEX(Composições!A:J,MATCH(Orçamentária!A882,Composições!A:A,0),8),2,0)</f>
        <v>10.0244</v>
      </c>
      <c r="F882" s="137">
        <f t="shared" ca="1" si="94"/>
        <v>0</v>
      </c>
      <c r="G882" s="138" t="e">
        <f>IF(A882&lt;&gt;"",IF(AND(#REF!="Padrão",$H$4=#REF!),BDI!$B$17,IF(AND(#REF!="Padrão",$H$4=#REF!),BDI!#REF!,IF(AND(#REF!="Diferenciado",$H$4=#REF!),BDI!$E$17,IF(AND(#REF!="Diferenciado",$H$4=#REF!),BDI!#REF!,IF(#REF!="ZERO",0))))),"")</f>
        <v>#REF!</v>
      </c>
      <c r="H882" s="139" t="e">
        <f t="shared" ca="1" si="95"/>
        <v>#REF!</v>
      </c>
      <c r="I882" s="137" t="e">
        <f t="shared" ca="1" si="96"/>
        <v>#REF!</v>
      </c>
      <c r="J882" s="117"/>
      <c r="K882" s="116">
        <v>0</v>
      </c>
      <c r="M882" s="136" t="e">
        <f ca="1">OFFSET(INDEX([1]Composições!I:R,MATCH([1]Orçamentária!I882,[1]Composições!I:I,0),8),2,0)</f>
        <v>#REF!</v>
      </c>
      <c r="N882" t="e">
        <v>#REF!</v>
      </c>
      <c r="Q882" t="e">
        <v>#REF!</v>
      </c>
    </row>
    <row r="883" spans="1:17" hidden="1" x14ac:dyDescent="0.25">
      <c r="A883" s="114" t="s">
        <v>734</v>
      </c>
      <c r="B883" s="115" t="s">
        <v>2443</v>
      </c>
      <c r="C883" s="116" t="s">
        <v>16</v>
      </c>
      <c r="D883" s="116">
        <v>0</v>
      </c>
      <c r="E883" s="136">
        <f ca="1">OFFSET(INDEX(Composições!A:J,MATCH(Orçamentária!A883,Composições!A:A,0),8),2,0)</f>
        <v>7.5182999999999982</v>
      </c>
      <c r="F883" s="137">
        <f t="shared" ca="1" si="94"/>
        <v>0</v>
      </c>
      <c r="G883" s="138" t="e">
        <f>IF(A883&lt;&gt;"",IF(AND(#REF!="Padrão",$H$4=#REF!),BDI!$B$17,IF(AND(#REF!="Padrão",$H$4=#REF!),BDI!#REF!,IF(AND(#REF!="Diferenciado",$H$4=#REF!),BDI!$E$17,IF(AND(#REF!="Diferenciado",$H$4=#REF!),BDI!#REF!,IF(#REF!="ZERO",0))))),"")</f>
        <v>#REF!</v>
      </c>
      <c r="H883" s="139" t="e">
        <f t="shared" ca="1" si="95"/>
        <v>#REF!</v>
      </c>
      <c r="I883" s="137" t="e">
        <f t="shared" ca="1" si="96"/>
        <v>#REF!</v>
      </c>
      <c r="J883" s="117"/>
      <c r="K883" s="116">
        <v>0</v>
      </c>
      <c r="M883" s="136" t="e">
        <f ca="1">OFFSET(INDEX([1]Composições!I:R,MATCH([1]Orçamentária!I883,[1]Composições!I:I,0),8),2,0)</f>
        <v>#REF!</v>
      </c>
      <c r="N883" t="e">
        <v>#REF!</v>
      </c>
      <c r="Q883" t="e">
        <v>#REF!</v>
      </c>
    </row>
    <row r="884" spans="1:17" hidden="1" x14ac:dyDescent="0.25">
      <c r="A884" s="114" t="s">
        <v>736</v>
      </c>
      <c r="B884" s="115" t="s">
        <v>2444</v>
      </c>
      <c r="C884" s="116" t="s">
        <v>16</v>
      </c>
      <c r="D884" s="116">
        <v>0</v>
      </c>
      <c r="E884" s="136">
        <f ca="1">OFFSET(INDEX(Composições!A:J,MATCH(Orçamentária!A884,Composições!A:A,0),8),2,0)</f>
        <v>5.0122</v>
      </c>
      <c r="F884" s="137">
        <f t="shared" ca="1" si="94"/>
        <v>0</v>
      </c>
      <c r="G884" s="138" t="e">
        <f>IF(A884&lt;&gt;"",IF(AND(#REF!="Padrão",$H$4=#REF!),BDI!$B$17,IF(AND(#REF!="Padrão",$H$4=#REF!),BDI!#REF!,IF(AND(#REF!="Diferenciado",$H$4=#REF!),BDI!$E$17,IF(AND(#REF!="Diferenciado",$H$4=#REF!),BDI!#REF!,IF(#REF!="ZERO",0))))),"")</f>
        <v>#REF!</v>
      </c>
      <c r="H884" s="139" t="e">
        <f t="shared" ca="1" si="95"/>
        <v>#REF!</v>
      </c>
      <c r="I884" s="137" t="e">
        <f t="shared" ca="1" si="96"/>
        <v>#REF!</v>
      </c>
      <c r="J884" s="117"/>
      <c r="K884" s="116">
        <v>0</v>
      </c>
      <c r="M884" s="136" t="e">
        <f ca="1">OFFSET(INDEX([1]Composições!I:R,MATCH([1]Orçamentária!I884,[1]Composições!I:I,0),8),2,0)</f>
        <v>#REF!</v>
      </c>
      <c r="N884" t="e">
        <v>#REF!</v>
      </c>
      <c r="Q884" t="e">
        <v>#REF!</v>
      </c>
    </row>
    <row r="885" spans="1:17" hidden="1" x14ac:dyDescent="0.25">
      <c r="A885" s="114" t="s">
        <v>738</v>
      </c>
      <c r="B885" s="115" t="s">
        <v>2445</v>
      </c>
      <c r="C885" s="116" t="s">
        <v>16</v>
      </c>
      <c r="D885" s="116">
        <v>0</v>
      </c>
      <c r="E885" s="136">
        <f ca="1">OFFSET(INDEX(Composições!A:J,MATCH(Orçamentária!A885,Composições!A:A,0),8),2,0)</f>
        <v>5.0122</v>
      </c>
      <c r="F885" s="137">
        <f t="shared" ca="1" si="94"/>
        <v>0</v>
      </c>
      <c r="G885" s="138" t="e">
        <f>IF(A885&lt;&gt;"",IF(AND(#REF!="Padrão",$H$4=#REF!),BDI!$B$17,IF(AND(#REF!="Padrão",$H$4=#REF!),BDI!#REF!,IF(AND(#REF!="Diferenciado",$H$4=#REF!),BDI!$E$17,IF(AND(#REF!="Diferenciado",$H$4=#REF!),BDI!#REF!,IF(#REF!="ZERO",0))))),"")</f>
        <v>#REF!</v>
      </c>
      <c r="H885" s="139" t="e">
        <f t="shared" ca="1" si="95"/>
        <v>#REF!</v>
      </c>
      <c r="I885" s="137" t="e">
        <f t="shared" ca="1" si="96"/>
        <v>#REF!</v>
      </c>
      <c r="J885" s="117"/>
      <c r="K885" s="116">
        <v>0</v>
      </c>
      <c r="M885" s="136" t="e">
        <f ca="1">OFFSET(INDEX([1]Composições!I:R,MATCH([1]Orçamentária!I885,[1]Composições!I:I,0),8),2,0)</f>
        <v>#REF!</v>
      </c>
      <c r="N885" t="e">
        <v>#REF!</v>
      </c>
      <c r="Q885" t="e">
        <v>#REF!</v>
      </c>
    </row>
    <row r="886" spans="1:17" hidden="1" x14ac:dyDescent="0.25">
      <c r="A886" s="114" t="s">
        <v>740</v>
      </c>
      <c r="B886" s="115" t="s">
        <v>741</v>
      </c>
      <c r="C886" s="116" t="s">
        <v>70</v>
      </c>
      <c r="D886" s="116">
        <v>0</v>
      </c>
      <c r="E886" s="136">
        <f ca="1">OFFSET(INDEX(Composições!A:J,MATCH(Orçamentária!A886,Composições!A:A,0),8),2,0)</f>
        <v>509.24296849999996</v>
      </c>
      <c r="F886" s="137">
        <f t="shared" ca="1" si="94"/>
        <v>0</v>
      </c>
      <c r="G886" s="138" t="e">
        <f>IF(A886&lt;&gt;"",IF(AND(#REF!="Padrão",$H$4=#REF!),BDI!$B$17,IF(AND(#REF!="Padrão",$H$4=#REF!),BDI!#REF!,IF(AND(#REF!="Diferenciado",$H$4=#REF!),BDI!$E$17,IF(AND(#REF!="Diferenciado",$H$4=#REF!),BDI!#REF!,IF(#REF!="ZERO",0))))),"")</f>
        <v>#REF!</v>
      </c>
      <c r="H886" s="139" t="e">
        <f t="shared" ca="1" si="95"/>
        <v>#REF!</v>
      </c>
      <c r="I886" s="137" t="e">
        <f t="shared" ca="1" si="96"/>
        <v>#REF!</v>
      </c>
      <c r="J886" s="117"/>
      <c r="K886" s="116">
        <v>0</v>
      </c>
      <c r="M886" s="136" t="e">
        <f ca="1">OFFSET(INDEX([1]Composições!I:R,MATCH([1]Orçamentária!I886,[1]Composições!I:I,0),8),2,0)</f>
        <v>#REF!</v>
      </c>
      <c r="N886" t="e">
        <v>#REF!</v>
      </c>
      <c r="Q886" t="e">
        <v>#REF!</v>
      </c>
    </row>
    <row r="887" spans="1:17" hidden="1" x14ac:dyDescent="0.25">
      <c r="A887" s="114" t="s">
        <v>2446</v>
      </c>
      <c r="B887" s="115" t="s">
        <v>2447</v>
      </c>
      <c r="C887" s="116" t="s">
        <v>16</v>
      </c>
      <c r="D887" s="116">
        <v>0</v>
      </c>
      <c r="E887" s="136" t="s">
        <v>416</v>
      </c>
      <c r="F887" s="137" t="str">
        <f t="shared" si="94"/>
        <v/>
      </c>
      <c r="G887" s="138" t="e">
        <f>IF(A887&lt;&gt;"",IF(AND(#REF!="Padrão",$H$4=#REF!),BDI!$B$17,IF(AND(#REF!="Padrão",$H$4=#REF!),BDI!#REF!,IF(AND(#REF!="Diferenciado",$H$4=#REF!),BDI!$E$17,IF(AND(#REF!="Diferenciado",$H$4=#REF!),BDI!#REF!,IF(#REF!="ZERO",0))))),"")</f>
        <v>#REF!</v>
      </c>
      <c r="H887" s="139" t="str">
        <f t="shared" si="95"/>
        <v/>
      </c>
      <c r="I887" s="137" t="str">
        <f t="shared" si="96"/>
        <v/>
      </c>
      <c r="J887" s="117"/>
      <c r="K887" s="116">
        <v>0</v>
      </c>
      <c r="M887" s="136" t="s">
        <v>416</v>
      </c>
      <c r="N887" t="e">
        <v>#REF!</v>
      </c>
      <c r="Q887" t="s">
        <v>416</v>
      </c>
    </row>
    <row r="888" spans="1:17" hidden="1" x14ac:dyDescent="0.25">
      <c r="A888" s="114" t="s">
        <v>742</v>
      </c>
      <c r="B888" s="115" t="s">
        <v>5455</v>
      </c>
      <c r="C888" s="116" t="s">
        <v>16</v>
      </c>
      <c r="D888" s="116">
        <v>0</v>
      </c>
      <c r="E888" s="136">
        <f ca="1">OFFSET(INDEX(Composições!A:J,MATCH(Orçamentária!A888,Composições!A:A,0),8),2,0)</f>
        <v>5.0122</v>
      </c>
      <c r="F888" s="137">
        <f t="shared" ca="1" si="94"/>
        <v>0</v>
      </c>
      <c r="G888" s="138" t="e">
        <f>IF(A888&lt;&gt;"",IF(AND(#REF!="Padrão",$H$4=#REF!),BDI!$B$17,IF(AND(#REF!="Padrão",$H$4=#REF!),BDI!#REF!,IF(AND(#REF!="Diferenciado",$H$4=#REF!),BDI!$E$17,IF(AND(#REF!="Diferenciado",$H$4=#REF!),BDI!#REF!,IF(#REF!="ZERO",0))))),"")</f>
        <v>#REF!</v>
      </c>
      <c r="H888" s="139" t="e">
        <f t="shared" ca="1" si="95"/>
        <v>#REF!</v>
      </c>
      <c r="I888" s="137" t="e">
        <f t="shared" ca="1" si="96"/>
        <v>#REF!</v>
      </c>
      <c r="J888" s="117"/>
      <c r="K888" s="116">
        <v>0</v>
      </c>
      <c r="M888" s="136" t="e">
        <f ca="1">OFFSET(INDEX([1]Composições!I:R,MATCH([1]Orçamentária!I888,[1]Composições!I:I,0),8),2,0)</f>
        <v>#REF!</v>
      </c>
      <c r="N888" t="e">
        <v>#REF!</v>
      </c>
      <c r="Q888" t="e">
        <v>#REF!</v>
      </c>
    </row>
    <row r="889" spans="1:17" hidden="1" x14ac:dyDescent="0.25">
      <c r="A889" s="114" t="s">
        <v>744</v>
      </c>
      <c r="B889" s="115" t="s">
        <v>2448</v>
      </c>
      <c r="C889" s="116" t="s">
        <v>16</v>
      </c>
      <c r="D889" s="116">
        <v>0</v>
      </c>
      <c r="E889" s="136">
        <f ca="1">OFFSET(INDEX(Composições!A:J,MATCH(Orçamentária!A889,Composições!A:A,0),8),2,0)</f>
        <v>5.0122</v>
      </c>
      <c r="F889" s="137">
        <f t="shared" ca="1" si="94"/>
        <v>0</v>
      </c>
      <c r="G889" s="138" t="e">
        <f>IF(A889&lt;&gt;"",IF(AND(#REF!="Padrão",$H$4=#REF!),BDI!$B$17,IF(AND(#REF!="Padrão",$H$4=#REF!),BDI!#REF!,IF(AND(#REF!="Diferenciado",$H$4=#REF!),BDI!$E$17,IF(AND(#REF!="Diferenciado",$H$4=#REF!),BDI!#REF!,IF(#REF!="ZERO",0))))),"")</f>
        <v>#REF!</v>
      </c>
      <c r="H889" s="139" t="e">
        <f t="shared" ca="1" si="95"/>
        <v>#REF!</v>
      </c>
      <c r="I889" s="137" t="e">
        <f t="shared" ca="1" si="96"/>
        <v>#REF!</v>
      </c>
      <c r="J889" s="117"/>
      <c r="K889" s="116">
        <v>0</v>
      </c>
      <c r="M889" s="136" t="e">
        <f ca="1">OFFSET(INDEX([1]Composições!I:R,MATCH([1]Orçamentária!I889,[1]Composições!I:I,0),8),2,0)</f>
        <v>#REF!</v>
      </c>
      <c r="N889" t="e">
        <v>#REF!</v>
      </c>
      <c r="Q889" t="e">
        <v>#REF!</v>
      </c>
    </row>
    <row r="890" spans="1:17" hidden="1" x14ac:dyDescent="0.25">
      <c r="A890" s="114" t="s">
        <v>746</v>
      </c>
      <c r="B890" s="115" t="s">
        <v>2449</v>
      </c>
      <c r="C890" s="116" t="s">
        <v>16</v>
      </c>
      <c r="D890" s="116">
        <v>0</v>
      </c>
      <c r="E890" s="136">
        <f ca="1">OFFSET(INDEX(Composições!A:J,MATCH(Orçamentária!A890,Composições!A:A,0),8),2,0)</f>
        <v>5.0122</v>
      </c>
      <c r="F890" s="137">
        <f t="shared" ca="1" si="94"/>
        <v>0</v>
      </c>
      <c r="G890" s="138" t="e">
        <f>IF(A890&lt;&gt;"",IF(AND(#REF!="Padrão",$H$4=#REF!),BDI!$B$17,IF(AND(#REF!="Padrão",$H$4=#REF!),BDI!#REF!,IF(AND(#REF!="Diferenciado",$H$4=#REF!),BDI!$E$17,IF(AND(#REF!="Diferenciado",$H$4=#REF!),BDI!#REF!,IF(#REF!="ZERO",0))))),"")</f>
        <v>#REF!</v>
      </c>
      <c r="H890" s="139" t="e">
        <f t="shared" ca="1" si="95"/>
        <v>#REF!</v>
      </c>
      <c r="I890" s="137" t="e">
        <f t="shared" ca="1" si="96"/>
        <v>#REF!</v>
      </c>
      <c r="J890" s="117"/>
      <c r="K890" s="116">
        <v>0</v>
      </c>
      <c r="M890" s="136" t="e">
        <f ca="1">OFFSET(INDEX([1]Composições!I:R,MATCH([1]Orçamentária!I890,[1]Composições!I:I,0),8),2,0)</f>
        <v>#REF!</v>
      </c>
      <c r="N890" t="e">
        <v>#REF!</v>
      </c>
      <c r="Q890" t="e">
        <v>#REF!</v>
      </c>
    </row>
    <row r="891" spans="1:17" hidden="1" x14ac:dyDescent="0.25">
      <c r="A891" s="114" t="s">
        <v>748</v>
      </c>
      <c r="B891" s="115" t="s">
        <v>2450</v>
      </c>
      <c r="C891" s="116" t="s">
        <v>16</v>
      </c>
      <c r="D891" s="116">
        <v>0</v>
      </c>
      <c r="E891" s="136">
        <f ca="1">OFFSET(INDEX(Composições!A:J,MATCH(Orçamentária!A891,Composições!A:A,0),8),2,0)</f>
        <v>37.591499999999996</v>
      </c>
      <c r="F891" s="137">
        <f t="shared" ca="1" si="94"/>
        <v>0</v>
      </c>
      <c r="G891" s="138" t="e">
        <f>IF(A891&lt;&gt;"",IF(AND(#REF!="Padrão",$H$4=#REF!),BDI!$B$17,IF(AND(#REF!="Padrão",$H$4=#REF!),BDI!#REF!,IF(AND(#REF!="Diferenciado",$H$4=#REF!),BDI!$E$17,IF(AND(#REF!="Diferenciado",$H$4=#REF!),BDI!#REF!,IF(#REF!="ZERO",0))))),"")</f>
        <v>#REF!</v>
      </c>
      <c r="H891" s="139" t="e">
        <f t="shared" ca="1" si="95"/>
        <v>#REF!</v>
      </c>
      <c r="I891" s="137" t="e">
        <f t="shared" ca="1" si="96"/>
        <v>#REF!</v>
      </c>
      <c r="J891" s="117"/>
      <c r="K891" s="116">
        <v>0</v>
      </c>
      <c r="M891" s="136" t="e">
        <f ca="1">OFFSET(INDEX([1]Composições!I:R,MATCH([1]Orçamentária!I891,[1]Composições!I:I,0),8),2,0)</f>
        <v>#REF!</v>
      </c>
      <c r="N891" t="e">
        <v>#REF!</v>
      </c>
      <c r="Q891" t="e">
        <v>#REF!</v>
      </c>
    </row>
    <row r="892" spans="1:17" hidden="1" x14ac:dyDescent="0.25">
      <c r="A892" s="114" t="s">
        <v>750</v>
      </c>
      <c r="B892" s="115" t="s">
        <v>2451</v>
      </c>
      <c r="C892" s="116" t="s">
        <v>16</v>
      </c>
      <c r="D892" s="116">
        <v>0</v>
      </c>
      <c r="E892" s="136">
        <f ca="1">OFFSET(INDEX(Composições!A:J,MATCH(Orçamentária!A892,Composições!A:A,0),8),2,0)</f>
        <v>37.591499999999996</v>
      </c>
      <c r="F892" s="137">
        <f t="shared" ca="1" si="94"/>
        <v>0</v>
      </c>
      <c r="G892" s="138" t="e">
        <f>IF(A892&lt;&gt;"",IF(AND(#REF!="Padrão",$H$4=#REF!),BDI!$B$17,IF(AND(#REF!="Padrão",$H$4=#REF!),BDI!#REF!,IF(AND(#REF!="Diferenciado",$H$4=#REF!),BDI!$E$17,IF(AND(#REF!="Diferenciado",$H$4=#REF!),BDI!#REF!,IF(#REF!="ZERO",0))))),"")</f>
        <v>#REF!</v>
      </c>
      <c r="H892" s="139" t="e">
        <f t="shared" ca="1" si="95"/>
        <v>#REF!</v>
      </c>
      <c r="I892" s="137" t="e">
        <f t="shared" ca="1" si="96"/>
        <v>#REF!</v>
      </c>
      <c r="J892" s="117"/>
      <c r="K892" s="116">
        <v>0</v>
      </c>
      <c r="M892" s="136" t="e">
        <f ca="1">OFFSET(INDEX([1]Composições!I:R,MATCH([1]Orçamentária!I892,[1]Composições!I:I,0),8),2,0)</f>
        <v>#REF!</v>
      </c>
      <c r="N892" t="e">
        <v>#REF!</v>
      </c>
      <c r="Q892" t="e">
        <v>#REF!</v>
      </c>
    </row>
    <row r="893" spans="1:17" hidden="1" x14ac:dyDescent="0.25">
      <c r="A893" s="114" t="s">
        <v>752</v>
      </c>
      <c r="B893" s="115" t="s">
        <v>2452</v>
      </c>
      <c r="C893" s="116" t="s">
        <v>16</v>
      </c>
      <c r="D893" s="116">
        <v>0</v>
      </c>
      <c r="E893" s="136">
        <f ca="1">OFFSET(INDEX(Composições!A:J,MATCH(Orçamentária!A893,Composições!A:A,0),8),2,0)</f>
        <v>25.060999999999996</v>
      </c>
      <c r="F893" s="137">
        <f t="shared" ca="1" si="94"/>
        <v>0</v>
      </c>
      <c r="G893" s="138" t="e">
        <f>IF(A893&lt;&gt;"",IF(AND(#REF!="Padrão",$H$4=#REF!),BDI!$B$17,IF(AND(#REF!="Padrão",$H$4=#REF!),BDI!#REF!,IF(AND(#REF!="Diferenciado",$H$4=#REF!),BDI!$E$17,IF(AND(#REF!="Diferenciado",$H$4=#REF!),BDI!#REF!,IF(#REF!="ZERO",0))))),"")</f>
        <v>#REF!</v>
      </c>
      <c r="H893" s="139" t="e">
        <f t="shared" ca="1" si="95"/>
        <v>#REF!</v>
      </c>
      <c r="I893" s="137" t="e">
        <f t="shared" ca="1" si="96"/>
        <v>#REF!</v>
      </c>
      <c r="J893" s="117"/>
      <c r="K893" s="116">
        <v>0</v>
      </c>
      <c r="M893" s="136" t="e">
        <f ca="1">OFFSET(INDEX([1]Composições!I:R,MATCH([1]Orçamentária!I893,[1]Composições!I:I,0),8),2,0)</f>
        <v>#REF!</v>
      </c>
      <c r="N893" t="e">
        <v>#REF!</v>
      </c>
      <c r="Q893" t="e">
        <v>#REF!</v>
      </c>
    </row>
    <row r="894" spans="1:17" hidden="1" x14ac:dyDescent="0.25">
      <c r="A894" s="114" t="s">
        <v>754</v>
      </c>
      <c r="B894" s="115" t="s">
        <v>2453</v>
      </c>
      <c r="C894" s="116" t="s">
        <v>16</v>
      </c>
      <c r="D894" s="116">
        <v>0</v>
      </c>
      <c r="E894" s="136">
        <f ca="1">OFFSET(INDEX(Composições!A:J,MATCH(Orçamentária!A894,Composições!A:A,0),8),2,0)</f>
        <v>2.5061</v>
      </c>
      <c r="F894" s="137">
        <f t="shared" ca="1" si="94"/>
        <v>0</v>
      </c>
      <c r="G894" s="138" t="e">
        <f>IF(A894&lt;&gt;"",IF(AND(#REF!="Padrão",$H$4=#REF!),BDI!$B$17,IF(AND(#REF!="Padrão",$H$4=#REF!),BDI!#REF!,IF(AND(#REF!="Diferenciado",$H$4=#REF!),BDI!$E$17,IF(AND(#REF!="Diferenciado",$H$4=#REF!),BDI!#REF!,IF(#REF!="ZERO",0))))),"")</f>
        <v>#REF!</v>
      </c>
      <c r="H894" s="139" t="e">
        <f t="shared" ca="1" si="95"/>
        <v>#REF!</v>
      </c>
      <c r="I894" s="137" t="e">
        <f t="shared" ca="1" si="96"/>
        <v>#REF!</v>
      </c>
      <c r="J894" s="117"/>
      <c r="K894" s="116">
        <v>0</v>
      </c>
      <c r="M894" s="136" t="e">
        <f ca="1">OFFSET(INDEX([1]Composições!I:R,MATCH([1]Orçamentária!I894,[1]Composições!I:I,0),8),2,0)</f>
        <v>#REF!</v>
      </c>
      <c r="N894" t="e">
        <v>#REF!</v>
      </c>
      <c r="Q894" t="e">
        <v>#REF!</v>
      </c>
    </row>
    <row r="895" spans="1:17" hidden="1" x14ac:dyDescent="0.25">
      <c r="A895" s="114" t="s">
        <v>756</v>
      </c>
      <c r="B895" s="115" t="s">
        <v>7677</v>
      </c>
      <c r="C895" s="116" t="s">
        <v>16</v>
      </c>
      <c r="D895" s="116">
        <v>0</v>
      </c>
      <c r="E895" s="136">
        <f ca="1">OFFSET(INDEX(Composições!A:J,MATCH(Orçamentária!A895,Composições!A:A,0),8),2,0)</f>
        <v>5.0122</v>
      </c>
      <c r="F895" s="137">
        <f t="shared" ca="1" si="94"/>
        <v>0</v>
      </c>
      <c r="G895" s="138" t="e">
        <f>IF(A895&lt;&gt;"",IF(AND(#REF!="Padrão",$H$4=#REF!),BDI!$B$17,IF(AND(#REF!="Padrão",$H$4=#REF!),BDI!#REF!,IF(AND(#REF!="Diferenciado",$H$4=#REF!),BDI!$E$17,IF(AND(#REF!="Diferenciado",$H$4=#REF!),BDI!#REF!,IF(#REF!="ZERO",0))))),"")</f>
        <v>#REF!</v>
      </c>
      <c r="H895" s="139" t="e">
        <f t="shared" ca="1" si="95"/>
        <v>#REF!</v>
      </c>
      <c r="I895" s="137" t="e">
        <f t="shared" ca="1" si="96"/>
        <v>#REF!</v>
      </c>
      <c r="J895" s="117"/>
      <c r="K895" s="116">
        <v>0</v>
      </c>
      <c r="M895" s="136" t="e">
        <f ca="1">OFFSET(INDEX([1]Composições!I:R,MATCH([1]Orçamentária!I895,[1]Composições!I:I,0),8),2,0)</f>
        <v>#REF!</v>
      </c>
      <c r="N895" t="e">
        <v>#REF!</v>
      </c>
      <c r="Q895" t="e">
        <v>#REF!</v>
      </c>
    </row>
    <row r="896" spans="1:17" hidden="1" x14ac:dyDescent="0.25">
      <c r="A896" s="114" t="s">
        <v>758</v>
      </c>
      <c r="B896" s="115" t="s">
        <v>2454</v>
      </c>
      <c r="C896" s="116" t="s">
        <v>16</v>
      </c>
      <c r="D896" s="116">
        <v>0</v>
      </c>
      <c r="E896" s="136">
        <f ca="1">OFFSET(INDEX(Composições!A:J,MATCH(Orçamentária!A896,Composições!A:A,0),8),2,0)</f>
        <v>5.0122</v>
      </c>
      <c r="F896" s="137">
        <f t="shared" ca="1" si="94"/>
        <v>0</v>
      </c>
      <c r="G896" s="138" t="e">
        <f>IF(A896&lt;&gt;"",IF(AND(#REF!="Padrão",$H$4=#REF!),BDI!$B$17,IF(AND(#REF!="Padrão",$H$4=#REF!),BDI!#REF!,IF(AND(#REF!="Diferenciado",$H$4=#REF!),BDI!$E$17,IF(AND(#REF!="Diferenciado",$H$4=#REF!),BDI!#REF!,IF(#REF!="ZERO",0))))),"")</f>
        <v>#REF!</v>
      </c>
      <c r="H896" s="139" t="e">
        <f t="shared" ca="1" si="95"/>
        <v>#REF!</v>
      </c>
      <c r="I896" s="137" t="e">
        <f t="shared" ca="1" si="96"/>
        <v>#REF!</v>
      </c>
      <c r="J896" s="117"/>
      <c r="K896" s="116">
        <v>0</v>
      </c>
      <c r="M896" s="136" t="e">
        <f ca="1">OFFSET(INDEX([1]Composições!I:R,MATCH([1]Orçamentária!I896,[1]Composições!I:I,0),8),2,0)</f>
        <v>#REF!</v>
      </c>
      <c r="N896" t="e">
        <v>#REF!</v>
      </c>
      <c r="Q896" t="e">
        <v>#REF!</v>
      </c>
    </row>
    <row r="897" spans="1:17" hidden="1" x14ac:dyDescent="0.25">
      <c r="A897" s="114" t="s">
        <v>760</v>
      </c>
      <c r="B897" s="115" t="s">
        <v>7679</v>
      </c>
      <c r="C897" s="116" t="s">
        <v>69</v>
      </c>
      <c r="D897" s="116">
        <v>0</v>
      </c>
      <c r="E897" s="136">
        <f ca="1">OFFSET(INDEX(Composições!A:J,MATCH(Orçamentária!A897,Composições!A:A,0),8),2,0)</f>
        <v>39.586841999999997</v>
      </c>
      <c r="F897" s="137">
        <f t="shared" ca="1" si="94"/>
        <v>0</v>
      </c>
      <c r="G897" s="138" t="e">
        <f>IF(A897&lt;&gt;"",IF(AND(#REF!="Padrão",$H$4=#REF!),BDI!$B$17,IF(AND(#REF!="Padrão",$H$4=#REF!),BDI!#REF!,IF(AND(#REF!="Diferenciado",$H$4=#REF!),BDI!$E$17,IF(AND(#REF!="Diferenciado",$H$4=#REF!),BDI!#REF!,IF(#REF!="ZERO",0))))),"")</f>
        <v>#REF!</v>
      </c>
      <c r="H897" s="139" t="e">
        <f t="shared" ca="1" si="95"/>
        <v>#REF!</v>
      </c>
      <c r="I897" s="137" t="e">
        <f t="shared" ca="1" si="96"/>
        <v>#REF!</v>
      </c>
      <c r="J897" s="117"/>
      <c r="K897" s="116">
        <v>0</v>
      </c>
      <c r="M897" s="136" t="e">
        <f ca="1">OFFSET(INDEX([1]Composições!I:R,MATCH([1]Orçamentária!I897,[1]Composições!I:I,0),8),2,0)</f>
        <v>#REF!</v>
      </c>
      <c r="N897" t="e">
        <v>#REF!</v>
      </c>
      <c r="Q897" t="e">
        <v>#REF!</v>
      </c>
    </row>
    <row r="898" spans="1:17" hidden="1" x14ac:dyDescent="0.25">
      <c r="A898" s="114" t="s">
        <v>762</v>
      </c>
      <c r="B898" s="115" t="s">
        <v>2455</v>
      </c>
      <c r="C898" s="116" t="s">
        <v>69</v>
      </c>
      <c r="D898" s="116">
        <v>0</v>
      </c>
      <c r="E898" s="136">
        <f ca="1">OFFSET(INDEX(Composições!A:J,MATCH(Orçamentária!A898,Composições!A:A,0),8),2,0)</f>
        <v>5.0122</v>
      </c>
      <c r="F898" s="137">
        <f t="shared" ca="1" si="94"/>
        <v>0</v>
      </c>
      <c r="G898" s="138" t="e">
        <f>IF(A898&lt;&gt;"",IF(AND(#REF!="Padrão",$H$4=#REF!),BDI!$B$17,IF(AND(#REF!="Padrão",$H$4=#REF!),BDI!#REF!,IF(AND(#REF!="Diferenciado",$H$4=#REF!),BDI!$E$17,IF(AND(#REF!="Diferenciado",$H$4=#REF!),BDI!#REF!,IF(#REF!="ZERO",0))))),"")</f>
        <v>#REF!</v>
      </c>
      <c r="H898" s="139" t="e">
        <f t="shared" ca="1" si="95"/>
        <v>#REF!</v>
      </c>
      <c r="I898" s="137" t="e">
        <f t="shared" ca="1" si="96"/>
        <v>#REF!</v>
      </c>
      <c r="J898" s="117"/>
      <c r="K898" s="116">
        <v>0</v>
      </c>
      <c r="M898" s="136" t="e">
        <f ca="1">OFFSET(INDEX([1]Composições!I:R,MATCH([1]Orçamentária!I898,[1]Composições!I:I,0),8),2,0)</f>
        <v>#REF!</v>
      </c>
      <c r="N898" t="e">
        <v>#REF!</v>
      </c>
      <c r="Q898" t="e">
        <v>#REF!</v>
      </c>
    </row>
    <row r="899" spans="1:17" hidden="1" x14ac:dyDescent="0.25">
      <c r="A899" s="114" t="s">
        <v>764</v>
      </c>
      <c r="B899" s="115" t="s">
        <v>7678</v>
      </c>
      <c r="C899" s="116" t="s">
        <v>69</v>
      </c>
      <c r="D899" s="116">
        <v>0</v>
      </c>
      <c r="E899" s="136">
        <f ca="1">OFFSET(INDEX(Composições!A:J,MATCH(Orçamentária!A899,Composições!A:A,0),8),2,0)</f>
        <v>12.166915999999997</v>
      </c>
      <c r="F899" s="137">
        <f t="shared" ca="1" si="94"/>
        <v>0</v>
      </c>
      <c r="G899" s="138" t="e">
        <f>IF(A899&lt;&gt;"",IF(AND(#REF!="Padrão",$H$4=#REF!),BDI!$B$17,IF(AND(#REF!="Padrão",$H$4=#REF!),BDI!#REF!,IF(AND(#REF!="Diferenciado",$H$4=#REF!),BDI!$E$17,IF(AND(#REF!="Diferenciado",$H$4=#REF!),BDI!#REF!,IF(#REF!="ZERO",0))))),"")</f>
        <v>#REF!</v>
      </c>
      <c r="H899" s="139" t="e">
        <f t="shared" ca="1" si="95"/>
        <v>#REF!</v>
      </c>
      <c r="I899" s="137" t="e">
        <f t="shared" ca="1" si="96"/>
        <v>#REF!</v>
      </c>
      <c r="J899" s="117"/>
      <c r="K899" s="116">
        <v>0</v>
      </c>
      <c r="M899" s="136" t="e">
        <f ca="1">OFFSET(INDEX([1]Composições!I:R,MATCH([1]Orçamentária!I899,[1]Composições!I:I,0),8),2,0)</f>
        <v>#REF!</v>
      </c>
      <c r="N899" t="e">
        <v>#REF!</v>
      </c>
      <c r="Q899" t="e">
        <v>#REF!</v>
      </c>
    </row>
    <row r="900" spans="1:17" hidden="1" x14ac:dyDescent="0.25">
      <c r="A900" s="114" t="s">
        <v>767</v>
      </c>
      <c r="B900" s="115" t="s">
        <v>2456</v>
      </c>
      <c r="C900" s="116" t="s">
        <v>16</v>
      </c>
      <c r="D900" s="116">
        <v>0</v>
      </c>
      <c r="E900" s="136">
        <f ca="1">OFFSET(INDEX(Composições!A:J,MATCH(Orçamentária!A900,Composições!A:A,0),8),2,0)</f>
        <v>37.591499999999996</v>
      </c>
      <c r="F900" s="137">
        <f t="shared" ca="1" si="94"/>
        <v>0</v>
      </c>
      <c r="G900" s="138" t="e">
        <f>IF(A900&lt;&gt;"",IF(AND(#REF!="Padrão",$H$4=#REF!),BDI!$B$17,IF(AND(#REF!="Padrão",$H$4=#REF!),BDI!#REF!,IF(AND(#REF!="Diferenciado",$H$4=#REF!),BDI!$E$17,IF(AND(#REF!="Diferenciado",$H$4=#REF!),BDI!#REF!,IF(#REF!="ZERO",0))))),"")</f>
        <v>#REF!</v>
      </c>
      <c r="H900" s="139" t="e">
        <f t="shared" ca="1" si="95"/>
        <v>#REF!</v>
      </c>
      <c r="I900" s="137" t="e">
        <f t="shared" ca="1" si="96"/>
        <v>#REF!</v>
      </c>
      <c r="J900" s="117"/>
      <c r="K900" s="116">
        <v>0</v>
      </c>
      <c r="M900" s="136" t="e">
        <f ca="1">OFFSET(INDEX([1]Composições!I:R,MATCH([1]Orçamentária!I900,[1]Composições!I:I,0),8),2,0)</f>
        <v>#REF!</v>
      </c>
      <c r="N900" t="e">
        <v>#REF!</v>
      </c>
      <c r="Q900" t="e">
        <v>#REF!</v>
      </c>
    </row>
    <row r="901" spans="1:17" hidden="1" x14ac:dyDescent="0.25">
      <c r="A901" s="114" t="s">
        <v>768</v>
      </c>
      <c r="B901" s="115" t="s">
        <v>7681</v>
      </c>
      <c r="C901" s="116" t="s">
        <v>70</v>
      </c>
      <c r="D901" s="116">
        <v>0</v>
      </c>
      <c r="E901" s="136">
        <f ca="1">OFFSET(INDEX(Composições!A:J,MATCH(Orçamentária!A901,Composições!A:A,0),8),2,0)</f>
        <v>105.68020399999999</v>
      </c>
      <c r="F901" s="137">
        <f t="shared" ca="1" si="94"/>
        <v>0</v>
      </c>
      <c r="G901" s="138" t="e">
        <f>IF(A901&lt;&gt;"",IF(AND(#REF!="Padrão",$H$4=#REF!),BDI!$B$17,IF(AND(#REF!="Padrão",$H$4=#REF!),BDI!#REF!,IF(AND(#REF!="Diferenciado",$H$4=#REF!),BDI!$E$17,IF(AND(#REF!="Diferenciado",$H$4=#REF!),BDI!#REF!,IF(#REF!="ZERO",0))))),"")</f>
        <v>#REF!</v>
      </c>
      <c r="H901" s="139" t="e">
        <f t="shared" ca="1" si="95"/>
        <v>#REF!</v>
      </c>
      <c r="I901" s="137" t="e">
        <f t="shared" ca="1" si="96"/>
        <v>#REF!</v>
      </c>
      <c r="J901" s="117"/>
      <c r="K901" s="116">
        <v>0</v>
      </c>
      <c r="M901" s="136" t="e">
        <f ca="1">OFFSET(INDEX([1]Composições!I:R,MATCH([1]Orçamentária!I901,[1]Composições!I:I,0),8),2,0)</f>
        <v>#REF!</v>
      </c>
      <c r="N901" t="e">
        <v>#REF!</v>
      </c>
      <c r="Q901" t="e">
        <v>#REF!</v>
      </c>
    </row>
    <row r="902" spans="1:17" hidden="1" x14ac:dyDescent="0.25">
      <c r="A902" s="114" t="s">
        <v>770</v>
      </c>
      <c r="B902" s="115" t="s">
        <v>2457</v>
      </c>
      <c r="C902" s="116" t="s">
        <v>16</v>
      </c>
      <c r="D902" s="116">
        <v>0</v>
      </c>
      <c r="E902" s="136">
        <f ca="1">OFFSET(INDEX(Composições!A:J,MATCH(Orçamentária!A902,Composições!A:A,0),8),2,0)</f>
        <v>10.0244</v>
      </c>
      <c r="F902" s="137">
        <f t="shared" ca="1" si="94"/>
        <v>0</v>
      </c>
      <c r="G902" s="138" t="e">
        <f>IF(A902&lt;&gt;"",IF(AND(#REF!="Padrão",$H$4=#REF!),BDI!$B$17,IF(AND(#REF!="Padrão",$H$4=#REF!),BDI!#REF!,IF(AND(#REF!="Diferenciado",$H$4=#REF!),BDI!$E$17,IF(AND(#REF!="Diferenciado",$H$4=#REF!),BDI!#REF!,IF(#REF!="ZERO",0))))),"")</f>
        <v>#REF!</v>
      </c>
      <c r="H902" s="139" t="e">
        <f t="shared" ca="1" si="95"/>
        <v>#REF!</v>
      </c>
      <c r="I902" s="137" t="e">
        <f t="shared" ca="1" si="96"/>
        <v>#REF!</v>
      </c>
      <c r="J902" s="117"/>
      <c r="K902" s="116">
        <v>0</v>
      </c>
      <c r="M902" s="136" t="e">
        <f ca="1">OFFSET(INDEX([1]Composições!I:R,MATCH([1]Orçamentária!I902,[1]Composições!I:I,0),8),2,0)</f>
        <v>#REF!</v>
      </c>
      <c r="N902" t="e">
        <v>#REF!</v>
      </c>
      <c r="Q902" t="e">
        <v>#REF!</v>
      </c>
    </row>
    <row r="903" spans="1:17" hidden="1" x14ac:dyDescent="0.25">
      <c r="A903" s="114" t="s">
        <v>772</v>
      </c>
      <c r="B903" s="115" t="s">
        <v>7680</v>
      </c>
      <c r="C903" s="116" t="s">
        <v>28</v>
      </c>
      <c r="D903" s="116">
        <v>0</v>
      </c>
      <c r="E903" s="136">
        <f ca="1">OFFSET(INDEX(Composições!A:J,MATCH(Orçamentária!A903,Composições!A:A,0),8),2,0)</f>
        <v>13.973526249999999</v>
      </c>
      <c r="F903" s="137">
        <f t="shared" ref="F903:F966" ca="1" si="97">IF(ISNUMBER(E903),D903*E903,"")</f>
        <v>0</v>
      </c>
      <c r="G903" s="138" t="e">
        <f>IF(A903&lt;&gt;"",IF(AND(#REF!="Padrão",$H$4=#REF!),BDI!$B$17,IF(AND(#REF!="Padrão",$H$4=#REF!),BDI!#REF!,IF(AND(#REF!="Diferenciado",$H$4=#REF!),BDI!$E$17,IF(AND(#REF!="Diferenciado",$H$4=#REF!),BDI!#REF!,IF(#REF!="ZERO",0))))),"")</f>
        <v>#REF!</v>
      </c>
      <c r="H903" s="139" t="e">
        <f t="shared" ref="H903:H966" ca="1" si="98">IF(ISNUMBER(E903),ROUND(E903*(1+G903),2),"")</f>
        <v>#REF!</v>
      </c>
      <c r="I903" s="137" t="e">
        <f t="shared" ref="I903:I966" ca="1" si="99">IF(ISNUMBER(E903),ROUND(H903*D903,2),"")</f>
        <v>#REF!</v>
      </c>
      <c r="J903" s="117"/>
      <c r="K903" s="116">
        <v>0</v>
      </c>
      <c r="M903" s="136" t="e">
        <f ca="1">OFFSET(INDEX([1]Composições!I:R,MATCH([1]Orçamentária!I903,[1]Composições!I:I,0),8),2,0)</f>
        <v>#REF!</v>
      </c>
      <c r="N903" t="e">
        <v>#REF!</v>
      </c>
      <c r="Q903" t="e">
        <v>#REF!</v>
      </c>
    </row>
    <row r="904" spans="1:17" hidden="1" x14ac:dyDescent="0.25">
      <c r="A904" s="114" t="s">
        <v>777</v>
      </c>
      <c r="B904" s="115" t="s">
        <v>2458</v>
      </c>
      <c r="C904" s="116" t="s">
        <v>16</v>
      </c>
      <c r="D904" s="116">
        <v>0</v>
      </c>
      <c r="E904" s="136">
        <f ca="1">OFFSET(INDEX(Composições!A:J,MATCH(Orçamentária!A904,Composições!A:A,0),8),2,0)</f>
        <v>5.0122</v>
      </c>
      <c r="F904" s="137">
        <f t="shared" ca="1" si="97"/>
        <v>0</v>
      </c>
      <c r="G904" s="138" t="e">
        <f>IF(A904&lt;&gt;"",IF(AND(#REF!="Padrão",$H$4=#REF!),BDI!$B$17,IF(AND(#REF!="Padrão",$H$4=#REF!),BDI!#REF!,IF(AND(#REF!="Diferenciado",$H$4=#REF!),BDI!$E$17,IF(AND(#REF!="Diferenciado",$H$4=#REF!),BDI!#REF!,IF(#REF!="ZERO",0))))),"")</f>
        <v>#REF!</v>
      </c>
      <c r="H904" s="139" t="e">
        <f t="shared" ca="1" si="98"/>
        <v>#REF!</v>
      </c>
      <c r="I904" s="137" t="e">
        <f t="shared" ca="1" si="99"/>
        <v>#REF!</v>
      </c>
      <c r="J904" s="117"/>
      <c r="K904" s="116">
        <v>0</v>
      </c>
      <c r="M904" s="136" t="e">
        <f ca="1">OFFSET(INDEX([1]Composições!I:R,MATCH([1]Orçamentária!I904,[1]Composições!I:I,0),8),2,0)</f>
        <v>#REF!</v>
      </c>
      <c r="N904" t="e">
        <v>#REF!</v>
      </c>
      <c r="Q904" t="e">
        <v>#REF!</v>
      </c>
    </row>
    <row r="905" spans="1:17" hidden="1" x14ac:dyDescent="0.25">
      <c r="A905" s="114" t="s">
        <v>779</v>
      </c>
      <c r="B905" s="115" t="s">
        <v>2459</v>
      </c>
      <c r="C905" s="116" t="s">
        <v>16</v>
      </c>
      <c r="D905" s="116">
        <v>0</v>
      </c>
      <c r="E905" s="136">
        <f ca="1">OFFSET(INDEX(Composições!A:J,MATCH(Orçamentária!A905,Composições!A:A,0),8),2,0)</f>
        <v>7.5182999999999982</v>
      </c>
      <c r="F905" s="137">
        <f t="shared" ca="1" si="97"/>
        <v>0</v>
      </c>
      <c r="G905" s="138" t="e">
        <f>IF(A905&lt;&gt;"",IF(AND(#REF!="Padrão",$H$4=#REF!),BDI!$B$17,IF(AND(#REF!="Padrão",$H$4=#REF!),BDI!#REF!,IF(AND(#REF!="Diferenciado",$H$4=#REF!),BDI!$E$17,IF(AND(#REF!="Diferenciado",$H$4=#REF!),BDI!#REF!,IF(#REF!="ZERO",0))))),"")</f>
        <v>#REF!</v>
      </c>
      <c r="H905" s="139" t="e">
        <f t="shared" ca="1" si="98"/>
        <v>#REF!</v>
      </c>
      <c r="I905" s="137" t="e">
        <f t="shared" ca="1" si="99"/>
        <v>#REF!</v>
      </c>
      <c r="J905" s="117"/>
      <c r="K905" s="116">
        <v>0</v>
      </c>
      <c r="M905" s="136" t="e">
        <f ca="1">OFFSET(INDEX([1]Composições!I:R,MATCH([1]Orçamentária!I905,[1]Composições!I:I,0),8),2,0)</f>
        <v>#REF!</v>
      </c>
      <c r="N905" t="e">
        <v>#REF!</v>
      </c>
      <c r="Q905" t="e">
        <v>#REF!</v>
      </c>
    </row>
    <row r="906" spans="1:17" hidden="1" x14ac:dyDescent="0.25">
      <c r="A906" s="114" t="s">
        <v>781</v>
      </c>
      <c r="B906" s="115" t="s">
        <v>2460</v>
      </c>
      <c r="C906" s="116" t="s">
        <v>16</v>
      </c>
      <c r="D906" s="116">
        <v>0</v>
      </c>
      <c r="E906" s="136">
        <f ca="1">OFFSET(INDEX(Composições!A:J,MATCH(Orçamentária!A906,Composições!A:A,0),8),2,0)</f>
        <v>7.5182999999999982</v>
      </c>
      <c r="F906" s="137">
        <f t="shared" ca="1" si="97"/>
        <v>0</v>
      </c>
      <c r="G906" s="138" t="e">
        <f>IF(A906&lt;&gt;"",IF(AND(#REF!="Padrão",$H$4=#REF!),BDI!$B$17,IF(AND(#REF!="Padrão",$H$4=#REF!),BDI!#REF!,IF(AND(#REF!="Diferenciado",$H$4=#REF!),BDI!$E$17,IF(AND(#REF!="Diferenciado",$H$4=#REF!),BDI!#REF!,IF(#REF!="ZERO",0))))),"")</f>
        <v>#REF!</v>
      </c>
      <c r="H906" s="139" t="e">
        <f t="shared" ca="1" si="98"/>
        <v>#REF!</v>
      </c>
      <c r="I906" s="137" t="e">
        <f t="shared" ca="1" si="99"/>
        <v>#REF!</v>
      </c>
      <c r="J906" s="117"/>
      <c r="K906" s="116">
        <v>0</v>
      </c>
      <c r="M906" s="136" t="e">
        <f ca="1">OFFSET(INDEX([1]Composições!I:R,MATCH([1]Orçamentária!I906,[1]Composições!I:I,0),8),2,0)</f>
        <v>#REF!</v>
      </c>
      <c r="N906" t="e">
        <v>#REF!</v>
      </c>
      <c r="Q906" t="e">
        <v>#REF!</v>
      </c>
    </row>
    <row r="907" spans="1:17" hidden="1" x14ac:dyDescent="0.25">
      <c r="A907" s="114" t="s">
        <v>783</v>
      </c>
      <c r="B907" s="115" t="s">
        <v>2461</v>
      </c>
      <c r="C907" s="116" t="s">
        <v>16</v>
      </c>
      <c r="D907" s="116">
        <v>0</v>
      </c>
      <c r="E907" s="136">
        <f ca="1">OFFSET(INDEX(Composições!A:J,MATCH(Orçamentária!A907,Composições!A:A,0),8),2,0)</f>
        <v>7.5182999999999982</v>
      </c>
      <c r="F907" s="137">
        <f t="shared" ca="1" si="97"/>
        <v>0</v>
      </c>
      <c r="G907" s="138" t="e">
        <f>IF(A907&lt;&gt;"",IF(AND(#REF!="Padrão",$H$4=#REF!),BDI!$B$17,IF(AND(#REF!="Padrão",$H$4=#REF!),BDI!#REF!,IF(AND(#REF!="Diferenciado",$H$4=#REF!),BDI!$E$17,IF(AND(#REF!="Diferenciado",$H$4=#REF!),BDI!#REF!,IF(#REF!="ZERO",0))))),"")</f>
        <v>#REF!</v>
      </c>
      <c r="H907" s="139" t="e">
        <f t="shared" ca="1" si="98"/>
        <v>#REF!</v>
      </c>
      <c r="I907" s="137" t="e">
        <f t="shared" ca="1" si="99"/>
        <v>#REF!</v>
      </c>
      <c r="J907" s="117"/>
      <c r="K907" s="116">
        <v>0</v>
      </c>
      <c r="M907" s="136" t="e">
        <f ca="1">OFFSET(INDEX([1]Composições!I:R,MATCH([1]Orçamentária!I907,[1]Composições!I:I,0),8),2,0)</f>
        <v>#REF!</v>
      </c>
      <c r="N907" t="e">
        <v>#REF!</v>
      </c>
      <c r="Q907" t="e">
        <v>#REF!</v>
      </c>
    </row>
    <row r="908" spans="1:17" hidden="1" x14ac:dyDescent="0.25">
      <c r="A908" s="114" t="s">
        <v>785</v>
      </c>
      <c r="B908" s="115" t="s">
        <v>2462</v>
      </c>
      <c r="C908" s="116" t="s">
        <v>16</v>
      </c>
      <c r="D908" s="116">
        <v>0</v>
      </c>
      <c r="E908" s="136">
        <f ca="1">OFFSET(INDEX(Composições!A:J,MATCH(Orçamentária!A908,Composições!A:A,0),8),2,0)</f>
        <v>3.7591499999999991</v>
      </c>
      <c r="F908" s="137">
        <f t="shared" ca="1" si="97"/>
        <v>0</v>
      </c>
      <c r="G908" s="138" t="e">
        <f>IF(A908&lt;&gt;"",IF(AND(#REF!="Padrão",$H$4=#REF!),BDI!$B$17,IF(AND(#REF!="Padrão",$H$4=#REF!),BDI!#REF!,IF(AND(#REF!="Diferenciado",$H$4=#REF!),BDI!$E$17,IF(AND(#REF!="Diferenciado",$H$4=#REF!),BDI!#REF!,IF(#REF!="ZERO",0))))),"")</f>
        <v>#REF!</v>
      </c>
      <c r="H908" s="139" t="e">
        <f t="shared" ca="1" si="98"/>
        <v>#REF!</v>
      </c>
      <c r="I908" s="137" t="e">
        <f t="shared" ca="1" si="99"/>
        <v>#REF!</v>
      </c>
      <c r="J908" s="117"/>
      <c r="K908" s="116">
        <v>0</v>
      </c>
      <c r="M908" s="136" t="e">
        <f ca="1">OFFSET(INDEX([1]Composições!I:R,MATCH([1]Orçamentária!I908,[1]Composições!I:I,0),8),2,0)</f>
        <v>#REF!</v>
      </c>
      <c r="N908" t="e">
        <v>#REF!</v>
      </c>
      <c r="Q908" t="e">
        <v>#REF!</v>
      </c>
    </row>
    <row r="909" spans="1:17" hidden="1" x14ac:dyDescent="0.25">
      <c r="A909" s="114" t="s">
        <v>787</v>
      </c>
      <c r="B909" s="115" t="s">
        <v>2463</v>
      </c>
      <c r="C909" s="116" t="s">
        <v>16</v>
      </c>
      <c r="D909" s="116">
        <v>0</v>
      </c>
      <c r="E909" s="136">
        <f ca="1">OFFSET(INDEX(Composições!A:J,MATCH(Orçamentária!A909,Composições!A:A,0),8),2,0)</f>
        <v>3.7591499999999991</v>
      </c>
      <c r="F909" s="137">
        <f t="shared" ca="1" si="97"/>
        <v>0</v>
      </c>
      <c r="G909" s="138" t="e">
        <f>IF(A909&lt;&gt;"",IF(AND(#REF!="Padrão",$H$4=#REF!),BDI!$B$17,IF(AND(#REF!="Padrão",$H$4=#REF!),BDI!#REF!,IF(AND(#REF!="Diferenciado",$H$4=#REF!),BDI!$E$17,IF(AND(#REF!="Diferenciado",$H$4=#REF!),BDI!#REF!,IF(#REF!="ZERO",0))))),"")</f>
        <v>#REF!</v>
      </c>
      <c r="H909" s="139" t="e">
        <f t="shared" ca="1" si="98"/>
        <v>#REF!</v>
      </c>
      <c r="I909" s="137" t="e">
        <f t="shared" ca="1" si="99"/>
        <v>#REF!</v>
      </c>
      <c r="J909" s="117"/>
      <c r="K909" s="116">
        <v>0</v>
      </c>
      <c r="M909" s="136" t="e">
        <f ca="1">OFFSET(INDEX([1]Composições!I:R,MATCH([1]Orçamentária!I909,[1]Composições!I:I,0),8),2,0)</f>
        <v>#REF!</v>
      </c>
      <c r="N909" t="e">
        <v>#REF!</v>
      </c>
      <c r="Q909" t="e">
        <v>#REF!</v>
      </c>
    </row>
    <row r="910" spans="1:17" hidden="1" x14ac:dyDescent="0.25">
      <c r="A910" s="114" t="s">
        <v>789</v>
      </c>
      <c r="B910" s="115" t="s">
        <v>2464</v>
      </c>
      <c r="C910" s="116" t="s">
        <v>16</v>
      </c>
      <c r="D910" s="116">
        <v>0</v>
      </c>
      <c r="E910" s="136">
        <f ca="1">OFFSET(INDEX(Composições!A:J,MATCH(Orçamentária!A910,Composições!A:A,0),8),2,0)</f>
        <v>3.7591499999999991</v>
      </c>
      <c r="F910" s="137">
        <f t="shared" ca="1" si="97"/>
        <v>0</v>
      </c>
      <c r="G910" s="138" t="e">
        <f>IF(A910&lt;&gt;"",IF(AND(#REF!="Padrão",$H$4=#REF!),BDI!$B$17,IF(AND(#REF!="Padrão",$H$4=#REF!),BDI!#REF!,IF(AND(#REF!="Diferenciado",$H$4=#REF!),BDI!$E$17,IF(AND(#REF!="Diferenciado",$H$4=#REF!),BDI!#REF!,IF(#REF!="ZERO",0))))),"")</f>
        <v>#REF!</v>
      </c>
      <c r="H910" s="139" t="e">
        <f t="shared" ca="1" si="98"/>
        <v>#REF!</v>
      </c>
      <c r="I910" s="137" t="e">
        <f t="shared" ca="1" si="99"/>
        <v>#REF!</v>
      </c>
      <c r="J910" s="117"/>
      <c r="K910" s="116">
        <v>0</v>
      </c>
      <c r="M910" s="136" t="e">
        <f ca="1">OFFSET(INDEX([1]Composições!I:R,MATCH([1]Orçamentária!I910,[1]Composições!I:I,0),8),2,0)</f>
        <v>#REF!</v>
      </c>
      <c r="N910" t="e">
        <v>#REF!</v>
      </c>
      <c r="Q910" t="e">
        <v>#REF!</v>
      </c>
    </row>
    <row r="911" spans="1:17" hidden="1" x14ac:dyDescent="0.25">
      <c r="A911" s="114" t="s">
        <v>791</v>
      </c>
      <c r="B911" s="115" t="s">
        <v>2465</v>
      </c>
      <c r="C911" s="116" t="s">
        <v>16</v>
      </c>
      <c r="D911" s="116">
        <v>0</v>
      </c>
      <c r="E911" s="136">
        <f ca="1">OFFSET(INDEX(Composições!A:J,MATCH(Orçamentária!A911,Composições!A:A,0),8),2,0)</f>
        <v>3.7591499999999991</v>
      </c>
      <c r="F911" s="137">
        <f t="shared" ca="1" si="97"/>
        <v>0</v>
      </c>
      <c r="G911" s="138" t="e">
        <f>IF(A911&lt;&gt;"",IF(AND(#REF!="Padrão",$H$4=#REF!),BDI!$B$17,IF(AND(#REF!="Padrão",$H$4=#REF!),BDI!#REF!,IF(AND(#REF!="Diferenciado",$H$4=#REF!),BDI!$E$17,IF(AND(#REF!="Diferenciado",$H$4=#REF!),BDI!#REF!,IF(#REF!="ZERO",0))))),"")</f>
        <v>#REF!</v>
      </c>
      <c r="H911" s="139" t="e">
        <f t="shared" ca="1" si="98"/>
        <v>#REF!</v>
      </c>
      <c r="I911" s="137" t="e">
        <f t="shared" ca="1" si="99"/>
        <v>#REF!</v>
      </c>
      <c r="J911" s="117"/>
      <c r="K911" s="116">
        <v>0</v>
      </c>
      <c r="M911" s="136" t="e">
        <f ca="1">OFFSET(INDEX([1]Composições!I:R,MATCH([1]Orçamentária!I911,[1]Composições!I:I,0),8),2,0)</f>
        <v>#REF!</v>
      </c>
      <c r="N911" t="e">
        <v>#REF!</v>
      </c>
      <c r="Q911" t="e">
        <v>#REF!</v>
      </c>
    </row>
    <row r="912" spans="1:17" hidden="1" x14ac:dyDescent="0.25">
      <c r="A912" s="114" t="s">
        <v>793</v>
      </c>
      <c r="B912" s="115" t="s">
        <v>2466</v>
      </c>
      <c r="C912" s="116" t="s">
        <v>16</v>
      </c>
      <c r="D912" s="116">
        <v>0</v>
      </c>
      <c r="E912" s="136">
        <f ca="1">OFFSET(INDEX(Composições!A:J,MATCH(Orçamentária!A912,Composições!A:A,0),8),2,0)</f>
        <v>10.0244</v>
      </c>
      <c r="F912" s="137">
        <f t="shared" ca="1" si="97"/>
        <v>0</v>
      </c>
      <c r="G912" s="138" t="e">
        <f>IF(A912&lt;&gt;"",IF(AND(#REF!="Padrão",$H$4=#REF!),BDI!$B$17,IF(AND(#REF!="Padrão",$H$4=#REF!),BDI!#REF!,IF(AND(#REF!="Diferenciado",$H$4=#REF!),BDI!$E$17,IF(AND(#REF!="Diferenciado",$H$4=#REF!),BDI!#REF!,IF(#REF!="ZERO",0))))),"")</f>
        <v>#REF!</v>
      </c>
      <c r="H912" s="139" t="e">
        <f t="shared" ca="1" si="98"/>
        <v>#REF!</v>
      </c>
      <c r="I912" s="137" t="e">
        <f t="shared" ca="1" si="99"/>
        <v>#REF!</v>
      </c>
      <c r="J912" s="117"/>
      <c r="K912" s="116">
        <v>0</v>
      </c>
      <c r="M912" s="136" t="e">
        <f ca="1">OFFSET(INDEX([1]Composições!I:R,MATCH([1]Orçamentária!I912,[1]Composições!I:I,0),8),2,0)</f>
        <v>#REF!</v>
      </c>
      <c r="N912" t="e">
        <v>#REF!</v>
      </c>
      <c r="Q912" t="e">
        <v>#REF!</v>
      </c>
    </row>
    <row r="913" spans="1:19" hidden="1" x14ac:dyDescent="0.25">
      <c r="A913" s="114" t="s">
        <v>795</v>
      </c>
      <c r="B913" s="115" t="s">
        <v>2467</v>
      </c>
      <c r="C913" s="116" t="s">
        <v>2468</v>
      </c>
      <c r="D913" s="116">
        <v>0</v>
      </c>
      <c r="E913" s="136">
        <f ca="1">OFFSET(INDEX(Composições!A:J,MATCH(Orçamentária!A913,Composições!A:A,0),8),2,0)</f>
        <v>59.078685499999985</v>
      </c>
      <c r="F913" s="137">
        <f t="shared" ca="1" si="97"/>
        <v>0</v>
      </c>
      <c r="G913" s="138" t="e">
        <f>IF(A913&lt;&gt;"",IF(AND(#REF!="Padrão",$H$4=#REF!),BDI!$B$17,IF(AND(#REF!="Padrão",$H$4=#REF!),BDI!#REF!,IF(AND(#REF!="Diferenciado",$H$4=#REF!),BDI!$E$17,IF(AND(#REF!="Diferenciado",$H$4=#REF!),BDI!#REF!,IF(#REF!="ZERO",0))))),"")</f>
        <v>#REF!</v>
      </c>
      <c r="H913" s="139" t="e">
        <f t="shared" ca="1" si="98"/>
        <v>#REF!</v>
      </c>
      <c r="I913" s="137" t="e">
        <f t="shared" ca="1" si="99"/>
        <v>#REF!</v>
      </c>
      <c r="J913" s="117"/>
      <c r="K913" s="116">
        <v>0</v>
      </c>
      <c r="M913" s="136" t="e">
        <f ca="1">OFFSET(INDEX([1]Composições!I:R,MATCH([1]Orçamentária!I913,[1]Composições!I:I,0),8),2,0)</f>
        <v>#REF!</v>
      </c>
      <c r="N913" t="e">
        <v>#REF!</v>
      </c>
      <c r="Q913" t="e">
        <v>#REF!</v>
      </c>
    </row>
    <row r="914" spans="1:19" hidden="1" x14ac:dyDescent="0.25">
      <c r="A914" s="114" t="s">
        <v>796</v>
      </c>
      <c r="B914" s="115" t="s">
        <v>7683</v>
      </c>
      <c r="C914" s="116" t="s">
        <v>70</v>
      </c>
      <c r="D914" s="116">
        <v>0</v>
      </c>
      <c r="E914" s="136">
        <f ca="1">OFFSET(INDEX(Composições!A:J,MATCH(Orçamentária!A914,Composições!A:A,0),8),2,0)</f>
        <v>115.91899999999998</v>
      </c>
      <c r="F914" s="137">
        <f t="shared" ca="1" si="97"/>
        <v>0</v>
      </c>
      <c r="G914" s="138" t="e">
        <f>IF(A914&lt;&gt;"",IF(AND(#REF!="Padrão",$H$4=#REF!),BDI!$B$17,IF(AND(#REF!="Padrão",$H$4=#REF!),BDI!#REF!,IF(AND(#REF!="Diferenciado",$H$4=#REF!),BDI!$E$17,IF(AND(#REF!="Diferenciado",$H$4=#REF!),BDI!#REF!,IF(#REF!="ZERO",0))))),"")</f>
        <v>#REF!</v>
      </c>
      <c r="H914" s="139" t="e">
        <f t="shared" ca="1" si="98"/>
        <v>#REF!</v>
      </c>
      <c r="I914" s="137" t="e">
        <f t="shared" ca="1" si="99"/>
        <v>#REF!</v>
      </c>
      <c r="J914" s="117"/>
      <c r="K914" s="116">
        <v>0</v>
      </c>
      <c r="M914" s="136" t="e">
        <f ca="1">OFFSET(INDEX([1]Composições!I:R,MATCH([1]Orçamentária!I914,[1]Composições!I:I,0),8),2,0)</f>
        <v>#REF!</v>
      </c>
      <c r="N914" t="e">
        <v>#REF!</v>
      </c>
      <c r="Q914" t="e">
        <v>#REF!</v>
      </c>
    </row>
    <row r="915" spans="1:19" hidden="1" x14ac:dyDescent="0.25">
      <c r="A915" s="114" t="s">
        <v>798</v>
      </c>
      <c r="B915" s="115" t="s">
        <v>7682</v>
      </c>
      <c r="C915" s="116" t="s">
        <v>70</v>
      </c>
      <c r="D915" s="116">
        <v>0</v>
      </c>
      <c r="E915" s="136">
        <f ca="1">OFFSET(INDEX(Composições!A:J,MATCH(Orçamentária!A915,Composições!A:A,0),8),2,0)</f>
        <v>158.17499999999998</v>
      </c>
      <c r="F915" s="137">
        <f t="shared" ca="1" si="97"/>
        <v>0</v>
      </c>
      <c r="G915" s="138" t="e">
        <f>IF(A915&lt;&gt;"",IF(AND(#REF!="Padrão",$H$4=#REF!),BDI!$B$17,IF(AND(#REF!="Padrão",$H$4=#REF!),BDI!#REF!,IF(AND(#REF!="Diferenciado",$H$4=#REF!),BDI!$E$17,IF(AND(#REF!="Diferenciado",$H$4=#REF!),BDI!#REF!,IF(#REF!="ZERO",0))))),"")</f>
        <v>#REF!</v>
      </c>
      <c r="H915" s="139" t="e">
        <f t="shared" ca="1" si="98"/>
        <v>#REF!</v>
      </c>
      <c r="I915" s="137" t="e">
        <f t="shared" ca="1" si="99"/>
        <v>#REF!</v>
      </c>
      <c r="J915" s="117"/>
      <c r="K915" s="116">
        <v>0</v>
      </c>
      <c r="M915" s="136" t="e">
        <f ca="1">OFFSET(INDEX([1]Composições!I:R,MATCH([1]Orçamentária!I915,[1]Composições!I:I,0),8),2,0)</f>
        <v>#REF!</v>
      </c>
      <c r="N915" t="e">
        <v>#REF!</v>
      </c>
      <c r="Q915" t="e">
        <v>#REF!</v>
      </c>
    </row>
    <row r="916" spans="1:19" hidden="1" x14ac:dyDescent="0.25">
      <c r="A916" s="114" t="s">
        <v>800</v>
      </c>
      <c r="B916" s="115" t="s">
        <v>2469</v>
      </c>
      <c r="C916" s="116" t="s">
        <v>69</v>
      </c>
      <c r="D916" s="116">
        <v>0</v>
      </c>
      <c r="E916" s="136">
        <f ca="1">OFFSET(INDEX(Composições!A:J,MATCH(Orçamentária!A916,Composições!A:A,0),8),2,0)</f>
        <v>26.459874999999997</v>
      </c>
      <c r="F916" s="137">
        <f t="shared" ca="1" si="97"/>
        <v>0</v>
      </c>
      <c r="G916" s="138" t="e">
        <f>IF(A916&lt;&gt;"",IF(AND(#REF!="Padrão",$H$4=#REF!),BDI!$B$17,IF(AND(#REF!="Padrão",$H$4=#REF!),BDI!#REF!,IF(AND(#REF!="Diferenciado",$H$4=#REF!),BDI!$E$17,IF(AND(#REF!="Diferenciado",$H$4=#REF!),BDI!#REF!,IF(#REF!="ZERO",0))))),"")</f>
        <v>#REF!</v>
      </c>
      <c r="H916" s="139" t="e">
        <f t="shared" ca="1" si="98"/>
        <v>#REF!</v>
      </c>
      <c r="I916" s="137" t="e">
        <f t="shared" ca="1" si="99"/>
        <v>#REF!</v>
      </c>
      <c r="J916" s="117"/>
      <c r="K916" s="116">
        <v>0</v>
      </c>
      <c r="M916" s="136" t="e">
        <f ca="1">OFFSET(INDEX([1]Composições!I:R,MATCH([1]Orçamentária!I916,[1]Composições!I:I,0),8),2,0)</f>
        <v>#REF!</v>
      </c>
      <c r="N916" t="e">
        <v>#REF!</v>
      </c>
      <c r="Q916" t="e">
        <v>#REF!</v>
      </c>
    </row>
    <row r="917" spans="1:19" hidden="1" x14ac:dyDescent="0.25">
      <c r="A917" s="114" t="s">
        <v>801</v>
      </c>
      <c r="B917" s="115" t="s">
        <v>2470</v>
      </c>
      <c r="C917" s="116" t="s">
        <v>70</v>
      </c>
      <c r="D917" s="116">
        <v>0</v>
      </c>
      <c r="E917" s="136">
        <f ca="1">OFFSET(INDEX(Composições!A:J,MATCH(Orçamentária!A917,Composições!A:A,0),8),2,0)</f>
        <v>57.816999999999993</v>
      </c>
      <c r="F917" s="137">
        <f t="shared" ca="1" si="97"/>
        <v>0</v>
      </c>
      <c r="G917" s="138" t="e">
        <f>IF(A917&lt;&gt;"",IF(AND(#REF!="Padrão",$H$4=#REF!),BDI!$B$17,IF(AND(#REF!="Padrão",$H$4=#REF!),BDI!#REF!,IF(AND(#REF!="Diferenciado",$H$4=#REF!),BDI!$E$17,IF(AND(#REF!="Diferenciado",$H$4=#REF!),BDI!#REF!,IF(#REF!="ZERO",0))))),"")</f>
        <v>#REF!</v>
      </c>
      <c r="H917" s="139" t="e">
        <f t="shared" ca="1" si="98"/>
        <v>#REF!</v>
      </c>
      <c r="I917" s="137" t="e">
        <f t="shared" ca="1" si="99"/>
        <v>#REF!</v>
      </c>
      <c r="J917" s="117"/>
      <c r="K917" s="116">
        <v>0</v>
      </c>
      <c r="M917" s="136" t="e">
        <f ca="1">OFFSET(INDEX([1]Composições!I:R,MATCH([1]Orçamentária!I917,[1]Composições!I:I,0),8),2,0)</f>
        <v>#REF!</v>
      </c>
      <c r="N917" t="e">
        <v>#REF!</v>
      </c>
      <c r="Q917" t="e">
        <v>#REF!</v>
      </c>
    </row>
    <row r="918" spans="1:19" hidden="1" x14ac:dyDescent="0.25">
      <c r="A918" s="114" t="s">
        <v>802</v>
      </c>
      <c r="B918" s="115" t="s">
        <v>803</v>
      </c>
      <c r="C918" s="116" t="s">
        <v>70</v>
      </c>
      <c r="D918" s="116">
        <v>0</v>
      </c>
      <c r="E918" s="136">
        <f ca="1">OFFSET(INDEX(Composições!A:J,MATCH(Orçamentária!A918,Composições!A:A,0),8),2,0)</f>
        <v>57.816999999999993</v>
      </c>
      <c r="F918" s="137">
        <f t="shared" ca="1" si="97"/>
        <v>0</v>
      </c>
      <c r="G918" s="138" t="e">
        <f>IF(A918&lt;&gt;"",IF(AND(#REF!="Padrão",$H$4=#REF!),BDI!$B$17,IF(AND(#REF!="Padrão",$H$4=#REF!),BDI!#REF!,IF(AND(#REF!="Diferenciado",$H$4=#REF!),BDI!$E$17,IF(AND(#REF!="Diferenciado",$H$4=#REF!),BDI!#REF!,IF(#REF!="ZERO",0))))),"")</f>
        <v>#REF!</v>
      </c>
      <c r="H918" s="139" t="e">
        <f t="shared" ca="1" si="98"/>
        <v>#REF!</v>
      </c>
      <c r="I918" s="137" t="e">
        <f t="shared" ca="1" si="99"/>
        <v>#REF!</v>
      </c>
      <c r="J918" s="117"/>
      <c r="K918" s="116">
        <v>0</v>
      </c>
      <c r="M918" s="136" t="e">
        <f ca="1">OFFSET(INDEX([1]Composições!I:R,MATCH([1]Orçamentária!I918,[1]Composições!I:I,0),8),2,0)</f>
        <v>#REF!</v>
      </c>
      <c r="N918" t="e">
        <v>#REF!</v>
      </c>
      <c r="Q918" t="e">
        <v>#REF!</v>
      </c>
    </row>
    <row r="919" spans="1:19" hidden="1" x14ac:dyDescent="0.25">
      <c r="A919" s="114" t="s">
        <v>804</v>
      </c>
      <c r="B919" s="115" t="s">
        <v>2471</v>
      </c>
      <c r="C919" s="116" t="s">
        <v>16</v>
      </c>
      <c r="D919" s="116">
        <v>0</v>
      </c>
      <c r="E919" s="136">
        <f ca="1">OFFSET(INDEX(Composições!A:J,MATCH(Orçamentária!A919,Composições!A:A,0),8),2,0)</f>
        <v>9.9445999999999994</v>
      </c>
      <c r="F919" s="137">
        <f t="shared" ca="1" si="97"/>
        <v>0</v>
      </c>
      <c r="G919" s="138" t="e">
        <f>IF(A919&lt;&gt;"",IF(AND(#REF!="Padrão",$H$4=#REF!),BDI!$B$17,IF(AND(#REF!="Padrão",$H$4=#REF!),BDI!#REF!,IF(AND(#REF!="Diferenciado",$H$4=#REF!),BDI!$E$17,IF(AND(#REF!="Diferenciado",$H$4=#REF!),BDI!#REF!,IF(#REF!="ZERO",0))))),"")</f>
        <v>#REF!</v>
      </c>
      <c r="H919" s="139" t="e">
        <f t="shared" ca="1" si="98"/>
        <v>#REF!</v>
      </c>
      <c r="I919" s="137" t="e">
        <f t="shared" ca="1" si="99"/>
        <v>#REF!</v>
      </c>
      <c r="J919" s="117"/>
      <c r="K919" s="116">
        <v>0</v>
      </c>
      <c r="M919" s="136" t="e">
        <f ca="1">OFFSET(INDEX([1]Composições!I:R,MATCH([1]Orçamentária!I919,[1]Composições!I:I,0),8),2,0)</f>
        <v>#REF!</v>
      </c>
      <c r="N919" t="e">
        <v>#REF!</v>
      </c>
      <c r="Q919" t="e">
        <v>#REF!</v>
      </c>
    </row>
    <row r="920" spans="1:19" hidden="1" x14ac:dyDescent="0.25">
      <c r="A920" s="114" t="s">
        <v>805</v>
      </c>
      <c r="B920" s="115" t="s">
        <v>5456</v>
      </c>
      <c r="C920" s="116" t="s">
        <v>80</v>
      </c>
      <c r="D920" s="116">
        <v>0</v>
      </c>
      <c r="E920" s="136">
        <f ca="1">OFFSET(INDEX(Composições!A:J,MATCH(Orçamentária!A920,Composições!A:A,0),8),2,0)</f>
        <v>4460.5988855999994</v>
      </c>
      <c r="F920" s="137">
        <f t="shared" ca="1" si="97"/>
        <v>0</v>
      </c>
      <c r="G920" s="138" t="e">
        <f>IF(A920&lt;&gt;"",IF(AND(#REF!="Padrão",$H$4=#REF!),BDI!$B$17,IF(AND(#REF!="Padrão",$H$4=#REF!),BDI!#REF!,IF(AND(#REF!="Diferenciado",$H$4=#REF!),BDI!$E$17,IF(AND(#REF!="Diferenciado",$H$4=#REF!),BDI!#REF!,IF(#REF!="ZERO",0))))),"")</f>
        <v>#REF!</v>
      </c>
      <c r="H920" s="139" t="e">
        <f t="shared" ca="1" si="98"/>
        <v>#REF!</v>
      </c>
      <c r="I920" s="137" t="e">
        <f t="shared" ca="1" si="99"/>
        <v>#REF!</v>
      </c>
      <c r="J920" s="117"/>
      <c r="K920" s="116">
        <v>0</v>
      </c>
      <c r="M920" s="136" t="e">
        <f ca="1">OFFSET(INDEX([1]Composições!I:R,MATCH([1]Orçamentária!I920,[1]Composições!I:I,0),8),2,0)</f>
        <v>#REF!</v>
      </c>
      <c r="N920" t="e">
        <v>#REF!</v>
      </c>
      <c r="Q920" t="e">
        <v>#REF!</v>
      </c>
    </row>
    <row r="921" spans="1:19" hidden="1" x14ac:dyDescent="0.25">
      <c r="A921" s="114" t="s">
        <v>807</v>
      </c>
      <c r="B921" s="115" t="s">
        <v>5515</v>
      </c>
      <c r="C921" s="116" t="s">
        <v>28</v>
      </c>
      <c r="D921" s="116">
        <v>0</v>
      </c>
      <c r="E921" s="136">
        <f ca="1">OFFSET(INDEX(Composições!A:J,MATCH(Orçamentária!A921,Composições!A:A,0),8),2,0)</f>
        <v>10.595050750000002</v>
      </c>
      <c r="F921" s="137">
        <f t="shared" ca="1" si="97"/>
        <v>0</v>
      </c>
      <c r="G921" s="138" t="e">
        <f>IF(A921&lt;&gt;"",IF(AND(#REF!="Padrão",$H$4=#REF!),BDI!$B$17,IF(AND(#REF!="Padrão",$H$4=#REF!),BDI!#REF!,IF(AND(#REF!="Diferenciado",$H$4=#REF!),BDI!$E$17,IF(AND(#REF!="Diferenciado",$H$4=#REF!),BDI!#REF!,IF(#REF!="ZERO",0))))),"")</f>
        <v>#REF!</v>
      </c>
      <c r="H921" s="139" t="e">
        <f t="shared" ca="1" si="98"/>
        <v>#REF!</v>
      </c>
      <c r="I921" s="137" t="e">
        <f t="shared" ca="1" si="99"/>
        <v>#REF!</v>
      </c>
      <c r="J921" s="117"/>
      <c r="K921" s="116">
        <v>0</v>
      </c>
      <c r="M921" s="136" t="e">
        <f ca="1">OFFSET(INDEX([1]Composições!I:R,MATCH([1]Orçamentária!I921,[1]Composições!I:I,0),8),2,0)</f>
        <v>#REF!</v>
      </c>
      <c r="N921" t="e">
        <v>#REF!</v>
      </c>
      <c r="Q921" t="e">
        <v>#REF!</v>
      </c>
    </row>
    <row r="922" spans="1:19" hidden="1" x14ac:dyDescent="0.25">
      <c r="A922" s="114" t="s">
        <v>808</v>
      </c>
      <c r="B922" s="115" t="s">
        <v>5516</v>
      </c>
      <c r="C922" s="116" t="s">
        <v>28</v>
      </c>
      <c r="D922" s="116">
        <v>0</v>
      </c>
      <c r="E922" s="136">
        <f ca="1">OFFSET(INDEX(Composições!A:J,MATCH(Orçamentária!A922,Composições!A:A,0),8),2,0)</f>
        <v>10.294354850000001</v>
      </c>
      <c r="F922" s="137">
        <f t="shared" ca="1" si="97"/>
        <v>0</v>
      </c>
      <c r="G922" s="138" t="e">
        <f>IF(A922&lt;&gt;"",IF(AND(#REF!="Padrão",$H$4=#REF!),BDI!$B$17,IF(AND(#REF!="Padrão",$H$4=#REF!),BDI!#REF!,IF(AND(#REF!="Diferenciado",$H$4=#REF!),BDI!$E$17,IF(AND(#REF!="Diferenciado",$H$4=#REF!),BDI!#REF!,IF(#REF!="ZERO",0))))),"")</f>
        <v>#REF!</v>
      </c>
      <c r="H922" s="139" t="e">
        <f t="shared" ca="1" si="98"/>
        <v>#REF!</v>
      </c>
      <c r="I922" s="137" t="e">
        <f t="shared" ca="1" si="99"/>
        <v>#REF!</v>
      </c>
      <c r="J922" s="117"/>
      <c r="K922" s="116">
        <v>0</v>
      </c>
      <c r="M922" s="136" t="e">
        <f ca="1">OFFSET(INDEX([1]Composições!I:R,MATCH([1]Orçamentária!I922,[1]Composições!I:I,0),8),2,0)</f>
        <v>#REF!</v>
      </c>
      <c r="N922" t="e">
        <v>#REF!</v>
      </c>
      <c r="Q922" t="e">
        <v>#REF!</v>
      </c>
    </row>
    <row r="923" spans="1:19" hidden="1" x14ac:dyDescent="0.25">
      <c r="A923" s="114" t="s">
        <v>809</v>
      </c>
      <c r="B923" s="115" t="s">
        <v>2472</v>
      </c>
      <c r="C923" s="116" t="s">
        <v>16</v>
      </c>
      <c r="D923" s="116">
        <v>0</v>
      </c>
      <c r="E923" s="136">
        <f ca="1">OFFSET(INDEX(Composições!A:J,MATCH(Orçamentária!A923,Composições!A:A,0),8),2,0)</f>
        <v>24.907575000000001</v>
      </c>
      <c r="F923" s="137">
        <f t="shared" ca="1" si="97"/>
        <v>0</v>
      </c>
      <c r="G923" s="138" t="e">
        <f>IF(A923&lt;&gt;"",IF(AND(#REF!="Padrão",$H$4=#REF!),BDI!$B$17,IF(AND(#REF!="Padrão",$H$4=#REF!),BDI!#REF!,IF(AND(#REF!="Diferenciado",$H$4=#REF!),BDI!$E$17,IF(AND(#REF!="Diferenciado",$H$4=#REF!),BDI!#REF!,IF(#REF!="ZERO",0))))),"")</f>
        <v>#REF!</v>
      </c>
      <c r="H923" s="139" t="e">
        <f t="shared" ca="1" si="98"/>
        <v>#REF!</v>
      </c>
      <c r="I923" s="137" t="e">
        <f t="shared" ca="1" si="99"/>
        <v>#REF!</v>
      </c>
      <c r="J923" s="117"/>
      <c r="K923" s="116">
        <v>0</v>
      </c>
      <c r="M923" s="136" t="e">
        <f ca="1">OFFSET(INDEX([1]Composições!I:R,MATCH([1]Orçamentária!I923,[1]Composições!I:I,0),8),2,0)</f>
        <v>#REF!</v>
      </c>
      <c r="N923" t="e">
        <v>#REF!</v>
      </c>
      <c r="Q923" t="e">
        <v>#REF!</v>
      </c>
    </row>
    <row r="924" spans="1:19" x14ac:dyDescent="0.25">
      <c r="A924" s="172" t="s">
        <v>810</v>
      </c>
      <c r="B924" s="173" t="s">
        <v>2473</v>
      </c>
      <c r="C924" s="174" t="s">
        <v>80</v>
      </c>
      <c r="D924" s="174">
        <v>24</v>
      </c>
      <c r="E924" s="136">
        <f ca="1">OFFSET(INDEX(Composições!A:J,MATCH(Orçamentária!A924,Composições!A:A,0),8),2,0)</f>
        <v>80.012077999999988</v>
      </c>
      <c r="F924" s="137">
        <f t="shared" ca="1" si="97"/>
        <v>1920.2898719999998</v>
      </c>
      <c r="G924" s="138">
        <f>BDI!$B$17</f>
        <v>0.191</v>
      </c>
      <c r="H924" s="139">
        <f t="shared" ca="1" si="98"/>
        <v>95.29</v>
      </c>
      <c r="I924" s="137">
        <f t="shared" ca="1" si="99"/>
        <v>2286.96</v>
      </c>
      <c r="J924" s="117"/>
      <c r="K924" s="253">
        <v>24</v>
      </c>
      <c r="L924" s="236" t="str">
        <f t="shared" ref="L924:L925" si="100">IF(D924&lt;&gt;K924,"ERRO","-")</f>
        <v>-</v>
      </c>
      <c r="M924" s="136">
        <f ca="1">OFFSET(INDEX(Composições!A:S,MATCH(A924,Composições!A:A,0),15),2,0)</f>
        <v>68.490338767999987</v>
      </c>
      <c r="N924" s="237">
        <v>0.191</v>
      </c>
      <c r="O924" s="236">
        <f t="shared" ref="O924:O925" ca="1" si="101">ROUND(M924*(1+N924),2)</f>
        <v>81.569999999999993</v>
      </c>
      <c r="P924" s="238">
        <f t="shared" ref="P924:P925" ca="1" si="102">ROUND(K924*O924,2)</f>
        <v>1957.68</v>
      </c>
      <c r="Q924" s="236">
        <v>1957.68</v>
      </c>
      <c r="R924" s="236">
        <f t="shared" ref="R924:R925" ca="1" si="103">P924-Q924</f>
        <v>0</v>
      </c>
      <c r="S924" s="239">
        <f t="shared" ref="S924:S925" ca="1" si="104">IF(ISNUMBER(O924),1-P924/$I924,"")</f>
        <v>0.14398153006611392</v>
      </c>
    </row>
    <row r="925" spans="1:19" x14ac:dyDescent="0.25">
      <c r="A925" s="172" t="s">
        <v>811</v>
      </c>
      <c r="B925" s="173" t="s">
        <v>2474</v>
      </c>
      <c r="C925" s="174" t="s">
        <v>80</v>
      </c>
      <c r="D925" s="174">
        <v>12</v>
      </c>
      <c r="E925" s="136">
        <f ca="1">OFFSET(INDEX(Composições!A:J,MATCH(Orçamentária!A925,Composições!A:A,0),8),2,0)</f>
        <v>28.403945499999999</v>
      </c>
      <c r="F925" s="137">
        <f t="shared" ca="1" si="97"/>
        <v>340.84734600000002</v>
      </c>
      <c r="G925" s="138">
        <f>BDI!$B$17</f>
        <v>0.191</v>
      </c>
      <c r="H925" s="139">
        <f t="shared" ca="1" si="98"/>
        <v>33.83</v>
      </c>
      <c r="I925" s="137">
        <f t="shared" ca="1" si="99"/>
        <v>405.96</v>
      </c>
      <c r="J925" s="117"/>
      <c r="K925" s="253">
        <v>12</v>
      </c>
      <c r="L925" s="236" t="str">
        <f t="shared" si="100"/>
        <v>-</v>
      </c>
      <c r="M925" s="136">
        <f ca="1">OFFSET(INDEX(Composições!A:S,MATCH(A925,Composições!A:A,0),15),2,0)</f>
        <v>24.313777347999999</v>
      </c>
      <c r="N925" s="237">
        <v>0.191</v>
      </c>
      <c r="O925" s="236">
        <f t="shared" ca="1" si="101"/>
        <v>28.96</v>
      </c>
      <c r="P925" s="238">
        <f t="shared" ca="1" si="102"/>
        <v>347.52</v>
      </c>
      <c r="Q925" s="236">
        <v>347.52</v>
      </c>
      <c r="R925" s="236">
        <f t="shared" ca="1" si="103"/>
        <v>0</v>
      </c>
      <c r="S925" s="239">
        <f t="shared" ca="1" si="104"/>
        <v>0.14395506946497194</v>
      </c>
    </row>
    <row r="926" spans="1:19" hidden="1" x14ac:dyDescent="0.25">
      <c r="A926" s="114" t="s">
        <v>817</v>
      </c>
      <c r="B926" s="115" t="s">
        <v>2475</v>
      </c>
      <c r="C926" s="116" t="s">
        <v>80</v>
      </c>
      <c r="D926" s="116">
        <v>0</v>
      </c>
      <c r="E926" s="136">
        <f ca="1">OFFSET(INDEX(Composições!A:J,MATCH(Orçamentária!A926,Composições!A:A,0),8),2,0)</f>
        <v>218.15851774999999</v>
      </c>
      <c r="F926" s="137">
        <f t="shared" ca="1" si="97"/>
        <v>0</v>
      </c>
      <c r="G926" s="138" t="e">
        <f>IF(A926&lt;&gt;"",IF(AND(#REF!="Padrão",$H$4=#REF!),BDI!$B$17,IF(AND(#REF!="Padrão",$H$4=#REF!),BDI!#REF!,IF(AND(#REF!="Diferenciado",$H$4=#REF!),BDI!$E$17,IF(AND(#REF!="Diferenciado",$H$4=#REF!),BDI!#REF!,IF(#REF!="ZERO",0))))),"")</f>
        <v>#REF!</v>
      </c>
      <c r="H926" s="139" t="e">
        <f t="shared" ca="1" si="98"/>
        <v>#REF!</v>
      </c>
      <c r="I926" s="137" t="e">
        <f t="shared" ca="1" si="99"/>
        <v>#REF!</v>
      </c>
      <c r="J926" s="117"/>
      <c r="K926" s="116">
        <v>0</v>
      </c>
      <c r="M926" s="136" t="e">
        <f ca="1">OFFSET(INDEX([1]Composições!I:R,MATCH([1]Orçamentária!I926,[1]Composições!I:I,0),8),2,0)</f>
        <v>#REF!</v>
      </c>
      <c r="N926" t="e">
        <v>#REF!</v>
      </c>
      <c r="Q926" t="e">
        <v>#REF!</v>
      </c>
    </row>
    <row r="927" spans="1:19" hidden="1" x14ac:dyDescent="0.25">
      <c r="A927" s="114" t="s">
        <v>822</v>
      </c>
      <c r="B927" s="115" t="s">
        <v>5513</v>
      </c>
      <c r="C927" s="116" t="s">
        <v>69</v>
      </c>
      <c r="D927" s="116">
        <v>0</v>
      </c>
      <c r="E927" s="136">
        <f ca="1">OFFSET(INDEX(Composições!A:J,MATCH(Orçamentária!A927,Composições!A:A,0),8),2,0)</f>
        <v>64.188189249999994</v>
      </c>
      <c r="F927" s="137">
        <f t="shared" ca="1" si="97"/>
        <v>0</v>
      </c>
      <c r="G927" s="138" t="e">
        <f>IF(A927&lt;&gt;"",IF(AND(#REF!="Padrão",$H$4=#REF!),BDI!$B$17,IF(AND(#REF!="Padrão",$H$4=#REF!),BDI!#REF!,IF(AND(#REF!="Diferenciado",$H$4=#REF!),BDI!$E$17,IF(AND(#REF!="Diferenciado",$H$4=#REF!),BDI!#REF!,IF(#REF!="ZERO",0))))),"")</f>
        <v>#REF!</v>
      </c>
      <c r="H927" s="139" t="e">
        <f t="shared" ca="1" si="98"/>
        <v>#REF!</v>
      </c>
      <c r="I927" s="137" t="e">
        <f t="shared" ca="1" si="99"/>
        <v>#REF!</v>
      </c>
      <c r="J927" s="117"/>
      <c r="K927" s="116">
        <v>0</v>
      </c>
      <c r="M927" s="136" t="e">
        <f ca="1">OFFSET(INDEX([1]Composições!I:R,MATCH([1]Orçamentária!I927,[1]Composições!I:I,0),8),2,0)</f>
        <v>#REF!</v>
      </c>
      <c r="N927" t="e">
        <v>#REF!</v>
      </c>
      <c r="Q927" t="e">
        <v>#REF!</v>
      </c>
    </row>
    <row r="928" spans="1:19" hidden="1" x14ac:dyDescent="0.25">
      <c r="A928" s="114" t="s">
        <v>826</v>
      </c>
      <c r="B928" s="115" t="s">
        <v>2476</v>
      </c>
      <c r="C928" s="116" t="s">
        <v>69</v>
      </c>
      <c r="D928" s="116">
        <v>0</v>
      </c>
      <c r="E928" s="136">
        <f ca="1">OFFSET(INDEX(Composições!A:J,MATCH(Orçamentária!A928,Composições!A:A,0),8),2,0)</f>
        <v>80.379352749999995</v>
      </c>
      <c r="F928" s="137">
        <f t="shared" ca="1" si="97"/>
        <v>0</v>
      </c>
      <c r="G928" s="138" t="e">
        <f>IF(A928&lt;&gt;"",IF(AND(#REF!="Padrão",$H$4=#REF!),BDI!$B$17,IF(AND(#REF!="Padrão",$H$4=#REF!),BDI!#REF!,IF(AND(#REF!="Diferenciado",$H$4=#REF!),BDI!$E$17,IF(AND(#REF!="Diferenciado",$H$4=#REF!),BDI!#REF!,IF(#REF!="ZERO",0))))),"")</f>
        <v>#REF!</v>
      </c>
      <c r="H928" s="139" t="e">
        <f t="shared" ca="1" si="98"/>
        <v>#REF!</v>
      </c>
      <c r="I928" s="137" t="e">
        <f t="shared" ca="1" si="99"/>
        <v>#REF!</v>
      </c>
      <c r="J928" s="117"/>
      <c r="K928" s="116">
        <v>0</v>
      </c>
      <c r="M928" s="136" t="e">
        <f ca="1">OFFSET(INDEX([1]Composições!I:R,MATCH([1]Orçamentária!I928,[1]Composições!I:I,0),8),2,0)</f>
        <v>#REF!</v>
      </c>
      <c r="N928" t="e">
        <v>#REF!</v>
      </c>
      <c r="Q928" t="e">
        <v>#REF!</v>
      </c>
    </row>
    <row r="929" spans="1:19" hidden="1" x14ac:dyDescent="0.25">
      <c r="A929" s="114" t="s">
        <v>828</v>
      </c>
      <c r="B929" s="115" t="s">
        <v>5514</v>
      </c>
      <c r="C929" s="116" t="s">
        <v>69</v>
      </c>
      <c r="D929" s="116">
        <v>0</v>
      </c>
      <c r="E929" s="136">
        <f ca="1">OFFSET(INDEX(Composições!A:J,MATCH(Orçamentária!A929,Composições!A:A,0),8),2,0)</f>
        <v>146.22259209999999</v>
      </c>
      <c r="F929" s="137">
        <f t="shared" ca="1" si="97"/>
        <v>0</v>
      </c>
      <c r="G929" s="138" t="e">
        <f>IF(A929&lt;&gt;"",IF(AND(#REF!="Padrão",$H$4=#REF!),BDI!$B$17,IF(AND(#REF!="Padrão",$H$4=#REF!),BDI!#REF!,IF(AND(#REF!="Diferenciado",$H$4=#REF!),BDI!$E$17,IF(AND(#REF!="Diferenciado",$H$4=#REF!),BDI!#REF!,IF(#REF!="ZERO",0))))),"")</f>
        <v>#REF!</v>
      </c>
      <c r="H929" s="139" t="e">
        <f t="shared" ca="1" si="98"/>
        <v>#REF!</v>
      </c>
      <c r="I929" s="137" t="e">
        <f t="shared" ca="1" si="99"/>
        <v>#REF!</v>
      </c>
      <c r="J929" s="117"/>
      <c r="K929" s="116">
        <v>0</v>
      </c>
      <c r="M929" s="136" t="e">
        <f ca="1">OFFSET(INDEX([1]Composições!I:R,MATCH([1]Orçamentária!I929,[1]Composições!I:I,0),8),2,0)</f>
        <v>#REF!</v>
      </c>
      <c r="N929" t="e">
        <v>#REF!</v>
      </c>
      <c r="Q929" t="e">
        <v>#REF!</v>
      </c>
    </row>
    <row r="930" spans="1:19" hidden="1" x14ac:dyDescent="0.25">
      <c r="A930" s="114" t="s">
        <v>830</v>
      </c>
      <c r="B930" s="115" t="s">
        <v>5517</v>
      </c>
      <c r="C930" s="116" t="s">
        <v>16</v>
      </c>
      <c r="D930" s="116">
        <v>0</v>
      </c>
      <c r="E930" s="136">
        <f ca="1">OFFSET(INDEX(Composições!A:J,MATCH(Orçamentária!A930,Composições!A:A,0),8),2,0)</f>
        <v>678.33500939999999</v>
      </c>
      <c r="F930" s="137">
        <f t="shared" ca="1" si="97"/>
        <v>0</v>
      </c>
      <c r="G930" s="138" t="e">
        <f>IF(A930&lt;&gt;"",IF(AND(#REF!="Padrão",$H$4=#REF!),BDI!$B$17,IF(AND(#REF!="Padrão",$H$4=#REF!),BDI!#REF!,IF(AND(#REF!="Diferenciado",$H$4=#REF!),BDI!$E$17,IF(AND(#REF!="Diferenciado",$H$4=#REF!),BDI!#REF!,IF(#REF!="ZERO",0))))),"")</f>
        <v>#REF!</v>
      </c>
      <c r="H930" s="139" t="e">
        <f t="shared" ca="1" si="98"/>
        <v>#REF!</v>
      </c>
      <c r="I930" s="137" t="e">
        <f t="shared" ca="1" si="99"/>
        <v>#REF!</v>
      </c>
      <c r="J930" s="117"/>
      <c r="K930" s="116">
        <v>0</v>
      </c>
      <c r="M930" s="136" t="e">
        <f ca="1">OFFSET(INDEX([1]Composições!I:R,MATCH([1]Orçamentária!I930,[1]Composições!I:I,0),8),2,0)</f>
        <v>#REF!</v>
      </c>
      <c r="N930" t="e">
        <v>#REF!</v>
      </c>
      <c r="Q930" t="e">
        <v>#REF!</v>
      </c>
    </row>
    <row r="931" spans="1:19" hidden="1" x14ac:dyDescent="0.25">
      <c r="A931" s="114" t="s">
        <v>831</v>
      </c>
      <c r="B931" s="115" t="s">
        <v>2477</v>
      </c>
      <c r="C931" s="116" t="s">
        <v>16</v>
      </c>
      <c r="D931" s="116">
        <v>0</v>
      </c>
      <c r="E931" s="136">
        <f ca="1">OFFSET(INDEX(Composições!A:J,MATCH(Orçamentária!A931,Composições!A:A,0),8),2,0)</f>
        <v>2.0225499999999998</v>
      </c>
      <c r="F931" s="137">
        <f t="shared" ca="1" si="97"/>
        <v>0</v>
      </c>
      <c r="G931" s="138" t="e">
        <f>IF(A931&lt;&gt;"",IF(AND(#REF!="Padrão",$H$4=#REF!),BDI!$B$17,IF(AND(#REF!="Padrão",$H$4=#REF!),BDI!#REF!,IF(AND(#REF!="Diferenciado",$H$4=#REF!),BDI!$E$17,IF(AND(#REF!="Diferenciado",$H$4=#REF!),BDI!#REF!,IF(#REF!="ZERO",0))))),"")</f>
        <v>#REF!</v>
      </c>
      <c r="H931" s="139" t="e">
        <f t="shared" ca="1" si="98"/>
        <v>#REF!</v>
      </c>
      <c r="I931" s="137" t="e">
        <f t="shared" ca="1" si="99"/>
        <v>#REF!</v>
      </c>
      <c r="J931" s="117"/>
      <c r="K931" s="116">
        <v>0</v>
      </c>
      <c r="M931" s="136" t="e">
        <f ca="1">OFFSET(INDEX([1]Composições!I:R,MATCH([1]Orçamentária!I931,[1]Composições!I:I,0),8),2,0)</f>
        <v>#REF!</v>
      </c>
      <c r="N931" t="e">
        <v>#REF!</v>
      </c>
      <c r="Q931" t="e">
        <v>#REF!</v>
      </c>
    </row>
    <row r="932" spans="1:19" hidden="1" x14ac:dyDescent="0.25">
      <c r="A932" s="114" t="s">
        <v>833</v>
      </c>
      <c r="B932" s="115" t="s">
        <v>2478</v>
      </c>
      <c r="C932" s="116" t="s">
        <v>16</v>
      </c>
      <c r="D932" s="116">
        <v>0</v>
      </c>
      <c r="E932" s="136">
        <f ca="1">OFFSET(INDEX(Composições!A:J,MATCH(Orçamentária!A932,Composições!A:A,0),8),2,0)</f>
        <v>12.915136949999999</v>
      </c>
      <c r="F932" s="137">
        <f t="shared" ca="1" si="97"/>
        <v>0</v>
      </c>
      <c r="G932" s="138" t="e">
        <f>IF(A932&lt;&gt;"",IF(AND(#REF!="Padrão",$H$4=#REF!),BDI!$B$17,IF(AND(#REF!="Padrão",$H$4=#REF!),BDI!#REF!,IF(AND(#REF!="Diferenciado",$H$4=#REF!),BDI!$E$17,IF(AND(#REF!="Diferenciado",$H$4=#REF!),BDI!#REF!,IF(#REF!="ZERO",0))))),"")</f>
        <v>#REF!</v>
      </c>
      <c r="H932" s="139" t="e">
        <f t="shared" ca="1" si="98"/>
        <v>#REF!</v>
      </c>
      <c r="I932" s="137" t="e">
        <f t="shared" ca="1" si="99"/>
        <v>#REF!</v>
      </c>
      <c r="J932" s="117"/>
      <c r="K932" s="116">
        <v>0</v>
      </c>
      <c r="M932" s="136" t="e">
        <f ca="1">OFFSET(INDEX([1]Composições!I:R,MATCH([1]Orçamentária!I932,[1]Composições!I:I,0),8),2,0)</f>
        <v>#REF!</v>
      </c>
      <c r="N932" t="e">
        <v>#REF!</v>
      </c>
      <c r="Q932" t="e">
        <v>#REF!</v>
      </c>
    </row>
    <row r="933" spans="1:19" hidden="1" x14ac:dyDescent="0.25">
      <c r="A933" s="114" t="s">
        <v>835</v>
      </c>
      <c r="B933" s="115" t="s">
        <v>3496</v>
      </c>
      <c r="C933" s="116" t="s">
        <v>69</v>
      </c>
      <c r="D933" s="116">
        <v>0</v>
      </c>
      <c r="E933" s="136">
        <f ca="1">OFFSET(INDEX(Composições!A:J,MATCH(Orçamentária!A933,Composições!A:A,0),8),2,0)</f>
        <v>3.1980420000000001</v>
      </c>
      <c r="F933" s="137">
        <f t="shared" ca="1" si="97"/>
        <v>0</v>
      </c>
      <c r="G933" s="138" t="e">
        <f>IF(A933&lt;&gt;"",IF(AND(#REF!="Padrão",$H$4=#REF!),BDI!$B$17,IF(AND(#REF!="Padrão",$H$4=#REF!),BDI!#REF!,IF(AND(#REF!="Diferenciado",$H$4=#REF!),BDI!$E$17,IF(AND(#REF!="Diferenciado",$H$4=#REF!),BDI!#REF!,IF(#REF!="ZERO",0))))),"")</f>
        <v>#REF!</v>
      </c>
      <c r="H933" s="139" t="e">
        <f t="shared" ca="1" si="98"/>
        <v>#REF!</v>
      </c>
      <c r="I933" s="137" t="e">
        <f t="shared" ca="1" si="99"/>
        <v>#REF!</v>
      </c>
      <c r="J933" s="117"/>
      <c r="K933" s="116">
        <v>0</v>
      </c>
      <c r="M933" s="136" t="e">
        <f ca="1">OFFSET(INDEX([1]Composições!I:R,MATCH([1]Orçamentária!I933,[1]Composições!I:I,0),8),2,0)</f>
        <v>#REF!</v>
      </c>
      <c r="N933" t="e">
        <v>#REF!</v>
      </c>
      <c r="Q933" t="e">
        <v>#REF!</v>
      </c>
    </row>
    <row r="934" spans="1:19" x14ac:dyDescent="0.25">
      <c r="A934" s="172" t="s">
        <v>837</v>
      </c>
      <c r="B934" s="173" t="s">
        <v>3497</v>
      </c>
      <c r="C934" s="174" t="s">
        <v>69</v>
      </c>
      <c r="D934" s="174">
        <v>122</v>
      </c>
      <c r="E934" s="136">
        <f ca="1">OFFSET(INDEX(Composições!A:J,MATCH(Orçamentária!A934,Composições!A:A,0),8),2,0)</f>
        <v>52.212085499999986</v>
      </c>
      <c r="F934" s="137">
        <f t="shared" ca="1" si="97"/>
        <v>6369.8744309999984</v>
      </c>
      <c r="G934" s="138">
        <f>BDI!$B$17</f>
        <v>0.191</v>
      </c>
      <c r="H934" s="139">
        <f t="shared" ca="1" si="98"/>
        <v>62.18</v>
      </c>
      <c r="I934" s="137">
        <f t="shared" ca="1" si="99"/>
        <v>7585.96</v>
      </c>
      <c r="J934" s="117"/>
      <c r="K934" s="253">
        <v>122</v>
      </c>
      <c r="L934" s="236" t="str">
        <f>IF(D934&lt;&gt;K934,"ERRO","-")</f>
        <v>-</v>
      </c>
      <c r="M934" s="136">
        <f ca="1">OFFSET(INDEX(Composições!A:S,MATCH(A934,Composições!A:A,0),15),2,0)</f>
        <v>44.693545187999995</v>
      </c>
      <c r="N934" s="237">
        <v>0.191</v>
      </c>
      <c r="O934" s="236">
        <f ca="1">ROUND(M934*(1+N934),2)</f>
        <v>53.23</v>
      </c>
      <c r="P934" s="238">
        <f ca="1">ROUND(K934*O934,2)</f>
        <v>6494.06</v>
      </c>
      <c r="Q934" s="236">
        <v>6494.06</v>
      </c>
      <c r="R934" s="236">
        <f ca="1">P934-Q934</f>
        <v>0</v>
      </c>
      <c r="S934" s="239">
        <f ca="1">IF(ISNUMBER(O934),1-P934/$I934,"")</f>
        <v>0.14393695722097133</v>
      </c>
    </row>
    <row r="935" spans="1:19" hidden="1" x14ac:dyDescent="0.25">
      <c r="A935" s="114" t="s">
        <v>839</v>
      </c>
      <c r="B935" s="115" t="s">
        <v>3498</v>
      </c>
      <c r="C935" s="116" t="s">
        <v>69</v>
      </c>
      <c r="D935" s="116">
        <v>0</v>
      </c>
      <c r="E935" s="136">
        <f ca="1">OFFSET(INDEX(Composições!A:J,MATCH(Orçamentária!A935,Composições!A:A,0),8),2,0)</f>
        <v>4.3346789999999995</v>
      </c>
      <c r="F935" s="137">
        <f t="shared" ca="1" si="97"/>
        <v>0</v>
      </c>
      <c r="G935" s="138" t="e">
        <f>IF(A935&lt;&gt;"",IF(AND(#REF!="Padrão",$H$4=#REF!),BDI!$B$17,IF(AND(#REF!="Padrão",$H$4=#REF!),BDI!#REF!,IF(AND(#REF!="Diferenciado",$H$4=#REF!),BDI!$E$17,IF(AND(#REF!="Diferenciado",$H$4=#REF!),BDI!#REF!,IF(#REF!="ZERO",0))))),"")</f>
        <v>#REF!</v>
      </c>
      <c r="H935" s="139" t="e">
        <f t="shared" ca="1" si="98"/>
        <v>#REF!</v>
      </c>
      <c r="I935" s="137" t="e">
        <f t="shared" ca="1" si="99"/>
        <v>#REF!</v>
      </c>
      <c r="J935" s="117"/>
      <c r="K935" s="116">
        <v>0</v>
      </c>
      <c r="M935" s="136" t="e">
        <f ca="1">OFFSET(INDEX([1]Composições!I:R,MATCH([1]Orçamentária!I935,[1]Composições!I:I,0),8),2,0)</f>
        <v>#REF!</v>
      </c>
      <c r="N935" t="e">
        <v>#REF!</v>
      </c>
      <c r="Q935" t="e">
        <v>#REF!</v>
      </c>
    </row>
    <row r="936" spans="1:19" x14ac:dyDescent="0.25">
      <c r="A936" s="172" t="s">
        <v>841</v>
      </c>
      <c r="B936" s="173" t="s">
        <v>3499</v>
      </c>
      <c r="C936" s="174" t="s">
        <v>69</v>
      </c>
      <c r="D936" s="174">
        <v>504</v>
      </c>
      <c r="E936" s="136">
        <f ca="1">OFFSET(INDEX(Composições!A:J,MATCH(Orçamentária!A936,Composições!A:A,0),8),2,0)</f>
        <v>97.560800999999969</v>
      </c>
      <c r="F936" s="137">
        <f t="shared" ca="1" si="97"/>
        <v>49170.643703999987</v>
      </c>
      <c r="G936" s="138">
        <f>BDI!$B$17</f>
        <v>0.191</v>
      </c>
      <c r="H936" s="139">
        <f t="shared" ca="1" si="98"/>
        <v>116.19</v>
      </c>
      <c r="I936" s="137">
        <f t="shared" ca="1" si="99"/>
        <v>58559.76</v>
      </c>
      <c r="J936" s="117"/>
      <c r="K936" s="253">
        <v>504</v>
      </c>
      <c r="L936" s="236" t="str">
        <f>IF(D936&lt;&gt;K936,"ERRO","-")</f>
        <v>-</v>
      </c>
      <c r="M936" s="136">
        <f ca="1">OFFSET(INDEX(Composições!A:S,MATCH(A936,Composições!A:A,0),15),2,0)</f>
        <v>83.51204565599997</v>
      </c>
      <c r="N936" s="237">
        <v>0.191</v>
      </c>
      <c r="O936" s="236">
        <f ca="1">ROUND(M936*(1+N936),2)</f>
        <v>99.46</v>
      </c>
      <c r="P936" s="238">
        <f ca="1">ROUND(K936*O936,2)</f>
        <v>50127.839999999997</v>
      </c>
      <c r="Q936" s="236">
        <v>50127.839999999997</v>
      </c>
      <c r="R936" s="236">
        <f ca="1">P936-Q936</f>
        <v>0</v>
      </c>
      <c r="S936" s="239">
        <f ca="1">IF(ISNUMBER(O936),1-P936/$I936,"")</f>
        <v>0.14398829503399613</v>
      </c>
    </row>
    <row r="937" spans="1:19" hidden="1" x14ac:dyDescent="0.25">
      <c r="A937" s="114" t="s">
        <v>843</v>
      </c>
      <c r="B937" s="115" t="s">
        <v>3500</v>
      </c>
      <c r="C937" s="116" t="s">
        <v>69</v>
      </c>
      <c r="D937" s="116">
        <v>0</v>
      </c>
      <c r="E937" s="136">
        <f ca="1">OFFSET(INDEX(Composições!A:J,MATCH(Orçamentária!A937,Composições!A:A,0),8),2,0)</f>
        <v>6.3608580000000003</v>
      </c>
      <c r="F937" s="137">
        <f t="shared" ca="1" si="97"/>
        <v>0</v>
      </c>
      <c r="G937" s="138" t="e">
        <f>IF(A937&lt;&gt;"",IF(AND(#REF!="Padrão",$H$4=#REF!),BDI!$B$17,IF(AND(#REF!="Padrão",$H$4=#REF!),BDI!#REF!,IF(AND(#REF!="Diferenciado",$H$4=#REF!),BDI!$E$17,IF(AND(#REF!="Diferenciado",$H$4=#REF!),BDI!#REF!,IF(#REF!="ZERO",0))))),"")</f>
        <v>#REF!</v>
      </c>
      <c r="H937" s="139" t="e">
        <f t="shared" ca="1" si="98"/>
        <v>#REF!</v>
      </c>
      <c r="I937" s="137" t="e">
        <f t="shared" ca="1" si="99"/>
        <v>#REF!</v>
      </c>
      <c r="J937" s="117"/>
      <c r="K937" s="116">
        <v>0</v>
      </c>
      <c r="M937" s="136" t="e">
        <f ca="1">OFFSET(INDEX([1]Composições!I:R,MATCH([1]Orçamentária!I937,[1]Composições!I:I,0),8),2,0)</f>
        <v>#REF!</v>
      </c>
      <c r="N937" t="e">
        <v>#REF!</v>
      </c>
      <c r="Q937" t="e">
        <v>#REF!</v>
      </c>
    </row>
    <row r="938" spans="1:19" hidden="1" x14ac:dyDescent="0.25">
      <c r="A938" s="114" t="s">
        <v>845</v>
      </c>
      <c r="B938" s="115" t="s">
        <v>3501</v>
      </c>
      <c r="C938" s="116" t="s">
        <v>69</v>
      </c>
      <c r="D938" s="116">
        <v>0</v>
      </c>
      <c r="E938" s="136">
        <f ca="1">OFFSET(INDEX(Composições!A:J,MATCH(Orçamentária!A938,Composições!A:A,0),8),2,0)</f>
        <v>7.5469140000000001</v>
      </c>
      <c r="F938" s="137">
        <f t="shared" ca="1" si="97"/>
        <v>0</v>
      </c>
      <c r="G938" s="138" t="e">
        <f>IF(A938&lt;&gt;"",IF(AND(#REF!="Padrão",$H$4=#REF!),BDI!$B$17,IF(AND(#REF!="Padrão",$H$4=#REF!),BDI!#REF!,IF(AND(#REF!="Diferenciado",$H$4=#REF!),BDI!$E$17,IF(AND(#REF!="Diferenciado",$H$4=#REF!),BDI!#REF!,IF(#REF!="ZERO",0))))),"")</f>
        <v>#REF!</v>
      </c>
      <c r="H938" s="139" t="e">
        <f t="shared" ca="1" si="98"/>
        <v>#REF!</v>
      </c>
      <c r="I938" s="137" t="e">
        <f t="shared" ca="1" si="99"/>
        <v>#REF!</v>
      </c>
      <c r="J938" s="117"/>
      <c r="K938" s="116">
        <v>0</v>
      </c>
      <c r="M938" s="136" t="e">
        <f ca="1">OFFSET(INDEX([1]Composições!I:R,MATCH([1]Orçamentária!I938,[1]Composições!I:I,0),8),2,0)</f>
        <v>#REF!</v>
      </c>
      <c r="N938" t="e">
        <v>#REF!</v>
      </c>
      <c r="Q938" t="e">
        <v>#REF!</v>
      </c>
    </row>
    <row r="939" spans="1:19" hidden="1" x14ac:dyDescent="0.25">
      <c r="A939" s="114" t="s">
        <v>847</v>
      </c>
      <c r="B939" s="115" t="s">
        <v>3502</v>
      </c>
      <c r="C939" s="116" t="s">
        <v>69</v>
      </c>
      <c r="D939" s="116">
        <v>0</v>
      </c>
      <c r="E939" s="136">
        <f ca="1">OFFSET(INDEX(Composições!A:J,MATCH(Orçamentária!A939,Composições!A:A,0),8),2,0)</f>
        <v>8.8812270000000009</v>
      </c>
      <c r="F939" s="137">
        <f t="shared" ca="1" si="97"/>
        <v>0</v>
      </c>
      <c r="G939" s="138" t="e">
        <f>IF(A939&lt;&gt;"",IF(AND(#REF!="Padrão",$H$4=#REF!),BDI!$B$17,IF(AND(#REF!="Padrão",$H$4=#REF!),BDI!#REF!,IF(AND(#REF!="Diferenciado",$H$4=#REF!),BDI!$E$17,IF(AND(#REF!="Diferenciado",$H$4=#REF!),BDI!#REF!,IF(#REF!="ZERO",0))))),"")</f>
        <v>#REF!</v>
      </c>
      <c r="H939" s="139" t="e">
        <f t="shared" ca="1" si="98"/>
        <v>#REF!</v>
      </c>
      <c r="I939" s="137" t="e">
        <f t="shared" ca="1" si="99"/>
        <v>#REF!</v>
      </c>
      <c r="J939" s="117"/>
      <c r="K939" s="116">
        <v>0</v>
      </c>
      <c r="M939" s="136" t="e">
        <f ca="1">OFFSET(INDEX([1]Composições!I:R,MATCH([1]Orçamentária!I939,[1]Composições!I:I,0),8),2,0)</f>
        <v>#REF!</v>
      </c>
      <c r="N939" t="e">
        <v>#REF!</v>
      </c>
      <c r="Q939" t="e">
        <v>#REF!</v>
      </c>
    </row>
    <row r="940" spans="1:19" hidden="1" x14ac:dyDescent="0.25">
      <c r="A940" s="114" t="s">
        <v>849</v>
      </c>
      <c r="B940" s="115" t="s">
        <v>3503</v>
      </c>
      <c r="C940" s="116" t="s">
        <v>69</v>
      </c>
      <c r="D940" s="116">
        <v>0</v>
      </c>
      <c r="E940" s="136">
        <f ca="1">OFFSET(INDEX(Composições!A:J,MATCH(Orçamentária!A940,Composições!A:A,0),8),2,0)</f>
        <v>10.512053999999999</v>
      </c>
      <c r="F940" s="137">
        <f t="shared" ca="1" si="97"/>
        <v>0</v>
      </c>
      <c r="G940" s="138" t="e">
        <f>IF(A940&lt;&gt;"",IF(AND(#REF!="Padrão",$H$4=#REF!),BDI!$B$17,IF(AND(#REF!="Padrão",$H$4=#REF!),BDI!#REF!,IF(AND(#REF!="Diferenciado",$H$4=#REF!),BDI!$E$17,IF(AND(#REF!="Diferenciado",$H$4=#REF!),BDI!#REF!,IF(#REF!="ZERO",0))))),"")</f>
        <v>#REF!</v>
      </c>
      <c r="H940" s="139" t="e">
        <f t="shared" ca="1" si="98"/>
        <v>#REF!</v>
      </c>
      <c r="I940" s="137" t="e">
        <f t="shared" ca="1" si="99"/>
        <v>#REF!</v>
      </c>
      <c r="J940" s="117"/>
      <c r="K940" s="116">
        <v>0</v>
      </c>
      <c r="M940" s="136" t="e">
        <f ca="1">OFFSET(INDEX([1]Composições!I:R,MATCH([1]Orçamentária!I940,[1]Composições!I:I,0),8),2,0)</f>
        <v>#REF!</v>
      </c>
      <c r="N940" t="e">
        <v>#REF!</v>
      </c>
      <c r="Q940" t="e">
        <v>#REF!</v>
      </c>
    </row>
    <row r="941" spans="1:19" hidden="1" x14ac:dyDescent="0.25">
      <c r="A941" s="114" t="s">
        <v>851</v>
      </c>
      <c r="B941" s="115" t="s">
        <v>3504</v>
      </c>
      <c r="C941" s="116" t="s">
        <v>69</v>
      </c>
      <c r="D941" s="116">
        <v>0</v>
      </c>
      <c r="E941" s="136">
        <f ca="1">OFFSET(INDEX(Composições!A:J,MATCH(Orçamentária!A941,Composições!A:A,0),8),2,0)</f>
        <v>13.032423000000001</v>
      </c>
      <c r="F941" s="137">
        <f t="shared" ca="1" si="97"/>
        <v>0</v>
      </c>
      <c r="G941" s="138" t="e">
        <f>IF(A941&lt;&gt;"",IF(AND(#REF!="Padrão",$H$4=#REF!),BDI!$B$17,IF(AND(#REF!="Padrão",$H$4=#REF!),BDI!#REF!,IF(AND(#REF!="Diferenciado",$H$4=#REF!),BDI!$E$17,IF(AND(#REF!="Diferenciado",$H$4=#REF!),BDI!#REF!,IF(#REF!="ZERO",0))))),"")</f>
        <v>#REF!</v>
      </c>
      <c r="H941" s="139" t="e">
        <f t="shared" ca="1" si="98"/>
        <v>#REF!</v>
      </c>
      <c r="I941" s="137" t="e">
        <f t="shared" ca="1" si="99"/>
        <v>#REF!</v>
      </c>
      <c r="J941" s="117"/>
      <c r="K941" s="116">
        <v>0</v>
      </c>
      <c r="M941" s="136" t="e">
        <f ca="1">OFFSET(INDEX([1]Composições!I:R,MATCH([1]Orçamentária!I941,[1]Composições!I:I,0),8),2,0)</f>
        <v>#REF!</v>
      </c>
      <c r="N941" t="e">
        <v>#REF!</v>
      </c>
      <c r="Q941" t="e">
        <v>#REF!</v>
      </c>
    </row>
    <row r="942" spans="1:19" hidden="1" x14ac:dyDescent="0.25">
      <c r="A942" s="114" t="s">
        <v>853</v>
      </c>
      <c r="B942" s="115" t="s">
        <v>2479</v>
      </c>
      <c r="C942" s="116" t="s">
        <v>70</v>
      </c>
      <c r="D942" s="116">
        <v>0</v>
      </c>
      <c r="E942" s="136">
        <f ca="1">OFFSET(INDEX(Composições!A:J,MATCH(Orçamentária!A942,Composições!A:A,0),8),2,0)</f>
        <v>9.3777926085699974</v>
      </c>
      <c r="F942" s="137">
        <f t="shared" ca="1" si="97"/>
        <v>0</v>
      </c>
      <c r="G942" s="138" t="e">
        <f>IF(A942&lt;&gt;"",IF(AND(#REF!="Padrão",$H$4=#REF!),BDI!$B$17,IF(AND(#REF!="Padrão",$H$4=#REF!),BDI!#REF!,IF(AND(#REF!="Diferenciado",$H$4=#REF!),BDI!$E$17,IF(AND(#REF!="Diferenciado",$H$4=#REF!),BDI!#REF!,IF(#REF!="ZERO",0))))),"")</f>
        <v>#REF!</v>
      </c>
      <c r="H942" s="139" t="e">
        <f t="shared" ca="1" si="98"/>
        <v>#REF!</v>
      </c>
      <c r="I942" s="137" t="e">
        <f t="shared" ca="1" si="99"/>
        <v>#REF!</v>
      </c>
      <c r="J942" s="117"/>
      <c r="K942" s="116">
        <v>0</v>
      </c>
      <c r="M942" s="136" t="e">
        <f ca="1">OFFSET(INDEX([1]Composições!I:R,MATCH([1]Orçamentária!I942,[1]Composições!I:I,0),8),2,0)</f>
        <v>#REF!</v>
      </c>
      <c r="N942" t="e">
        <v>#REF!</v>
      </c>
      <c r="Q942" t="e">
        <v>#REF!</v>
      </c>
    </row>
    <row r="943" spans="1:19" hidden="1" x14ac:dyDescent="0.25">
      <c r="A943" s="114" t="s">
        <v>857</v>
      </c>
      <c r="B943" s="115" t="s">
        <v>2480</v>
      </c>
      <c r="C943" s="116" t="s">
        <v>69</v>
      </c>
      <c r="D943" s="116">
        <v>0</v>
      </c>
      <c r="E943" s="136">
        <f ca="1">OFFSET(INDEX(Composições!A:J,MATCH(Orçamentária!A943,Composições!A:A,0),8),2,0)</f>
        <v>17.356632281799996</v>
      </c>
      <c r="F943" s="137">
        <f t="shared" ca="1" si="97"/>
        <v>0</v>
      </c>
      <c r="G943" s="138" t="e">
        <f>IF(A943&lt;&gt;"",IF(AND(#REF!="Padrão",$H$4=#REF!),BDI!$B$17,IF(AND(#REF!="Padrão",$H$4=#REF!),BDI!#REF!,IF(AND(#REF!="Diferenciado",$H$4=#REF!),BDI!$E$17,IF(AND(#REF!="Diferenciado",$H$4=#REF!),BDI!#REF!,IF(#REF!="ZERO",0))))),"")</f>
        <v>#REF!</v>
      </c>
      <c r="H943" s="139" t="e">
        <f t="shared" ca="1" si="98"/>
        <v>#REF!</v>
      </c>
      <c r="I943" s="137" t="e">
        <f t="shared" ca="1" si="99"/>
        <v>#REF!</v>
      </c>
      <c r="J943" s="117"/>
      <c r="K943" s="116">
        <v>0</v>
      </c>
      <c r="M943" s="136" t="e">
        <f ca="1">OFFSET(INDEX([1]Composições!I:R,MATCH([1]Orçamentária!I943,[1]Composições!I:I,0),8),2,0)</f>
        <v>#REF!</v>
      </c>
      <c r="N943" t="e">
        <v>#REF!</v>
      </c>
      <c r="Q943" t="e">
        <v>#REF!</v>
      </c>
    </row>
    <row r="944" spans="1:19" hidden="1" x14ac:dyDescent="0.25">
      <c r="A944" s="114" t="s">
        <v>2481</v>
      </c>
      <c r="B944" s="115" t="s">
        <v>2482</v>
      </c>
      <c r="C944" s="116" t="s">
        <v>16</v>
      </c>
      <c r="D944" s="116">
        <v>0</v>
      </c>
      <c r="E944" s="136" t="s">
        <v>416</v>
      </c>
      <c r="F944" s="137" t="str">
        <f t="shared" si="97"/>
        <v/>
      </c>
      <c r="G944" s="138" t="e">
        <f>IF(A944&lt;&gt;"",IF(AND(#REF!="Padrão",$H$4=#REF!),BDI!$B$17,IF(AND(#REF!="Padrão",$H$4=#REF!),BDI!#REF!,IF(AND(#REF!="Diferenciado",$H$4=#REF!),BDI!$E$17,IF(AND(#REF!="Diferenciado",$H$4=#REF!),BDI!#REF!,IF(#REF!="ZERO",0))))),"")</f>
        <v>#REF!</v>
      </c>
      <c r="H944" s="139" t="str">
        <f t="shared" si="98"/>
        <v/>
      </c>
      <c r="I944" s="137" t="str">
        <f t="shared" si="99"/>
        <v/>
      </c>
      <c r="J944" s="117"/>
      <c r="K944" s="116">
        <v>0</v>
      </c>
      <c r="M944" s="136" t="s">
        <v>416</v>
      </c>
      <c r="N944" t="e">
        <v>#REF!</v>
      </c>
      <c r="Q944" t="s">
        <v>416</v>
      </c>
    </row>
    <row r="945" spans="1:17" hidden="1" x14ac:dyDescent="0.25">
      <c r="A945" s="114" t="s">
        <v>858</v>
      </c>
      <c r="B945" s="115" t="s">
        <v>5457</v>
      </c>
      <c r="C945" s="116" t="s">
        <v>1334</v>
      </c>
      <c r="D945" s="116">
        <v>0</v>
      </c>
      <c r="E945" s="136">
        <f ca="1">OFFSET(INDEX(Composições!A:J,MATCH(Orçamentária!A945,Composições!A:A,0),8),2,0)</f>
        <v>4.6523342999999997</v>
      </c>
      <c r="F945" s="137">
        <f t="shared" ca="1" si="97"/>
        <v>0</v>
      </c>
      <c r="G945" s="138" t="e">
        <f>IF(A945&lt;&gt;"",IF(AND(#REF!="Padrão",$H$4=#REF!),BDI!$B$17,IF(AND(#REF!="Padrão",$H$4=#REF!),BDI!#REF!,IF(AND(#REF!="Diferenciado",$H$4=#REF!),BDI!$E$17,IF(AND(#REF!="Diferenciado",$H$4=#REF!),BDI!#REF!,IF(#REF!="ZERO",0))))),"")</f>
        <v>#REF!</v>
      </c>
      <c r="H945" s="139" t="e">
        <f t="shared" ca="1" si="98"/>
        <v>#REF!</v>
      </c>
      <c r="I945" s="137" t="e">
        <f t="shared" ca="1" si="99"/>
        <v>#REF!</v>
      </c>
      <c r="J945" s="117"/>
      <c r="K945" s="116">
        <v>0</v>
      </c>
      <c r="M945" s="136" t="e">
        <f ca="1">OFFSET(INDEX([1]Composições!I:R,MATCH([1]Orçamentária!I945,[1]Composições!I:I,0),8),2,0)</f>
        <v>#REF!</v>
      </c>
      <c r="N945" t="e">
        <v>#REF!</v>
      </c>
      <c r="Q945" t="e">
        <v>#REF!</v>
      </c>
    </row>
    <row r="946" spans="1:17" hidden="1" x14ac:dyDescent="0.25">
      <c r="A946" s="114" t="s">
        <v>2483</v>
      </c>
      <c r="B946" s="115" t="s">
        <v>2484</v>
      </c>
      <c r="C946" s="116" t="s">
        <v>2373</v>
      </c>
      <c r="D946" s="116">
        <v>0</v>
      </c>
      <c r="E946" s="136" t="s">
        <v>416</v>
      </c>
      <c r="F946" s="137" t="str">
        <f t="shared" si="97"/>
        <v/>
      </c>
      <c r="G946" s="138" t="e">
        <f>IF(A946&lt;&gt;"",IF(AND(#REF!="Padrão",$H$4=#REF!),BDI!$B$17,IF(AND(#REF!="Padrão",$H$4=#REF!),BDI!#REF!,IF(AND(#REF!="Diferenciado",$H$4=#REF!),BDI!$E$17,IF(AND(#REF!="Diferenciado",$H$4=#REF!),BDI!#REF!,IF(#REF!="ZERO",0))))),"")</f>
        <v>#REF!</v>
      </c>
      <c r="H946" s="139" t="str">
        <f t="shared" si="98"/>
        <v/>
      </c>
      <c r="I946" s="137" t="str">
        <f t="shared" si="99"/>
        <v/>
      </c>
      <c r="J946" s="117"/>
      <c r="K946" s="116">
        <v>0</v>
      </c>
      <c r="M946" s="136" t="s">
        <v>416</v>
      </c>
      <c r="N946" t="e">
        <v>#REF!</v>
      </c>
      <c r="Q946" t="s">
        <v>416</v>
      </c>
    </row>
    <row r="947" spans="1:17" hidden="1" x14ac:dyDescent="0.25">
      <c r="A947" s="114" t="s">
        <v>864</v>
      </c>
      <c r="B947" s="115" t="s">
        <v>2485</v>
      </c>
      <c r="C947" s="116" t="s">
        <v>16</v>
      </c>
      <c r="D947" s="116">
        <v>0</v>
      </c>
      <c r="E947" s="136">
        <f ca="1">OFFSET(INDEX(Composições!A:J,MATCH(Orçamentária!A947,Composições!A:A,0),8),2,0)</f>
        <v>174.82374999999999</v>
      </c>
      <c r="F947" s="137">
        <f t="shared" ca="1" si="97"/>
        <v>0</v>
      </c>
      <c r="G947" s="138" t="e">
        <f>IF(A947&lt;&gt;"",IF(AND(#REF!="Padrão",$H$4=#REF!),BDI!$B$17,IF(AND(#REF!="Padrão",$H$4=#REF!),BDI!#REF!,IF(AND(#REF!="Diferenciado",$H$4=#REF!),BDI!$E$17,IF(AND(#REF!="Diferenciado",$H$4=#REF!),BDI!#REF!,IF(#REF!="ZERO",0))))),"")</f>
        <v>#REF!</v>
      </c>
      <c r="H947" s="139" t="e">
        <f t="shared" ca="1" si="98"/>
        <v>#REF!</v>
      </c>
      <c r="I947" s="137" t="e">
        <f t="shared" ca="1" si="99"/>
        <v>#REF!</v>
      </c>
      <c r="J947" s="117"/>
      <c r="K947" s="116">
        <v>0</v>
      </c>
      <c r="M947" s="136" t="e">
        <f ca="1">OFFSET(INDEX([1]Composições!I:R,MATCH([1]Orçamentária!I947,[1]Composições!I:I,0),8),2,0)</f>
        <v>#REF!</v>
      </c>
      <c r="N947" t="e">
        <v>#REF!</v>
      </c>
      <c r="Q947" t="e">
        <v>#REF!</v>
      </c>
    </row>
    <row r="948" spans="1:17" hidden="1" x14ac:dyDescent="0.25">
      <c r="A948" s="114" t="s">
        <v>865</v>
      </c>
      <c r="B948" s="115" t="s">
        <v>2486</v>
      </c>
      <c r="C948" s="116" t="s">
        <v>16</v>
      </c>
      <c r="D948" s="116">
        <v>0</v>
      </c>
      <c r="E948" s="136">
        <f ca="1">OFFSET(INDEX(Composições!A:J,MATCH(Orçamentária!A948,Composições!A:A,0),8),2,0)</f>
        <v>7.3193785499999997</v>
      </c>
      <c r="F948" s="137">
        <f t="shared" ca="1" si="97"/>
        <v>0</v>
      </c>
      <c r="G948" s="138" t="e">
        <f>IF(A948&lt;&gt;"",IF(AND(#REF!="Padrão",$H$4=#REF!),BDI!$B$17,IF(AND(#REF!="Padrão",$H$4=#REF!),BDI!#REF!,IF(AND(#REF!="Diferenciado",$H$4=#REF!),BDI!$E$17,IF(AND(#REF!="Diferenciado",$H$4=#REF!),BDI!#REF!,IF(#REF!="ZERO",0))))),"")</f>
        <v>#REF!</v>
      </c>
      <c r="H948" s="139" t="e">
        <f t="shared" ca="1" si="98"/>
        <v>#REF!</v>
      </c>
      <c r="I948" s="137" t="e">
        <f t="shared" ca="1" si="99"/>
        <v>#REF!</v>
      </c>
      <c r="J948" s="117"/>
      <c r="K948" s="116">
        <v>0</v>
      </c>
      <c r="M948" s="136" t="e">
        <f ca="1">OFFSET(INDEX([1]Composições!I:R,MATCH([1]Orçamentária!I948,[1]Composições!I:I,0),8),2,0)</f>
        <v>#REF!</v>
      </c>
      <c r="N948" t="e">
        <v>#REF!</v>
      </c>
      <c r="Q948" t="e">
        <v>#REF!</v>
      </c>
    </row>
    <row r="949" spans="1:17" hidden="1" x14ac:dyDescent="0.25">
      <c r="A949" s="114" t="s">
        <v>867</v>
      </c>
      <c r="B949" s="115" t="s">
        <v>2487</v>
      </c>
      <c r="C949" s="116" t="s">
        <v>16</v>
      </c>
      <c r="D949" s="116">
        <v>0</v>
      </c>
      <c r="E949" s="136">
        <f ca="1">OFFSET(INDEX(Composições!A:J,MATCH(Orçamentária!A949,Composições!A:A,0),8),2,0)</f>
        <v>5.4435950000000002</v>
      </c>
      <c r="F949" s="137">
        <f t="shared" ca="1" si="97"/>
        <v>0</v>
      </c>
      <c r="G949" s="138" t="e">
        <f>IF(A949&lt;&gt;"",IF(AND(#REF!="Padrão",$H$4=#REF!),BDI!$B$17,IF(AND(#REF!="Padrão",$H$4=#REF!),BDI!#REF!,IF(AND(#REF!="Diferenciado",$H$4=#REF!),BDI!$E$17,IF(AND(#REF!="Diferenciado",$H$4=#REF!),BDI!#REF!,IF(#REF!="ZERO",0))))),"")</f>
        <v>#REF!</v>
      </c>
      <c r="H949" s="139" t="e">
        <f t="shared" ca="1" si="98"/>
        <v>#REF!</v>
      </c>
      <c r="I949" s="137" t="e">
        <f t="shared" ca="1" si="99"/>
        <v>#REF!</v>
      </c>
      <c r="J949" s="117"/>
      <c r="K949" s="116">
        <v>0</v>
      </c>
      <c r="M949" s="136" t="e">
        <f ca="1">OFFSET(INDEX([1]Composições!I:R,MATCH([1]Orçamentária!I949,[1]Composições!I:I,0),8),2,0)</f>
        <v>#REF!</v>
      </c>
      <c r="N949" t="e">
        <v>#REF!</v>
      </c>
      <c r="Q949" t="e">
        <v>#REF!</v>
      </c>
    </row>
    <row r="950" spans="1:17" hidden="1" x14ac:dyDescent="0.25">
      <c r="A950" s="114" t="s">
        <v>2488</v>
      </c>
      <c r="B950" s="115" t="s">
        <v>2489</v>
      </c>
      <c r="C950" s="116" t="s">
        <v>16</v>
      </c>
      <c r="D950" s="116">
        <v>0</v>
      </c>
      <c r="E950" s="136" t="s">
        <v>416</v>
      </c>
      <c r="F950" s="137" t="str">
        <f t="shared" si="97"/>
        <v/>
      </c>
      <c r="G950" s="138" t="e">
        <f>IF(A950&lt;&gt;"",IF(AND(#REF!="Padrão",$H$4=#REF!),BDI!$B$17,IF(AND(#REF!="Padrão",$H$4=#REF!),BDI!#REF!,IF(AND(#REF!="Diferenciado",$H$4=#REF!),BDI!$E$17,IF(AND(#REF!="Diferenciado",$H$4=#REF!),BDI!#REF!,IF(#REF!="ZERO",0))))),"")</f>
        <v>#REF!</v>
      </c>
      <c r="H950" s="139" t="str">
        <f t="shared" si="98"/>
        <v/>
      </c>
      <c r="I950" s="137" t="str">
        <f t="shared" si="99"/>
        <v/>
      </c>
      <c r="J950" s="117"/>
      <c r="K950" s="116">
        <v>0</v>
      </c>
      <c r="M950" s="136" t="s">
        <v>416</v>
      </c>
      <c r="N950" t="e">
        <v>#REF!</v>
      </c>
      <c r="Q950" t="s">
        <v>416</v>
      </c>
    </row>
    <row r="951" spans="1:17" hidden="1" x14ac:dyDescent="0.25">
      <c r="A951" s="114" t="s">
        <v>869</v>
      </c>
      <c r="B951" s="115" t="s">
        <v>7684</v>
      </c>
      <c r="C951" s="116" t="s">
        <v>16</v>
      </c>
      <c r="D951" s="116">
        <v>0</v>
      </c>
      <c r="E951" s="136">
        <f ca="1">OFFSET(INDEX(Composições!A:J,MATCH(Orçamentária!A951,Composições!A:A,0),8),2,0)</f>
        <v>283.45571341458941</v>
      </c>
      <c r="F951" s="137">
        <f t="shared" ca="1" si="97"/>
        <v>0</v>
      </c>
      <c r="G951" s="138" t="e">
        <f>IF(A951&lt;&gt;"",IF(AND(#REF!="Padrão",$H$4=#REF!),BDI!$B$17,IF(AND(#REF!="Padrão",$H$4=#REF!),BDI!#REF!,IF(AND(#REF!="Diferenciado",$H$4=#REF!),BDI!$E$17,IF(AND(#REF!="Diferenciado",$H$4=#REF!),BDI!#REF!,IF(#REF!="ZERO",0))))),"")</f>
        <v>#REF!</v>
      </c>
      <c r="H951" s="139" t="e">
        <f t="shared" ca="1" si="98"/>
        <v>#REF!</v>
      </c>
      <c r="I951" s="137" t="e">
        <f t="shared" ca="1" si="99"/>
        <v>#REF!</v>
      </c>
      <c r="J951" s="117"/>
      <c r="K951" s="116">
        <v>0</v>
      </c>
      <c r="M951" s="136" t="e">
        <f ca="1">OFFSET(INDEX([1]Composições!I:R,MATCH([1]Orçamentária!I951,[1]Composições!I:I,0),8),2,0)</f>
        <v>#REF!</v>
      </c>
      <c r="N951" t="e">
        <v>#REF!</v>
      </c>
      <c r="Q951" t="e">
        <v>#REF!</v>
      </c>
    </row>
    <row r="952" spans="1:17" hidden="1" x14ac:dyDescent="0.25">
      <c r="A952" s="114" t="s">
        <v>872</v>
      </c>
      <c r="B952" s="115" t="s">
        <v>2490</v>
      </c>
      <c r="C952" s="116" t="s">
        <v>2491</v>
      </c>
      <c r="D952" s="116">
        <v>0</v>
      </c>
      <c r="E952" s="136">
        <f ca="1">OFFSET(INDEX(Composições!A:J,MATCH(Orçamentária!A952,Composições!A:A,0),8),2,0)</f>
        <v>108.16699999999999</v>
      </c>
      <c r="F952" s="137">
        <f t="shared" ca="1" si="97"/>
        <v>0</v>
      </c>
      <c r="G952" s="138" t="e">
        <f>IF(A952&lt;&gt;"",IF(AND(#REF!="Padrão",$H$4=#REF!),BDI!$B$17,IF(AND(#REF!="Padrão",$H$4=#REF!),BDI!#REF!,IF(AND(#REF!="Diferenciado",$H$4=#REF!),BDI!$E$17,IF(AND(#REF!="Diferenciado",$H$4=#REF!),BDI!#REF!,IF(#REF!="ZERO",0))))),"")</f>
        <v>#REF!</v>
      </c>
      <c r="H952" s="139" t="e">
        <f t="shared" ca="1" si="98"/>
        <v>#REF!</v>
      </c>
      <c r="I952" s="137" t="e">
        <f t="shared" ca="1" si="99"/>
        <v>#REF!</v>
      </c>
      <c r="J952" s="117"/>
      <c r="K952" s="116">
        <v>0</v>
      </c>
      <c r="M952" s="136" t="e">
        <f ca="1">OFFSET(INDEX([1]Composições!I:R,MATCH([1]Orçamentária!I952,[1]Composições!I:I,0),8),2,0)</f>
        <v>#REF!</v>
      </c>
      <c r="N952" t="e">
        <v>#REF!</v>
      </c>
      <c r="Q952" t="e">
        <v>#REF!</v>
      </c>
    </row>
    <row r="953" spans="1:17" hidden="1" x14ac:dyDescent="0.25">
      <c r="A953" s="114" t="s">
        <v>873</v>
      </c>
      <c r="B953" s="115" t="s">
        <v>2492</v>
      </c>
      <c r="C953" s="116" t="s">
        <v>2493</v>
      </c>
      <c r="D953" s="116">
        <v>0</v>
      </c>
      <c r="E953" s="136">
        <f ca="1">OFFSET(INDEX(Composições!A:J,MATCH(Orçamentária!A953,Composições!A:A,0),8),2,0)</f>
        <v>581.4855</v>
      </c>
      <c r="F953" s="137">
        <f t="shared" ca="1" si="97"/>
        <v>0</v>
      </c>
      <c r="G953" s="138" t="e">
        <f>IF(A953&lt;&gt;"",IF(AND(#REF!="Padrão",$H$4=#REF!),BDI!$B$17,IF(AND(#REF!="Padrão",$H$4=#REF!),BDI!#REF!,IF(AND(#REF!="Diferenciado",$H$4=#REF!),BDI!$E$17,IF(AND(#REF!="Diferenciado",$H$4=#REF!),BDI!#REF!,IF(#REF!="ZERO",0))))),"")</f>
        <v>#REF!</v>
      </c>
      <c r="H953" s="139" t="e">
        <f t="shared" ca="1" si="98"/>
        <v>#REF!</v>
      </c>
      <c r="I953" s="137" t="e">
        <f t="shared" ca="1" si="99"/>
        <v>#REF!</v>
      </c>
      <c r="J953" s="117"/>
      <c r="K953" s="116">
        <v>0</v>
      </c>
      <c r="M953" s="136" t="e">
        <f ca="1">OFFSET(INDEX([1]Composições!I:R,MATCH([1]Orçamentária!I953,[1]Composições!I:I,0),8),2,0)</f>
        <v>#REF!</v>
      </c>
      <c r="N953" t="e">
        <v>#REF!</v>
      </c>
      <c r="Q953" t="e">
        <v>#REF!</v>
      </c>
    </row>
    <row r="954" spans="1:17" hidden="1" x14ac:dyDescent="0.25">
      <c r="A954" s="114" t="s">
        <v>2494</v>
      </c>
      <c r="B954" s="115" t="s">
        <v>2495</v>
      </c>
      <c r="C954" s="116" t="s">
        <v>2493</v>
      </c>
      <c r="D954" s="116">
        <v>0</v>
      </c>
      <c r="E954" s="136" t="s">
        <v>416</v>
      </c>
      <c r="F954" s="137" t="str">
        <f t="shared" si="97"/>
        <v/>
      </c>
      <c r="G954" s="138" t="e">
        <f>IF(A954&lt;&gt;"",IF(AND(#REF!="Padrão",$H$4=#REF!),BDI!$B$17,IF(AND(#REF!="Padrão",$H$4=#REF!),BDI!#REF!,IF(AND(#REF!="Diferenciado",$H$4=#REF!),BDI!$E$17,IF(AND(#REF!="Diferenciado",$H$4=#REF!),BDI!#REF!,IF(#REF!="ZERO",0))))),"")</f>
        <v>#REF!</v>
      </c>
      <c r="H954" s="139" t="str">
        <f t="shared" si="98"/>
        <v/>
      </c>
      <c r="I954" s="137" t="str">
        <f t="shared" si="99"/>
        <v/>
      </c>
      <c r="J954" s="117"/>
      <c r="K954" s="116">
        <v>0</v>
      </c>
      <c r="M954" s="136" t="s">
        <v>416</v>
      </c>
      <c r="N954" t="e">
        <v>#REF!</v>
      </c>
      <c r="Q954" t="s">
        <v>416</v>
      </c>
    </row>
    <row r="955" spans="1:17" hidden="1" x14ac:dyDescent="0.25">
      <c r="A955" s="114" t="s">
        <v>875</v>
      </c>
      <c r="B955" s="115" t="s">
        <v>2496</v>
      </c>
      <c r="C955" s="116" t="s">
        <v>70</v>
      </c>
      <c r="D955" s="116">
        <v>0</v>
      </c>
      <c r="E955" s="136">
        <f ca="1">OFFSET(INDEX(Composições!A:J,MATCH(Orçamentária!A955,Composições!A:A,0),8),2,0)</f>
        <v>1.8466669999999996</v>
      </c>
      <c r="F955" s="137">
        <f t="shared" ca="1" si="97"/>
        <v>0</v>
      </c>
      <c r="G955" s="138" t="e">
        <f>IF(A955&lt;&gt;"",IF(AND(#REF!="Padrão",$H$4=#REF!),BDI!$B$17,IF(AND(#REF!="Padrão",$H$4=#REF!),BDI!#REF!,IF(AND(#REF!="Diferenciado",$H$4=#REF!),BDI!$E$17,IF(AND(#REF!="Diferenciado",$H$4=#REF!),BDI!#REF!,IF(#REF!="ZERO",0))))),"")</f>
        <v>#REF!</v>
      </c>
      <c r="H955" s="139" t="e">
        <f t="shared" ca="1" si="98"/>
        <v>#REF!</v>
      </c>
      <c r="I955" s="137" t="e">
        <f t="shared" ca="1" si="99"/>
        <v>#REF!</v>
      </c>
      <c r="J955" s="117"/>
      <c r="K955" s="116">
        <v>0</v>
      </c>
      <c r="M955" s="136" t="e">
        <f ca="1">OFFSET(INDEX([1]Composições!I:R,MATCH([1]Orçamentária!I955,[1]Composições!I:I,0),8),2,0)</f>
        <v>#REF!</v>
      </c>
      <c r="N955" t="e">
        <v>#REF!</v>
      </c>
      <c r="Q955" t="e">
        <v>#REF!</v>
      </c>
    </row>
    <row r="956" spans="1:17" hidden="1" x14ac:dyDescent="0.25">
      <c r="A956" s="114" t="s">
        <v>877</v>
      </c>
      <c r="B956" s="115" t="s">
        <v>2497</v>
      </c>
      <c r="C956" s="116" t="s">
        <v>70</v>
      </c>
      <c r="D956" s="116">
        <v>0</v>
      </c>
      <c r="E956" s="136">
        <f ca="1">OFFSET(INDEX(Composições!A:J,MATCH(Orçamentária!A956,Composições!A:A,0),8),2,0)</f>
        <v>6.7592499999999998</v>
      </c>
      <c r="F956" s="137">
        <f t="shared" ca="1" si="97"/>
        <v>0</v>
      </c>
      <c r="G956" s="138" t="e">
        <f>IF(A956&lt;&gt;"",IF(AND(#REF!="Padrão",$H$4=#REF!),BDI!$B$17,IF(AND(#REF!="Padrão",$H$4=#REF!),BDI!#REF!,IF(AND(#REF!="Diferenciado",$H$4=#REF!),BDI!$E$17,IF(AND(#REF!="Diferenciado",$H$4=#REF!),BDI!#REF!,IF(#REF!="ZERO",0))))),"")</f>
        <v>#REF!</v>
      </c>
      <c r="H956" s="139" t="e">
        <f t="shared" ca="1" si="98"/>
        <v>#REF!</v>
      </c>
      <c r="I956" s="137" t="e">
        <f t="shared" ca="1" si="99"/>
        <v>#REF!</v>
      </c>
      <c r="J956" s="117"/>
      <c r="K956" s="116">
        <v>0</v>
      </c>
      <c r="M956" s="136" t="e">
        <f ca="1">OFFSET(INDEX([1]Composições!I:R,MATCH([1]Orçamentária!I956,[1]Composições!I:I,0),8),2,0)</f>
        <v>#REF!</v>
      </c>
      <c r="N956" t="e">
        <v>#REF!</v>
      </c>
      <c r="Q956" t="e">
        <v>#REF!</v>
      </c>
    </row>
    <row r="957" spans="1:17" hidden="1" x14ac:dyDescent="0.25">
      <c r="A957" s="114" t="s">
        <v>878</v>
      </c>
      <c r="B957" s="115" t="s">
        <v>2498</v>
      </c>
      <c r="C957" s="116" t="s">
        <v>70</v>
      </c>
      <c r="D957" s="116">
        <v>0</v>
      </c>
      <c r="E957" s="136">
        <f ca="1">OFFSET(INDEX(Composições!A:J,MATCH(Orçamentária!A957,Composições!A:A,0),8),2,0)</f>
        <v>25.281874999999996</v>
      </c>
      <c r="F957" s="137">
        <f t="shared" ca="1" si="97"/>
        <v>0</v>
      </c>
      <c r="G957" s="138" t="e">
        <f>IF(A957&lt;&gt;"",IF(AND(#REF!="Padrão",$H$4=#REF!),BDI!$B$17,IF(AND(#REF!="Padrão",$H$4=#REF!),BDI!#REF!,IF(AND(#REF!="Diferenciado",$H$4=#REF!),BDI!$E$17,IF(AND(#REF!="Diferenciado",$H$4=#REF!),BDI!#REF!,IF(#REF!="ZERO",0))))),"")</f>
        <v>#REF!</v>
      </c>
      <c r="H957" s="139" t="e">
        <f t="shared" ca="1" si="98"/>
        <v>#REF!</v>
      </c>
      <c r="I957" s="137" t="e">
        <f t="shared" ca="1" si="99"/>
        <v>#REF!</v>
      </c>
      <c r="J957" s="117"/>
      <c r="K957" s="116">
        <v>0</v>
      </c>
      <c r="M957" s="136" t="e">
        <f ca="1">OFFSET(INDEX([1]Composições!I:R,MATCH([1]Orçamentária!I957,[1]Composições!I:I,0),8),2,0)</f>
        <v>#REF!</v>
      </c>
      <c r="N957" t="e">
        <v>#REF!</v>
      </c>
      <c r="Q957" t="e">
        <v>#REF!</v>
      </c>
    </row>
    <row r="958" spans="1:17" hidden="1" x14ac:dyDescent="0.25">
      <c r="A958" s="114" t="s">
        <v>879</v>
      </c>
      <c r="B958" s="115" t="s">
        <v>2499</v>
      </c>
      <c r="C958" s="116" t="s">
        <v>70</v>
      </c>
      <c r="D958" s="116">
        <v>0</v>
      </c>
      <c r="E958" s="136">
        <f ca="1">OFFSET(INDEX(Composições!A:J,MATCH(Orçamentária!A958,Composições!A:A,0),8),2,0)</f>
        <v>50.121657999999996</v>
      </c>
      <c r="F958" s="137">
        <f t="shared" ca="1" si="97"/>
        <v>0</v>
      </c>
      <c r="G958" s="138" t="e">
        <f>IF(A958&lt;&gt;"",IF(AND(#REF!="Padrão",$H$4=#REF!),BDI!$B$17,IF(AND(#REF!="Padrão",$H$4=#REF!),BDI!#REF!,IF(AND(#REF!="Diferenciado",$H$4=#REF!),BDI!$E$17,IF(AND(#REF!="Diferenciado",$H$4=#REF!),BDI!#REF!,IF(#REF!="ZERO",0))))),"")</f>
        <v>#REF!</v>
      </c>
      <c r="H958" s="139" t="e">
        <f t="shared" ca="1" si="98"/>
        <v>#REF!</v>
      </c>
      <c r="I958" s="137" t="e">
        <f t="shared" ca="1" si="99"/>
        <v>#REF!</v>
      </c>
      <c r="J958" s="117"/>
      <c r="K958" s="116">
        <v>0</v>
      </c>
      <c r="M958" s="136" t="e">
        <f ca="1">OFFSET(INDEX([1]Composições!I:R,MATCH([1]Orçamentária!I958,[1]Composições!I:I,0),8),2,0)</f>
        <v>#REF!</v>
      </c>
      <c r="N958" t="e">
        <v>#REF!</v>
      </c>
      <c r="Q958" t="e">
        <v>#REF!</v>
      </c>
    </row>
    <row r="959" spans="1:17" hidden="1" x14ac:dyDescent="0.25">
      <c r="A959" s="114" t="s">
        <v>882</v>
      </c>
      <c r="B959" s="115" t="s">
        <v>2500</v>
      </c>
      <c r="C959" s="116" t="s">
        <v>70</v>
      </c>
      <c r="D959" s="116">
        <v>0</v>
      </c>
      <c r="E959" s="136">
        <f ca="1">OFFSET(INDEX(Composições!A:J,MATCH(Orçamentária!A959,Composições!A:A,0),8),2,0)</f>
        <v>54.561234949062502</v>
      </c>
      <c r="F959" s="137">
        <f t="shared" ca="1" si="97"/>
        <v>0</v>
      </c>
      <c r="G959" s="138" t="e">
        <f>IF(A959&lt;&gt;"",IF(AND(#REF!="Padrão",$H$4=#REF!),BDI!$B$17,IF(AND(#REF!="Padrão",$H$4=#REF!),BDI!#REF!,IF(AND(#REF!="Diferenciado",$H$4=#REF!),BDI!$E$17,IF(AND(#REF!="Diferenciado",$H$4=#REF!),BDI!#REF!,IF(#REF!="ZERO",0))))),"")</f>
        <v>#REF!</v>
      </c>
      <c r="H959" s="139" t="e">
        <f t="shared" ca="1" si="98"/>
        <v>#REF!</v>
      </c>
      <c r="I959" s="137" t="e">
        <f t="shared" ca="1" si="99"/>
        <v>#REF!</v>
      </c>
      <c r="J959" s="117"/>
      <c r="K959" s="116">
        <v>0</v>
      </c>
      <c r="M959" s="136" t="e">
        <f ca="1">OFFSET(INDEX([1]Composições!I:R,MATCH([1]Orçamentária!I959,[1]Composições!I:I,0),8),2,0)</f>
        <v>#REF!</v>
      </c>
      <c r="N959" t="e">
        <v>#REF!</v>
      </c>
      <c r="Q959" t="e">
        <v>#REF!</v>
      </c>
    </row>
    <row r="960" spans="1:17" hidden="1" x14ac:dyDescent="0.25">
      <c r="A960" s="114" t="s">
        <v>885</v>
      </c>
      <c r="B960" s="115" t="s">
        <v>2501</v>
      </c>
      <c r="C960" s="116" t="s">
        <v>70</v>
      </c>
      <c r="D960" s="116">
        <v>0</v>
      </c>
      <c r="E960" s="136">
        <f ca="1">OFFSET(INDEX(Composições!A:J,MATCH(Orçamentária!A960,Composições!A:A,0),8),2,0)</f>
        <v>68.835583449062497</v>
      </c>
      <c r="F960" s="137">
        <f t="shared" ca="1" si="97"/>
        <v>0</v>
      </c>
      <c r="G960" s="138" t="e">
        <f>IF(A960&lt;&gt;"",IF(AND(#REF!="Padrão",$H$4=#REF!),BDI!$B$17,IF(AND(#REF!="Padrão",$H$4=#REF!),BDI!#REF!,IF(AND(#REF!="Diferenciado",$H$4=#REF!),BDI!$E$17,IF(AND(#REF!="Diferenciado",$H$4=#REF!),BDI!#REF!,IF(#REF!="ZERO",0))))),"")</f>
        <v>#REF!</v>
      </c>
      <c r="H960" s="139" t="e">
        <f t="shared" ca="1" si="98"/>
        <v>#REF!</v>
      </c>
      <c r="I960" s="137" t="e">
        <f t="shared" ca="1" si="99"/>
        <v>#REF!</v>
      </c>
      <c r="J960" s="117"/>
      <c r="K960" s="116">
        <v>0</v>
      </c>
      <c r="M960" s="136" t="e">
        <f ca="1">OFFSET(INDEX([1]Composições!I:R,MATCH([1]Orçamentária!I960,[1]Composições!I:I,0),8),2,0)</f>
        <v>#REF!</v>
      </c>
      <c r="N960" t="e">
        <v>#REF!</v>
      </c>
      <c r="Q960" t="e">
        <v>#REF!</v>
      </c>
    </row>
    <row r="961" spans="1:17" hidden="1" x14ac:dyDescent="0.25">
      <c r="A961" s="114" t="s">
        <v>887</v>
      </c>
      <c r="B961" s="115" t="s">
        <v>2502</v>
      </c>
      <c r="C961" s="116" t="s">
        <v>70</v>
      </c>
      <c r="D961" s="116">
        <v>0</v>
      </c>
      <c r="E961" s="136">
        <f ca="1">OFFSET(INDEX(Composições!A:J,MATCH(Orçamentária!A961,Composições!A:A,0),8),2,0)</f>
        <v>18.905000000000001</v>
      </c>
      <c r="F961" s="137">
        <f t="shared" ca="1" si="97"/>
        <v>0</v>
      </c>
      <c r="G961" s="138" t="e">
        <f>IF(A961&lt;&gt;"",IF(AND(#REF!="Padrão",$H$4=#REF!),BDI!$B$17,IF(AND(#REF!="Padrão",$H$4=#REF!),BDI!#REF!,IF(AND(#REF!="Diferenciado",$H$4=#REF!),BDI!$E$17,IF(AND(#REF!="Diferenciado",$H$4=#REF!),BDI!#REF!,IF(#REF!="ZERO",0))))),"")</f>
        <v>#REF!</v>
      </c>
      <c r="H961" s="139" t="e">
        <f t="shared" ca="1" si="98"/>
        <v>#REF!</v>
      </c>
      <c r="I961" s="137" t="e">
        <f t="shared" ca="1" si="99"/>
        <v>#REF!</v>
      </c>
      <c r="J961" s="117"/>
      <c r="K961" s="116">
        <v>0</v>
      </c>
      <c r="M961" s="136" t="e">
        <f ca="1">OFFSET(INDEX([1]Composições!I:R,MATCH([1]Orçamentária!I961,[1]Composições!I:I,0),8),2,0)</f>
        <v>#REF!</v>
      </c>
      <c r="N961" t="e">
        <v>#REF!</v>
      </c>
      <c r="Q961" t="e">
        <v>#REF!</v>
      </c>
    </row>
    <row r="962" spans="1:17" hidden="1" x14ac:dyDescent="0.25">
      <c r="A962" s="114" t="s">
        <v>888</v>
      </c>
      <c r="B962" s="115" t="s">
        <v>2503</v>
      </c>
      <c r="C962" s="116" t="s">
        <v>70</v>
      </c>
      <c r="D962" s="116">
        <v>0</v>
      </c>
      <c r="E962" s="136">
        <f ca="1">OFFSET(INDEX(Composições!A:J,MATCH(Orçamentária!A962,Composições!A:A,0),8),2,0)</f>
        <v>56.714999999999989</v>
      </c>
      <c r="F962" s="137">
        <f t="shared" ca="1" si="97"/>
        <v>0</v>
      </c>
      <c r="G962" s="138" t="e">
        <f>IF(A962&lt;&gt;"",IF(AND(#REF!="Padrão",$H$4=#REF!),BDI!$B$17,IF(AND(#REF!="Padrão",$H$4=#REF!),BDI!#REF!,IF(AND(#REF!="Diferenciado",$H$4=#REF!),BDI!$E$17,IF(AND(#REF!="Diferenciado",$H$4=#REF!),BDI!#REF!,IF(#REF!="ZERO",0))))),"")</f>
        <v>#REF!</v>
      </c>
      <c r="H962" s="139" t="e">
        <f t="shared" ca="1" si="98"/>
        <v>#REF!</v>
      </c>
      <c r="I962" s="137" t="e">
        <f t="shared" ca="1" si="99"/>
        <v>#REF!</v>
      </c>
      <c r="J962" s="117"/>
      <c r="K962" s="116">
        <v>0</v>
      </c>
      <c r="M962" s="136" t="e">
        <f ca="1">OFFSET(INDEX([1]Composições!I:R,MATCH([1]Orçamentária!I962,[1]Composições!I:I,0),8),2,0)</f>
        <v>#REF!</v>
      </c>
      <c r="N962" t="e">
        <v>#REF!</v>
      </c>
      <c r="Q962" t="e">
        <v>#REF!</v>
      </c>
    </row>
    <row r="963" spans="1:17" hidden="1" x14ac:dyDescent="0.25">
      <c r="A963" s="114" t="s">
        <v>889</v>
      </c>
      <c r="B963" s="115" t="s">
        <v>2504</v>
      </c>
      <c r="C963" s="116" t="s">
        <v>70</v>
      </c>
      <c r="D963" s="116">
        <v>0</v>
      </c>
      <c r="E963" s="136">
        <f ca="1">OFFSET(INDEX(Composições!A:J,MATCH(Orçamentária!A963,Composições!A:A,0),8),2,0)</f>
        <v>8.9428249999999991</v>
      </c>
      <c r="F963" s="137">
        <f t="shared" ca="1" si="97"/>
        <v>0</v>
      </c>
      <c r="G963" s="138" t="e">
        <f>IF(A963&lt;&gt;"",IF(AND(#REF!="Padrão",$H$4=#REF!),BDI!$B$17,IF(AND(#REF!="Padrão",$H$4=#REF!),BDI!#REF!,IF(AND(#REF!="Diferenciado",$H$4=#REF!),BDI!$E$17,IF(AND(#REF!="Diferenciado",$H$4=#REF!),BDI!#REF!,IF(#REF!="ZERO",0))))),"")</f>
        <v>#REF!</v>
      </c>
      <c r="H963" s="139" t="e">
        <f t="shared" ca="1" si="98"/>
        <v>#REF!</v>
      </c>
      <c r="I963" s="137" t="e">
        <f t="shared" ca="1" si="99"/>
        <v>#REF!</v>
      </c>
      <c r="J963" s="117"/>
      <c r="K963" s="116">
        <v>0</v>
      </c>
      <c r="M963" s="136" t="e">
        <f ca="1">OFFSET(INDEX([1]Composições!I:R,MATCH([1]Orçamentária!I963,[1]Composições!I:I,0),8),2,0)</f>
        <v>#REF!</v>
      </c>
      <c r="N963" t="e">
        <v>#REF!</v>
      </c>
      <c r="Q963" t="e">
        <v>#REF!</v>
      </c>
    </row>
    <row r="964" spans="1:17" hidden="1" x14ac:dyDescent="0.25">
      <c r="A964" s="114" t="s">
        <v>890</v>
      </c>
      <c r="B964" s="115" t="s">
        <v>2505</v>
      </c>
      <c r="C964" s="116" t="s">
        <v>70</v>
      </c>
      <c r="D964" s="116">
        <v>0</v>
      </c>
      <c r="E964" s="136">
        <f ca="1">OFFSET(INDEX(Composições!A:J,MATCH(Orçamentária!A964,Composições!A:A,0),8),2,0)</f>
        <v>6.0676499999999987</v>
      </c>
      <c r="F964" s="137">
        <f t="shared" ca="1" si="97"/>
        <v>0</v>
      </c>
      <c r="G964" s="138" t="e">
        <f>IF(A964&lt;&gt;"",IF(AND(#REF!="Padrão",$H$4=#REF!),BDI!$B$17,IF(AND(#REF!="Padrão",$H$4=#REF!),BDI!#REF!,IF(AND(#REF!="Diferenciado",$H$4=#REF!),BDI!$E$17,IF(AND(#REF!="Diferenciado",$H$4=#REF!),BDI!#REF!,IF(#REF!="ZERO",0))))),"")</f>
        <v>#REF!</v>
      </c>
      <c r="H964" s="139" t="e">
        <f t="shared" ca="1" si="98"/>
        <v>#REF!</v>
      </c>
      <c r="I964" s="137" t="e">
        <f t="shared" ca="1" si="99"/>
        <v>#REF!</v>
      </c>
      <c r="J964" s="117"/>
      <c r="K964" s="116">
        <v>0</v>
      </c>
      <c r="M964" s="136" t="e">
        <f ca="1">OFFSET(INDEX([1]Composições!I:R,MATCH([1]Orçamentária!I964,[1]Composições!I:I,0),8),2,0)</f>
        <v>#REF!</v>
      </c>
      <c r="N964" t="e">
        <v>#REF!</v>
      </c>
      <c r="Q964" t="e">
        <v>#REF!</v>
      </c>
    </row>
    <row r="965" spans="1:17" ht="25.5" hidden="1" x14ac:dyDescent="0.25">
      <c r="A965" s="114" t="s">
        <v>891</v>
      </c>
      <c r="B965" s="115" t="s">
        <v>2506</v>
      </c>
      <c r="C965" s="116" t="s">
        <v>16</v>
      </c>
      <c r="D965" s="116">
        <v>0</v>
      </c>
      <c r="E965" s="136">
        <f ca="1">OFFSET(INDEX(Composições!A:J,MATCH(Orçamentária!A965,Composições!A:A,0),8),2,0)</f>
        <v>2.0225499999999998</v>
      </c>
      <c r="F965" s="137">
        <f t="shared" ca="1" si="97"/>
        <v>0</v>
      </c>
      <c r="G965" s="138" t="e">
        <f>IF(A965&lt;&gt;"",IF(AND(#REF!="Padrão",$H$4=#REF!),BDI!$B$17,IF(AND(#REF!="Padrão",$H$4=#REF!),BDI!#REF!,IF(AND(#REF!="Diferenciado",$H$4=#REF!),BDI!$E$17,IF(AND(#REF!="Diferenciado",$H$4=#REF!),BDI!#REF!,IF(#REF!="ZERO",0))))),"")</f>
        <v>#REF!</v>
      </c>
      <c r="H965" s="139" t="e">
        <f t="shared" ca="1" si="98"/>
        <v>#REF!</v>
      </c>
      <c r="I965" s="137" t="e">
        <f t="shared" ca="1" si="99"/>
        <v>#REF!</v>
      </c>
      <c r="J965" s="117"/>
      <c r="K965" s="116">
        <v>0</v>
      </c>
      <c r="M965" s="136" t="e">
        <f ca="1">OFFSET(INDEX([1]Composições!I:R,MATCH([1]Orçamentária!I965,[1]Composições!I:I,0),8),2,0)</f>
        <v>#REF!</v>
      </c>
      <c r="N965" t="e">
        <v>#REF!</v>
      </c>
      <c r="Q965" t="e">
        <v>#REF!</v>
      </c>
    </row>
    <row r="966" spans="1:17" ht="25.5" hidden="1" x14ac:dyDescent="0.25">
      <c r="A966" s="114" t="s">
        <v>892</v>
      </c>
      <c r="B966" s="115" t="s">
        <v>2507</v>
      </c>
      <c r="C966" s="116" t="s">
        <v>16</v>
      </c>
      <c r="D966" s="116">
        <v>0</v>
      </c>
      <c r="E966" s="136">
        <f ca="1">OFFSET(INDEX(Composições!A:J,MATCH(Orçamentária!A966,Composições!A:A,0),8),2,0)</f>
        <v>9.7687871391722965</v>
      </c>
      <c r="F966" s="137">
        <f t="shared" ca="1" si="97"/>
        <v>0</v>
      </c>
      <c r="G966" s="138" t="e">
        <f>IF(A966&lt;&gt;"",IF(AND(#REF!="Padrão",$H$4=#REF!),BDI!$B$17,IF(AND(#REF!="Padrão",$H$4=#REF!),BDI!#REF!,IF(AND(#REF!="Diferenciado",$H$4=#REF!),BDI!$E$17,IF(AND(#REF!="Diferenciado",$H$4=#REF!),BDI!#REF!,IF(#REF!="ZERO",0))))),"")</f>
        <v>#REF!</v>
      </c>
      <c r="H966" s="139" t="e">
        <f t="shared" ca="1" si="98"/>
        <v>#REF!</v>
      </c>
      <c r="I966" s="137" t="e">
        <f t="shared" ca="1" si="99"/>
        <v>#REF!</v>
      </c>
      <c r="J966" s="117"/>
      <c r="K966" s="116">
        <v>0</v>
      </c>
      <c r="M966" s="136" t="e">
        <f ca="1">OFFSET(INDEX([1]Composições!I:R,MATCH([1]Orçamentária!I966,[1]Composições!I:I,0),8),2,0)</f>
        <v>#REF!</v>
      </c>
      <c r="N966" t="e">
        <v>#REF!</v>
      </c>
      <c r="Q966" t="e">
        <v>#REF!</v>
      </c>
    </row>
    <row r="967" spans="1:17" hidden="1" x14ac:dyDescent="0.25">
      <c r="A967" s="114" t="s">
        <v>898</v>
      </c>
      <c r="B967" s="115" t="s">
        <v>2508</v>
      </c>
      <c r="C967" s="116" t="s">
        <v>16</v>
      </c>
      <c r="D967" s="116">
        <v>0</v>
      </c>
      <c r="E967" s="136">
        <f ca="1">OFFSET(INDEX(Composições!A:J,MATCH(Orçamentária!A967,Composições!A:A,0),8),2,0)</f>
        <v>9.7687871391722965</v>
      </c>
      <c r="F967" s="137">
        <f t="shared" ref="F967:F1030" ca="1" si="105">IF(ISNUMBER(E967),D967*E967,"")</f>
        <v>0</v>
      </c>
      <c r="G967" s="138" t="e">
        <f>IF(A967&lt;&gt;"",IF(AND(#REF!="Padrão",$H$4=#REF!),BDI!$B$17,IF(AND(#REF!="Padrão",$H$4=#REF!),BDI!#REF!,IF(AND(#REF!="Diferenciado",$H$4=#REF!),BDI!$E$17,IF(AND(#REF!="Diferenciado",$H$4=#REF!),BDI!#REF!,IF(#REF!="ZERO",0))))),"")</f>
        <v>#REF!</v>
      </c>
      <c r="H967" s="139" t="e">
        <f t="shared" ref="H967:H1030" ca="1" si="106">IF(ISNUMBER(E967),ROUND(E967*(1+G967),2),"")</f>
        <v>#REF!</v>
      </c>
      <c r="I967" s="137" t="e">
        <f t="shared" ref="I967:I1030" ca="1" si="107">IF(ISNUMBER(E967),ROUND(H967*D967,2),"")</f>
        <v>#REF!</v>
      </c>
      <c r="J967" s="117"/>
      <c r="K967" s="116">
        <v>0</v>
      </c>
      <c r="M967" s="136" t="e">
        <f ca="1">OFFSET(INDEX([1]Composições!I:R,MATCH([1]Orçamentária!I967,[1]Composições!I:I,0),8),2,0)</f>
        <v>#REF!</v>
      </c>
      <c r="N967" t="e">
        <v>#REF!</v>
      </c>
      <c r="Q967" t="e">
        <v>#REF!</v>
      </c>
    </row>
    <row r="968" spans="1:17" hidden="1" x14ac:dyDescent="0.25">
      <c r="A968" s="114" t="s">
        <v>2509</v>
      </c>
      <c r="B968" s="115" t="s">
        <v>2510</v>
      </c>
      <c r="C968" s="116" t="s">
        <v>16</v>
      </c>
      <c r="D968" s="116">
        <v>0</v>
      </c>
      <c r="E968" s="136">
        <f ca="1">OFFSET(INDEX(Composições!A:J,MATCH(Orçamentária!A968,Composições!A:A,0),8),2,0)</f>
        <v>9.7687871391722965</v>
      </c>
      <c r="F968" s="137">
        <f t="shared" ca="1" si="105"/>
        <v>0</v>
      </c>
      <c r="G968" s="138" t="e">
        <f>IF(A968&lt;&gt;"",IF(AND(#REF!="Padrão",$H$4=#REF!),BDI!$B$17,IF(AND(#REF!="Padrão",$H$4=#REF!),BDI!#REF!,IF(AND(#REF!="Diferenciado",$H$4=#REF!),BDI!$E$17,IF(AND(#REF!="Diferenciado",$H$4=#REF!),BDI!#REF!,IF(#REF!="ZERO",0))))),"")</f>
        <v>#REF!</v>
      </c>
      <c r="H968" s="139" t="e">
        <f t="shared" ca="1" si="106"/>
        <v>#REF!</v>
      </c>
      <c r="I968" s="137" t="e">
        <f t="shared" ca="1" si="107"/>
        <v>#REF!</v>
      </c>
      <c r="J968" s="117"/>
      <c r="K968" s="116">
        <v>0</v>
      </c>
      <c r="M968" s="136" t="e">
        <f ca="1">OFFSET(INDEX([1]Composições!I:R,MATCH([1]Orçamentária!I968,[1]Composições!I:I,0),8),2,0)</f>
        <v>#REF!</v>
      </c>
      <c r="N968" t="e">
        <v>#REF!</v>
      </c>
      <c r="Q968" t="e">
        <v>#REF!</v>
      </c>
    </row>
    <row r="969" spans="1:17" hidden="1" x14ac:dyDescent="0.25">
      <c r="A969" s="114" t="s">
        <v>900</v>
      </c>
      <c r="B969" s="115" t="s">
        <v>5518</v>
      </c>
      <c r="C969" s="116" t="s">
        <v>70</v>
      </c>
      <c r="D969" s="116">
        <v>0</v>
      </c>
      <c r="E969" s="136">
        <f ca="1">OFFSET(INDEX(Composições!A:J,MATCH(Orçamentária!A969,Composições!A:A,0),8),2,0)</f>
        <v>57.79515</v>
      </c>
      <c r="F969" s="137">
        <f t="shared" ca="1" si="105"/>
        <v>0</v>
      </c>
      <c r="G969" s="138" t="e">
        <f>IF(A969&lt;&gt;"",IF(AND(#REF!="Padrão",$H$4=#REF!),BDI!$B$17,IF(AND(#REF!="Padrão",$H$4=#REF!),BDI!#REF!,IF(AND(#REF!="Diferenciado",$H$4=#REF!),BDI!$E$17,IF(AND(#REF!="Diferenciado",$H$4=#REF!),BDI!#REF!,IF(#REF!="ZERO",0))))),"")</f>
        <v>#REF!</v>
      </c>
      <c r="H969" s="139" t="e">
        <f t="shared" ca="1" si="106"/>
        <v>#REF!</v>
      </c>
      <c r="I969" s="137" t="e">
        <f t="shared" ca="1" si="107"/>
        <v>#REF!</v>
      </c>
      <c r="J969" s="117"/>
      <c r="K969" s="116">
        <v>0</v>
      </c>
      <c r="M969" s="136" t="e">
        <f ca="1">OFFSET(INDEX([1]Composições!I:R,MATCH([1]Orçamentária!I969,[1]Composições!I:I,0),8),2,0)</f>
        <v>#REF!</v>
      </c>
      <c r="N969" t="e">
        <v>#REF!</v>
      </c>
      <c r="Q969" t="e">
        <v>#REF!</v>
      </c>
    </row>
    <row r="970" spans="1:17" hidden="1" x14ac:dyDescent="0.25">
      <c r="A970" s="114" t="s">
        <v>902</v>
      </c>
      <c r="B970" s="115" t="s">
        <v>5519</v>
      </c>
      <c r="C970" s="116" t="s">
        <v>70</v>
      </c>
      <c r="D970" s="116">
        <v>0</v>
      </c>
      <c r="E970" s="136">
        <f ca="1">OFFSET(INDEX(Composições!A:J,MATCH(Orçamentária!A970,Composições!A:A,0),8),2,0)</f>
        <v>79.769821784793081</v>
      </c>
      <c r="F970" s="137">
        <f t="shared" ca="1" si="105"/>
        <v>0</v>
      </c>
      <c r="G970" s="138" t="e">
        <f>IF(A970&lt;&gt;"",IF(AND(#REF!="Padrão",$H$4=#REF!),BDI!$B$17,IF(AND(#REF!="Padrão",$H$4=#REF!),BDI!#REF!,IF(AND(#REF!="Diferenciado",$H$4=#REF!),BDI!$E$17,IF(AND(#REF!="Diferenciado",$H$4=#REF!),BDI!#REF!,IF(#REF!="ZERO",0))))),"")</f>
        <v>#REF!</v>
      </c>
      <c r="H970" s="139" t="e">
        <f t="shared" ca="1" si="106"/>
        <v>#REF!</v>
      </c>
      <c r="I970" s="137" t="e">
        <f t="shared" ca="1" si="107"/>
        <v>#REF!</v>
      </c>
      <c r="J970" s="117"/>
      <c r="K970" s="116">
        <v>0</v>
      </c>
      <c r="M970" s="136" t="e">
        <f ca="1">OFFSET(INDEX([1]Composições!I:R,MATCH([1]Orçamentária!I970,[1]Composições!I:I,0),8),2,0)</f>
        <v>#REF!</v>
      </c>
      <c r="N970" t="e">
        <v>#REF!</v>
      </c>
      <c r="Q970" t="e">
        <v>#REF!</v>
      </c>
    </row>
    <row r="971" spans="1:17" hidden="1" x14ac:dyDescent="0.25">
      <c r="A971" s="114" t="s">
        <v>907</v>
      </c>
      <c r="B971" s="115" t="s">
        <v>5520</v>
      </c>
      <c r="C971" s="116" t="s">
        <v>70</v>
      </c>
      <c r="D971" s="116">
        <v>0</v>
      </c>
      <c r="E971" s="136">
        <f ca="1">OFFSET(INDEX(Composições!A:J,MATCH(Orçamentária!A971,Composições!A:A,0),8),2,0)</f>
        <v>57.79515</v>
      </c>
      <c r="F971" s="137">
        <f t="shared" ca="1" si="105"/>
        <v>0</v>
      </c>
      <c r="G971" s="138" t="e">
        <f>IF(A971&lt;&gt;"",IF(AND(#REF!="Padrão",$H$4=#REF!),BDI!$B$17,IF(AND(#REF!="Padrão",$H$4=#REF!),BDI!#REF!,IF(AND(#REF!="Diferenciado",$H$4=#REF!),BDI!$E$17,IF(AND(#REF!="Diferenciado",$H$4=#REF!),BDI!#REF!,IF(#REF!="ZERO",0))))),"")</f>
        <v>#REF!</v>
      </c>
      <c r="H971" s="139" t="e">
        <f t="shared" ca="1" si="106"/>
        <v>#REF!</v>
      </c>
      <c r="I971" s="137" t="e">
        <f t="shared" ca="1" si="107"/>
        <v>#REF!</v>
      </c>
      <c r="J971" s="117"/>
      <c r="K971" s="116">
        <v>0</v>
      </c>
      <c r="M971" s="136" t="e">
        <f ca="1">OFFSET(INDEX([1]Composições!I:R,MATCH([1]Orçamentária!I971,[1]Composições!I:I,0),8),2,0)</f>
        <v>#REF!</v>
      </c>
      <c r="N971" t="e">
        <v>#REF!</v>
      </c>
      <c r="Q971" t="e">
        <v>#REF!</v>
      </c>
    </row>
    <row r="972" spans="1:17" hidden="1" x14ac:dyDescent="0.25">
      <c r="A972" s="114" t="s">
        <v>909</v>
      </c>
      <c r="B972" s="115" t="s">
        <v>5521</v>
      </c>
      <c r="C972" s="116" t="s">
        <v>70</v>
      </c>
      <c r="D972" s="116">
        <v>0</v>
      </c>
      <c r="E972" s="136">
        <f ca="1">OFFSET(INDEX(Composições!A:J,MATCH(Orçamentária!A972,Composições!A:A,0),8),2,0)</f>
        <v>79.769821784793081</v>
      </c>
      <c r="F972" s="137">
        <f t="shared" ca="1" si="105"/>
        <v>0</v>
      </c>
      <c r="G972" s="138" t="e">
        <f>IF(A972&lt;&gt;"",IF(AND(#REF!="Padrão",$H$4=#REF!),BDI!$B$17,IF(AND(#REF!="Padrão",$H$4=#REF!),BDI!#REF!,IF(AND(#REF!="Diferenciado",$H$4=#REF!),BDI!$E$17,IF(AND(#REF!="Diferenciado",$H$4=#REF!),BDI!#REF!,IF(#REF!="ZERO",0))))),"")</f>
        <v>#REF!</v>
      </c>
      <c r="H972" s="139" t="e">
        <f t="shared" ca="1" si="106"/>
        <v>#REF!</v>
      </c>
      <c r="I972" s="137" t="e">
        <f t="shared" ca="1" si="107"/>
        <v>#REF!</v>
      </c>
      <c r="J972" s="117"/>
      <c r="K972" s="116">
        <v>0</v>
      </c>
      <c r="M972" s="136" t="e">
        <f ca="1">OFFSET(INDEX([1]Composições!I:R,MATCH([1]Orçamentária!I972,[1]Composições!I:I,0),8),2,0)</f>
        <v>#REF!</v>
      </c>
      <c r="N972" t="e">
        <v>#REF!</v>
      </c>
      <c r="Q972" t="e">
        <v>#REF!</v>
      </c>
    </row>
    <row r="973" spans="1:17" ht="25.5" hidden="1" x14ac:dyDescent="0.25">
      <c r="A973" s="114" t="s">
        <v>910</v>
      </c>
      <c r="B973" s="115" t="s">
        <v>7685</v>
      </c>
      <c r="C973" s="116" t="s">
        <v>70</v>
      </c>
      <c r="D973" s="116">
        <v>0</v>
      </c>
      <c r="E973" s="136">
        <f ca="1">OFFSET(INDEX(Composições!A:J,MATCH(Orçamentária!A973,Composições!A:A,0),8),2,0)</f>
        <v>8.7818000000000005</v>
      </c>
      <c r="F973" s="137">
        <f t="shared" ca="1" si="105"/>
        <v>0</v>
      </c>
      <c r="G973" s="138" t="e">
        <f>IF(A973&lt;&gt;"",IF(AND(#REF!="Padrão",$H$4=#REF!),BDI!$B$17,IF(AND(#REF!="Padrão",$H$4=#REF!),BDI!#REF!,IF(AND(#REF!="Diferenciado",$H$4=#REF!),BDI!$E$17,IF(AND(#REF!="Diferenciado",$H$4=#REF!),BDI!#REF!,IF(#REF!="ZERO",0))))),"")</f>
        <v>#REF!</v>
      </c>
      <c r="H973" s="139" t="e">
        <f t="shared" ca="1" si="106"/>
        <v>#REF!</v>
      </c>
      <c r="I973" s="137" t="e">
        <f t="shared" ca="1" si="107"/>
        <v>#REF!</v>
      </c>
      <c r="J973" s="117"/>
      <c r="K973" s="116">
        <v>0</v>
      </c>
      <c r="M973" s="136" t="e">
        <f ca="1">OFFSET(INDEX([1]Composições!I:R,MATCH([1]Orçamentária!I973,[1]Composições!I:I,0),8),2,0)</f>
        <v>#REF!</v>
      </c>
      <c r="N973" t="e">
        <v>#REF!</v>
      </c>
      <c r="Q973" t="e">
        <v>#REF!</v>
      </c>
    </row>
    <row r="974" spans="1:17" ht="25.5" hidden="1" x14ac:dyDescent="0.25">
      <c r="A974" s="114" t="s">
        <v>2511</v>
      </c>
      <c r="B974" s="115" t="s">
        <v>5522</v>
      </c>
      <c r="C974" s="116" t="s">
        <v>70</v>
      </c>
      <c r="D974" s="116">
        <v>0</v>
      </c>
      <c r="E974" s="136">
        <f ca="1">OFFSET(INDEX(Composições!A:J,MATCH(Orçamentária!A974,Composições!A:A,0),8),2,0)</f>
        <v>8.7818000000000005</v>
      </c>
      <c r="F974" s="137">
        <f t="shared" ca="1" si="105"/>
        <v>0</v>
      </c>
      <c r="G974" s="138" t="e">
        <f>IF(A974&lt;&gt;"",IF(AND(#REF!="Padrão",$H$4=#REF!),BDI!$B$17,IF(AND(#REF!="Padrão",$H$4=#REF!),BDI!#REF!,IF(AND(#REF!="Diferenciado",$H$4=#REF!),BDI!$E$17,IF(AND(#REF!="Diferenciado",$H$4=#REF!),BDI!#REF!,IF(#REF!="ZERO",0))))),"")</f>
        <v>#REF!</v>
      </c>
      <c r="H974" s="139" t="e">
        <f t="shared" ca="1" si="106"/>
        <v>#REF!</v>
      </c>
      <c r="I974" s="137" t="e">
        <f t="shared" ca="1" si="107"/>
        <v>#REF!</v>
      </c>
      <c r="J974" s="117"/>
      <c r="K974" s="116">
        <v>0</v>
      </c>
      <c r="M974" s="136" t="e">
        <f ca="1">OFFSET(INDEX([1]Composições!I:R,MATCH([1]Orçamentária!I974,[1]Composições!I:I,0),8),2,0)</f>
        <v>#REF!</v>
      </c>
      <c r="N974" t="e">
        <v>#REF!</v>
      </c>
      <c r="Q974" t="e">
        <v>#REF!</v>
      </c>
    </row>
    <row r="975" spans="1:17" hidden="1" x14ac:dyDescent="0.25">
      <c r="A975" s="114" t="s">
        <v>912</v>
      </c>
      <c r="B975" s="115" t="s">
        <v>2512</v>
      </c>
      <c r="C975" s="116" t="s">
        <v>70</v>
      </c>
      <c r="D975" s="116">
        <v>0</v>
      </c>
      <c r="E975" s="136">
        <f ca="1">OFFSET(INDEX(Composições!A:J,MATCH(Orçamentária!A975,Composições!A:A,0),8),2,0)</f>
        <v>57.79515</v>
      </c>
      <c r="F975" s="137">
        <f t="shared" ca="1" si="105"/>
        <v>0</v>
      </c>
      <c r="G975" s="138" t="e">
        <f>IF(A975&lt;&gt;"",IF(AND(#REF!="Padrão",$H$4=#REF!),BDI!$B$17,IF(AND(#REF!="Padrão",$H$4=#REF!),BDI!#REF!,IF(AND(#REF!="Diferenciado",$H$4=#REF!),BDI!$E$17,IF(AND(#REF!="Diferenciado",$H$4=#REF!),BDI!#REF!,IF(#REF!="ZERO",0))))),"")</f>
        <v>#REF!</v>
      </c>
      <c r="H975" s="139" t="e">
        <f t="shared" ca="1" si="106"/>
        <v>#REF!</v>
      </c>
      <c r="I975" s="137" t="e">
        <f t="shared" ca="1" si="107"/>
        <v>#REF!</v>
      </c>
      <c r="J975" s="117"/>
      <c r="K975" s="116">
        <v>0</v>
      </c>
      <c r="M975" s="136" t="e">
        <f ca="1">OFFSET(INDEX([1]Composições!I:R,MATCH([1]Orçamentária!I975,[1]Composições!I:I,0),8),2,0)</f>
        <v>#REF!</v>
      </c>
      <c r="N975" t="e">
        <v>#REF!</v>
      </c>
      <c r="Q975" t="e">
        <v>#REF!</v>
      </c>
    </row>
    <row r="976" spans="1:17" ht="25.5" hidden="1" x14ac:dyDescent="0.25">
      <c r="A976" s="114" t="s">
        <v>913</v>
      </c>
      <c r="B976" s="115" t="s">
        <v>2513</v>
      </c>
      <c r="C976" s="116" t="s">
        <v>70</v>
      </c>
      <c r="D976" s="116">
        <v>0</v>
      </c>
      <c r="E976" s="136">
        <f ca="1">OFFSET(INDEX(Composições!A:J,MATCH(Orçamentária!A976,Composições!A:A,0),8),2,0)</f>
        <v>79.769821784793081</v>
      </c>
      <c r="F976" s="137">
        <f t="shared" ca="1" si="105"/>
        <v>0</v>
      </c>
      <c r="G976" s="138" t="e">
        <f>IF(A976&lt;&gt;"",IF(AND(#REF!="Padrão",$H$4=#REF!),BDI!$B$17,IF(AND(#REF!="Padrão",$H$4=#REF!),BDI!#REF!,IF(AND(#REF!="Diferenciado",$H$4=#REF!),BDI!$E$17,IF(AND(#REF!="Diferenciado",$H$4=#REF!),BDI!#REF!,IF(#REF!="ZERO",0))))),"")</f>
        <v>#REF!</v>
      </c>
      <c r="H976" s="139" t="e">
        <f t="shared" ca="1" si="106"/>
        <v>#REF!</v>
      </c>
      <c r="I976" s="137" t="e">
        <f t="shared" ca="1" si="107"/>
        <v>#REF!</v>
      </c>
      <c r="J976" s="117"/>
      <c r="K976" s="116">
        <v>0</v>
      </c>
      <c r="M976" s="136" t="e">
        <f ca="1">OFFSET(INDEX([1]Composições!I:R,MATCH([1]Orçamentária!I976,[1]Composições!I:I,0),8),2,0)</f>
        <v>#REF!</v>
      </c>
      <c r="N976" t="e">
        <v>#REF!</v>
      </c>
      <c r="Q976" t="e">
        <v>#REF!</v>
      </c>
    </row>
    <row r="977" spans="1:17" hidden="1" x14ac:dyDescent="0.25">
      <c r="A977" s="114" t="s">
        <v>914</v>
      </c>
      <c r="B977" s="115" t="s">
        <v>2514</v>
      </c>
      <c r="C977" s="116" t="s">
        <v>70</v>
      </c>
      <c r="D977" s="116">
        <v>0</v>
      </c>
      <c r="E977" s="136">
        <f ca="1">OFFSET(INDEX(Composições!A:J,MATCH(Orçamentária!A977,Composições!A:A,0),8),2,0)</f>
        <v>13.769300000000001</v>
      </c>
      <c r="F977" s="137">
        <f t="shared" ca="1" si="105"/>
        <v>0</v>
      </c>
      <c r="G977" s="138" t="e">
        <f>IF(A977&lt;&gt;"",IF(AND(#REF!="Padrão",$H$4=#REF!),BDI!$B$17,IF(AND(#REF!="Padrão",$H$4=#REF!),BDI!#REF!,IF(AND(#REF!="Diferenciado",$H$4=#REF!),BDI!$E$17,IF(AND(#REF!="Diferenciado",$H$4=#REF!),BDI!#REF!,IF(#REF!="ZERO",0))))),"")</f>
        <v>#REF!</v>
      </c>
      <c r="H977" s="139" t="e">
        <f t="shared" ca="1" si="106"/>
        <v>#REF!</v>
      </c>
      <c r="I977" s="137" t="e">
        <f t="shared" ca="1" si="107"/>
        <v>#REF!</v>
      </c>
      <c r="J977" s="117"/>
      <c r="K977" s="116">
        <v>0</v>
      </c>
      <c r="M977" s="136" t="e">
        <f ca="1">OFFSET(INDEX([1]Composições!I:R,MATCH([1]Orçamentária!I977,[1]Composições!I:I,0),8),2,0)</f>
        <v>#REF!</v>
      </c>
      <c r="N977" t="e">
        <v>#REF!</v>
      </c>
      <c r="Q977" t="e">
        <v>#REF!</v>
      </c>
    </row>
    <row r="978" spans="1:17" hidden="1" x14ac:dyDescent="0.25">
      <c r="A978" s="114" t="s">
        <v>916</v>
      </c>
      <c r="B978" s="115" t="s">
        <v>2515</v>
      </c>
      <c r="C978" s="116" t="s">
        <v>69</v>
      </c>
      <c r="D978" s="116">
        <v>0</v>
      </c>
      <c r="E978" s="136">
        <f ca="1">OFFSET(INDEX(Composições!A:J,MATCH(Orçamentária!A978,Composições!A:A,0),8),2,0)</f>
        <v>24.312399999999997</v>
      </c>
      <c r="F978" s="137">
        <f t="shared" ca="1" si="105"/>
        <v>0</v>
      </c>
      <c r="G978" s="138" t="e">
        <f>IF(A978&lt;&gt;"",IF(AND(#REF!="Padrão",$H$4=#REF!),BDI!$B$17,IF(AND(#REF!="Padrão",$H$4=#REF!),BDI!#REF!,IF(AND(#REF!="Diferenciado",$H$4=#REF!),BDI!$E$17,IF(AND(#REF!="Diferenciado",$H$4=#REF!),BDI!#REF!,IF(#REF!="ZERO",0))))),"")</f>
        <v>#REF!</v>
      </c>
      <c r="H978" s="139" t="e">
        <f t="shared" ca="1" si="106"/>
        <v>#REF!</v>
      </c>
      <c r="I978" s="137" t="e">
        <f t="shared" ca="1" si="107"/>
        <v>#REF!</v>
      </c>
      <c r="J978" s="117"/>
      <c r="K978" s="116">
        <v>0</v>
      </c>
      <c r="M978" s="136" t="e">
        <f ca="1">OFFSET(INDEX([1]Composições!I:R,MATCH([1]Orçamentária!I978,[1]Composições!I:I,0),8),2,0)</f>
        <v>#REF!</v>
      </c>
      <c r="N978" t="e">
        <v>#REF!</v>
      </c>
      <c r="Q978" t="e">
        <v>#REF!</v>
      </c>
    </row>
    <row r="979" spans="1:17" hidden="1" x14ac:dyDescent="0.25">
      <c r="A979" s="114" t="s">
        <v>918</v>
      </c>
      <c r="B979" s="115" t="s">
        <v>2516</v>
      </c>
      <c r="C979" s="116" t="s">
        <v>70</v>
      </c>
      <c r="D979" s="116">
        <v>0</v>
      </c>
      <c r="E979" s="136">
        <f ca="1">OFFSET(INDEX(Composições!A:J,MATCH(Orçamentária!A979,Composições!A:A,0),8),2,0)</f>
        <v>130.87674999999999</v>
      </c>
      <c r="F979" s="137">
        <f t="shared" ca="1" si="105"/>
        <v>0</v>
      </c>
      <c r="G979" s="138" t="e">
        <f>IF(A979&lt;&gt;"",IF(AND(#REF!="Padrão",$H$4=#REF!),BDI!$B$17,IF(AND(#REF!="Padrão",$H$4=#REF!),BDI!#REF!,IF(AND(#REF!="Diferenciado",$H$4=#REF!),BDI!$E$17,IF(AND(#REF!="Diferenciado",$H$4=#REF!),BDI!#REF!,IF(#REF!="ZERO",0))))),"")</f>
        <v>#REF!</v>
      </c>
      <c r="H979" s="139" t="e">
        <f t="shared" ca="1" si="106"/>
        <v>#REF!</v>
      </c>
      <c r="I979" s="137" t="e">
        <f t="shared" ca="1" si="107"/>
        <v>#REF!</v>
      </c>
      <c r="J979" s="117"/>
      <c r="K979" s="116">
        <v>0</v>
      </c>
      <c r="M979" s="136" t="e">
        <f ca="1">OFFSET(INDEX([1]Composições!I:R,MATCH([1]Orçamentária!I979,[1]Composições!I:I,0),8),2,0)</f>
        <v>#REF!</v>
      </c>
      <c r="N979" t="e">
        <v>#REF!</v>
      </c>
      <c r="Q979" t="e">
        <v>#REF!</v>
      </c>
    </row>
    <row r="980" spans="1:17" ht="25.5" hidden="1" x14ac:dyDescent="0.25">
      <c r="A980" s="114" t="s">
        <v>920</v>
      </c>
      <c r="B980" s="115" t="s">
        <v>2517</v>
      </c>
      <c r="C980" s="116" t="s">
        <v>16</v>
      </c>
      <c r="D980" s="116">
        <v>0</v>
      </c>
      <c r="E980" s="136">
        <f ca="1">OFFSET(INDEX(Composições!A:J,MATCH(Orçamentária!A980,Composições!A:A,0),8),2,0)</f>
        <v>1.184175</v>
      </c>
      <c r="F980" s="137">
        <f t="shared" ca="1" si="105"/>
        <v>0</v>
      </c>
      <c r="G980" s="138" t="e">
        <f>IF(A980&lt;&gt;"",IF(AND(#REF!="Padrão",$H$4=#REF!),BDI!$B$17,IF(AND(#REF!="Padrão",$H$4=#REF!),BDI!#REF!,IF(AND(#REF!="Diferenciado",$H$4=#REF!),BDI!$E$17,IF(AND(#REF!="Diferenciado",$H$4=#REF!),BDI!#REF!,IF(#REF!="ZERO",0))))),"")</f>
        <v>#REF!</v>
      </c>
      <c r="H980" s="139" t="e">
        <f t="shared" ca="1" si="106"/>
        <v>#REF!</v>
      </c>
      <c r="I980" s="137" t="e">
        <f t="shared" ca="1" si="107"/>
        <v>#REF!</v>
      </c>
      <c r="J980" s="117"/>
      <c r="K980" s="116">
        <v>0</v>
      </c>
      <c r="M980" s="136" t="e">
        <f ca="1">OFFSET(INDEX([1]Composições!I:R,MATCH([1]Orçamentária!I980,[1]Composições!I:I,0),8),2,0)</f>
        <v>#REF!</v>
      </c>
      <c r="N980" t="e">
        <v>#REF!</v>
      </c>
      <c r="Q980" t="e">
        <v>#REF!</v>
      </c>
    </row>
    <row r="981" spans="1:17" hidden="1" x14ac:dyDescent="0.25">
      <c r="A981" s="114" t="s">
        <v>924</v>
      </c>
      <c r="B981" s="115" t="s">
        <v>2518</v>
      </c>
      <c r="C981" s="116" t="s">
        <v>70</v>
      </c>
      <c r="D981" s="116">
        <v>0</v>
      </c>
      <c r="E981" s="136">
        <f ca="1">OFFSET(INDEX(Composições!A:J,MATCH(Orçamentária!A981,Composições!A:A,0),8),2,0)</f>
        <v>6.8856569999999993</v>
      </c>
      <c r="F981" s="137">
        <f t="shared" ca="1" si="105"/>
        <v>0</v>
      </c>
      <c r="G981" s="138" t="e">
        <f>IF(A981&lt;&gt;"",IF(AND(#REF!="Padrão",$H$4=#REF!),BDI!$B$17,IF(AND(#REF!="Padrão",$H$4=#REF!),BDI!#REF!,IF(AND(#REF!="Diferenciado",$H$4=#REF!),BDI!$E$17,IF(AND(#REF!="Diferenciado",$H$4=#REF!),BDI!#REF!,IF(#REF!="ZERO",0))))),"")</f>
        <v>#REF!</v>
      </c>
      <c r="H981" s="139" t="e">
        <f t="shared" ca="1" si="106"/>
        <v>#REF!</v>
      </c>
      <c r="I981" s="137" t="e">
        <f t="shared" ca="1" si="107"/>
        <v>#REF!</v>
      </c>
      <c r="J981" s="117"/>
      <c r="K981" s="116">
        <v>0</v>
      </c>
      <c r="M981" s="136" t="e">
        <f ca="1">OFFSET(INDEX([1]Composições!I:R,MATCH([1]Orçamentária!I981,[1]Composições!I:I,0),8),2,0)</f>
        <v>#REF!</v>
      </c>
      <c r="N981" t="e">
        <v>#REF!</v>
      </c>
      <c r="Q981" t="e">
        <v>#REF!</v>
      </c>
    </row>
    <row r="982" spans="1:17" hidden="1" x14ac:dyDescent="0.25">
      <c r="A982" s="114" t="s">
        <v>925</v>
      </c>
      <c r="B982" s="115" t="s">
        <v>2519</v>
      </c>
      <c r="C982" s="116" t="s">
        <v>69</v>
      </c>
      <c r="D982" s="116">
        <v>0</v>
      </c>
      <c r="E982" s="136">
        <f ca="1">OFFSET(INDEX(Composições!A:J,MATCH(Orçamentária!A982,Composições!A:A,0),8),2,0)</f>
        <v>31.215534149999996</v>
      </c>
      <c r="F982" s="137">
        <f t="shared" ca="1" si="105"/>
        <v>0</v>
      </c>
      <c r="G982" s="138" t="e">
        <f>IF(A982&lt;&gt;"",IF(AND(#REF!="Padrão",$H$4=#REF!),BDI!$B$17,IF(AND(#REF!="Padrão",$H$4=#REF!),BDI!#REF!,IF(AND(#REF!="Diferenciado",$H$4=#REF!),BDI!$E$17,IF(AND(#REF!="Diferenciado",$H$4=#REF!),BDI!#REF!,IF(#REF!="ZERO",0))))),"")</f>
        <v>#REF!</v>
      </c>
      <c r="H982" s="139" t="e">
        <f t="shared" ca="1" si="106"/>
        <v>#REF!</v>
      </c>
      <c r="I982" s="137" t="e">
        <f t="shared" ca="1" si="107"/>
        <v>#REF!</v>
      </c>
      <c r="J982" s="117"/>
      <c r="K982" s="116">
        <v>0</v>
      </c>
      <c r="M982" s="136" t="e">
        <f ca="1">OFFSET(INDEX([1]Composições!I:R,MATCH([1]Orçamentária!I982,[1]Composições!I:I,0),8),2,0)</f>
        <v>#REF!</v>
      </c>
      <c r="N982" t="e">
        <v>#REF!</v>
      </c>
      <c r="Q982" t="e">
        <v>#REF!</v>
      </c>
    </row>
    <row r="983" spans="1:17" hidden="1" x14ac:dyDescent="0.25">
      <c r="A983" s="114" t="s">
        <v>929</v>
      </c>
      <c r="B983" s="115" t="s">
        <v>2520</v>
      </c>
      <c r="C983" s="116" t="s">
        <v>69</v>
      </c>
      <c r="D983" s="116">
        <v>0</v>
      </c>
      <c r="E983" s="136">
        <f ca="1">OFFSET(INDEX(Composições!A:J,MATCH(Orçamentária!A983,Composições!A:A,0),8),2,0)</f>
        <v>19.681592699999999</v>
      </c>
      <c r="F983" s="137">
        <f t="shared" ca="1" si="105"/>
        <v>0</v>
      </c>
      <c r="G983" s="138" t="e">
        <f>IF(A983&lt;&gt;"",IF(AND(#REF!="Padrão",$H$4=#REF!),BDI!$B$17,IF(AND(#REF!="Padrão",$H$4=#REF!),BDI!#REF!,IF(AND(#REF!="Diferenciado",$H$4=#REF!),BDI!$E$17,IF(AND(#REF!="Diferenciado",$H$4=#REF!),BDI!#REF!,IF(#REF!="ZERO",0))))),"")</f>
        <v>#REF!</v>
      </c>
      <c r="H983" s="139" t="e">
        <f t="shared" ca="1" si="106"/>
        <v>#REF!</v>
      </c>
      <c r="I983" s="137" t="e">
        <f t="shared" ca="1" si="107"/>
        <v>#REF!</v>
      </c>
      <c r="J983" s="117"/>
      <c r="K983" s="116">
        <v>0</v>
      </c>
      <c r="M983" s="136" t="e">
        <f ca="1">OFFSET(INDEX([1]Composições!I:R,MATCH([1]Orçamentária!I983,[1]Composições!I:I,0),8),2,0)</f>
        <v>#REF!</v>
      </c>
      <c r="N983" t="e">
        <v>#REF!</v>
      </c>
      <c r="Q983" t="e">
        <v>#REF!</v>
      </c>
    </row>
    <row r="984" spans="1:17" hidden="1" x14ac:dyDescent="0.25">
      <c r="A984" s="114" t="s">
        <v>2521</v>
      </c>
      <c r="B984" s="115" t="s">
        <v>2522</v>
      </c>
      <c r="C984" s="116" t="s">
        <v>16</v>
      </c>
      <c r="D984" s="116">
        <v>0</v>
      </c>
      <c r="E984" s="136" t="s">
        <v>416</v>
      </c>
      <c r="F984" s="137" t="str">
        <f t="shared" si="105"/>
        <v/>
      </c>
      <c r="G984" s="138" t="e">
        <f>IF(A984&lt;&gt;"",IF(AND(#REF!="Padrão",$H$4=#REF!),BDI!$B$17,IF(AND(#REF!="Padrão",$H$4=#REF!),BDI!#REF!,IF(AND(#REF!="Diferenciado",$H$4=#REF!),BDI!$E$17,IF(AND(#REF!="Diferenciado",$H$4=#REF!),BDI!#REF!,IF(#REF!="ZERO",0))))),"")</f>
        <v>#REF!</v>
      </c>
      <c r="H984" s="139" t="str">
        <f t="shared" si="106"/>
        <v/>
      </c>
      <c r="I984" s="137" t="str">
        <f t="shared" si="107"/>
        <v/>
      </c>
      <c r="J984" s="117"/>
      <c r="K984" s="116">
        <v>0</v>
      </c>
      <c r="M984" s="136" t="s">
        <v>416</v>
      </c>
      <c r="N984" t="e">
        <v>#REF!</v>
      </c>
      <c r="Q984" t="s">
        <v>416</v>
      </c>
    </row>
    <row r="985" spans="1:17" hidden="1" x14ac:dyDescent="0.25">
      <c r="A985" s="114" t="s">
        <v>930</v>
      </c>
      <c r="B985" s="115" t="s">
        <v>2523</v>
      </c>
      <c r="C985" s="116" t="s">
        <v>16</v>
      </c>
      <c r="D985" s="116">
        <v>0</v>
      </c>
      <c r="E985" s="136">
        <f ca="1">OFFSET(INDEX(Composições!A:J,MATCH(Orçamentária!A985,Composições!A:A,0),8),2,0)</f>
        <v>88.222852000000003</v>
      </c>
      <c r="F985" s="137">
        <f t="shared" ca="1" si="105"/>
        <v>0</v>
      </c>
      <c r="G985" s="138" t="e">
        <f>IF(A985&lt;&gt;"",IF(AND(#REF!="Padrão",$H$4=#REF!),BDI!$B$17,IF(AND(#REF!="Padrão",$H$4=#REF!),BDI!#REF!,IF(AND(#REF!="Diferenciado",$H$4=#REF!),BDI!$E$17,IF(AND(#REF!="Diferenciado",$H$4=#REF!),BDI!#REF!,IF(#REF!="ZERO",0))))),"")</f>
        <v>#REF!</v>
      </c>
      <c r="H985" s="139" t="e">
        <f t="shared" ca="1" si="106"/>
        <v>#REF!</v>
      </c>
      <c r="I985" s="137" t="e">
        <f t="shared" ca="1" si="107"/>
        <v>#REF!</v>
      </c>
      <c r="J985" s="117"/>
      <c r="K985" s="116">
        <v>0</v>
      </c>
      <c r="M985" s="136" t="e">
        <f ca="1">OFFSET(INDEX([1]Composições!I:R,MATCH([1]Orçamentária!I985,[1]Composições!I:I,0),8),2,0)</f>
        <v>#REF!</v>
      </c>
      <c r="N985" t="e">
        <v>#REF!</v>
      </c>
      <c r="Q985" t="e">
        <v>#REF!</v>
      </c>
    </row>
    <row r="986" spans="1:17" hidden="1" x14ac:dyDescent="0.25">
      <c r="A986" s="114" t="s">
        <v>932</v>
      </c>
      <c r="B986" s="115" t="s">
        <v>5458</v>
      </c>
      <c r="C986" s="116" t="s">
        <v>2524</v>
      </c>
      <c r="D986" s="116">
        <v>0</v>
      </c>
      <c r="E986" s="136">
        <f ca="1">OFFSET(INDEX(Composições!A:J,MATCH(Orçamentária!A986,Composições!A:A,0),8),2,0)</f>
        <v>817.09119779767377</v>
      </c>
      <c r="F986" s="137">
        <f t="shared" ca="1" si="105"/>
        <v>0</v>
      </c>
      <c r="G986" s="138" t="e">
        <f>IF(A986&lt;&gt;"",IF(AND(#REF!="Padrão",$H$4=#REF!),BDI!$B$17,IF(AND(#REF!="Padrão",$H$4=#REF!),BDI!#REF!,IF(AND(#REF!="Diferenciado",$H$4=#REF!),BDI!$E$17,IF(AND(#REF!="Diferenciado",$H$4=#REF!),BDI!#REF!,IF(#REF!="ZERO",0))))),"")</f>
        <v>#REF!</v>
      </c>
      <c r="H986" s="139" t="e">
        <f t="shared" ca="1" si="106"/>
        <v>#REF!</v>
      </c>
      <c r="I986" s="137" t="e">
        <f t="shared" ca="1" si="107"/>
        <v>#REF!</v>
      </c>
      <c r="J986" s="117"/>
      <c r="K986" s="116">
        <v>0</v>
      </c>
      <c r="M986" s="136" t="e">
        <f ca="1">OFFSET(INDEX([1]Composições!I:R,MATCH([1]Orçamentária!I986,[1]Composições!I:I,0),8),2,0)</f>
        <v>#REF!</v>
      </c>
      <c r="N986" t="e">
        <v>#REF!</v>
      </c>
      <c r="Q986" t="e">
        <v>#REF!</v>
      </c>
    </row>
    <row r="987" spans="1:17" hidden="1" x14ac:dyDescent="0.25">
      <c r="A987" s="114" t="s">
        <v>934</v>
      </c>
      <c r="B987" s="115" t="s">
        <v>2525</v>
      </c>
      <c r="C987" s="116" t="s">
        <v>70</v>
      </c>
      <c r="D987" s="116">
        <v>0</v>
      </c>
      <c r="E987" s="136">
        <f ca="1">OFFSET(INDEX(Composições!A:J,MATCH(Orçamentária!A987,Composições!A:A,0),8),2,0)</f>
        <v>112.92166354999999</v>
      </c>
      <c r="F987" s="137">
        <f t="shared" ca="1" si="105"/>
        <v>0</v>
      </c>
      <c r="G987" s="138" t="e">
        <f>IF(A987&lt;&gt;"",IF(AND(#REF!="Padrão",$H$4=#REF!),BDI!$B$17,IF(AND(#REF!="Padrão",$H$4=#REF!),BDI!#REF!,IF(AND(#REF!="Diferenciado",$H$4=#REF!),BDI!$E$17,IF(AND(#REF!="Diferenciado",$H$4=#REF!),BDI!#REF!,IF(#REF!="ZERO",0))))),"")</f>
        <v>#REF!</v>
      </c>
      <c r="H987" s="139" t="e">
        <f t="shared" ca="1" si="106"/>
        <v>#REF!</v>
      </c>
      <c r="I987" s="137" t="e">
        <f t="shared" ca="1" si="107"/>
        <v>#REF!</v>
      </c>
      <c r="J987" s="117"/>
      <c r="K987" s="116">
        <v>0</v>
      </c>
      <c r="M987" s="136" t="e">
        <f ca="1">OFFSET(INDEX([1]Composições!I:R,MATCH([1]Orçamentária!I987,[1]Composições!I:I,0),8),2,0)</f>
        <v>#REF!</v>
      </c>
      <c r="N987" t="e">
        <v>#REF!</v>
      </c>
      <c r="Q987" t="e">
        <v>#REF!</v>
      </c>
    </row>
    <row r="988" spans="1:17" hidden="1" x14ac:dyDescent="0.25">
      <c r="A988" s="114" t="s">
        <v>937</v>
      </c>
      <c r="B988" s="115" t="s">
        <v>2526</v>
      </c>
      <c r="C988" s="116" t="s">
        <v>16</v>
      </c>
      <c r="D988" s="116">
        <v>0</v>
      </c>
      <c r="E988" s="136">
        <f ca="1">OFFSET(INDEX(Composições!A:J,MATCH(Orçamentária!A988,Composições!A:A,0),8),2,0)</f>
        <v>188.09999999999997</v>
      </c>
      <c r="F988" s="137">
        <f t="shared" ca="1" si="105"/>
        <v>0</v>
      </c>
      <c r="G988" s="138" t="e">
        <f>IF(A988&lt;&gt;"",IF(AND(#REF!="Padrão",$H$4=#REF!),BDI!$B$17,IF(AND(#REF!="Padrão",$H$4=#REF!),BDI!#REF!,IF(AND(#REF!="Diferenciado",$H$4=#REF!),BDI!$E$17,IF(AND(#REF!="Diferenciado",$H$4=#REF!),BDI!#REF!,IF(#REF!="ZERO",0))))),"")</f>
        <v>#REF!</v>
      </c>
      <c r="H988" s="139" t="e">
        <f t="shared" ca="1" si="106"/>
        <v>#REF!</v>
      </c>
      <c r="I988" s="137" t="e">
        <f t="shared" ca="1" si="107"/>
        <v>#REF!</v>
      </c>
      <c r="J988" s="117"/>
      <c r="K988" s="116">
        <v>0</v>
      </c>
      <c r="M988" s="136" t="e">
        <f ca="1">OFFSET(INDEX([1]Composições!I:R,MATCH([1]Orçamentária!I988,[1]Composições!I:I,0),8),2,0)</f>
        <v>#REF!</v>
      </c>
      <c r="N988" t="e">
        <v>#REF!</v>
      </c>
      <c r="Q988" t="e">
        <v>#REF!</v>
      </c>
    </row>
    <row r="989" spans="1:17" hidden="1" x14ac:dyDescent="0.25">
      <c r="A989" s="114" t="s">
        <v>938</v>
      </c>
      <c r="B989" s="115" t="s">
        <v>2527</v>
      </c>
      <c r="C989" s="116" t="s">
        <v>2528</v>
      </c>
      <c r="D989" s="116">
        <v>0</v>
      </c>
      <c r="E989" s="136">
        <f ca="1">OFFSET(INDEX(Composições!A:J,MATCH(Orçamentária!A989,Composições!A:A,0),8),2,0)</f>
        <v>2.6576449499999999</v>
      </c>
      <c r="F989" s="137">
        <f t="shared" ca="1" si="105"/>
        <v>0</v>
      </c>
      <c r="G989" s="138" t="e">
        <f>IF(A989&lt;&gt;"",IF(AND(#REF!="Padrão",$H$4=#REF!),BDI!$B$17,IF(AND(#REF!="Padrão",$H$4=#REF!),BDI!#REF!,IF(AND(#REF!="Diferenciado",$H$4=#REF!),BDI!$E$17,IF(AND(#REF!="Diferenciado",$H$4=#REF!),BDI!#REF!,IF(#REF!="ZERO",0))))),"")</f>
        <v>#REF!</v>
      </c>
      <c r="H989" s="139" t="e">
        <f t="shared" ca="1" si="106"/>
        <v>#REF!</v>
      </c>
      <c r="I989" s="137" t="e">
        <f t="shared" ca="1" si="107"/>
        <v>#REF!</v>
      </c>
      <c r="J989" s="117"/>
      <c r="K989" s="116">
        <v>0</v>
      </c>
      <c r="M989" s="136" t="e">
        <f ca="1">OFFSET(INDEX([1]Composições!I:R,MATCH([1]Orçamentária!I989,[1]Composições!I:I,0),8),2,0)</f>
        <v>#REF!</v>
      </c>
      <c r="N989" t="e">
        <v>#REF!</v>
      </c>
      <c r="Q989" t="e">
        <v>#REF!</v>
      </c>
    </row>
    <row r="990" spans="1:17" hidden="1" x14ac:dyDescent="0.25">
      <c r="A990" s="114" t="s">
        <v>2529</v>
      </c>
      <c r="B990" s="115" t="s">
        <v>2530</v>
      </c>
      <c r="C990" s="116" t="s">
        <v>2373</v>
      </c>
      <c r="D990" s="116">
        <v>0</v>
      </c>
      <c r="E990" s="136" t="s">
        <v>416</v>
      </c>
      <c r="F990" s="137" t="str">
        <f t="shared" si="105"/>
        <v/>
      </c>
      <c r="G990" s="138" t="e">
        <f>IF(A990&lt;&gt;"",IF(AND(#REF!="Padrão",$H$4=#REF!),BDI!$B$17,IF(AND(#REF!="Padrão",$H$4=#REF!),BDI!#REF!,IF(AND(#REF!="Diferenciado",$H$4=#REF!),BDI!$E$17,IF(AND(#REF!="Diferenciado",$H$4=#REF!),BDI!#REF!,IF(#REF!="ZERO",0))))),"")</f>
        <v>#REF!</v>
      </c>
      <c r="H990" s="139" t="str">
        <f t="shared" si="106"/>
        <v/>
      </c>
      <c r="I990" s="137" t="str">
        <f t="shared" si="107"/>
        <v/>
      </c>
      <c r="J990" s="117"/>
      <c r="K990" s="116">
        <v>0</v>
      </c>
      <c r="M990" s="136" t="s">
        <v>416</v>
      </c>
      <c r="N990" t="e">
        <v>#REF!</v>
      </c>
      <c r="Q990" t="s">
        <v>416</v>
      </c>
    </row>
    <row r="991" spans="1:17" hidden="1" x14ac:dyDescent="0.25">
      <c r="A991" s="114" t="s">
        <v>941</v>
      </c>
      <c r="B991" s="115" t="s">
        <v>2531</v>
      </c>
      <c r="C991" s="116" t="s">
        <v>2532</v>
      </c>
      <c r="D991" s="116">
        <v>0</v>
      </c>
      <c r="E991" s="136">
        <f ca="1">OFFSET(INDEX(Composições!A:J,MATCH(Orçamentária!A991,Composições!A:A,0),8),2,0)</f>
        <v>5.7235409999999991</v>
      </c>
      <c r="F991" s="137">
        <f t="shared" ca="1" si="105"/>
        <v>0</v>
      </c>
      <c r="G991" s="138" t="e">
        <f>IF(A991&lt;&gt;"",IF(AND(#REF!="Padrão",$H$4=#REF!),BDI!$B$17,IF(AND(#REF!="Padrão",$H$4=#REF!),BDI!#REF!,IF(AND(#REF!="Diferenciado",$H$4=#REF!),BDI!$E$17,IF(AND(#REF!="Diferenciado",$H$4=#REF!),BDI!#REF!,IF(#REF!="ZERO",0))))),"")</f>
        <v>#REF!</v>
      </c>
      <c r="H991" s="139" t="e">
        <f t="shared" ca="1" si="106"/>
        <v>#REF!</v>
      </c>
      <c r="I991" s="137" t="e">
        <f t="shared" ca="1" si="107"/>
        <v>#REF!</v>
      </c>
      <c r="J991" s="117"/>
      <c r="K991" s="116">
        <v>0</v>
      </c>
      <c r="M991" s="136" t="e">
        <f ca="1">OFFSET(INDEX([1]Composições!I:R,MATCH([1]Orçamentária!I991,[1]Composições!I:I,0),8),2,0)</f>
        <v>#REF!</v>
      </c>
      <c r="N991" t="e">
        <v>#REF!</v>
      </c>
      <c r="Q991" t="e">
        <v>#REF!</v>
      </c>
    </row>
    <row r="992" spans="1:17" hidden="1" x14ac:dyDescent="0.25">
      <c r="A992" s="114" t="s">
        <v>943</v>
      </c>
      <c r="B992" s="115" t="s">
        <v>2533</v>
      </c>
      <c r="C992" s="116" t="s">
        <v>2524</v>
      </c>
      <c r="D992" s="116">
        <v>0</v>
      </c>
      <c r="E992" s="136">
        <f ca="1">OFFSET(INDEX(Composições!A:J,MATCH(Orçamentária!A992,Composições!A:A,0),8),2,0)</f>
        <v>86.969649999999987</v>
      </c>
      <c r="F992" s="137">
        <f t="shared" ca="1" si="105"/>
        <v>0</v>
      </c>
      <c r="G992" s="138" t="e">
        <f>IF(A992&lt;&gt;"",IF(AND(#REF!="Padrão",$H$4=#REF!),BDI!$B$17,IF(AND(#REF!="Padrão",$H$4=#REF!),BDI!#REF!,IF(AND(#REF!="Diferenciado",$H$4=#REF!),BDI!$E$17,IF(AND(#REF!="Diferenciado",$H$4=#REF!),BDI!#REF!,IF(#REF!="ZERO",0))))),"")</f>
        <v>#REF!</v>
      </c>
      <c r="H992" s="139" t="e">
        <f t="shared" ca="1" si="106"/>
        <v>#REF!</v>
      </c>
      <c r="I992" s="137" t="e">
        <f t="shared" ca="1" si="107"/>
        <v>#REF!</v>
      </c>
      <c r="J992" s="117"/>
      <c r="K992" s="116">
        <v>0</v>
      </c>
      <c r="M992" s="136" t="e">
        <f ca="1">OFFSET(INDEX([1]Composições!I:R,MATCH([1]Orçamentária!I992,[1]Composições!I:I,0),8),2,0)</f>
        <v>#REF!</v>
      </c>
      <c r="N992" t="e">
        <v>#REF!</v>
      </c>
      <c r="Q992" t="e">
        <v>#REF!</v>
      </c>
    </row>
    <row r="993" spans="1:17" hidden="1" x14ac:dyDescent="0.25">
      <c r="A993" s="114" t="s">
        <v>944</v>
      </c>
      <c r="B993" s="115" t="s">
        <v>2534</v>
      </c>
      <c r="C993" s="116" t="s">
        <v>2524</v>
      </c>
      <c r="D993" s="116">
        <v>0</v>
      </c>
      <c r="E993" s="136">
        <f ca="1">OFFSET(INDEX(Composições!A:J,MATCH(Orçamentária!A993,Composições!A:A,0),8),2,0)</f>
        <v>6.0681392499999998</v>
      </c>
      <c r="F993" s="137">
        <f t="shared" ca="1" si="105"/>
        <v>0</v>
      </c>
      <c r="G993" s="138" t="e">
        <f>IF(A993&lt;&gt;"",IF(AND(#REF!="Padrão",$H$4=#REF!),BDI!$B$17,IF(AND(#REF!="Padrão",$H$4=#REF!),BDI!#REF!,IF(AND(#REF!="Diferenciado",$H$4=#REF!),BDI!$E$17,IF(AND(#REF!="Diferenciado",$H$4=#REF!),BDI!#REF!,IF(#REF!="ZERO",0))))),"")</f>
        <v>#REF!</v>
      </c>
      <c r="H993" s="139" t="e">
        <f t="shared" ca="1" si="106"/>
        <v>#REF!</v>
      </c>
      <c r="I993" s="137" t="e">
        <f t="shared" ca="1" si="107"/>
        <v>#REF!</v>
      </c>
      <c r="J993" s="117"/>
      <c r="K993" s="116">
        <v>0</v>
      </c>
      <c r="M993" s="136" t="e">
        <f ca="1">OFFSET(INDEX([1]Composições!I:R,MATCH([1]Orçamentária!I993,[1]Composições!I:I,0),8),2,0)</f>
        <v>#REF!</v>
      </c>
      <c r="N993" t="e">
        <v>#REF!</v>
      </c>
      <c r="Q993" t="e">
        <v>#REF!</v>
      </c>
    </row>
    <row r="994" spans="1:17" hidden="1" x14ac:dyDescent="0.25">
      <c r="A994" s="114" t="s">
        <v>945</v>
      </c>
      <c r="B994" s="115" t="s">
        <v>2535</v>
      </c>
      <c r="C994" s="116" t="s">
        <v>70</v>
      </c>
      <c r="D994" s="116">
        <v>0</v>
      </c>
      <c r="E994" s="136">
        <f ca="1">OFFSET(INDEX(Composições!A:J,MATCH(Orçamentária!A994,Composições!A:A,0),8),2,0)</f>
        <v>60.054888284745992</v>
      </c>
      <c r="F994" s="137">
        <f t="shared" ca="1" si="105"/>
        <v>0</v>
      </c>
      <c r="G994" s="138" t="e">
        <f>IF(A994&lt;&gt;"",IF(AND(#REF!="Padrão",$H$4=#REF!),BDI!$B$17,IF(AND(#REF!="Padrão",$H$4=#REF!),BDI!#REF!,IF(AND(#REF!="Diferenciado",$H$4=#REF!),BDI!$E$17,IF(AND(#REF!="Diferenciado",$H$4=#REF!),BDI!#REF!,IF(#REF!="ZERO",0))))),"")</f>
        <v>#REF!</v>
      </c>
      <c r="H994" s="139" t="e">
        <f t="shared" ca="1" si="106"/>
        <v>#REF!</v>
      </c>
      <c r="I994" s="137" t="e">
        <f t="shared" ca="1" si="107"/>
        <v>#REF!</v>
      </c>
      <c r="J994" s="117"/>
      <c r="K994" s="116">
        <v>0</v>
      </c>
      <c r="M994" s="136" t="e">
        <f ca="1">OFFSET(INDEX([1]Composições!I:R,MATCH([1]Orçamentária!I994,[1]Composições!I:I,0),8),2,0)</f>
        <v>#REF!</v>
      </c>
      <c r="N994" t="e">
        <v>#REF!</v>
      </c>
      <c r="Q994" t="e">
        <v>#REF!</v>
      </c>
    </row>
    <row r="995" spans="1:17" hidden="1" x14ac:dyDescent="0.25">
      <c r="A995" s="114" t="s">
        <v>954</v>
      </c>
      <c r="B995" s="115" t="s">
        <v>2536</v>
      </c>
      <c r="C995" s="116" t="s">
        <v>69</v>
      </c>
      <c r="D995" s="116">
        <v>0</v>
      </c>
      <c r="E995" s="136">
        <f ca="1">OFFSET(INDEX(Composições!A:J,MATCH(Orçamentária!A995,Composições!A:A,0),8),2,0)</f>
        <v>5.6853619249999996</v>
      </c>
      <c r="F995" s="137">
        <f t="shared" ca="1" si="105"/>
        <v>0</v>
      </c>
      <c r="G995" s="138" t="e">
        <f>IF(A995&lt;&gt;"",IF(AND(#REF!="Padrão",$H$4=#REF!),BDI!$B$17,IF(AND(#REF!="Padrão",$H$4=#REF!),BDI!#REF!,IF(AND(#REF!="Diferenciado",$H$4=#REF!),BDI!$E$17,IF(AND(#REF!="Diferenciado",$H$4=#REF!),BDI!#REF!,IF(#REF!="ZERO",0))))),"")</f>
        <v>#REF!</v>
      </c>
      <c r="H995" s="139" t="e">
        <f t="shared" ca="1" si="106"/>
        <v>#REF!</v>
      </c>
      <c r="I995" s="137" t="e">
        <f t="shared" ca="1" si="107"/>
        <v>#REF!</v>
      </c>
      <c r="J995" s="117"/>
      <c r="K995" s="116">
        <v>0</v>
      </c>
      <c r="M995" s="136" t="e">
        <f ca="1">OFFSET(INDEX([1]Composições!I:R,MATCH([1]Orçamentária!I995,[1]Composições!I:I,0),8),2,0)</f>
        <v>#REF!</v>
      </c>
      <c r="N995" t="e">
        <v>#REF!</v>
      </c>
      <c r="Q995" t="e">
        <v>#REF!</v>
      </c>
    </row>
    <row r="996" spans="1:17" hidden="1" x14ac:dyDescent="0.25">
      <c r="A996" s="114" t="s">
        <v>958</v>
      </c>
      <c r="B996" s="115" t="s">
        <v>2537</v>
      </c>
      <c r="C996" s="116" t="s">
        <v>69</v>
      </c>
      <c r="D996" s="116">
        <v>0</v>
      </c>
      <c r="E996" s="136">
        <f ca="1">OFFSET(INDEX(Composições!A:J,MATCH(Orçamentária!A996,Composições!A:A,0),8),2,0)</f>
        <v>51.541540195776996</v>
      </c>
      <c r="F996" s="137">
        <f t="shared" ca="1" si="105"/>
        <v>0</v>
      </c>
      <c r="G996" s="138" t="e">
        <f>IF(A996&lt;&gt;"",IF(AND(#REF!="Padrão",$H$4=#REF!),BDI!$B$17,IF(AND(#REF!="Padrão",$H$4=#REF!),BDI!#REF!,IF(AND(#REF!="Diferenciado",$H$4=#REF!),BDI!$E$17,IF(AND(#REF!="Diferenciado",$H$4=#REF!),BDI!#REF!,IF(#REF!="ZERO",0))))),"")</f>
        <v>#REF!</v>
      </c>
      <c r="H996" s="139" t="e">
        <f t="shared" ca="1" si="106"/>
        <v>#REF!</v>
      </c>
      <c r="I996" s="137" t="e">
        <f t="shared" ca="1" si="107"/>
        <v>#REF!</v>
      </c>
      <c r="J996" s="117"/>
      <c r="K996" s="116">
        <v>0</v>
      </c>
      <c r="M996" s="136" t="e">
        <f ca="1">OFFSET(INDEX([1]Composições!I:R,MATCH([1]Orçamentária!I996,[1]Composições!I:I,0),8),2,0)</f>
        <v>#REF!</v>
      </c>
      <c r="N996" t="e">
        <v>#REF!</v>
      </c>
      <c r="Q996" t="e">
        <v>#REF!</v>
      </c>
    </row>
    <row r="997" spans="1:17" hidden="1" x14ac:dyDescent="0.25">
      <c r="A997" s="114" t="s">
        <v>960</v>
      </c>
      <c r="B997" s="115" t="s">
        <v>2538</v>
      </c>
      <c r="C997" s="116" t="s">
        <v>69</v>
      </c>
      <c r="D997" s="116">
        <v>0</v>
      </c>
      <c r="E997" s="136">
        <f ca="1">OFFSET(INDEX(Composições!A:J,MATCH(Orçamentária!A997,Composições!A:A,0),8),2,0)</f>
        <v>146.31735129399999</v>
      </c>
      <c r="F997" s="137">
        <f t="shared" ca="1" si="105"/>
        <v>0</v>
      </c>
      <c r="G997" s="138" t="e">
        <f>IF(A997&lt;&gt;"",IF(AND(#REF!="Padrão",$H$4=#REF!),BDI!$B$17,IF(AND(#REF!="Padrão",$H$4=#REF!),BDI!#REF!,IF(AND(#REF!="Diferenciado",$H$4=#REF!),BDI!$E$17,IF(AND(#REF!="Diferenciado",$H$4=#REF!),BDI!#REF!,IF(#REF!="ZERO",0))))),"")</f>
        <v>#REF!</v>
      </c>
      <c r="H997" s="139" t="e">
        <f t="shared" ca="1" si="106"/>
        <v>#REF!</v>
      </c>
      <c r="I997" s="137" t="e">
        <f t="shared" ca="1" si="107"/>
        <v>#REF!</v>
      </c>
      <c r="J997" s="117"/>
      <c r="K997" s="116">
        <v>0</v>
      </c>
      <c r="M997" s="136" t="e">
        <f ca="1">OFFSET(INDEX([1]Composições!I:R,MATCH([1]Orçamentária!I997,[1]Composições!I:I,0),8),2,0)</f>
        <v>#REF!</v>
      </c>
      <c r="N997" t="e">
        <v>#REF!</v>
      </c>
      <c r="Q997" t="e">
        <v>#REF!</v>
      </c>
    </row>
    <row r="998" spans="1:17" hidden="1" x14ac:dyDescent="0.25">
      <c r="A998" s="114" t="s">
        <v>2539</v>
      </c>
      <c r="B998" s="115" t="s">
        <v>2540</v>
      </c>
      <c r="C998" s="116" t="s">
        <v>70</v>
      </c>
      <c r="D998" s="116">
        <v>0</v>
      </c>
      <c r="E998" s="136" t="s">
        <v>416</v>
      </c>
      <c r="F998" s="137" t="str">
        <f t="shared" si="105"/>
        <v/>
      </c>
      <c r="G998" s="138" t="e">
        <f>IF(A998&lt;&gt;"",IF(AND(#REF!="Padrão",$H$4=#REF!),BDI!$B$17,IF(AND(#REF!="Padrão",$H$4=#REF!),BDI!#REF!,IF(AND(#REF!="Diferenciado",$H$4=#REF!),BDI!$E$17,IF(AND(#REF!="Diferenciado",$H$4=#REF!),BDI!#REF!,IF(#REF!="ZERO",0))))),"")</f>
        <v>#REF!</v>
      </c>
      <c r="H998" s="139" t="str">
        <f t="shared" si="106"/>
        <v/>
      </c>
      <c r="I998" s="137" t="str">
        <f t="shared" si="107"/>
        <v/>
      </c>
      <c r="J998" s="117"/>
      <c r="K998" s="116">
        <v>0</v>
      </c>
      <c r="M998" s="136" t="s">
        <v>416</v>
      </c>
      <c r="N998" t="e">
        <v>#REF!</v>
      </c>
      <c r="Q998" t="s">
        <v>416</v>
      </c>
    </row>
    <row r="999" spans="1:17" hidden="1" x14ac:dyDescent="0.25">
      <c r="A999" s="114" t="s">
        <v>965</v>
      </c>
      <c r="B999" s="115" t="s">
        <v>2541</v>
      </c>
      <c r="C999" s="116" t="s">
        <v>16</v>
      </c>
      <c r="D999" s="116">
        <v>0</v>
      </c>
      <c r="E999" s="136">
        <f ca="1">OFFSET(INDEX(Composições!A:J,MATCH(Orçamentária!A999,Composições!A:A,0),8),2,0)</f>
        <v>9.7687871391722965</v>
      </c>
      <c r="F999" s="137">
        <f t="shared" ca="1" si="105"/>
        <v>0</v>
      </c>
      <c r="G999" s="138" t="e">
        <f>IF(A999&lt;&gt;"",IF(AND(#REF!="Padrão",$H$4=#REF!),BDI!$B$17,IF(AND(#REF!="Padrão",$H$4=#REF!),BDI!#REF!,IF(AND(#REF!="Diferenciado",$H$4=#REF!),BDI!$E$17,IF(AND(#REF!="Diferenciado",$H$4=#REF!),BDI!#REF!,IF(#REF!="ZERO",0))))),"")</f>
        <v>#REF!</v>
      </c>
      <c r="H999" s="139" t="e">
        <f t="shared" ca="1" si="106"/>
        <v>#REF!</v>
      </c>
      <c r="I999" s="137" t="e">
        <f t="shared" ca="1" si="107"/>
        <v>#REF!</v>
      </c>
      <c r="J999" s="117"/>
      <c r="K999" s="116">
        <v>0</v>
      </c>
      <c r="M999" s="136" t="e">
        <f ca="1">OFFSET(INDEX([1]Composições!I:R,MATCH([1]Orçamentária!I999,[1]Composições!I:I,0),8),2,0)</f>
        <v>#REF!</v>
      </c>
      <c r="N999" t="e">
        <v>#REF!</v>
      </c>
      <c r="Q999" t="e">
        <v>#REF!</v>
      </c>
    </row>
    <row r="1000" spans="1:17" hidden="1" x14ac:dyDescent="0.25">
      <c r="A1000" s="114" t="s">
        <v>2542</v>
      </c>
      <c r="B1000" s="115" t="s">
        <v>2543</v>
      </c>
      <c r="C1000" s="116" t="s">
        <v>16</v>
      </c>
      <c r="D1000" s="116">
        <v>0</v>
      </c>
      <c r="E1000" s="136" t="s">
        <v>416</v>
      </c>
      <c r="F1000" s="137" t="str">
        <f t="shared" si="105"/>
        <v/>
      </c>
      <c r="G1000" s="138" t="e">
        <f>IF(A1000&lt;&gt;"",IF(AND(#REF!="Padrão",$H$4=#REF!),BDI!$B$17,IF(AND(#REF!="Padrão",$H$4=#REF!),BDI!#REF!,IF(AND(#REF!="Diferenciado",$H$4=#REF!),BDI!$E$17,IF(AND(#REF!="Diferenciado",$H$4=#REF!),BDI!#REF!,IF(#REF!="ZERO",0))))),"")</f>
        <v>#REF!</v>
      </c>
      <c r="H1000" s="139" t="str">
        <f t="shared" si="106"/>
        <v/>
      </c>
      <c r="I1000" s="137" t="str">
        <f t="shared" si="107"/>
        <v/>
      </c>
      <c r="J1000" s="117"/>
      <c r="K1000" s="116">
        <v>0</v>
      </c>
      <c r="M1000" s="136" t="s">
        <v>416</v>
      </c>
      <c r="N1000" t="e">
        <v>#REF!</v>
      </c>
      <c r="Q1000" t="s">
        <v>416</v>
      </c>
    </row>
    <row r="1001" spans="1:17" hidden="1" x14ac:dyDescent="0.25">
      <c r="A1001" s="114" t="s">
        <v>2544</v>
      </c>
      <c r="B1001" s="115" t="s">
        <v>2545</v>
      </c>
      <c r="C1001" s="116" t="s">
        <v>16</v>
      </c>
      <c r="D1001" s="116">
        <v>0</v>
      </c>
      <c r="E1001" s="136" t="s">
        <v>416</v>
      </c>
      <c r="F1001" s="137" t="str">
        <f t="shared" si="105"/>
        <v/>
      </c>
      <c r="G1001" s="138" t="e">
        <f>IF(A1001&lt;&gt;"",IF(AND(#REF!="Padrão",$H$4=#REF!),BDI!$B$17,IF(AND(#REF!="Padrão",$H$4=#REF!),BDI!#REF!,IF(AND(#REF!="Diferenciado",$H$4=#REF!),BDI!$E$17,IF(AND(#REF!="Diferenciado",$H$4=#REF!),BDI!#REF!,IF(#REF!="ZERO",0))))),"")</f>
        <v>#REF!</v>
      </c>
      <c r="H1001" s="139" t="str">
        <f t="shared" si="106"/>
        <v/>
      </c>
      <c r="I1001" s="137" t="str">
        <f t="shared" si="107"/>
        <v/>
      </c>
      <c r="J1001" s="117"/>
      <c r="K1001" s="116">
        <v>0</v>
      </c>
      <c r="M1001" s="136" t="s">
        <v>416</v>
      </c>
      <c r="N1001" t="e">
        <v>#REF!</v>
      </c>
      <c r="Q1001" t="s">
        <v>416</v>
      </c>
    </row>
    <row r="1002" spans="1:17" hidden="1" x14ac:dyDescent="0.25">
      <c r="A1002" s="114" t="s">
        <v>2546</v>
      </c>
      <c r="B1002" s="115" t="s">
        <v>2547</v>
      </c>
      <c r="C1002" s="116" t="s">
        <v>16</v>
      </c>
      <c r="D1002" s="116">
        <v>0</v>
      </c>
      <c r="E1002" s="136" t="s">
        <v>416</v>
      </c>
      <c r="F1002" s="137" t="str">
        <f t="shared" si="105"/>
        <v/>
      </c>
      <c r="G1002" s="138" t="e">
        <f>IF(A1002&lt;&gt;"",IF(AND(#REF!="Padrão",$H$4=#REF!),BDI!$B$17,IF(AND(#REF!="Padrão",$H$4=#REF!),BDI!#REF!,IF(AND(#REF!="Diferenciado",$H$4=#REF!),BDI!$E$17,IF(AND(#REF!="Diferenciado",$H$4=#REF!),BDI!#REF!,IF(#REF!="ZERO",0))))),"")</f>
        <v>#REF!</v>
      </c>
      <c r="H1002" s="139" t="str">
        <f t="shared" si="106"/>
        <v/>
      </c>
      <c r="I1002" s="137" t="str">
        <f t="shared" si="107"/>
        <v/>
      </c>
      <c r="J1002" s="117"/>
      <c r="K1002" s="116">
        <v>0</v>
      </c>
      <c r="M1002" s="136" t="s">
        <v>416</v>
      </c>
      <c r="N1002" t="e">
        <v>#REF!</v>
      </c>
      <c r="Q1002" t="s">
        <v>416</v>
      </c>
    </row>
    <row r="1003" spans="1:17" hidden="1" x14ac:dyDescent="0.25">
      <c r="A1003" s="114" t="s">
        <v>2548</v>
      </c>
      <c r="B1003" s="115" t="s">
        <v>2549</v>
      </c>
      <c r="C1003" s="116" t="s">
        <v>2550</v>
      </c>
      <c r="D1003" s="116">
        <v>0</v>
      </c>
      <c r="E1003" s="136" t="s">
        <v>416</v>
      </c>
      <c r="F1003" s="137" t="str">
        <f t="shared" si="105"/>
        <v/>
      </c>
      <c r="G1003" s="138" t="e">
        <f>IF(A1003&lt;&gt;"",IF(AND(#REF!="Padrão",$H$4=#REF!),BDI!$B$17,IF(AND(#REF!="Padrão",$H$4=#REF!),BDI!#REF!,IF(AND(#REF!="Diferenciado",$H$4=#REF!),BDI!$E$17,IF(AND(#REF!="Diferenciado",$H$4=#REF!),BDI!#REF!,IF(#REF!="ZERO",0))))),"")</f>
        <v>#REF!</v>
      </c>
      <c r="H1003" s="139" t="str">
        <f t="shared" si="106"/>
        <v/>
      </c>
      <c r="I1003" s="137" t="str">
        <f t="shared" si="107"/>
        <v/>
      </c>
      <c r="J1003" s="117"/>
      <c r="K1003" s="116">
        <v>0</v>
      </c>
      <c r="M1003" s="136" t="s">
        <v>416</v>
      </c>
      <c r="N1003" t="e">
        <v>#REF!</v>
      </c>
      <c r="Q1003" t="s">
        <v>416</v>
      </c>
    </row>
    <row r="1004" spans="1:17" hidden="1" x14ac:dyDescent="0.25">
      <c r="A1004" s="114" t="s">
        <v>2551</v>
      </c>
      <c r="B1004" s="115" t="s">
        <v>2552</v>
      </c>
      <c r="C1004" s="116" t="s">
        <v>16</v>
      </c>
      <c r="D1004" s="116">
        <v>0</v>
      </c>
      <c r="E1004" s="136" t="s">
        <v>416</v>
      </c>
      <c r="F1004" s="137" t="str">
        <f t="shared" si="105"/>
        <v/>
      </c>
      <c r="G1004" s="138" t="e">
        <f>IF(A1004&lt;&gt;"",IF(AND(#REF!="Padrão",$H$4=#REF!),BDI!$B$17,IF(AND(#REF!="Padrão",$H$4=#REF!),BDI!#REF!,IF(AND(#REF!="Diferenciado",$H$4=#REF!),BDI!$E$17,IF(AND(#REF!="Diferenciado",$H$4=#REF!),BDI!#REF!,IF(#REF!="ZERO",0))))),"")</f>
        <v>#REF!</v>
      </c>
      <c r="H1004" s="139" t="str">
        <f t="shared" si="106"/>
        <v/>
      </c>
      <c r="I1004" s="137" t="str">
        <f t="shared" si="107"/>
        <v/>
      </c>
      <c r="J1004" s="117"/>
      <c r="K1004" s="116">
        <v>0</v>
      </c>
      <c r="M1004" s="136" t="s">
        <v>416</v>
      </c>
      <c r="N1004" t="e">
        <v>#REF!</v>
      </c>
      <c r="Q1004" t="s">
        <v>416</v>
      </c>
    </row>
    <row r="1005" spans="1:17" hidden="1" x14ac:dyDescent="0.25">
      <c r="A1005" s="114" t="s">
        <v>2553</v>
      </c>
      <c r="B1005" s="115" t="s">
        <v>7686</v>
      </c>
      <c r="C1005" s="116" t="s">
        <v>69</v>
      </c>
      <c r="D1005" s="116">
        <v>0</v>
      </c>
      <c r="E1005" s="136" t="s">
        <v>416</v>
      </c>
      <c r="F1005" s="137" t="str">
        <f t="shared" si="105"/>
        <v/>
      </c>
      <c r="G1005" s="138" t="e">
        <f>IF(A1005&lt;&gt;"",IF(AND(#REF!="Padrão",$H$4=#REF!),BDI!$B$17,IF(AND(#REF!="Padrão",$H$4=#REF!),BDI!#REF!,IF(AND(#REF!="Diferenciado",$H$4=#REF!),BDI!$E$17,IF(AND(#REF!="Diferenciado",$H$4=#REF!),BDI!#REF!,IF(#REF!="ZERO",0))))),"")</f>
        <v>#REF!</v>
      </c>
      <c r="H1005" s="139" t="str">
        <f t="shared" si="106"/>
        <v/>
      </c>
      <c r="I1005" s="137" t="str">
        <f t="shared" si="107"/>
        <v/>
      </c>
      <c r="J1005" s="117"/>
      <c r="K1005" s="116">
        <v>0</v>
      </c>
      <c r="M1005" s="136" t="s">
        <v>416</v>
      </c>
      <c r="N1005" t="e">
        <v>#REF!</v>
      </c>
      <c r="Q1005" t="s">
        <v>416</v>
      </c>
    </row>
    <row r="1006" spans="1:17" hidden="1" x14ac:dyDescent="0.25">
      <c r="A1006" s="114" t="s">
        <v>967</v>
      </c>
      <c r="B1006" s="115" t="s">
        <v>2554</v>
      </c>
      <c r="C1006" s="116" t="s">
        <v>2555</v>
      </c>
      <c r="D1006" s="116">
        <v>0</v>
      </c>
      <c r="E1006" s="136">
        <f ca="1">OFFSET(INDEX(Composições!A:J,MATCH(Orçamentária!A1006,Composições!A:A,0),8),2,0)</f>
        <v>1163.75</v>
      </c>
      <c r="F1006" s="137">
        <f t="shared" ca="1" si="105"/>
        <v>0</v>
      </c>
      <c r="G1006" s="138" t="e">
        <f>IF(A1006&lt;&gt;"",IF(AND(#REF!="Padrão",$H$4=#REF!),BDI!$B$17,IF(AND(#REF!="Padrão",$H$4=#REF!),BDI!#REF!,IF(AND(#REF!="Diferenciado",$H$4=#REF!),BDI!$E$17,IF(AND(#REF!="Diferenciado",$H$4=#REF!),BDI!#REF!,IF(#REF!="ZERO",0))))),"")</f>
        <v>#REF!</v>
      </c>
      <c r="H1006" s="139" t="e">
        <f t="shared" ca="1" si="106"/>
        <v>#REF!</v>
      </c>
      <c r="I1006" s="137" t="e">
        <f t="shared" ca="1" si="107"/>
        <v>#REF!</v>
      </c>
      <c r="J1006" s="117"/>
      <c r="K1006" s="116">
        <v>0</v>
      </c>
      <c r="M1006" s="136" t="e">
        <f ca="1">OFFSET(INDEX([1]Composições!I:R,MATCH([1]Orçamentária!I1006,[1]Composições!I:I,0),8),2,0)</f>
        <v>#REF!</v>
      </c>
      <c r="N1006" t="e">
        <v>#REF!</v>
      </c>
      <c r="Q1006" t="e">
        <v>#REF!</v>
      </c>
    </row>
    <row r="1007" spans="1:17" hidden="1" x14ac:dyDescent="0.25">
      <c r="A1007" s="114" t="s">
        <v>2556</v>
      </c>
      <c r="B1007" s="115" t="s">
        <v>2557</v>
      </c>
      <c r="C1007" s="116" t="s">
        <v>69</v>
      </c>
      <c r="D1007" s="116">
        <v>0</v>
      </c>
      <c r="E1007" s="136" t="s">
        <v>416</v>
      </c>
      <c r="F1007" s="137" t="str">
        <f t="shared" si="105"/>
        <v/>
      </c>
      <c r="G1007" s="138" t="e">
        <f>IF(A1007&lt;&gt;"",IF(AND(#REF!="Padrão",$H$4=#REF!),BDI!$B$17,IF(AND(#REF!="Padrão",$H$4=#REF!),BDI!#REF!,IF(AND(#REF!="Diferenciado",$H$4=#REF!),BDI!$E$17,IF(AND(#REF!="Diferenciado",$H$4=#REF!),BDI!#REF!,IF(#REF!="ZERO",0))))),"")</f>
        <v>#REF!</v>
      </c>
      <c r="H1007" s="139" t="str">
        <f t="shared" si="106"/>
        <v/>
      </c>
      <c r="I1007" s="137" t="str">
        <f t="shared" si="107"/>
        <v/>
      </c>
      <c r="J1007" s="117"/>
      <c r="K1007" s="116">
        <v>0</v>
      </c>
      <c r="M1007" s="136" t="s">
        <v>416</v>
      </c>
      <c r="N1007" t="e">
        <v>#REF!</v>
      </c>
      <c r="Q1007" t="s">
        <v>416</v>
      </c>
    </row>
    <row r="1008" spans="1:17" hidden="1" x14ac:dyDescent="0.25">
      <c r="A1008" s="114" t="s">
        <v>2558</v>
      </c>
      <c r="B1008" s="115" t="s">
        <v>3260</v>
      </c>
      <c r="C1008" s="116" t="s">
        <v>70</v>
      </c>
      <c r="D1008" s="116">
        <v>0</v>
      </c>
      <c r="E1008" s="136" t="s">
        <v>416</v>
      </c>
      <c r="F1008" s="137" t="str">
        <f t="shared" si="105"/>
        <v/>
      </c>
      <c r="G1008" s="138" t="e">
        <f>IF(A1008&lt;&gt;"",IF(AND(#REF!="Padrão",$H$4=#REF!),BDI!$B$17,IF(AND(#REF!="Padrão",$H$4=#REF!),BDI!#REF!,IF(AND(#REF!="Diferenciado",$H$4=#REF!),BDI!$E$17,IF(AND(#REF!="Diferenciado",$H$4=#REF!),BDI!#REF!,IF(#REF!="ZERO",0))))),"")</f>
        <v>#REF!</v>
      </c>
      <c r="H1008" s="139" t="str">
        <f t="shared" si="106"/>
        <v/>
      </c>
      <c r="I1008" s="137" t="str">
        <f t="shared" si="107"/>
        <v/>
      </c>
      <c r="J1008" s="117"/>
      <c r="K1008" s="116">
        <v>0</v>
      </c>
      <c r="M1008" s="136" t="s">
        <v>416</v>
      </c>
      <c r="N1008" t="e">
        <v>#REF!</v>
      </c>
      <c r="Q1008" t="s">
        <v>416</v>
      </c>
    </row>
    <row r="1009" spans="1:17" hidden="1" x14ac:dyDescent="0.25">
      <c r="A1009" s="114" t="s">
        <v>2559</v>
      </c>
      <c r="B1009" s="115" t="s">
        <v>2560</v>
      </c>
      <c r="C1009" s="116" t="s">
        <v>70</v>
      </c>
      <c r="D1009" s="116">
        <v>0</v>
      </c>
      <c r="E1009" s="136" t="s">
        <v>416</v>
      </c>
      <c r="F1009" s="137" t="str">
        <f t="shared" si="105"/>
        <v/>
      </c>
      <c r="G1009" s="138" t="e">
        <f>IF(A1009&lt;&gt;"",IF(AND(#REF!="Padrão",$H$4=#REF!),BDI!$B$17,IF(AND(#REF!="Padrão",$H$4=#REF!),BDI!#REF!,IF(AND(#REF!="Diferenciado",$H$4=#REF!),BDI!$E$17,IF(AND(#REF!="Diferenciado",$H$4=#REF!),BDI!#REF!,IF(#REF!="ZERO",0))))),"")</f>
        <v>#REF!</v>
      </c>
      <c r="H1009" s="139" t="str">
        <f t="shared" si="106"/>
        <v/>
      </c>
      <c r="I1009" s="137" t="str">
        <f t="shared" si="107"/>
        <v/>
      </c>
      <c r="J1009" s="117"/>
      <c r="K1009" s="116">
        <v>0</v>
      </c>
      <c r="M1009" s="136" t="s">
        <v>416</v>
      </c>
      <c r="N1009" t="e">
        <v>#REF!</v>
      </c>
      <c r="Q1009" t="s">
        <v>416</v>
      </c>
    </row>
    <row r="1010" spans="1:17" hidden="1" x14ac:dyDescent="0.25">
      <c r="A1010" s="114" t="s">
        <v>2561</v>
      </c>
      <c r="B1010" s="115" t="s">
        <v>3261</v>
      </c>
      <c r="C1010" s="116" t="s">
        <v>70</v>
      </c>
      <c r="D1010" s="116">
        <v>0</v>
      </c>
      <c r="E1010" s="136" t="s">
        <v>416</v>
      </c>
      <c r="F1010" s="137" t="str">
        <f t="shared" si="105"/>
        <v/>
      </c>
      <c r="G1010" s="138" t="e">
        <f>IF(A1010&lt;&gt;"",IF(AND(#REF!="Padrão",$H$4=#REF!),BDI!$B$17,IF(AND(#REF!="Padrão",$H$4=#REF!),BDI!#REF!,IF(AND(#REF!="Diferenciado",$H$4=#REF!),BDI!$E$17,IF(AND(#REF!="Diferenciado",$H$4=#REF!),BDI!#REF!,IF(#REF!="ZERO",0))))),"")</f>
        <v>#REF!</v>
      </c>
      <c r="H1010" s="139" t="str">
        <f t="shared" si="106"/>
        <v/>
      </c>
      <c r="I1010" s="137" t="str">
        <f t="shared" si="107"/>
        <v/>
      </c>
      <c r="J1010" s="117"/>
      <c r="K1010" s="116">
        <v>0</v>
      </c>
      <c r="M1010" s="136" t="s">
        <v>416</v>
      </c>
      <c r="N1010" t="e">
        <v>#REF!</v>
      </c>
      <c r="Q1010" t="s">
        <v>416</v>
      </c>
    </row>
    <row r="1011" spans="1:17" hidden="1" x14ac:dyDescent="0.25">
      <c r="A1011" s="114" t="s">
        <v>2562</v>
      </c>
      <c r="B1011" s="115" t="s">
        <v>2563</v>
      </c>
      <c r="C1011" s="116" t="s">
        <v>70</v>
      </c>
      <c r="D1011" s="116">
        <v>0</v>
      </c>
      <c r="E1011" s="136" t="s">
        <v>416</v>
      </c>
      <c r="F1011" s="137" t="str">
        <f t="shared" si="105"/>
        <v/>
      </c>
      <c r="G1011" s="138" t="e">
        <f>IF(A1011&lt;&gt;"",IF(AND(#REF!="Padrão",$H$4=#REF!),BDI!$B$17,IF(AND(#REF!="Padrão",$H$4=#REF!),BDI!#REF!,IF(AND(#REF!="Diferenciado",$H$4=#REF!),BDI!$E$17,IF(AND(#REF!="Diferenciado",$H$4=#REF!),BDI!#REF!,IF(#REF!="ZERO",0))))),"")</f>
        <v>#REF!</v>
      </c>
      <c r="H1011" s="139" t="str">
        <f t="shared" si="106"/>
        <v/>
      </c>
      <c r="I1011" s="137" t="str">
        <f t="shared" si="107"/>
        <v/>
      </c>
      <c r="J1011" s="117"/>
      <c r="K1011" s="116">
        <v>0</v>
      </c>
      <c r="M1011" s="136" t="s">
        <v>416</v>
      </c>
      <c r="N1011" t="e">
        <v>#REF!</v>
      </c>
      <c r="Q1011" t="s">
        <v>416</v>
      </c>
    </row>
    <row r="1012" spans="1:17" hidden="1" x14ac:dyDescent="0.25">
      <c r="A1012" s="114" t="s">
        <v>2564</v>
      </c>
      <c r="B1012" s="115" t="s">
        <v>7687</v>
      </c>
      <c r="C1012" s="116" t="s">
        <v>70</v>
      </c>
      <c r="D1012" s="116">
        <v>0</v>
      </c>
      <c r="E1012" s="136" t="s">
        <v>416</v>
      </c>
      <c r="F1012" s="137" t="str">
        <f t="shared" si="105"/>
        <v/>
      </c>
      <c r="G1012" s="138" t="e">
        <f>IF(A1012&lt;&gt;"",IF(AND(#REF!="Padrão",$H$4=#REF!),BDI!$B$17,IF(AND(#REF!="Padrão",$H$4=#REF!),BDI!#REF!,IF(AND(#REF!="Diferenciado",$H$4=#REF!),BDI!$E$17,IF(AND(#REF!="Diferenciado",$H$4=#REF!),BDI!#REF!,IF(#REF!="ZERO",0))))),"")</f>
        <v>#REF!</v>
      </c>
      <c r="H1012" s="139" t="str">
        <f t="shared" si="106"/>
        <v/>
      </c>
      <c r="I1012" s="137" t="str">
        <f t="shared" si="107"/>
        <v/>
      </c>
      <c r="J1012" s="117"/>
      <c r="K1012" s="116">
        <v>0</v>
      </c>
      <c r="M1012" s="136" t="s">
        <v>416</v>
      </c>
      <c r="N1012" t="e">
        <v>#REF!</v>
      </c>
      <c r="Q1012" t="s">
        <v>416</v>
      </c>
    </row>
    <row r="1013" spans="1:17" hidden="1" x14ac:dyDescent="0.25">
      <c r="A1013" s="114" t="s">
        <v>2565</v>
      </c>
      <c r="B1013" s="115" t="s">
        <v>7688</v>
      </c>
      <c r="C1013" s="116" t="s">
        <v>16</v>
      </c>
      <c r="D1013" s="116">
        <v>0</v>
      </c>
      <c r="E1013" s="136" t="s">
        <v>416</v>
      </c>
      <c r="F1013" s="137" t="str">
        <f t="shared" si="105"/>
        <v/>
      </c>
      <c r="G1013" s="138" t="e">
        <f>IF(A1013&lt;&gt;"",IF(AND(#REF!="Padrão",$H$4=#REF!),BDI!$B$17,IF(AND(#REF!="Padrão",$H$4=#REF!),BDI!#REF!,IF(AND(#REF!="Diferenciado",$H$4=#REF!),BDI!$E$17,IF(AND(#REF!="Diferenciado",$H$4=#REF!),BDI!#REF!,IF(#REF!="ZERO",0))))),"")</f>
        <v>#REF!</v>
      </c>
      <c r="H1013" s="139" t="str">
        <f t="shared" si="106"/>
        <v/>
      </c>
      <c r="I1013" s="137" t="str">
        <f t="shared" si="107"/>
        <v/>
      </c>
      <c r="J1013" s="117"/>
      <c r="K1013" s="116">
        <v>0</v>
      </c>
      <c r="M1013" s="136" t="s">
        <v>416</v>
      </c>
      <c r="N1013" t="e">
        <v>#REF!</v>
      </c>
      <c r="Q1013" t="s">
        <v>416</v>
      </c>
    </row>
    <row r="1014" spans="1:17" hidden="1" x14ac:dyDescent="0.25">
      <c r="A1014" s="114" t="s">
        <v>2566</v>
      </c>
      <c r="B1014" s="115" t="s">
        <v>2567</v>
      </c>
      <c r="C1014" s="116" t="s">
        <v>2532</v>
      </c>
      <c r="D1014" s="116">
        <v>0</v>
      </c>
      <c r="E1014" s="136" t="s">
        <v>416</v>
      </c>
      <c r="F1014" s="137" t="str">
        <f t="shared" si="105"/>
        <v/>
      </c>
      <c r="G1014" s="138" t="e">
        <f>IF(A1014&lt;&gt;"",IF(AND(#REF!="Padrão",$H$4=#REF!),BDI!$B$17,IF(AND(#REF!="Padrão",$H$4=#REF!),BDI!#REF!,IF(AND(#REF!="Diferenciado",$H$4=#REF!),BDI!$E$17,IF(AND(#REF!="Diferenciado",$H$4=#REF!),BDI!#REF!,IF(#REF!="ZERO",0))))),"")</f>
        <v>#REF!</v>
      </c>
      <c r="H1014" s="139" t="str">
        <f t="shared" si="106"/>
        <v/>
      </c>
      <c r="I1014" s="137" t="str">
        <f t="shared" si="107"/>
        <v/>
      </c>
      <c r="J1014" s="117"/>
      <c r="K1014" s="116">
        <v>0</v>
      </c>
      <c r="M1014" s="136" t="s">
        <v>416</v>
      </c>
      <c r="N1014" t="e">
        <v>#REF!</v>
      </c>
      <c r="Q1014" t="s">
        <v>416</v>
      </c>
    </row>
    <row r="1015" spans="1:17" hidden="1" x14ac:dyDescent="0.25">
      <c r="A1015" s="114" t="s">
        <v>2568</v>
      </c>
      <c r="B1015" s="115" t="s">
        <v>2569</v>
      </c>
      <c r="C1015" s="116" t="s">
        <v>16</v>
      </c>
      <c r="D1015" s="116">
        <v>0</v>
      </c>
      <c r="E1015" s="136" t="s">
        <v>416</v>
      </c>
      <c r="F1015" s="137" t="str">
        <f t="shared" si="105"/>
        <v/>
      </c>
      <c r="G1015" s="138" t="e">
        <f>IF(A1015&lt;&gt;"",IF(AND(#REF!="Padrão",$H$4=#REF!),BDI!$B$17,IF(AND(#REF!="Padrão",$H$4=#REF!),BDI!#REF!,IF(AND(#REF!="Diferenciado",$H$4=#REF!),BDI!$E$17,IF(AND(#REF!="Diferenciado",$H$4=#REF!),BDI!#REF!,IF(#REF!="ZERO",0))))),"")</f>
        <v>#REF!</v>
      </c>
      <c r="H1015" s="139" t="str">
        <f t="shared" si="106"/>
        <v/>
      </c>
      <c r="I1015" s="137" t="str">
        <f t="shared" si="107"/>
        <v/>
      </c>
      <c r="J1015" s="117"/>
      <c r="K1015" s="116">
        <v>0</v>
      </c>
      <c r="M1015" s="136" t="s">
        <v>416</v>
      </c>
      <c r="N1015" t="e">
        <v>#REF!</v>
      </c>
      <c r="Q1015" t="s">
        <v>416</v>
      </c>
    </row>
    <row r="1016" spans="1:17" hidden="1" x14ac:dyDescent="0.25">
      <c r="A1016" s="114" t="s">
        <v>968</v>
      </c>
      <c r="B1016" s="115" t="s">
        <v>2570</v>
      </c>
      <c r="C1016" s="116" t="s">
        <v>69</v>
      </c>
      <c r="D1016" s="116">
        <v>0</v>
      </c>
      <c r="E1016" s="136">
        <f ca="1">OFFSET(INDEX(Composições!A:J,MATCH(Orçamentária!A1016,Composições!A:A,0),8),2,0)</f>
        <v>45.447067364708005</v>
      </c>
      <c r="F1016" s="137">
        <f t="shared" ca="1" si="105"/>
        <v>0</v>
      </c>
      <c r="G1016" s="138" t="e">
        <f>IF(A1016&lt;&gt;"",IF(AND(#REF!="Padrão",$H$4=#REF!),BDI!$B$17,IF(AND(#REF!="Padrão",$H$4=#REF!),BDI!#REF!,IF(AND(#REF!="Diferenciado",$H$4=#REF!),BDI!$E$17,IF(AND(#REF!="Diferenciado",$H$4=#REF!),BDI!#REF!,IF(#REF!="ZERO",0))))),"")</f>
        <v>#REF!</v>
      </c>
      <c r="H1016" s="139" t="e">
        <f t="shared" ca="1" si="106"/>
        <v>#REF!</v>
      </c>
      <c r="I1016" s="137" t="e">
        <f t="shared" ca="1" si="107"/>
        <v>#REF!</v>
      </c>
      <c r="J1016" s="117"/>
      <c r="K1016" s="116">
        <v>0</v>
      </c>
      <c r="M1016" s="136" t="e">
        <f ca="1">OFFSET(INDEX([1]Composições!I:R,MATCH([1]Orçamentária!I1016,[1]Composições!I:I,0),8),2,0)</f>
        <v>#REF!</v>
      </c>
      <c r="N1016" t="e">
        <v>#REF!</v>
      </c>
      <c r="Q1016" t="e">
        <v>#REF!</v>
      </c>
    </row>
    <row r="1017" spans="1:17" hidden="1" x14ac:dyDescent="0.25">
      <c r="A1017" s="114" t="s">
        <v>971</v>
      </c>
      <c r="B1017" s="115" t="s">
        <v>2571</v>
      </c>
      <c r="C1017" s="116" t="s">
        <v>2532</v>
      </c>
      <c r="D1017" s="116">
        <v>0</v>
      </c>
      <c r="E1017" s="136">
        <f ca="1">OFFSET(INDEX(Composições!A:J,MATCH(Orçamentária!A1017,Composições!A:A,0),8),2,0)</f>
        <v>22.574729678638935</v>
      </c>
      <c r="F1017" s="137">
        <f t="shared" ca="1" si="105"/>
        <v>0</v>
      </c>
      <c r="G1017" s="138" t="e">
        <f>IF(A1017&lt;&gt;"",IF(AND(#REF!="Padrão",$H$4=#REF!),BDI!$B$17,IF(AND(#REF!="Padrão",$H$4=#REF!),BDI!#REF!,IF(AND(#REF!="Diferenciado",$H$4=#REF!),BDI!$E$17,IF(AND(#REF!="Diferenciado",$H$4=#REF!),BDI!#REF!,IF(#REF!="ZERO",0))))),"")</f>
        <v>#REF!</v>
      </c>
      <c r="H1017" s="139" t="e">
        <f t="shared" ca="1" si="106"/>
        <v>#REF!</v>
      </c>
      <c r="I1017" s="137" t="e">
        <f t="shared" ca="1" si="107"/>
        <v>#REF!</v>
      </c>
      <c r="J1017" s="117"/>
      <c r="K1017" s="116">
        <v>0</v>
      </c>
      <c r="M1017" s="136" t="e">
        <f ca="1">OFFSET(INDEX([1]Composições!I:R,MATCH([1]Orçamentária!I1017,[1]Composições!I:I,0),8),2,0)</f>
        <v>#REF!</v>
      </c>
      <c r="N1017" t="e">
        <v>#REF!</v>
      </c>
      <c r="Q1017" t="e">
        <v>#REF!</v>
      </c>
    </row>
    <row r="1018" spans="1:17" hidden="1" x14ac:dyDescent="0.25">
      <c r="A1018" s="114" t="s">
        <v>972</v>
      </c>
      <c r="B1018" s="115" t="s">
        <v>2572</v>
      </c>
      <c r="C1018" s="116" t="s">
        <v>70</v>
      </c>
      <c r="D1018" s="116">
        <v>0</v>
      </c>
      <c r="E1018" s="136">
        <f ca="1">OFFSET(INDEX(Composições!A:J,MATCH(Orçamentária!A1018,Composições!A:A,0),8),2,0)</f>
        <v>22.363949999999996</v>
      </c>
      <c r="F1018" s="137">
        <f t="shared" ca="1" si="105"/>
        <v>0</v>
      </c>
      <c r="G1018" s="138" t="e">
        <f>IF(A1018&lt;&gt;"",IF(AND(#REF!="Padrão",$H$4=#REF!),BDI!$B$17,IF(AND(#REF!="Padrão",$H$4=#REF!),BDI!#REF!,IF(AND(#REF!="Diferenciado",$H$4=#REF!),BDI!$E$17,IF(AND(#REF!="Diferenciado",$H$4=#REF!),BDI!#REF!,IF(#REF!="ZERO",0))))),"")</f>
        <v>#REF!</v>
      </c>
      <c r="H1018" s="139" t="e">
        <f t="shared" ca="1" si="106"/>
        <v>#REF!</v>
      </c>
      <c r="I1018" s="137" t="e">
        <f t="shared" ca="1" si="107"/>
        <v>#REF!</v>
      </c>
      <c r="J1018" s="117"/>
      <c r="K1018" s="116">
        <v>0</v>
      </c>
      <c r="M1018" s="136" t="e">
        <f ca="1">OFFSET(INDEX([1]Composições!I:R,MATCH([1]Orçamentária!I1018,[1]Composições!I:I,0),8),2,0)</f>
        <v>#REF!</v>
      </c>
      <c r="N1018" t="e">
        <v>#REF!</v>
      </c>
      <c r="Q1018" t="e">
        <v>#REF!</v>
      </c>
    </row>
    <row r="1019" spans="1:17" hidden="1" x14ac:dyDescent="0.25">
      <c r="A1019" s="114" t="s">
        <v>976</v>
      </c>
      <c r="B1019" s="115" t="s">
        <v>2573</v>
      </c>
      <c r="C1019" s="116" t="s">
        <v>70</v>
      </c>
      <c r="D1019" s="116">
        <v>0</v>
      </c>
      <c r="E1019" s="136">
        <f ca="1">OFFSET(INDEX(Composições!A:J,MATCH(Orçamentária!A1019,Composições!A:A,0),8),2,0)</f>
        <v>91.523703000000012</v>
      </c>
      <c r="F1019" s="137">
        <f t="shared" ca="1" si="105"/>
        <v>0</v>
      </c>
      <c r="G1019" s="138" t="e">
        <f>IF(A1019&lt;&gt;"",IF(AND(#REF!="Padrão",$H$4=#REF!),BDI!$B$17,IF(AND(#REF!="Padrão",$H$4=#REF!),BDI!#REF!,IF(AND(#REF!="Diferenciado",$H$4=#REF!),BDI!$E$17,IF(AND(#REF!="Diferenciado",$H$4=#REF!),BDI!#REF!,IF(#REF!="ZERO",0))))),"")</f>
        <v>#REF!</v>
      </c>
      <c r="H1019" s="139" t="e">
        <f t="shared" ca="1" si="106"/>
        <v>#REF!</v>
      </c>
      <c r="I1019" s="137" t="e">
        <f t="shared" ca="1" si="107"/>
        <v>#REF!</v>
      </c>
      <c r="J1019" s="117"/>
      <c r="K1019" s="116">
        <v>0</v>
      </c>
      <c r="M1019" s="136" t="e">
        <f ca="1">OFFSET(INDEX([1]Composições!I:R,MATCH([1]Orçamentária!I1019,[1]Composições!I:I,0),8),2,0)</f>
        <v>#REF!</v>
      </c>
      <c r="N1019" t="e">
        <v>#REF!</v>
      </c>
      <c r="Q1019" t="e">
        <v>#REF!</v>
      </c>
    </row>
    <row r="1020" spans="1:17" hidden="1" x14ac:dyDescent="0.25">
      <c r="A1020" s="114" t="s">
        <v>2574</v>
      </c>
      <c r="B1020" s="115" t="s">
        <v>7689</v>
      </c>
      <c r="C1020" s="116" t="s">
        <v>16</v>
      </c>
      <c r="D1020" s="116">
        <v>0</v>
      </c>
      <c r="E1020" s="136" t="s">
        <v>416</v>
      </c>
      <c r="F1020" s="137" t="str">
        <f t="shared" si="105"/>
        <v/>
      </c>
      <c r="G1020" s="138" t="e">
        <f>IF(A1020&lt;&gt;"",IF(AND(#REF!="Padrão",$H$4=#REF!),BDI!$B$17,IF(AND(#REF!="Padrão",$H$4=#REF!),BDI!#REF!,IF(AND(#REF!="Diferenciado",$H$4=#REF!),BDI!$E$17,IF(AND(#REF!="Diferenciado",$H$4=#REF!),BDI!#REF!,IF(#REF!="ZERO",0))))),"")</f>
        <v>#REF!</v>
      </c>
      <c r="H1020" s="139" t="str">
        <f t="shared" si="106"/>
        <v/>
      </c>
      <c r="I1020" s="137" t="str">
        <f t="shared" si="107"/>
        <v/>
      </c>
      <c r="J1020" s="117"/>
      <c r="K1020" s="116">
        <v>0</v>
      </c>
      <c r="M1020" s="136" t="s">
        <v>416</v>
      </c>
      <c r="N1020" t="e">
        <v>#REF!</v>
      </c>
      <c r="Q1020" t="s">
        <v>416</v>
      </c>
    </row>
    <row r="1021" spans="1:17" hidden="1" x14ac:dyDescent="0.25">
      <c r="A1021" s="114" t="s">
        <v>2575</v>
      </c>
      <c r="B1021" s="115" t="s">
        <v>2576</v>
      </c>
      <c r="C1021" s="116" t="s">
        <v>16</v>
      </c>
      <c r="D1021" s="116">
        <v>0</v>
      </c>
      <c r="E1021" s="136" t="s">
        <v>416</v>
      </c>
      <c r="F1021" s="137" t="str">
        <f t="shared" si="105"/>
        <v/>
      </c>
      <c r="G1021" s="138" t="e">
        <f>IF(A1021&lt;&gt;"",IF(AND(#REF!="Padrão",$H$4=#REF!),BDI!$B$17,IF(AND(#REF!="Padrão",$H$4=#REF!),BDI!#REF!,IF(AND(#REF!="Diferenciado",$H$4=#REF!),BDI!$E$17,IF(AND(#REF!="Diferenciado",$H$4=#REF!),BDI!#REF!,IF(#REF!="ZERO",0))))),"")</f>
        <v>#REF!</v>
      </c>
      <c r="H1021" s="139" t="str">
        <f t="shared" si="106"/>
        <v/>
      </c>
      <c r="I1021" s="137" t="str">
        <f t="shared" si="107"/>
        <v/>
      </c>
      <c r="J1021" s="117"/>
      <c r="K1021" s="116">
        <v>0</v>
      </c>
      <c r="M1021" s="136" t="s">
        <v>416</v>
      </c>
      <c r="N1021" t="e">
        <v>#REF!</v>
      </c>
      <c r="Q1021" t="s">
        <v>416</v>
      </c>
    </row>
    <row r="1022" spans="1:17" ht="25.5" hidden="1" x14ac:dyDescent="0.25">
      <c r="A1022" s="114" t="s">
        <v>2577</v>
      </c>
      <c r="B1022" s="115" t="s">
        <v>7690</v>
      </c>
      <c r="C1022" s="116" t="s">
        <v>16</v>
      </c>
      <c r="D1022" s="116">
        <v>0</v>
      </c>
      <c r="E1022" s="136" t="s">
        <v>416</v>
      </c>
      <c r="F1022" s="137" t="str">
        <f t="shared" si="105"/>
        <v/>
      </c>
      <c r="G1022" s="138" t="e">
        <f>IF(A1022&lt;&gt;"",IF(AND(#REF!="Padrão",$H$4=#REF!),BDI!$B$17,IF(AND(#REF!="Padrão",$H$4=#REF!),BDI!#REF!,IF(AND(#REF!="Diferenciado",$H$4=#REF!),BDI!$E$17,IF(AND(#REF!="Diferenciado",$H$4=#REF!),BDI!#REF!,IF(#REF!="ZERO",0))))),"")</f>
        <v>#REF!</v>
      </c>
      <c r="H1022" s="139" t="str">
        <f t="shared" si="106"/>
        <v/>
      </c>
      <c r="I1022" s="137" t="str">
        <f t="shared" si="107"/>
        <v/>
      </c>
      <c r="J1022" s="117"/>
      <c r="K1022" s="116">
        <v>0</v>
      </c>
      <c r="M1022" s="136" t="s">
        <v>416</v>
      </c>
      <c r="N1022" t="e">
        <v>#REF!</v>
      </c>
      <c r="Q1022" t="s">
        <v>416</v>
      </c>
    </row>
    <row r="1023" spans="1:17" ht="25.5" hidden="1" x14ac:dyDescent="0.25">
      <c r="A1023" s="114" t="s">
        <v>2578</v>
      </c>
      <c r="B1023" s="115" t="s">
        <v>7691</v>
      </c>
      <c r="C1023" s="116" t="s">
        <v>16</v>
      </c>
      <c r="D1023" s="116">
        <v>0</v>
      </c>
      <c r="E1023" s="136" t="s">
        <v>416</v>
      </c>
      <c r="F1023" s="137" t="str">
        <f t="shared" si="105"/>
        <v/>
      </c>
      <c r="G1023" s="138" t="e">
        <f>IF(A1023&lt;&gt;"",IF(AND(#REF!="Padrão",$H$4=#REF!),BDI!$B$17,IF(AND(#REF!="Padrão",$H$4=#REF!),BDI!#REF!,IF(AND(#REF!="Diferenciado",$H$4=#REF!),BDI!$E$17,IF(AND(#REF!="Diferenciado",$H$4=#REF!),BDI!#REF!,IF(#REF!="ZERO",0))))),"")</f>
        <v>#REF!</v>
      </c>
      <c r="H1023" s="139" t="str">
        <f t="shared" si="106"/>
        <v/>
      </c>
      <c r="I1023" s="137" t="str">
        <f t="shared" si="107"/>
        <v/>
      </c>
      <c r="J1023" s="117"/>
      <c r="K1023" s="116">
        <v>0</v>
      </c>
      <c r="M1023" s="136" t="s">
        <v>416</v>
      </c>
      <c r="N1023" t="e">
        <v>#REF!</v>
      </c>
      <c r="Q1023" t="s">
        <v>416</v>
      </c>
    </row>
    <row r="1024" spans="1:17" ht="25.5" hidden="1" x14ac:dyDescent="0.25">
      <c r="A1024" s="114" t="s">
        <v>2579</v>
      </c>
      <c r="B1024" s="115" t="s">
        <v>7694</v>
      </c>
      <c r="C1024" s="116" t="s">
        <v>16</v>
      </c>
      <c r="D1024" s="116">
        <v>0</v>
      </c>
      <c r="E1024" s="136" t="s">
        <v>416</v>
      </c>
      <c r="F1024" s="137" t="str">
        <f t="shared" si="105"/>
        <v/>
      </c>
      <c r="G1024" s="138" t="e">
        <f>IF(A1024&lt;&gt;"",IF(AND(#REF!="Padrão",$H$4=#REF!),BDI!$B$17,IF(AND(#REF!="Padrão",$H$4=#REF!),BDI!#REF!,IF(AND(#REF!="Diferenciado",$H$4=#REF!),BDI!$E$17,IF(AND(#REF!="Diferenciado",$H$4=#REF!),BDI!#REF!,IF(#REF!="ZERO",0))))),"")</f>
        <v>#REF!</v>
      </c>
      <c r="H1024" s="139" t="str">
        <f t="shared" si="106"/>
        <v/>
      </c>
      <c r="I1024" s="137" t="str">
        <f t="shared" si="107"/>
        <v/>
      </c>
      <c r="J1024" s="117"/>
      <c r="K1024" s="116">
        <v>0</v>
      </c>
      <c r="M1024" s="136" t="s">
        <v>416</v>
      </c>
      <c r="N1024" t="e">
        <v>#REF!</v>
      </c>
      <c r="Q1024" t="s">
        <v>416</v>
      </c>
    </row>
    <row r="1025" spans="1:17" ht="25.5" hidden="1" x14ac:dyDescent="0.25">
      <c r="A1025" s="114" t="s">
        <v>2580</v>
      </c>
      <c r="B1025" s="115" t="s">
        <v>7693</v>
      </c>
      <c r="C1025" s="116" t="s">
        <v>16</v>
      </c>
      <c r="D1025" s="116">
        <v>0</v>
      </c>
      <c r="E1025" s="136" t="s">
        <v>416</v>
      </c>
      <c r="F1025" s="137" t="str">
        <f t="shared" si="105"/>
        <v/>
      </c>
      <c r="G1025" s="138" t="e">
        <f>IF(A1025&lt;&gt;"",IF(AND(#REF!="Padrão",$H$4=#REF!),BDI!$B$17,IF(AND(#REF!="Padrão",$H$4=#REF!),BDI!#REF!,IF(AND(#REF!="Diferenciado",$H$4=#REF!),BDI!$E$17,IF(AND(#REF!="Diferenciado",$H$4=#REF!),BDI!#REF!,IF(#REF!="ZERO",0))))),"")</f>
        <v>#REF!</v>
      </c>
      <c r="H1025" s="139" t="str">
        <f t="shared" si="106"/>
        <v/>
      </c>
      <c r="I1025" s="137" t="str">
        <f t="shared" si="107"/>
        <v/>
      </c>
      <c r="J1025" s="117"/>
      <c r="K1025" s="116">
        <v>0</v>
      </c>
      <c r="M1025" s="136" t="s">
        <v>416</v>
      </c>
      <c r="N1025" t="e">
        <v>#REF!</v>
      </c>
      <c r="Q1025" t="s">
        <v>416</v>
      </c>
    </row>
    <row r="1026" spans="1:17" ht="25.5" hidden="1" x14ac:dyDescent="0.25">
      <c r="A1026" s="114" t="s">
        <v>2581</v>
      </c>
      <c r="B1026" s="115" t="s">
        <v>7692</v>
      </c>
      <c r="C1026" s="116" t="s">
        <v>16</v>
      </c>
      <c r="D1026" s="116">
        <v>0</v>
      </c>
      <c r="E1026" s="136" t="s">
        <v>416</v>
      </c>
      <c r="F1026" s="137" t="str">
        <f t="shared" si="105"/>
        <v/>
      </c>
      <c r="G1026" s="138" t="e">
        <f>IF(A1026&lt;&gt;"",IF(AND(#REF!="Padrão",$H$4=#REF!),BDI!$B$17,IF(AND(#REF!="Padrão",$H$4=#REF!),BDI!#REF!,IF(AND(#REF!="Diferenciado",$H$4=#REF!),BDI!$E$17,IF(AND(#REF!="Diferenciado",$H$4=#REF!),BDI!#REF!,IF(#REF!="ZERO",0))))),"")</f>
        <v>#REF!</v>
      </c>
      <c r="H1026" s="139" t="str">
        <f t="shared" si="106"/>
        <v/>
      </c>
      <c r="I1026" s="137" t="str">
        <f t="shared" si="107"/>
        <v/>
      </c>
      <c r="J1026" s="117"/>
      <c r="K1026" s="116">
        <v>0</v>
      </c>
      <c r="M1026" s="136" t="s">
        <v>416</v>
      </c>
      <c r="N1026" t="e">
        <v>#REF!</v>
      </c>
      <c r="Q1026" t="s">
        <v>416</v>
      </c>
    </row>
    <row r="1027" spans="1:17" hidden="1" x14ac:dyDescent="0.25">
      <c r="A1027" s="114" t="s">
        <v>2582</v>
      </c>
      <c r="B1027" s="115" t="s">
        <v>7695</v>
      </c>
      <c r="C1027" s="116" t="s">
        <v>69</v>
      </c>
      <c r="D1027" s="116">
        <v>0</v>
      </c>
      <c r="E1027" s="136" t="s">
        <v>416</v>
      </c>
      <c r="F1027" s="137" t="str">
        <f t="shared" si="105"/>
        <v/>
      </c>
      <c r="G1027" s="138" t="e">
        <f>IF(A1027&lt;&gt;"",IF(AND(#REF!="Padrão",$H$4=#REF!),BDI!$B$17,IF(AND(#REF!="Padrão",$H$4=#REF!),BDI!#REF!,IF(AND(#REF!="Diferenciado",$H$4=#REF!),BDI!$E$17,IF(AND(#REF!="Diferenciado",$H$4=#REF!),BDI!#REF!,IF(#REF!="ZERO",0))))),"")</f>
        <v>#REF!</v>
      </c>
      <c r="H1027" s="139" t="str">
        <f t="shared" si="106"/>
        <v/>
      </c>
      <c r="I1027" s="137" t="str">
        <f t="shared" si="107"/>
        <v/>
      </c>
      <c r="J1027" s="117"/>
      <c r="K1027" s="116">
        <v>0</v>
      </c>
      <c r="M1027" s="136" t="s">
        <v>416</v>
      </c>
      <c r="N1027" t="e">
        <v>#REF!</v>
      </c>
      <c r="Q1027" t="s">
        <v>416</v>
      </c>
    </row>
    <row r="1028" spans="1:17" hidden="1" x14ac:dyDescent="0.25">
      <c r="A1028" s="114" t="s">
        <v>2583</v>
      </c>
      <c r="B1028" s="115" t="s">
        <v>7696</v>
      </c>
      <c r="C1028" s="116" t="s">
        <v>69</v>
      </c>
      <c r="D1028" s="116">
        <v>0</v>
      </c>
      <c r="E1028" s="136" t="s">
        <v>416</v>
      </c>
      <c r="F1028" s="137" t="str">
        <f t="shared" si="105"/>
        <v/>
      </c>
      <c r="G1028" s="138" t="e">
        <f>IF(A1028&lt;&gt;"",IF(AND(#REF!="Padrão",$H$4=#REF!),BDI!$B$17,IF(AND(#REF!="Padrão",$H$4=#REF!),BDI!#REF!,IF(AND(#REF!="Diferenciado",$H$4=#REF!),BDI!$E$17,IF(AND(#REF!="Diferenciado",$H$4=#REF!),BDI!#REF!,IF(#REF!="ZERO",0))))),"")</f>
        <v>#REF!</v>
      </c>
      <c r="H1028" s="139" t="str">
        <f t="shared" si="106"/>
        <v/>
      </c>
      <c r="I1028" s="137" t="str">
        <f t="shared" si="107"/>
        <v/>
      </c>
      <c r="J1028" s="117"/>
      <c r="K1028" s="116">
        <v>0</v>
      </c>
      <c r="M1028" s="136" t="s">
        <v>416</v>
      </c>
      <c r="N1028" t="e">
        <v>#REF!</v>
      </c>
      <c r="Q1028" t="s">
        <v>416</v>
      </c>
    </row>
    <row r="1029" spans="1:17" hidden="1" x14ac:dyDescent="0.25">
      <c r="A1029" s="114" t="s">
        <v>2584</v>
      </c>
      <c r="B1029" s="115" t="s">
        <v>7697</v>
      </c>
      <c r="C1029" s="116" t="s">
        <v>69</v>
      </c>
      <c r="D1029" s="116">
        <v>0</v>
      </c>
      <c r="E1029" s="136" t="s">
        <v>416</v>
      </c>
      <c r="F1029" s="137" t="str">
        <f t="shared" si="105"/>
        <v/>
      </c>
      <c r="G1029" s="138" t="e">
        <f>IF(A1029&lt;&gt;"",IF(AND(#REF!="Padrão",$H$4=#REF!),BDI!$B$17,IF(AND(#REF!="Padrão",$H$4=#REF!),BDI!#REF!,IF(AND(#REF!="Diferenciado",$H$4=#REF!),BDI!$E$17,IF(AND(#REF!="Diferenciado",$H$4=#REF!),BDI!#REF!,IF(#REF!="ZERO",0))))),"")</f>
        <v>#REF!</v>
      </c>
      <c r="H1029" s="139" t="str">
        <f t="shared" si="106"/>
        <v/>
      </c>
      <c r="I1029" s="137" t="str">
        <f t="shared" si="107"/>
        <v/>
      </c>
      <c r="J1029" s="117"/>
      <c r="K1029" s="116">
        <v>0</v>
      </c>
      <c r="M1029" s="136" t="s">
        <v>416</v>
      </c>
      <c r="N1029" t="e">
        <v>#REF!</v>
      </c>
      <c r="Q1029" t="s">
        <v>416</v>
      </c>
    </row>
    <row r="1030" spans="1:17" hidden="1" x14ac:dyDescent="0.25">
      <c r="A1030" s="114" t="s">
        <v>2585</v>
      </c>
      <c r="B1030" s="115" t="s">
        <v>2586</v>
      </c>
      <c r="C1030" s="116" t="s">
        <v>69</v>
      </c>
      <c r="D1030" s="116">
        <v>0</v>
      </c>
      <c r="E1030" s="136" t="s">
        <v>416</v>
      </c>
      <c r="F1030" s="137" t="str">
        <f t="shared" si="105"/>
        <v/>
      </c>
      <c r="G1030" s="138" t="e">
        <f>IF(A1030&lt;&gt;"",IF(AND(#REF!="Padrão",$H$4=#REF!),BDI!$B$17,IF(AND(#REF!="Padrão",$H$4=#REF!),BDI!#REF!,IF(AND(#REF!="Diferenciado",$H$4=#REF!),BDI!$E$17,IF(AND(#REF!="Diferenciado",$H$4=#REF!),BDI!#REF!,IF(#REF!="ZERO",0))))),"")</f>
        <v>#REF!</v>
      </c>
      <c r="H1030" s="139" t="str">
        <f t="shared" si="106"/>
        <v/>
      </c>
      <c r="I1030" s="137" t="str">
        <f t="shared" si="107"/>
        <v/>
      </c>
      <c r="J1030" s="117"/>
      <c r="K1030" s="116">
        <v>0</v>
      </c>
      <c r="M1030" s="136" t="s">
        <v>416</v>
      </c>
      <c r="N1030" t="e">
        <v>#REF!</v>
      </c>
      <c r="Q1030" t="s">
        <v>416</v>
      </c>
    </row>
    <row r="1031" spans="1:17" hidden="1" x14ac:dyDescent="0.25">
      <c r="A1031" s="114" t="s">
        <v>2587</v>
      </c>
      <c r="B1031" s="115" t="s">
        <v>2588</v>
      </c>
      <c r="C1031" s="116" t="s">
        <v>69</v>
      </c>
      <c r="D1031" s="116">
        <v>0</v>
      </c>
      <c r="E1031" s="136" t="s">
        <v>416</v>
      </c>
      <c r="F1031" s="137" t="str">
        <f t="shared" ref="F1031:F1094" si="108">IF(ISNUMBER(E1031),D1031*E1031,"")</f>
        <v/>
      </c>
      <c r="G1031" s="138" t="e">
        <f>IF(A1031&lt;&gt;"",IF(AND(#REF!="Padrão",$H$4=#REF!),BDI!$B$17,IF(AND(#REF!="Padrão",$H$4=#REF!),BDI!#REF!,IF(AND(#REF!="Diferenciado",$H$4=#REF!),BDI!$E$17,IF(AND(#REF!="Diferenciado",$H$4=#REF!),BDI!#REF!,IF(#REF!="ZERO",0))))),"")</f>
        <v>#REF!</v>
      </c>
      <c r="H1031" s="139" t="str">
        <f t="shared" ref="H1031:H1094" si="109">IF(ISNUMBER(E1031),ROUND(E1031*(1+G1031),2),"")</f>
        <v/>
      </c>
      <c r="I1031" s="137" t="str">
        <f t="shared" ref="I1031:I1094" si="110">IF(ISNUMBER(E1031),ROUND(H1031*D1031,2),"")</f>
        <v/>
      </c>
      <c r="J1031" s="117"/>
      <c r="K1031" s="116">
        <v>0</v>
      </c>
      <c r="M1031" s="136" t="s">
        <v>416</v>
      </c>
      <c r="N1031" t="e">
        <v>#REF!</v>
      </c>
      <c r="Q1031" t="s">
        <v>416</v>
      </c>
    </row>
    <row r="1032" spans="1:17" hidden="1" x14ac:dyDescent="0.25">
      <c r="A1032" s="114" t="s">
        <v>2589</v>
      </c>
      <c r="B1032" s="115" t="s">
        <v>2590</v>
      </c>
      <c r="C1032" s="116" t="s">
        <v>69</v>
      </c>
      <c r="D1032" s="116">
        <v>0</v>
      </c>
      <c r="E1032" s="136" t="s">
        <v>416</v>
      </c>
      <c r="F1032" s="137" t="str">
        <f t="shared" si="108"/>
        <v/>
      </c>
      <c r="G1032" s="138" t="e">
        <f>IF(A1032&lt;&gt;"",IF(AND(#REF!="Padrão",$H$4=#REF!),BDI!$B$17,IF(AND(#REF!="Padrão",$H$4=#REF!),BDI!#REF!,IF(AND(#REF!="Diferenciado",$H$4=#REF!),BDI!$E$17,IF(AND(#REF!="Diferenciado",$H$4=#REF!),BDI!#REF!,IF(#REF!="ZERO",0))))),"")</f>
        <v>#REF!</v>
      </c>
      <c r="H1032" s="139" t="str">
        <f t="shared" si="109"/>
        <v/>
      </c>
      <c r="I1032" s="137" t="str">
        <f t="shared" si="110"/>
        <v/>
      </c>
      <c r="J1032" s="117"/>
      <c r="K1032" s="116">
        <v>0</v>
      </c>
      <c r="M1032" s="136" t="s">
        <v>416</v>
      </c>
      <c r="N1032" t="e">
        <v>#REF!</v>
      </c>
      <c r="Q1032" t="s">
        <v>416</v>
      </c>
    </row>
    <row r="1033" spans="1:17" hidden="1" x14ac:dyDescent="0.25">
      <c r="A1033" s="114" t="s">
        <v>2591</v>
      </c>
      <c r="B1033" s="115" t="s">
        <v>2592</v>
      </c>
      <c r="C1033" s="116" t="s">
        <v>69</v>
      </c>
      <c r="D1033" s="116">
        <v>0</v>
      </c>
      <c r="E1033" s="136" t="s">
        <v>416</v>
      </c>
      <c r="F1033" s="137" t="str">
        <f t="shared" si="108"/>
        <v/>
      </c>
      <c r="G1033" s="138" t="e">
        <f>IF(A1033&lt;&gt;"",IF(AND(#REF!="Padrão",$H$4=#REF!),BDI!$B$17,IF(AND(#REF!="Padrão",$H$4=#REF!),BDI!#REF!,IF(AND(#REF!="Diferenciado",$H$4=#REF!),BDI!$E$17,IF(AND(#REF!="Diferenciado",$H$4=#REF!),BDI!#REF!,IF(#REF!="ZERO",0))))),"")</f>
        <v>#REF!</v>
      </c>
      <c r="H1033" s="139" t="str">
        <f t="shared" si="109"/>
        <v/>
      </c>
      <c r="I1033" s="137" t="str">
        <f t="shared" si="110"/>
        <v/>
      </c>
      <c r="J1033" s="117"/>
      <c r="K1033" s="116">
        <v>0</v>
      </c>
      <c r="M1033" s="136" t="s">
        <v>416</v>
      </c>
      <c r="N1033" t="e">
        <v>#REF!</v>
      </c>
      <c r="Q1033" t="s">
        <v>416</v>
      </c>
    </row>
    <row r="1034" spans="1:17" hidden="1" x14ac:dyDescent="0.25">
      <c r="A1034" s="114" t="s">
        <v>978</v>
      </c>
      <c r="B1034" s="115" t="s">
        <v>2593</v>
      </c>
      <c r="C1034" s="116" t="s">
        <v>2555</v>
      </c>
      <c r="D1034" s="116">
        <v>0</v>
      </c>
      <c r="E1034" s="136">
        <f ca="1">OFFSET(INDEX(Composições!A:J,MATCH(Orçamentária!A1034,Composições!A:A,0),8),2,0)</f>
        <v>1454.6875</v>
      </c>
      <c r="F1034" s="137">
        <f t="shared" ca="1" si="108"/>
        <v>0</v>
      </c>
      <c r="G1034" s="138" t="e">
        <f>IF(A1034&lt;&gt;"",IF(AND(#REF!="Padrão",$H$4=#REF!),BDI!$B$17,IF(AND(#REF!="Padrão",$H$4=#REF!),BDI!#REF!,IF(AND(#REF!="Diferenciado",$H$4=#REF!),BDI!$E$17,IF(AND(#REF!="Diferenciado",$H$4=#REF!),BDI!#REF!,IF(#REF!="ZERO",0))))),"")</f>
        <v>#REF!</v>
      </c>
      <c r="H1034" s="139" t="e">
        <f t="shared" ca="1" si="109"/>
        <v>#REF!</v>
      </c>
      <c r="I1034" s="137" t="e">
        <f t="shared" ca="1" si="110"/>
        <v>#REF!</v>
      </c>
      <c r="J1034" s="117"/>
      <c r="K1034" s="116">
        <v>0</v>
      </c>
      <c r="M1034" s="136" t="e">
        <f ca="1">OFFSET(INDEX([1]Composições!I:R,MATCH([1]Orçamentária!I1034,[1]Composições!I:I,0),8),2,0)</f>
        <v>#REF!</v>
      </c>
      <c r="N1034" t="e">
        <v>#REF!</v>
      </c>
      <c r="Q1034" t="e">
        <v>#REF!</v>
      </c>
    </row>
    <row r="1035" spans="1:17" hidden="1" x14ac:dyDescent="0.25">
      <c r="A1035" s="114" t="s">
        <v>979</v>
      </c>
      <c r="B1035" s="115" t="s">
        <v>2594</v>
      </c>
      <c r="C1035" s="116" t="s">
        <v>2555</v>
      </c>
      <c r="D1035" s="116">
        <v>0</v>
      </c>
      <c r="E1035" s="136">
        <f ca="1">OFFSET(INDEX(Composições!A:J,MATCH(Orçamentária!A1035,Composições!A:A,0),8),2,0)</f>
        <v>909.17849999999999</v>
      </c>
      <c r="F1035" s="137">
        <f t="shared" ca="1" si="108"/>
        <v>0</v>
      </c>
      <c r="G1035" s="138" t="e">
        <f>IF(A1035&lt;&gt;"",IF(AND(#REF!="Padrão",$H$4=#REF!),BDI!$B$17,IF(AND(#REF!="Padrão",$H$4=#REF!),BDI!#REF!,IF(AND(#REF!="Diferenciado",$H$4=#REF!),BDI!$E$17,IF(AND(#REF!="Diferenciado",$H$4=#REF!),BDI!#REF!,IF(#REF!="ZERO",0))))),"")</f>
        <v>#REF!</v>
      </c>
      <c r="H1035" s="139" t="e">
        <f t="shared" ca="1" si="109"/>
        <v>#REF!</v>
      </c>
      <c r="I1035" s="137" t="e">
        <f t="shared" ca="1" si="110"/>
        <v>#REF!</v>
      </c>
      <c r="J1035" s="117"/>
      <c r="K1035" s="116">
        <v>0</v>
      </c>
      <c r="M1035" s="136" t="e">
        <f ca="1">OFFSET(INDEX([1]Composições!I:R,MATCH([1]Orçamentária!I1035,[1]Composições!I:I,0),8),2,0)</f>
        <v>#REF!</v>
      </c>
      <c r="N1035" t="e">
        <v>#REF!</v>
      </c>
      <c r="Q1035" t="e">
        <v>#REF!</v>
      </c>
    </row>
    <row r="1036" spans="1:17" hidden="1" x14ac:dyDescent="0.25">
      <c r="A1036" s="114" t="s">
        <v>980</v>
      </c>
      <c r="B1036" s="115" t="s">
        <v>2595</v>
      </c>
      <c r="C1036" s="116" t="s">
        <v>70</v>
      </c>
      <c r="D1036" s="116">
        <v>0</v>
      </c>
      <c r="E1036" s="136">
        <f ca="1">OFFSET(INDEX(Composições!A:J,MATCH(Orçamentária!A1036,Composições!A:A,0),8),2,0)</f>
        <v>261.25</v>
      </c>
      <c r="F1036" s="137">
        <f t="shared" ca="1" si="108"/>
        <v>0</v>
      </c>
      <c r="G1036" s="138" t="e">
        <f>IF(A1036&lt;&gt;"",IF(AND(#REF!="Padrão",$H$4=#REF!),BDI!$B$17,IF(AND(#REF!="Padrão",$H$4=#REF!),BDI!#REF!,IF(AND(#REF!="Diferenciado",$H$4=#REF!),BDI!$E$17,IF(AND(#REF!="Diferenciado",$H$4=#REF!),BDI!#REF!,IF(#REF!="ZERO",0))))),"")</f>
        <v>#REF!</v>
      </c>
      <c r="H1036" s="139" t="e">
        <f t="shared" ca="1" si="109"/>
        <v>#REF!</v>
      </c>
      <c r="I1036" s="137" t="e">
        <f t="shared" ca="1" si="110"/>
        <v>#REF!</v>
      </c>
      <c r="J1036" s="117"/>
      <c r="K1036" s="116">
        <v>0</v>
      </c>
      <c r="M1036" s="136" t="e">
        <f ca="1">OFFSET(INDEX([1]Composições!I:R,MATCH([1]Orçamentária!I1036,[1]Composições!I:I,0),8),2,0)</f>
        <v>#REF!</v>
      </c>
      <c r="N1036" t="e">
        <v>#REF!</v>
      </c>
      <c r="Q1036" t="e">
        <v>#REF!</v>
      </c>
    </row>
    <row r="1037" spans="1:17" ht="25.5" hidden="1" x14ac:dyDescent="0.25">
      <c r="A1037" s="114" t="s">
        <v>2596</v>
      </c>
      <c r="B1037" s="115" t="s">
        <v>2597</v>
      </c>
      <c r="C1037" s="116" t="s">
        <v>2177</v>
      </c>
      <c r="D1037" s="116">
        <v>0</v>
      </c>
      <c r="E1037" s="136">
        <f ca="1">OFFSET(INDEX(Composições!A:J,MATCH(Orçamentária!A1037,Composições!A:A,0),8),2,0)</f>
        <v>1816.6694228499998</v>
      </c>
      <c r="F1037" s="137">
        <f t="shared" ca="1" si="108"/>
        <v>0</v>
      </c>
      <c r="G1037" s="138" t="e">
        <f>IF(A1037&lt;&gt;"",IF(AND(#REF!="Padrão",$H$4=#REF!),BDI!$B$17,IF(AND(#REF!="Padrão",$H$4=#REF!),BDI!#REF!,IF(AND(#REF!="Diferenciado",$H$4=#REF!),BDI!$E$17,IF(AND(#REF!="Diferenciado",$H$4=#REF!),BDI!#REF!,IF(#REF!="ZERO",0))))),"")</f>
        <v>#REF!</v>
      </c>
      <c r="H1037" s="139" t="e">
        <f t="shared" ca="1" si="109"/>
        <v>#REF!</v>
      </c>
      <c r="I1037" s="137" t="e">
        <f t="shared" ca="1" si="110"/>
        <v>#REF!</v>
      </c>
      <c r="J1037" s="117"/>
      <c r="K1037" s="116">
        <v>0</v>
      </c>
      <c r="M1037" s="136" t="e">
        <f ca="1">OFFSET(INDEX([1]Composições!I:R,MATCH([1]Orçamentária!I1037,[1]Composições!I:I,0),8),2,0)</f>
        <v>#REF!</v>
      </c>
      <c r="N1037" t="e">
        <v>#REF!</v>
      </c>
      <c r="Q1037" t="e">
        <v>#REF!</v>
      </c>
    </row>
    <row r="1038" spans="1:17" hidden="1" x14ac:dyDescent="0.25">
      <c r="A1038" s="114" t="s">
        <v>2598</v>
      </c>
      <c r="B1038" s="115" t="s">
        <v>2599</v>
      </c>
      <c r="C1038" s="116" t="s">
        <v>2177</v>
      </c>
      <c r="D1038" s="116">
        <v>0</v>
      </c>
      <c r="E1038" s="136">
        <f ca="1">OFFSET(INDEX(Composições!A:J,MATCH(Orçamentária!A1038,Composições!A:A,0),8),2,0)</f>
        <v>1816.6694228499998</v>
      </c>
      <c r="F1038" s="137">
        <f t="shared" ca="1" si="108"/>
        <v>0</v>
      </c>
      <c r="G1038" s="138" t="e">
        <f>IF(A1038&lt;&gt;"",IF(AND(#REF!="Padrão",$H$4=#REF!),BDI!$B$17,IF(AND(#REF!="Padrão",$H$4=#REF!),BDI!#REF!,IF(AND(#REF!="Diferenciado",$H$4=#REF!),BDI!$E$17,IF(AND(#REF!="Diferenciado",$H$4=#REF!),BDI!#REF!,IF(#REF!="ZERO",0))))),"")</f>
        <v>#REF!</v>
      </c>
      <c r="H1038" s="139" t="e">
        <f t="shared" ca="1" si="109"/>
        <v>#REF!</v>
      </c>
      <c r="I1038" s="137" t="e">
        <f t="shared" ca="1" si="110"/>
        <v>#REF!</v>
      </c>
      <c r="J1038" s="117"/>
      <c r="K1038" s="116">
        <v>0</v>
      </c>
      <c r="M1038" s="136" t="e">
        <f ca="1">OFFSET(INDEX([1]Composições!I:R,MATCH([1]Orçamentária!I1038,[1]Composições!I:I,0),8),2,0)</f>
        <v>#REF!</v>
      </c>
      <c r="N1038" t="e">
        <v>#REF!</v>
      </c>
      <c r="Q1038" t="e">
        <v>#REF!</v>
      </c>
    </row>
    <row r="1039" spans="1:17" hidden="1" x14ac:dyDescent="0.25">
      <c r="A1039" s="114" t="s">
        <v>2600</v>
      </c>
      <c r="B1039" s="115" t="s">
        <v>2601</v>
      </c>
      <c r="C1039" s="116" t="s">
        <v>2177</v>
      </c>
      <c r="D1039" s="116">
        <v>0</v>
      </c>
      <c r="E1039" s="136">
        <f ca="1">OFFSET(INDEX(Composições!A:J,MATCH(Orçamentária!A1039,Composições!A:A,0),8),2,0)</f>
        <v>1816.6694228499998</v>
      </c>
      <c r="F1039" s="137">
        <f t="shared" ca="1" si="108"/>
        <v>0</v>
      </c>
      <c r="G1039" s="138" t="e">
        <f>IF(A1039&lt;&gt;"",IF(AND(#REF!="Padrão",$H$4=#REF!),BDI!$B$17,IF(AND(#REF!="Padrão",$H$4=#REF!),BDI!#REF!,IF(AND(#REF!="Diferenciado",$H$4=#REF!),BDI!$E$17,IF(AND(#REF!="Diferenciado",$H$4=#REF!),BDI!#REF!,IF(#REF!="ZERO",0))))),"")</f>
        <v>#REF!</v>
      </c>
      <c r="H1039" s="139" t="e">
        <f t="shared" ca="1" si="109"/>
        <v>#REF!</v>
      </c>
      <c r="I1039" s="137" t="e">
        <f t="shared" ca="1" si="110"/>
        <v>#REF!</v>
      </c>
      <c r="J1039" s="117"/>
      <c r="K1039" s="116">
        <v>0</v>
      </c>
      <c r="M1039" s="136" t="e">
        <f ca="1">OFFSET(INDEX([1]Composições!I:R,MATCH([1]Orçamentária!I1039,[1]Composições!I:I,0),8),2,0)</f>
        <v>#REF!</v>
      </c>
      <c r="N1039" t="e">
        <v>#REF!</v>
      </c>
      <c r="Q1039" t="e">
        <v>#REF!</v>
      </c>
    </row>
    <row r="1040" spans="1:17" hidden="1" x14ac:dyDescent="0.25">
      <c r="A1040" s="114" t="s">
        <v>2602</v>
      </c>
      <c r="B1040" s="115" t="s">
        <v>2603</v>
      </c>
      <c r="C1040" s="116" t="s">
        <v>2177</v>
      </c>
      <c r="D1040" s="116">
        <v>0</v>
      </c>
      <c r="E1040" s="136">
        <f ca="1">OFFSET(INDEX(Composições!A:J,MATCH(Orçamentária!A1040,Composições!A:A,0),8),2,0)</f>
        <v>1816.6694228499998</v>
      </c>
      <c r="F1040" s="137">
        <f t="shared" ca="1" si="108"/>
        <v>0</v>
      </c>
      <c r="G1040" s="138" t="e">
        <f>IF(A1040&lt;&gt;"",IF(AND(#REF!="Padrão",$H$4=#REF!),BDI!$B$17,IF(AND(#REF!="Padrão",$H$4=#REF!),BDI!#REF!,IF(AND(#REF!="Diferenciado",$H$4=#REF!),BDI!$E$17,IF(AND(#REF!="Diferenciado",$H$4=#REF!),BDI!#REF!,IF(#REF!="ZERO",0))))),"")</f>
        <v>#REF!</v>
      </c>
      <c r="H1040" s="139" t="e">
        <f t="shared" ca="1" si="109"/>
        <v>#REF!</v>
      </c>
      <c r="I1040" s="137" t="e">
        <f t="shared" ca="1" si="110"/>
        <v>#REF!</v>
      </c>
      <c r="J1040" s="117"/>
      <c r="K1040" s="116">
        <v>0</v>
      </c>
      <c r="M1040" s="136" t="e">
        <f ca="1">OFFSET(INDEX([1]Composições!I:R,MATCH([1]Orçamentária!I1040,[1]Composições!I:I,0),8),2,0)</f>
        <v>#REF!</v>
      </c>
      <c r="N1040" t="e">
        <v>#REF!</v>
      </c>
      <c r="Q1040" t="e">
        <v>#REF!</v>
      </c>
    </row>
    <row r="1041" spans="1:17" hidden="1" x14ac:dyDescent="0.25">
      <c r="A1041" s="114" t="s">
        <v>2604</v>
      </c>
      <c r="B1041" s="115" t="s">
        <v>2605</v>
      </c>
      <c r="C1041" s="116" t="s">
        <v>2177</v>
      </c>
      <c r="D1041" s="116">
        <v>0</v>
      </c>
      <c r="E1041" s="136">
        <f ca="1">OFFSET(INDEX(Composições!A:J,MATCH(Orçamentária!A1041,Composições!A:A,0),8),2,0)</f>
        <v>1816.6694228499998</v>
      </c>
      <c r="F1041" s="137">
        <f t="shared" ca="1" si="108"/>
        <v>0</v>
      </c>
      <c r="G1041" s="138" t="e">
        <f>IF(A1041&lt;&gt;"",IF(AND(#REF!="Padrão",$H$4=#REF!),BDI!$B$17,IF(AND(#REF!="Padrão",$H$4=#REF!),BDI!#REF!,IF(AND(#REF!="Diferenciado",$H$4=#REF!),BDI!$E$17,IF(AND(#REF!="Diferenciado",$H$4=#REF!),BDI!#REF!,IF(#REF!="ZERO",0))))),"")</f>
        <v>#REF!</v>
      </c>
      <c r="H1041" s="139" t="e">
        <f t="shared" ca="1" si="109"/>
        <v>#REF!</v>
      </c>
      <c r="I1041" s="137" t="e">
        <f t="shared" ca="1" si="110"/>
        <v>#REF!</v>
      </c>
      <c r="J1041" s="117"/>
      <c r="K1041" s="116">
        <v>0</v>
      </c>
      <c r="M1041" s="136" t="e">
        <f ca="1">OFFSET(INDEX([1]Composições!I:R,MATCH([1]Orçamentária!I1041,[1]Composições!I:I,0),8),2,0)</f>
        <v>#REF!</v>
      </c>
      <c r="N1041" t="e">
        <v>#REF!</v>
      </c>
      <c r="Q1041" t="e">
        <v>#REF!</v>
      </c>
    </row>
    <row r="1042" spans="1:17" hidden="1" x14ac:dyDescent="0.25">
      <c r="A1042" s="114" t="s">
        <v>2606</v>
      </c>
      <c r="B1042" s="115" t="s">
        <v>2607</v>
      </c>
      <c r="C1042" s="116" t="s">
        <v>2177</v>
      </c>
      <c r="D1042" s="116">
        <v>0</v>
      </c>
      <c r="E1042" s="136">
        <f ca="1">OFFSET(INDEX(Composições!A:J,MATCH(Orçamentária!A1042,Composições!A:A,0),8),2,0)</f>
        <v>1816.6694228499998</v>
      </c>
      <c r="F1042" s="137">
        <f t="shared" ca="1" si="108"/>
        <v>0</v>
      </c>
      <c r="G1042" s="138" t="e">
        <f>IF(A1042&lt;&gt;"",IF(AND(#REF!="Padrão",$H$4=#REF!),BDI!$B$17,IF(AND(#REF!="Padrão",$H$4=#REF!),BDI!#REF!,IF(AND(#REF!="Diferenciado",$H$4=#REF!),BDI!$E$17,IF(AND(#REF!="Diferenciado",$H$4=#REF!),BDI!#REF!,IF(#REF!="ZERO",0))))),"")</f>
        <v>#REF!</v>
      </c>
      <c r="H1042" s="139" t="e">
        <f t="shared" ca="1" si="109"/>
        <v>#REF!</v>
      </c>
      <c r="I1042" s="137" t="e">
        <f t="shared" ca="1" si="110"/>
        <v>#REF!</v>
      </c>
      <c r="J1042" s="117"/>
      <c r="K1042" s="116">
        <v>0</v>
      </c>
      <c r="M1042" s="136" t="e">
        <f ca="1">OFFSET(INDEX([1]Composições!I:R,MATCH([1]Orçamentária!I1042,[1]Composições!I:I,0),8),2,0)</f>
        <v>#REF!</v>
      </c>
      <c r="N1042" t="e">
        <v>#REF!</v>
      </c>
      <c r="Q1042" t="e">
        <v>#REF!</v>
      </c>
    </row>
    <row r="1043" spans="1:17" hidden="1" x14ac:dyDescent="0.25">
      <c r="A1043" s="114" t="s">
        <v>2608</v>
      </c>
      <c r="B1043" s="115" t="s">
        <v>2609</v>
      </c>
      <c r="C1043" s="116" t="s">
        <v>2177</v>
      </c>
      <c r="D1043" s="116">
        <v>0</v>
      </c>
      <c r="E1043" s="136">
        <f ca="1">OFFSET(INDEX(Composições!A:J,MATCH(Orçamentária!A1043,Composições!A:A,0),8),2,0)</f>
        <v>1816.6694228499998</v>
      </c>
      <c r="F1043" s="137">
        <f t="shared" ca="1" si="108"/>
        <v>0</v>
      </c>
      <c r="G1043" s="138" t="e">
        <f>IF(A1043&lt;&gt;"",IF(AND(#REF!="Padrão",$H$4=#REF!),BDI!$B$17,IF(AND(#REF!="Padrão",$H$4=#REF!),BDI!#REF!,IF(AND(#REF!="Diferenciado",$H$4=#REF!),BDI!$E$17,IF(AND(#REF!="Diferenciado",$H$4=#REF!),BDI!#REF!,IF(#REF!="ZERO",0))))),"")</f>
        <v>#REF!</v>
      </c>
      <c r="H1043" s="139" t="e">
        <f t="shared" ca="1" si="109"/>
        <v>#REF!</v>
      </c>
      <c r="I1043" s="137" t="e">
        <f t="shared" ca="1" si="110"/>
        <v>#REF!</v>
      </c>
      <c r="J1043" s="117"/>
      <c r="K1043" s="116">
        <v>0</v>
      </c>
      <c r="M1043" s="136" t="e">
        <f ca="1">OFFSET(INDEX([1]Composições!I:R,MATCH([1]Orçamentária!I1043,[1]Composições!I:I,0),8),2,0)</f>
        <v>#REF!</v>
      </c>
      <c r="N1043" t="e">
        <v>#REF!</v>
      </c>
      <c r="Q1043" t="e">
        <v>#REF!</v>
      </c>
    </row>
    <row r="1044" spans="1:17" hidden="1" x14ac:dyDescent="0.25">
      <c r="A1044" s="114" t="s">
        <v>2610</v>
      </c>
      <c r="B1044" s="115" t="s">
        <v>2611</v>
      </c>
      <c r="C1044" s="116" t="s">
        <v>2177</v>
      </c>
      <c r="D1044" s="116">
        <v>0</v>
      </c>
      <c r="E1044" s="136">
        <f ca="1">OFFSET(INDEX(Composições!A:J,MATCH(Orçamentária!A1044,Composições!A:A,0),8),2,0)</f>
        <v>1816.6694228499998</v>
      </c>
      <c r="F1044" s="137">
        <f t="shared" ca="1" si="108"/>
        <v>0</v>
      </c>
      <c r="G1044" s="138" t="e">
        <f>IF(A1044&lt;&gt;"",IF(AND(#REF!="Padrão",$H$4=#REF!),BDI!$B$17,IF(AND(#REF!="Padrão",$H$4=#REF!),BDI!#REF!,IF(AND(#REF!="Diferenciado",$H$4=#REF!),BDI!$E$17,IF(AND(#REF!="Diferenciado",$H$4=#REF!),BDI!#REF!,IF(#REF!="ZERO",0))))),"")</f>
        <v>#REF!</v>
      </c>
      <c r="H1044" s="139" t="e">
        <f t="shared" ca="1" si="109"/>
        <v>#REF!</v>
      </c>
      <c r="I1044" s="137" t="e">
        <f t="shared" ca="1" si="110"/>
        <v>#REF!</v>
      </c>
      <c r="J1044" s="117"/>
      <c r="K1044" s="116">
        <v>0</v>
      </c>
      <c r="M1044" s="136" t="e">
        <f ca="1">OFFSET(INDEX([1]Composições!I:R,MATCH([1]Orçamentária!I1044,[1]Composições!I:I,0),8),2,0)</f>
        <v>#REF!</v>
      </c>
      <c r="N1044" t="e">
        <v>#REF!</v>
      </c>
      <c r="Q1044" t="e">
        <v>#REF!</v>
      </c>
    </row>
    <row r="1045" spans="1:17" hidden="1" x14ac:dyDescent="0.25">
      <c r="A1045" s="114" t="s">
        <v>2612</v>
      </c>
      <c r="B1045" s="115" t="s">
        <v>2613</v>
      </c>
      <c r="C1045" s="116" t="s">
        <v>2177</v>
      </c>
      <c r="D1045" s="116">
        <v>0</v>
      </c>
      <c r="E1045" s="136">
        <f ca="1">OFFSET(INDEX(Composições!A:J,MATCH(Orçamentária!A1045,Composições!A:A,0),8),2,0)</f>
        <v>1816.6694228499998</v>
      </c>
      <c r="F1045" s="137">
        <f t="shared" ca="1" si="108"/>
        <v>0</v>
      </c>
      <c r="G1045" s="138" t="e">
        <f>IF(A1045&lt;&gt;"",IF(AND(#REF!="Padrão",$H$4=#REF!),BDI!$B$17,IF(AND(#REF!="Padrão",$H$4=#REF!),BDI!#REF!,IF(AND(#REF!="Diferenciado",$H$4=#REF!),BDI!$E$17,IF(AND(#REF!="Diferenciado",$H$4=#REF!),BDI!#REF!,IF(#REF!="ZERO",0))))),"")</f>
        <v>#REF!</v>
      </c>
      <c r="H1045" s="139" t="e">
        <f t="shared" ca="1" si="109"/>
        <v>#REF!</v>
      </c>
      <c r="I1045" s="137" t="e">
        <f t="shared" ca="1" si="110"/>
        <v>#REF!</v>
      </c>
      <c r="J1045" s="117"/>
      <c r="K1045" s="116">
        <v>0</v>
      </c>
      <c r="M1045" s="136" t="e">
        <f ca="1">OFFSET(INDEX([1]Composições!I:R,MATCH([1]Orçamentária!I1045,[1]Composições!I:I,0),8),2,0)</f>
        <v>#REF!</v>
      </c>
      <c r="N1045" t="e">
        <v>#REF!</v>
      </c>
      <c r="Q1045" t="e">
        <v>#REF!</v>
      </c>
    </row>
    <row r="1046" spans="1:17" hidden="1" x14ac:dyDescent="0.25">
      <c r="A1046" s="114" t="s">
        <v>981</v>
      </c>
      <c r="B1046" s="115" t="s">
        <v>2614</v>
      </c>
      <c r="C1046" s="116" t="s">
        <v>2177</v>
      </c>
      <c r="D1046" s="116">
        <v>0</v>
      </c>
      <c r="E1046" s="136">
        <f ca="1">OFFSET(INDEX(Composições!A:J,MATCH(Orçamentária!A1046,Composições!A:A,0),8),2,0)</f>
        <v>4532.0651207999999</v>
      </c>
      <c r="F1046" s="137">
        <f t="shared" ca="1" si="108"/>
        <v>0</v>
      </c>
      <c r="G1046" s="138" t="e">
        <f>IF(A1046&lt;&gt;"",IF(AND(#REF!="Padrão",$H$4=#REF!),BDI!$B$17,IF(AND(#REF!="Padrão",$H$4=#REF!),BDI!#REF!,IF(AND(#REF!="Diferenciado",$H$4=#REF!),BDI!$E$17,IF(AND(#REF!="Diferenciado",$H$4=#REF!),BDI!#REF!,IF(#REF!="ZERO",0))))),"")</f>
        <v>#REF!</v>
      </c>
      <c r="H1046" s="139" t="e">
        <f t="shared" ca="1" si="109"/>
        <v>#REF!</v>
      </c>
      <c r="I1046" s="137" t="e">
        <f t="shared" ca="1" si="110"/>
        <v>#REF!</v>
      </c>
      <c r="J1046" s="117"/>
      <c r="K1046" s="116">
        <v>0</v>
      </c>
      <c r="M1046" s="136" t="e">
        <f ca="1">OFFSET(INDEX([1]Composições!I:R,MATCH([1]Orçamentária!I1046,[1]Composições!I:I,0),8),2,0)</f>
        <v>#REF!</v>
      </c>
      <c r="N1046" t="e">
        <v>#REF!</v>
      </c>
      <c r="Q1046" t="e">
        <v>#REF!</v>
      </c>
    </row>
    <row r="1047" spans="1:17" hidden="1" x14ac:dyDescent="0.25">
      <c r="A1047" s="114" t="s">
        <v>2615</v>
      </c>
      <c r="B1047" s="115" t="s">
        <v>2616</v>
      </c>
      <c r="C1047" s="116" t="s">
        <v>2377</v>
      </c>
      <c r="D1047" s="116">
        <v>0</v>
      </c>
      <c r="E1047" s="136" t="s">
        <v>416</v>
      </c>
      <c r="F1047" s="137" t="str">
        <f t="shared" si="108"/>
        <v/>
      </c>
      <c r="G1047" s="138" t="e">
        <f>IF(A1047&lt;&gt;"",IF(AND(#REF!="Padrão",$H$4=#REF!),BDI!$B$17,IF(AND(#REF!="Padrão",$H$4=#REF!),BDI!#REF!,IF(AND(#REF!="Diferenciado",$H$4=#REF!),BDI!$E$17,IF(AND(#REF!="Diferenciado",$H$4=#REF!),BDI!#REF!,IF(#REF!="ZERO",0))))),"")</f>
        <v>#REF!</v>
      </c>
      <c r="H1047" s="139" t="str">
        <f t="shared" si="109"/>
        <v/>
      </c>
      <c r="I1047" s="137" t="str">
        <f t="shared" si="110"/>
        <v/>
      </c>
      <c r="J1047" s="117"/>
      <c r="K1047" s="116">
        <v>0</v>
      </c>
      <c r="M1047" s="136" t="s">
        <v>416</v>
      </c>
      <c r="N1047" t="e">
        <v>#REF!</v>
      </c>
      <c r="Q1047" t="s">
        <v>416</v>
      </c>
    </row>
    <row r="1048" spans="1:17" hidden="1" x14ac:dyDescent="0.25">
      <c r="A1048" s="114" t="s">
        <v>2617</v>
      </c>
      <c r="B1048" s="115" t="s">
        <v>7698</v>
      </c>
      <c r="C1048" s="116" t="s">
        <v>2377</v>
      </c>
      <c r="D1048" s="116">
        <v>0</v>
      </c>
      <c r="E1048" s="136" t="s">
        <v>416</v>
      </c>
      <c r="F1048" s="137" t="str">
        <f t="shared" si="108"/>
        <v/>
      </c>
      <c r="G1048" s="138" t="e">
        <f>IF(A1048&lt;&gt;"",IF(AND(#REF!="Padrão",$H$4=#REF!),BDI!$B$17,IF(AND(#REF!="Padrão",$H$4=#REF!),BDI!#REF!,IF(AND(#REF!="Diferenciado",$H$4=#REF!),BDI!$E$17,IF(AND(#REF!="Diferenciado",$H$4=#REF!),BDI!#REF!,IF(#REF!="ZERO",0))))),"")</f>
        <v>#REF!</v>
      </c>
      <c r="H1048" s="139" t="str">
        <f t="shared" si="109"/>
        <v/>
      </c>
      <c r="I1048" s="137" t="str">
        <f t="shared" si="110"/>
        <v/>
      </c>
      <c r="J1048" s="117"/>
      <c r="K1048" s="116">
        <v>0</v>
      </c>
      <c r="M1048" s="136" t="s">
        <v>416</v>
      </c>
      <c r="N1048" t="e">
        <v>#REF!</v>
      </c>
      <c r="Q1048" t="s">
        <v>416</v>
      </c>
    </row>
    <row r="1049" spans="1:17" hidden="1" x14ac:dyDescent="0.25">
      <c r="A1049" s="114" t="s">
        <v>2618</v>
      </c>
      <c r="B1049" s="115" t="s">
        <v>2619</v>
      </c>
      <c r="C1049" s="116" t="s">
        <v>2377</v>
      </c>
      <c r="D1049" s="116">
        <v>0</v>
      </c>
      <c r="E1049" s="136" t="s">
        <v>416</v>
      </c>
      <c r="F1049" s="137" t="str">
        <f t="shared" si="108"/>
        <v/>
      </c>
      <c r="G1049" s="138" t="e">
        <f>IF(A1049&lt;&gt;"",IF(AND(#REF!="Padrão",$H$4=#REF!),BDI!$B$17,IF(AND(#REF!="Padrão",$H$4=#REF!),BDI!#REF!,IF(AND(#REF!="Diferenciado",$H$4=#REF!),BDI!$E$17,IF(AND(#REF!="Diferenciado",$H$4=#REF!),BDI!#REF!,IF(#REF!="ZERO",0))))),"")</f>
        <v>#REF!</v>
      </c>
      <c r="H1049" s="139" t="str">
        <f t="shared" si="109"/>
        <v/>
      </c>
      <c r="I1049" s="137" t="str">
        <f t="shared" si="110"/>
        <v/>
      </c>
      <c r="J1049" s="117"/>
      <c r="K1049" s="116">
        <v>0</v>
      </c>
      <c r="M1049" s="136" t="s">
        <v>416</v>
      </c>
      <c r="N1049" t="e">
        <v>#REF!</v>
      </c>
      <c r="Q1049" t="s">
        <v>416</v>
      </c>
    </row>
    <row r="1050" spans="1:17" hidden="1" x14ac:dyDescent="0.25">
      <c r="A1050" s="114" t="s">
        <v>2620</v>
      </c>
      <c r="B1050" s="115" t="s">
        <v>2621</v>
      </c>
      <c r="C1050" s="116" t="s">
        <v>2377</v>
      </c>
      <c r="D1050" s="116">
        <v>0</v>
      </c>
      <c r="E1050" s="136" t="s">
        <v>416</v>
      </c>
      <c r="F1050" s="137" t="str">
        <f t="shared" si="108"/>
        <v/>
      </c>
      <c r="G1050" s="138" t="e">
        <f>IF(A1050&lt;&gt;"",IF(AND(#REF!="Padrão",$H$4=#REF!),BDI!$B$17,IF(AND(#REF!="Padrão",$H$4=#REF!),BDI!#REF!,IF(AND(#REF!="Diferenciado",$H$4=#REF!),BDI!$E$17,IF(AND(#REF!="Diferenciado",$H$4=#REF!),BDI!#REF!,IF(#REF!="ZERO",0))))),"")</f>
        <v>#REF!</v>
      </c>
      <c r="H1050" s="139" t="str">
        <f t="shared" si="109"/>
        <v/>
      </c>
      <c r="I1050" s="137" t="str">
        <f t="shared" si="110"/>
        <v/>
      </c>
      <c r="J1050" s="117"/>
      <c r="K1050" s="116">
        <v>0</v>
      </c>
      <c r="M1050" s="136" t="s">
        <v>416</v>
      </c>
      <c r="N1050" t="e">
        <v>#REF!</v>
      </c>
      <c r="Q1050" t="s">
        <v>416</v>
      </c>
    </row>
    <row r="1051" spans="1:17" hidden="1" x14ac:dyDescent="0.25">
      <c r="A1051" s="114" t="s">
        <v>2622</v>
      </c>
      <c r="B1051" s="115" t="s">
        <v>2623</v>
      </c>
      <c r="C1051" s="116" t="s">
        <v>16</v>
      </c>
      <c r="D1051" s="116">
        <v>0</v>
      </c>
      <c r="E1051" s="136" t="s">
        <v>416</v>
      </c>
      <c r="F1051" s="137" t="str">
        <f t="shared" si="108"/>
        <v/>
      </c>
      <c r="G1051" s="138" t="e">
        <f>IF(A1051&lt;&gt;"",IF(AND(#REF!="Padrão",$H$4=#REF!),BDI!$B$17,IF(AND(#REF!="Padrão",$H$4=#REF!),BDI!#REF!,IF(AND(#REF!="Diferenciado",$H$4=#REF!),BDI!$E$17,IF(AND(#REF!="Diferenciado",$H$4=#REF!),BDI!#REF!,IF(#REF!="ZERO",0))))),"")</f>
        <v>#REF!</v>
      </c>
      <c r="H1051" s="139" t="str">
        <f t="shared" si="109"/>
        <v/>
      </c>
      <c r="I1051" s="137" t="str">
        <f t="shared" si="110"/>
        <v/>
      </c>
      <c r="J1051" s="117"/>
      <c r="K1051" s="116">
        <v>0</v>
      </c>
      <c r="M1051" s="136" t="s">
        <v>416</v>
      </c>
      <c r="N1051" t="e">
        <v>#REF!</v>
      </c>
      <c r="Q1051" t="s">
        <v>416</v>
      </c>
    </row>
    <row r="1052" spans="1:17" hidden="1" x14ac:dyDescent="0.25">
      <c r="A1052" s="114" t="s">
        <v>2624</v>
      </c>
      <c r="B1052" s="115" t="s">
        <v>2625</v>
      </c>
      <c r="C1052" s="116" t="s">
        <v>470</v>
      </c>
      <c r="D1052" s="116">
        <v>0</v>
      </c>
      <c r="E1052" s="136" t="s">
        <v>416</v>
      </c>
      <c r="F1052" s="137" t="str">
        <f t="shared" si="108"/>
        <v/>
      </c>
      <c r="G1052" s="138" t="e">
        <f>IF(A1052&lt;&gt;"",IF(AND(#REF!="Padrão",$H$4=#REF!),BDI!$B$17,IF(AND(#REF!="Padrão",$H$4=#REF!),BDI!#REF!,IF(AND(#REF!="Diferenciado",$H$4=#REF!),BDI!$E$17,IF(AND(#REF!="Diferenciado",$H$4=#REF!),BDI!#REF!,IF(#REF!="ZERO",0))))),"")</f>
        <v>#REF!</v>
      </c>
      <c r="H1052" s="139" t="str">
        <f t="shared" si="109"/>
        <v/>
      </c>
      <c r="I1052" s="137" t="str">
        <f t="shared" si="110"/>
        <v/>
      </c>
      <c r="J1052" s="117"/>
      <c r="K1052" s="116">
        <v>0</v>
      </c>
      <c r="M1052" s="136" t="s">
        <v>416</v>
      </c>
      <c r="N1052" t="e">
        <v>#REF!</v>
      </c>
      <c r="Q1052" t="s">
        <v>416</v>
      </c>
    </row>
    <row r="1053" spans="1:17" hidden="1" x14ac:dyDescent="0.25">
      <c r="A1053" s="114" t="s">
        <v>2626</v>
      </c>
      <c r="B1053" s="115" t="s">
        <v>2627</v>
      </c>
      <c r="C1053" s="116" t="s">
        <v>470</v>
      </c>
      <c r="D1053" s="116">
        <v>0</v>
      </c>
      <c r="E1053" s="136" t="s">
        <v>416</v>
      </c>
      <c r="F1053" s="137" t="str">
        <f t="shared" si="108"/>
        <v/>
      </c>
      <c r="G1053" s="138" t="e">
        <f>IF(A1053&lt;&gt;"",IF(AND(#REF!="Padrão",$H$4=#REF!),BDI!$B$17,IF(AND(#REF!="Padrão",$H$4=#REF!),BDI!#REF!,IF(AND(#REF!="Diferenciado",$H$4=#REF!),BDI!$E$17,IF(AND(#REF!="Diferenciado",$H$4=#REF!),BDI!#REF!,IF(#REF!="ZERO",0))))),"")</f>
        <v>#REF!</v>
      </c>
      <c r="H1053" s="139" t="str">
        <f t="shared" si="109"/>
        <v/>
      </c>
      <c r="I1053" s="137" t="str">
        <f t="shared" si="110"/>
        <v/>
      </c>
      <c r="J1053" s="117"/>
      <c r="K1053" s="116">
        <v>0</v>
      </c>
      <c r="M1053" s="136" t="s">
        <v>416</v>
      </c>
      <c r="N1053" t="e">
        <v>#REF!</v>
      </c>
      <c r="Q1053" t="s">
        <v>416</v>
      </c>
    </row>
    <row r="1054" spans="1:17" hidden="1" x14ac:dyDescent="0.25">
      <c r="A1054" s="114" t="s">
        <v>2628</v>
      </c>
      <c r="B1054" s="115" t="s">
        <v>2629</v>
      </c>
      <c r="C1054" s="116" t="s">
        <v>2377</v>
      </c>
      <c r="D1054" s="116">
        <v>0</v>
      </c>
      <c r="E1054" s="136" t="s">
        <v>416</v>
      </c>
      <c r="F1054" s="137" t="str">
        <f t="shared" si="108"/>
        <v/>
      </c>
      <c r="G1054" s="138" t="e">
        <f>IF(A1054&lt;&gt;"",IF(AND(#REF!="Padrão",$H$4=#REF!),BDI!$B$17,IF(AND(#REF!="Padrão",$H$4=#REF!),BDI!#REF!,IF(AND(#REF!="Diferenciado",$H$4=#REF!),BDI!$E$17,IF(AND(#REF!="Diferenciado",$H$4=#REF!),BDI!#REF!,IF(#REF!="ZERO",0))))),"")</f>
        <v>#REF!</v>
      </c>
      <c r="H1054" s="139" t="str">
        <f t="shared" si="109"/>
        <v/>
      </c>
      <c r="I1054" s="137" t="str">
        <f t="shared" si="110"/>
        <v/>
      </c>
      <c r="J1054" s="117"/>
      <c r="K1054" s="116">
        <v>0</v>
      </c>
      <c r="M1054" s="136" t="s">
        <v>416</v>
      </c>
      <c r="N1054" t="e">
        <v>#REF!</v>
      </c>
      <c r="Q1054" t="s">
        <v>416</v>
      </c>
    </row>
    <row r="1055" spans="1:17" hidden="1" x14ac:dyDescent="0.25">
      <c r="A1055" s="114" t="s">
        <v>2630</v>
      </c>
      <c r="B1055" s="115" t="s">
        <v>5459</v>
      </c>
      <c r="C1055" s="116" t="s">
        <v>16</v>
      </c>
      <c r="D1055" s="116">
        <v>0</v>
      </c>
      <c r="E1055" s="136" t="s">
        <v>416</v>
      </c>
      <c r="F1055" s="137" t="str">
        <f t="shared" si="108"/>
        <v/>
      </c>
      <c r="G1055" s="138" t="e">
        <f>IF(A1055&lt;&gt;"",IF(AND(#REF!="Padrão",$H$4=#REF!),BDI!$B$17,IF(AND(#REF!="Padrão",$H$4=#REF!),BDI!#REF!,IF(AND(#REF!="Diferenciado",$H$4=#REF!),BDI!$E$17,IF(AND(#REF!="Diferenciado",$H$4=#REF!),BDI!#REF!,IF(#REF!="ZERO",0))))),"")</f>
        <v>#REF!</v>
      </c>
      <c r="H1055" s="139" t="str">
        <f t="shared" si="109"/>
        <v/>
      </c>
      <c r="I1055" s="137" t="str">
        <f t="shared" si="110"/>
        <v/>
      </c>
      <c r="J1055" s="117"/>
      <c r="K1055" s="116">
        <v>0</v>
      </c>
      <c r="M1055" s="136" t="s">
        <v>416</v>
      </c>
      <c r="N1055" t="e">
        <v>#REF!</v>
      </c>
      <c r="Q1055" t="s">
        <v>416</v>
      </c>
    </row>
    <row r="1056" spans="1:17" hidden="1" x14ac:dyDescent="0.25">
      <c r="A1056" s="114" t="s">
        <v>2631</v>
      </c>
      <c r="B1056" s="115" t="s">
        <v>2632</v>
      </c>
      <c r="C1056" s="116" t="s">
        <v>2377</v>
      </c>
      <c r="D1056" s="116">
        <v>0</v>
      </c>
      <c r="E1056" s="136" t="s">
        <v>416</v>
      </c>
      <c r="F1056" s="137" t="str">
        <f t="shared" si="108"/>
        <v/>
      </c>
      <c r="G1056" s="138" t="e">
        <f>IF(A1056&lt;&gt;"",IF(AND(#REF!="Padrão",$H$4=#REF!),BDI!$B$17,IF(AND(#REF!="Padrão",$H$4=#REF!),BDI!#REF!,IF(AND(#REF!="Diferenciado",$H$4=#REF!),BDI!$E$17,IF(AND(#REF!="Diferenciado",$H$4=#REF!),BDI!#REF!,IF(#REF!="ZERO",0))))),"")</f>
        <v>#REF!</v>
      </c>
      <c r="H1056" s="139" t="str">
        <f t="shared" si="109"/>
        <v/>
      </c>
      <c r="I1056" s="137" t="str">
        <f t="shared" si="110"/>
        <v/>
      </c>
      <c r="J1056" s="117"/>
      <c r="K1056" s="116">
        <v>0</v>
      </c>
      <c r="M1056" s="136" t="s">
        <v>416</v>
      </c>
      <c r="N1056" t="e">
        <v>#REF!</v>
      </c>
      <c r="Q1056" t="s">
        <v>416</v>
      </c>
    </row>
    <row r="1057" spans="1:19" hidden="1" x14ac:dyDescent="0.25">
      <c r="A1057" s="114" t="s">
        <v>2633</v>
      </c>
      <c r="B1057" s="115" t="s">
        <v>2634</v>
      </c>
      <c r="C1057" s="116" t="s">
        <v>1683</v>
      </c>
      <c r="D1057" s="116">
        <v>0</v>
      </c>
      <c r="E1057" s="136" t="s">
        <v>416</v>
      </c>
      <c r="F1057" s="137" t="str">
        <f t="shared" si="108"/>
        <v/>
      </c>
      <c r="G1057" s="138" t="e">
        <f>IF(A1057&lt;&gt;"",IF(AND(#REF!="Padrão",$H$4=#REF!),BDI!$B$17,IF(AND(#REF!="Padrão",$H$4=#REF!),BDI!#REF!,IF(AND(#REF!="Diferenciado",$H$4=#REF!),BDI!$E$17,IF(AND(#REF!="Diferenciado",$H$4=#REF!),BDI!#REF!,IF(#REF!="ZERO",0))))),"")</f>
        <v>#REF!</v>
      </c>
      <c r="H1057" s="139" t="str">
        <f t="shared" si="109"/>
        <v/>
      </c>
      <c r="I1057" s="137" t="str">
        <f t="shared" si="110"/>
        <v/>
      </c>
      <c r="J1057" s="117"/>
      <c r="K1057" s="116">
        <v>0</v>
      </c>
      <c r="M1057" s="136" t="s">
        <v>416</v>
      </c>
      <c r="N1057" t="e">
        <v>#REF!</v>
      </c>
      <c r="Q1057" t="s">
        <v>416</v>
      </c>
    </row>
    <row r="1058" spans="1:19" hidden="1" x14ac:dyDescent="0.25">
      <c r="A1058" s="114" t="s">
        <v>983</v>
      </c>
      <c r="B1058" s="115" t="s">
        <v>2635</v>
      </c>
      <c r="C1058" s="116" t="s">
        <v>5416</v>
      </c>
      <c r="D1058" s="116">
        <v>0</v>
      </c>
      <c r="E1058" s="136">
        <f ca="1">OFFSET(INDEX(Composições!A:J,MATCH(Orçamentária!A1058,Composições!A:A,0),8),2,0)</f>
        <v>0.27037</v>
      </c>
      <c r="F1058" s="137">
        <f t="shared" ca="1" si="108"/>
        <v>0</v>
      </c>
      <c r="G1058" s="138" t="e">
        <f>IF(A1058&lt;&gt;"",IF(AND(#REF!="Padrão",$H$4=#REF!),BDI!$B$17,IF(AND(#REF!="Padrão",$H$4=#REF!),BDI!#REF!,IF(AND(#REF!="Diferenciado",$H$4=#REF!),BDI!$E$17,IF(AND(#REF!="Diferenciado",$H$4=#REF!),BDI!#REF!,IF(#REF!="ZERO",0))))),"")</f>
        <v>#REF!</v>
      </c>
      <c r="H1058" s="139" t="e">
        <f t="shared" ca="1" si="109"/>
        <v>#REF!</v>
      </c>
      <c r="I1058" s="137" t="e">
        <f t="shared" ca="1" si="110"/>
        <v>#REF!</v>
      </c>
      <c r="J1058" s="117"/>
      <c r="K1058" s="116">
        <v>0</v>
      </c>
      <c r="M1058" s="136" t="e">
        <f ca="1">OFFSET(INDEX([1]Composições!I:R,MATCH([1]Orçamentária!I1058,[1]Composições!I:I,0),8),2,0)</f>
        <v>#REF!</v>
      </c>
      <c r="N1058" t="e">
        <v>#REF!</v>
      </c>
      <c r="Q1058" t="e">
        <v>#REF!</v>
      </c>
    </row>
    <row r="1059" spans="1:19" hidden="1" x14ac:dyDescent="0.25">
      <c r="A1059" s="114" t="s">
        <v>985</v>
      </c>
      <c r="B1059" s="115" t="s">
        <v>2636</v>
      </c>
      <c r="C1059" s="116" t="s">
        <v>69</v>
      </c>
      <c r="D1059" s="116">
        <v>0</v>
      </c>
      <c r="E1059" s="136">
        <f ca="1">OFFSET(INDEX(Composições!A:J,MATCH(Orçamentária!A1059,Composições!A:A,0),8),2,0)</f>
        <v>38.546369655602696</v>
      </c>
      <c r="F1059" s="137">
        <f t="shared" ca="1" si="108"/>
        <v>0</v>
      </c>
      <c r="G1059" s="138" t="e">
        <f>IF(A1059&lt;&gt;"",IF(AND(#REF!="Padrão",$H$4=#REF!),BDI!$B$17,IF(AND(#REF!="Padrão",$H$4=#REF!),BDI!#REF!,IF(AND(#REF!="Diferenciado",$H$4=#REF!),BDI!$E$17,IF(AND(#REF!="Diferenciado",$H$4=#REF!),BDI!#REF!,IF(#REF!="ZERO",0))))),"")</f>
        <v>#REF!</v>
      </c>
      <c r="H1059" s="139" t="e">
        <f t="shared" ca="1" si="109"/>
        <v>#REF!</v>
      </c>
      <c r="I1059" s="137" t="e">
        <f t="shared" ca="1" si="110"/>
        <v>#REF!</v>
      </c>
      <c r="J1059" s="117"/>
      <c r="K1059" s="116">
        <v>0</v>
      </c>
      <c r="M1059" s="136" t="e">
        <f ca="1">OFFSET(INDEX([1]Composições!I:R,MATCH([1]Orçamentária!I1059,[1]Composições!I:I,0),8),2,0)</f>
        <v>#REF!</v>
      </c>
      <c r="N1059" t="e">
        <v>#REF!</v>
      </c>
      <c r="Q1059" t="e">
        <v>#REF!</v>
      </c>
    </row>
    <row r="1060" spans="1:19" hidden="1" x14ac:dyDescent="0.25">
      <c r="A1060" s="114" t="s">
        <v>2637</v>
      </c>
      <c r="B1060" s="115" t="s">
        <v>5460</v>
      </c>
      <c r="C1060" s="116" t="s">
        <v>16</v>
      </c>
      <c r="D1060" s="116">
        <v>0</v>
      </c>
      <c r="E1060" s="136" t="s">
        <v>416</v>
      </c>
      <c r="F1060" s="137" t="str">
        <f t="shared" si="108"/>
        <v/>
      </c>
      <c r="G1060" s="138" t="e">
        <f>IF(A1060&lt;&gt;"",IF(AND(#REF!="Padrão",$H$4=#REF!),BDI!$B$17,IF(AND(#REF!="Padrão",$H$4=#REF!),BDI!#REF!,IF(AND(#REF!="Diferenciado",$H$4=#REF!),BDI!$E$17,IF(AND(#REF!="Diferenciado",$H$4=#REF!),BDI!#REF!,IF(#REF!="ZERO",0))))),"")</f>
        <v>#REF!</v>
      </c>
      <c r="H1060" s="139" t="str">
        <f t="shared" si="109"/>
        <v/>
      </c>
      <c r="I1060" s="137" t="str">
        <f t="shared" si="110"/>
        <v/>
      </c>
      <c r="J1060" s="117"/>
      <c r="K1060" s="116">
        <v>0</v>
      </c>
      <c r="M1060" s="136" t="s">
        <v>416</v>
      </c>
      <c r="N1060" t="e">
        <v>#REF!</v>
      </c>
      <c r="Q1060" t="s">
        <v>416</v>
      </c>
    </row>
    <row r="1061" spans="1:19" ht="25.5" hidden="1" x14ac:dyDescent="0.25">
      <c r="A1061" s="114" t="s">
        <v>2638</v>
      </c>
      <c r="B1061" s="115" t="s">
        <v>2639</v>
      </c>
      <c r="C1061" s="116" t="s">
        <v>16</v>
      </c>
      <c r="D1061" s="116">
        <v>0</v>
      </c>
      <c r="E1061" s="136" t="s">
        <v>416</v>
      </c>
      <c r="F1061" s="137" t="str">
        <f t="shared" si="108"/>
        <v/>
      </c>
      <c r="G1061" s="138" t="e">
        <f>IF(A1061&lt;&gt;"",IF(AND(#REF!="Padrão",$H$4=#REF!),BDI!$B$17,IF(AND(#REF!="Padrão",$H$4=#REF!),BDI!#REF!,IF(AND(#REF!="Diferenciado",$H$4=#REF!),BDI!$E$17,IF(AND(#REF!="Diferenciado",$H$4=#REF!),BDI!#REF!,IF(#REF!="ZERO",0))))),"")</f>
        <v>#REF!</v>
      </c>
      <c r="H1061" s="139" t="str">
        <f t="shared" si="109"/>
        <v/>
      </c>
      <c r="I1061" s="137" t="str">
        <f t="shared" si="110"/>
        <v/>
      </c>
      <c r="J1061" s="117"/>
      <c r="K1061" s="116">
        <v>0</v>
      </c>
      <c r="M1061" s="136" t="s">
        <v>416</v>
      </c>
      <c r="N1061" t="e">
        <v>#REF!</v>
      </c>
      <c r="Q1061" t="s">
        <v>416</v>
      </c>
    </row>
    <row r="1062" spans="1:19" hidden="1" x14ac:dyDescent="0.25">
      <c r="A1062" s="114" t="s">
        <v>2640</v>
      </c>
      <c r="B1062" s="115" t="s">
        <v>2641</v>
      </c>
      <c r="C1062" s="116" t="s">
        <v>16</v>
      </c>
      <c r="D1062" s="116">
        <v>0</v>
      </c>
      <c r="E1062" s="136" t="s">
        <v>416</v>
      </c>
      <c r="F1062" s="137" t="str">
        <f t="shared" si="108"/>
        <v/>
      </c>
      <c r="G1062" s="138" t="e">
        <f>IF(A1062&lt;&gt;"",IF(AND(#REF!="Padrão",$H$4=#REF!),BDI!$B$17,IF(AND(#REF!="Padrão",$H$4=#REF!),BDI!#REF!,IF(AND(#REF!="Diferenciado",$H$4=#REF!),BDI!$E$17,IF(AND(#REF!="Diferenciado",$H$4=#REF!),BDI!#REF!,IF(#REF!="ZERO",0))))),"")</f>
        <v>#REF!</v>
      </c>
      <c r="H1062" s="139" t="str">
        <f t="shared" si="109"/>
        <v/>
      </c>
      <c r="I1062" s="137" t="str">
        <f t="shared" si="110"/>
        <v/>
      </c>
      <c r="J1062" s="117"/>
      <c r="K1062" s="116">
        <v>0</v>
      </c>
      <c r="M1062" s="136" t="s">
        <v>416</v>
      </c>
      <c r="N1062" t="e">
        <v>#REF!</v>
      </c>
      <c r="Q1062" t="s">
        <v>416</v>
      </c>
    </row>
    <row r="1063" spans="1:19" hidden="1" x14ac:dyDescent="0.25">
      <c r="A1063" s="114" t="s">
        <v>2642</v>
      </c>
      <c r="B1063" s="115" t="s">
        <v>2643</v>
      </c>
      <c r="C1063" s="116" t="s">
        <v>16</v>
      </c>
      <c r="D1063" s="116">
        <v>0</v>
      </c>
      <c r="E1063" s="136" t="s">
        <v>416</v>
      </c>
      <c r="F1063" s="137" t="str">
        <f t="shared" si="108"/>
        <v/>
      </c>
      <c r="G1063" s="138" t="e">
        <f>IF(A1063&lt;&gt;"",IF(AND(#REF!="Padrão",$H$4=#REF!),BDI!$B$17,IF(AND(#REF!="Padrão",$H$4=#REF!),BDI!#REF!,IF(AND(#REF!="Diferenciado",$H$4=#REF!),BDI!$E$17,IF(AND(#REF!="Diferenciado",$H$4=#REF!),BDI!#REF!,IF(#REF!="ZERO",0))))),"")</f>
        <v>#REF!</v>
      </c>
      <c r="H1063" s="139" t="str">
        <f t="shared" si="109"/>
        <v/>
      </c>
      <c r="I1063" s="137" t="str">
        <f t="shared" si="110"/>
        <v/>
      </c>
      <c r="J1063" s="117"/>
      <c r="K1063" s="116">
        <v>0</v>
      </c>
      <c r="M1063" s="136" t="s">
        <v>416</v>
      </c>
      <c r="N1063" t="e">
        <v>#REF!</v>
      </c>
      <c r="Q1063" t="s">
        <v>416</v>
      </c>
    </row>
    <row r="1064" spans="1:19" hidden="1" x14ac:dyDescent="0.25">
      <c r="A1064" s="114" t="s">
        <v>988</v>
      </c>
      <c r="B1064" s="115" t="s">
        <v>2644</v>
      </c>
      <c r="C1064" s="116" t="s">
        <v>70</v>
      </c>
      <c r="D1064" s="116">
        <v>0</v>
      </c>
      <c r="E1064" s="136">
        <f ca="1">OFFSET(INDEX(Composições!A:J,MATCH(Orçamentária!A1064,Composições!A:A,0),8),2,0)</f>
        <v>155.11190929999998</v>
      </c>
      <c r="F1064" s="137">
        <f t="shared" ca="1" si="108"/>
        <v>0</v>
      </c>
      <c r="G1064" s="138" t="e">
        <f>IF(A1064&lt;&gt;"",IF(AND(#REF!="Padrão",$H$4=#REF!),BDI!$B$17,IF(AND(#REF!="Padrão",$H$4=#REF!),BDI!#REF!,IF(AND(#REF!="Diferenciado",$H$4=#REF!),BDI!$E$17,IF(AND(#REF!="Diferenciado",$H$4=#REF!),BDI!#REF!,IF(#REF!="ZERO",0))))),"")</f>
        <v>#REF!</v>
      </c>
      <c r="H1064" s="139" t="e">
        <f t="shared" ca="1" si="109"/>
        <v>#REF!</v>
      </c>
      <c r="I1064" s="137" t="e">
        <f t="shared" ca="1" si="110"/>
        <v>#REF!</v>
      </c>
      <c r="J1064" s="117"/>
      <c r="K1064" s="116">
        <v>0</v>
      </c>
      <c r="M1064" s="136" t="e">
        <f ca="1">OFFSET(INDEX([1]Composições!I:R,MATCH([1]Orçamentária!I1064,[1]Composições!I:I,0),8),2,0)</f>
        <v>#REF!</v>
      </c>
      <c r="N1064" t="e">
        <v>#REF!</v>
      </c>
      <c r="Q1064" t="e">
        <v>#REF!</v>
      </c>
    </row>
    <row r="1065" spans="1:19" hidden="1" x14ac:dyDescent="0.25">
      <c r="A1065" s="114" t="s">
        <v>990</v>
      </c>
      <c r="B1065" s="115" t="s">
        <v>2645</v>
      </c>
      <c r="C1065" s="116" t="s">
        <v>70</v>
      </c>
      <c r="D1065" s="116">
        <v>0</v>
      </c>
      <c r="E1065" s="136">
        <f ca="1">OFFSET(INDEX(Composições!A:J,MATCH(Orçamentária!A1065,Composições!A:A,0),8),2,0)</f>
        <v>578.10560995000003</v>
      </c>
      <c r="F1065" s="137">
        <f t="shared" ca="1" si="108"/>
        <v>0</v>
      </c>
      <c r="G1065" s="138" t="e">
        <f>IF(A1065&lt;&gt;"",IF(AND(#REF!="Padrão",$H$4=#REF!),BDI!$B$17,IF(AND(#REF!="Padrão",$H$4=#REF!),BDI!#REF!,IF(AND(#REF!="Diferenciado",$H$4=#REF!),BDI!$E$17,IF(AND(#REF!="Diferenciado",$H$4=#REF!),BDI!#REF!,IF(#REF!="ZERO",0))))),"")</f>
        <v>#REF!</v>
      </c>
      <c r="H1065" s="139" t="e">
        <f t="shared" ca="1" si="109"/>
        <v>#REF!</v>
      </c>
      <c r="I1065" s="137" t="e">
        <f t="shared" ca="1" si="110"/>
        <v>#REF!</v>
      </c>
      <c r="J1065" s="117"/>
      <c r="K1065" s="116">
        <v>0</v>
      </c>
      <c r="M1065" s="136" t="e">
        <f ca="1">OFFSET(INDEX([1]Composições!I:R,MATCH([1]Orçamentária!I1065,[1]Composições!I:I,0),8),2,0)</f>
        <v>#REF!</v>
      </c>
      <c r="N1065" t="e">
        <v>#REF!</v>
      </c>
      <c r="Q1065" t="e">
        <v>#REF!</v>
      </c>
    </row>
    <row r="1066" spans="1:19" hidden="1" x14ac:dyDescent="0.25">
      <c r="A1066" s="114" t="s">
        <v>993</v>
      </c>
      <c r="B1066" s="115" t="s">
        <v>5461</v>
      </c>
      <c r="C1066" s="116" t="s">
        <v>70</v>
      </c>
      <c r="D1066" s="116">
        <v>0</v>
      </c>
      <c r="E1066" s="136">
        <f ca="1">OFFSET(INDEX(Composições!A:J,MATCH(Orçamentária!A1066,Composições!A:A,0),8),2,0)</f>
        <v>610.05279799999994</v>
      </c>
      <c r="F1066" s="137">
        <f t="shared" ca="1" si="108"/>
        <v>0</v>
      </c>
      <c r="G1066" s="138" t="e">
        <f>IF(A1066&lt;&gt;"",IF(AND(#REF!="Padrão",$H$4=#REF!),BDI!$B$17,IF(AND(#REF!="Padrão",$H$4=#REF!),BDI!#REF!,IF(AND(#REF!="Diferenciado",$H$4=#REF!),BDI!$E$17,IF(AND(#REF!="Diferenciado",$H$4=#REF!),BDI!#REF!,IF(#REF!="ZERO",0))))),"")</f>
        <v>#REF!</v>
      </c>
      <c r="H1066" s="139" t="e">
        <f t="shared" ca="1" si="109"/>
        <v>#REF!</v>
      </c>
      <c r="I1066" s="137" t="e">
        <f t="shared" ca="1" si="110"/>
        <v>#REF!</v>
      </c>
      <c r="J1066" s="117"/>
      <c r="K1066" s="116">
        <v>0</v>
      </c>
      <c r="M1066" s="136" t="e">
        <f ca="1">OFFSET(INDEX([1]Composições!I:R,MATCH([1]Orçamentária!I1066,[1]Composições!I:I,0),8),2,0)</f>
        <v>#REF!</v>
      </c>
      <c r="N1066" t="e">
        <v>#REF!</v>
      </c>
      <c r="Q1066" t="e">
        <v>#REF!</v>
      </c>
    </row>
    <row r="1067" spans="1:19" hidden="1" x14ac:dyDescent="0.25">
      <c r="A1067" s="114" t="s">
        <v>995</v>
      </c>
      <c r="B1067" s="115" t="s">
        <v>2646</v>
      </c>
      <c r="C1067" s="116" t="s">
        <v>70</v>
      </c>
      <c r="D1067" s="116">
        <v>0</v>
      </c>
      <c r="E1067" s="136">
        <f ca="1">OFFSET(INDEX(Composições!A:J,MATCH(Orçamentária!A1067,Composições!A:A,0),8),2,0)</f>
        <v>458.69453555140001</v>
      </c>
      <c r="F1067" s="137">
        <f t="shared" ca="1" si="108"/>
        <v>0</v>
      </c>
      <c r="G1067" s="138" t="e">
        <f>IF(A1067&lt;&gt;"",IF(AND(#REF!="Padrão",$H$4=#REF!),BDI!$B$17,IF(AND(#REF!="Padrão",$H$4=#REF!),BDI!#REF!,IF(AND(#REF!="Diferenciado",$H$4=#REF!),BDI!$E$17,IF(AND(#REF!="Diferenciado",$H$4=#REF!),BDI!#REF!,IF(#REF!="ZERO",0))))),"")</f>
        <v>#REF!</v>
      </c>
      <c r="H1067" s="139" t="e">
        <f t="shared" ca="1" si="109"/>
        <v>#REF!</v>
      </c>
      <c r="I1067" s="137" t="e">
        <f t="shared" ca="1" si="110"/>
        <v>#REF!</v>
      </c>
      <c r="J1067" s="117"/>
      <c r="K1067" s="116">
        <v>0</v>
      </c>
      <c r="M1067" s="136" t="e">
        <f ca="1">OFFSET(INDEX([1]Composições!I:R,MATCH([1]Orçamentária!I1067,[1]Composições!I:I,0),8),2,0)</f>
        <v>#REF!</v>
      </c>
      <c r="N1067" t="e">
        <v>#REF!</v>
      </c>
      <c r="Q1067" t="e">
        <v>#REF!</v>
      </c>
    </row>
    <row r="1068" spans="1:19" hidden="1" x14ac:dyDescent="0.25">
      <c r="A1068" s="114" t="s">
        <v>997</v>
      </c>
      <c r="B1068" s="115" t="s">
        <v>2647</v>
      </c>
      <c r="C1068" s="116" t="s">
        <v>16</v>
      </c>
      <c r="D1068" s="116">
        <v>0</v>
      </c>
      <c r="E1068" s="136">
        <f ca="1">OFFSET(INDEX(Composições!A:J,MATCH(Orçamentária!A1068,Composições!A:A,0),8),2,0)</f>
        <v>736.01603114999989</v>
      </c>
      <c r="F1068" s="137">
        <f t="shared" ca="1" si="108"/>
        <v>0</v>
      </c>
      <c r="G1068" s="138" t="e">
        <f>IF(A1068&lt;&gt;"",IF(AND(#REF!="Padrão",$H$4=#REF!),BDI!$B$17,IF(AND(#REF!="Padrão",$H$4=#REF!),BDI!#REF!,IF(AND(#REF!="Diferenciado",$H$4=#REF!),BDI!$E$17,IF(AND(#REF!="Diferenciado",$H$4=#REF!),BDI!#REF!,IF(#REF!="ZERO",0))))),"")</f>
        <v>#REF!</v>
      </c>
      <c r="H1068" s="139" t="e">
        <f t="shared" ca="1" si="109"/>
        <v>#REF!</v>
      </c>
      <c r="I1068" s="137" t="e">
        <f t="shared" ca="1" si="110"/>
        <v>#REF!</v>
      </c>
      <c r="J1068" s="117"/>
      <c r="K1068" s="116">
        <v>0</v>
      </c>
      <c r="M1068" s="136" t="e">
        <f ca="1">OFFSET(INDEX([1]Composições!I:R,MATCH([1]Orçamentária!I1068,[1]Composições!I:I,0),8),2,0)</f>
        <v>#REF!</v>
      </c>
      <c r="N1068" t="e">
        <v>#REF!</v>
      </c>
      <c r="Q1068" t="e">
        <v>#REF!</v>
      </c>
    </row>
    <row r="1069" spans="1:19" hidden="1" x14ac:dyDescent="0.25">
      <c r="A1069" s="114" t="s">
        <v>1006</v>
      </c>
      <c r="B1069" s="115" t="s">
        <v>2648</v>
      </c>
      <c r="C1069" s="116" t="s">
        <v>16</v>
      </c>
      <c r="D1069" s="116">
        <v>0</v>
      </c>
      <c r="E1069" s="136">
        <f ca="1">OFFSET(INDEX(Composições!A:J,MATCH(Orçamentária!A1069,Composições!A:A,0),8),2,0)</f>
        <v>5.4435950000000002</v>
      </c>
      <c r="F1069" s="137">
        <f t="shared" ca="1" si="108"/>
        <v>0</v>
      </c>
      <c r="G1069" s="138" t="e">
        <f>IF(A1069&lt;&gt;"",IF(AND(#REF!="Padrão",$H$4=#REF!),BDI!$B$17,IF(AND(#REF!="Padrão",$H$4=#REF!),BDI!#REF!,IF(AND(#REF!="Diferenciado",$H$4=#REF!),BDI!$E$17,IF(AND(#REF!="Diferenciado",$H$4=#REF!),BDI!#REF!,IF(#REF!="ZERO",0))))),"")</f>
        <v>#REF!</v>
      </c>
      <c r="H1069" s="139" t="e">
        <f t="shared" ca="1" si="109"/>
        <v>#REF!</v>
      </c>
      <c r="I1069" s="137" t="e">
        <f t="shared" ca="1" si="110"/>
        <v>#REF!</v>
      </c>
      <c r="J1069" s="117"/>
      <c r="K1069" s="116">
        <v>0</v>
      </c>
      <c r="M1069" s="136" t="e">
        <f ca="1">OFFSET(INDEX([1]Composições!I:R,MATCH([1]Orçamentária!I1069,[1]Composições!I:I,0),8),2,0)</f>
        <v>#REF!</v>
      </c>
      <c r="N1069" t="e">
        <v>#REF!</v>
      </c>
      <c r="Q1069" t="e">
        <v>#REF!</v>
      </c>
    </row>
    <row r="1070" spans="1:19" x14ac:dyDescent="0.25">
      <c r="A1070" s="172" t="s">
        <v>1008</v>
      </c>
      <c r="B1070" s="173" t="s">
        <v>7699</v>
      </c>
      <c r="C1070" s="174" t="s">
        <v>80</v>
      </c>
      <c r="D1070" s="174">
        <v>1.5</v>
      </c>
      <c r="E1070" s="136">
        <f ca="1">OFFSET(INDEX(Composições!A:J,MATCH(Orçamentária!A1070,Composições!A:A,0),8),2,0)</f>
        <v>1696.9222716469956</v>
      </c>
      <c r="F1070" s="137">
        <f t="shared" ca="1" si="108"/>
        <v>2545.3834074704932</v>
      </c>
      <c r="G1070" s="138">
        <f>BDI!$B$17</f>
        <v>0.191</v>
      </c>
      <c r="H1070" s="139">
        <f t="shared" ca="1" si="109"/>
        <v>2021.03</v>
      </c>
      <c r="I1070" s="137">
        <f t="shared" ca="1" si="110"/>
        <v>3031.55</v>
      </c>
      <c r="J1070" s="117"/>
      <c r="K1070" s="253">
        <v>1.5</v>
      </c>
      <c r="L1070" s="236" t="str">
        <f>IF(D1070&lt;&gt;K1070,"ERRO","-")</f>
        <v>-</v>
      </c>
      <c r="M1070" s="136">
        <f ca="1">OFFSET(INDEX(Composições!A:S,MATCH(A1070,Composições!A:A,0),15),2,0)</f>
        <v>1452.5654645298282</v>
      </c>
      <c r="N1070" s="237">
        <v>0.191</v>
      </c>
      <c r="O1070" s="236">
        <f ca="1">ROUND(M1070*(1+N1070),2)</f>
        <v>1730.01</v>
      </c>
      <c r="P1070" s="238">
        <f ca="1">ROUND(K1070*O1070,2)</f>
        <v>2595.02</v>
      </c>
      <c r="Q1070" s="236">
        <v>2595.02</v>
      </c>
      <c r="R1070" s="236">
        <f ca="1">P1070-Q1070</f>
        <v>0</v>
      </c>
      <c r="S1070" s="239">
        <f ca="1">IF(ISNUMBER(O1070),1-P1070/$I1070,"")</f>
        <v>0.14399564579175672</v>
      </c>
    </row>
    <row r="1071" spans="1:19" hidden="1" x14ac:dyDescent="0.25">
      <c r="A1071" s="114" t="s">
        <v>1016</v>
      </c>
      <c r="B1071" s="115" t="s">
        <v>2649</v>
      </c>
      <c r="C1071" s="116" t="s">
        <v>69</v>
      </c>
      <c r="D1071" s="116">
        <v>0</v>
      </c>
      <c r="E1071" s="136">
        <f ca="1">OFFSET(INDEX(Composições!A:J,MATCH(Orçamentária!A1071,Composições!A:A,0),8),2,0)</f>
        <v>15.931710899999999</v>
      </c>
      <c r="F1071" s="137">
        <f t="shared" ca="1" si="108"/>
        <v>0</v>
      </c>
      <c r="G1071" s="138" t="e">
        <f>IF(A1071&lt;&gt;"",IF(AND(#REF!="Padrão",$H$4=#REF!),BDI!$B$17,IF(AND(#REF!="Padrão",$H$4=#REF!),BDI!#REF!,IF(AND(#REF!="Diferenciado",$H$4=#REF!),BDI!$E$17,IF(AND(#REF!="Diferenciado",$H$4=#REF!),BDI!#REF!,IF(#REF!="ZERO",0))))),"")</f>
        <v>#REF!</v>
      </c>
      <c r="H1071" s="139" t="e">
        <f t="shared" ca="1" si="109"/>
        <v>#REF!</v>
      </c>
      <c r="I1071" s="137" t="e">
        <f t="shared" ca="1" si="110"/>
        <v>#REF!</v>
      </c>
      <c r="J1071" s="117"/>
      <c r="K1071" s="116">
        <v>0</v>
      </c>
      <c r="M1071" s="136" t="e">
        <f ca="1">OFFSET(INDEX([1]Composições!I:R,MATCH([1]Orçamentária!I1071,[1]Composições!I:I,0),8),2,0)</f>
        <v>#REF!</v>
      </c>
      <c r="N1071" t="e">
        <v>#REF!</v>
      </c>
      <c r="Q1071" t="e">
        <v>#REF!</v>
      </c>
    </row>
    <row r="1072" spans="1:19" hidden="1" x14ac:dyDescent="0.25">
      <c r="A1072" s="114" t="s">
        <v>2650</v>
      </c>
      <c r="B1072" s="115" t="s">
        <v>2651</v>
      </c>
      <c r="C1072" s="116" t="s">
        <v>16</v>
      </c>
      <c r="D1072" s="116">
        <v>0</v>
      </c>
      <c r="E1072" s="136" t="s">
        <v>416</v>
      </c>
      <c r="F1072" s="137" t="str">
        <f t="shared" si="108"/>
        <v/>
      </c>
      <c r="G1072" s="138" t="e">
        <f>IF(A1072&lt;&gt;"",IF(AND(#REF!="Padrão",$H$4=#REF!),BDI!$B$17,IF(AND(#REF!="Padrão",$H$4=#REF!),BDI!#REF!,IF(AND(#REF!="Diferenciado",$H$4=#REF!),BDI!$E$17,IF(AND(#REF!="Diferenciado",$H$4=#REF!),BDI!#REF!,IF(#REF!="ZERO",0))))),"")</f>
        <v>#REF!</v>
      </c>
      <c r="H1072" s="139" t="str">
        <f t="shared" si="109"/>
        <v/>
      </c>
      <c r="I1072" s="137" t="str">
        <f t="shared" si="110"/>
        <v/>
      </c>
      <c r="J1072" s="117"/>
      <c r="K1072" s="116">
        <v>0</v>
      </c>
      <c r="M1072" s="136" t="s">
        <v>416</v>
      </c>
      <c r="N1072" t="e">
        <v>#REF!</v>
      </c>
      <c r="Q1072" t="s">
        <v>416</v>
      </c>
    </row>
    <row r="1073" spans="1:19" hidden="1" x14ac:dyDescent="0.25">
      <c r="A1073" s="114" t="s">
        <v>1019</v>
      </c>
      <c r="B1073" s="115" t="s">
        <v>2652</v>
      </c>
      <c r="C1073" s="116" t="s">
        <v>69</v>
      </c>
      <c r="D1073" s="116">
        <v>0</v>
      </c>
      <c r="E1073" s="136">
        <f ca="1">OFFSET(INDEX(Composições!A:J,MATCH(Orçamentária!A1073,Composições!A:A,0),8),2,0)</f>
        <v>49.418999999999997</v>
      </c>
      <c r="F1073" s="137">
        <f t="shared" ca="1" si="108"/>
        <v>0</v>
      </c>
      <c r="G1073" s="138" t="e">
        <f>IF(A1073&lt;&gt;"",IF(AND(#REF!="Padrão",$H$4=#REF!),BDI!$B$17,IF(AND(#REF!="Padrão",$H$4=#REF!),BDI!#REF!,IF(AND(#REF!="Diferenciado",$H$4=#REF!),BDI!$E$17,IF(AND(#REF!="Diferenciado",$H$4=#REF!),BDI!#REF!,IF(#REF!="ZERO",0))))),"")</f>
        <v>#REF!</v>
      </c>
      <c r="H1073" s="139" t="e">
        <f t="shared" ca="1" si="109"/>
        <v>#REF!</v>
      </c>
      <c r="I1073" s="137" t="e">
        <f t="shared" ca="1" si="110"/>
        <v>#REF!</v>
      </c>
      <c r="J1073" s="117"/>
      <c r="K1073" s="116">
        <v>0</v>
      </c>
      <c r="M1073" s="136" t="e">
        <f ca="1">OFFSET(INDEX([1]Composições!I:R,MATCH([1]Orçamentária!I1073,[1]Composições!I:I,0),8),2,0)</f>
        <v>#REF!</v>
      </c>
      <c r="N1073" t="e">
        <v>#REF!</v>
      </c>
      <c r="Q1073" t="e">
        <v>#REF!</v>
      </c>
    </row>
    <row r="1074" spans="1:19" hidden="1" x14ac:dyDescent="0.25">
      <c r="A1074" s="114" t="s">
        <v>1021</v>
      </c>
      <c r="B1074" s="115" t="s">
        <v>2653</v>
      </c>
      <c r="C1074" s="116" t="s">
        <v>69</v>
      </c>
      <c r="D1074" s="116">
        <v>0</v>
      </c>
      <c r="E1074" s="136">
        <f ca="1">OFFSET(INDEX(Composições!A:J,MATCH(Orçamentária!A1074,Composições!A:A,0),8),2,0)</f>
        <v>31.748620000000003</v>
      </c>
      <c r="F1074" s="137">
        <f t="shared" ca="1" si="108"/>
        <v>0</v>
      </c>
      <c r="G1074" s="138" t="e">
        <f>IF(A1074&lt;&gt;"",IF(AND(#REF!="Padrão",$H$4=#REF!),BDI!$B$17,IF(AND(#REF!="Padrão",$H$4=#REF!),BDI!#REF!,IF(AND(#REF!="Diferenciado",$H$4=#REF!),BDI!$E$17,IF(AND(#REF!="Diferenciado",$H$4=#REF!),BDI!#REF!,IF(#REF!="ZERO",0))))),"")</f>
        <v>#REF!</v>
      </c>
      <c r="H1074" s="139" t="e">
        <f t="shared" ca="1" si="109"/>
        <v>#REF!</v>
      </c>
      <c r="I1074" s="137" t="e">
        <f t="shared" ca="1" si="110"/>
        <v>#REF!</v>
      </c>
      <c r="J1074" s="117"/>
      <c r="K1074" s="116">
        <v>0</v>
      </c>
      <c r="M1074" s="136" t="e">
        <f ca="1">OFFSET(INDEX([1]Composições!I:R,MATCH([1]Orçamentária!I1074,[1]Composições!I:I,0),8),2,0)</f>
        <v>#REF!</v>
      </c>
      <c r="N1074" t="e">
        <v>#REF!</v>
      </c>
      <c r="Q1074" t="e">
        <v>#REF!</v>
      </c>
    </row>
    <row r="1075" spans="1:19" hidden="1" x14ac:dyDescent="0.25">
      <c r="A1075" s="114" t="s">
        <v>1023</v>
      </c>
      <c r="B1075" s="115" t="s">
        <v>2654</v>
      </c>
      <c r="C1075" s="116" t="s">
        <v>70</v>
      </c>
      <c r="D1075" s="116">
        <v>0</v>
      </c>
      <c r="E1075" s="136">
        <f ca="1">OFFSET(INDEX(Composições!A:J,MATCH(Orçamentária!A1075,Composições!A:A,0),8),2,0)</f>
        <v>150.9292379</v>
      </c>
      <c r="F1075" s="137">
        <f t="shared" ca="1" si="108"/>
        <v>0</v>
      </c>
      <c r="G1075" s="138" t="e">
        <f>IF(A1075&lt;&gt;"",IF(AND(#REF!="Padrão",$H$4=#REF!),BDI!$B$17,IF(AND(#REF!="Padrão",$H$4=#REF!),BDI!#REF!,IF(AND(#REF!="Diferenciado",$H$4=#REF!),BDI!$E$17,IF(AND(#REF!="Diferenciado",$H$4=#REF!),BDI!#REF!,IF(#REF!="ZERO",0))))),"")</f>
        <v>#REF!</v>
      </c>
      <c r="H1075" s="139" t="e">
        <f t="shared" ca="1" si="109"/>
        <v>#REF!</v>
      </c>
      <c r="I1075" s="137" t="e">
        <f t="shared" ca="1" si="110"/>
        <v>#REF!</v>
      </c>
      <c r="J1075" s="117"/>
      <c r="K1075" s="116">
        <v>0</v>
      </c>
      <c r="M1075" s="136" t="e">
        <f ca="1">OFFSET(INDEX([1]Composições!I:R,MATCH([1]Orçamentária!I1075,[1]Composições!I:I,0),8),2,0)</f>
        <v>#REF!</v>
      </c>
      <c r="N1075" t="e">
        <v>#REF!</v>
      </c>
      <c r="Q1075" t="e">
        <v>#REF!</v>
      </c>
    </row>
    <row r="1076" spans="1:19" hidden="1" x14ac:dyDescent="0.25">
      <c r="A1076" s="114" t="s">
        <v>1025</v>
      </c>
      <c r="B1076" s="115" t="s">
        <v>2655</v>
      </c>
      <c r="C1076" s="116" t="s">
        <v>16</v>
      </c>
      <c r="D1076" s="116">
        <v>0</v>
      </c>
      <c r="E1076" s="136">
        <f ca="1">OFFSET(INDEX(Composições!A:J,MATCH(Orçamentária!A1076,Composições!A:A,0),8),2,0)</f>
        <v>13.078640500000002</v>
      </c>
      <c r="F1076" s="137">
        <f t="shared" ca="1" si="108"/>
        <v>0</v>
      </c>
      <c r="G1076" s="138" t="e">
        <f>IF(A1076&lt;&gt;"",IF(AND(#REF!="Padrão",$H$4=#REF!),BDI!$B$17,IF(AND(#REF!="Padrão",$H$4=#REF!),BDI!#REF!,IF(AND(#REF!="Diferenciado",$H$4=#REF!),BDI!$E$17,IF(AND(#REF!="Diferenciado",$H$4=#REF!),BDI!#REF!,IF(#REF!="ZERO",0))))),"")</f>
        <v>#REF!</v>
      </c>
      <c r="H1076" s="139" t="e">
        <f t="shared" ca="1" si="109"/>
        <v>#REF!</v>
      </c>
      <c r="I1076" s="137" t="e">
        <f t="shared" ca="1" si="110"/>
        <v>#REF!</v>
      </c>
      <c r="J1076" s="117"/>
      <c r="K1076" s="116">
        <v>0</v>
      </c>
      <c r="M1076" s="136" t="e">
        <f ca="1">OFFSET(INDEX([1]Composições!I:R,MATCH([1]Orçamentária!I1076,[1]Composições!I:I,0),8),2,0)</f>
        <v>#REF!</v>
      </c>
      <c r="N1076" t="e">
        <v>#REF!</v>
      </c>
      <c r="Q1076" t="e">
        <v>#REF!</v>
      </c>
    </row>
    <row r="1077" spans="1:19" hidden="1" x14ac:dyDescent="0.25">
      <c r="A1077" s="114" t="s">
        <v>1027</v>
      </c>
      <c r="B1077" s="115" t="s">
        <v>2656</v>
      </c>
      <c r="C1077" s="116" t="s">
        <v>70</v>
      </c>
      <c r="D1077" s="116">
        <v>0</v>
      </c>
      <c r="E1077" s="136">
        <f ca="1">OFFSET(INDEX(Composições!A:J,MATCH(Orçamentária!A1077,Composições!A:A,0),8),2,0)</f>
        <v>125.02422749999999</v>
      </c>
      <c r="F1077" s="137">
        <f t="shared" ca="1" si="108"/>
        <v>0</v>
      </c>
      <c r="G1077" s="138" t="e">
        <f>IF(A1077&lt;&gt;"",IF(AND(#REF!="Padrão",$H$4=#REF!),BDI!$B$17,IF(AND(#REF!="Padrão",$H$4=#REF!),BDI!#REF!,IF(AND(#REF!="Diferenciado",$H$4=#REF!),BDI!$E$17,IF(AND(#REF!="Diferenciado",$H$4=#REF!),BDI!#REF!,IF(#REF!="ZERO",0))))),"")</f>
        <v>#REF!</v>
      </c>
      <c r="H1077" s="139" t="e">
        <f t="shared" ca="1" si="109"/>
        <v>#REF!</v>
      </c>
      <c r="I1077" s="137" t="e">
        <f t="shared" ca="1" si="110"/>
        <v>#REF!</v>
      </c>
      <c r="J1077" s="117"/>
      <c r="K1077" s="116">
        <v>0</v>
      </c>
      <c r="M1077" s="136" t="e">
        <f ca="1">OFFSET(INDEX([1]Composições!I:R,MATCH([1]Orçamentária!I1077,[1]Composições!I:I,0),8),2,0)</f>
        <v>#REF!</v>
      </c>
      <c r="N1077" t="e">
        <v>#REF!</v>
      </c>
      <c r="Q1077" t="e">
        <v>#REF!</v>
      </c>
    </row>
    <row r="1078" spans="1:19" hidden="1" x14ac:dyDescent="0.25">
      <c r="A1078" s="114" t="s">
        <v>1028</v>
      </c>
      <c r="B1078" s="115" t="s">
        <v>2657</v>
      </c>
      <c r="C1078" s="116" t="s">
        <v>70</v>
      </c>
      <c r="D1078" s="116">
        <v>0</v>
      </c>
      <c r="E1078" s="136">
        <f ca="1">OFFSET(INDEX(Composições!A:J,MATCH(Orçamentária!A1078,Composições!A:A,0),8),2,0)</f>
        <v>111.88545199999999</v>
      </c>
      <c r="F1078" s="137">
        <f t="shared" ca="1" si="108"/>
        <v>0</v>
      </c>
      <c r="G1078" s="138" t="e">
        <f>IF(A1078&lt;&gt;"",IF(AND(#REF!="Padrão",$H$4=#REF!),BDI!$B$17,IF(AND(#REF!="Padrão",$H$4=#REF!),BDI!#REF!,IF(AND(#REF!="Diferenciado",$H$4=#REF!),BDI!$E$17,IF(AND(#REF!="Diferenciado",$H$4=#REF!),BDI!#REF!,IF(#REF!="ZERO",0))))),"")</f>
        <v>#REF!</v>
      </c>
      <c r="H1078" s="139" t="e">
        <f t="shared" ca="1" si="109"/>
        <v>#REF!</v>
      </c>
      <c r="I1078" s="137" t="e">
        <f t="shared" ca="1" si="110"/>
        <v>#REF!</v>
      </c>
      <c r="J1078" s="117"/>
      <c r="K1078" s="116">
        <v>0</v>
      </c>
      <c r="M1078" s="136" t="e">
        <f ca="1">OFFSET(INDEX([1]Composições!I:R,MATCH([1]Orçamentária!I1078,[1]Composições!I:I,0),8),2,0)</f>
        <v>#REF!</v>
      </c>
      <c r="N1078" t="e">
        <v>#REF!</v>
      </c>
      <c r="Q1078" t="e">
        <v>#REF!</v>
      </c>
    </row>
    <row r="1079" spans="1:19" hidden="1" x14ac:dyDescent="0.25">
      <c r="A1079" s="114" t="s">
        <v>1029</v>
      </c>
      <c r="B1079" s="115" t="s">
        <v>2658</v>
      </c>
      <c r="C1079" s="116" t="s">
        <v>16</v>
      </c>
      <c r="D1079" s="116">
        <v>0</v>
      </c>
      <c r="E1079" s="136">
        <f ca="1">OFFSET(INDEX(Composições!A:J,MATCH(Orçamentária!A1079,Composições!A:A,0),8),2,0)</f>
        <v>141.17421341458939</v>
      </c>
      <c r="F1079" s="137">
        <f t="shared" ca="1" si="108"/>
        <v>0</v>
      </c>
      <c r="G1079" s="138" t="e">
        <f>IF(A1079&lt;&gt;"",IF(AND(#REF!="Padrão",$H$4=#REF!),BDI!$B$17,IF(AND(#REF!="Padrão",$H$4=#REF!),BDI!#REF!,IF(AND(#REF!="Diferenciado",$H$4=#REF!),BDI!$E$17,IF(AND(#REF!="Diferenciado",$H$4=#REF!),BDI!#REF!,IF(#REF!="ZERO",0))))),"")</f>
        <v>#REF!</v>
      </c>
      <c r="H1079" s="139" t="e">
        <f t="shared" ca="1" si="109"/>
        <v>#REF!</v>
      </c>
      <c r="I1079" s="137" t="e">
        <f t="shared" ca="1" si="110"/>
        <v>#REF!</v>
      </c>
      <c r="J1079" s="117"/>
      <c r="K1079" s="116">
        <v>0</v>
      </c>
      <c r="M1079" s="136" t="e">
        <f ca="1">OFFSET(INDEX([1]Composições!I:R,MATCH([1]Orçamentária!I1079,[1]Composições!I:I,0),8),2,0)</f>
        <v>#REF!</v>
      </c>
      <c r="N1079" t="e">
        <v>#REF!</v>
      </c>
      <c r="Q1079" t="e">
        <v>#REF!</v>
      </c>
    </row>
    <row r="1080" spans="1:19" hidden="1" x14ac:dyDescent="0.25">
      <c r="A1080" s="114" t="s">
        <v>2659</v>
      </c>
      <c r="B1080" s="115" t="s">
        <v>2660</v>
      </c>
      <c r="C1080" s="116" t="s">
        <v>16</v>
      </c>
      <c r="D1080" s="116">
        <v>0</v>
      </c>
      <c r="E1080" s="136" t="s">
        <v>416</v>
      </c>
      <c r="F1080" s="137" t="str">
        <f t="shared" si="108"/>
        <v/>
      </c>
      <c r="G1080" s="138" t="e">
        <f>IF(A1080&lt;&gt;"",IF(AND(#REF!="Padrão",$H$4=#REF!),BDI!$B$17,IF(AND(#REF!="Padrão",$H$4=#REF!),BDI!#REF!,IF(AND(#REF!="Diferenciado",$H$4=#REF!),BDI!$E$17,IF(AND(#REF!="Diferenciado",$H$4=#REF!),BDI!#REF!,IF(#REF!="ZERO",0))))),"")</f>
        <v>#REF!</v>
      </c>
      <c r="H1080" s="139" t="str">
        <f t="shared" si="109"/>
        <v/>
      </c>
      <c r="I1080" s="137" t="str">
        <f t="shared" si="110"/>
        <v/>
      </c>
      <c r="J1080" s="117"/>
      <c r="K1080" s="116">
        <v>0</v>
      </c>
      <c r="M1080" s="136" t="s">
        <v>416</v>
      </c>
      <c r="N1080" t="e">
        <v>#REF!</v>
      </c>
      <c r="Q1080" t="s">
        <v>416</v>
      </c>
    </row>
    <row r="1081" spans="1:19" hidden="1" x14ac:dyDescent="0.25">
      <c r="A1081" s="114" t="s">
        <v>1031</v>
      </c>
      <c r="B1081" s="115" t="s">
        <v>2661</v>
      </c>
      <c r="C1081" s="116" t="s">
        <v>70</v>
      </c>
      <c r="D1081" s="116">
        <v>0</v>
      </c>
      <c r="E1081" s="136">
        <f ca="1">OFFSET(INDEX(Composições!A:J,MATCH(Orçamentária!A1081,Composições!A:A,0),8),2,0)</f>
        <v>32.594309999999993</v>
      </c>
      <c r="F1081" s="137">
        <f t="shared" ca="1" si="108"/>
        <v>0</v>
      </c>
      <c r="G1081" s="138" t="e">
        <f>IF(A1081&lt;&gt;"",IF(AND(#REF!="Padrão",$H$4=#REF!),BDI!$B$17,IF(AND(#REF!="Padrão",$H$4=#REF!),BDI!#REF!,IF(AND(#REF!="Diferenciado",$H$4=#REF!),BDI!$E$17,IF(AND(#REF!="Diferenciado",$H$4=#REF!),BDI!#REF!,IF(#REF!="ZERO",0))))),"")</f>
        <v>#REF!</v>
      </c>
      <c r="H1081" s="139" t="e">
        <f t="shared" ca="1" si="109"/>
        <v>#REF!</v>
      </c>
      <c r="I1081" s="137" t="e">
        <f t="shared" ca="1" si="110"/>
        <v>#REF!</v>
      </c>
      <c r="J1081" s="117"/>
      <c r="K1081" s="116">
        <v>0</v>
      </c>
      <c r="M1081" s="136" t="e">
        <f ca="1">OFFSET(INDEX([1]Composições!I:R,MATCH([1]Orçamentária!I1081,[1]Composições!I:I,0),8),2,0)</f>
        <v>#REF!</v>
      </c>
      <c r="N1081" t="e">
        <v>#REF!</v>
      </c>
      <c r="Q1081" t="e">
        <v>#REF!</v>
      </c>
    </row>
    <row r="1082" spans="1:19" x14ac:dyDescent="0.25">
      <c r="A1082" s="172" t="s">
        <v>1033</v>
      </c>
      <c r="B1082" s="173" t="s">
        <v>2662</v>
      </c>
      <c r="C1082" s="174" t="s">
        <v>80</v>
      </c>
      <c r="D1082" s="174">
        <v>12</v>
      </c>
      <c r="E1082" s="136">
        <f ca="1">OFFSET(INDEX(Composições!A:J,MATCH(Orçamentária!A1082,Composições!A:A,0),8),2,0)</f>
        <v>231.20914274999996</v>
      </c>
      <c r="F1082" s="137">
        <f t="shared" ca="1" si="108"/>
        <v>2774.5097129999995</v>
      </c>
      <c r="G1082" s="138">
        <f>BDI!$B$17</f>
        <v>0.191</v>
      </c>
      <c r="H1082" s="139">
        <f t="shared" ca="1" si="109"/>
        <v>275.37</v>
      </c>
      <c r="I1082" s="137">
        <f t="shared" ca="1" si="110"/>
        <v>3304.44</v>
      </c>
      <c r="J1082" s="117"/>
      <c r="K1082" s="253">
        <v>12</v>
      </c>
      <c r="L1082" s="236" t="str">
        <f>IF(D1082&lt;&gt;K1082,"ERRO","-")</f>
        <v>-</v>
      </c>
      <c r="M1082" s="136">
        <f ca="1">OFFSET(INDEX(Composições!A:S,MATCH(A1082,Composições!A:A,0),15),2,0)</f>
        <v>197.91502619400001</v>
      </c>
      <c r="N1082" s="237">
        <v>0.191</v>
      </c>
      <c r="O1082" s="236">
        <f ca="1">ROUND(M1082*(1+N1082),2)</f>
        <v>235.72</v>
      </c>
      <c r="P1082" s="238">
        <f ca="1">ROUND(K1082*O1082,2)</f>
        <v>2828.64</v>
      </c>
      <c r="Q1082" s="236">
        <v>2828.64</v>
      </c>
      <c r="R1082" s="236">
        <f ca="1">P1082-Q1082</f>
        <v>0</v>
      </c>
      <c r="S1082" s="239">
        <f ca="1">IF(ISNUMBER(O1082),1-P1082/$I1082,"")</f>
        <v>0.14398808875331381</v>
      </c>
    </row>
    <row r="1083" spans="1:19" hidden="1" x14ac:dyDescent="0.25">
      <c r="A1083" s="114" t="s">
        <v>1035</v>
      </c>
      <c r="B1083" s="115" t="s">
        <v>2663</v>
      </c>
      <c r="C1083" s="116" t="s">
        <v>69</v>
      </c>
      <c r="D1083" s="116">
        <v>0</v>
      </c>
      <c r="E1083" s="136">
        <f ca="1">OFFSET(INDEX(Composições!A:J,MATCH(Orçamentária!A1083,Composições!A:A,0),8),2,0)</f>
        <v>715.18923149999989</v>
      </c>
      <c r="F1083" s="137">
        <f t="shared" ca="1" si="108"/>
        <v>0</v>
      </c>
      <c r="G1083" s="138" t="e">
        <f>IF(A1083&lt;&gt;"",IF(AND(#REF!="Padrão",$H$4=#REF!),BDI!$B$17,IF(AND(#REF!="Padrão",$H$4=#REF!),BDI!#REF!,IF(AND(#REF!="Diferenciado",$H$4=#REF!),BDI!$E$17,IF(AND(#REF!="Diferenciado",$H$4=#REF!),BDI!#REF!,IF(#REF!="ZERO",0))))),"")</f>
        <v>#REF!</v>
      </c>
      <c r="H1083" s="139" t="e">
        <f t="shared" ca="1" si="109"/>
        <v>#REF!</v>
      </c>
      <c r="I1083" s="137" t="e">
        <f t="shared" ca="1" si="110"/>
        <v>#REF!</v>
      </c>
      <c r="J1083" s="117"/>
      <c r="K1083" s="116">
        <v>0</v>
      </c>
      <c r="M1083" s="136" t="e">
        <f ca="1">OFFSET(INDEX([1]Composições!I:R,MATCH([1]Orçamentária!I1083,[1]Composições!I:I,0),8),2,0)</f>
        <v>#REF!</v>
      </c>
      <c r="N1083" t="e">
        <v>#REF!</v>
      </c>
      <c r="Q1083" t="e">
        <v>#REF!</v>
      </c>
    </row>
    <row r="1084" spans="1:19" hidden="1" x14ac:dyDescent="0.25">
      <c r="A1084" s="114" t="s">
        <v>2664</v>
      </c>
      <c r="B1084" s="115" t="s">
        <v>2665</v>
      </c>
      <c r="C1084" s="116" t="s">
        <v>70</v>
      </c>
      <c r="D1084" s="116">
        <v>0</v>
      </c>
      <c r="E1084" s="136" t="s">
        <v>416</v>
      </c>
      <c r="F1084" s="137" t="str">
        <f t="shared" si="108"/>
        <v/>
      </c>
      <c r="G1084" s="138" t="e">
        <f>IF(A1084&lt;&gt;"",IF(AND(#REF!="Padrão",$H$4=#REF!),BDI!$B$17,IF(AND(#REF!="Padrão",$H$4=#REF!),BDI!#REF!,IF(AND(#REF!="Diferenciado",$H$4=#REF!),BDI!$E$17,IF(AND(#REF!="Diferenciado",$H$4=#REF!),BDI!#REF!,IF(#REF!="ZERO",0))))),"")</f>
        <v>#REF!</v>
      </c>
      <c r="H1084" s="139" t="str">
        <f t="shared" si="109"/>
        <v/>
      </c>
      <c r="I1084" s="137" t="str">
        <f t="shared" si="110"/>
        <v/>
      </c>
      <c r="J1084" s="117"/>
      <c r="K1084" s="116">
        <v>0</v>
      </c>
      <c r="M1084" s="136" t="s">
        <v>416</v>
      </c>
      <c r="N1084" t="e">
        <v>#REF!</v>
      </c>
      <c r="Q1084" t="s">
        <v>416</v>
      </c>
    </row>
    <row r="1085" spans="1:19" hidden="1" x14ac:dyDescent="0.25">
      <c r="A1085" s="114" t="s">
        <v>1042</v>
      </c>
      <c r="B1085" s="115" t="s">
        <v>7700</v>
      </c>
      <c r="C1085" s="116" t="s">
        <v>69</v>
      </c>
      <c r="D1085" s="116">
        <v>0</v>
      </c>
      <c r="E1085" s="136">
        <f ca="1">OFFSET(INDEX(Composições!A:J,MATCH(Orçamentária!A1085,Composições!A:A,0),8),2,0)</f>
        <v>2.5061</v>
      </c>
      <c r="F1085" s="137">
        <f t="shared" ca="1" si="108"/>
        <v>0</v>
      </c>
      <c r="G1085" s="138" t="e">
        <f>IF(A1085&lt;&gt;"",IF(AND(#REF!="Padrão",$H$4=#REF!),BDI!$B$17,IF(AND(#REF!="Padrão",$H$4=#REF!),BDI!#REF!,IF(AND(#REF!="Diferenciado",$H$4=#REF!),BDI!$E$17,IF(AND(#REF!="Diferenciado",$H$4=#REF!),BDI!#REF!,IF(#REF!="ZERO",0))))),"")</f>
        <v>#REF!</v>
      </c>
      <c r="H1085" s="139" t="e">
        <f t="shared" ca="1" si="109"/>
        <v>#REF!</v>
      </c>
      <c r="I1085" s="137" t="e">
        <f t="shared" ca="1" si="110"/>
        <v>#REF!</v>
      </c>
      <c r="J1085" s="117"/>
      <c r="K1085" s="116">
        <v>0</v>
      </c>
      <c r="M1085" s="136" t="e">
        <f ca="1">OFFSET(INDEX([1]Composições!I:R,MATCH([1]Orçamentária!I1085,[1]Composições!I:I,0),8),2,0)</f>
        <v>#REF!</v>
      </c>
      <c r="N1085" t="e">
        <v>#REF!</v>
      </c>
      <c r="Q1085" t="e">
        <v>#REF!</v>
      </c>
    </row>
    <row r="1086" spans="1:19" hidden="1" x14ac:dyDescent="0.25">
      <c r="A1086" s="114" t="s">
        <v>2666</v>
      </c>
      <c r="B1086" s="115" t="s">
        <v>7701</v>
      </c>
      <c r="C1086" s="116" t="s">
        <v>69</v>
      </c>
      <c r="D1086" s="116">
        <v>0</v>
      </c>
      <c r="E1086" s="136" t="s">
        <v>416</v>
      </c>
      <c r="F1086" s="137" t="str">
        <f t="shared" si="108"/>
        <v/>
      </c>
      <c r="G1086" s="138" t="e">
        <f>IF(A1086&lt;&gt;"",IF(AND(#REF!="Padrão",$H$4=#REF!),BDI!$B$17,IF(AND(#REF!="Padrão",$H$4=#REF!),BDI!#REF!,IF(AND(#REF!="Diferenciado",$H$4=#REF!),BDI!$E$17,IF(AND(#REF!="Diferenciado",$H$4=#REF!),BDI!#REF!,IF(#REF!="ZERO",0))))),"")</f>
        <v>#REF!</v>
      </c>
      <c r="H1086" s="139" t="str">
        <f t="shared" si="109"/>
        <v/>
      </c>
      <c r="I1086" s="137" t="str">
        <f t="shared" si="110"/>
        <v/>
      </c>
      <c r="J1086" s="117"/>
      <c r="K1086" s="116">
        <v>0</v>
      </c>
      <c r="M1086" s="136" t="s">
        <v>416</v>
      </c>
      <c r="N1086" t="e">
        <v>#REF!</v>
      </c>
      <c r="Q1086" t="s">
        <v>416</v>
      </c>
    </row>
    <row r="1087" spans="1:19" hidden="1" x14ac:dyDescent="0.25">
      <c r="A1087" s="114" t="s">
        <v>1044</v>
      </c>
      <c r="B1087" s="115" t="s">
        <v>2667</v>
      </c>
      <c r="C1087" s="116" t="s">
        <v>11</v>
      </c>
      <c r="D1087" s="116">
        <v>0</v>
      </c>
      <c r="E1087" s="136">
        <f ca="1">OFFSET(INDEX(Composições!A:J,MATCH(Orçamentária!A1087,Composições!A:A,0),8),2,0)</f>
        <v>3.1254999999999997</v>
      </c>
      <c r="F1087" s="137">
        <f t="shared" ca="1" si="108"/>
        <v>0</v>
      </c>
      <c r="G1087" s="138" t="e">
        <f>IF(A1087&lt;&gt;"",IF(AND(#REF!="Padrão",$H$4=#REF!),BDI!$B$17,IF(AND(#REF!="Padrão",$H$4=#REF!),BDI!#REF!,IF(AND(#REF!="Diferenciado",$H$4=#REF!),BDI!$E$17,IF(AND(#REF!="Diferenciado",$H$4=#REF!),BDI!#REF!,IF(#REF!="ZERO",0))))),"")</f>
        <v>#REF!</v>
      </c>
      <c r="H1087" s="139" t="e">
        <f t="shared" ca="1" si="109"/>
        <v>#REF!</v>
      </c>
      <c r="I1087" s="137" t="e">
        <f t="shared" ca="1" si="110"/>
        <v>#REF!</v>
      </c>
      <c r="J1087" s="117"/>
      <c r="K1087" s="116">
        <v>0</v>
      </c>
      <c r="M1087" s="136" t="e">
        <f ca="1">OFFSET(INDEX([1]Composições!I:R,MATCH([1]Orçamentária!I1087,[1]Composições!I:I,0),8),2,0)</f>
        <v>#REF!</v>
      </c>
      <c r="N1087" t="e">
        <v>#REF!</v>
      </c>
      <c r="Q1087" t="e">
        <v>#REF!</v>
      </c>
    </row>
    <row r="1088" spans="1:19" hidden="1" x14ac:dyDescent="0.25">
      <c r="A1088" s="114" t="s">
        <v>1045</v>
      </c>
      <c r="B1088" s="115" t="s">
        <v>2668</v>
      </c>
      <c r="C1088" s="116" t="s">
        <v>11</v>
      </c>
      <c r="D1088" s="116">
        <v>0</v>
      </c>
      <c r="E1088" s="136">
        <f ca="1">OFFSET(INDEX(Composições!A:J,MATCH(Orçamentária!A1088,Composições!A:A,0),8),2,0)</f>
        <v>1.4962499999999999</v>
      </c>
      <c r="F1088" s="137">
        <f t="shared" ca="1" si="108"/>
        <v>0</v>
      </c>
      <c r="G1088" s="138" t="e">
        <f>IF(A1088&lt;&gt;"",IF(AND(#REF!="Padrão",$H$4=#REF!),BDI!$B$17,IF(AND(#REF!="Padrão",$H$4=#REF!),BDI!#REF!,IF(AND(#REF!="Diferenciado",$H$4=#REF!),BDI!$E$17,IF(AND(#REF!="Diferenciado",$H$4=#REF!),BDI!#REF!,IF(#REF!="ZERO",0))))),"")</f>
        <v>#REF!</v>
      </c>
      <c r="H1088" s="139" t="e">
        <f t="shared" ca="1" si="109"/>
        <v>#REF!</v>
      </c>
      <c r="I1088" s="137" t="e">
        <f t="shared" ca="1" si="110"/>
        <v>#REF!</v>
      </c>
      <c r="J1088" s="117"/>
      <c r="K1088" s="116">
        <v>0</v>
      </c>
      <c r="M1088" s="136" t="e">
        <f ca="1">OFFSET(INDEX([1]Composições!I:R,MATCH([1]Orçamentária!I1088,[1]Composições!I:I,0),8),2,0)</f>
        <v>#REF!</v>
      </c>
      <c r="N1088" t="e">
        <v>#REF!</v>
      </c>
      <c r="Q1088" t="e">
        <v>#REF!</v>
      </c>
    </row>
    <row r="1089" spans="1:17" hidden="1" x14ac:dyDescent="0.25">
      <c r="A1089" s="114" t="s">
        <v>2669</v>
      </c>
      <c r="B1089" s="115" t="s">
        <v>2670</v>
      </c>
      <c r="C1089" s="116" t="s">
        <v>16</v>
      </c>
      <c r="D1089" s="116">
        <v>0</v>
      </c>
      <c r="E1089" s="136" t="s">
        <v>416</v>
      </c>
      <c r="F1089" s="137" t="str">
        <f t="shared" si="108"/>
        <v/>
      </c>
      <c r="G1089" s="138" t="e">
        <f>IF(A1089&lt;&gt;"",IF(AND(#REF!="Padrão",$H$4=#REF!),BDI!$B$17,IF(AND(#REF!="Padrão",$H$4=#REF!),BDI!#REF!,IF(AND(#REF!="Diferenciado",$H$4=#REF!),BDI!$E$17,IF(AND(#REF!="Diferenciado",$H$4=#REF!),BDI!#REF!,IF(#REF!="ZERO",0))))),"")</f>
        <v>#REF!</v>
      </c>
      <c r="H1089" s="139" t="str">
        <f t="shared" si="109"/>
        <v/>
      </c>
      <c r="I1089" s="137" t="str">
        <f t="shared" si="110"/>
        <v/>
      </c>
      <c r="J1089" s="117"/>
      <c r="K1089" s="116">
        <v>0</v>
      </c>
      <c r="M1089" s="136" t="s">
        <v>416</v>
      </c>
      <c r="N1089" t="e">
        <v>#REF!</v>
      </c>
      <c r="Q1089" t="s">
        <v>416</v>
      </c>
    </row>
    <row r="1090" spans="1:17" hidden="1" x14ac:dyDescent="0.25">
      <c r="A1090" s="114" t="s">
        <v>2671</v>
      </c>
      <c r="B1090" s="115" t="s">
        <v>2672</v>
      </c>
      <c r="C1090" s="116" t="s">
        <v>16</v>
      </c>
      <c r="D1090" s="116">
        <v>0</v>
      </c>
      <c r="E1090" s="136" t="s">
        <v>416</v>
      </c>
      <c r="F1090" s="137" t="str">
        <f t="shared" si="108"/>
        <v/>
      </c>
      <c r="G1090" s="138" t="e">
        <f>IF(A1090&lt;&gt;"",IF(AND(#REF!="Padrão",$H$4=#REF!),BDI!$B$17,IF(AND(#REF!="Padrão",$H$4=#REF!),BDI!#REF!,IF(AND(#REF!="Diferenciado",$H$4=#REF!),BDI!$E$17,IF(AND(#REF!="Diferenciado",$H$4=#REF!),BDI!#REF!,IF(#REF!="ZERO",0))))),"")</f>
        <v>#REF!</v>
      </c>
      <c r="H1090" s="139" t="str">
        <f t="shared" si="109"/>
        <v/>
      </c>
      <c r="I1090" s="137" t="str">
        <f t="shared" si="110"/>
        <v/>
      </c>
      <c r="J1090" s="117"/>
      <c r="K1090" s="116">
        <v>0</v>
      </c>
      <c r="M1090" s="136" t="s">
        <v>416</v>
      </c>
      <c r="N1090" t="e">
        <v>#REF!</v>
      </c>
      <c r="Q1090" t="s">
        <v>416</v>
      </c>
    </row>
    <row r="1091" spans="1:17" hidden="1" x14ac:dyDescent="0.25">
      <c r="A1091" s="114" t="s">
        <v>2673</v>
      </c>
      <c r="B1091" s="115" t="s">
        <v>2674</v>
      </c>
      <c r="C1091" s="116" t="s">
        <v>16</v>
      </c>
      <c r="D1091" s="116">
        <v>0</v>
      </c>
      <c r="E1091" s="136" t="s">
        <v>416</v>
      </c>
      <c r="F1091" s="137" t="str">
        <f t="shared" si="108"/>
        <v/>
      </c>
      <c r="G1091" s="138" t="e">
        <f>IF(A1091&lt;&gt;"",IF(AND(#REF!="Padrão",$H$4=#REF!),BDI!$B$17,IF(AND(#REF!="Padrão",$H$4=#REF!),BDI!#REF!,IF(AND(#REF!="Diferenciado",$H$4=#REF!),BDI!$E$17,IF(AND(#REF!="Diferenciado",$H$4=#REF!),BDI!#REF!,IF(#REF!="ZERO",0))))),"")</f>
        <v>#REF!</v>
      </c>
      <c r="H1091" s="139" t="str">
        <f t="shared" si="109"/>
        <v/>
      </c>
      <c r="I1091" s="137" t="str">
        <f t="shared" si="110"/>
        <v/>
      </c>
      <c r="J1091" s="117"/>
      <c r="K1091" s="116">
        <v>0</v>
      </c>
      <c r="M1091" s="136" t="s">
        <v>416</v>
      </c>
      <c r="N1091" t="e">
        <v>#REF!</v>
      </c>
      <c r="Q1091" t="s">
        <v>416</v>
      </c>
    </row>
    <row r="1092" spans="1:17" hidden="1" x14ac:dyDescent="0.25">
      <c r="A1092" s="114" t="s">
        <v>2675</v>
      </c>
      <c r="B1092" s="115" t="s">
        <v>2676</v>
      </c>
      <c r="C1092" s="116" t="s">
        <v>1683</v>
      </c>
      <c r="D1092" s="116">
        <v>0</v>
      </c>
      <c r="E1092" s="136" t="s">
        <v>416</v>
      </c>
      <c r="F1092" s="137" t="str">
        <f t="shared" si="108"/>
        <v/>
      </c>
      <c r="G1092" s="138" t="e">
        <f>IF(A1092&lt;&gt;"",IF(AND(#REF!="Padrão",$H$4=#REF!),BDI!$B$17,IF(AND(#REF!="Padrão",$H$4=#REF!),BDI!#REF!,IF(AND(#REF!="Diferenciado",$H$4=#REF!),BDI!$E$17,IF(AND(#REF!="Diferenciado",$H$4=#REF!),BDI!#REF!,IF(#REF!="ZERO",0))))),"")</f>
        <v>#REF!</v>
      </c>
      <c r="H1092" s="139" t="str">
        <f t="shared" si="109"/>
        <v/>
      </c>
      <c r="I1092" s="137" t="str">
        <f t="shared" si="110"/>
        <v/>
      </c>
      <c r="J1092" s="117"/>
      <c r="K1092" s="116">
        <v>0</v>
      </c>
      <c r="M1092" s="136" t="s">
        <v>416</v>
      </c>
      <c r="N1092" t="e">
        <v>#REF!</v>
      </c>
      <c r="Q1092" t="s">
        <v>416</v>
      </c>
    </row>
    <row r="1093" spans="1:17" hidden="1" x14ac:dyDescent="0.25">
      <c r="A1093" s="114" t="s">
        <v>1046</v>
      </c>
      <c r="B1093" s="115" t="s">
        <v>5462</v>
      </c>
      <c r="C1093" s="116" t="s">
        <v>16</v>
      </c>
      <c r="D1093" s="116">
        <v>0</v>
      </c>
      <c r="E1093" s="136">
        <f ca="1">OFFSET(INDEX(Composições!A:J,MATCH(Orçamentária!A1093,Composições!A:A,0),8),2,0)</f>
        <v>51.496834299999989</v>
      </c>
      <c r="F1093" s="137">
        <f t="shared" ca="1" si="108"/>
        <v>0</v>
      </c>
      <c r="G1093" s="138" t="e">
        <f>IF(A1093&lt;&gt;"",IF(AND(#REF!="Padrão",$H$4=#REF!),BDI!$B$17,IF(AND(#REF!="Padrão",$H$4=#REF!),BDI!#REF!,IF(AND(#REF!="Diferenciado",$H$4=#REF!),BDI!$E$17,IF(AND(#REF!="Diferenciado",$H$4=#REF!),BDI!#REF!,IF(#REF!="ZERO",0))))),"")</f>
        <v>#REF!</v>
      </c>
      <c r="H1093" s="139" t="e">
        <f t="shared" ca="1" si="109"/>
        <v>#REF!</v>
      </c>
      <c r="I1093" s="137" t="e">
        <f t="shared" ca="1" si="110"/>
        <v>#REF!</v>
      </c>
      <c r="J1093" s="117"/>
      <c r="K1093" s="116">
        <v>0</v>
      </c>
      <c r="M1093" s="136" t="e">
        <f ca="1">OFFSET(INDEX([1]Composições!I:R,MATCH([1]Orçamentária!I1093,[1]Composições!I:I,0),8),2,0)</f>
        <v>#REF!</v>
      </c>
      <c r="N1093" t="e">
        <v>#REF!</v>
      </c>
      <c r="Q1093" t="e">
        <v>#REF!</v>
      </c>
    </row>
    <row r="1094" spans="1:17" hidden="1" x14ac:dyDescent="0.25">
      <c r="A1094" s="114" t="s">
        <v>1050</v>
      </c>
      <c r="B1094" s="115" t="s">
        <v>5463</v>
      </c>
      <c r="C1094" s="116" t="s">
        <v>16</v>
      </c>
      <c r="D1094" s="116">
        <v>0</v>
      </c>
      <c r="E1094" s="136">
        <f ca="1">OFFSET(INDEX(Composições!A:J,MATCH(Orçamentária!A1094,Composições!A:A,0),8),2,0)</f>
        <v>78.370864649999987</v>
      </c>
      <c r="F1094" s="137">
        <f t="shared" ca="1" si="108"/>
        <v>0</v>
      </c>
      <c r="G1094" s="138" t="e">
        <f>IF(A1094&lt;&gt;"",IF(AND(#REF!="Padrão",$H$4=#REF!),BDI!$B$17,IF(AND(#REF!="Padrão",$H$4=#REF!),BDI!#REF!,IF(AND(#REF!="Diferenciado",$H$4=#REF!),BDI!$E$17,IF(AND(#REF!="Diferenciado",$H$4=#REF!),BDI!#REF!,IF(#REF!="ZERO",0))))),"")</f>
        <v>#REF!</v>
      </c>
      <c r="H1094" s="139" t="e">
        <f t="shared" ca="1" si="109"/>
        <v>#REF!</v>
      </c>
      <c r="I1094" s="137" t="e">
        <f t="shared" ca="1" si="110"/>
        <v>#REF!</v>
      </c>
      <c r="J1094" s="117"/>
      <c r="K1094" s="116">
        <v>0</v>
      </c>
      <c r="M1094" s="136" t="e">
        <f ca="1">OFFSET(INDEX([1]Composições!I:R,MATCH([1]Orçamentária!I1094,[1]Composições!I:I,0),8),2,0)</f>
        <v>#REF!</v>
      </c>
      <c r="N1094" t="e">
        <v>#REF!</v>
      </c>
      <c r="Q1094" t="e">
        <v>#REF!</v>
      </c>
    </row>
    <row r="1095" spans="1:17" hidden="1" x14ac:dyDescent="0.25">
      <c r="A1095" s="114" t="s">
        <v>1052</v>
      </c>
      <c r="B1095" s="115" t="s">
        <v>5464</v>
      </c>
      <c r="C1095" s="116" t="s">
        <v>16</v>
      </c>
      <c r="D1095" s="116">
        <v>0</v>
      </c>
      <c r="E1095" s="136">
        <f ca="1">OFFSET(INDEX(Composições!A:J,MATCH(Orçamentária!A1095,Composições!A:A,0),8),2,0)</f>
        <v>18.891899500000001</v>
      </c>
      <c r="F1095" s="137">
        <f t="shared" ref="F1095:F1158" ca="1" si="111">IF(ISNUMBER(E1095),D1095*E1095,"")</f>
        <v>0</v>
      </c>
      <c r="G1095" s="138" t="e">
        <f>IF(A1095&lt;&gt;"",IF(AND(#REF!="Padrão",$H$4=#REF!),BDI!$B$17,IF(AND(#REF!="Padrão",$H$4=#REF!),BDI!#REF!,IF(AND(#REF!="Diferenciado",$H$4=#REF!),BDI!$E$17,IF(AND(#REF!="Diferenciado",$H$4=#REF!),BDI!#REF!,IF(#REF!="ZERO",0))))),"")</f>
        <v>#REF!</v>
      </c>
      <c r="H1095" s="139" t="e">
        <f t="shared" ref="H1095:H1158" ca="1" si="112">IF(ISNUMBER(E1095),ROUND(E1095*(1+G1095),2),"")</f>
        <v>#REF!</v>
      </c>
      <c r="I1095" s="137" t="e">
        <f t="shared" ref="I1095:I1158" ca="1" si="113">IF(ISNUMBER(E1095),ROUND(H1095*D1095,2),"")</f>
        <v>#REF!</v>
      </c>
      <c r="J1095" s="117"/>
      <c r="K1095" s="116">
        <v>0</v>
      </c>
      <c r="M1095" s="136" t="e">
        <f ca="1">OFFSET(INDEX([1]Composições!I:R,MATCH([1]Orçamentária!I1095,[1]Composições!I:I,0),8),2,0)</f>
        <v>#REF!</v>
      </c>
      <c r="N1095" t="e">
        <v>#REF!</v>
      </c>
      <c r="Q1095" t="e">
        <v>#REF!</v>
      </c>
    </row>
    <row r="1096" spans="1:17" hidden="1" x14ac:dyDescent="0.25">
      <c r="A1096" s="114" t="s">
        <v>2677</v>
      </c>
      <c r="B1096" s="115" t="s">
        <v>2678</v>
      </c>
      <c r="C1096" s="116" t="s">
        <v>16</v>
      </c>
      <c r="D1096" s="116">
        <v>0</v>
      </c>
      <c r="E1096" s="136" t="s">
        <v>416</v>
      </c>
      <c r="F1096" s="137" t="str">
        <f t="shared" si="111"/>
        <v/>
      </c>
      <c r="G1096" s="138" t="e">
        <f>IF(A1096&lt;&gt;"",IF(AND(#REF!="Padrão",$H$4=#REF!),BDI!$B$17,IF(AND(#REF!="Padrão",$H$4=#REF!),BDI!#REF!,IF(AND(#REF!="Diferenciado",$H$4=#REF!),BDI!$E$17,IF(AND(#REF!="Diferenciado",$H$4=#REF!),BDI!#REF!,IF(#REF!="ZERO",0))))),"")</f>
        <v>#REF!</v>
      </c>
      <c r="H1096" s="139" t="str">
        <f t="shared" si="112"/>
        <v/>
      </c>
      <c r="I1096" s="137" t="str">
        <f t="shared" si="113"/>
        <v/>
      </c>
      <c r="J1096" s="117"/>
      <c r="K1096" s="116">
        <v>0</v>
      </c>
      <c r="M1096" s="136" t="s">
        <v>416</v>
      </c>
      <c r="N1096" t="e">
        <v>#REF!</v>
      </c>
      <c r="Q1096" t="s">
        <v>416</v>
      </c>
    </row>
    <row r="1097" spans="1:17" hidden="1" x14ac:dyDescent="0.25">
      <c r="A1097" s="114" t="s">
        <v>1054</v>
      </c>
      <c r="B1097" s="115" t="s">
        <v>5465</v>
      </c>
      <c r="C1097" s="116" t="s">
        <v>16</v>
      </c>
      <c r="D1097" s="116">
        <v>0</v>
      </c>
      <c r="E1097" s="136">
        <f ca="1">OFFSET(INDEX(Composições!A:J,MATCH(Orçamentária!A1097,Composições!A:A,0),8),2,0)</f>
        <v>33.530386800000002</v>
      </c>
      <c r="F1097" s="137">
        <f t="shared" ca="1" si="111"/>
        <v>0</v>
      </c>
      <c r="G1097" s="138" t="e">
        <f>IF(A1097&lt;&gt;"",IF(AND(#REF!="Padrão",$H$4=#REF!),BDI!$B$17,IF(AND(#REF!="Padrão",$H$4=#REF!),BDI!#REF!,IF(AND(#REF!="Diferenciado",$H$4=#REF!),BDI!$E$17,IF(AND(#REF!="Diferenciado",$H$4=#REF!),BDI!#REF!,IF(#REF!="ZERO",0))))),"")</f>
        <v>#REF!</v>
      </c>
      <c r="H1097" s="139" t="e">
        <f t="shared" ca="1" si="112"/>
        <v>#REF!</v>
      </c>
      <c r="I1097" s="137" t="e">
        <f t="shared" ca="1" si="113"/>
        <v>#REF!</v>
      </c>
      <c r="J1097" s="117"/>
      <c r="K1097" s="116">
        <v>0</v>
      </c>
      <c r="M1097" s="136" t="e">
        <f ca="1">OFFSET(INDEX([1]Composições!I:R,MATCH([1]Orçamentária!I1097,[1]Composições!I:I,0),8),2,0)</f>
        <v>#REF!</v>
      </c>
      <c r="N1097" t="e">
        <v>#REF!</v>
      </c>
      <c r="Q1097" t="e">
        <v>#REF!</v>
      </c>
    </row>
    <row r="1098" spans="1:17" hidden="1" x14ac:dyDescent="0.25">
      <c r="A1098" s="114" t="s">
        <v>1056</v>
      </c>
      <c r="B1098" s="115" t="s">
        <v>5466</v>
      </c>
      <c r="C1098" s="116" t="s">
        <v>16</v>
      </c>
      <c r="D1098" s="116">
        <v>0</v>
      </c>
      <c r="E1098" s="136">
        <f ca="1">OFFSET(INDEX(Composições!A:J,MATCH(Orçamentária!A1098,Composições!A:A,0),8),2,0)</f>
        <v>44.697658650000001</v>
      </c>
      <c r="F1098" s="137">
        <f t="shared" ca="1" si="111"/>
        <v>0</v>
      </c>
      <c r="G1098" s="138" t="e">
        <f>IF(A1098&lt;&gt;"",IF(AND(#REF!="Padrão",$H$4=#REF!),BDI!$B$17,IF(AND(#REF!="Padrão",$H$4=#REF!),BDI!#REF!,IF(AND(#REF!="Diferenciado",$H$4=#REF!),BDI!$E$17,IF(AND(#REF!="Diferenciado",$H$4=#REF!),BDI!#REF!,IF(#REF!="ZERO",0))))),"")</f>
        <v>#REF!</v>
      </c>
      <c r="H1098" s="139" t="e">
        <f t="shared" ca="1" si="112"/>
        <v>#REF!</v>
      </c>
      <c r="I1098" s="137" t="e">
        <f t="shared" ca="1" si="113"/>
        <v>#REF!</v>
      </c>
      <c r="J1098" s="117"/>
      <c r="K1098" s="116">
        <v>0</v>
      </c>
      <c r="M1098" s="136" t="e">
        <f ca="1">OFFSET(INDEX([1]Composições!I:R,MATCH([1]Orçamentária!I1098,[1]Composições!I:I,0),8),2,0)</f>
        <v>#REF!</v>
      </c>
      <c r="N1098" t="e">
        <v>#REF!</v>
      </c>
      <c r="Q1098" t="e">
        <v>#REF!</v>
      </c>
    </row>
    <row r="1099" spans="1:17" hidden="1" x14ac:dyDescent="0.25">
      <c r="A1099" s="114" t="s">
        <v>1058</v>
      </c>
      <c r="B1099" s="115" t="s">
        <v>5467</v>
      </c>
      <c r="C1099" s="116" t="s">
        <v>16</v>
      </c>
      <c r="D1099" s="116">
        <v>0</v>
      </c>
      <c r="E1099" s="136">
        <f ca="1">OFFSET(INDEX(Composições!A:J,MATCH(Orçamentária!A1099,Composições!A:A,0),8),2,0)</f>
        <v>10.849503499999999</v>
      </c>
      <c r="F1099" s="137">
        <f t="shared" ca="1" si="111"/>
        <v>0</v>
      </c>
      <c r="G1099" s="138" t="e">
        <f>IF(A1099&lt;&gt;"",IF(AND(#REF!="Padrão",$H$4=#REF!),BDI!$B$17,IF(AND(#REF!="Padrão",$H$4=#REF!),BDI!#REF!,IF(AND(#REF!="Diferenciado",$H$4=#REF!),BDI!$E$17,IF(AND(#REF!="Diferenciado",$H$4=#REF!),BDI!#REF!,IF(#REF!="ZERO",0))))),"")</f>
        <v>#REF!</v>
      </c>
      <c r="H1099" s="139" t="e">
        <f t="shared" ca="1" si="112"/>
        <v>#REF!</v>
      </c>
      <c r="I1099" s="137" t="e">
        <f t="shared" ca="1" si="113"/>
        <v>#REF!</v>
      </c>
      <c r="J1099" s="117"/>
      <c r="K1099" s="116">
        <v>0</v>
      </c>
      <c r="M1099" s="136" t="e">
        <f ca="1">OFFSET(INDEX([1]Composições!I:R,MATCH([1]Orçamentária!I1099,[1]Composições!I:I,0),8),2,0)</f>
        <v>#REF!</v>
      </c>
      <c r="N1099" t="e">
        <v>#REF!</v>
      </c>
      <c r="Q1099" t="e">
        <v>#REF!</v>
      </c>
    </row>
    <row r="1100" spans="1:17" hidden="1" x14ac:dyDescent="0.25">
      <c r="A1100" s="114" t="s">
        <v>2679</v>
      </c>
      <c r="B1100" s="115" t="s">
        <v>5468</v>
      </c>
      <c r="C1100" s="116" t="s">
        <v>16</v>
      </c>
      <c r="D1100" s="116">
        <v>0</v>
      </c>
      <c r="E1100" s="136" t="s">
        <v>416</v>
      </c>
      <c r="F1100" s="137" t="str">
        <f t="shared" si="111"/>
        <v/>
      </c>
      <c r="G1100" s="138" t="e">
        <f>IF(A1100&lt;&gt;"",IF(AND(#REF!="Padrão",$H$4=#REF!),BDI!$B$17,IF(AND(#REF!="Padrão",$H$4=#REF!),BDI!#REF!,IF(AND(#REF!="Diferenciado",$H$4=#REF!),BDI!$E$17,IF(AND(#REF!="Diferenciado",$H$4=#REF!),BDI!#REF!,IF(#REF!="ZERO",0))))),"")</f>
        <v>#REF!</v>
      </c>
      <c r="H1100" s="139" t="str">
        <f t="shared" si="112"/>
        <v/>
      </c>
      <c r="I1100" s="137" t="str">
        <f t="shared" si="113"/>
        <v/>
      </c>
      <c r="J1100" s="117"/>
      <c r="K1100" s="116">
        <v>0</v>
      </c>
      <c r="M1100" s="136" t="s">
        <v>416</v>
      </c>
      <c r="N1100" t="e">
        <v>#REF!</v>
      </c>
      <c r="Q1100" t="s">
        <v>416</v>
      </c>
    </row>
    <row r="1101" spans="1:17" hidden="1" x14ac:dyDescent="0.25">
      <c r="A1101" s="114" t="s">
        <v>2680</v>
      </c>
      <c r="B1101" s="115" t="s">
        <v>5469</v>
      </c>
      <c r="C1101" s="116" t="s">
        <v>16</v>
      </c>
      <c r="D1101" s="116">
        <v>0</v>
      </c>
      <c r="E1101" s="136" t="s">
        <v>416</v>
      </c>
      <c r="F1101" s="137" t="str">
        <f t="shared" si="111"/>
        <v/>
      </c>
      <c r="G1101" s="138" t="e">
        <f>IF(A1101&lt;&gt;"",IF(AND(#REF!="Padrão",$H$4=#REF!),BDI!$B$17,IF(AND(#REF!="Padrão",$H$4=#REF!),BDI!#REF!,IF(AND(#REF!="Diferenciado",$H$4=#REF!),BDI!$E$17,IF(AND(#REF!="Diferenciado",$H$4=#REF!),BDI!#REF!,IF(#REF!="ZERO",0))))),"")</f>
        <v>#REF!</v>
      </c>
      <c r="H1101" s="139" t="str">
        <f t="shared" si="112"/>
        <v/>
      </c>
      <c r="I1101" s="137" t="str">
        <f t="shared" si="113"/>
        <v/>
      </c>
      <c r="J1101" s="117"/>
      <c r="K1101" s="116">
        <v>0</v>
      </c>
      <c r="M1101" s="136" t="s">
        <v>416</v>
      </c>
      <c r="N1101" t="e">
        <v>#REF!</v>
      </c>
      <c r="Q1101" t="s">
        <v>416</v>
      </c>
    </row>
    <row r="1102" spans="1:17" hidden="1" x14ac:dyDescent="0.25">
      <c r="A1102" s="114" t="s">
        <v>1060</v>
      </c>
      <c r="B1102" s="115" t="s">
        <v>5470</v>
      </c>
      <c r="C1102" s="116" t="s">
        <v>69</v>
      </c>
      <c r="D1102" s="116">
        <v>0</v>
      </c>
      <c r="E1102" s="136">
        <f ca="1">OFFSET(INDEX(Composições!A:J,MATCH(Orçamentária!A1102,Composições!A:A,0),8),2,0)</f>
        <v>163.45595879999999</v>
      </c>
      <c r="F1102" s="137">
        <f t="shared" ca="1" si="111"/>
        <v>0</v>
      </c>
      <c r="G1102" s="138" t="e">
        <f>IF(A1102&lt;&gt;"",IF(AND(#REF!="Padrão",$H$4=#REF!),BDI!$B$17,IF(AND(#REF!="Padrão",$H$4=#REF!),BDI!#REF!,IF(AND(#REF!="Diferenciado",$H$4=#REF!),BDI!$E$17,IF(AND(#REF!="Diferenciado",$H$4=#REF!),BDI!#REF!,IF(#REF!="ZERO",0))))),"")</f>
        <v>#REF!</v>
      </c>
      <c r="H1102" s="139" t="e">
        <f t="shared" ca="1" si="112"/>
        <v>#REF!</v>
      </c>
      <c r="I1102" s="137" t="e">
        <f t="shared" ca="1" si="113"/>
        <v>#REF!</v>
      </c>
      <c r="J1102" s="117"/>
      <c r="K1102" s="116">
        <v>0</v>
      </c>
      <c r="M1102" s="136" t="e">
        <f ca="1">OFFSET(INDEX([1]Composições!I:R,MATCH([1]Orçamentária!I1102,[1]Composições!I:I,0),8),2,0)</f>
        <v>#REF!</v>
      </c>
      <c r="N1102" t="e">
        <v>#REF!</v>
      </c>
      <c r="Q1102" t="e">
        <v>#REF!</v>
      </c>
    </row>
    <row r="1103" spans="1:17" hidden="1" x14ac:dyDescent="0.25">
      <c r="A1103" s="114" t="s">
        <v>1062</v>
      </c>
      <c r="B1103" s="115" t="s">
        <v>5471</v>
      </c>
      <c r="C1103" s="116" t="s">
        <v>69</v>
      </c>
      <c r="D1103" s="116">
        <v>0</v>
      </c>
      <c r="E1103" s="136">
        <f ca="1">OFFSET(INDEX(Composições!A:J,MATCH(Orçamentária!A1103,Composições!A:A,0),8),2,0)</f>
        <v>196.50002444999998</v>
      </c>
      <c r="F1103" s="137">
        <f t="shared" ca="1" si="111"/>
        <v>0</v>
      </c>
      <c r="G1103" s="138" t="e">
        <f>IF(A1103&lt;&gt;"",IF(AND(#REF!="Padrão",$H$4=#REF!),BDI!$B$17,IF(AND(#REF!="Padrão",$H$4=#REF!),BDI!#REF!,IF(AND(#REF!="Diferenciado",$H$4=#REF!),BDI!$E$17,IF(AND(#REF!="Diferenciado",$H$4=#REF!),BDI!#REF!,IF(#REF!="ZERO",0))))),"")</f>
        <v>#REF!</v>
      </c>
      <c r="H1103" s="139" t="e">
        <f t="shared" ca="1" si="112"/>
        <v>#REF!</v>
      </c>
      <c r="I1103" s="137" t="e">
        <f t="shared" ca="1" si="113"/>
        <v>#REF!</v>
      </c>
      <c r="J1103" s="117"/>
      <c r="K1103" s="116">
        <v>0</v>
      </c>
      <c r="M1103" s="136" t="e">
        <f ca="1">OFFSET(INDEX([1]Composições!I:R,MATCH([1]Orçamentária!I1103,[1]Composições!I:I,0),8),2,0)</f>
        <v>#REF!</v>
      </c>
      <c r="N1103" t="e">
        <v>#REF!</v>
      </c>
      <c r="Q1103" t="e">
        <v>#REF!</v>
      </c>
    </row>
    <row r="1104" spans="1:17" hidden="1" x14ac:dyDescent="0.25">
      <c r="A1104" s="114" t="s">
        <v>2681</v>
      </c>
      <c r="B1104" s="115" t="s">
        <v>5523</v>
      </c>
      <c r="C1104" s="116" t="s">
        <v>16</v>
      </c>
      <c r="D1104" s="116">
        <v>0</v>
      </c>
      <c r="E1104" s="136" t="s">
        <v>416</v>
      </c>
      <c r="F1104" s="137" t="str">
        <f t="shared" si="111"/>
        <v/>
      </c>
      <c r="G1104" s="138" t="e">
        <f>IF(A1104&lt;&gt;"",IF(AND(#REF!="Padrão",$H$4=#REF!),BDI!$B$17,IF(AND(#REF!="Padrão",$H$4=#REF!),BDI!#REF!,IF(AND(#REF!="Diferenciado",$H$4=#REF!),BDI!$E$17,IF(AND(#REF!="Diferenciado",$H$4=#REF!),BDI!#REF!,IF(#REF!="ZERO",0))))),"")</f>
        <v>#REF!</v>
      </c>
      <c r="H1104" s="139" t="str">
        <f t="shared" si="112"/>
        <v/>
      </c>
      <c r="I1104" s="137" t="str">
        <f t="shared" si="113"/>
        <v/>
      </c>
      <c r="J1104" s="117"/>
      <c r="K1104" s="116">
        <v>0</v>
      </c>
      <c r="M1104" s="136" t="s">
        <v>416</v>
      </c>
      <c r="N1104" t="e">
        <v>#REF!</v>
      </c>
      <c r="Q1104" t="s">
        <v>416</v>
      </c>
    </row>
    <row r="1105" spans="1:19" hidden="1" x14ac:dyDescent="0.25">
      <c r="A1105" s="114" t="s">
        <v>2682</v>
      </c>
      <c r="B1105" s="115" t="s">
        <v>7702</v>
      </c>
      <c r="C1105" s="116" t="s">
        <v>16</v>
      </c>
      <c r="D1105" s="116">
        <v>0</v>
      </c>
      <c r="E1105" s="136" t="s">
        <v>416</v>
      </c>
      <c r="F1105" s="137" t="str">
        <f t="shared" si="111"/>
        <v/>
      </c>
      <c r="G1105" s="138" t="e">
        <f>IF(A1105&lt;&gt;"",IF(AND(#REF!="Padrão",$H$4=#REF!),BDI!$B$17,IF(AND(#REF!="Padrão",$H$4=#REF!),BDI!#REF!,IF(AND(#REF!="Diferenciado",$H$4=#REF!),BDI!$E$17,IF(AND(#REF!="Diferenciado",$H$4=#REF!),BDI!#REF!,IF(#REF!="ZERO",0))))),"")</f>
        <v>#REF!</v>
      </c>
      <c r="H1105" s="139" t="str">
        <f t="shared" si="112"/>
        <v/>
      </c>
      <c r="I1105" s="137" t="str">
        <f t="shared" si="113"/>
        <v/>
      </c>
      <c r="J1105" s="117"/>
      <c r="K1105" s="116">
        <v>0</v>
      </c>
      <c r="M1105" s="136" t="s">
        <v>416</v>
      </c>
      <c r="N1105" t="e">
        <v>#REF!</v>
      </c>
      <c r="Q1105" t="s">
        <v>416</v>
      </c>
    </row>
    <row r="1106" spans="1:19" x14ac:dyDescent="0.25">
      <c r="A1106" s="172" t="s">
        <v>1064</v>
      </c>
      <c r="B1106" s="173" t="s">
        <v>2683</v>
      </c>
      <c r="C1106" s="174" t="s">
        <v>69</v>
      </c>
      <c r="D1106" s="174">
        <v>4</v>
      </c>
      <c r="E1106" s="136">
        <f ca="1">OFFSET(INDEX(Composições!A:J,MATCH(Orçamentária!A1106,Composições!A:A,0),8),2,0)</f>
        <v>36.053986750000007</v>
      </c>
      <c r="F1106" s="137">
        <f t="shared" ca="1" si="111"/>
        <v>144.21594700000003</v>
      </c>
      <c r="G1106" s="138">
        <f>BDI!$B$17</f>
        <v>0.191</v>
      </c>
      <c r="H1106" s="139">
        <f t="shared" ca="1" si="112"/>
        <v>42.94</v>
      </c>
      <c r="I1106" s="137">
        <f t="shared" ca="1" si="113"/>
        <v>171.76</v>
      </c>
      <c r="J1106" s="117"/>
      <c r="K1106" s="253">
        <v>4</v>
      </c>
      <c r="L1106" s="236" t="str">
        <f>IF(D1106&lt;&gt;K1106,"ERRO","-")</f>
        <v>-</v>
      </c>
      <c r="M1106" s="136">
        <f ca="1">OFFSET(INDEX(Composições!A:S,MATCH(A1106,Composições!A:A,0),15),2,0)</f>
        <v>30.862212658000004</v>
      </c>
      <c r="N1106" s="237">
        <v>0.191</v>
      </c>
      <c r="O1106" s="236">
        <f ca="1">ROUND(M1106*(1+N1106),2)</f>
        <v>36.76</v>
      </c>
      <c r="P1106" s="238">
        <f ca="1">ROUND(K1106*O1106,2)</f>
        <v>147.04</v>
      </c>
      <c r="Q1106" s="236">
        <v>147.04</v>
      </c>
      <c r="R1106" s="236">
        <f ca="1">P1106-Q1106</f>
        <v>0</v>
      </c>
      <c r="S1106" s="239">
        <f ca="1">IF(ISNUMBER(O1106),1-P1106/$I1106,"")</f>
        <v>0.14392175128085705</v>
      </c>
    </row>
    <row r="1107" spans="1:19" hidden="1" x14ac:dyDescent="0.25">
      <c r="A1107" s="114" t="s">
        <v>1066</v>
      </c>
      <c r="B1107" s="115" t="s">
        <v>2684</v>
      </c>
      <c r="C1107" s="116" t="s">
        <v>2177</v>
      </c>
      <c r="D1107" s="116">
        <v>0</v>
      </c>
      <c r="E1107" s="136">
        <f ca="1">OFFSET(INDEX(Composições!A:J,MATCH(Orçamentária!A1107,Composições!A:A,0),8),2,0)</f>
        <v>1822.5386149999999</v>
      </c>
      <c r="F1107" s="137">
        <f t="shared" ca="1" si="111"/>
        <v>0</v>
      </c>
      <c r="G1107" s="138" t="e">
        <f>IF(A1107&lt;&gt;"",IF(AND(#REF!="Padrão",$H$4=#REF!),BDI!$B$17,IF(AND(#REF!="Padrão",$H$4=#REF!),BDI!#REF!,IF(AND(#REF!="Diferenciado",$H$4=#REF!),BDI!$E$17,IF(AND(#REF!="Diferenciado",$H$4=#REF!),BDI!#REF!,IF(#REF!="ZERO",0))))),"")</f>
        <v>#REF!</v>
      </c>
      <c r="H1107" s="139" t="e">
        <f t="shared" ca="1" si="112"/>
        <v>#REF!</v>
      </c>
      <c r="I1107" s="137" t="e">
        <f t="shared" ca="1" si="113"/>
        <v>#REF!</v>
      </c>
      <c r="J1107" s="117"/>
      <c r="K1107" s="116">
        <v>0</v>
      </c>
      <c r="M1107" s="136" t="e">
        <f ca="1">OFFSET(INDEX([1]Composições!I:R,MATCH([1]Orçamentária!I1107,[1]Composições!I:I,0),8),2,0)</f>
        <v>#REF!</v>
      </c>
      <c r="N1107" t="e">
        <v>#REF!</v>
      </c>
      <c r="Q1107" t="e">
        <v>#REF!</v>
      </c>
    </row>
    <row r="1108" spans="1:19" hidden="1" x14ac:dyDescent="0.25">
      <c r="A1108" s="114" t="s">
        <v>2685</v>
      </c>
      <c r="B1108" s="115" t="s">
        <v>2686</v>
      </c>
      <c r="C1108" s="116" t="s">
        <v>2373</v>
      </c>
      <c r="D1108" s="116">
        <v>0</v>
      </c>
      <c r="E1108" s="136" t="s">
        <v>416</v>
      </c>
      <c r="F1108" s="137" t="str">
        <f t="shared" si="111"/>
        <v/>
      </c>
      <c r="G1108" s="138" t="e">
        <f>IF(A1108&lt;&gt;"",IF(AND(#REF!="Padrão",$H$4=#REF!),BDI!$B$17,IF(AND(#REF!="Padrão",$H$4=#REF!),BDI!#REF!,IF(AND(#REF!="Diferenciado",$H$4=#REF!),BDI!$E$17,IF(AND(#REF!="Diferenciado",$H$4=#REF!),BDI!#REF!,IF(#REF!="ZERO",0))))),"")</f>
        <v>#REF!</v>
      </c>
      <c r="H1108" s="139" t="str">
        <f t="shared" si="112"/>
        <v/>
      </c>
      <c r="I1108" s="137" t="str">
        <f t="shared" si="113"/>
        <v/>
      </c>
      <c r="J1108" s="117"/>
      <c r="K1108" s="116">
        <v>0</v>
      </c>
      <c r="M1108" s="136" t="s">
        <v>416</v>
      </c>
      <c r="N1108" t="e">
        <v>#REF!</v>
      </c>
      <c r="Q1108" t="s">
        <v>416</v>
      </c>
    </row>
    <row r="1109" spans="1:19" hidden="1" x14ac:dyDescent="0.25">
      <c r="A1109" s="114" t="s">
        <v>1068</v>
      </c>
      <c r="B1109" s="115" t="s">
        <v>2687</v>
      </c>
      <c r="C1109" s="116" t="s">
        <v>70</v>
      </c>
      <c r="D1109" s="116">
        <v>0</v>
      </c>
      <c r="E1109" s="136">
        <f ca="1">OFFSET(INDEX(Composições!A:J,MATCH(Orçamentária!A1109,Composições!A:A,0),8),2,0)</f>
        <v>11.846500000000001</v>
      </c>
      <c r="F1109" s="137">
        <f t="shared" ca="1" si="111"/>
        <v>0</v>
      </c>
      <c r="G1109" s="138" t="e">
        <f>IF(A1109&lt;&gt;"",IF(AND(#REF!="Padrão",$H$4=#REF!),BDI!$B$17,IF(AND(#REF!="Padrão",$H$4=#REF!),BDI!#REF!,IF(AND(#REF!="Diferenciado",$H$4=#REF!),BDI!$E$17,IF(AND(#REF!="Diferenciado",$H$4=#REF!),BDI!#REF!,IF(#REF!="ZERO",0))))),"")</f>
        <v>#REF!</v>
      </c>
      <c r="H1109" s="139" t="e">
        <f t="shared" ca="1" si="112"/>
        <v>#REF!</v>
      </c>
      <c r="I1109" s="137" t="e">
        <f t="shared" ca="1" si="113"/>
        <v>#REF!</v>
      </c>
      <c r="J1109" s="117"/>
      <c r="K1109" s="116">
        <v>0</v>
      </c>
      <c r="M1109" s="136" t="e">
        <f ca="1">OFFSET(INDEX([1]Composições!I:R,MATCH([1]Orçamentária!I1109,[1]Composições!I:I,0),8),2,0)</f>
        <v>#REF!</v>
      </c>
      <c r="N1109" t="e">
        <v>#REF!</v>
      </c>
      <c r="Q1109" t="e">
        <v>#REF!</v>
      </c>
    </row>
    <row r="1110" spans="1:19" hidden="1" x14ac:dyDescent="0.25">
      <c r="A1110" s="114" t="s">
        <v>1070</v>
      </c>
      <c r="B1110" s="115" t="s">
        <v>2688</v>
      </c>
      <c r="C1110" s="116" t="s">
        <v>70</v>
      </c>
      <c r="D1110" s="116">
        <v>0</v>
      </c>
      <c r="E1110" s="136">
        <f ca="1">OFFSET(INDEX(Composições!A:J,MATCH(Orçamentária!A1110,Composições!A:A,0),8),2,0)</f>
        <v>54.38655</v>
      </c>
      <c r="F1110" s="137">
        <f t="shared" ca="1" si="111"/>
        <v>0</v>
      </c>
      <c r="G1110" s="138" t="e">
        <f>IF(A1110&lt;&gt;"",IF(AND(#REF!="Padrão",$H$4=#REF!),BDI!$B$17,IF(AND(#REF!="Padrão",$H$4=#REF!),BDI!#REF!,IF(AND(#REF!="Diferenciado",$H$4=#REF!),BDI!$E$17,IF(AND(#REF!="Diferenciado",$H$4=#REF!),BDI!#REF!,IF(#REF!="ZERO",0))))),"")</f>
        <v>#REF!</v>
      </c>
      <c r="H1110" s="139" t="e">
        <f t="shared" ca="1" si="112"/>
        <v>#REF!</v>
      </c>
      <c r="I1110" s="137" t="e">
        <f t="shared" ca="1" si="113"/>
        <v>#REF!</v>
      </c>
      <c r="J1110" s="117"/>
      <c r="K1110" s="116">
        <v>0</v>
      </c>
      <c r="M1110" s="136" t="e">
        <f ca="1">OFFSET(INDEX([1]Composições!I:R,MATCH([1]Orçamentária!I1110,[1]Composições!I:I,0),8),2,0)</f>
        <v>#REF!</v>
      </c>
      <c r="N1110" t="e">
        <v>#REF!</v>
      </c>
      <c r="Q1110" t="e">
        <v>#REF!</v>
      </c>
    </row>
    <row r="1111" spans="1:19" ht="25.5" hidden="1" x14ac:dyDescent="0.25">
      <c r="A1111" s="114" t="s">
        <v>1073</v>
      </c>
      <c r="B1111" s="115" t="s">
        <v>5472</v>
      </c>
      <c r="C1111" s="116" t="s">
        <v>70</v>
      </c>
      <c r="D1111" s="116">
        <v>0</v>
      </c>
      <c r="E1111" s="136">
        <f ca="1">OFFSET(INDEX(Composições!A:J,MATCH(Orçamentária!A1111,Composições!A:A,0),8),2,0)</f>
        <v>60.177122999999987</v>
      </c>
      <c r="F1111" s="137">
        <f t="shared" ca="1" si="111"/>
        <v>0</v>
      </c>
      <c r="G1111" s="138" t="e">
        <f>IF(A1111&lt;&gt;"",IF(AND(#REF!="Padrão",$H$4=#REF!),BDI!$B$17,IF(AND(#REF!="Padrão",$H$4=#REF!),BDI!#REF!,IF(AND(#REF!="Diferenciado",$H$4=#REF!),BDI!$E$17,IF(AND(#REF!="Diferenciado",$H$4=#REF!),BDI!#REF!,IF(#REF!="ZERO",0))))),"")</f>
        <v>#REF!</v>
      </c>
      <c r="H1111" s="139" t="e">
        <f t="shared" ca="1" si="112"/>
        <v>#REF!</v>
      </c>
      <c r="I1111" s="137" t="e">
        <f t="shared" ca="1" si="113"/>
        <v>#REF!</v>
      </c>
      <c r="J1111" s="117"/>
      <c r="K1111" s="116">
        <v>0</v>
      </c>
      <c r="M1111" s="136" t="e">
        <f ca="1">OFFSET(INDEX([1]Composições!I:R,MATCH([1]Orçamentária!I1111,[1]Composições!I:I,0),8),2,0)</f>
        <v>#REF!</v>
      </c>
      <c r="N1111" t="e">
        <v>#REF!</v>
      </c>
      <c r="Q1111" t="e">
        <v>#REF!</v>
      </c>
    </row>
    <row r="1112" spans="1:19" hidden="1" x14ac:dyDescent="0.25">
      <c r="A1112" s="114" t="s">
        <v>1075</v>
      </c>
      <c r="B1112" s="115" t="s">
        <v>5473</v>
      </c>
      <c r="C1112" s="116" t="s">
        <v>70</v>
      </c>
      <c r="D1112" s="116">
        <v>0</v>
      </c>
      <c r="E1112" s="136">
        <f ca="1">OFFSET(INDEX(Composições!A:J,MATCH(Orçamentária!A1112,Composições!A:A,0),8),2,0)</f>
        <v>60.177122999999987</v>
      </c>
      <c r="F1112" s="137">
        <f t="shared" ca="1" si="111"/>
        <v>0</v>
      </c>
      <c r="G1112" s="138" t="e">
        <f>IF(A1112&lt;&gt;"",IF(AND(#REF!="Padrão",$H$4=#REF!),BDI!$B$17,IF(AND(#REF!="Padrão",$H$4=#REF!),BDI!#REF!,IF(AND(#REF!="Diferenciado",$H$4=#REF!),BDI!$E$17,IF(AND(#REF!="Diferenciado",$H$4=#REF!),BDI!#REF!,IF(#REF!="ZERO",0))))),"")</f>
        <v>#REF!</v>
      </c>
      <c r="H1112" s="139" t="e">
        <f t="shared" ca="1" si="112"/>
        <v>#REF!</v>
      </c>
      <c r="I1112" s="137" t="e">
        <f t="shared" ca="1" si="113"/>
        <v>#REF!</v>
      </c>
      <c r="J1112" s="117"/>
      <c r="K1112" s="116">
        <v>0</v>
      </c>
      <c r="M1112" s="136" t="e">
        <f ca="1">OFFSET(INDEX([1]Composições!I:R,MATCH([1]Orçamentária!I1112,[1]Composições!I:I,0),8),2,0)</f>
        <v>#REF!</v>
      </c>
      <c r="N1112" t="e">
        <v>#REF!</v>
      </c>
      <c r="Q1112" t="e">
        <v>#REF!</v>
      </c>
    </row>
    <row r="1113" spans="1:19" hidden="1" x14ac:dyDescent="0.25">
      <c r="A1113" s="114" t="s">
        <v>1077</v>
      </c>
      <c r="B1113" s="115" t="s">
        <v>5474</v>
      </c>
      <c r="C1113" s="116" t="s">
        <v>70</v>
      </c>
      <c r="D1113" s="116">
        <v>0</v>
      </c>
      <c r="E1113" s="136">
        <f ca="1">OFFSET(INDEX(Composições!A:J,MATCH(Orçamentária!A1113,Composições!A:A,0),8),2,0)</f>
        <v>119.13598500000001</v>
      </c>
      <c r="F1113" s="137">
        <f t="shared" ca="1" si="111"/>
        <v>0</v>
      </c>
      <c r="G1113" s="138" t="e">
        <f>IF(A1113&lt;&gt;"",IF(AND(#REF!="Padrão",$H$4=#REF!),BDI!$B$17,IF(AND(#REF!="Padrão",$H$4=#REF!),BDI!#REF!,IF(AND(#REF!="Diferenciado",$H$4=#REF!),BDI!$E$17,IF(AND(#REF!="Diferenciado",$H$4=#REF!),BDI!#REF!,IF(#REF!="ZERO",0))))),"")</f>
        <v>#REF!</v>
      </c>
      <c r="H1113" s="139" t="e">
        <f t="shared" ca="1" si="112"/>
        <v>#REF!</v>
      </c>
      <c r="I1113" s="137" t="e">
        <f t="shared" ca="1" si="113"/>
        <v>#REF!</v>
      </c>
      <c r="J1113" s="117"/>
      <c r="K1113" s="116">
        <v>0</v>
      </c>
      <c r="M1113" s="136" t="e">
        <f ca="1">OFFSET(INDEX([1]Composições!I:R,MATCH([1]Orçamentária!I1113,[1]Composições!I:I,0),8),2,0)</f>
        <v>#REF!</v>
      </c>
      <c r="N1113" t="e">
        <v>#REF!</v>
      </c>
      <c r="Q1113" t="e">
        <v>#REF!</v>
      </c>
    </row>
    <row r="1114" spans="1:19" hidden="1" x14ac:dyDescent="0.25">
      <c r="A1114" s="114" t="s">
        <v>1080</v>
      </c>
      <c r="B1114" s="115" t="s">
        <v>2689</v>
      </c>
      <c r="C1114" s="116" t="s">
        <v>70</v>
      </c>
      <c r="D1114" s="116">
        <v>0</v>
      </c>
      <c r="E1114" s="136">
        <f ca="1">OFFSET(INDEX(Composições!A:J,MATCH(Orçamentária!A1114,Composições!A:A,0),8),2,0)</f>
        <v>103.07499999999999</v>
      </c>
      <c r="F1114" s="137">
        <f t="shared" ca="1" si="111"/>
        <v>0</v>
      </c>
      <c r="G1114" s="138" t="e">
        <f>IF(A1114&lt;&gt;"",IF(AND(#REF!="Padrão",$H$4=#REF!),BDI!$B$17,IF(AND(#REF!="Padrão",$H$4=#REF!),BDI!#REF!,IF(AND(#REF!="Diferenciado",$H$4=#REF!),BDI!$E$17,IF(AND(#REF!="Diferenciado",$H$4=#REF!),BDI!#REF!,IF(#REF!="ZERO",0))))),"")</f>
        <v>#REF!</v>
      </c>
      <c r="H1114" s="139" t="e">
        <f t="shared" ca="1" si="112"/>
        <v>#REF!</v>
      </c>
      <c r="I1114" s="137" t="e">
        <f t="shared" ca="1" si="113"/>
        <v>#REF!</v>
      </c>
      <c r="J1114" s="117"/>
      <c r="K1114" s="116">
        <v>0</v>
      </c>
      <c r="M1114" s="136" t="e">
        <f ca="1">OFFSET(INDEX([1]Composições!I:R,MATCH([1]Orçamentária!I1114,[1]Composições!I:I,0),8),2,0)</f>
        <v>#REF!</v>
      </c>
      <c r="N1114" t="e">
        <v>#REF!</v>
      </c>
      <c r="Q1114" t="e">
        <v>#REF!</v>
      </c>
    </row>
    <row r="1115" spans="1:19" hidden="1" x14ac:dyDescent="0.25">
      <c r="A1115" s="114" t="s">
        <v>1081</v>
      </c>
      <c r="B1115" s="115" t="s">
        <v>2690</v>
      </c>
      <c r="C1115" s="116" t="s">
        <v>70</v>
      </c>
      <c r="D1115" s="116">
        <v>0</v>
      </c>
      <c r="E1115" s="136">
        <f ca="1">OFFSET(INDEX(Composições!A:J,MATCH(Orçamentária!A1115,Composições!A:A,0),8),2,0)</f>
        <v>27.727174999999995</v>
      </c>
      <c r="F1115" s="137">
        <f t="shared" ca="1" si="111"/>
        <v>0</v>
      </c>
      <c r="G1115" s="138" t="e">
        <f>IF(A1115&lt;&gt;"",IF(AND(#REF!="Padrão",$H$4=#REF!),BDI!$B$17,IF(AND(#REF!="Padrão",$H$4=#REF!),BDI!#REF!,IF(AND(#REF!="Diferenciado",$H$4=#REF!),BDI!$E$17,IF(AND(#REF!="Diferenciado",$H$4=#REF!),BDI!#REF!,IF(#REF!="ZERO",0))))),"")</f>
        <v>#REF!</v>
      </c>
      <c r="H1115" s="139" t="e">
        <f t="shared" ca="1" si="112"/>
        <v>#REF!</v>
      </c>
      <c r="I1115" s="137" t="e">
        <f t="shared" ca="1" si="113"/>
        <v>#REF!</v>
      </c>
      <c r="J1115" s="117"/>
      <c r="K1115" s="116">
        <v>0</v>
      </c>
      <c r="M1115" s="136" t="e">
        <f ca="1">OFFSET(INDEX([1]Composições!I:R,MATCH([1]Orçamentária!I1115,[1]Composições!I:I,0),8),2,0)</f>
        <v>#REF!</v>
      </c>
      <c r="N1115" t="e">
        <v>#REF!</v>
      </c>
      <c r="Q1115" t="e">
        <v>#REF!</v>
      </c>
    </row>
    <row r="1116" spans="1:19" hidden="1" x14ac:dyDescent="0.25">
      <c r="A1116" s="114" t="s">
        <v>1083</v>
      </c>
      <c r="B1116" s="115" t="s">
        <v>2691</v>
      </c>
      <c r="C1116" s="116" t="s">
        <v>69</v>
      </c>
      <c r="D1116" s="116">
        <v>0</v>
      </c>
      <c r="E1116" s="136">
        <f ca="1">OFFSET(INDEX(Composições!A:J,MATCH(Orçamentária!A1116,Composições!A:A,0),8),2,0)</f>
        <v>72.275620000000004</v>
      </c>
      <c r="F1116" s="137">
        <f t="shared" ca="1" si="111"/>
        <v>0</v>
      </c>
      <c r="G1116" s="138" t="e">
        <f>IF(A1116&lt;&gt;"",IF(AND(#REF!="Padrão",$H$4=#REF!),BDI!$B$17,IF(AND(#REF!="Padrão",$H$4=#REF!),BDI!#REF!,IF(AND(#REF!="Diferenciado",$H$4=#REF!),BDI!$E$17,IF(AND(#REF!="Diferenciado",$H$4=#REF!),BDI!#REF!,IF(#REF!="ZERO",0))))),"")</f>
        <v>#REF!</v>
      </c>
      <c r="H1116" s="139" t="e">
        <f t="shared" ca="1" si="112"/>
        <v>#REF!</v>
      </c>
      <c r="I1116" s="137" t="e">
        <f t="shared" ca="1" si="113"/>
        <v>#REF!</v>
      </c>
      <c r="J1116" s="117"/>
      <c r="K1116" s="116">
        <v>0</v>
      </c>
      <c r="M1116" s="136" t="e">
        <f ca="1">OFFSET(INDEX([1]Composições!I:R,MATCH([1]Orçamentária!I1116,[1]Composições!I:I,0),8),2,0)</f>
        <v>#REF!</v>
      </c>
      <c r="N1116" t="e">
        <v>#REF!</v>
      </c>
      <c r="Q1116" t="e">
        <v>#REF!</v>
      </c>
    </row>
    <row r="1117" spans="1:19" hidden="1" x14ac:dyDescent="0.25">
      <c r="A1117" s="114" t="s">
        <v>1085</v>
      </c>
      <c r="B1117" s="115" t="s">
        <v>2692</v>
      </c>
      <c r="C1117" s="116" t="s">
        <v>70</v>
      </c>
      <c r="D1117" s="116">
        <v>0</v>
      </c>
      <c r="E1117" s="136">
        <f ca="1">OFFSET(INDEX(Composições!A:J,MATCH(Orçamentária!A1117,Composições!A:A,0),8),2,0)</f>
        <v>19.272174999999997</v>
      </c>
      <c r="F1117" s="137">
        <f t="shared" ca="1" si="111"/>
        <v>0</v>
      </c>
      <c r="G1117" s="138" t="e">
        <f>IF(A1117&lt;&gt;"",IF(AND(#REF!="Padrão",$H$4=#REF!),BDI!$B$17,IF(AND(#REF!="Padrão",$H$4=#REF!),BDI!#REF!,IF(AND(#REF!="Diferenciado",$H$4=#REF!),BDI!$E$17,IF(AND(#REF!="Diferenciado",$H$4=#REF!),BDI!#REF!,IF(#REF!="ZERO",0))))),"")</f>
        <v>#REF!</v>
      </c>
      <c r="H1117" s="139" t="e">
        <f t="shared" ca="1" si="112"/>
        <v>#REF!</v>
      </c>
      <c r="I1117" s="137" t="e">
        <f t="shared" ca="1" si="113"/>
        <v>#REF!</v>
      </c>
      <c r="J1117" s="117"/>
      <c r="K1117" s="116">
        <v>0</v>
      </c>
      <c r="M1117" s="136" t="e">
        <f ca="1">OFFSET(INDEX([1]Composições!I:R,MATCH([1]Orçamentária!I1117,[1]Composições!I:I,0),8),2,0)</f>
        <v>#REF!</v>
      </c>
      <c r="N1117" t="e">
        <v>#REF!</v>
      </c>
      <c r="Q1117" t="e">
        <v>#REF!</v>
      </c>
    </row>
    <row r="1118" spans="1:19" hidden="1" x14ac:dyDescent="0.25">
      <c r="A1118" s="114" t="s">
        <v>1088</v>
      </c>
      <c r="B1118" s="115" t="s">
        <v>5475</v>
      </c>
      <c r="C1118" s="116" t="s">
        <v>70</v>
      </c>
      <c r="D1118" s="116">
        <v>0</v>
      </c>
      <c r="E1118" s="136">
        <f ca="1">OFFSET(INDEX(Composições!A:J,MATCH(Orçamentária!A1118,Composições!A:A,0),8),2,0)</f>
        <v>0</v>
      </c>
      <c r="F1118" s="137">
        <f t="shared" ca="1" si="111"/>
        <v>0</v>
      </c>
      <c r="G1118" s="138" t="e">
        <f>IF(A1118&lt;&gt;"",IF(AND(#REF!="Padrão",$H$4=#REF!),BDI!$B$17,IF(AND(#REF!="Padrão",$H$4=#REF!),BDI!#REF!,IF(AND(#REF!="Diferenciado",$H$4=#REF!),BDI!$E$17,IF(AND(#REF!="Diferenciado",$H$4=#REF!),BDI!#REF!,IF(#REF!="ZERO",0))))),"")</f>
        <v>#REF!</v>
      </c>
      <c r="H1118" s="139" t="e">
        <f t="shared" ca="1" si="112"/>
        <v>#REF!</v>
      </c>
      <c r="I1118" s="137" t="e">
        <f t="shared" ca="1" si="113"/>
        <v>#REF!</v>
      </c>
      <c r="J1118" s="117"/>
      <c r="K1118" s="116">
        <v>0</v>
      </c>
      <c r="M1118" s="136" t="e">
        <f ca="1">OFFSET(INDEX([1]Composições!I:R,MATCH([1]Orçamentária!I1118,[1]Composições!I:I,0),8),2,0)</f>
        <v>#REF!</v>
      </c>
      <c r="N1118" t="e">
        <v>#REF!</v>
      </c>
      <c r="Q1118" t="e">
        <v>#REF!</v>
      </c>
    </row>
    <row r="1119" spans="1:19" hidden="1" x14ac:dyDescent="0.25">
      <c r="A1119" s="114" t="s">
        <v>1090</v>
      </c>
      <c r="B1119" s="115" t="s">
        <v>5476</v>
      </c>
      <c r="C1119" s="116" t="s">
        <v>70</v>
      </c>
      <c r="D1119" s="116">
        <v>0</v>
      </c>
      <c r="E1119" s="136">
        <f ca="1">OFFSET(INDEX(Composições!A:J,MATCH(Orçamentária!A1119,Composições!A:A,0),8),2,0)</f>
        <v>230.12192949999999</v>
      </c>
      <c r="F1119" s="137">
        <f t="shared" ca="1" si="111"/>
        <v>0</v>
      </c>
      <c r="G1119" s="138" t="e">
        <f>IF(A1119&lt;&gt;"",IF(AND(#REF!="Padrão",$H$4=#REF!),BDI!$B$17,IF(AND(#REF!="Padrão",$H$4=#REF!),BDI!#REF!,IF(AND(#REF!="Diferenciado",$H$4=#REF!),BDI!$E$17,IF(AND(#REF!="Diferenciado",$H$4=#REF!),BDI!#REF!,IF(#REF!="ZERO",0))))),"")</f>
        <v>#REF!</v>
      </c>
      <c r="H1119" s="139" t="e">
        <f t="shared" ca="1" si="112"/>
        <v>#REF!</v>
      </c>
      <c r="I1119" s="137" t="e">
        <f t="shared" ca="1" si="113"/>
        <v>#REF!</v>
      </c>
      <c r="J1119" s="117"/>
      <c r="K1119" s="116">
        <v>0</v>
      </c>
      <c r="M1119" s="136" t="e">
        <f ca="1">OFFSET(INDEX([1]Composições!I:R,MATCH([1]Orçamentária!I1119,[1]Composições!I:I,0),8),2,0)</f>
        <v>#REF!</v>
      </c>
      <c r="N1119" t="e">
        <v>#REF!</v>
      </c>
      <c r="Q1119" t="e">
        <v>#REF!</v>
      </c>
    </row>
    <row r="1120" spans="1:19" hidden="1" x14ac:dyDescent="0.25">
      <c r="A1120" s="114" t="s">
        <v>1093</v>
      </c>
      <c r="B1120" s="115" t="s">
        <v>2693</v>
      </c>
      <c r="C1120" s="116" t="s">
        <v>70</v>
      </c>
      <c r="D1120" s="116">
        <v>0</v>
      </c>
      <c r="E1120" s="136">
        <f ca="1">OFFSET(INDEX(Composições!A:J,MATCH(Orçamentária!A1120,Composições!A:A,0),8),2,0)</f>
        <v>89.444372450000003</v>
      </c>
      <c r="F1120" s="137">
        <f t="shared" ca="1" si="111"/>
        <v>0</v>
      </c>
      <c r="G1120" s="138" t="e">
        <f>IF(A1120&lt;&gt;"",IF(AND(#REF!="Padrão",$H$4=#REF!),BDI!$B$17,IF(AND(#REF!="Padrão",$H$4=#REF!),BDI!#REF!,IF(AND(#REF!="Diferenciado",$H$4=#REF!),BDI!$E$17,IF(AND(#REF!="Diferenciado",$H$4=#REF!),BDI!#REF!,IF(#REF!="ZERO",0))))),"")</f>
        <v>#REF!</v>
      </c>
      <c r="H1120" s="139" t="e">
        <f t="shared" ca="1" si="112"/>
        <v>#REF!</v>
      </c>
      <c r="I1120" s="137" t="e">
        <f t="shared" ca="1" si="113"/>
        <v>#REF!</v>
      </c>
      <c r="J1120" s="117"/>
      <c r="K1120" s="116">
        <v>0</v>
      </c>
      <c r="M1120" s="136" t="e">
        <f ca="1">OFFSET(INDEX([1]Composições!I:R,MATCH([1]Orçamentária!I1120,[1]Composições!I:I,0),8),2,0)</f>
        <v>#REF!</v>
      </c>
      <c r="N1120" t="e">
        <v>#REF!</v>
      </c>
      <c r="Q1120" t="e">
        <v>#REF!</v>
      </c>
    </row>
    <row r="1121" spans="1:17" hidden="1" x14ac:dyDescent="0.25">
      <c r="A1121" s="114" t="s">
        <v>1094</v>
      </c>
      <c r="B1121" s="115" t="s">
        <v>5477</v>
      </c>
      <c r="C1121" s="116" t="s">
        <v>70</v>
      </c>
      <c r="D1121" s="116">
        <v>0</v>
      </c>
      <c r="E1121" s="136">
        <f ca="1">OFFSET(INDEX(Composições!A:J,MATCH(Orçamentária!A1121,Composições!A:A,0),8),2,0)</f>
        <v>15.655779884999998</v>
      </c>
      <c r="F1121" s="137">
        <f t="shared" ca="1" si="111"/>
        <v>0</v>
      </c>
      <c r="G1121" s="138" t="e">
        <f>IF(A1121&lt;&gt;"",IF(AND(#REF!="Padrão",$H$4=#REF!),BDI!$B$17,IF(AND(#REF!="Padrão",$H$4=#REF!),BDI!#REF!,IF(AND(#REF!="Diferenciado",$H$4=#REF!),BDI!$E$17,IF(AND(#REF!="Diferenciado",$H$4=#REF!),BDI!#REF!,IF(#REF!="ZERO",0))))),"")</f>
        <v>#REF!</v>
      </c>
      <c r="H1121" s="139" t="e">
        <f t="shared" ca="1" si="112"/>
        <v>#REF!</v>
      </c>
      <c r="I1121" s="137" t="e">
        <f t="shared" ca="1" si="113"/>
        <v>#REF!</v>
      </c>
      <c r="J1121" s="117"/>
      <c r="K1121" s="116">
        <v>0</v>
      </c>
      <c r="M1121" s="136" t="e">
        <f ca="1">OFFSET(INDEX([1]Composições!I:R,MATCH([1]Orçamentária!I1121,[1]Composições!I:I,0),8),2,0)</f>
        <v>#REF!</v>
      </c>
      <c r="N1121" t="e">
        <v>#REF!</v>
      </c>
      <c r="Q1121" t="e">
        <v>#REF!</v>
      </c>
    </row>
    <row r="1122" spans="1:17" hidden="1" x14ac:dyDescent="0.25">
      <c r="A1122" s="114" t="s">
        <v>1096</v>
      </c>
      <c r="B1122" s="115" t="s">
        <v>5478</v>
      </c>
      <c r="C1122" s="116" t="s">
        <v>70</v>
      </c>
      <c r="D1122" s="116">
        <v>0</v>
      </c>
      <c r="E1122" s="136">
        <f ca="1">OFFSET(INDEX(Composições!A:J,MATCH(Orçamentária!A1122,Composições!A:A,0),8),2,0)</f>
        <v>12.056165</v>
      </c>
      <c r="F1122" s="137">
        <f t="shared" ca="1" si="111"/>
        <v>0</v>
      </c>
      <c r="G1122" s="138" t="e">
        <f>IF(A1122&lt;&gt;"",IF(AND(#REF!="Padrão",$H$4=#REF!),BDI!$B$17,IF(AND(#REF!="Padrão",$H$4=#REF!),BDI!#REF!,IF(AND(#REF!="Diferenciado",$H$4=#REF!),BDI!$E$17,IF(AND(#REF!="Diferenciado",$H$4=#REF!),BDI!#REF!,IF(#REF!="ZERO",0))))),"")</f>
        <v>#REF!</v>
      </c>
      <c r="H1122" s="139" t="e">
        <f t="shared" ca="1" si="112"/>
        <v>#REF!</v>
      </c>
      <c r="I1122" s="137" t="e">
        <f t="shared" ca="1" si="113"/>
        <v>#REF!</v>
      </c>
      <c r="J1122" s="117"/>
      <c r="K1122" s="116">
        <v>0</v>
      </c>
      <c r="M1122" s="136" t="e">
        <f ca="1">OFFSET(INDEX([1]Composições!I:R,MATCH([1]Orçamentária!I1122,[1]Composições!I:I,0),8),2,0)</f>
        <v>#REF!</v>
      </c>
      <c r="N1122" t="e">
        <v>#REF!</v>
      </c>
      <c r="Q1122" t="e">
        <v>#REF!</v>
      </c>
    </row>
    <row r="1123" spans="1:17" hidden="1" x14ac:dyDescent="0.25">
      <c r="A1123" s="114" t="s">
        <v>1098</v>
      </c>
      <c r="B1123" s="115" t="s">
        <v>5479</v>
      </c>
      <c r="C1123" s="116" t="s">
        <v>70</v>
      </c>
      <c r="D1123" s="116">
        <v>0</v>
      </c>
      <c r="E1123" s="136">
        <f ca="1">OFFSET(INDEX(Composições!A:J,MATCH(Orçamentária!A1123,Composições!A:A,0),8),2,0)</f>
        <v>12.056165</v>
      </c>
      <c r="F1123" s="137">
        <f t="shared" ca="1" si="111"/>
        <v>0</v>
      </c>
      <c r="G1123" s="138" t="e">
        <f>IF(A1123&lt;&gt;"",IF(AND(#REF!="Padrão",$H$4=#REF!),BDI!$B$17,IF(AND(#REF!="Padrão",$H$4=#REF!),BDI!#REF!,IF(AND(#REF!="Diferenciado",$H$4=#REF!),BDI!$E$17,IF(AND(#REF!="Diferenciado",$H$4=#REF!),BDI!#REF!,IF(#REF!="ZERO",0))))),"")</f>
        <v>#REF!</v>
      </c>
      <c r="H1123" s="139" t="e">
        <f t="shared" ca="1" si="112"/>
        <v>#REF!</v>
      </c>
      <c r="I1123" s="137" t="e">
        <f t="shared" ca="1" si="113"/>
        <v>#REF!</v>
      </c>
      <c r="J1123" s="117"/>
      <c r="K1123" s="116">
        <v>0</v>
      </c>
      <c r="M1123" s="136" t="e">
        <f ca="1">OFFSET(INDEX([1]Composições!I:R,MATCH([1]Orçamentária!I1123,[1]Composições!I:I,0),8),2,0)</f>
        <v>#REF!</v>
      </c>
      <c r="N1123" t="e">
        <v>#REF!</v>
      </c>
      <c r="Q1123" t="e">
        <v>#REF!</v>
      </c>
    </row>
    <row r="1124" spans="1:17" hidden="1" x14ac:dyDescent="0.25">
      <c r="A1124" s="114" t="s">
        <v>1100</v>
      </c>
      <c r="B1124" s="115" t="s">
        <v>2694</v>
      </c>
      <c r="C1124" s="116" t="s">
        <v>70</v>
      </c>
      <c r="D1124" s="116">
        <v>0</v>
      </c>
      <c r="E1124" s="136">
        <f ca="1">OFFSET(INDEX(Composições!A:J,MATCH(Orçamentária!A1124,Composições!A:A,0),8),2,0)</f>
        <v>42.045458149999988</v>
      </c>
      <c r="F1124" s="137">
        <f t="shared" ca="1" si="111"/>
        <v>0</v>
      </c>
      <c r="G1124" s="138" t="e">
        <f>IF(A1124&lt;&gt;"",IF(AND(#REF!="Padrão",$H$4=#REF!),BDI!$B$17,IF(AND(#REF!="Padrão",$H$4=#REF!),BDI!#REF!,IF(AND(#REF!="Diferenciado",$H$4=#REF!),BDI!$E$17,IF(AND(#REF!="Diferenciado",$H$4=#REF!),BDI!#REF!,IF(#REF!="ZERO",0))))),"")</f>
        <v>#REF!</v>
      </c>
      <c r="H1124" s="139" t="e">
        <f t="shared" ca="1" si="112"/>
        <v>#REF!</v>
      </c>
      <c r="I1124" s="137" t="e">
        <f t="shared" ca="1" si="113"/>
        <v>#REF!</v>
      </c>
      <c r="J1124" s="117"/>
      <c r="K1124" s="116">
        <v>0</v>
      </c>
      <c r="M1124" s="136" t="e">
        <f ca="1">OFFSET(INDEX([1]Composições!I:R,MATCH([1]Orçamentária!I1124,[1]Composições!I:I,0),8),2,0)</f>
        <v>#REF!</v>
      </c>
      <c r="N1124" t="e">
        <v>#REF!</v>
      </c>
      <c r="Q1124" t="e">
        <v>#REF!</v>
      </c>
    </row>
    <row r="1125" spans="1:17" hidden="1" x14ac:dyDescent="0.25">
      <c r="A1125" s="114" t="s">
        <v>1104</v>
      </c>
      <c r="B1125" s="115" t="s">
        <v>5480</v>
      </c>
      <c r="C1125" s="116" t="s">
        <v>70</v>
      </c>
      <c r="D1125" s="116">
        <v>0</v>
      </c>
      <c r="E1125" s="136">
        <f ca="1">OFFSET(INDEX(Composições!A:J,MATCH(Orçamentária!A1125,Composições!A:A,0),8),2,0)</f>
        <v>14.234961499999999</v>
      </c>
      <c r="F1125" s="137">
        <f t="shared" ca="1" si="111"/>
        <v>0</v>
      </c>
      <c r="G1125" s="138" t="e">
        <f>IF(A1125&lt;&gt;"",IF(AND(#REF!="Padrão",$H$4=#REF!),BDI!$B$17,IF(AND(#REF!="Padrão",$H$4=#REF!),BDI!#REF!,IF(AND(#REF!="Diferenciado",$H$4=#REF!),BDI!$E$17,IF(AND(#REF!="Diferenciado",$H$4=#REF!),BDI!#REF!,IF(#REF!="ZERO",0))))),"")</f>
        <v>#REF!</v>
      </c>
      <c r="H1125" s="139" t="e">
        <f t="shared" ca="1" si="112"/>
        <v>#REF!</v>
      </c>
      <c r="I1125" s="137" t="e">
        <f t="shared" ca="1" si="113"/>
        <v>#REF!</v>
      </c>
      <c r="J1125" s="117"/>
      <c r="K1125" s="116">
        <v>0</v>
      </c>
      <c r="M1125" s="136" t="e">
        <f ca="1">OFFSET(INDEX([1]Composições!I:R,MATCH([1]Orçamentária!I1125,[1]Composições!I:I,0),8),2,0)</f>
        <v>#REF!</v>
      </c>
      <c r="N1125" t="e">
        <v>#REF!</v>
      </c>
      <c r="Q1125" t="e">
        <v>#REF!</v>
      </c>
    </row>
    <row r="1126" spans="1:17" hidden="1" x14ac:dyDescent="0.25">
      <c r="A1126" s="114" t="s">
        <v>1105</v>
      </c>
      <c r="B1126" s="115" t="s">
        <v>5481</v>
      </c>
      <c r="C1126" s="116" t="s">
        <v>70</v>
      </c>
      <c r="D1126" s="116">
        <v>0</v>
      </c>
      <c r="E1126" s="136">
        <f ca="1">OFFSET(INDEX(Composições!A:J,MATCH(Orçamentária!A1126,Composições!A:A,0),8),2,0)</f>
        <v>17.149195750000001</v>
      </c>
      <c r="F1126" s="137">
        <f t="shared" ca="1" si="111"/>
        <v>0</v>
      </c>
      <c r="G1126" s="138" t="e">
        <f>IF(A1126&lt;&gt;"",IF(AND(#REF!="Padrão",$H$4=#REF!),BDI!$B$17,IF(AND(#REF!="Padrão",$H$4=#REF!),BDI!#REF!,IF(AND(#REF!="Diferenciado",$H$4=#REF!),BDI!$E$17,IF(AND(#REF!="Diferenciado",$H$4=#REF!),BDI!#REF!,IF(#REF!="ZERO",0))))),"")</f>
        <v>#REF!</v>
      </c>
      <c r="H1126" s="139" t="e">
        <f t="shared" ca="1" si="112"/>
        <v>#REF!</v>
      </c>
      <c r="I1126" s="137" t="e">
        <f t="shared" ca="1" si="113"/>
        <v>#REF!</v>
      </c>
      <c r="J1126" s="117"/>
      <c r="K1126" s="116">
        <v>0</v>
      </c>
      <c r="M1126" s="136" t="e">
        <f ca="1">OFFSET(INDEX([1]Composições!I:R,MATCH([1]Orçamentária!I1126,[1]Composições!I:I,0),8),2,0)</f>
        <v>#REF!</v>
      </c>
      <c r="N1126" t="e">
        <v>#REF!</v>
      </c>
      <c r="Q1126" t="e">
        <v>#REF!</v>
      </c>
    </row>
    <row r="1127" spans="1:17" hidden="1" x14ac:dyDescent="0.25">
      <c r="A1127" s="114" t="s">
        <v>1107</v>
      </c>
      <c r="B1127" s="115" t="s">
        <v>2695</v>
      </c>
      <c r="C1127" s="116" t="s">
        <v>70</v>
      </c>
      <c r="D1127" s="116">
        <v>0</v>
      </c>
      <c r="E1127" s="136" t="s">
        <v>416</v>
      </c>
      <c r="F1127" s="137" t="str">
        <f t="shared" si="111"/>
        <v/>
      </c>
      <c r="G1127" s="138" t="e">
        <f>IF(A1127&lt;&gt;"",IF(AND(#REF!="Padrão",$H$4=#REF!),BDI!$B$17,IF(AND(#REF!="Padrão",$H$4=#REF!),BDI!#REF!,IF(AND(#REF!="Diferenciado",$H$4=#REF!),BDI!$E$17,IF(AND(#REF!="Diferenciado",$H$4=#REF!),BDI!#REF!,IF(#REF!="ZERO",0))))),"")</f>
        <v>#REF!</v>
      </c>
      <c r="H1127" s="139" t="str">
        <f t="shared" si="112"/>
        <v/>
      </c>
      <c r="I1127" s="137" t="str">
        <f t="shared" si="113"/>
        <v/>
      </c>
      <c r="J1127" s="117"/>
      <c r="K1127" s="116">
        <v>0</v>
      </c>
      <c r="M1127" s="136" t="s">
        <v>416</v>
      </c>
      <c r="N1127" t="e">
        <v>#REF!</v>
      </c>
      <c r="Q1127" t="s">
        <v>416</v>
      </c>
    </row>
    <row r="1128" spans="1:17" hidden="1" x14ac:dyDescent="0.25">
      <c r="A1128" s="114" t="s">
        <v>1108</v>
      </c>
      <c r="B1128" s="115" t="s">
        <v>2696</v>
      </c>
      <c r="C1128" s="116" t="s">
        <v>70</v>
      </c>
      <c r="D1128" s="116">
        <v>0</v>
      </c>
      <c r="E1128" s="136">
        <f ca="1">OFFSET(INDEX(Composições!A:J,MATCH(Orçamentária!A1128,Composições!A:A,0),8),2,0)</f>
        <v>19.891489499999999</v>
      </c>
      <c r="F1128" s="137">
        <f t="shared" ca="1" si="111"/>
        <v>0</v>
      </c>
      <c r="G1128" s="138" t="e">
        <f>IF(A1128&lt;&gt;"",IF(AND(#REF!="Padrão",$H$4=#REF!),BDI!$B$17,IF(AND(#REF!="Padrão",$H$4=#REF!),BDI!#REF!,IF(AND(#REF!="Diferenciado",$H$4=#REF!),BDI!$E$17,IF(AND(#REF!="Diferenciado",$H$4=#REF!),BDI!#REF!,IF(#REF!="ZERO",0))))),"")</f>
        <v>#REF!</v>
      </c>
      <c r="H1128" s="139" t="e">
        <f t="shared" ca="1" si="112"/>
        <v>#REF!</v>
      </c>
      <c r="I1128" s="137" t="e">
        <f t="shared" ca="1" si="113"/>
        <v>#REF!</v>
      </c>
      <c r="J1128" s="117"/>
      <c r="K1128" s="116">
        <v>0</v>
      </c>
      <c r="M1128" s="136" t="e">
        <f ca="1">OFFSET(INDEX([1]Composições!I:R,MATCH([1]Orçamentária!I1128,[1]Composições!I:I,0),8),2,0)</f>
        <v>#REF!</v>
      </c>
      <c r="N1128" t="e">
        <v>#REF!</v>
      </c>
      <c r="Q1128" t="e">
        <v>#REF!</v>
      </c>
    </row>
    <row r="1129" spans="1:17" hidden="1" x14ac:dyDescent="0.25">
      <c r="A1129" s="114" t="s">
        <v>1109</v>
      </c>
      <c r="B1129" s="115" t="s">
        <v>2697</v>
      </c>
      <c r="C1129" s="116" t="s">
        <v>70</v>
      </c>
      <c r="D1129" s="116">
        <v>0</v>
      </c>
      <c r="E1129" s="136">
        <f ca="1">OFFSET(INDEX(Composições!A:J,MATCH(Orçamentária!A1129,Composições!A:A,0),8),2,0)</f>
        <v>60.518625199999995</v>
      </c>
      <c r="F1129" s="137">
        <f t="shared" ca="1" si="111"/>
        <v>0</v>
      </c>
      <c r="G1129" s="138" t="e">
        <f>IF(A1129&lt;&gt;"",IF(AND(#REF!="Padrão",$H$4=#REF!),BDI!$B$17,IF(AND(#REF!="Padrão",$H$4=#REF!),BDI!#REF!,IF(AND(#REF!="Diferenciado",$H$4=#REF!),BDI!$E$17,IF(AND(#REF!="Diferenciado",$H$4=#REF!),BDI!#REF!,IF(#REF!="ZERO",0))))),"")</f>
        <v>#REF!</v>
      </c>
      <c r="H1129" s="139" t="e">
        <f t="shared" ca="1" si="112"/>
        <v>#REF!</v>
      </c>
      <c r="I1129" s="137" t="e">
        <f t="shared" ca="1" si="113"/>
        <v>#REF!</v>
      </c>
      <c r="J1129" s="117"/>
      <c r="K1129" s="116">
        <v>0</v>
      </c>
      <c r="M1129" s="136" t="e">
        <f ca="1">OFFSET(INDEX([1]Composições!I:R,MATCH([1]Orçamentária!I1129,[1]Composições!I:I,0),8),2,0)</f>
        <v>#REF!</v>
      </c>
      <c r="N1129" t="e">
        <v>#REF!</v>
      </c>
      <c r="Q1129" t="e">
        <v>#REF!</v>
      </c>
    </row>
    <row r="1130" spans="1:17" hidden="1" x14ac:dyDescent="0.25">
      <c r="A1130" s="114" t="s">
        <v>1110</v>
      </c>
      <c r="B1130" s="115" t="s">
        <v>2698</v>
      </c>
      <c r="C1130" s="116" t="s">
        <v>70</v>
      </c>
      <c r="D1130" s="116">
        <v>0</v>
      </c>
      <c r="E1130" s="136">
        <f ca="1">OFFSET(INDEX(Composições!A:J,MATCH(Orçamentária!A1130,Composições!A:A,0),8),2,0)</f>
        <v>23.366199999999999</v>
      </c>
      <c r="F1130" s="137">
        <f t="shared" ca="1" si="111"/>
        <v>0</v>
      </c>
      <c r="G1130" s="138" t="e">
        <f>IF(A1130&lt;&gt;"",IF(AND(#REF!="Padrão",$H$4=#REF!),BDI!$B$17,IF(AND(#REF!="Padrão",$H$4=#REF!),BDI!#REF!,IF(AND(#REF!="Diferenciado",$H$4=#REF!),BDI!$E$17,IF(AND(#REF!="Diferenciado",$H$4=#REF!),BDI!#REF!,IF(#REF!="ZERO",0))))),"")</f>
        <v>#REF!</v>
      </c>
      <c r="H1130" s="139" t="e">
        <f t="shared" ca="1" si="112"/>
        <v>#REF!</v>
      </c>
      <c r="I1130" s="137" t="e">
        <f t="shared" ca="1" si="113"/>
        <v>#REF!</v>
      </c>
      <c r="J1130" s="117"/>
      <c r="K1130" s="116">
        <v>0</v>
      </c>
      <c r="M1130" s="136" t="e">
        <f ca="1">OFFSET(INDEX([1]Composições!I:R,MATCH([1]Orçamentária!I1130,[1]Composições!I:I,0),8),2,0)</f>
        <v>#REF!</v>
      </c>
      <c r="N1130" t="e">
        <v>#REF!</v>
      </c>
      <c r="Q1130" t="e">
        <v>#REF!</v>
      </c>
    </row>
    <row r="1131" spans="1:17" hidden="1" x14ac:dyDescent="0.25">
      <c r="A1131" s="114" t="s">
        <v>1111</v>
      </c>
      <c r="B1131" s="115" t="s">
        <v>2699</v>
      </c>
      <c r="C1131" s="116" t="s">
        <v>70</v>
      </c>
      <c r="D1131" s="116">
        <v>0</v>
      </c>
      <c r="E1131" s="136">
        <f ca="1">OFFSET(INDEX(Composições!A:J,MATCH(Orçamentária!A1131,Composições!A:A,0),8),2,0)</f>
        <v>1.3955594999999998</v>
      </c>
      <c r="F1131" s="137">
        <f t="shared" ca="1" si="111"/>
        <v>0</v>
      </c>
      <c r="G1131" s="138" t="e">
        <f>IF(A1131&lt;&gt;"",IF(AND(#REF!="Padrão",$H$4=#REF!),BDI!$B$17,IF(AND(#REF!="Padrão",$H$4=#REF!),BDI!#REF!,IF(AND(#REF!="Diferenciado",$H$4=#REF!),BDI!$E$17,IF(AND(#REF!="Diferenciado",$H$4=#REF!),BDI!#REF!,IF(#REF!="ZERO",0))))),"")</f>
        <v>#REF!</v>
      </c>
      <c r="H1131" s="139" t="e">
        <f t="shared" ca="1" si="112"/>
        <v>#REF!</v>
      </c>
      <c r="I1131" s="137" t="e">
        <f t="shared" ca="1" si="113"/>
        <v>#REF!</v>
      </c>
      <c r="J1131" s="117"/>
      <c r="K1131" s="116">
        <v>0</v>
      </c>
      <c r="M1131" s="136" t="e">
        <f ca="1">OFFSET(INDEX([1]Composições!I:R,MATCH([1]Orçamentária!I1131,[1]Composições!I:I,0),8),2,0)</f>
        <v>#REF!</v>
      </c>
      <c r="N1131" t="e">
        <v>#REF!</v>
      </c>
      <c r="Q1131" t="e">
        <v>#REF!</v>
      </c>
    </row>
    <row r="1132" spans="1:17" hidden="1" x14ac:dyDescent="0.25">
      <c r="A1132" s="114" t="s">
        <v>1113</v>
      </c>
      <c r="B1132" s="115" t="s">
        <v>2700</v>
      </c>
      <c r="C1132" s="116" t="s">
        <v>70</v>
      </c>
      <c r="D1132" s="116">
        <v>0</v>
      </c>
      <c r="E1132" s="136">
        <f ca="1">OFFSET(INDEX(Composições!A:J,MATCH(Orçamentária!A1132,Composições!A:A,0),8),2,0)</f>
        <v>34.151408449999998</v>
      </c>
      <c r="F1132" s="137">
        <f t="shared" ca="1" si="111"/>
        <v>0</v>
      </c>
      <c r="G1132" s="138" t="e">
        <f>IF(A1132&lt;&gt;"",IF(AND(#REF!="Padrão",$H$4=#REF!),BDI!$B$17,IF(AND(#REF!="Padrão",$H$4=#REF!),BDI!#REF!,IF(AND(#REF!="Diferenciado",$H$4=#REF!),BDI!$E$17,IF(AND(#REF!="Diferenciado",$H$4=#REF!),BDI!#REF!,IF(#REF!="ZERO",0))))),"")</f>
        <v>#REF!</v>
      </c>
      <c r="H1132" s="139" t="e">
        <f t="shared" ca="1" si="112"/>
        <v>#REF!</v>
      </c>
      <c r="I1132" s="137" t="e">
        <f t="shared" ca="1" si="113"/>
        <v>#REF!</v>
      </c>
      <c r="J1132" s="117"/>
      <c r="K1132" s="116">
        <v>0</v>
      </c>
      <c r="M1132" s="136" t="e">
        <f ca="1">OFFSET(INDEX([1]Composições!I:R,MATCH([1]Orçamentária!I1132,[1]Composições!I:I,0),8),2,0)</f>
        <v>#REF!</v>
      </c>
      <c r="N1132" t="e">
        <v>#REF!</v>
      </c>
      <c r="Q1132" t="e">
        <v>#REF!</v>
      </c>
    </row>
    <row r="1133" spans="1:17" hidden="1" x14ac:dyDescent="0.25">
      <c r="A1133" s="114" t="s">
        <v>1115</v>
      </c>
      <c r="B1133" s="115" t="s">
        <v>2701</v>
      </c>
      <c r="C1133" s="116" t="s">
        <v>69</v>
      </c>
      <c r="D1133" s="116">
        <v>0</v>
      </c>
      <c r="E1133" s="136">
        <f ca="1">OFFSET(INDEX(Composições!A:J,MATCH(Orçamentária!A1133,Composições!A:A,0),8),2,0)</f>
        <v>10.979907149999999</v>
      </c>
      <c r="F1133" s="137">
        <f t="shared" ca="1" si="111"/>
        <v>0</v>
      </c>
      <c r="G1133" s="138" t="e">
        <f>IF(A1133&lt;&gt;"",IF(AND(#REF!="Padrão",$H$4=#REF!),BDI!$B$17,IF(AND(#REF!="Padrão",$H$4=#REF!),BDI!#REF!,IF(AND(#REF!="Diferenciado",$H$4=#REF!),BDI!$E$17,IF(AND(#REF!="Diferenciado",$H$4=#REF!),BDI!#REF!,IF(#REF!="ZERO",0))))),"")</f>
        <v>#REF!</v>
      </c>
      <c r="H1133" s="139" t="e">
        <f t="shared" ca="1" si="112"/>
        <v>#REF!</v>
      </c>
      <c r="I1133" s="137" t="e">
        <f t="shared" ca="1" si="113"/>
        <v>#REF!</v>
      </c>
      <c r="J1133" s="117"/>
      <c r="K1133" s="116">
        <v>0</v>
      </c>
      <c r="M1133" s="136" t="e">
        <f ca="1">OFFSET(INDEX([1]Composições!I:R,MATCH([1]Orçamentária!I1133,[1]Composições!I:I,0),8),2,0)</f>
        <v>#REF!</v>
      </c>
      <c r="N1133" t="e">
        <v>#REF!</v>
      </c>
      <c r="Q1133" t="e">
        <v>#REF!</v>
      </c>
    </row>
    <row r="1134" spans="1:17" hidden="1" x14ac:dyDescent="0.25">
      <c r="A1134" s="114" t="s">
        <v>1121</v>
      </c>
      <c r="B1134" s="115" t="s">
        <v>2702</v>
      </c>
      <c r="C1134" s="116" t="s">
        <v>70</v>
      </c>
      <c r="D1134" s="116">
        <v>0</v>
      </c>
      <c r="E1134" s="136">
        <f ca="1">OFFSET(INDEX(Composições!A:J,MATCH(Orçamentária!A1134,Composições!A:A,0),8),2,0)</f>
        <v>77.667134831120009</v>
      </c>
      <c r="F1134" s="137">
        <f t="shared" ca="1" si="111"/>
        <v>0</v>
      </c>
      <c r="G1134" s="138" t="e">
        <f>IF(A1134&lt;&gt;"",IF(AND(#REF!="Padrão",$H$4=#REF!),BDI!$B$17,IF(AND(#REF!="Padrão",$H$4=#REF!),BDI!#REF!,IF(AND(#REF!="Diferenciado",$H$4=#REF!),BDI!$E$17,IF(AND(#REF!="Diferenciado",$H$4=#REF!),BDI!#REF!,IF(#REF!="ZERO",0))))),"")</f>
        <v>#REF!</v>
      </c>
      <c r="H1134" s="139" t="e">
        <f t="shared" ca="1" si="112"/>
        <v>#REF!</v>
      </c>
      <c r="I1134" s="137" t="e">
        <f t="shared" ca="1" si="113"/>
        <v>#REF!</v>
      </c>
      <c r="J1134" s="117"/>
      <c r="K1134" s="116">
        <v>0</v>
      </c>
      <c r="M1134" s="136" t="e">
        <f ca="1">OFFSET(INDEX([1]Composições!I:R,MATCH([1]Orçamentária!I1134,[1]Composições!I:I,0),8),2,0)</f>
        <v>#REF!</v>
      </c>
      <c r="N1134" t="e">
        <v>#REF!</v>
      </c>
      <c r="Q1134" t="e">
        <v>#REF!</v>
      </c>
    </row>
    <row r="1135" spans="1:17" hidden="1" x14ac:dyDescent="0.25">
      <c r="A1135" s="114" t="s">
        <v>1129</v>
      </c>
      <c r="B1135" s="115" t="s">
        <v>2703</v>
      </c>
      <c r="C1135" s="116" t="s">
        <v>80</v>
      </c>
      <c r="D1135" s="116">
        <v>0</v>
      </c>
      <c r="E1135" s="136">
        <f ca="1">OFFSET(INDEX(Composições!A:J,MATCH(Orçamentária!A1135,Composições!A:A,0),8),2,0)</f>
        <v>466.60016038200001</v>
      </c>
      <c r="F1135" s="137">
        <f t="shared" ca="1" si="111"/>
        <v>0</v>
      </c>
      <c r="G1135" s="138" t="e">
        <f>IF(A1135&lt;&gt;"",IF(AND(#REF!="Padrão",$H$4=#REF!),BDI!$B$17,IF(AND(#REF!="Padrão",$H$4=#REF!),BDI!#REF!,IF(AND(#REF!="Diferenciado",$H$4=#REF!),BDI!$E$17,IF(AND(#REF!="Diferenciado",$H$4=#REF!),BDI!#REF!,IF(#REF!="ZERO",0))))),"")</f>
        <v>#REF!</v>
      </c>
      <c r="H1135" s="139" t="e">
        <f t="shared" ca="1" si="112"/>
        <v>#REF!</v>
      </c>
      <c r="I1135" s="137" t="e">
        <f t="shared" ca="1" si="113"/>
        <v>#REF!</v>
      </c>
      <c r="J1135" s="117"/>
      <c r="K1135" s="116">
        <v>0</v>
      </c>
      <c r="M1135" s="136" t="e">
        <f ca="1">OFFSET(INDEX([1]Composições!I:R,MATCH([1]Orçamentária!I1135,[1]Composições!I:I,0),8),2,0)</f>
        <v>#REF!</v>
      </c>
      <c r="N1135" t="e">
        <v>#REF!</v>
      </c>
      <c r="Q1135" t="e">
        <v>#REF!</v>
      </c>
    </row>
    <row r="1136" spans="1:17" hidden="1" x14ac:dyDescent="0.25">
      <c r="A1136" s="114" t="s">
        <v>1147</v>
      </c>
      <c r="B1136" s="115" t="s">
        <v>2704</v>
      </c>
      <c r="C1136" s="116" t="s">
        <v>80</v>
      </c>
      <c r="D1136" s="116">
        <v>0</v>
      </c>
      <c r="E1136" s="136">
        <f ca="1">OFFSET(INDEX(Composições!A:J,MATCH(Orçamentária!A1136,Composições!A:A,0),8),2,0)</f>
        <v>242.70599999999996</v>
      </c>
      <c r="F1136" s="137">
        <f t="shared" ca="1" si="111"/>
        <v>0</v>
      </c>
      <c r="G1136" s="138" t="e">
        <f>IF(A1136&lt;&gt;"",IF(AND(#REF!="Padrão",$H$4=#REF!),BDI!$B$17,IF(AND(#REF!="Padrão",$H$4=#REF!),BDI!#REF!,IF(AND(#REF!="Diferenciado",$H$4=#REF!),BDI!$E$17,IF(AND(#REF!="Diferenciado",$H$4=#REF!),BDI!#REF!,IF(#REF!="ZERO",0))))),"")</f>
        <v>#REF!</v>
      </c>
      <c r="H1136" s="139" t="e">
        <f t="shared" ca="1" si="112"/>
        <v>#REF!</v>
      </c>
      <c r="I1136" s="137" t="e">
        <f t="shared" ca="1" si="113"/>
        <v>#REF!</v>
      </c>
      <c r="J1136" s="117"/>
      <c r="K1136" s="116">
        <v>0</v>
      </c>
      <c r="M1136" s="136" t="e">
        <f ca="1">OFFSET(INDEX([1]Composições!I:R,MATCH([1]Orçamentária!I1136,[1]Composições!I:I,0),8),2,0)</f>
        <v>#REF!</v>
      </c>
      <c r="N1136" t="e">
        <v>#REF!</v>
      </c>
      <c r="Q1136" t="e">
        <v>#REF!</v>
      </c>
    </row>
    <row r="1137" spans="1:17" hidden="1" x14ac:dyDescent="0.25">
      <c r="A1137" s="114" t="s">
        <v>1151</v>
      </c>
      <c r="B1137" s="115" t="s">
        <v>2705</v>
      </c>
      <c r="C1137" s="116" t="s">
        <v>70</v>
      </c>
      <c r="D1137" s="116">
        <v>0</v>
      </c>
      <c r="E1137" s="136">
        <f ca="1">OFFSET(INDEX(Composições!A:J,MATCH(Orçamentária!A1137,Composições!A:A,0),8),2,0)</f>
        <v>4.7718918000000006</v>
      </c>
      <c r="F1137" s="137">
        <f t="shared" ca="1" si="111"/>
        <v>0</v>
      </c>
      <c r="G1137" s="138" t="e">
        <f>IF(A1137&lt;&gt;"",IF(AND(#REF!="Padrão",$H$4=#REF!),BDI!$B$17,IF(AND(#REF!="Padrão",$H$4=#REF!),BDI!#REF!,IF(AND(#REF!="Diferenciado",$H$4=#REF!),BDI!$E$17,IF(AND(#REF!="Diferenciado",$H$4=#REF!),BDI!#REF!,IF(#REF!="ZERO",0))))),"")</f>
        <v>#REF!</v>
      </c>
      <c r="H1137" s="139" t="e">
        <f t="shared" ca="1" si="112"/>
        <v>#REF!</v>
      </c>
      <c r="I1137" s="137" t="e">
        <f t="shared" ca="1" si="113"/>
        <v>#REF!</v>
      </c>
      <c r="J1137" s="117"/>
      <c r="K1137" s="116">
        <v>0</v>
      </c>
      <c r="M1137" s="136" t="e">
        <f ca="1">OFFSET(INDEX([1]Composições!I:R,MATCH([1]Orçamentária!I1137,[1]Composições!I:I,0),8),2,0)</f>
        <v>#REF!</v>
      </c>
      <c r="N1137" t="e">
        <v>#REF!</v>
      </c>
      <c r="Q1137" t="e">
        <v>#REF!</v>
      </c>
    </row>
    <row r="1138" spans="1:17" hidden="1" x14ac:dyDescent="0.25">
      <c r="A1138" s="114" t="s">
        <v>1154</v>
      </c>
      <c r="B1138" s="115" t="s">
        <v>2706</v>
      </c>
      <c r="C1138" s="116" t="s">
        <v>70</v>
      </c>
      <c r="D1138" s="116">
        <v>0</v>
      </c>
      <c r="E1138" s="136">
        <f ca="1">OFFSET(INDEX(Composições!A:J,MATCH(Orçamentária!A1138,Composições!A:A,0),8),2,0)</f>
        <v>81.889960099999982</v>
      </c>
      <c r="F1138" s="137">
        <f t="shared" ca="1" si="111"/>
        <v>0</v>
      </c>
      <c r="G1138" s="138" t="e">
        <f>IF(A1138&lt;&gt;"",IF(AND(#REF!="Padrão",$H$4=#REF!),BDI!$B$17,IF(AND(#REF!="Padrão",$H$4=#REF!),BDI!#REF!,IF(AND(#REF!="Diferenciado",$H$4=#REF!),BDI!$E$17,IF(AND(#REF!="Diferenciado",$H$4=#REF!),BDI!#REF!,IF(#REF!="ZERO",0))))),"")</f>
        <v>#REF!</v>
      </c>
      <c r="H1138" s="139" t="e">
        <f t="shared" ca="1" si="112"/>
        <v>#REF!</v>
      </c>
      <c r="I1138" s="137" t="e">
        <f t="shared" ca="1" si="113"/>
        <v>#REF!</v>
      </c>
      <c r="J1138" s="117"/>
      <c r="K1138" s="116">
        <v>0</v>
      </c>
      <c r="M1138" s="136" t="e">
        <f ca="1">OFFSET(INDEX([1]Composições!I:R,MATCH([1]Orçamentária!I1138,[1]Composições!I:I,0),8),2,0)</f>
        <v>#REF!</v>
      </c>
      <c r="N1138" t="e">
        <v>#REF!</v>
      </c>
      <c r="Q1138" t="e">
        <v>#REF!</v>
      </c>
    </row>
    <row r="1139" spans="1:17" hidden="1" x14ac:dyDescent="0.25">
      <c r="A1139" s="114" t="s">
        <v>1159</v>
      </c>
      <c r="B1139" s="115" t="s">
        <v>2707</v>
      </c>
      <c r="C1139" s="116" t="s">
        <v>69</v>
      </c>
      <c r="D1139" s="116">
        <v>0</v>
      </c>
      <c r="E1139" s="136">
        <f ca="1">OFFSET(INDEX(Composições!A:J,MATCH(Orçamentária!A1139,Composições!A:A,0),8),2,0)</f>
        <v>12.627823699999999</v>
      </c>
      <c r="F1139" s="137">
        <f t="shared" ca="1" si="111"/>
        <v>0</v>
      </c>
      <c r="G1139" s="138" t="e">
        <f>IF(A1139&lt;&gt;"",IF(AND(#REF!="Padrão",$H$4=#REF!),BDI!$B$17,IF(AND(#REF!="Padrão",$H$4=#REF!),BDI!#REF!,IF(AND(#REF!="Diferenciado",$H$4=#REF!),BDI!$E$17,IF(AND(#REF!="Diferenciado",$H$4=#REF!),BDI!#REF!,IF(#REF!="ZERO",0))))),"")</f>
        <v>#REF!</v>
      </c>
      <c r="H1139" s="139" t="e">
        <f t="shared" ca="1" si="112"/>
        <v>#REF!</v>
      </c>
      <c r="I1139" s="137" t="e">
        <f t="shared" ca="1" si="113"/>
        <v>#REF!</v>
      </c>
      <c r="J1139" s="117"/>
      <c r="K1139" s="116">
        <v>0</v>
      </c>
      <c r="M1139" s="136" t="e">
        <f ca="1">OFFSET(INDEX([1]Composições!I:R,MATCH([1]Orçamentária!I1139,[1]Composições!I:I,0),8),2,0)</f>
        <v>#REF!</v>
      </c>
      <c r="N1139" t="e">
        <v>#REF!</v>
      </c>
      <c r="Q1139" t="e">
        <v>#REF!</v>
      </c>
    </row>
    <row r="1140" spans="1:17" hidden="1" x14ac:dyDescent="0.25">
      <c r="A1140" s="114" t="s">
        <v>1160</v>
      </c>
      <c r="B1140" s="115" t="s">
        <v>2708</v>
      </c>
      <c r="C1140" s="116" t="s">
        <v>70</v>
      </c>
      <c r="D1140" s="116">
        <v>0</v>
      </c>
      <c r="E1140" s="136">
        <f ca="1">OFFSET(INDEX(Composições!A:J,MATCH(Orçamentária!A1140,Composições!A:A,0),8),2,0)</f>
        <v>13.888257099999999</v>
      </c>
      <c r="F1140" s="137">
        <f t="shared" ca="1" si="111"/>
        <v>0</v>
      </c>
      <c r="G1140" s="138" t="e">
        <f>IF(A1140&lt;&gt;"",IF(AND(#REF!="Padrão",$H$4=#REF!),BDI!$B$17,IF(AND(#REF!="Padrão",$H$4=#REF!),BDI!#REF!,IF(AND(#REF!="Diferenciado",$H$4=#REF!),BDI!$E$17,IF(AND(#REF!="Diferenciado",$H$4=#REF!),BDI!#REF!,IF(#REF!="ZERO",0))))),"")</f>
        <v>#REF!</v>
      </c>
      <c r="H1140" s="139" t="e">
        <f t="shared" ca="1" si="112"/>
        <v>#REF!</v>
      </c>
      <c r="I1140" s="137" t="e">
        <f t="shared" ca="1" si="113"/>
        <v>#REF!</v>
      </c>
      <c r="J1140" s="117"/>
      <c r="K1140" s="116">
        <v>0</v>
      </c>
      <c r="M1140" s="136" t="e">
        <f ca="1">OFFSET(INDEX([1]Composições!I:R,MATCH([1]Orçamentária!I1140,[1]Composições!I:I,0),8),2,0)</f>
        <v>#REF!</v>
      </c>
      <c r="N1140" t="e">
        <v>#REF!</v>
      </c>
      <c r="Q1140" t="e">
        <v>#REF!</v>
      </c>
    </row>
    <row r="1141" spans="1:17" hidden="1" x14ac:dyDescent="0.25">
      <c r="A1141" s="114" t="s">
        <v>1162</v>
      </c>
      <c r="B1141" s="115" t="s">
        <v>2709</v>
      </c>
      <c r="C1141" s="116" t="s">
        <v>69</v>
      </c>
      <c r="D1141" s="116">
        <v>0</v>
      </c>
      <c r="E1141" s="136">
        <f ca="1">OFFSET(INDEX(Composições!A:J,MATCH(Orçamentária!A1141,Composições!A:A,0),8),2,0)</f>
        <v>12.627823699999999</v>
      </c>
      <c r="F1141" s="137">
        <f t="shared" ca="1" si="111"/>
        <v>0</v>
      </c>
      <c r="G1141" s="138" t="e">
        <f>IF(A1141&lt;&gt;"",IF(AND(#REF!="Padrão",$H$4=#REF!),BDI!$B$17,IF(AND(#REF!="Padrão",$H$4=#REF!),BDI!#REF!,IF(AND(#REF!="Diferenciado",$H$4=#REF!),BDI!$E$17,IF(AND(#REF!="Diferenciado",$H$4=#REF!),BDI!#REF!,IF(#REF!="ZERO",0))))),"")</f>
        <v>#REF!</v>
      </c>
      <c r="H1141" s="139" t="e">
        <f t="shared" ca="1" si="112"/>
        <v>#REF!</v>
      </c>
      <c r="I1141" s="137" t="e">
        <f t="shared" ca="1" si="113"/>
        <v>#REF!</v>
      </c>
      <c r="J1141" s="117"/>
      <c r="K1141" s="116">
        <v>0</v>
      </c>
      <c r="M1141" s="136" t="e">
        <f ca="1">OFFSET(INDEX([1]Composições!I:R,MATCH([1]Orçamentária!I1141,[1]Composições!I:I,0),8),2,0)</f>
        <v>#REF!</v>
      </c>
      <c r="N1141" t="e">
        <v>#REF!</v>
      </c>
      <c r="Q1141" t="e">
        <v>#REF!</v>
      </c>
    </row>
    <row r="1142" spans="1:17" hidden="1" x14ac:dyDescent="0.25">
      <c r="A1142" s="114" t="s">
        <v>1163</v>
      </c>
      <c r="B1142" s="115" t="s">
        <v>7703</v>
      </c>
      <c r="C1142" s="116" t="s">
        <v>70</v>
      </c>
      <c r="D1142" s="116">
        <v>0</v>
      </c>
      <c r="E1142" s="136">
        <f ca="1">OFFSET(INDEX(Composições!A:J,MATCH(Orçamentária!A1142,Composições!A:A,0),8),2,0)</f>
        <v>20.101049999999997</v>
      </c>
      <c r="F1142" s="137">
        <f t="shared" ca="1" si="111"/>
        <v>0</v>
      </c>
      <c r="G1142" s="138" t="e">
        <f>IF(A1142&lt;&gt;"",IF(AND(#REF!="Padrão",$H$4=#REF!),BDI!$B$17,IF(AND(#REF!="Padrão",$H$4=#REF!),BDI!#REF!,IF(AND(#REF!="Diferenciado",$H$4=#REF!),BDI!$E$17,IF(AND(#REF!="Diferenciado",$H$4=#REF!),BDI!#REF!,IF(#REF!="ZERO",0))))),"")</f>
        <v>#REF!</v>
      </c>
      <c r="H1142" s="139" t="e">
        <f t="shared" ca="1" si="112"/>
        <v>#REF!</v>
      </c>
      <c r="I1142" s="137" t="e">
        <f t="shared" ca="1" si="113"/>
        <v>#REF!</v>
      </c>
      <c r="J1142" s="117"/>
      <c r="K1142" s="116">
        <v>0</v>
      </c>
      <c r="M1142" s="136" t="e">
        <f ca="1">OFFSET(INDEX([1]Composições!I:R,MATCH([1]Orçamentária!I1142,[1]Composições!I:I,0),8),2,0)</f>
        <v>#REF!</v>
      </c>
      <c r="N1142" t="e">
        <v>#REF!</v>
      </c>
      <c r="Q1142" t="e">
        <v>#REF!</v>
      </c>
    </row>
    <row r="1143" spans="1:17" ht="25.5" hidden="1" x14ac:dyDescent="0.25">
      <c r="A1143" s="114" t="s">
        <v>1169</v>
      </c>
      <c r="B1143" s="115" t="s">
        <v>2710</v>
      </c>
      <c r="C1143" s="116" t="s">
        <v>69</v>
      </c>
      <c r="D1143" s="116">
        <v>0</v>
      </c>
      <c r="E1143" s="136">
        <f ca="1">OFFSET(INDEX(Composições!A:J,MATCH(Orçamentária!A1143,Composições!A:A,0),8),2,0)</f>
        <v>2.8066799999999996</v>
      </c>
      <c r="F1143" s="137">
        <f t="shared" ca="1" si="111"/>
        <v>0</v>
      </c>
      <c r="G1143" s="138" t="e">
        <f>IF(A1143&lt;&gt;"",IF(AND(#REF!="Padrão",$H$4=#REF!),BDI!$B$17,IF(AND(#REF!="Padrão",$H$4=#REF!),BDI!#REF!,IF(AND(#REF!="Diferenciado",$H$4=#REF!),BDI!$E$17,IF(AND(#REF!="Diferenciado",$H$4=#REF!),BDI!#REF!,IF(#REF!="ZERO",0))))),"")</f>
        <v>#REF!</v>
      </c>
      <c r="H1143" s="139" t="e">
        <f t="shared" ca="1" si="112"/>
        <v>#REF!</v>
      </c>
      <c r="I1143" s="137" t="e">
        <f t="shared" ca="1" si="113"/>
        <v>#REF!</v>
      </c>
      <c r="J1143" s="117"/>
      <c r="K1143" s="116">
        <v>0</v>
      </c>
      <c r="M1143" s="136" t="e">
        <f ca="1">OFFSET(INDEX([1]Composições!I:R,MATCH([1]Orçamentária!I1143,[1]Composições!I:I,0),8),2,0)</f>
        <v>#REF!</v>
      </c>
      <c r="N1143" t="e">
        <v>#REF!</v>
      </c>
      <c r="Q1143" t="e">
        <v>#REF!</v>
      </c>
    </row>
    <row r="1144" spans="1:17" hidden="1" x14ac:dyDescent="0.25">
      <c r="A1144" s="114" t="s">
        <v>1171</v>
      </c>
      <c r="B1144" s="115" t="s">
        <v>2711</v>
      </c>
      <c r="C1144" s="116" t="s">
        <v>69</v>
      </c>
      <c r="D1144" s="116">
        <v>0</v>
      </c>
      <c r="E1144" s="136">
        <f ca="1">OFFSET(INDEX(Composições!A:J,MATCH(Orçamentária!A1144,Composições!A:A,0),8),2,0)</f>
        <v>2.8066799999999996</v>
      </c>
      <c r="F1144" s="137">
        <f t="shared" ca="1" si="111"/>
        <v>0</v>
      </c>
      <c r="G1144" s="138" t="e">
        <f>IF(A1144&lt;&gt;"",IF(AND(#REF!="Padrão",$H$4=#REF!),BDI!$B$17,IF(AND(#REF!="Padrão",$H$4=#REF!),BDI!#REF!,IF(AND(#REF!="Diferenciado",$H$4=#REF!),BDI!$E$17,IF(AND(#REF!="Diferenciado",$H$4=#REF!),BDI!#REF!,IF(#REF!="ZERO",0))))),"")</f>
        <v>#REF!</v>
      </c>
      <c r="H1144" s="139" t="e">
        <f t="shared" ca="1" si="112"/>
        <v>#REF!</v>
      </c>
      <c r="I1144" s="137" t="e">
        <f t="shared" ca="1" si="113"/>
        <v>#REF!</v>
      </c>
      <c r="J1144" s="117"/>
      <c r="K1144" s="116">
        <v>0</v>
      </c>
      <c r="M1144" s="136" t="e">
        <f ca="1">OFFSET(INDEX([1]Composições!I:R,MATCH([1]Orçamentária!I1144,[1]Composições!I:I,0),8),2,0)</f>
        <v>#REF!</v>
      </c>
      <c r="N1144" t="e">
        <v>#REF!</v>
      </c>
      <c r="Q1144" t="e">
        <v>#REF!</v>
      </c>
    </row>
    <row r="1145" spans="1:17" hidden="1" x14ac:dyDescent="0.25">
      <c r="A1145" s="114" t="s">
        <v>1173</v>
      </c>
      <c r="B1145" s="115" t="s">
        <v>7704</v>
      </c>
      <c r="C1145" s="116" t="s">
        <v>70</v>
      </c>
      <c r="D1145" s="116">
        <v>0</v>
      </c>
      <c r="E1145" s="136">
        <f ca="1">OFFSET(INDEX(Composições!A:J,MATCH(Orçamentária!A1145,Composições!A:A,0),8),2,0)</f>
        <v>43.242015449999997</v>
      </c>
      <c r="F1145" s="137">
        <f t="shared" ca="1" si="111"/>
        <v>0</v>
      </c>
      <c r="G1145" s="138" t="e">
        <f>IF(A1145&lt;&gt;"",IF(AND(#REF!="Padrão",$H$4=#REF!),BDI!$B$17,IF(AND(#REF!="Padrão",$H$4=#REF!),BDI!#REF!,IF(AND(#REF!="Diferenciado",$H$4=#REF!),BDI!$E$17,IF(AND(#REF!="Diferenciado",$H$4=#REF!),BDI!#REF!,IF(#REF!="ZERO",0))))),"")</f>
        <v>#REF!</v>
      </c>
      <c r="H1145" s="139" t="e">
        <f t="shared" ca="1" si="112"/>
        <v>#REF!</v>
      </c>
      <c r="I1145" s="137" t="e">
        <f t="shared" ca="1" si="113"/>
        <v>#REF!</v>
      </c>
      <c r="J1145" s="117"/>
      <c r="K1145" s="116">
        <v>0</v>
      </c>
      <c r="M1145" s="136" t="e">
        <f ca="1">OFFSET(INDEX([1]Composições!I:R,MATCH([1]Orçamentária!I1145,[1]Composições!I:I,0),8),2,0)</f>
        <v>#REF!</v>
      </c>
      <c r="N1145" t="e">
        <v>#REF!</v>
      </c>
      <c r="Q1145" t="e">
        <v>#REF!</v>
      </c>
    </row>
    <row r="1146" spans="1:17" hidden="1" x14ac:dyDescent="0.25">
      <c r="A1146" s="114" t="s">
        <v>1177</v>
      </c>
      <c r="B1146" s="115" t="s">
        <v>2712</v>
      </c>
      <c r="C1146" s="116" t="s">
        <v>69</v>
      </c>
      <c r="D1146" s="116">
        <v>0</v>
      </c>
      <c r="E1146" s="136">
        <f ca="1">OFFSET(INDEX(Composições!A:J,MATCH(Orçamentária!A1146,Composições!A:A,0),8),2,0)</f>
        <v>76.132150699999983</v>
      </c>
      <c r="F1146" s="137">
        <f t="shared" ca="1" si="111"/>
        <v>0</v>
      </c>
      <c r="G1146" s="138" t="e">
        <f>IF(A1146&lt;&gt;"",IF(AND(#REF!="Padrão",$H$4=#REF!),BDI!$B$17,IF(AND(#REF!="Padrão",$H$4=#REF!),BDI!#REF!,IF(AND(#REF!="Diferenciado",$H$4=#REF!),BDI!$E$17,IF(AND(#REF!="Diferenciado",$H$4=#REF!),BDI!#REF!,IF(#REF!="ZERO",0))))),"")</f>
        <v>#REF!</v>
      </c>
      <c r="H1146" s="139" t="e">
        <f t="shared" ca="1" si="112"/>
        <v>#REF!</v>
      </c>
      <c r="I1146" s="137" t="e">
        <f t="shared" ca="1" si="113"/>
        <v>#REF!</v>
      </c>
      <c r="J1146" s="117"/>
      <c r="K1146" s="116">
        <v>0</v>
      </c>
      <c r="M1146" s="136" t="e">
        <f ca="1">OFFSET(INDEX([1]Composições!I:R,MATCH([1]Orçamentária!I1146,[1]Composições!I:I,0),8),2,0)</f>
        <v>#REF!</v>
      </c>
      <c r="N1146" t="e">
        <v>#REF!</v>
      </c>
      <c r="Q1146" t="e">
        <v>#REF!</v>
      </c>
    </row>
    <row r="1147" spans="1:17" hidden="1" x14ac:dyDescent="0.25">
      <c r="A1147" s="114" t="s">
        <v>1179</v>
      </c>
      <c r="B1147" s="115" t="s">
        <v>2713</v>
      </c>
      <c r="C1147" s="116" t="s">
        <v>69</v>
      </c>
      <c r="D1147" s="116">
        <v>0</v>
      </c>
      <c r="E1147" s="136">
        <f ca="1">OFFSET(INDEX(Composições!A:J,MATCH(Orçamentária!A1147,Composições!A:A,0),8),2,0)</f>
        <v>81.930485199999993</v>
      </c>
      <c r="F1147" s="137">
        <f t="shared" ca="1" si="111"/>
        <v>0</v>
      </c>
      <c r="G1147" s="138" t="e">
        <f>IF(A1147&lt;&gt;"",IF(AND(#REF!="Padrão",$H$4=#REF!),BDI!$B$17,IF(AND(#REF!="Padrão",$H$4=#REF!),BDI!#REF!,IF(AND(#REF!="Diferenciado",$H$4=#REF!),BDI!$E$17,IF(AND(#REF!="Diferenciado",$H$4=#REF!),BDI!#REF!,IF(#REF!="ZERO",0))))),"")</f>
        <v>#REF!</v>
      </c>
      <c r="H1147" s="139" t="e">
        <f t="shared" ca="1" si="112"/>
        <v>#REF!</v>
      </c>
      <c r="I1147" s="137" t="e">
        <f t="shared" ca="1" si="113"/>
        <v>#REF!</v>
      </c>
      <c r="J1147" s="117"/>
      <c r="K1147" s="116">
        <v>0</v>
      </c>
      <c r="M1147" s="136" t="e">
        <f ca="1">OFFSET(INDEX([1]Composições!I:R,MATCH([1]Orçamentária!I1147,[1]Composições!I:I,0),8),2,0)</f>
        <v>#REF!</v>
      </c>
      <c r="N1147" t="e">
        <v>#REF!</v>
      </c>
      <c r="Q1147" t="e">
        <v>#REF!</v>
      </c>
    </row>
    <row r="1148" spans="1:17" hidden="1" x14ac:dyDescent="0.25">
      <c r="A1148" s="114" t="s">
        <v>1181</v>
      </c>
      <c r="B1148" s="115" t="s">
        <v>2714</v>
      </c>
      <c r="C1148" s="116" t="s">
        <v>70</v>
      </c>
      <c r="D1148" s="116">
        <v>0</v>
      </c>
      <c r="E1148" s="136">
        <f ca="1">OFFSET(INDEX(Composições!A:J,MATCH(Orçamentária!A1148,Composições!A:A,0),8),2,0)</f>
        <v>7.0166999999999984</v>
      </c>
      <c r="F1148" s="137">
        <f t="shared" ca="1" si="111"/>
        <v>0</v>
      </c>
      <c r="G1148" s="138" t="e">
        <f>IF(A1148&lt;&gt;"",IF(AND(#REF!="Padrão",$H$4=#REF!),BDI!$B$17,IF(AND(#REF!="Padrão",$H$4=#REF!),BDI!#REF!,IF(AND(#REF!="Diferenciado",$H$4=#REF!),BDI!$E$17,IF(AND(#REF!="Diferenciado",$H$4=#REF!),BDI!#REF!,IF(#REF!="ZERO",0))))),"")</f>
        <v>#REF!</v>
      </c>
      <c r="H1148" s="139" t="e">
        <f t="shared" ca="1" si="112"/>
        <v>#REF!</v>
      </c>
      <c r="I1148" s="137" t="e">
        <f t="shared" ca="1" si="113"/>
        <v>#REF!</v>
      </c>
      <c r="J1148" s="117"/>
      <c r="K1148" s="116">
        <v>0</v>
      </c>
      <c r="M1148" s="136" t="e">
        <f ca="1">OFFSET(INDEX([1]Composições!I:R,MATCH([1]Orçamentária!I1148,[1]Composições!I:I,0),8),2,0)</f>
        <v>#REF!</v>
      </c>
      <c r="N1148" t="e">
        <v>#REF!</v>
      </c>
      <c r="Q1148" t="e">
        <v>#REF!</v>
      </c>
    </row>
    <row r="1149" spans="1:17" hidden="1" x14ac:dyDescent="0.25">
      <c r="A1149" s="114" t="s">
        <v>2715</v>
      </c>
      <c r="B1149" s="115" t="s">
        <v>2716</v>
      </c>
      <c r="C1149" s="116" t="s">
        <v>16</v>
      </c>
      <c r="D1149" s="116">
        <v>0</v>
      </c>
      <c r="E1149" s="136" t="s">
        <v>416</v>
      </c>
      <c r="F1149" s="137" t="str">
        <f t="shared" si="111"/>
        <v/>
      </c>
      <c r="G1149" s="138" t="e">
        <f>IF(A1149&lt;&gt;"",IF(AND(#REF!="Padrão",$H$4=#REF!),BDI!$B$17,IF(AND(#REF!="Padrão",$H$4=#REF!),BDI!#REF!,IF(AND(#REF!="Diferenciado",$H$4=#REF!),BDI!$E$17,IF(AND(#REF!="Diferenciado",$H$4=#REF!),BDI!#REF!,IF(#REF!="ZERO",0))))),"")</f>
        <v>#REF!</v>
      </c>
      <c r="H1149" s="139" t="str">
        <f t="shared" si="112"/>
        <v/>
      </c>
      <c r="I1149" s="137" t="str">
        <f t="shared" si="113"/>
        <v/>
      </c>
      <c r="J1149" s="117"/>
      <c r="K1149" s="116">
        <v>0</v>
      </c>
      <c r="M1149" s="136" t="s">
        <v>416</v>
      </c>
      <c r="N1149" t="e">
        <v>#REF!</v>
      </c>
      <c r="Q1149" t="s">
        <v>416</v>
      </c>
    </row>
    <row r="1150" spans="1:17" hidden="1" x14ac:dyDescent="0.25">
      <c r="A1150" s="114" t="s">
        <v>2717</v>
      </c>
      <c r="B1150" s="115" t="s">
        <v>2718</v>
      </c>
      <c r="C1150" s="116" t="s">
        <v>16</v>
      </c>
      <c r="D1150" s="116">
        <v>0</v>
      </c>
      <c r="E1150" s="136" t="s">
        <v>416</v>
      </c>
      <c r="F1150" s="137" t="str">
        <f t="shared" si="111"/>
        <v/>
      </c>
      <c r="G1150" s="138" t="e">
        <f>IF(A1150&lt;&gt;"",IF(AND(#REF!="Padrão",$H$4=#REF!),BDI!$B$17,IF(AND(#REF!="Padrão",$H$4=#REF!),BDI!#REF!,IF(AND(#REF!="Diferenciado",$H$4=#REF!),BDI!$E$17,IF(AND(#REF!="Diferenciado",$H$4=#REF!),BDI!#REF!,IF(#REF!="ZERO",0))))),"")</f>
        <v>#REF!</v>
      </c>
      <c r="H1150" s="139" t="str">
        <f t="shared" si="112"/>
        <v/>
      </c>
      <c r="I1150" s="137" t="str">
        <f t="shared" si="113"/>
        <v/>
      </c>
      <c r="J1150" s="117"/>
      <c r="K1150" s="116">
        <v>0</v>
      </c>
      <c r="M1150" s="136" t="s">
        <v>416</v>
      </c>
      <c r="N1150" t="e">
        <v>#REF!</v>
      </c>
      <c r="Q1150" t="s">
        <v>416</v>
      </c>
    </row>
    <row r="1151" spans="1:17" hidden="1" x14ac:dyDescent="0.25">
      <c r="A1151" s="114" t="s">
        <v>2719</v>
      </c>
      <c r="B1151" s="115" t="s">
        <v>2720</v>
      </c>
      <c r="C1151" s="116" t="s">
        <v>5417</v>
      </c>
      <c r="D1151" s="116">
        <v>0</v>
      </c>
      <c r="E1151" s="136" t="s">
        <v>416</v>
      </c>
      <c r="F1151" s="137" t="str">
        <f t="shared" si="111"/>
        <v/>
      </c>
      <c r="G1151" s="138" t="e">
        <f>IF(A1151&lt;&gt;"",IF(AND(#REF!="Padrão",$H$4=#REF!),BDI!$B$17,IF(AND(#REF!="Padrão",$H$4=#REF!),BDI!#REF!,IF(AND(#REF!="Diferenciado",$H$4=#REF!),BDI!$E$17,IF(AND(#REF!="Diferenciado",$H$4=#REF!),BDI!#REF!,IF(#REF!="ZERO",0))))),"")</f>
        <v>#REF!</v>
      </c>
      <c r="H1151" s="139" t="str">
        <f t="shared" si="112"/>
        <v/>
      </c>
      <c r="I1151" s="137" t="str">
        <f t="shared" si="113"/>
        <v/>
      </c>
      <c r="J1151" s="117"/>
      <c r="K1151" s="116">
        <v>0</v>
      </c>
      <c r="M1151" s="136" t="s">
        <v>416</v>
      </c>
      <c r="N1151" t="e">
        <v>#REF!</v>
      </c>
      <c r="Q1151" t="s">
        <v>416</v>
      </c>
    </row>
    <row r="1152" spans="1:17" hidden="1" x14ac:dyDescent="0.25">
      <c r="A1152" s="114" t="s">
        <v>1183</v>
      </c>
      <c r="B1152" s="115" t="s">
        <v>2721</v>
      </c>
      <c r="C1152" s="116" t="s">
        <v>69</v>
      </c>
      <c r="D1152" s="116">
        <v>0</v>
      </c>
      <c r="E1152" s="136">
        <f ca="1">OFFSET(INDEX(Composições!A:J,MATCH(Orçamentária!A1152,Composições!A:A,0),8),2,0)</f>
        <v>282.44836815955966</v>
      </c>
      <c r="F1152" s="137">
        <f t="shared" ca="1" si="111"/>
        <v>0</v>
      </c>
      <c r="G1152" s="138" t="e">
        <f>IF(A1152&lt;&gt;"",IF(AND(#REF!="Padrão",$H$4=#REF!),BDI!$B$17,IF(AND(#REF!="Padrão",$H$4=#REF!),BDI!#REF!,IF(AND(#REF!="Diferenciado",$H$4=#REF!),BDI!$E$17,IF(AND(#REF!="Diferenciado",$H$4=#REF!),BDI!#REF!,IF(#REF!="ZERO",0))))),"")</f>
        <v>#REF!</v>
      </c>
      <c r="H1152" s="139" t="e">
        <f t="shared" ca="1" si="112"/>
        <v>#REF!</v>
      </c>
      <c r="I1152" s="137" t="e">
        <f t="shared" ca="1" si="113"/>
        <v>#REF!</v>
      </c>
      <c r="J1152" s="117"/>
      <c r="K1152" s="116">
        <v>0</v>
      </c>
      <c r="M1152" s="136" t="e">
        <f ca="1">OFFSET(INDEX([1]Composições!I:R,MATCH([1]Orçamentária!I1152,[1]Composições!I:I,0),8),2,0)</f>
        <v>#REF!</v>
      </c>
      <c r="N1152" t="e">
        <v>#REF!</v>
      </c>
      <c r="Q1152" t="e">
        <v>#REF!</v>
      </c>
    </row>
    <row r="1153" spans="1:17" hidden="1" x14ac:dyDescent="0.25">
      <c r="A1153" s="114" t="s">
        <v>1185</v>
      </c>
      <c r="B1153" s="115" t="s">
        <v>2722</v>
      </c>
      <c r="C1153" s="116" t="s">
        <v>69</v>
      </c>
      <c r="D1153" s="116">
        <v>0</v>
      </c>
      <c r="E1153" s="136">
        <f ca="1">OFFSET(INDEX(Composições!A:J,MATCH(Orçamentária!A1153,Composições!A:A,0),8),2,0)</f>
        <v>147.61849881911948</v>
      </c>
      <c r="F1153" s="137">
        <f t="shared" ca="1" si="111"/>
        <v>0</v>
      </c>
      <c r="G1153" s="138" t="e">
        <f>IF(A1153&lt;&gt;"",IF(AND(#REF!="Padrão",$H$4=#REF!),BDI!$B$17,IF(AND(#REF!="Padrão",$H$4=#REF!),BDI!#REF!,IF(AND(#REF!="Diferenciado",$H$4=#REF!),BDI!$E$17,IF(AND(#REF!="Diferenciado",$H$4=#REF!),BDI!#REF!,IF(#REF!="ZERO",0))))),"")</f>
        <v>#REF!</v>
      </c>
      <c r="H1153" s="139" t="e">
        <f t="shared" ca="1" si="112"/>
        <v>#REF!</v>
      </c>
      <c r="I1153" s="137" t="e">
        <f t="shared" ca="1" si="113"/>
        <v>#REF!</v>
      </c>
      <c r="J1153" s="117"/>
      <c r="K1153" s="116">
        <v>0</v>
      </c>
      <c r="M1153" s="136" t="e">
        <f ca="1">OFFSET(INDEX([1]Composições!I:R,MATCH([1]Orçamentária!I1153,[1]Composições!I:I,0),8),2,0)</f>
        <v>#REF!</v>
      </c>
      <c r="N1153" t="e">
        <v>#REF!</v>
      </c>
      <c r="Q1153" t="e">
        <v>#REF!</v>
      </c>
    </row>
    <row r="1154" spans="1:17" hidden="1" x14ac:dyDescent="0.25">
      <c r="A1154" s="114" t="s">
        <v>1186</v>
      </c>
      <c r="B1154" s="115" t="s">
        <v>2723</v>
      </c>
      <c r="C1154" s="116" t="s">
        <v>70</v>
      </c>
      <c r="D1154" s="116">
        <v>0</v>
      </c>
      <c r="E1154" s="136">
        <f ca="1">OFFSET(INDEX(Composições!A:J,MATCH(Orçamentária!A1154,Composições!A:A,0),8),2,0)</f>
        <v>2.2248049999999995</v>
      </c>
      <c r="F1154" s="137">
        <f t="shared" ca="1" si="111"/>
        <v>0</v>
      </c>
      <c r="G1154" s="138" t="e">
        <f>IF(A1154&lt;&gt;"",IF(AND(#REF!="Padrão",$H$4=#REF!),BDI!$B$17,IF(AND(#REF!="Padrão",$H$4=#REF!),BDI!#REF!,IF(AND(#REF!="Diferenciado",$H$4=#REF!),BDI!$E$17,IF(AND(#REF!="Diferenciado",$H$4=#REF!),BDI!#REF!,IF(#REF!="ZERO",0))))),"")</f>
        <v>#REF!</v>
      </c>
      <c r="H1154" s="139" t="e">
        <f t="shared" ca="1" si="112"/>
        <v>#REF!</v>
      </c>
      <c r="I1154" s="137" t="e">
        <f t="shared" ca="1" si="113"/>
        <v>#REF!</v>
      </c>
      <c r="J1154" s="117"/>
      <c r="K1154" s="116">
        <v>0</v>
      </c>
      <c r="M1154" s="136" t="e">
        <f ca="1">OFFSET(INDEX([1]Composições!I:R,MATCH([1]Orçamentária!I1154,[1]Composições!I:I,0),8),2,0)</f>
        <v>#REF!</v>
      </c>
      <c r="N1154" t="e">
        <v>#REF!</v>
      </c>
      <c r="Q1154" t="e">
        <v>#REF!</v>
      </c>
    </row>
    <row r="1155" spans="1:17" hidden="1" x14ac:dyDescent="0.25">
      <c r="A1155" s="114" t="s">
        <v>1190</v>
      </c>
      <c r="B1155" s="115" t="s">
        <v>2724</v>
      </c>
      <c r="C1155" s="116" t="s">
        <v>16</v>
      </c>
      <c r="D1155" s="116">
        <v>0</v>
      </c>
      <c r="E1155" s="136">
        <f ca="1">OFFSET(INDEX(Composições!A:J,MATCH(Orçamentária!A1155,Composições!A:A,0),8),2,0)</f>
        <v>232.58292064999998</v>
      </c>
      <c r="F1155" s="137">
        <f t="shared" ca="1" si="111"/>
        <v>0</v>
      </c>
      <c r="G1155" s="138" t="e">
        <f>IF(A1155&lt;&gt;"",IF(AND(#REF!="Padrão",$H$4=#REF!),BDI!$B$17,IF(AND(#REF!="Padrão",$H$4=#REF!),BDI!#REF!,IF(AND(#REF!="Diferenciado",$H$4=#REF!),BDI!$E$17,IF(AND(#REF!="Diferenciado",$H$4=#REF!),BDI!#REF!,IF(#REF!="ZERO",0))))),"")</f>
        <v>#REF!</v>
      </c>
      <c r="H1155" s="139" t="e">
        <f t="shared" ca="1" si="112"/>
        <v>#REF!</v>
      </c>
      <c r="I1155" s="137" t="e">
        <f t="shared" ca="1" si="113"/>
        <v>#REF!</v>
      </c>
      <c r="J1155" s="117"/>
      <c r="K1155" s="116">
        <v>0</v>
      </c>
      <c r="M1155" s="136" t="e">
        <f ca="1">OFFSET(INDEX([1]Composições!I:R,MATCH([1]Orçamentária!I1155,[1]Composições!I:I,0),8),2,0)</f>
        <v>#REF!</v>
      </c>
      <c r="N1155" t="e">
        <v>#REF!</v>
      </c>
      <c r="Q1155" t="e">
        <v>#REF!</v>
      </c>
    </row>
    <row r="1156" spans="1:17" hidden="1" x14ac:dyDescent="0.25">
      <c r="A1156" s="114" t="s">
        <v>1195</v>
      </c>
      <c r="B1156" s="115" t="s">
        <v>2725</v>
      </c>
      <c r="C1156" s="116" t="s">
        <v>16</v>
      </c>
      <c r="D1156" s="116">
        <v>0</v>
      </c>
      <c r="E1156" s="136">
        <f ca="1">OFFSET(INDEX(Composições!A:J,MATCH(Orçamentária!A1156,Composições!A:A,0),8),2,0)</f>
        <v>51.042697249999996</v>
      </c>
      <c r="F1156" s="137">
        <f t="shared" ca="1" si="111"/>
        <v>0</v>
      </c>
      <c r="G1156" s="138" t="e">
        <f>IF(A1156&lt;&gt;"",IF(AND(#REF!="Padrão",$H$4=#REF!),BDI!$B$17,IF(AND(#REF!="Padrão",$H$4=#REF!),BDI!#REF!,IF(AND(#REF!="Diferenciado",$H$4=#REF!),BDI!$E$17,IF(AND(#REF!="Diferenciado",$H$4=#REF!),BDI!#REF!,IF(#REF!="ZERO",0))))),"")</f>
        <v>#REF!</v>
      </c>
      <c r="H1156" s="139" t="e">
        <f t="shared" ca="1" si="112"/>
        <v>#REF!</v>
      </c>
      <c r="I1156" s="137" t="e">
        <f t="shared" ca="1" si="113"/>
        <v>#REF!</v>
      </c>
      <c r="J1156" s="117"/>
      <c r="K1156" s="116">
        <v>0</v>
      </c>
      <c r="M1156" s="136" t="e">
        <f ca="1">OFFSET(INDEX([1]Composições!I:R,MATCH([1]Orçamentária!I1156,[1]Composições!I:I,0),8),2,0)</f>
        <v>#REF!</v>
      </c>
      <c r="N1156" t="e">
        <v>#REF!</v>
      </c>
      <c r="Q1156" t="e">
        <v>#REF!</v>
      </c>
    </row>
    <row r="1157" spans="1:17" hidden="1" x14ac:dyDescent="0.25">
      <c r="A1157" s="114" t="s">
        <v>1196</v>
      </c>
      <c r="B1157" s="115" t="s">
        <v>7705</v>
      </c>
      <c r="C1157" s="116" t="s">
        <v>70</v>
      </c>
      <c r="D1157" s="116">
        <v>0</v>
      </c>
      <c r="E1157" s="136">
        <f ca="1">OFFSET(INDEX(Composições!A:J,MATCH(Orçamentária!A1157,Composições!A:A,0),8),2,0)</f>
        <v>44.988025799738793</v>
      </c>
      <c r="F1157" s="137">
        <f t="shared" ca="1" si="111"/>
        <v>0</v>
      </c>
      <c r="G1157" s="138" t="e">
        <f>IF(A1157&lt;&gt;"",IF(AND(#REF!="Padrão",$H$4=#REF!),BDI!$B$17,IF(AND(#REF!="Padrão",$H$4=#REF!),BDI!#REF!,IF(AND(#REF!="Diferenciado",$H$4=#REF!),BDI!$E$17,IF(AND(#REF!="Diferenciado",$H$4=#REF!),BDI!#REF!,IF(#REF!="ZERO",0))))),"")</f>
        <v>#REF!</v>
      </c>
      <c r="H1157" s="139" t="e">
        <f t="shared" ca="1" si="112"/>
        <v>#REF!</v>
      </c>
      <c r="I1157" s="137" t="e">
        <f t="shared" ca="1" si="113"/>
        <v>#REF!</v>
      </c>
      <c r="J1157" s="117"/>
      <c r="K1157" s="116">
        <v>0</v>
      </c>
      <c r="M1157" s="136" t="e">
        <f ca="1">OFFSET(INDEX([1]Composições!I:R,MATCH([1]Orçamentária!I1157,[1]Composições!I:I,0),8),2,0)</f>
        <v>#REF!</v>
      </c>
      <c r="N1157" t="e">
        <v>#REF!</v>
      </c>
      <c r="Q1157" t="e">
        <v>#REF!</v>
      </c>
    </row>
    <row r="1158" spans="1:17" hidden="1" x14ac:dyDescent="0.25">
      <c r="A1158" s="114" t="s">
        <v>1198</v>
      </c>
      <c r="B1158" s="115" t="s">
        <v>7706</v>
      </c>
      <c r="C1158" s="116" t="s">
        <v>70</v>
      </c>
      <c r="D1158" s="116">
        <v>0</v>
      </c>
      <c r="E1158" s="136">
        <f ca="1">OFFSET(INDEX(Composições!A:J,MATCH(Orçamentária!A1158,Composições!A:A,0),8),2,0)</f>
        <v>60.617044091942795</v>
      </c>
      <c r="F1158" s="137">
        <f t="shared" ca="1" si="111"/>
        <v>0</v>
      </c>
      <c r="G1158" s="138" t="e">
        <f>IF(A1158&lt;&gt;"",IF(AND(#REF!="Padrão",$H$4=#REF!),BDI!$B$17,IF(AND(#REF!="Padrão",$H$4=#REF!),BDI!#REF!,IF(AND(#REF!="Diferenciado",$H$4=#REF!),BDI!$E$17,IF(AND(#REF!="Diferenciado",$H$4=#REF!),BDI!#REF!,IF(#REF!="ZERO",0))))),"")</f>
        <v>#REF!</v>
      </c>
      <c r="H1158" s="139" t="e">
        <f t="shared" ca="1" si="112"/>
        <v>#REF!</v>
      </c>
      <c r="I1158" s="137" t="e">
        <f t="shared" ca="1" si="113"/>
        <v>#REF!</v>
      </c>
      <c r="J1158" s="117"/>
      <c r="K1158" s="116">
        <v>0</v>
      </c>
      <c r="M1158" s="136" t="e">
        <f ca="1">OFFSET(INDEX([1]Composições!I:R,MATCH([1]Orçamentária!I1158,[1]Composições!I:I,0),8),2,0)</f>
        <v>#REF!</v>
      </c>
      <c r="N1158" t="e">
        <v>#REF!</v>
      </c>
      <c r="Q1158" t="e">
        <v>#REF!</v>
      </c>
    </row>
    <row r="1159" spans="1:17" hidden="1" x14ac:dyDescent="0.25">
      <c r="A1159" s="114" t="s">
        <v>1199</v>
      </c>
      <c r="B1159" s="115" t="s">
        <v>2726</v>
      </c>
      <c r="C1159" s="116" t="s">
        <v>70</v>
      </c>
      <c r="D1159" s="116">
        <v>0</v>
      </c>
      <c r="E1159" s="136">
        <f ca="1">OFFSET(INDEX(Composições!A:J,MATCH(Orçamentária!A1159,Composições!A:A,0),8),2,0)</f>
        <v>7.256005</v>
      </c>
      <c r="F1159" s="137">
        <f t="shared" ref="F1159:F1222" ca="1" si="114">IF(ISNUMBER(E1159),D1159*E1159,"")</f>
        <v>0</v>
      </c>
      <c r="G1159" s="138" t="e">
        <f>IF(A1159&lt;&gt;"",IF(AND(#REF!="Padrão",$H$4=#REF!),BDI!$B$17,IF(AND(#REF!="Padrão",$H$4=#REF!),BDI!#REF!,IF(AND(#REF!="Diferenciado",$H$4=#REF!),BDI!$E$17,IF(AND(#REF!="Diferenciado",$H$4=#REF!),BDI!#REF!,IF(#REF!="ZERO",0))))),"")</f>
        <v>#REF!</v>
      </c>
      <c r="H1159" s="139" t="e">
        <f t="shared" ref="H1159:H1222" ca="1" si="115">IF(ISNUMBER(E1159),ROUND(E1159*(1+G1159),2),"")</f>
        <v>#REF!</v>
      </c>
      <c r="I1159" s="137" t="e">
        <f t="shared" ref="I1159:I1222" ca="1" si="116">IF(ISNUMBER(E1159),ROUND(H1159*D1159,2),"")</f>
        <v>#REF!</v>
      </c>
      <c r="J1159" s="117"/>
      <c r="K1159" s="116">
        <v>0</v>
      </c>
      <c r="M1159" s="136" t="e">
        <f ca="1">OFFSET(INDEX([1]Composições!I:R,MATCH([1]Orçamentária!I1159,[1]Composições!I:I,0),8),2,0)</f>
        <v>#REF!</v>
      </c>
      <c r="N1159" t="e">
        <v>#REF!</v>
      </c>
      <c r="Q1159" t="e">
        <v>#REF!</v>
      </c>
    </row>
    <row r="1160" spans="1:17" hidden="1" x14ac:dyDescent="0.25">
      <c r="A1160" s="114" t="s">
        <v>1201</v>
      </c>
      <c r="B1160" s="115" t="s">
        <v>2727</v>
      </c>
      <c r="C1160" s="116" t="s">
        <v>70</v>
      </c>
      <c r="D1160" s="116">
        <v>0</v>
      </c>
      <c r="E1160" s="136">
        <f ca="1">OFFSET(INDEX(Composições!A:J,MATCH(Orçamentária!A1160,Composições!A:A,0),8),2,0)</f>
        <v>15.415174999999998</v>
      </c>
      <c r="F1160" s="137">
        <f t="shared" ca="1" si="114"/>
        <v>0</v>
      </c>
      <c r="G1160" s="138" t="e">
        <f>IF(A1160&lt;&gt;"",IF(AND(#REF!="Padrão",$H$4=#REF!),BDI!$B$17,IF(AND(#REF!="Padrão",$H$4=#REF!),BDI!#REF!,IF(AND(#REF!="Diferenciado",$H$4=#REF!),BDI!$E$17,IF(AND(#REF!="Diferenciado",$H$4=#REF!),BDI!#REF!,IF(#REF!="ZERO",0))))),"")</f>
        <v>#REF!</v>
      </c>
      <c r="H1160" s="139" t="e">
        <f t="shared" ca="1" si="115"/>
        <v>#REF!</v>
      </c>
      <c r="I1160" s="137" t="e">
        <f t="shared" ca="1" si="116"/>
        <v>#REF!</v>
      </c>
      <c r="J1160" s="117"/>
      <c r="K1160" s="116">
        <v>0</v>
      </c>
      <c r="M1160" s="136" t="e">
        <f ca="1">OFFSET(INDEX([1]Composições!I:R,MATCH([1]Orçamentária!I1160,[1]Composições!I:I,0),8),2,0)</f>
        <v>#REF!</v>
      </c>
      <c r="N1160" t="e">
        <v>#REF!</v>
      </c>
      <c r="Q1160" t="e">
        <v>#REF!</v>
      </c>
    </row>
    <row r="1161" spans="1:17" hidden="1" x14ac:dyDescent="0.25">
      <c r="A1161" s="114" t="s">
        <v>1203</v>
      </c>
      <c r="B1161" s="115" t="s">
        <v>2728</v>
      </c>
      <c r="C1161" s="116" t="s">
        <v>70</v>
      </c>
      <c r="D1161" s="116">
        <v>0</v>
      </c>
      <c r="E1161" s="136">
        <f ca="1">OFFSET(INDEX(Composições!A:J,MATCH(Orçamentária!A1161,Composições!A:A,0),8),2,0)</f>
        <v>33.592286509777992</v>
      </c>
      <c r="F1161" s="137">
        <f t="shared" ca="1" si="114"/>
        <v>0</v>
      </c>
      <c r="G1161" s="138" t="e">
        <f>IF(A1161&lt;&gt;"",IF(AND(#REF!="Padrão",$H$4=#REF!),BDI!$B$17,IF(AND(#REF!="Padrão",$H$4=#REF!),BDI!#REF!,IF(AND(#REF!="Diferenciado",$H$4=#REF!),BDI!$E$17,IF(AND(#REF!="Diferenciado",$H$4=#REF!),BDI!#REF!,IF(#REF!="ZERO",0))))),"")</f>
        <v>#REF!</v>
      </c>
      <c r="H1161" s="139" t="e">
        <f t="shared" ca="1" si="115"/>
        <v>#REF!</v>
      </c>
      <c r="I1161" s="137" t="e">
        <f t="shared" ca="1" si="116"/>
        <v>#REF!</v>
      </c>
      <c r="J1161" s="117"/>
      <c r="K1161" s="116">
        <v>0</v>
      </c>
      <c r="M1161" s="136" t="e">
        <f ca="1">OFFSET(INDEX([1]Composições!I:R,MATCH([1]Orçamentária!I1161,[1]Composições!I:I,0),8),2,0)</f>
        <v>#REF!</v>
      </c>
      <c r="N1161" t="e">
        <v>#REF!</v>
      </c>
      <c r="Q1161" t="e">
        <v>#REF!</v>
      </c>
    </row>
    <row r="1162" spans="1:17" hidden="1" x14ac:dyDescent="0.25">
      <c r="A1162" s="114" t="s">
        <v>1204</v>
      </c>
      <c r="B1162" s="115" t="s">
        <v>2729</v>
      </c>
      <c r="C1162" s="116" t="s">
        <v>70</v>
      </c>
      <c r="D1162" s="116">
        <v>0</v>
      </c>
      <c r="E1162" s="136">
        <f ca="1">OFFSET(INDEX(Composições!A:J,MATCH(Orçamentária!A1162,Composições!A:A,0),8),2,0)</f>
        <v>91.946702750249997</v>
      </c>
      <c r="F1162" s="137">
        <f t="shared" ca="1" si="114"/>
        <v>0</v>
      </c>
      <c r="G1162" s="138" t="e">
        <f>IF(A1162&lt;&gt;"",IF(AND(#REF!="Padrão",$H$4=#REF!),BDI!$B$17,IF(AND(#REF!="Padrão",$H$4=#REF!),BDI!#REF!,IF(AND(#REF!="Diferenciado",$H$4=#REF!),BDI!$E$17,IF(AND(#REF!="Diferenciado",$H$4=#REF!),BDI!#REF!,IF(#REF!="ZERO",0))))),"")</f>
        <v>#REF!</v>
      </c>
      <c r="H1162" s="139" t="e">
        <f t="shared" ca="1" si="115"/>
        <v>#REF!</v>
      </c>
      <c r="I1162" s="137" t="e">
        <f t="shared" ca="1" si="116"/>
        <v>#REF!</v>
      </c>
      <c r="J1162" s="117"/>
      <c r="K1162" s="116">
        <v>0</v>
      </c>
      <c r="M1162" s="136" t="e">
        <f ca="1">OFFSET(INDEX([1]Composições!I:R,MATCH([1]Orçamentária!I1162,[1]Composições!I:I,0),8),2,0)</f>
        <v>#REF!</v>
      </c>
      <c r="N1162" t="e">
        <v>#REF!</v>
      </c>
      <c r="Q1162" t="e">
        <v>#REF!</v>
      </c>
    </row>
    <row r="1163" spans="1:17" hidden="1" x14ac:dyDescent="0.25">
      <c r="A1163" s="114" t="s">
        <v>1205</v>
      </c>
      <c r="B1163" s="115" t="s">
        <v>2730</v>
      </c>
      <c r="C1163" s="116" t="s">
        <v>70</v>
      </c>
      <c r="D1163" s="116">
        <v>0</v>
      </c>
      <c r="E1163" s="136">
        <f ca="1">OFFSET(INDEX(Composições!A:J,MATCH(Orçamentária!A1163,Composições!A:A,0),8),2,0)</f>
        <v>12.980793350000001</v>
      </c>
      <c r="F1163" s="137">
        <f t="shared" ca="1" si="114"/>
        <v>0</v>
      </c>
      <c r="G1163" s="138" t="e">
        <f>IF(A1163&lt;&gt;"",IF(AND(#REF!="Padrão",$H$4=#REF!),BDI!$B$17,IF(AND(#REF!="Padrão",$H$4=#REF!),BDI!#REF!,IF(AND(#REF!="Diferenciado",$H$4=#REF!),BDI!$E$17,IF(AND(#REF!="Diferenciado",$H$4=#REF!),BDI!#REF!,IF(#REF!="ZERO",0))))),"")</f>
        <v>#REF!</v>
      </c>
      <c r="H1163" s="139" t="e">
        <f t="shared" ca="1" si="115"/>
        <v>#REF!</v>
      </c>
      <c r="I1163" s="137" t="e">
        <f t="shared" ca="1" si="116"/>
        <v>#REF!</v>
      </c>
      <c r="J1163" s="117"/>
      <c r="K1163" s="116">
        <v>0</v>
      </c>
      <c r="M1163" s="136" t="e">
        <f ca="1">OFFSET(INDEX([1]Composições!I:R,MATCH([1]Orçamentária!I1163,[1]Composições!I:I,0),8),2,0)</f>
        <v>#REF!</v>
      </c>
      <c r="N1163" t="e">
        <v>#REF!</v>
      </c>
      <c r="Q1163" t="e">
        <v>#REF!</v>
      </c>
    </row>
    <row r="1164" spans="1:17" hidden="1" x14ac:dyDescent="0.25">
      <c r="A1164" s="114" t="s">
        <v>1207</v>
      </c>
      <c r="B1164" s="115" t="s">
        <v>2731</v>
      </c>
      <c r="C1164" s="116" t="s">
        <v>70</v>
      </c>
      <c r="D1164" s="116">
        <v>0</v>
      </c>
      <c r="E1164" s="136">
        <f ca="1">OFFSET(INDEX(Composições!A:J,MATCH(Orçamentária!A1164,Composições!A:A,0),8),2,0)</f>
        <v>7.4582600000000001</v>
      </c>
      <c r="F1164" s="137">
        <f t="shared" ca="1" si="114"/>
        <v>0</v>
      </c>
      <c r="G1164" s="138" t="e">
        <f>IF(A1164&lt;&gt;"",IF(AND(#REF!="Padrão",$H$4=#REF!),BDI!$B$17,IF(AND(#REF!="Padrão",$H$4=#REF!),BDI!#REF!,IF(AND(#REF!="Diferenciado",$H$4=#REF!),BDI!$E$17,IF(AND(#REF!="Diferenciado",$H$4=#REF!),BDI!#REF!,IF(#REF!="ZERO",0))))),"")</f>
        <v>#REF!</v>
      </c>
      <c r="H1164" s="139" t="e">
        <f t="shared" ca="1" si="115"/>
        <v>#REF!</v>
      </c>
      <c r="I1164" s="137" t="e">
        <f t="shared" ca="1" si="116"/>
        <v>#REF!</v>
      </c>
      <c r="J1164" s="117"/>
      <c r="K1164" s="116">
        <v>0</v>
      </c>
      <c r="M1164" s="136" t="e">
        <f ca="1">OFFSET(INDEX([1]Composições!I:R,MATCH([1]Orçamentária!I1164,[1]Composições!I:I,0),8),2,0)</f>
        <v>#REF!</v>
      </c>
      <c r="N1164" t="e">
        <v>#REF!</v>
      </c>
      <c r="Q1164" t="e">
        <v>#REF!</v>
      </c>
    </row>
    <row r="1165" spans="1:17" hidden="1" x14ac:dyDescent="0.25">
      <c r="A1165" s="114" t="s">
        <v>1209</v>
      </c>
      <c r="B1165" s="115" t="s">
        <v>2732</v>
      </c>
      <c r="C1165" s="116" t="s">
        <v>70</v>
      </c>
      <c r="D1165" s="116">
        <v>0</v>
      </c>
      <c r="E1165" s="136">
        <f ca="1">OFFSET(INDEX(Composições!A:J,MATCH(Orçamentária!A1165,Composições!A:A,0),8),2,0)</f>
        <v>184.40962145000003</v>
      </c>
      <c r="F1165" s="137">
        <f t="shared" ca="1" si="114"/>
        <v>0</v>
      </c>
      <c r="G1165" s="138" t="e">
        <f>IF(A1165&lt;&gt;"",IF(AND(#REF!="Padrão",$H$4=#REF!),BDI!$B$17,IF(AND(#REF!="Padrão",$H$4=#REF!),BDI!#REF!,IF(AND(#REF!="Diferenciado",$H$4=#REF!),BDI!$E$17,IF(AND(#REF!="Diferenciado",$H$4=#REF!),BDI!#REF!,IF(#REF!="ZERO",0))))),"")</f>
        <v>#REF!</v>
      </c>
      <c r="H1165" s="139" t="e">
        <f t="shared" ca="1" si="115"/>
        <v>#REF!</v>
      </c>
      <c r="I1165" s="137" t="e">
        <f t="shared" ca="1" si="116"/>
        <v>#REF!</v>
      </c>
      <c r="J1165" s="117"/>
      <c r="K1165" s="116">
        <v>0</v>
      </c>
      <c r="M1165" s="136" t="e">
        <f ca="1">OFFSET(INDEX([1]Composições!I:R,MATCH([1]Orçamentária!I1165,[1]Composições!I:I,0),8),2,0)</f>
        <v>#REF!</v>
      </c>
      <c r="N1165" t="e">
        <v>#REF!</v>
      </c>
      <c r="Q1165" t="e">
        <v>#REF!</v>
      </c>
    </row>
    <row r="1166" spans="1:17" hidden="1" x14ac:dyDescent="0.25">
      <c r="A1166" s="114" t="s">
        <v>1213</v>
      </c>
      <c r="B1166" s="115" t="s">
        <v>2733</v>
      </c>
      <c r="C1166" s="116" t="s">
        <v>70</v>
      </c>
      <c r="D1166" s="116">
        <v>0</v>
      </c>
      <c r="E1166" s="136">
        <f ca="1">OFFSET(INDEX(Composições!A:J,MATCH(Orçamentária!A1166,Composições!A:A,0),8),2,0)</f>
        <v>212.87353189999999</v>
      </c>
      <c r="F1166" s="137">
        <f t="shared" ca="1" si="114"/>
        <v>0</v>
      </c>
      <c r="G1166" s="138" t="e">
        <f>IF(A1166&lt;&gt;"",IF(AND(#REF!="Padrão",$H$4=#REF!),BDI!$B$17,IF(AND(#REF!="Padrão",$H$4=#REF!),BDI!#REF!,IF(AND(#REF!="Diferenciado",$H$4=#REF!),BDI!$E$17,IF(AND(#REF!="Diferenciado",$H$4=#REF!),BDI!#REF!,IF(#REF!="ZERO",0))))),"")</f>
        <v>#REF!</v>
      </c>
      <c r="H1166" s="139" t="e">
        <f t="shared" ca="1" si="115"/>
        <v>#REF!</v>
      </c>
      <c r="I1166" s="137" t="e">
        <f t="shared" ca="1" si="116"/>
        <v>#REF!</v>
      </c>
      <c r="J1166" s="117"/>
      <c r="K1166" s="116">
        <v>0</v>
      </c>
      <c r="M1166" s="136" t="e">
        <f ca="1">OFFSET(INDEX([1]Composições!I:R,MATCH([1]Orçamentária!I1166,[1]Composições!I:I,0),8),2,0)</f>
        <v>#REF!</v>
      </c>
      <c r="N1166" t="e">
        <v>#REF!</v>
      </c>
      <c r="Q1166" t="e">
        <v>#REF!</v>
      </c>
    </row>
    <row r="1167" spans="1:17" hidden="1" x14ac:dyDescent="0.25">
      <c r="A1167" s="114" t="s">
        <v>2734</v>
      </c>
      <c r="B1167" s="115" t="s">
        <v>2735</v>
      </c>
      <c r="C1167" s="116" t="s">
        <v>28</v>
      </c>
      <c r="D1167" s="116">
        <v>0</v>
      </c>
      <c r="E1167" s="136" t="s">
        <v>416</v>
      </c>
      <c r="F1167" s="137" t="str">
        <f t="shared" si="114"/>
        <v/>
      </c>
      <c r="G1167" s="138" t="e">
        <f>IF(A1167&lt;&gt;"",IF(AND(#REF!="Padrão",$H$4=#REF!),BDI!$B$17,IF(AND(#REF!="Padrão",$H$4=#REF!),BDI!#REF!,IF(AND(#REF!="Diferenciado",$H$4=#REF!),BDI!$E$17,IF(AND(#REF!="Diferenciado",$H$4=#REF!),BDI!#REF!,IF(#REF!="ZERO",0))))),"")</f>
        <v>#REF!</v>
      </c>
      <c r="H1167" s="139" t="str">
        <f t="shared" si="115"/>
        <v/>
      </c>
      <c r="I1167" s="137" t="str">
        <f t="shared" si="116"/>
        <v/>
      </c>
      <c r="J1167" s="117"/>
      <c r="K1167" s="116">
        <v>0</v>
      </c>
      <c r="M1167" s="136" t="s">
        <v>416</v>
      </c>
      <c r="N1167" t="e">
        <v>#REF!</v>
      </c>
      <c r="Q1167" t="s">
        <v>416</v>
      </c>
    </row>
    <row r="1168" spans="1:17" hidden="1" x14ac:dyDescent="0.25">
      <c r="A1168" s="114" t="s">
        <v>1215</v>
      </c>
      <c r="B1168" s="115" t="s">
        <v>2736</v>
      </c>
      <c r="C1168" s="116" t="s">
        <v>69</v>
      </c>
      <c r="D1168" s="116">
        <v>0</v>
      </c>
      <c r="E1168" s="136">
        <f ca="1">OFFSET(INDEX(Composições!A:J,MATCH(Orçamentária!A1168,Composições!A:A,0),8),2,0)</f>
        <v>129.71749551400001</v>
      </c>
      <c r="F1168" s="137">
        <f t="shared" ca="1" si="114"/>
        <v>0</v>
      </c>
      <c r="G1168" s="138" t="e">
        <f>IF(A1168&lt;&gt;"",IF(AND(#REF!="Padrão",$H$4=#REF!),BDI!$B$17,IF(AND(#REF!="Padrão",$H$4=#REF!),BDI!#REF!,IF(AND(#REF!="Diferenciado",$H$4=#REF!),BDI!$E$17,IF(AND(#REF!="Diferenciado",$H$4=#REF!),BDI!#REF!,IF(#REF!="ZERO",0))))),"")</f>
        <v>#REF!</v>
      </c>
      <c r="H1168" s="139" t="e">
        <f t="shared" ca="1" si="115"/>
        <v>#REF!</v>
      </c>
      <c r="I1168" s="137" t="e">
        <f t="shared" ca="1" si="116"/>
        <v>#REF!</v>
      </c>
      <c r="J1168" s="117"/>
      <c r="K1168" s="116">
        <v>0</v>
      </c>
      <c r="M1168" s="136" t="e">
        <f ca="1">OFFSET(INDEX([1]Composições!I:R,MATCH([1]Orçamentária!I1168,[1]Composições!I:I,0),8),2,0)</f>
        <v>#REF!</v>
      </c>
      <c r="N1168" t="e">
        <v>#REF!</v>
      </c>
      <c r="Q1168" t="e">
        <v>#REF!</v>
      </c>
    </row>
    <row r="1169" spans="1:17" hidden="1" x14ac:dyDescent="0.25">
      <c r="A1169" s="114" t="s">
        <v>1220</v>
      </c>
      <c r="B1169" s="115" t="s">
        <v>2737</v>
      </c>
      <c r="C1169" s="116" t="s">
        <v>70</v>
      </c>
      <c r="D1169" s="116">
        <v>0</v>
      </c>
      <c r="E1169" s="136">
        <f ca="1">OFFSET(INDEX(Composições!A:J,MATCH(Orçamentária!A1169,Composições!A:A,0),8),2,0)</f>
        <v>15.8343948</v>
      </c>
      <c r="F1169" s="137">
        <f t="shared" ca="1" si="114"/>
        <v>0</v>
      </c>
      <c r="G1169" s="138" t="e">
        <f>IF(A1169&lt;&gt;"",IF(AND(#REF!="Padrão",$H$4=#REF!),BDI!$B$17,IF(AND(#REF!="Padrão",$H$4=#REF!),BDI!#REF!,IF(AND(#REF!="Diferenciado",$H$4=#REF!),BDI!$E$17,IF(AND(#REF!="Diferenciado",$H$4=#REF!),BDI!#REF!,IF(#REF!="ZERO",0))))),"")</f>
        <v>#REF!</v>
      </c>
      <c r="H1169" s="139" t="e">
        <f t="shared" ca="1" si="115"/>
        <v>#REF!</v>
      </c>
      <c r="I1169" s="137" t="e">
        <f t="shared" ca="1" si="116"/>
        <v>#REF!</v>
      </c>
      <c r="J1169" s="117"/>
      <c r="K1169" s="116">
        <v>0</v>
      </c>
      <c r="M1169" s="136" t="e">
        <f ca="1">OFFSET(INDEX([1]Composições!I:R,MATCH([1]Orçamentária!I1169,[1]Composições!I:I,0),8),2,0)</f>
        <v>#REF!</v>
      </c>
      <c r="N1169" t="e">
        <v>#REF!</v>
      </c>
      <c r="Q1169" t="e">
        <v>#REF!</v>
      </c>
    </row>
    <row r="1170" spans="1:17" hidden="1" x14ac:dyDescent="0.25">
      <c r="A1170" s="114" t="s">
        <v>1221</v>
      </c>
      <c r="B1170" s="115" t="s">
        <v>2738</v>
      </c>
      <c r="C1170" s="116" t="s">
        <v>70</v>
      </c>
      <c r="D1170" s="116">
        <v>0</v>
      </c>
      <c r="E1170" s="136">
        <f ca="1">OFFSET(INDEX(Composições!A:J,MATCH(Orçamentária!A1170,Composições!A:A,0),8),2,0)</f>
        <v>55.318669100000001</v>
      </c>
      <c r="F1170" s="137">
        <f t="shared" ca="1" si="114"/>
        <v>0</v>
      </c>
      <c r="G1170" s="138" t="e">
        <f>IF(A1170&lt;&gt;"",IF(AND(#REF!="Padrão",$H$4=#REF!),BDI!$B$17,IF(AND(#REF!="Padrão",$H$4=#REF!),BDI!#REF!,IF(AND(#REF!="Diferenciado",$H$4=#REF!),BDI!$E$17,IF(AND(#REF!="Diferenciado",$H$4=#REF!),BDI!#REF!,IF(#REF!="ZERO",0))))),"")</f>
        <v>#REF!</v>
      </c>
      <c r="H1170" s="139" t="e">
        <f t="shared" ca="1" si="115"/>
        <v>#REF!</v>
      </c>
      <c r="I1170" s="137" t="e">
        <f t="shared" ca="1" si="116"/>
        <v>#REF!</v>
      </c>
      <c r="J1170" s="117"/>
      <c r="K1170" s="116">
        <v>0</v>
      </c>
      <c r="M1170" s="136" t="e">
        <f ca="1">OFFSET(INDEX([1]Composições!I:R,MATCH([1]Orçamentária!I1170,[1]Composições!I:I,0),8),2,0)</f>
        <v>#REF!</v>
      </c>
      <c r="N1170" t="e">
        <v>#REF!</v>
      </c>
      <c r="Q1170" t="e">
        <v>#REF!</v>
      </c>
    </row>
    <row r="1171" spans="1:17" hidden="1" x14ac:dyDescent="0.25">
      <c r="A1171" s="114" t="s">
        <v>1224</v>
      </c>
      <c r="B1171" s="115" t="s">
        <v>2739</v>
      </c>
      <c r="C1171" s="116" t="s">
        <v>70</v>
      </c>
      <c r="D1171" s="116">
        <v>0</v>
      </c>
      <c r="E1171" s="136">
        <f ca="1">OFFSET(INDEX(Composições!A:J,MATCH(Orçamentária!A1171,Composições!A:A,0),8),2,0)</f>
        <v>8.0370000000000008</v>
      </c>
      <c r="F1171" s="137">
        <f t="shared" ca="1" si="114"/>
        <v>0</v>
      </c>
      <c r="G1171" s="138" t="e">
        <f>IF(A1171&lt;&gt;"",IF(AND(#REF!="Padrão",$H$4=#REF!),BDI!$B$17,IF(AND(#REF!="Padrão",$H$4=#REF!),BDI!#REF!,IF(AND(#REF!="Diferenciado",$H$4=#REF!),BDI!$E$17,IF(AND(#REF!="Diferenciado",$H$4=#REF!),BDI!#REF!,IF(#REF!="ZERO",0))))),"")</f>
        <v>#REF!</v>
      </c>
      <c r="H1171" s="139" t="e">
        <f t="shared" ca="1" si="115"/>
        <v>#REF!</v>
      </c>
      <c r="I1171" s="137" t="e">
        <f t="shared" ca="1" si="116"/>
        <v>#REF!</v>
      </c>
      <c r="J1171" s="117"/>
      <c r="K1171" s="116">
        <v>0</v>
      </c>
      <c r="M1171" s="136" t="e">
        <f ca="1">OFFSET(INDEX([1]Composições!I:R,MATCH([1]Orçamentária!I1171,[1]Composições!I:I,0),8),2,0)</f>
        <v>#REF!</v>
      </c>
      <c r="N1171" t="e">
        <v>#REF!</v>
      </c>
      <c r="Q1171" t="e">
        <v>#REF!</v>
      </c>
    </row>
    <row r="1172" spans="1:17" hidden="1" x14ac:dyDescent="0.25">
      <c r="A1172" s="114" t="s">
        <v>1226</v>
      </c>
      <c r="B1172" s="115" t="s">
        <v>2740</v>
      </c>
      <c r="C1172" s="116" t="s">
        <v>70</v>
      </c>
      <c r="D1172" s="116">
        <v>0</v>
      </c>
      <c r="E1172" s="136">
        <f ca="1">OFFSET(INDEX(Composições!A:J,MATCH(Orçamentária!A1172,Composições!A:A,0),8),2,0)</f>
        <v>8.0370000000000008</v>
      </c>
      <c r="F1172" s="137">
        <f t="shared" ca="1" si="114"/>
        <v>0</v>
      </c>
      <c r="G1172" s="138" t="e">
        <f>IF(A1172&lt;&gt;"",IF(AND(#REF!="Padrão",$H$4=#REF!),BDI!$B$17,IF(AND(#REF!="Padrão",$H$4=#REF!),BDI!#REF!,IF(AND(#REF!="Diferenciado",$H$4=#REF!),BDI!$E$17,IF(AND(#REF!="Diferenciado",$H$4=#REF!),BDI!#REF!,IF(#REF!="ZERO",0))))),"")</f>
        <v>#REF!</v>
      </c>
      <c r="H1172" s="139" t="e">
        <f t="shared" ca="1" si="115"/>
        <v>#REF!</v>
      </c>
      <c r="I1172" s="137" t="e">
        <f t="shared" ca="1" si="116"/>
        <v>#REF!</v>
      </c>
      <c r="J1172" s="117"/>
      <c r="K1172" s="116">
        <v>0</v>
      </c>
      <c r="M1172" s="136" t="e">
        <f ca="1">OFFSET(INDEX([1]Composições!I:R,MATCH([1]Orçamentária!I1172,[1]Composições!I:I,0),8),2,0)</f>
        <v>#REF!</v>
      </c>
      <c r="N1172" t="e">
        <v>#REF!</v>
      </c>
      <c r="Q1172" t="e">
        <v>#REF!</v>
      </c>
    </row>
    <row r="1173" spans="1:17" hidden="1" x14ac:dyDescent="0.25">
      <c r="A1173" s="114" t="s">
        <v>1228</v>
      </c>
      <c r="B1173" s="115" t="s">
        <v>2741</v>
      </c>
      <c r="C1173" s="116" t="s">
        <v>80</v>
      </c>
      <c r="D1173" s="116">
        <v>0</v>
      </c>
      <c r="E1173" s="136">
        <f ca="1">OFFSET(INDEX(Composições!A:J,MATCH(Orçamentária!A1173,Composições!A:A,0),8),2,0)</f>
        <v>1308.2471279924</v>
      </c>
      <c r="F1173" s="137">
        <f t="shared" ca="1" si="114"/>
        <v>0</v>
      </c>
      <c r="G1173" s="138" t="e">
        <f>IF(A1173&lt;&gt;"",IF(AND(#REF!="Padrão",$H$4=#REF!),BDI!$B$17,IF(AND(#REF!="Padrão",$H$4=#REF!),BDI!#REF!,IF(AND(#REF!="Diferenciado",$H$4=#REF!),BDI!$E$17,IF(AND(#REF!="Diferenciado",$H$4=#REF!),BDI!#REF!,IF(#REF!="ZERO",0))))),"")</f>
        <v>#REF!</v>
      </c>
      <c r="H1173" s="139" t="e">
        <f t="shared" ca="1" si="115"/>
        <v>#REF!</v>
      </c>
      <c r="I1173" s="137" t="e">
        <f t="shared" ca="1" si="116"/>
        <v>#REF!</v>
      </c>
      <c r="J1173" s="117"/>
      <c r="K1173" s="116">
        <v>0</v>
      </c>
      <c r="M1173" s="136" t="e">
        <f ca="1">OFFSET(INDEX([1]Composições!I:R,MATCH([1]Orçamentária!I1173,[1]Composições!I:I,0),8),2,0)</f>
        <v>#REF!</v>
      </c>
      <c r="N1173" t="e">
        <v>#REF!</v>
      </c>
      <c r="Q1173" t="e">
        <v>#REF!</v>
      </c>
    </row>
    <row r="1174" spans="1:17" hidden="1" x14ac:dyDescent="0.25">
      <c r="A1174" s="114" t="s">
        <v>1231</v>
      </c>
      <c r="B1174" s="115" t="s">
        <v>2742</v>
      </c>
      <c r="C1174" s="116" t="s">
        <v>70</v>
      </c>
      <c r="D1174" s="116">
        <v>0</v>
      </c>
      <c r="E1174" s="136">
        <f ca="1">OFFSET(INDEX(Composições!A:J,MATCH(Orçamentária!A1174,Composições!A:A,0),8),2,0)</f>
        <v>8.2891300000000001</v>
      </c>
      <c r="F1174" s="137">
        <f t="shared" ca="1" si="114"/>
        <v>0</v>
      </c>
      <c r="G1174" s="138" t="e">
        <f>IF(A1174&lt;&gt;"",IF(AND(#REF!="Padrão",$H$4=#REF!),BDI!$B$17,IF(AND(#REF!="Padrão",$H$4=#REF!),BDI!#REF!,IF(AND(#REF!="Diferenciado",$H$4=#REF!),BDI!$E$17,IF(AND(#REF!="Diferenciado",$H$4=#REF!),BDI!#REF!,IF(#REF!="ZERO",0))))),"")</f>
        <v>#REF!</v>
      </c>
      <c r="H1174" s="139" t="e">
        <f t="shared" ca="1" si="115"/>
        <v>#REF!</v>
      </c>
      <c r="I1174" s="137" t="e">
        <f t="shared" ca="1" si="116"/>
        <v>#REF!</v>
      </c>
      <c r="J1174" s="117"/>
      <c r="K1174" s="116">
        <v>0</v>
      </c>
      <c r="M1174" s="136" t="e">
        <f ca="1">OFFSET(INDEX([1]Composições!I:R,MATCH([1]Orçamentária!I1174,[1]Composições!I:I,0),8),2,0)</f>
        <v>#REF!</v>
      </c>
      <c r="N1174" t="e">
        <v>#REF!</v>
      </c>
      <c r="Q1174" t="e">
        <v>#REF!</v>
      </c>
    </row>
    <row r="1175" spans="1:17" hidden="1" x14ac:dyDescent="0.25">
      <c r="A1175" s="114" t="s">
        <v>1236</v>
      </c>
      <c r="B1175" s="115" t="s">
        <v>2743</v>
      </c>
      <c r="C1175" s="116" t="s">
        <v>70</v>
      </c>
      <c r="D1175" s="116">
        <v>0</v>
      </c>
      <c r="E1175" s="136">
        <f ca="1">OFFSET(INDEX(Composições!A:J,MATCH(Orçamentária!A1175,Composições!A:A,0),8),2,0)</f>
        <v>152.15492599999999</v>
      </c>
      <c r="F1175" s="137">
        <f t="shared" ca="1" si="114"/>
        <v>0</v>
      </c>
      <c r="G1175" s="138" t="e">
        <f>IF(A1175&lt;&gt;"",IF(AND(#REF!="Padrão",$H$4=#REF!),BDI!$B$17,IF(AND(#REF!="Padrão",$H$4=#REF!),BDI!#REF!,IF(AND(#REF!="Diferenciado",$H$4=#REF!),BDI!$E$17,IF(AND(#REF!="Diferenciado",$H$4=#REF!),BDI!#REF!,IF(#REF!="ZERO",0))))),"")</f>
        <v>#REF!</v>
      </c>
      <c r="H1175" s="139" t="e">
        <f t="shared" ca="1" si="115"/>
        <v>#REF!</v>
      </c>
      <c r="I1175" s="137" t="e">
        <f t="shared" ca="1" si="116"/>
        <v>#REF!</v>
      </c>
      <c r="J1175" s="117"/>
      <c r="K1175" s="116">
        <v>0</v>
      </c>
      <c r="M1175" s="136" t="e">
        <f ca="1">OFFSET(INDEX([1]Composições!I:R,MATCH([1]Orçamentária!I1175,[1]Composições!I:I,0),8),2,0)</f>
        <v>#REF!</v>
      </c>
      <c r="N1175" t="e">
        <v>#REF!</v>
      </c>
      <c r="Q1175" t="e">
        <v>#REF!</v>
      </c>
    </row>
    <row r="1176" spans="1:17" hidden="1" x14ac:dyDescent="0.25">
      <c r="A1176" s="114" t="s">
        <v>1238</v>
      </c>
      <c r="B1176" s="115" t="s">
        <v>2744</v>
      </c>
      <c r="C1176" s="116" t="s">
        <v>70</v>
      </c>
      <c r="D1176" s="116">
        <v>0</v>
      </c>
      <c r="E1176" s="136">
        <f ca="1">OFFSET(INDEX(Composições!A:J,MATCH(Orçamentária!A1176,Composições!A:A,0),8),2,0)</f>
        <v>105.91588</v>
      </c>
      <c r="F1176" s="137">
        <f t="shared" ca="1" si="114"/>
        <v>0</v>
      </c>
      <c r="G1176" s="138" t="e">
        <f>IF(A1176&lt;&gt;"",IF(AND(#REF!="Padrão",$H$4=#REF!),BDI!$B$17,IF(AND(#REF!="Padrão",$H$4=#REF!),BDI!#REF!,IF(AND(#REF!="Diferenciado",$H$4=#REF!),BDI!$E$17,IF(AND(#REF!="Diferenciado",$H$4=#REF!),BDI!#REF!,IF(#REF!="ZERO",0))))),"")</f>
        <v>#REF!</v>
      </c>
      <c r="H1176" s="139" t="e">
        <f t="shared" ca="1" si="115"/>
        <v>#REF!</v>
      </c>
      <c r="I1176" s="137" t="e">
        <f t="shared" ca="1" si="116"/>
        <v>#REF!</v>
      </c>
      <c r="J1176" s="117"/>
      <c r="K1176" s="116">
        <v>0</v>
      </c>
      <c r="M1176" s="136" t="e">
        <f ca="1">OFFSET(INDEX([1]Composições!I:R,MATCH([1]Orçamentária!I1176,[1]Composições!I:I,0),8),2,0)</f>
        <v>#REF!</v>
      </c>
      <c r="N1176" t="e">
        <v>#REF!</v>
      </c>
      <c r="Q1176" t="e">
        <v>#REF!</v>
      </c>
    </row>
    <row r="1177" spans="1:17" hidden="1" x14ac:dyDescent="0.25">
      <c r="A1177" s="114" t="s">
        <v>1241</v>
      </c>
      <c r="B1177" s="115" t="s">
        <v>2745</v>
      </c>
      <c r="C1177" s="116" t="s">
        <v>70</v>
      </c>
      <c r="D1177" s="116">
        <v>0</v>
      </c>
      <c r="E1177" s="136">
        <f ca="1">OFFSET(INDEX(Composições!A:J,MATCH(Orçamentária!A1177,Composições!A:A,0),8),2,0)</f>
        <v>43.158879999999996</v>
      </c>
      <c r="F1177" s="137">
        <f t="shared" ca="1" si="114"/>
        <v>0</v>
      </c>
      <c r="G1177" s="138" t="e">
        <f>IF(A1177&lt;&gt;"",IF(AND(#REF!="Padrão",$H$4=#REF!),BDI!$B$17,IF(AND(#REF!="Padrão",$H$4=#REF!),BDI!#REF!,IF(AND(#REF!="Diferenciado",$H$4=#REF!),BDI!$E$17,IF(AND(#REF!="Diferenciado",$H$4=#REF!),BDI!#REF!,IF(#REF!="ZERO",0))))),"")</f>
        <v>#REF!</v>
      </c>
      <c r="H1177" s="139" t="e">
        <f t="shared" ca="1" si="115"/>
        <v>#REF!</v>
      </c>
      <c r="I1177" s="137" t="e">
        <f t="shared" ca="1" si="116"/>
        <v>#REF!</v>
      </c>
      <c r="J1177" s="117"/>
      <c r="K1177" s="116">
        <v>0</v>
      </c>
      <c r="M1177" s="136" t="e">
        <f ca="1">OFFSET(INDEX([1]Composições!I:R,MATCH([1]Orçamentária!I1177,[1]Composições!I:I,0),8),2,0)</f>
        <v>#REF!</v>
      </c>
      <c r="N1177" t="e">
        <v>#REF!</v>
      </c>
      <c r="Q1177" t="e">
        <v>#REF!</v>
      </c>
    </row>
    <row r="1178" spans="1:17" hidden="1" x14ac:dyDescent="0.25">
      <c r="A1178" s="114" t="s">
        <v>1243</v>
      </c>
      <c r="B1178" s="115" t="s">
        <v>2746</v>
      </c>
      <c r="C1178" s="116" t="s">
        <v>70</v>
      </c>
      <c r="D1178" s="116">
        <v>0</v>
      </c>
      <c r="E1178" s="136">
        <f ca="1">OFFSET(INDEX(Composições!A:J,MATCH(Orçamentária!A1178,Composições!A:A,0),8),2,0)</f>
        <v>24.239249999999998</v>
      </c>
      <c r="F1178" s="137">
        <f t="shared" ca="1" si="114"/>
        <v>0</v>
      </c>
      <c r="G1178" s="138" t="e">
        <f>IF(A1178&lt;&gt;"",IF(AND(#REF!="Padrão",$H$4=#REF!),BDI!$B$17,IF(AND(#REF!="Padrão",$H$4=#REF!),BDI!#REF!,IF(AND(#REF!="Diferenciado",$H$4=#REF!),BDI!$E$17,IF(AND(#REF!="Diferenciado",$H$4=#REF!),BDI!#REF!,IF(#REF!="ZERO",0))))),"")</f>
        <v>#REF!</v>
      </c>
      <c r="H1178" s="139" t="e">
        <f t="shared" ca="1" si="115"/>
        <v>#REF!</v>
      </c>
      <c r="I1178" s="137" t="e">
        <f t="shared" ca="1" si="116"/>
        <v>#REF!</v>
      </c>
      <c r="J1178" s="117"/>
      <c r="K1178" s="116">
        <v>0</v>
      </c>
      <c r="M1178" s="136" t="e">
        <f ca="1">OFFSET(INDEX([1]Composições!I:R,MATCH([1]Orçamentária!I1178,[1]Composições!I:I,0),8),2,0)</f>
        <v>#REF!</v>
      </c>
      <c r="N1178" t="e">
        <v>#REF!</v>
      </c>
      <c r="Q1178" t="e">
        <v>#REF!</v>
      </c>
    </row>
    <row r="1179" spans="1:17" hidden="1" x14ac:dyDescent="0.25">
      <c r="A1179" s="114" t="s">
        <v>1249</v>
      </c>
      <c r="B1179" s="115" t="s">
        <v>2747</v>
      </c>
      <c r="C1179" s="116" t="s">
        <v>70</v>
      </c>
      <c r="D1179" s="116">
        <v>0</v>
      </c>
      <c r="E1179" s="136">
        <f ca="1">OFFSET(INDEX(Composições!A:J,MATCH(Orçamentária!A1179,Composições!A:A,0),8),2,0)</f>
        <v>50.067374999999998</v>
      </c>
      <c r="F1179" s="137">
        <f t="shared" ca="1" si="114"/>
        <v>0</v>
      </c>
      <c r="G1179" s="138" t="e">
        <f>IF(A1179&lt;&gt;"",IF(AND(#REF!="Padrão",$H$4=#REF!),BDI!$B$17,IF(AND(#REF!="Padrão",$H$4=#REF!),BDI!#REF!,IF(AND(#REF!="Diferenciado",$H$4=#REF!),BDI!$E$17,IF(AND(#REF!="Diferenciado",$H$4=#REF!),BDI!#REF!,IF(#REF!="ZERO",0))))),"")</f>
        <v>#REF!</v>
      </c>
      <c r="H1179" s="139" t="e">
        <f t="shared" ca="1" si="115"/>
        <v>#REF!</v>
      </c>
      <c r="I1179" s="137" t="e">
        <f t="shared" ca="1" si="116"/>
        <v>#REF!</v>
      </c>
      <c r="J1179" s="117"/>
      <c r="K1179" s="116">
        <v>0</v>
      </c>
      <c r="M1179" s="136" t="e">
        <f ca="1">OFFSET(INDEX([1]Composições!I:R,MATCH([1]Orçamentária!I1179,[1]Composições!I:I,0),8),2,0)</f>
        <v>#REF!</v>
      </c>
      <c r="N1179" t="e">
        <v>#REF!</v>
      </c>
      <c r="Q1179" t="e">
        <v>#REF!</v>
      </c>
    </row>
    <row r="1180" spans="1:17" hidden="1" x14ac:dyDescent="0.25">
      <c r="A1180" s="114" t="s">
        <v>1251</v>
      </c>
      <c r="B1180" s="115" t="s">
        <v>2748</v>
      </c>
      <c r="C1180" s="116" t="s">
        <v>70</v>
      </c>
      <c r="D1180" s="116">
        <v>0</v>
      </c>
      <c r="E1180" s="136">
        <f ca="1">OFFSET(INDEX(Composições!A:J,MATCH(Orçamentária!A1180,Composições!A:A,0),8),2,0)</f>
        <v>5.4321000000000002</v>
      </c>
      <c r="F1180" s="137">
        <f t="shared" ca="1" si="114"/>
        <v>0</v>
      </c>
      <c r="G1180" s="138" t="e">
        <f>IF(A1180&lt;&gt;"",IF(AND(#REF!="Padrão",$H$4=#REF!),BDI!$B$17,IF(AND(#REF!="Padrão",$H$4=#REF!),BDI!#REF!,IF(AND(#REF!="Diferenciado",$H$4=#REF!),BDI!$E$17,IF(AND(#REF!="Diferenciado",$H$4=#REF!),BDI!#REF!,IF(#REF!="ZERO",0))))),"")</f>
        <v>#REF!</v>
      </c>
      <c r="H1180" s="139" t="e">
        <f t="shared" ca="1" si="115"/>
        <v>#REF!</v>
      </c>
      <c r="I1180" s="137" t="e">
        <f t="shared" ca="1" si="116"/>
        <v>#REF!</v>
      </c>
      <c r="J1180" s="117"/>
      <c r="K1180" s="116">
        <v>0</v>
      </c>
      <c r="M1180" s="136" t="e">
        <f ca="1">OFFSET(INDEX([1]Composições!I:R,MATCH([1]Orçamentária!I1180,[1]Composições!I:I,0),8),2,0)</f>
        <v>#REF!</v>
      </c>
      <c r="N1180" t="e">
        <v>#REF!</v>
      </c>
      <c r="Q1180" t="e">
        <v>#REF!</v>
      </c>
    </row>
    <row r="1181" spans="1:17" hidden="1" x14ac:dyDescent="0.25">
      <c r="A1181" s="114" t="s">
        <v>1255</v>
      </c>
      <c r="B1181" s="115" t="s">
        <v>2749</v>
      </c>
      <c r="C1181" s="116" t="s">
        <v>70</v>
      </c>
      <c r="D1181" s="116">
        <v>0</v>
      </c>
      <c r="E1181" s="136">
        <f ca="1">OFFSET(INDEX(Composições!A:J,MATCH(Orçamentária!A1181,Composições!A:A,0),8),2,0)</f>
        <v>172.39086649999999</v>
      </c>
      <c r="F1181" s="137">
        <f t="shared" ca="1" si="114"/>
        <v>0</v>
      </c>
      <c r="G1181" s="138" t="e">
        <f>IF(A1181&lt;&gt;"",IF(AND(#REF!="Padrão",$H$4=#REF!),BDI!$B$17,IF(AND(#REF!="Padrão",$H$4=#REF!),BDI!#REF!,IF(AND(#REF!="Diferenciado",$H$4=#REF!),BDI!$E$17,IF(AND(#REF!="Diferenciado",$H$4=#REF!),BDI!#REF!,IF(#REF!="ZERO",0))))),"")</f>
        <v>#REF!</v>
      </c>
      <c r="H1181" s="139" t="e">
        <f t="shared" ca="1" si="115"/>
        <v>#REF!</v>
      </c>
      <c r="I1181" s="137" t="e">
        <f t="shared" ca="1" si="116"/>
        <v>#REF!</v>
      </c>
      <c r="J1181" s="117"/>
      <c r="K1181" s="116">
        <v>0</v>
      </c>
      <c r="M1181" s="136" t="e">
        <f ca="1">OFFSET(INDEX([1]Composições!I:R,MATCH([1]Orçamentária!I1181,[1]Composições!I:I,0),8),2,0)</f>
        <v>#REF!</v>
      </c>
      <c r="N1181" t="e">
        <v>#REF!</v>
      </c>
      <c r="Q1181" t="e">
        <v>#REF!</v>
      </c>
    </row>
    <row r="1182" spans="1:17" hidden="1" x14ac:dyDescent="0.25">
      <c r="A1182" s="114" t="s">
        <v>1257</v>
      </c>
      <c r="B1182" s="115" t="s">
        <v>2750</v>
      </c>
      <c r="C1182" s="116" t="s">
        <v>70</v>
      </c>
      <c r="D1182" s="116">
        <v>0</v>
      </c>
      <c r="E1182" s="136">
        <f ca="1">OFFSET(INDEX(Composições!A:J,MATCH(Orçamentária!A1182,Composições!A:A,0),8),2,0)</f>
        <v>174.4443105</v>
      </c>
      <c r="F1182" s="137">
        <f t="shared" ca="1" si="114"/>
        <v>0</v>
      </c>
      <c r="G1182" s="138" t="e">
        <f>IF(A1182&lt;&gt;"",IF(AND(#REF!="Padrão",$H$4=#REF!),BDI!$B$17,IF(AND(#REF!="Padrão",$H$4=#REF!),BDI!#REF!,IF(AND(#REF!="Diferenciado",$H$4=#REF!),BDI!$E$17,IF(AND(#REF!="Diferenciado",$H$4=#REF!),BDI!#REF!,IF(#REF!="ZERO",0))))),"")</f>
        <v>#REF!</v>
      </c>
      <c r="H1182" s="139" t="e">
        <f t="shared" ca="1" si="115"/>
        <v>#REF!</v>
      </c>
      <c r="I1182" s="137" t="e">
        <f t="shared" ca="1" si="116"/>
        <v>#REF!</v>
      </c>
      <c r="J1182" s="117"/>
      <c r="K1182" s="116">
        <v>0</v>
      </c>
      <c r="M1182" s="136" t="e">
        <f ca="1">OFFSET(INDEX([1]Composições!I:R,MATCH([1]Orçamentária!I1182,[1]Composições!I:I,0),8),2,0)</f>
        <v>#REF!</v>
      </c>
      <c r="N1182" t="e">
        <v>#REF!</v>
      </c>
      <c r="Q1182" t="e">
        <v>#REF!</v>
      </c>
    </row>
    <row r="1183" spans="1:17" hidden="1" x14ac:dyDescent="0.25">
      <c r="A1183" s="114" t="s">
        <v>2751</v>
      </c>
      <c r="B1183" s="115" t="s">
        <v>2752</v>
      </c>
      <c r="C1183" s="116" t="s">
        <v>28</v>
      </c>
      <c r="D1183" s="116">
        <v>0</v>
      </c>
      <c r="E1183" s="136">
        <f ca="1">OFFSET(INDEX(Composições!A:J,MATCH(Orçamentária!A1183,Composições!A:A,0),8),2,0)</f>
        <v>0</v>
      </c>
      <c r="F1183" s="137">
        <f t="shared" ca="1" si="114"/>
        <v>0</v>
      </c>
      <c r="G1183" s="138" t="e">
        <f>IF(A1183&lt;&gt;"",IF(AND(#REF!="Padrão",$H$4=#REF!),BDI!$B$17,IF(AND(#REF!="Padrão",$H$4=#REF!),BDI!#REF!,IF(AND(#REF!="Diferenciado",$H$4=#REF!),BDI!$E$17,IF(AND(#REF!="Diferenciado",$H$4=#REF!),BDI!#REF!,IF(#REF!="ZERO",0))))),"")</f>
        <v>#REF!</v>
      </c>
      <c r="H1183" s="139" t="e">
        <f t="shared" ca="1" si="115"/>
        <v>#REF!</v>
      </c>
      <c r="I1183" s="137" t="e">
        <f t="shared" ca="1" si="116"/>
        <v>#REF!</v>
      </c>
      <c r="J1183" s="117"/>
      <c r="K1183" s="116">
        <v>0</v>
      </c>
      <c r="M1183" s="136" t="e">
        <f ca="1">OFFSET(INDEX([1]Composições!I:R,MATCH([1]Orçamentária!I1183,[1]Composições!I:I,0),8),2,0)</f>
        <v>#REF!</v>
      </c>
      <c r="N1183" t="e">
        <v>#REF!</v>
      </c>
      <c r="Q1183" t="e">
        <v>#REF!</v>
      </c>
    </row>
    <row r="1184" spans="1:17" hidden="1" x14ac:dyDescent="0.25">
      <c r="A1184" s="114" t="s">
        <v>1258</v>
      </c>
      <c r="B1184" s="115" t="s">
        <v>2753</v>
      </c>
      <c r="C1184" s="116" t="s">
        <v>28</v>
      </c>
      <c r="D1184" s="116">
        <v>0</v>
      </c>
      <c r="E1184" s="136">
        <f ca="1">OFFSET(INDEX(Composições!A:J,MATCH(Orçamentária!A1184,Composições!A:A,0),8),2,0)</f>
        <v>8.2516999999999996</v>
      </c>
      <c r="F1184" s="137">
        <f t="shared" ca="1" si="114"/>
        <v>0</v>
      </c>
      <c r="G1184" s="138" t="e">
        <f>IF(A1184&lt;&gt;"",IF(AND(#REF!="Padrão",$H$4=#REF!),BDI!$B$17,IF(AND(#REF!="Padrão",$H$4=#REF!),BDI!#REF!,IF(AND(#REF!="Diferenciado",$H$4=#REF!),BDI!$E$17,IF(AND(#REF!="Diferenciado",$H$4=#REF!),BDI!#REF!,IF(#REF!="ZERO",0))))),"")</f>
        <v>#REF!</v>
      </c>
      <c r="H1184" s="139" t="e">
        <f t="shared" ca="1" si="115"/>
        <v>#REF!</v>
      </c>
      <c r="I1184" s="137" t="e">
        <f t="shared" ca="1" si="116"/>
        <v>#REF!</v>
      </c>
      <c r="J1184" s="117"/>
      <c r="K1184" s="116">
        <v>0</v>
      </c>
      <c r="M1184" s="136" t="e">
        <f ca="1">OFFSET(INDEX([1]Composições!I:R,MATCH([1]Orçamentária!I1184,[1]Composições!I:I,0),8),2,0)</f>
        <v>#REF!</v>
      </c>
      <c r="N1184" t="e">
        <v>#REF!</v>
      </c>
      <c r="Q1184" t="e">
        <v>#REF!</v>
      </c>
    </row>
    <row r="1185" spans="1:17" hidden="1" x14ac:dyDescent="0.25">
      <c r="A1185" s="114" t="s">
        <v>1261</v>
      </c>
      <c r="B1185" s="115" t="s">
        <v>2754</v>
      </c>
      <c r="C1185" s="116" t="s">
        <v>80</v>
      </c>
      <c r="D1185" s="116">
        <v>0</v>
      </c>
      <c r="E1185" s="136">
        <f ca="1">OFFSET(INDEX(Composições!A:J,MATCH(Orçamentária!A1185,Composições!A:A,0),8),2,0)</f>
        <v>238.46265779999999</v>
      </c>
      <c r="F1185" s="137">
        <f t="shared" ca="1" si="114"/>
        <v>0</v>
      </c>
      <c r="G1185" s="138" t="e">
        <f>IF(A1185&lt;&gt;"",IF(AND(#REF!="Padrão",$H$4=#REF!),BDI!$B$17,IF(AND(#REF!="Padrão",$H$4=#REF!),BDI!#REF!,IF(AND(#REF!="Diferenciado",$H$4=#REF!),BDI!$E$17,IF(AND(#REF!="Diferenciado",$H$4=#REF!),BDI!#REF!,IF(#REF!="ZERO",0))))),"")</f>
        <v>#REF!</v>
      </c>
      <c r="H1185" s="139" t="e">
        <f t="shared" ca="1" si="115"/>
        <v>#REF!</v>
      </c>
      <c r="I1185" s="137" t="e">
        <f t="shared" ca="1" si="116"/>
        <v>#REF!</v>
      </c>
      <c r="J1185" s="117"/>
      <c r="K1185" s="116">
        <v>0</v>
      </c>
      <c r="M1185" s="136" t="e">
        <f ca="1">OFFSET(INDEX([1]Composições!I:R,MATCH([1]Orçamentária!I1185,[1]Composições!I:I,0),8),2,0)</f>
        <v>#REF!</v>
      </c>
      <c r="N1185" t="e">
        <v>#REF!</v>
      </c>
      <c r="Q1185" t="e">
        <v>#REF!</v>
      </c>
    </row>
    <row r="1186" spans="1:17" hidden="1" x14ac:dyDescent="0.25">
      <c r="A1186" s="114" t="s">
        <v>2755</v>
      </c>
      <c r="B1186" s="115" t="s">
        <v>2756</v>
      </c>
      <c r="C1186" s="116" t="s">
        <v>16</v>
      </c>
      <c r="D1186" s="116">
        <v>0</v>
      </c>
      <c r="E1186" s="136" t="s">
        <v>416</v>
      </c>
      <c r="F1186" s="137" t="str">
        <f t="shared" si="114"/>
        <v/>
      </c>
      <c r="G1186" s="138" t="e">
        <f>IF(A1186&lt;&gt;"",IF(AND(#REF!="Padrão",$H$4=#REF!),BDI!$B$17,IF(AND(#REF!="Padrão",$H$4=#REF!),BDI!#REF!,IF(AND(#REF!="Diferenciado",$H$4=#REF!),BDI!$E$17,IF(AND(#REF!="Diferenciado",$H$4=#REF!),BDI!#REF!,IF(#REF!="ZERO",0))))),"")</f>
        <v>#REF!</v>
      </c>
      <c r="H1186" s="139" t="str">
        <f t="shared" si="115"/>
        <v/>
      </c>
      <c r="I1186" s="137" t="str">
        <f t="shared" si="116"/>
        <v/>
      </c>
      <c r="J1186" s="117"/>
      <c r="K1186" s="116">
        <v>0</v>
      </c>
      <c r="M1186" s="136" t="s">
        <v>416</v>
      </c>
      <c r="N1186" t="e">
        <v>#REF!</v>
      </c>
      <c r="Q1186" t="s">
        <v>416</v>
      </c>
    </row>
    <row r="1187" spans="1:17" hidden="1" x14ac:dyDescent="0.25">
      <c r="A1187" s="114" t="s">
        <v>2757</v>
      </c>
      <c r="B1187" s="115" t="s">
        <v>2758</v>
      </c>
      <c r="C1187" s="116" t="s">
        <v>16</v>
      </c>
      <c r="D1187" s="116">
        <v>0</v>
      </c>
      <c r="E1187" s="136" t="s">
        <v>416</v>
      </c>
      <c r="F1187" s="137" t="str">
        <f t="shared" si="114"/>
        <v/>
      </c>
      <c r="G1187" s="138" t="e">
        <f>IF(A1187&lt;&gt;"",IF(AND(#REF!="Padrão",$H$4=#REF!),BDI!$B$17,IF(AND(#REF!="Padrão",$H$4=#REF!),BDI!#REF!,IF(AND(#REF!="Diferenciado",$H$4=#REF!),BDI!$E$17,IF(AND(#REF!="Diferenciado",$H$4=#REF!),BDI!#REF!,IF(#REF!="ZERO",0))))),"")</f>
        <v>#REF!</v>
      </c>
      <c r="H1187" s="139" t="str">
        <f t="shared" si="115"/>
        <v/>
      </c>
      <c r="I1187" s="137" t="str">
        <f t="shared" si="116"/>
        <v/>
      </c>
      <c r="J1187" s="117"/>
      <c r="K1187" s="116">
        <v>0</v>
      </c>
      <c r="M1187" s="136" t="s">
        <v>416</v>
      </c>
      <c r="N1187" t="e">
        <v>#REF!</v>
      </c>
      <c r="Q1187" t="s">
        <v>416</v>
      </c>
    </row>
    <row r="1188" spans="1:17" hidden="1" x14ac:dyDescent="0.25">
      <c r="A1188" s="114" t="s">
        <v>2759</v>
      </c>
      <c r="B1188" s="115" t="s">
        <v>2760</v>
      </c>
      <c r="C1188" s="116" t="s">
        <v>16</v>
      </c>
      <c r="D1188" s="116">
        <v>0</v>
      </c>
      <c r="E1188" s="136" t="s">
        <v>416</v>
      </c>
      <c r="F1188" s="137" t="str">
        <f t="shared" si="114"/>
        <v/>
      </c>
      <c r="G1188" s="138" t="e">
        <f>IF(A1188&lt;&gt;"",IF(AND(#REF!="Padrão",$H$4=#REF!),BDI!$B$17,IF(AND(#REF!="Padrão",$H$4=#REF!),BDI!#REF!,IF(AND(#REF!="Diferenciado",$H$4=#REF!),BDI!$E$17,IF(AND(#REF!="Diferenciado",$H$4=#REF!),BDI!#REF!,IF(#REF!="ZERO",0))))),"")</f>
        <v>#REF!</v>
      </c>
      <c r="H1188" s="139" t="str">
        <f t="shared" si="115"/>
        <v/>
      </c>
      <c r="I1188" s="137" t="str">
        <f t="shared" si="116"/>
        <v/>
      </c>
      <c r="J1188" s="117"/>
      <c r="K1188" s="116">
        <v>0</v>
      </c>
      <c r="M1188" s="136" t="s">
        <v>416</v>
      </c>
      <c r="N1188" t="e">
        <v>#REF!</v>
      </c>
      <c r="Q1188" t="s">
        <v>416</v>
      </c>
    </row>
    <row r="1189" spans="1:17" hidden="1" x14ac:dyDescent="0.25">
      <c r="A1189" s="114" t="s">
        <v>2761</v>
      </c>
      <c r="B1189" s="115" t="s">
        <v>2762</v>
      </c>
      <c r="C1189" s="116" t="s">
        <v>69</v>
      </c>
      <c r="D1189" s="116">
        <v>0</v>
      </c>
      <c r="E1189" s="136">
        <f ca="1">OFFSET(INDEX(Composições!A:J,MATCH(Orçamentária!A1189,Composições!A:A,0),8),2,0)</f>
        <v>73.482500000000002</v>
      </c>
      <c r="F1189" s="137">
        <f t="shared" ca="1" si="114"/>
        <v>0</v>
      </c>
      <c r="G1189" s="138" t="e">
        <f>IF(A1189&lt;&gt;"",IF(AND(#REF!="Padrão",$H$4=#REF!),BDI!$B$17,IF(AND(#REF!="Padrão",$H$4=#REF!),BDI!#REF!,IF(AND(#REF!="Diferenciado",$H$4=#REF!),BDI!$E$17,IF(AND(#REF!="Diferenciado",$H$4=#REF!),BDI!#REF!,IF(#REF!="ZERO",0))))),"")</f>
        <v>#REF!</v>
      </c>
      <c r="H1189" s="139" t="e">
        <f t="shared" ca="1" si="115"/>
        <v>#REF!</v>
      </c>
      <c r="I1189" s="137" t="e">
        <f t="shared" ca="1" si="116"/>
        <v>#REF!</v>
      </c>
      <c r="J1189" s="117"/>
      <c r="K1189" s="116">
        <v>0</v>
      </c>
      <c r="M1189" s="136" t="e">
        <f ca="1">OFFSET(INDEX([1]Composições!I:R,MATCH([1]Orçamentária!I1189,[1]Composições!I:I,0),8),2,0)</f>
        <v>#REF!</v>
      </c>
      <c r="N1189" t="e">
        <v>#REF!</v>
      </c>
      <c r="Q1189" t="e">
        <v>#REF!</v>
      </c>
    </row>
    <row r="1190" spans="1:17" hidden="1" x14ac:dyDescent="0.25">
      <c r="A1190" s="114" t="s">
        <v>2763</v>
      </c>
      <c r="B1190" s="115" t="s">
        <v>2764</v>
      </c>
      <c r="C1190" s="116" t="s">
        <v>69</v>
      </c>
      <c r="D1190" s="116">
        <v>0</v>
      </c>
      <c r="E1190" s="136">
        <f ca="1">OFFSET(INDEX(Composições!A:J,MATCH(Orçamentária!A1190,Composições!A:A,0),8),2,0)</f>
        <v>121.63800000000001</v>
      </c>
      <c r="F1190" s="137">
        <f t="shared" ca="1" si="114"/>
        <v>0</v>
      </c>
      <c r="G1190" s="138" t="e">
        <f>IF(A1190&lt;&gt;"",IF(AND(#REF!="Padrão",$H$4=#REF!),BDI!$B$17,IF(AND(#REF!="Padrão",$H$4=#REF!),BDI!#REF!,IF(AND(#REF!="Diferenciado",$H$4=#REF!),BDI!$E$17,IF(AND(#REF!="Diferenciado",$H$4=#REF!),BDI!#REF!,IF(#REF!="ZERO",0))))),"")</f>
        <v>#REF!</v>
      </c>
      <c r="H1190" s="139" t="e">
        <f t="shared" ca="1" si="115"/>
        <v>#REF!</v>
      </c>
      <c r="I1190" s="137" t="e">
        <f t="shared" ca="1" si="116"/>
        <v>#REF!</v>
      </c>
      <c r="J1190" s="117"/>
      <c r="K1190" s="116">
        <v>0</v>
      </c>
      <c r="M1190" s="136" t="e">
        <f ca="1">OFFSET(INDEX([1]Composições!I:R,MATCH([1]Orçamentária!I1190,[1]Composições!I:I,0),8),2,0)</f>
        <v>#REF!</v>
      </c>
      <c r="N1190" t="e">
        <v>#REF!</v>
      </c>
      <c r="Q1190" t="e">
        <v>#REF!</v>
      </c>
    </row>
    <row r="1191" spans="1:17" hidden="1" x14ac:dyDescent="0.25">
      <c r="A1191" s="114" t="s">
        <v>2765</v>
      </c>
      <c r="B1191" s="115" t="s">
        <v>2766</v>
      </c>
      <c r="C1191" s="116" t="s">
        <v>16</v>
      </c>
      <c r="D1191" s="116">
        <v>0</v>
      </c>
      <c r="E1191" s="136" t="s">
        <v>416</v>
      </c>
      <c r="F1191" s="137" t="str">
        <f t="shared" si="114"/>
        <v/>
      </c>
      <c r="G1191" s="138" t="e">
        <f>IF(A1191&lt;&gt;"",IF(AND(#REF!="Padrão",$H$4=#REF!),BDI!$B$17,IF(AND(#REF!="Padrão",$H$4=#REF!),BDI!#REF!,IF(AND(#REF!="Diferenciado",$H$4=#REF!),BDI!$E$17,IF(AND(#REF!="Diferenciado",$H$4=#REF!),BDI!#REF!,IF(#REF!="ZERO",0))))),"")</f>
        <v>#REF!</v>
      </c>
      <c r="H1191" s="139" t="str">
        <f t="shared" si="115"/>
        <v/>
      </c>
      <c r="I1191" s="137" t="str">
        <f t="shared" si="116"/>
        <v/>
      </c>
      <c r="J1191" s="117"/>
      <c r="K1191" s="116">
        <v>0</v>
      </c>
      <c r="M1191" s="136" t="s">
        <v>416</v>
      </c>
      <c r="N1191" t="e">
        <v>#REF!</v>
      </c>
      <c r="Q1191" t="s">
        <v>416</v>
      </c>
    </row>
    <row r="1192" spans="1:17" hidden="1" x14ac:dyDescent="0.25">
      <c r="A1192" s="114" t="s">
        <v>2767</v>
      </c>
      <c r="B1192" s="115" t="s">
        <v>2768</v>
      </c>
      <c r="C1192" s="116" t="s">
        <v>16</v>
      </c>
      <c r="D1192" s="116">
        <v>0</v>
      </c>
      <c r="E1192" s="136" t="s">
        <v>416</v>
      </c>
      <c r="F1192" s="137" t="str">
        <f t="shared" si="114"/>
        <v/>
      </c>
      <c r="G1192" s="138" t="e">
        <f>IF(A1192&lt;&gt;"",IF(AND(#REF!="Padrão",$H$4=#REF!),BDI!$B$17,IF(AND(#REF!="Padrão",$H$4=#REF!),BDI!#REF!,IF(AND(#REF!="Diferenciado",$H$4=#REF!),BDI!$E$17,IF(AND(#REF!="Diferenciado",$H$4=#REF!),BDI!#REF!,IF(#REF!="ZERO",0))))),"")</f>
        <v>#REF!</v>
      </c>
      <c r="H1192" s="139" t="str">
        <f t="shared" si="115"/>
        <v/>
      </c>
      <c r="I1192" s="137" t="str">
        <f t="shared" si="116"/>
        <v/>
      </c>
      <c r="J1192" s="117"/>
      <c r="K1192" s="116">
        <v>0</v>
      </c>
      <c r="M1192" s="136" t="s">
        <v>416</v>
      </c>
      <c r="N1192" t="e">
        <v>#REF!</v>
      </c>
      <c r="Q1192" t="s">
        <v>416</v>
      </c>
    </row>
    <row r="1193" spans="1:17" hidden="1" x14ac:dyDescent="0.25">
      <c r="A1193" s="114" t="s">
        <v>2769</v>
      </c>
      <c r="B1193" s="115" t="s">
        <v>2770</v>
      </c>
      <c r="C1193" s="116" t="s">
        <v>16</v>
      </c>
      <c r="D1193" s="116">
        <v>0</v>
      </c>
      <c r="E1193" s="136" t="s">
        <v>416</v>
      </c>
      <c r="F1193" s="137" t="str">
        <f t="shared" si="114"/>
        <v/>
      </c>
      <c r="G1193" s="138" t="e">
        <f>IF(A1193&lt;&gt;"",IF(AND(#REF!="Padrão",$H$4=#REF!),BDI!$B$17,IF(AND(#REF!="Padrão",$H$4=#REF!),BDI!#REF!,IF(AND(#REF!="Diferenciado",$H$4=#REF!),BDI!$E$17,IF(AND(#REF!="Diferenciado",$H$4=#REF!),BDI!#REF!,IF(#REF!="ZERO",0))))),"")</f>
        <v>#REF!</v>
      </c>
      <c r="H1193" s="139" t="str">
        <f t="shared" si="115"/>
        <v/>
      </c>
      <c r="I1193" s="137" t="str">
        <f t="shared" si="116"/>
        <v/>
      </c>
      <c r="J1193" s="117"/>
      <c r="K1193" s="116">
        <v>0</v>
      </c>
      <c r="M1193" s="136" t="s">
        <v>416</v>
      </c>
      <c r="N1193" t="e">
        <v>#REF!</v>
      </c>
      <c r="Q1193" t="s">
        <v>416</v>
      </c>
    </row>
    <row r="1194" spans="1:17" hidden="1" x14ac:dyDescent="0.25">
      <c r="A1194" s="114" t="s">
        <v>2771</v>
      </c>
      <c r="B1194" s="115" t="s">
        <v>2772</v>
      </c>
      <c r="C1194" s="116" t="s">
        <v>16</v>
      </c>
      <c r="D1194" s="116">
        <v>0</v>
      </c>
      <c r="E1194" s="136" t="s">
        <v>416</v>
      </c>
      <c r="F1194" s="137" t="str">
        <f t="shared" si="114"/>
        <v/>
      </c>
      <c r="G1194" s="138" t="e">
        <f>IF(A1194&lt;&gt;"",IF(AND(#REF!="Padrão",$H$4=#REF!),BDI!$B$17,IF(AND(#REF!="Padrão",$H$4=#REF!),BDI!#REF!,IF(AND(#REF!="Diferenciado",$H$4=#REF!),BDI!$E$17,IF(AND(#REF!="Diferenciado",$H$4=#REF!),BDI!#REF!,IF(#REF!="ZERO",0))))),"")</f>
        <v>#REF!</v>
      </c>
      <c r="H1194" s="139" t="str">
        <f t="shared" si="115"/>
        <v/>
      </c>
      <c r="I1194" s="137" t="str">
        <f t="shared" si="116"/>
        <v/>
      </c>
      <c r="J1194" s="117"/>
      <c r="K1194" s="116">
        <v>0</v>
      </c>
      <c r="M1194" s="136" t="s">
        <v>416</v>
      </c>
      <c r="N1194" t="e">
        <v>#REF!</v>
      </c>
      <c r="Q1194" t="s">
        <v>416</v>
      </c>
    </row>
    <row r="1195" spans="1:17" hidden="1" x14ac:dyDescent="0.25">
      <c r="A1195" s="114" t="s">
        <v>2773</v>
      </c>
      <c r="B1195" s="115" t="s">
        <v>2774</v>
      </c>
      <c r="C1195" s="116" t="s">
        <v>16</v>
      </c>
      <c r="D1195" s="116">
        <v>0</v>
      </c>
      <c r="E1195" s="136" t="s">
        <v>416</v>
      </c>
      <c r="F1195" s="137" t="str">
        <f t="shared" si="114"/>
        <v/>
      </c>
      <c r="G1195" s="138" t="e">
        <f>IF(A1195&lt;&gt;"",IF(AND(#REF!="Padrão",$H$4=#REF!),BDI!$B$17,IF(AND(#REF!="Padrão",$H$4=#REF!),BDI!#REF!,IF(AND(#REF!="Diferenciado",$H$4=#REF!),BDI!$E$17,IF(AND(#REF!="Diferenciado",$H$4=#REF!),BDI!#REF!,IF(#REF!="ZERO",0))))),"")</f>
        <v>#REF!</v>
      </c>
      <c r="H1195" s="139" t="str">
        <f t="shared" si="115"/>
        <v/>
      </c>
      <c r="I1195" s="137" t="str">
        <f t="shared" si="116"/>
        <v/>
      </c>
      <c r="J1195" s="117"/>
      <c r="K1195" s="116">
        <v>0</v>
      </c>
      <c r="M1195" s="136" t="s">
        <v>416</v>
      </c>
      <c r="N1195" t="e">
        <v>#REF!</v>
      </c>
      <c r="Q1195" t="s">
        <v>416</v>
      </c>
    </row>
    <row r="1196" spans="1:17" hidden="1" x14ac:dyDescent="0.25">
      <c r="A1196" s="114" t="s">
        <v>2775</v>
      </c>
      <c r="B1196" s="115" t="s">
        <v>2776</v>
      </c>
      <c r="C1196" s="116" t="s">
        <v>16</v>
      </c>
      <c r="D1196" s="116">
        <v>0</v>
      </c>
      <c r="E1196" s="136" t="s">
        <v>416</v>
      </c>
      <c r="F1196" s="137" t="str">
        <f t="shared" si="114"/>
        <v/>
      </c>
      <c r="G1196" s="138" t="e">
        <f>IF(A1196&lt;&gt;"",IF(AND(#REF!="Padrão",$H$4=#REF!),BDI!$B$17,IF(AND(#REF!="Padrão",$H$4=#REF!),BDI!#REF!,IF(AND(#REF!="Diferenciado",$H$4=#REF!),BDI!$E$17,IF(AND(#REF!="Diferenciado",$H$4=#REF!),BDI!#REF!,IF(#REF!="ZERO",0))))),"")</f>
        <v>#REF!</v>
      </c>
      <c r="H1196" s="139" t="str">
        <f t="shared" si="115"/>
        <v/>
      </c>
      <c r="I1196" s="137" t="str">
        <f t="shared" si="116"/>
        <v/>
      </c>
      <c r="J1196" s="117"/>
      <c r="K1196" s="116">
        <v>0</v>
      </c>
      <c r="M1196" s="136" t="s">
        <v>416</v>
      </c>
      <c r="N1196" t="e">
        <v>#REF!</v>
      </c>
      <c r="Q1196" t="s">
        <v>416</v>
      </c>
    </row>
    <row r="1197" spans="1:17" hidden="1" x14ac:dyDescent="0.25">
      <c r="A1197" s="114" t="s">
        <v>2777</v>
      </c>
      <c r="B1197" s="115" t="s">
        <v>5482</v>
      </c>
      <c r="C1197" s="116" t="s">
        <v>16</v>
      </c>
      <c r="D1197" s="116">
        <v>0</v>
      </c>
      <c r="E1197" s="136" t="s">
        <v>416</v>
      </c>
      <c r="F1197" s="137" t="str">
        <f t="shared" si="114"/>
        <v/>
      </c>
      <c r="G1197" s="138" t="e">
        <f>IF(A1197&lt;&gt;"",IF(AND(#REF!="Padrão",$H$4=#REF!),BDI!$B$17,IF(AND(#REF!="Padrão",$H$4=#REF!),BDI!#REF!,IF(AND(#REF!="Diferenciado",$H$4=#REF!),BDI!$E$17,IF(AND(#REF!="Diferenciado",$H$4=#REF!),BDI!#REF!,IF(#REF!="ZERO",0))))),"")</f>
        <v>#REF!</v>
      </c>
      <c r="H1197" s="139" t="str">
        <f t="shared" si="115"/>
        <v/>
      </c>
      <c r="I1197" s="137" t="str">
        <f t="shared" si="116"/>
        <v/>
      </c>
      <c r="J1197" s="117"/>
      <c r="K1197" s="116">
        <v>0</v>
      </c>
      <c r="M1197" s="136" t="s">
        <v>416</v>
      </c>
      <c r="N1197" t="e">
        <v>#REF!</v>
      </c>
      <c r="Q1197" t="s">
        <v>416</v>
      </c>
    </row>
    <row r="1198" spans="1:17" hidden="1" x14ac:dyDescent="0.25">
      <c r="A1198" s="114" t="s">
        <v>2778</v>
      </c>
      <c r="B1198" s="115" t="s">
        <v>5483</v>
      </c>
      <c r="C1198" s="116" t="s">
        <v>16</v>
      </c>
      <c r="D1198" s="116">
        <v>0</v>
      </c>
      <c r="E1198" s="136" t="s">
        <v>416</v>
      </c>
      <c r="F1198" s="137" t="str">
        <f t="shared" si="114"/>
        <v/>
      </c>
      <c r="G1198" s="138" t="e">
        <f>IF(A1198&lt;&gt;"",IF(AND(#REF!="Padrão",$H$4=#REF!),BDI!$B$17,IF(AND(#REF!="Padrão",$H$4=#REF!),BDI!#REF!,IF(AND(#REF!="Diferenciado",$H$4=#REF!),BDI!$E$17,IF(AND(#REF!="Diferenciado",$H$4=#REF!),BDI!#REF!,IF(#REF!="ZERO",0))))),"")</f>
        <v>#REF!</v>
      </c>
      <c r="H1198" s="139" t="str">
        <f t="shared" si="115"/>
        <v/>
      </c>
      <c r="I1198" s="137" t="str">
        <f t="shared" si="116"/>
        <v/>
      </c>
      <c r="J1198" s="117"/>
      <c r="K1198" s="116">
        <v>0</v>
      </c>
      <c r="M1198" s="136" t="s">
        <v>416</v>
      </c>
      <c r="N1198" t="e">
        <v>#REF!</v>
      </c>
      <c r="Q1198" t="s">
        <v>416</v>
      </c>
    </row>
    <row r="1199" spans="1:17" hidden="1" x14ac:dyDescent="0.25">
      <c r="A1199" s="114" t="s">
        <v>2779</v>
      </c>
      <c r="B1199" s="115" t="s">
        <v>5484</v>
      </c>
      <c r="C1199" s="116" t="s">
        <v>16</v>
      </c>
      <c r="D1199" s="116">
        <v>0</v>
      </c>
      <c r="E1199" s="136" t="s">
        <v>416</v>
      </c>
      <c r="F1199" s="137" t="str">
        <f t="shared" si="114"/>
        <v/>
      </c>
      <c r="G1199" s="138" t="e">
        <f>IF(A1199&lt;&gt;"",IF(AND(#REF!="Padrão",$H$4=#REF!),BDI!$B$17,IF(AND(#REF!="Padrão",$H$4=#REF!),BDI!#REF!,IF(AND(#REF!="Diferenciado",$H$4=#REF!),BDI!$E$17,IF(AND(#REF!="Diferenciado",$H$4=#REF!),BDI!#REF!,IF(#REF!="ZERO",0))))),"")</f>
        <v>#REF!</v>
      </c>
      <c r="H1199" s="139" t="str">
        <f t="shared" si="115"/>
        <v/>
      </c>
      <c r="I1199" s="137" t="str">
        <f t="shared" si="116"/>
        <v/>
      </c>
      <c r="J1199" s="117"/>
      <c r="K1199" s="116">
        <v>0</v>
      </c>
      <c r="M1199" s="136" t="s">
        <v>416</v>
      </c>
      <c r="N1199" t="e">
        <v>#REF!</v>
      </c>
      <c r="Q1199" t="s">
        <v>416</v>
      </c>
    </row>
    <row r="1200" spans="1:17" hidden="1" x14ac:dyDescent="0.25">
      <c r="A1200" s="114" t="s">
        <v>2780</v>
      </c>
      <c r="B1200" s="115" t="s">
        <v>5485</v>
      </c>
      <c r="C1200" s="116" t="s">
        <v>16</v>
      </c>
      <c r="D1200" s="116">
        <v>0</v>
      </c>
      <c r="E1200" s="136" t="s">
        <v>416</v>
      </c>
      <c r="F1200" s="137" t="str">
        <f t="shared" si="114"/>
        <v/>
      </c>
      <c r="G1200" s="138" t="e">
        <f>IF(A1200&lt;&gt;"",IF(AND(#REF!="Padrão",$H$4=#REF!),BDI!$B$17,IF(AND(#REF!="Padrão",$H$4=#REF!),BDI!#REF!,IF(AND(#REF!="Diferenciado",$H$4=#REF!),BDI!$E$17,IF(AND(#REF!="Diferenciado",$H$4=#REF!),BDI!#REF!,IF(#REF!="ZERO",0))))),"")</f>
        <v>#REF!</v>
      </c>
      <c r="H1200" s="139" t="str">
        <f t="shared" si="115"/>
        <v/>
      </c>
      <c r="I1200" s="137" t="str">
        <f t="shared" si="116"/>
        <v/>
      </c>
      <c r="J1200" s="117"/>
      <c r="K1200" s="116">
        <v>0</v>
      </c>
      <c r="M1200" s="136" t="s">
        <v>416</v>
      </c>
      <c r="N1200" t="e">
        <v>#REF!</v>
      </c>
      <c r="Q1200" t="s">
        <v>416</v>
      </c>
    </row>
    <row r="1201" spans="1:17" hidden="1" x14ac:dyDescent="0.25">
      <c r="A1201" s="114" t="s">
        <v>2781</v>
      </c>
      <c r="B1201" s="115" t="s">
        <v>2782</v>
      </c>
      <c r="C1201" s="116" t="s">
        <v>16</v>
      </c>
      <c r="D1201" s="116">
        <v>0</v>
      </c>
      <c r="E1201" s="136" t="s">
        <v>416</v>
      </c>
      <c r="F1201" s="137" t="str">
        <f t="shared" si="114"/>
        <v/>
      </c>
      <c r="G1201" s="138" t="e">
        <f>IF(A1201&lt;&gt;"",IF(AND(#REF!="Padrão",$H$4=#REF!),BDI!$B$17,IF(AND(#REF!="Padrão",$H$4=#REF!),BDI!#REF!,IF(AND(#REF!="Diferenciado",$H$4=#REF!),BDI!$E$17,IF(AND(#REF!="Diferenciado",$H$4=#REF!),BDI!#REF!,IF(#REF!="ZERO",0))))),"")</f>
        <v>#REF!</v>
      </c>
      <c r="H1201" s="139" t="str">
        <f t="shared" si="115"/>
        <v/>
      </c>
      <c r="I1201" s="137" t="str">
        <f t="shared" si="116"/>
        <v/>
      </c>
      <c r="J1201" s="117"/>
      <c r="K1201" s="116">
        <v>0</v>
      </c>
      <c r="M1201" s="136" t="s">
        <v>416</v>
      </c>
      <c r="N1201" t="e">
        <v>#REF!</v>
      </c>
      <c r="Q1201" t="s">
        <v>416</v>
      </c>
    </row>
    <row r="1202" spans="1:17" hidden="1" x14ac:dyDescent="0.25">
      <c r="A1202" s="114" t="s">
        <v>2783</v>
      </c>
      <c r="B1202" s="115" t="s">
        <v>2784</v>
      </c>
      <c r="C1202" s="116" t="s">
        <v>16</v>
      </c>
      <c r="D1202" s="116">
        <v>0</v>
      </c>
      <c r="E1202" s="136" t="s">
        <v>416</v>
      </c>
      <c r="F1202" s="137" t="str">
        <f t="shared" si="114"/>
        <v/>
      </c>
      <c r="G1202" s="138" t="e">
        <f>IF(A1202&lt;&gt;"",IF(AND(#REF!="Padrão",$H$4=#REF!),BDI!$B$17,IF(AND(#REF!="Padrão",$H$4=#REF!),BDI!#REF!,IF(AND(#REF!="Diferenciado",$H$4=#REF!),BDI!$E$17,IF(AND(#REF!="Diferenciado",$H$4=#REF!),BDI!#REF!,IF(#REF!="ZERO",0))))),"")</f>
        <v>#REF!</v>
      </c>
      <c r="H1202" s="139" t="str">
        <f t="shared" si="115"/>
        <v/>
      </c>
      <c r="I1202" s="137" t="str">
        <f t="shared" si="116"/>
        <v/>
      </c>
      <c r="J1202" s="117"/>
      <c r="K1202" s="116">
        <v>0</v>
      </c>
      <c r="M1202" s="136" t="s">
        <v>416</v>
      </c>
      <c r="N1202" t="e">
        <v>#REF!</v>
      </c>
      <c r="Q1202" t="s">
        <v>416</v>
      </c>
    </row>
    <row r="1203" spans="1:17" hidden="1" x14ac:dyDescent="0.25">
      <c r="A1203" s="114" t="s">
        <v>2785</v>
      </c>
      <c r="B1203" s="115" t="s">
        <v>2786</v>
      </c>
      <c r="C1203" s="116" t="s">
        <v>16</v>
      </c>
      <c r="D1203" s="116">
        <v>0</v>
      </c>
      <c r="E1203" s="136" t="s">
        <v>416</v>
      </c>
      <c r="F1203" s="137" t="str">
        <f t="shared" si="114"/>
        <v/>
      </c>
      <c r="G1203" s="138" t="e">
        <f>IF(A1203&lt;&gt;"",IF(AND(#REF!="Padrão",$H$4=#REF!),BDI!$B$17,IF(AND(#REF!="Padrão",$H$4=#REF!),BDI!#REF!,IF(AND(#REF!="Diferenciado",$H$4=#REF!),BDI!$E$17,IF(AND(#REF!="Diferenciado",$H$4=#REF!),BDI!#REF!,IF(#REF!="ZERO",0))))),"")</f>
        <v>#REF!</v>
      </c>
      <c r="H1203" s="139" t="str">
        <f t="shared" si="115"/>
        <v/>
      </c>
      <c r="I1203" s="137" t="str">
        <f t="shared" si="116"/>
        <v/>
      </c>
      <c r="J1203" s="117"/>
      <c r="K1203" s="116">
        <v>0</v>
      </c>
      <c r="M1203" s="136" t="s">
        <v>416</v>
      </c>
      <c r="N1203" t="e">
        <v>#REF!</v>
      </c>
      <c r="Q1203" t="s">
        <v>416</v>
      </c>
    </row>
    <row r="1204" spans="1:17" hidden="1" x14ac:dyDescent="0.25">
      <c r="A1204" s="114" t="s">
        <v>2787</v>
      </c>
      <c r="B1204" s="115" t="s">
        <v>2788</v>
      </c>
      <c r="C1204" s="116" t="s">
        <v>16</v>
      </c>
      <c r="D1204" s="116">
        <v>0</v>
      </c>
      <c r="E1204" s="136" t="s">
        <v>416</v>
      </c>
      <c r="F1204" s="137" t="str">
        <f t="shared" si="114"/>
        <v/>
      </c>
      <c r="G1204" s="138" t="e">
        <f>IF(A1204&lt;&gt;"",IF(AND(#REF!="Padrão",$H$4=#REF!),BDI!$B$17,IF(AND(#REF!="Padrão",$H$4=#REF!),BDI!#REF!,IF(AND(#REF!="Diferenciado",$H$4=#REF!),BDI!$E$17,IF(AND(#REF!="Diferenciado",$H$4=#REF!),BDI!#REF!,IF(#REF!="ZERO",0))))),"")</f>
        <v>#REF!</v>
      </c>
      <c r="H1204" s="139" t="str">
        <f t="shared" si="115"/>
        <v/>
      </c>
      <c r="I1204" s="137" t="str">
        <f t="shared" si="116"/>
        <v/>
      </c>
      <c r="J1204" s="117"/>
      <c r="K1204" s="116">
        <v>0</v>
      </c>
      <c r="M1204" s="136" t="s">
        <v>416</v>
      </c>
      <c r="N1204" t="e">
        <v>#REF!</v>
      </c>
      <c r="Q1204" t="s">
        <v>416</v>
      </c>
    </row>
    <row r="1205" spans="1:17" hidden="1" x14ac:dyDescent="0.25">
      <c r="A1205" s="114" t="s">
        <v>2789</v>
      </c>
      <c r="B1205" s="115" t="s">
        <v>7707</v>
      </c>
      <c r="C1205" s="116" t="s">
        <v>16</v>
      </c>
      <c r="D1205" s="116">
        <v>0</v>
      </c>
      <c r="E1205" s="136" t="s">
        <v>416</v>
      </c>
      <c r="F1205" s="137" t="str">
        <f t="shared" si="114"/>
        <v/>
      </c>
      <c r="G1205" s="138" t="e">
        <f>IF(A1205&lt;&gt;"",IF(AND(#REF!="Padrão",$H$4=#REF!),BDI!$B$17,IF(AND(#REF!="Padrão",$H$4=#REF!),BDI!#REF!,IF(AND(#REF!="Diferenciado",$H$4=#REF!),BDI!$E$17,IF(AND(#REF!="Diferenciado",$H$4=#REF!),BDI!#REF!,IF(#REF!="ZERO",0))))),"")</f>
        <v>#REF!</v>
      </c>
      <c r="H1205" s="139" t="str">
        <f t="shared" si="115"/>
        <v/>
      </c>
      <c r="I1205" s="137" t="str">
        <f t="shared" si="116"/>
        <v/>
      </c>
      <c r="J1205" s="117"/>
      <c r="K1205" s="116">
        <v>0</v>
      </c>
      <c r="M1205" s="136" t="s">
        <v>416</v>
      </c>
      <c r="N1205" t="e">
        <v>#REF!</v>
      </c>
      <c r="Q1205" t="s">
        <v>416</v>
      </c>
    </row>
    <row r="1206" spans="1:17" hidden="1" x14ac:dyDescent="0.25">
      <c r="A1206" s="114" t="s">
        <v>2790</v>
      </c>
      <c r="B1206" s="115" t="s">
        <v>5486</v>
      </c>
      <c r="C1206" s="116" t="s">
        <v>16</v>
      </c>
      <c r="D1206" s="116">
        <v>0</v>
      </c>
      <c r="E1206" s="136">
        <f ca="1">OFFSET(INDEX(Composições!A:J,MATCH(Orçamentária!A1206,Composições!A:A,0),8),2,0)</f>
        <v>40.878500000000003</v>
      </c>
      <c r="F1206" s="137">
        <f t="shared" ca="1" si="114"/>
        <v>0</v>
      </c>
      <c r="G1206" s="138" t="e">
        <f>IF(A1206&lt;&gt;"",IF(AND(#REF!="Padrão",$H$4=#REF!),BDI!$B$17,IF(AND(#REF!="Padrão",$H$4=#REF!),BDI!#REF!,IF(AND(#REF!="Diferenciado",$H$4=#REF!),BDI!$E$17,IF(AND(#REF!="Diferenciado",$H$4=#REF!),BDI!#REF!,IF(#REF!="ZERO",0))))),"")</f>
        <v>#REF!</v>
      </c>
      <c r="H1206" s="139" t="e">
        <f t="shared" ca="1" si="115"/>
        <v>#REF!</v>
      </c>
      <c r="I1206" s="137" t="e">
        <f t="shared" ca="1" si="116"/>
        <v>#REF!</v>
      </c>
      <c r="J1206" s="117"/>
      <c r="K1206" s="116">
        <v>0</v>
      </c>
      <c r="M1206" s="136" t="e">
        <f ca="1">OFFSET(INDEX([1]Composições!I:R,MATCH([1]Orçamentária!I1206,[1]Composições!I:I,0),8),2,0)</f>
        <v>#REF!</v>
      </c>
      <c r="N1206" t="e">
        <v>#REF!</v>
      </c>
      <c r="Q1206" t="e">
        <v>#REF!</v>
      </c>
    </row>
    <row r="1207" spans="1:17" hidden="1" x14ac:dyDescent="0.25">
      <c r="A1207" s="114" t="s">
        <v>2791</v>
      </c>
      <c r="B1207" s="115" t="s">
        <v>2792</v>
      </c>
      <c r="C1207" s="116" t="s">
        <v>16</v>
      </c>
      <c r="D1207" s="116">
        <v>0</v>
      </c>
      <c r="E1207" s="136" t="s">
        <v>416</v>
      </c>
      <c r="F1207" s="137" t="str">
        <f t="shared" si="114"/>
        <v/>
      </c>
      <c r="G1207" s="138" t="e">
        <f>IF(A1207&lt;&gt;"",IF(AND(#REF!="Padrão",$H$4=#REF!),BDI!$B$17,IF(AND(#REF!="Padrão",$H$4=#REF!),BDI!#REF!,IF(AND(#REF!="Diferenciado",$H$4=#REF!),BDI!$E$17,IF(AND(#REF!="Diferenciado",$H$4=#REF!),BDI!#REF!,IF(#REF!="ZERO",0))))),"")</f>
        <v>#REF!</v>
      </c>
      <c r="H1207" s="139" t="str">
        <f t="shared" si="115"/>
        <v/>
      </c>
      <c r="I1207" s="137" t="str">
        <f t="shared" si="116"/>
        <v/>
      </c>
      <c r="J1207" s="117"/>
      <c r="K1207" s="116">
        <v>0</v>
      </c>
      <c r="M1207" s="136" t="s">
        <v>416</v>
      </c>
      <c r="N1207" t="e">
        <v>#REF!</v>
      </c>
      <c r="Q1207" t="s">
        <v>416</v>
      </c>
    </row>
    <row r="1208" spans="1:17" hidden="1" x14ac:dyDescent="0.25">
      <c r="A1208" s="114" t="s">
        <v>2793</v>
      </c>
      <c r="B1208" s="115" t="s">
        <v>2794</v>
      </c>
      <c r="C1208" s="116" t="s">
        <v>16</v>
      </c>
      <c r="D1208" s="116">
        <v>0</v>
      </c>
      <c r="E1208" s="136" t="s">
        <v>416</v>
      </c>
      <c r="F1208" s="137" t="str">
        <f t="shared" si="114"/>
        <v/>
      </c>
      <c r="G1208" s="138" t="e">
        <f>IF(A1208&lt;&gt;"",IF(AND(#REF!="Padrão",$H$4=#REF!),BDI!$B$17,IF(AND(#REF!="Padrão",$H$4=#REF!),BDI!#REF!,IF(AND(#REF!="Diferenciado",$H$4=#REF!),BDI!$E$17,IF(AND(#REF!="Diferenciado",$H$4=#REF!),BDI!#REF!,IF(#REF!="ZERO",0))))),"")</f>
        <v>#REF!</v>
      </c>
      <c r="H1208" s="139" t="str">
        <f t="shared" si="115"/>
        <v/>
      </c>
      <c r="I1208" s="137" t="str">
        <f t="shared" si="116"/>
        <v/>
      </c>
      <c r="J1208" s="117"/>
      <c r="K1208" s="116">
        <v>0</v>
      </c>
      <c r="M1208" s="136" t="s">
        <v>416</v>
      </c>
      <c r="N1208" t="e">
        <v>#REF!</v>
      </c>
      <c r="Q1208" t="s">
        <v>416</v>
      </c>
    </row>
    <row r="1209" spans="1:17" hidden="1" x14ac:dyDescent="0.25">
      <c r="A1209" s="114" t="s">
        <v>2795</v>
      </c>
      <c r="B1209" s="115" t="s">
        <v>2796</v>
      </c>
      <c r="C1209" s="116" t="s">
        <v>16</v>
      </c>
      <c r="D1209" s="116">
        <v>0</v>
      </c>
      <c r="E1209" s="136" t="s">
        <v>416</v>
      </c>
      <c r="F1209" s="137" t="str">
        <f t="shared" si="114"/>
        <v/>
      </c>
      <c r="G1209" s="138" t="e">
        <f>IF(A1209&lt;&gt;"",IF(AND(#REF!="Padrão",$H$4=#REF!),BDI!$B$17,IF(AND(#REF!="Padrão",$H$4=#REF!),BDI!#REF!,IF(AND(#REF!="Diferenciado",$H$4=#REF!),BDI!$E$17,IF(AND(#REF!="Diferenciado",$H$4=#REF!),BDI!#REF!,IF(#REF!="ZERO",0))))),"")</f>
        <v>#REF!</v>
      </c>
      <c r="H1209" s="139" t="str">
        <f t="shared" si="115"/>
        <v/>
      </c>
      <c r="I1209" s="137" t="str">
        <f t="shared" si="116"/>
        <v/>
      </c>
      <c r="J1209" s="117"/>
      <c r="K1209" s="116">
        <v>0</v>
      </c>
      <c r="M1209" s="136" t="s">
        <v>416</v>
      </c>
      <c r="N1209" t="e">
        <v>#REF!</v>
      </c>
      <c r="Q1209" t="s">
        <v>416</v>
      </c>
    </row>
    <row r="1210" spans="1:17" hidden="1" x14ac:dyDescent="0.25">
      <c r="A1210" s="114" t="s">
        <v>2797</v>
      </c>
      <c r="B1210" s="115" t="s">
        <v>2798</v>
      </c>
      <c r="C1210" s="116" t="s">
        <v>16</v>
      </c>
      <c r="D1210" s="116">
        <v>0</v>
      </c>
      <c r="E1210" s="136">
        <f ca="1">OFFSET(INDEX(Composições!A:J,MATCH(Orçamentária!A1210,Composições!A:A,0),8),2,0)</f>
        <v>56.733999999999995</v>
      </c>
      <c r="F1210" s="137">
        <f t="shared" ca="1" si="114"/>
        <v>0</v>
      </c>
      <c r="G1210" s="138" t="e">
        <f>IF(A1210&lt;&gt;"",IF(AND(#REF!="Padrão",$H$4=#REF!),BDI!$B$17,IF(AND(#REF!="Padrão",$H$4=#REF!),BDI!#REF!,IF(AND(#REF!="Diferenciado",$H$4=#REF!),BDI!$E$17,IF(AND(#REF!="Diferenciado",$H$4=#REF!),BDI!#REF!,IF(#REF!="ZERO",0))))),"")</f>
        <v>#REF!</v>
      </c>
      <c r="H1210" s="139" t="e">
        <f t="shared" ca="1" si="115"/>
        <v>#REF!</v>
      </c>
      <c r="I1210" s="137" t="e">
        <f t="shared" ca="1" si="116"/>
        <v>#REF!</v>
      </c>
      <c r="J1210" s="117"/>
      <c r="K1210" s="116">
        <v>0</v>
      </c>
      <c r="M1210" s="136" t="e">
        <f ca="1">OFFSET(INDEX([1]Composições!I:R,MATCH([1]Orçamentária!I1210,[1]Composições!I:I,0),8),2,0)</f>
        <v>#REF!</v>
      </c>
      <c r="N1210" t="e">
        <v>#REF!</v>
      </c>
      <c r="Q1210" t="e">
        <v>#REF!</v>
      </c>
    </row>
    <row r="1211" spans="1:17" hidden="1" x14ac:dyDescent="0.25">
      <c r="A1211" s="114" t="s">
        <v>2799</v>
      </c>
      <c r="B1211" s="115" t="s">
        <v>2800</v>
      </c>
      <c r="C1211" s="116" t="s">
        <v>16</v>
      </c>
      <c r="D1211" s="116">
        <v>0</v>
      </c>
      <c r="E1211" s="136">
        <f ca="1">OFFSET(INDEX(Composições!A:J,MATCH(Orçamentária!A1211,Composições!A:A,0),8),2,0)</f>
        <v>426.37899999999996</v>
      </c>
      <c r="F1211" s="137">
        <f t="shared" ca="1" si="114"/>
        <v>0</v>
      </c>
      <c r="G1211" s="138" t="e">
        <f>IF(A1211&lt;&gt;"",IF(AND(#REF!="Padrão",$H$4=#REF!),BDI!$B$17,IF(AND(#REF!="Padrão",$H$4=#REF!),BDI!#REF!,IF(AND(#REF!="Diferenciado",$H$4=#REF!),BDI!$E$17,IF(AND(#REF!="Diferenciado",$H$4=#REF!),BDI!#REF!,IF(#REF!="ZERO",0))))),"")</f>
        <v>#REF!</v>
      </c>
      <c r="H1211" s="139" t="e">
        <f t="shared" ca="1" si="115"/>
        <v>#REF!</v>
      </c>
      <c r="I1211" s="137" t="e">
        <f t="shared" ca="1" si="116"/>
        <v>#REF!</v>
      </c>
      <c r="J1211" s="117"/>
      <c r="K1211" s="116">
        <v>0</v>
      </c>
      <c r="M1211" s="136" t="e">
        <f ca="1">OFFSET(INDEX([1]Composições!I:R,MATCH([1]Orçamentária!I1211,[1]Composições!I:I,0),8),2,0)</f>
        <v>#REF!</v>
      </c>
      <c r="N1211" t="e">
        <v>#REF!</v>
      </c>
      <c r="Q1211" t="e">
        <v>#REF!</v>
      </c>
    </row>
    <row r="1212" spans="1:17" hidden="1" x14ac:dyDescent="0.25">
      <c r="A1212" s="114" t="s">
        <v>2801</v>
      </c>
      <c r="B1212" s="115" t="s">
        <v>2802</v>
      </c>
      <c r="C1212" s="116" t="s">
        <v>16</v>
      </c>
      <c r="D1212" s="116">
        <v>0</v>
      </c>
      <c r="E1212" s="136" t="s">
        <v>416</v>
      </c>
      <c r="F1212" s="137" t="str">
        <f t="shared" si="114"/>
        <v/>
      </c>
      <c r="G1212" s="138" t="e">
        <f>IF(A1212&lt;&gt;"",IF(AND(#REF!="Padrão",$H$4=#REF!),BDI!$B$17,IF(AND(#REF!="Padrão",$H$4=#REF!),BDI!#REF!,IF(AND(#REF!="Diferenciado",$H$4=#REF!),BDI!$E$17,IF(AND(#REF!="Diferenciado",$H$4=#REF!),BDI!#REF!,IF(#REF!="ZERO",0))))),"")</f>
        <v>#REF!</v>
      </c>
      <c r="H1212" s="139" t="str">
        <f t="shared" si="115"/>
        <v/>
      </c>
      <c r="I1212" s="137" t="str">
        <f t="shared" si="116"/>
        <v/>
      </c>
      <c r="J1212" s="117"/>
      <c r="K1212" s="116">
        <v>0</v>
      </c>
      <c r="M1212" s="136" t="s">
        <v>416</v>
      </c>
      <c r="N1212" t="e">
        <v>#REF!</v>
      </c>
      <c r="Q1212" t="s">
        <v>416</v>
      </c>
    </row>
    <row r="1213" spans="1:17" hidden="1" x14ac:dyDescent="0.25">
      <c r="A1213" s="114" t="s">
        <v>2803</v>
      </c>
      <c r="B1213" s="115" t="s">
        <v>2804</v>
      </c>
      <c r="C1213" s="116" t="s">
        <v>16</v>
      </c>
      <c r="D1213" s="116">
        <v>0</v>
      </c>
      <c r="E1213" s="136" t="s">
        <v>416</v>
      </c>
      <c r="F1213" s="137" t="str">
        <f t="shared" si="114"/>
        <v/>
      </c>
      <c r="G1213" s="138" t="e">
        <f>IF(A1213&lt;&gt;"",IF(AND(#REF!="Padrão",$H$4=#REF!),BDI!$B$17,IF(AND(#REF!="Padrão",$H$4=#REF!),BDI!#REF!,IF(AND(#REF!="Diferenciado",$H$4=#REF!),BDI!$E$17,IF(AND(#REF!="Diferenciado",$H$4=#REF!),BDI!#REF!,IF(#REF!="ZERO",0))))),"")</f>
        <v>#REF!</v>
      </c>
      <c r="H1213" s="139" t="str">
        <f t="shared" si="115"/>
        <v/>
      </c>
      <c r="I1213" s="137" t="str">
        <f t="shared" si="116"/>
        <v/>
      </c>
      <c r="J1213" s="117"/>
      <c r="K1213" s="116">
        <v>0</v>
      </c>
      <c r="M1213" s="136" t="s">
        <v>416</v>
      </c>
      <c r="N1213" t="e">
        <v>#REF!</v>
      </c>
      <c r="Q1213" t="s">
        <v>416</v>
      </c>
    </row>
    <row r="1214" spans="1:17" hidden="1" x14ac:dyDescent="0.25">
      <c r="A1214" s="114" t="s">
        <v>2805</v>
      </c>
      <c r="B1214" s="115" t="s">
        <v>5487</v>
      </c>
      <c r="C1214" s="116" t="s">
        <v>16</v>
      </c>
      <c r="D1214" s="116">
        <v>0</v>
      </c>
      <c r="E1214" s="136" t="s">
        <v>416</v>
      </c>
      <c r="F1214" s="137" t="str">
        <f t="shared" si="114"/>
        <v/>
      </c>
      <c r="G1214" s="138" t="e">
        <f>IF(A1214&lt;&gt;"",IF(AND(#REF!="Padrão",$H$4=#REF!),BDI!$B$17,IF(AND(#REF!="Padrão",$H$4=#REF!),BDI!#REF!,IF(AND(#REF!="Diferenciado",$H$4=#REF!),BDI!$E$17,IF(AND(#REF!="Diferenciado",$H$4=#REF!),BDI!#REF!,IF(#REF!="ZERO",0))))),"")</f>
        <v>#REF!</v>
      </c>
      <c r="H1214" s="139" t="str">
        <f t="shared" si="115"/>
        <v/>
      </c>
      <c r="I1214" s="137" t="str">
        <f t="shared" si="116"/>
        <v/>
      </c>
      <c r="J1214" s="117"/>
      <c r="K1214" s="116">
        <v>0</v>
      </c>
      <c r="M1214" s="136" t="s">
        <v>416</v>
      </c>
      <c r="N1214" t="e">
        <v>#REF!</v>
      </c>
      <c r="Q1214" t="s">
        <v>416</v>
      </c>
    </row>
    <row r="1215" spans="1:17" hidden="1" x14ac:dyDescent="0.25">
      <c r="A1215" s="114" t="s">
        <v>2806</v>
      </c>
      <c r="B1215" s="115" t="s">
        <v>2807</v>
      </c>
      <c r="C1215" s="116" t="s">
        <v>16</v>
      </c>
      <c r="D1215" s="116">
        <v>0</v>
      </c>
      <c r="E1215" s="136" t="s">
        <v>416</v>
      </c>
      <c r="F1215" s="137" t="str">
        <f t="shared" si="114"/>
        <v/>
      </c>
      <c r="G1215" s="138" t="e">
        <f>IF(A1215&lt;&gt;"",IF(AND(#REF!="Padrão",$H$4=#REF!),BDI!$B$17,IF(AND(#REF!="Padrão",$H$4=#REF!),BDI!#REF!,IF(AND(#REF!="Diferenciado",$H$4=#REF!),BDI!$E$17,IF(AND(#REF!="Diferenciado",$H$4=#REF!),BDI!#REF!,IF(#REF!="ZERO",0))))),"")</f>
        <v>#REF!</v>
      </c>
      <c r="H1215" s="139" t="str">
        <f t="shared" si="115"/>
        <v/>
      </c>
      <c r="I1215" s="137" t="str">
        <f t="shared" si="116"/>
        <v/>
      </c>
      <c r="J1215" s="117"/>
      <c r="K1215" s="116">
        <v>0</v>
      </c>
      <c r="M1215" s="136" t="s">
        <v>416</v>
      </c>
      <c r="N1215" t="e">
        <v>#REF!</v>
      </c>
      <c r="Q1215" t="s">
        <v>416</v>
      </c>
    </row>
    <row r="1216" spans="1:17" hidden="1" x14ac:dyDescent="0.25">
      <c r="A1216" s="114" t="s">
        <v>2808</v>
      </c>
      <c r="B1216" s="115" t="s">
        <v>2809</v>
      </c>
      <c r="C1216" s="116" t="s">
        <v>16</v>
      </c>
      <c r="D1216" s="116">
        <v>0</v>
      </c>
      <c r="E1216" s="136" t="s">
        <v>416</v>
      </c>
      <c r="F1216" s="137" t="str">
        <f t="shared" si="114"/>
        <v/>
      </c>
      <c r="G1216" s="138" t="e">
        <f>IF(A1216&lt;&gt;"",IF(AND(#REF!="Padrão",$H$4=#REF!),BDI!$B$17,IF(AND(#REF!="Padrão",$H$4=#REF!),BDI!#REF!,IF(AND(#REF!="Diferenciado",$H$4=#REF!),BDI!$E$17,IF(AND(#REF!="Diferenciado",$H$4=#REF!),BDI!#REF!,IF(#REF!="ZERO",0))))),"")</f>
        <v>#REF!</v>
      </c>
      <c r="H1216" s="139" t="str">
        <f t="shared" si="115"/>
        <v/>
      </c>
      <c r="I1216" s="137" t="str">
        <f t="shared" si="116"/>
        <v/>
      </c>
      <c r="J1216" s="117"/>
      <c r="K1216" s="116">
        <v>0</v>
      </c>
      <c r="M1216" s="136" t="s">
        <v>416</v>
      </c>
      <c r="N1216" t="e">
        <v>#REF!</v>
      </c>
      <c r="Q1216" t="s">
        <v>416</v>
      </c>
    </row>
    <row r="1217" spans="1:17" hidden="1" x14ac:dyDescent="0.25">
      <c r="A1217" s="114" t="s">
        <v>2810</v>
      </c>
      <c r="B1217" s="115" t="s">
        <v>2811</v>
      </c>
      <c r="C1217" s="116" t="s">
        <v>470</v>
      </c>
      <c r="D1217" s="116">
        <v>0</v>
      </c>
      <c r="E1217" s="136" t="s">
        <v>416</v>
      </c>
      <c r="F1217" s="137" t="str">
        <f t="shared" si="114"/>
        <v/>
      </c>
      <c r="G1217" s="138" t="e">
        <f>IF(A1217&lt;&gt;"",IF(AND(#REF!="Padrão",$H$4=#REF!),BDI!$B$17,IF(AND(#REF!="Padrão",$H$4=#REF!),BDI!#REF!,IF(AND(#REF!="Diferenciado",$H$4=#REF!),BDI!$E$17,IF(AND(#REF!="Diferenciado",$H$4=#REF!),BDI!#REF!,IF(#REF!="ZERO",0))))),"")</f>
        <v>#REF!</v>
      </c>
      <c r="H1217" s="139" t="str">
        <f t="shared" si="115"/>
        <v/>
      </c>
      <c r="I1217" s="137" t="str">
        <f t="shared" si="116"/>
        <v/>
      </c>
      <c r="J1217" s="117"/>
      <c r="K1217" s="116">
        <v>0</v>
      </c>
      <c r="M1217" s="136" t="s">
        <v>416</v>
      </c>
      <c r="N1217" t="e">
        <v>#REF!</v>
      </c>
      <c r="Q1217" t="s">
        <v>416</v>
      </c>
    </row>
    <row r="1218" spans="1:17" hidden="1" x14ac:dyDescent="0.25">
      <c r="A1218" s="114" t="s">
        <v>2812</v>
      </c>
      <c r="B1218" s="115" t="s">
        <v>5488</v>
      </c>
      <c r="C1218" s="116" t="s">
        <v>16</v>
      </c>
      <c r="D1218" s="116">
        <v>0</v>
      </c>
      <c r="E1218" s="136" t="s">
        <v>416</v>
      </c>
      <c r="F1218" s="137" t="str">
        <f t="shared" si="114"/>
        <v/>
      </c>
      <c r="G1218" s="138" t="e">
        <f>IF(A1218&lt;&gt;"",IF(AND(#REF!="Padrão",$H$4=#REF!),BDI!$B$17,IF(AND(#REF!="Padrão",$H$4=#REF!),BDI!#REF!,IF(AND(#REF!="Diferenciado",$H$4=#REF!),BDI!$E$17,IF(AND(#REF!="Diferenciado",$H$4=#REF!),BDI!#REF!,IF(#REF!="ZERO",0))))),"")</f>
        <v>#REF!</v>
      </c>
      <c r="H1218" s="139" t="str">
        <f t="shared" si="115"/>
        <v/>
      </c>
      <c r="I1218" s="137" t="str">
        <f t="shared" si="116"/>
        <v/>
      </c>
      <c r="J1218" s="117"/>
      <c r="K1218" s="116">
        <v>0</v>
      </c>
      <c r="M1218" s="136" t="s">
        <v>416</v>
      </c>
      <c r="N1218" t="e">
        <v>#REF!</v>
      </c>
      <c r="Q1218" t="s">
        <v>416</v>
      </c>
    </row>
    <row r="1219" spans="1:17" hidden="1" x14ac:dyDescent="0.25">
      <c r="A1219" s="114" t="s">
        <v>2813</v>
      </c>
      <c r="B1219" s="115" t="s">
        <v>7709</v>
      </c>
      <c r="C1219" s="116" t="s">
        <v>16</v>
      </c>
      <c r="D1219" s="116">
        <v>0</v>
      </c>
      <c r="E1219" s="136">
        <f ca="1">OFFSET(INDEX(Composições!A:J,MATCH(Orçamentária!A1219,Composições!A:A,0),8),2,0)</f>
        <v>46.550000000000004</v>
      </c>
      <c r="F1219" s="137">
        <f t="shared" ca="1" si="114"/>
        <v>0</v>
      </c>
      <c r="G1219" s="138" t="e">
        <f>IF(A1219&lt;&gt;"",IF(AND(#REF!="Padrão",$H$4=#REF!),BDI!$B$17,IF(AND(#REF!="Padrão",$H$4=#REF!),BDI!#REF!,IF(AND(#REF!="Diferenciado",$H$4=#REF!),BDI!$E$17,IF(AND(#REF!="Diferenciado",$H$4=#REF!),BDI!#REF!,IF(#REF!="ZERO",0))))),"")</f>
        <v>#REF!</v>
      </c>
      <c r="H1219" s="139" t="e">
        <f t="shared" ca="1" si="115"/>
        <v>#REF!</v>
      </c>
      <c r="I1219" s="137" t="e">
        <f t="shared" ca="1" si="116"/>
        <v>#REF!</v>
      </c>
      <c r="J1219" s="117"/>
      <c r="K1219" s="116">
        <v>0</v>
      </c>
      <c r="M1219" s="136" t="e">
        <f ca="1">OFFSET(INDEX([1]Composições!I:R,MATCH([1]Orçamentária!I1219,[1]Composições!I:I,0),8),2,0)</f>
        <v>#REF!</v>
      </c>
      <c r="N1219" t="e">
        <v>#REF!</v>
      </c>
      <c r="Q1219" t="e">
        <v>#REF!</v>
      </c>
    </row>
    <row r="1220" spans="1:17" hidden="1" x14ac:dyDescent="0.25">
      <c r="A1220" s="114" t="s">
        <v>2814</v>
      </c>
      <c r="B1220" s="115" t="s">
        <v>7708</v>
      </c>
      <c r="C1220" s="116" t="s">
        <v>16</v>
      </c>
      <c r="D1220" s="116">
        <v>0</v>
      </c>
      <c r="E1220" s="136" t="s">
        <v>416</v>
      </c>
      <c r="F1220" s="137" t="str">
        <f t="shared" si="114"/>
        <v/>
      </c>
      <c r="G1220" s="138" t="e">
        <f>IF(A1220&lt;&gt;"",IF(AND(#REF!="Padrão",$H$4=#REF!),BDI!$B$17,IF(AND(#REF!="Padrão",$H$4=#REF!),BDI!#REF!,IF(AND(#REF!="Diferenciado",$H$4=#REF!),BDI!$E$17,IF(AND(#REF!="Diferenciado",$H$4=#REF!),BDI!#REF!,IF(#REF!="ZERO",0))))),"")</f>
        <v>#REF!</v>
      </c>
      <c r="H1220" s="139" t="str">
        <f t="shared" si="115"/>
        <v/>
      </c>
      <c r="I1220" s="137" t="str">
        <f t="shared" si="116"/>
        <v/>
      </c>
      <c r="J1220" s="117"/>
      <c r="K1220" s="116">
        <v>0</v>
      </c>
      <c r="M1220" s="136" t="s">
        <v>416</v>
      </c>
      <c r="N1220" t="e">
        <v>#REF!</v>
      </c>
      <c r="Q1220" t="s">
        <v>416</v>
      </c>
    </row>
    <row r="1221" spans="1:17" hidden="1" x14ac:dyDescent="0.25">
      <c r="A1221" s="114" t="s">
        <v>2815</v>
      </c>
      <c r="B1221" s="115" t="s">
        <v>2816</v>
      </c>
      <c r="C1221" s="116" t="s">
        <v>16</v>
      </c>
      <c r="D1221" s="116">
        <v>0</v>
      </c>
      <c r="E1221" s="136" t="s">
        <v>416</v>
      </c>
      <c r="F1221" s="137" t="str">
        <f t="shared" si="114"/>
        <v/>
      </c>
      <c r="G1221" s="138" t="e">
        <f>IF(A1221&lt;&gt;"",IF(AND(#REF!="Padrão",$H$4=#REF!),BDI!$B$17,IF(AND(#REF!="Padrão",$H$4=#REF!),BDI!#REF!,IF(AND(#REF!="Diferenciado",$H$4=#REF!),BDI!$E$17,IF(AND(#REF!="Diferenciado",$H$4=#REF!),BDI!#REF!,IF(#REF!="ZERO",0))))),"")</f>
        <v>#REF!</v>
      </c>
      <c r="H1221" s="139" t="str">
        <f t="shared" si="115"/>
        <v/>
      </c>
      <c r="I1221" s="137" t="str">
        <f t="shared" si="116"/>
        <v/>
      </c>
      <c r="J1221" s="117"/>
      <c r="K1221" s="116">
        <v>0</v>
      </c>
      <c r="M1221" s="136" t="s">
        <v>416</v>
      </c>
      <c r="N1221" t="e">
        <v>#REF!</v>
      </c>
      <c r="Q1221" t="s">
        <v>416</v>
      </c>
    </row>
    <row r="1222" spans="1:17" hidden="1" x14ac:dyDescent="0.25">
      <c r="A1222" s="114" t="s">
        <v>2817</v>
      </c>
      <c r="B1222" s="115" t="s">
        <v>2818</v>
      </c>
      <c r="C1222" s="116" t="s">
        <v>16</v>
      </c>
      <c r="D1222" s="116">
        <v>0</v>
      </c>
      <c r="E1222" s="136" t="s">
        <v>416</v>
      </c>
      <c r="F1222" s="137" t="str">
        <f t="shared" si="114"/>
        <v/>
      </c>
      <c r="G1222" s="138" t="e">
        <f>IF(A1222&lt;&gt;"",IF(AND(#REF!="Padrão",$H$4=#REF!),BDI!$B$17,IF(AND(#REF!="Padrão",$H$4=#REF!),BDI!#REF!,IF(AND(#REF!="Diferenciado",$H$4=#REF!),BDI!$E$17,IF(AND(#REF!="Diferenciado",$H$4=#REF!),BDI!#REF!,IF(#REF!="ZERO",0))))),"")</f>
        <v>#REF!</v>
      </c>
      <c r="H1222" s="139" t="str">
        <f t="shared" si="115"/>
        <v/>
      </c>
      <c r="I1222" s="137" t="str">
        <f t="shared" si="116"/>
        <v/>
      </c>
      <c r="J1222" s="117"/>
      <c r="K1222" s="116">
        <v>0</v>
      </c>
      <c r="M1222" s="136" t="s">
        <v>416</v>
      </c>
      <c r="N1222" t="e">
        <v>#REF!</v>
      </c>
      <c r="Q1222" t="s">
        <v>416</v>
      </c>
    </row>
    <row r="1223" spans="1:17" hidden="1" x14ac:dyDescent="0.25">
      <c r="A1223" s="114" t="s">
        <v>2819</v>
      </c>
      <c r="B1223" s="115" t="s">
        <v>2820</v>
      </c>
      <c r="C1223" s="116" t="s">
        <v>16</v>
      </c>
      <c r="D1223" s="116">
        <v>0</v>
      </c>
      <c r="E1223" s="136" t="s">
        <v>416</v>
      </c>
      <c r="F1223" s="137" t="str">
        <f t="shared" ref="F1223:F1239" si="117">IF(ISNUMBER(E1223),D1223*E1223,"")</f>
        <v/>
      </c>
      <c r="G1223" s="138" t="e">
        <f>IF(A1223&lt;&gt;"",IF(AND(#REF!="Padrão",$H$4=#REF!),BDI!$B$17,IF(AND(#REF!="Padrão",$H$4=#REF!),BDI!#REF!,IF(AND(#REF!="Diferenciado",$H$4=#REF!),BDI!$E$17,IF(AND(#REF!="Diferenciado",$H$4=#REF!),BDI!#REF!,IF(#REF!="ZERO",0))))),"")</f>
        <v>#REF!</v>
      </c>
      <c r="H1223" s="139" t="str">
        <f t="shared" ref="H1223:H1239" si="118">IF(ISNUMBER(E1223),ROUND(E1223*(1+G1223),2),"")</f>
        <v/>
      </c>
      <c r="I1223" s="137" t="str">
        <f t="shared" ref="I1223:I1239" si="119">IF(ISNUMBER(E1223),ROUND(H1223*D1223,2),"")</f>
        <v/>
      </c>
      <c r="J1223" s="117"/>
      <c r="K1223" s="116">
        <v>0</v>
      </c>
      <c r="M1223" s="136" t="s">
        <v>416</v>
      </c>
      <c r="N1223" t="e">
        <v>#REF!</v>
      </c>
      <c r="Q1223" t="s">
        <v>416</v>
      </c>
    </row>
    <row r="1224" spans="1:17" hidden="1" x14ac:dyDescent="0.25">
      <c r="A1224" s="114" t="s">
        <v>2821</v>
      </c>
      <c r="B1224" s="115" t="s">
        <v>2822</v>
      </c>
      <c r="C1224" s="116" t="s">
        <v>16</v>
      </c>
      <c r="D1224" s="116">
        <v>0</v>
      </c>
      <c r="E1224" s="136">
        <f ca="1">OFFSET(INDEX(Composições!A:J,MATCH(Orçamentária!A1224,Composições!A:A,0),8),2,0)</f>
        <v>1072.4074999999998</v>
      </c>
      <c r="F1224" s="137">
        <f t="shared" ca="1" si="117"/>
        <v>0</v>
      </c>
      <c r="G1224" s="138" t="e">
        <f>IF(A1224&lt;&gt;"",IF(AND(#REF!="Padrão",$H$4=#REF!),BDI!$B$17,IF(AND(#REF!="Padrão",$H$4=#REF!),BDI!#REF!,IF(AND(#REF!="Diferenciado",$H$4=#REF!),BDI!$E$17,IF(AND(#REF!="Diferenciado",$H$4=#REF!),BDI!#REF!,IF(#REF!="ZERO",0))))),"")</f>
        <v>#REF!</v>
      </c>
      <c r="H1224" s="139" t="e">
        <f t="shared" ca="1" si="118"/>
        <v>#REF!</v>
      </c>
      <c r="I1224" s="137" t="e">
        <f t="shared" ca="1" si="119"/>
        <v>#REF!</v>
      </c>
      <c r="J1224" s="117"/>
      <c r="K1224" s="116">
        <v>0</v>
      </c>
      <c r="M1224" s="136" t="e">
        <f ca="1">OFFSET(INDEX([1]Composições!I:R,MATCH([1]Orçamentária!I1224,[1]Composições!I:I,0),8),2,0)</f>
        <v>#REF!</v>
      </c>
      <c r="N1224" t="e">
        <v>#REF!</v>
      </c>
      <c r="Q1224" t="e">
        <v>#REF!</v>
      </c>
    </row>
    <row r="1225" spans="1:17" hidden="1" x14ac:dyDescent="0.25">
      <c r="A1225" s="114" t="s">
        <v>2823</v>
      </c>
      <c r="B1225" s="115" t="s">
        <v>5489</v>
      </c>
      <c r="C1225" s="116" t="s">
        <v>16</v>
      </c>
      <c r="D1225" s="116">
        <v>0</v>
      </c>
      <c r="E1225" s="136" t="s">
        <v>416</v>
      </c>
      <c r="F1225" s="137" t="str">
        <f t="shared" si="117"/>
        <v/>
      </c>
      <c r="G1225" s="138" t="e">
        <f>IF(A1225&lt;&gt;"",IF(AND(#REF!="Padrão",$H$4=#REF!),BDI!$B$17,IF(AND(#REF!="Padrão",$H$4=#REF!),BDI!#REF!,IF(AND(#REF!="Diferenciado",$H$4=#REF!),BDI!$E$17,IF(AND(#REF!="Diferenciado",$H$4=#REF!),BDI!#REF!,IF(#REF!="ZERO",0))))),"")</f>
        <v>#REF!</v>
      </c>
      <c r="H1225" s="139" t="str">
        <f t="shared" si="118"/>
        <v/>
      </c>
      <c r="I1225" s="137" t="str">
        <f t="shared" si="119"/>
        <v/>
      </c>
      <c r="J1225" s="117"/>
      <c r="K1225" s="116">
        <v>0</v>
      </c>
      <c r="M1225" s="136" t="s">
        <v>416</v>
      </c>
      <c r="N1225" t="e">
        <v>#REF!</v>
      </c>
      <c r="Q1225" t="s">
        <v>416</v>
      </c>
    </row>
    <row r="1226" spans="1:17" hidden="1" x14ac:dyDescent="0.25">
      <c r="A1226" s="114" t="s">
        <v>2824</v>
      </c>
      <c r="B1226" s="115" t="s">
        <v>2825</v>
      </c>
      <c r="C1226" s="116" t="s">
        <v>16</v>
      </c>
      <c r="D1226" s="116">
        <v>0</v>
      </c>
      <c r="E1226" s="136" t="s">
        <v>416</v>
      </c>
      <c r="F1226" s="137" t="str">
        <f t="shared" si="117"/>
        <v/>
      </c>
      <c r="G1226" s="138" t="e">
        <f>IF(A1226&lt;&gt;"",IF(AND(#REF!="Padrão",$H$4=#REF!),BDI!$B$17,IF(AND(#REF!="Padrão",$H$4=#REF!),BDI!#REF!,IF(AND(#REF!="Diferenciado",$H$4=#REF!),BDI!$E$17,IF(AND(#REF!="Diferenciado",$H$4=#REF!),BDI!#REF!,IF(#REF!="ZERO",0))))),"")</f>
        <v>#REF!</v>
      </c>
      <c r="H1226" s="139" t="str">
        <f t="shared" si="118"/>
        <v/>
      </c>
      <c r="I1226" s="137" t="str">
        <f t="shared" si="119"/>
        <v/>
      </c>
      <c r="J1226" s="117"/>
      <c r="K1226" s="116">
        <v>0</v>
      </c>
      <c r="M1226" s="136" t="s">
        <v>416</v>
      </c>
      <c r="N1226" t="e">
        <v>#REF!</v>
      </c>
      <c r="Q1226" t="s">
        <v>416</v>
      </c>
    </row>
    <row r="1227" spans="1:17" hidden="1" x14ac:dyDescent="0.25">
      <c r="A1227" s="114" t="s">
        <v>2826</v>
      </c>
      <c r="B1227" s="115" t="s">
        <v>2827</v>
      </c>
      <c r="C1227" s="116" t="s">
        <v>16</v>
      </c>
      <c r="D1227" s="116">
        <v>0</v>
      </c>
      <c r="E1227" s="136" t="s">
        <v>416</v>
      </c>
      <c r="F1227" s="137" t="str">
        <f t="shared" si="117"/>
        <v/>
      </c>
      <c r="G1227" s="138" t="e">
        <f>IF(A1227&lt;&gt;"",IF(AND(#REF!="Padrão",$H$4=#REF!),BDI!$B$17,IF(AND(#REF!="Padrão",$H$4=#REF!),BDI!#REF!,IF(AND(#REF!="Diferenciado",$H$4=#REF!),BDI!$E$17,IF(AND(#REF!="Diferenciado",$H$4=#REF!),BDI!#REF!,IF(#REF!="ZERO",0))))),"")</f>
        <v>#REF!</v>
      </c>
      <c r="H1227" s="139" t="str">
        <f t="shared" si="118"/>
        <v/>
      </c>
      <c r="I1227" s="137" t="str">
        <f t="shared" si="119"/>
        <v/>
      </c>
      <c r="J1227" s="117"/>
      <c r="K1227" s="116">
        <v>0</v>
      </c>
      <c r="M1227" s="136" t="s">
        <v>416</v>
      </c>
      <c r="N1227" t="e">
        <v>#REF!</v>
      </c>
      <c r="Q1227" t="s">
        <v>416</v>
      </c>
    </row>
    <row r="1228" spans="1:17" hidden="1" x14ac:dyDescent="0.25">
      <c r="A1228" s="114" t="s">
        <v>2828</v>
      </c>
      <c r="B1228" s="115" t="s">
        <v>2829</v>
      </c>
      <c r="C1228" s="116" t="s">
        <v>69</v>
      </c>
      <c r="D1228" s="116">
        <v>0</v>
      </c>
      <c r="E1228" s="136" t="s">
        <v>416</v>
      </c>
      <c r="F1228" s="137" t="str">
        <f t="shared" si="117"/>
        <v/>
      </c>
      <c r="G1228" s="138" t="e">
        <f>IF(A1228&lt;&gt;"",IF(AND(#REF!="Padrão",$H$4=#REF!),BDI!$B$17,IF(AND(#REF!="Padrão",$H$4=#REF!),BDI!#REF!,IF(AND(#REF!="Diferenciado",$H$4=#REF!),BDI!$E$17,IF(AND(#REF!="Diferenciado",$H$4=#REF!),BDI!#REF!,IF(#REF!="ZERO",0))))),"")</f>
        <v>#REF!</v>
      </c>
      <c r="H1228" s="139" t="str">
        <f t="shared" si="118"/>
        <v/>
      </c>
      <c r="I1228" s="137" t="str">
        <f t="shared" si="119"/>
        <v/>
      </c>
      <c r="J1228" s="117"/>
      <c r="K1228" s="116">
        <v>0</v>
      </c>
      <c r="M1228" s="136" t="s">
        <v>416</v>
      </c>
      <c r="N1228" t="e">
        <v>#REF!</v>
      </c>
      <c r="Q1228" t="s">
        <v>416</v>
      </c>
    </row>
    <row r="1229" spans="1:17" hidden="1" x14ac:dyDescent="0.25">
      <c r="A1229" s="114" t="s">
        <v>2830</v>
      </c>
      <c r="B1229" s="115" t="s">
        <v>2831</v>
      </c>
      <c r="C1229" s="116" t="s">
        <v>16</v>
      </c>
      <c r="D1229" s="116">
        <v>0</v>
      </c>
      <c r="E1229" s="136" t="s">
        <v>416</v>
      </c>
      <c r="F1229" s="137" t="str">
        <f t="shared" si="117"/>
        <v/>
      </c>
      <c r="G1229" s="138" t="e">
        <f>IF(A1229&lt;&gt;"",IF(AND(#REF!="Padrão",$H$4=#REF!),BDI!$B$17,IF(AND(#REF!="Padrão",$H$4=#REF!),BDI!#REF!,IF(AND(#REF!="Diferenciado",$H$4=#REF!),BDI!$E$17,IF(AND(#REF!="Diferenciado",$H$4=#REF!),BDI!#REF!,IF(#REF!="ZERO",0))))),"")</f>
        <v>#REF!</v>
      </c>
      <c r="H1229" s="139" t="str">
        <f t="shared" si="118"/>
        <v/>
      </c>
      <c r="I1229" s="137" t="str">
        <f t="shared" si="119"/>
        <v/>
      </c>
      <c r="J1229" s="117"/>
      <c r="K1229" s="116">
        <v>0</v>
      </c>
      <c r="M1229" s="136" t="s">
        <v>416</v>
      </c>
      <c r="N1229" t="e">
        <v>#REF!</v>
      </c>
      <c r="Q1229" t="s">
        <v>416</v>
      </c>
    </row>
    <row r="1230" spans="1:17" hidden="1" x14ac:dyDescent="0.25">
      <c r="A1230" s="114" t="s">
        <v>2832</v>
      </c>
      <c r="B1230" s="115" t="s">
        <v>2833</v>
      </c>
      <c r="C1230" s="116" t="s">
        <v>70</v>
      </c>
      <c r="D1230" s="116">
        <v>0</v>
      </c>
      <c r="E1230" s="136">
        <f ca="1">OFFSET(INDEX(Composições!A:J,MATCH(Orçamentária!A1230,Composições!A:A,0),8),2,0)</f>
        <v>43.908999999999999</v>
      </c>
      <c r="F1230" s="137">
        <f t="shared" ca="1" si="117"/>
        <v>0</v>
      </c>
      <c r="G1230" s="138" t="e">
        <f>IF(A1230&lt;&gt;"",IF(AND(#REF!="Padrão",$H$4=#REF!),BDI!$B$17,IF(AND(#REF!="Padrão",$H$4=#REF!),BDI!#REF!,IF(AND(#REF!="Diferenciado",$H$4=#REF!),BDI!$E$17,IF(AND(#REF!="Diferenciado",$H$4=#REF!),BDI!#REF!,IF(#REF!="ZERO",0))))),"")</f>
        <v>#REF!</v>
      </c>
      <c r="H1230" s="139" t="e">
        <f t="shared" ca="1" si="118"/>
        <v>#REF!</v>
      </c>
      <c r="I1230" s="137" t="e">
        <f t="shared" ca="1" si="119"/>
        <v>#REF!</v>
      </c>
      <c r="J1230" s="117"/>
      <c r="K1230" s="116">
        <v>0</v>
      </c>
      <c r="M1230" s="136" t="e">
        <f ca="1">OFFSET(INDEX([1]Composições!I:R,MATCH([1]Orçamentária!I1230,[1]Composições!I:I,0),8),2,0)</f>
        <v>#REF!</v>
      </c>
      <c r="N1230" t="e">
        <v>#REF!</v>
      </c>
      <c r="Q1230" t="e">
        <v>#REF!</v>
      </c>
    </row>
    <row r="1231" spans="1:17" hidden="1" x14ac:dyDescent="0.25">
      <c r="A1231" s="114" t="s">
        <v>2834</v>
      </c>
      <c r="B1231" s="115" t="s">
        <v>2835</v>
      </c>
      <c r="C1231" s="116" t="s">
        <v>75</v>
      </c>
      <c r="D1231" s="116">
        <v>0</v>
      </c>
      <c r="E1231" s="136">
        <f ca="1">OFFSET(INDEX(Composições!A:J,MATCH(Orçamentária!A1231,Composições!A:A,0),8),2,0)</f>
        <v>18.506</v>
      </c>
      <c r="F1231" s="137">
        <f t="shared" ca="1" si="117"/>
        <v>0</v>
      </c>
      <c r="G1231" s="138" t="e">
        <f>IF(A1231&lt;&gt;"",IF(AND(#REF!="Padrão",$H$4=#REF!),BDI!$B$17,IF(AND(#REF!="Padrão",$H$4=#REF!),BDI!#REF!,IF(AND(#REF!="Diferenciado",$H$4=#REF!),BDI!$E$17,IF(AND(#REF!="Diferenciado",$H$4=#REF!),BDI!#REF!,IF(#REF!="ZERO",0))))),"")</f>
        <v>#REF!</v>
      </c>
      <c r="H1231" s="139" t="e">
        <f t="shared" ca="1" si="118"/>
        <v>#REF!</v>
      </c>
      <c r="I1231" s="137" t="e">
        <f t="shared" ca="1" si="119"/>
        <v>#REF!</v>
      </c>
      <c r="J1231" s="117"/>
      <c r="K1231" s="116">
        <v>0</v>
      </c>
      <c r="M1231" s="136" t="e">
        <f ca="1">OFFSET(INDEX([1]Composições!I:R,MATCH([1]Orçamentária!I1231,[1]Composições!I:I,0),8),2,0)</f>
        <v>#REF!</v>
      </c>
      <c r="N1231" t="e">
        <v>#REF!</v>
      </c>
      <c r="Q1231" t="e">
        <v>#REF!</v>
      </c>
    </row>
    <row r="1232" spans="1:17" ht="38.25" hidden="1" x14ac:dyDescent="0.25">
      <c r="A1232" s="114" t="s">
        <v>2836</v>
      </c>
      <c r="B1232" s="115" t="s">
        <v>7712</v>
      </c>
      <c r="C1232" s="116" t="s">
        <v>16</v>
      </c>
      <c r="D1232" s="116">
        <v>0</v>
      </c>
      <c r="E1232" s="136" t="s">
        <v>416</v>
      </c>
      <c r="F1232" s="137" t="str">
        <f t="shared" si="117"/>
        <v/>
      </c>
      <c r="G1232" s="138" t="e">
        <f>IF(A1232&lt;&gt;"",IF(AND(#REF!="Padrão",$H$4=#REF!),BDI!$B$17,IF(AND(#REF!="Padrão",$H$4=#REF!),BDI!#REF!,IF(AND(#REF!="Diferenciado",$H$4=#REF!),BDI!$E$17,IF(AND(#REF!="Diferenciado",$H$4=#REF!),BDI!#REF!,IF(#REF!="ZERO",0))))),"")</f>
        <v>#REF!</v>
      </c>
      <c r="H1232" s="139" t="str">
        <f t="shared" si="118"/>
        <v/>
      </c>
      <c r="I1232" s="137" t="str">
        <f t="shared" si="119"/>
        <v/>
      </c>
      <c r="J1232" s="117"/>
      <c r="K1232" s="116">
        <v>0</v>
      </c>
      <c r="M1232" s="136" t="s">
        <v>416</v>
      </c>
      <c r="N1232" t="e">
        <v>#REF!</v>
      </c>
      <c r="Q1232" t="s">
        <v>416</v>
      </c>
    </row>
    <row r="1233" spans="1:17" ht="38.25" hidden="1" x14ac:dyDescent="0.25">
      <c r="A1233" s="114" t="s">
        <v>2837</v>
      </c>
      <c r="B1233" s="115" t="s">
        <v>7711</v>
      </c>
      <c r="C1233" s="116" t="s">
        <v>16</v>
      </c>
      <c r="D1233" s="116">
        <v>0</v>
      </c>
      <c r="E1233" s="136" t="s">
        <v>416</v>
      </c>
      <c r="F1233" s="137" t="str">
        <f t="shared" si="117"/>
        <v/>
      </c>
      <c r="G1233" s="138" t="e">
        <f>IF(A1233&lt;&gt;"",IF(AND(#REF!="Padrão",$H$4=#REF!),BDI!$B$17,IF(AND(#REF!="Padrão",$H$4=#REF!),BDI!#REF!,IF(AND(#REF!="Diferenciado",$H$4=#REF!),BDI!$E$17,IF(AND(#REF!="Diferenciado",$H$4=#REF!),BDI!#REF!,IF(#REF!="ZERO",0))))),"")</f>
        <v>#REF!</v>
      </c>
      <c r="H1233" s="139" t="str">
        <f t="shared" si="118"/>
        <v/>
      </c>
      <c r="I1233" s="137" t="str">
        <f t="shared" si="119"/>
        <v/>
      </c>
      <c r="J1233" s="117"/>
      <c r="K1233" s="116">
        <v>0</v>
      </c>
      <c r="M1233" s="136" t="s">
        <v>416</v>
      </c>
      <c r="N1233" t="e">
        <v>#REF!</v>
      </c>
      <c r="Q1233" t="s">
        <v>416</v>
      </c>
    </row>
    <row r="1234" spans="1:17" ht="25.5" hidden="1" x14ac:dyDescent="0.25">
      <c r="A1234" s="114" t="s">
        <v>2838</v>
      </c>
      <c r="B1234" s="115" t="s">
        <v>7710</v>
      </c>
      <c r="C1234" s="116" t="s">
        <v>16</v>
      </c>
      <c r="D1234" s="116">
        <v>0</v>
      </c>
      <c r="E1234" s="136" t="s">
        <v>416</v>
      </c>
      <c r="F1234" s="137" t="str">
        <f t="shared" si="117"/>
        <v/>
      </c>
      <c r="G1234" s="138" t="e">
        <f>IF(A1234&lt;&gt;"",IF(AND(#REF!="Padrão",$H$4=#REF!),BDI!$B$17,IF(AND(#REF!="Padrão",$H$4=#REF!),BDI!#REF!,IF(AND(#REF!="Diferenciado",$H$4=#REF!),BDI!$E$17,IF(AND(#REF!="Diferenciado",$H$4=#REF!),BDI!#REF!,IF(#REF!="ZERO",0))))),"")</f>
        <v>#REF!</v>
      </c>
      <c r="H1234" s="139" t="str">
        <f t="shared" si="118"/>
        <v/>
      </c>
      <c r="I1234" s="137" t="str">
        <f t="shared" si="119"/>
        <v/>
      </c>
      <c r="J1234" s="117"/>
      <c r="K1234" s="116">
        <v>0</v>
      </c>
      <c r="M1234" s="136" t="s">
        <v>416</v>
      </c>
      <c r="N1234" t="e">
        <v>#REF!</v>
      </c>
      <c r="Q1234" t="s">
        <v>416</v>
      </c>
    </row>
    <row r="1235" spans="1:17" hidden="1" x14ac:dyDescent="0.25">
      <c r="A1235" s="114" t="s">
        <v>2839</v>
      </c>
      <c r="B1235" s="115" t="s">
        <v>2840</v>
      </c>
      <c r="C1235" s="116" t="s">
        <v>16</v>
      </c>
      <c r="D1235" s="116">
        <v>0</v>
      </c>
      <c r="E1235" s="136" t="s">
        <v>416</v>
      </c>
      <c r="F1235" s="137" t="str">
        <f t="shared" si="117"/>
        <v/>
      </c>
      <c r="G1235" s="138" t="e">
        <f>IF(A1235&lt;&gt;"",IF(AND(#REF!="Padrão",$H$4=#REF!),BDI!$B$17,IF(AND(#REF!="Padrão",$H$4=#REF!),BDI!#REF!,IF(AND(#REF!="Diferenciado",$H$4=#REF!),BDI!$E$17,IF(AND(#REF!="Diferenciado",$H$4=#REF!),BDI!#REF!,IF(#REF!="ZERO",0))))),"")</f>
        <v>#REF!</v>
      </c>
      <c r="H1235" s="139" t="str">
        <f t="shared" si="118"/>
        <v/>
      </c>
      <c r="I1235" s="137" t="str">
        <f t="shared" si="119"/>
        <v/>
      </c>
      <c r="J1235" s="117"/>
      <c r="K1235" s="116">
        <v>0</v>
      </c>
      <c r="M1235" s="136" t="s">
        <v>416</v>
      </c>
      <c r="N1235" t="e">
        <v>#REF!</v>
      </c>
      <c r="Q1235" t="s">
        <v>416</v>
      </c>
    </row>
    <row r="1236" spans="1:17" hidden="1" x14ac:dyDescent="0.25">
      <c r="A1236" s="114" t="s">
        <v>2841</v>
      </c>
      <c r="B1236" s="115" t="s">
        <v>7713</v>
      </c>
      <c r="C1236" s="116" t="s">
        <v>5414</v>
      </c>
      <c r="D1236" s="116">
        <v>0</v>
      </c>
      <c r="E1236" s="136" t="s">
        <v>416</v>
      </c>
      <c r="F1236" s="137" t="str">
        <f t="shared" si="117"/>
        <v/>
      </c>
      <c r="G1236" s="138" t="e">
        <f>IF(A1236&lt;&gt;"",IF(AND(#REF!="Padrão",$H$4=#REF!),BDI!$B$17,IF(AND(#REF!="Padrão",$H$4=#REF!),BDI!#REF!,IF(AND(#REF!="Diferenciado",$H$4=#REF!),BDI!$E$17,IF(AND(#REF!="Diferenciado",$H$4=#REF!),BDI!#REF!,IF(#REF!="ZERO",0))))),"")</f>
        <v>#REF!</v>
      </c>
      <c r="H1236" s="139" t="str">
        <f t="shared" si="118"/>
        <v/>
      </c>
      <c r="I1236" s="137" t="str">
        <f t="shared" si="119"/>
        <v/>
      </c>
      <c r="J1236" s="117"/>
      <c r="K1236" s="116">
        <v>0</v>
      </c>
      <c r="M1236" s="136" t="s">
        <v>416</v>
      </c>
      <c r="N1236" t="e">
        <v>#REF!</v>
      </c>
      <c r="Q1236" t="s">
        <v>416</v>
      </c>
    </row>
    <row r="1237" spans="1:17" hidden="1" x14ac:dyDescent="0.25">
      <c r="A1237" s="114" t="s">
        <v>1263</v>
      </c>
      <c r="B1237" s="115" t="s">
        <v>2842</v>
      </c>
      <c r="C1237" s="116" t="s">
        <v>70</v>
      </c>
      <c r="D1237" s="116">
        <v>0</v>
      </c>
      <c r="E1237" s="136">
        <f ca="1">OFFSET(INDEX(Composições!A:J,MATCH(Orçamentária!A1237,Composições!A:A,0),8),2,0)</f>
        <v>15.1563</v>
      </c>
      <c r="F1237" s="137">
        <f t="shared" ca="1" si="117"/>
        <v>0</v>
      </c>
      <c r="G1237" s="138" t="e">
        <f>IF(A1237&lt;&gt;"",IF(AND(#REF!="Padrão",$H$4=#REF!),BDI!$B$17,IF(AND(#REF!="Padrão",$H$4=#REF!),BDI!#REF!,IF(AND(#REF!="Diferenciado",$H$4=#REF!),BDI!$E$17,IF(AND(#REF!="Diferenciado",$H$4=#REF!),BDI!#REF!,IF(#REF!="ZERO",0))))),"")</f>
        <v>#REF!</v>
      </c>
      <c r="H1237" s="139" t="e">
        <f t="shared" ca="1" si="118"/>
        <v>#REF!</v>
      </c>
      <c r="I1237" s="137" t="e">
        <f t="shared" ca="1" si="119"/>
        <v>#REF!</v>
      </c>
      <c r="J1237" s="117"/>
      <c r="K1237" s="116">
        <v>0</v>
      </c>
      <c r="M1237" s="136" t="e">
        <f ca="1">OFFSET(INDEX([1]Composições!I:R,MATCH([1]Orçamentária!I1237,[1]Composições!I:I,0),8),2,0)</f>
        <v>#REF!</v>
      </c>
      <c r="N1237" t="e">
        <v>#REF!</v>
      </c>
      <c r="Q1237" t="e">
        <v>#REF!</v>
      </c>
    </row>
    <row r="1238" spans="1:17" hidden="1" x14ac:dyDescent="0.25">
      <c r="A1238" s="114" t="s">
        <v>1266</v>
      </c>
      <c r="B1238" s="115" t="s">
        <v>2843</v>
      </c>
      <c r="C1238" s="116" t="s">
        <v>70</v>
      </c>
      <c r="D1238" s="116">
        <v>0</v>
      </c>
      <c r="E1238" s="136">
        <f ca="1">OFFSET(INDEX(Composições!A:J,MATCH(Orçamentária!A1238,Composições!A:A,0),8),2,0)</f>
        <v>2.2941549999999999</v>
      </c>
      <c r="F1238" s="137">
        <f t="shared" ca="1" si="117"/>
        <v>0</v>
      </c>
      <c r="G1238" s="138" t="e">
        <f>IF(A1238&lt;&gt;"",IF(AND(#REF!="Padrão",$H$4=#REF!),BDI!$B$17,IF(AND(#REF!="Padrão",$H$4=#REF!),BDI!#REF!,IF(AND(#REF!="Diferenciado",$H$4=#REF!),BDI!$E$17,IF(AND(#REF!="Diferenciado",$H$4=#REF!),BDI!#REF!,IF(#REF!="ZERO",0))))),"")</f>
        <v>#REF!</v>
      </c>
      <c r="H1238" s="139" t="e">
        <f t="shared" ca="1" si="118"/>
        <v>#REF!</v>
      </c>
      <c r="I1238" s="137" t="e">
        <f t="shared" ca="1" si="119"/>
        <v>#REF!</v>
      </c>
      <c r="J1238" s="117"/>
      <c r="K1238" s="116">
        <v>0</v>
      </c>
      <c r="M1238" s="136" t="e">
        <f ca="1">OFFSET(INDEX([1]Composições!I:R,MATCH([1]Orçamentária!I1238,[1]Composições!I:I,0),8),2,0)</f>
        <v>#REF!</v>
      </c>
      <c r="N1238" t="e">
        <v>#REF!</v>
      </c>
      <c r="Q1238" t="e">
        <v>#REF!</v>
      </c>
    </row>
    <row r="1239" spans="1:17" hidden="1" x14ac:dyDescent="0.25">
      <c r="A1239" s="114" t="s">
        <v>2844</v>
      </c>
      <c r="B1239" s="115" t="s">
        <v>5490</v>
      </c>
      <c r="C1239" s="116" t="s">
        <v>16</v>
      </c>
      <c r="D1239" s="116">
        <v>0</v>
      </c>
      <c r="E1239" s="136" t="s">
        <v>416</v>
      </c>
      <c r="F1239" s="137" t="str">
        <f t="shared" si="117"/>
        <v/>
      </c>
      <c r="G1239" s="138" t="e">
        <f>IF(A1239&lt;&gt;"",IF(AND(#REF!="Padrão",$H$4=#REF!),BDI!$B$17,IF(AND(#REF!="Padrão",$H$4=#REF!),BDI!#REF!,IF(AND(#REF!="Diferenciado",$H$4=#REF!),BDI!$E$17,IF(AND(#REF!="Diferenciado",$H$4=#REF!),BDI!#REF!,IF(#REF!="ZERO",0))))),"")</f>
        <v>#REF!</v>
      </c>
      <c r="H1239" s="139" t="str">
        <f t="shared" si="118"/>
        <v/>
      </c>
      <c r="I1239" s="137" t="str">
        <f t="shared" si="119"/>
        <v/>
      </c>
      <c r="J1239" s="117"/>
      <c r="K1239" s="116">
        <v>0</v>
      </c>
      <c r="M1239" s="136" t="s">
        <v>416</v>
      </c>
      <c r="N1239" t="e">
        <v>#REF!</v>
      </c>
      <c r="Q1239" t="s">
        <v>416</v>
      </c>
    </row>
    <row r="1240" spans="1:17" hidden="1" x14ac:dyDescent="0.25">
      <c r="A1240" s="114" t="s">
        <v>2956</v>
      </c>
      <c r="B1240" s="115" t="s">
        <v>3013</v>
      </c>
      <c r="C1240" s="116" t="s">
        <v>16</v>
      </c>
      <c r="D1240" s="116">
        <v>0</v>
      </c>
      <c r="E1240" s="136">
        <f ca="1">OFFSET(INDEX(Composições!A:J,MATCH(Orçamentária!A1240,Composições!A:A,0),8),2,0)</f>
        <v>925.0633044599997</v>
      </c>
      <c r="F1240" s="137">
        <f t="shared" ref="F1240:F1291" ca="1" si="120">IF(ISNUMBER(E1240),D1240*E1240,"")</f>
        <v>0</v>
      </c>
      <c r="G1240" s="138" t="e">
        <f>IF(A1240&lt;&gt;"",IF(AND(#REF!="Padrão",$H$4=#REF!),BDI!$B$17,IF(AND(#REF!="Padrão",$H$4=#REF!),BDI!#REF!,IF(AND(#REF!="Diferenciado",$H$4=#REF!),BDI!$E$17,IF(AND(#REF!="Diferenciado",$H$4=#REF!),BDI!#REF!,IF(#REF!="ZERO",0))))),"")</f>
        <v>#REF!</v>
      </c>
      <c r="H1240" s="139" t="e">
        <f t="shared" ref="H1240:H1291" ca="1" si="121">IF(ISNUMBER(E1240),ROUND(E1240*(1+G1240),2),"")</f>
        <v>#REF!</v>
      </c>
      <c r="I1240" s="137" t="e">
        <f t="shared" ref="I1240:I1291" ca="1" si="122">IF(ISNUMBER(E1240),ROUND(H1240*D1240,2),"")</f>
        <v>#REF!</v>
      </c>
      <c r="J1240" s="117"/>
      <c r="K1240" s="116">
        <v>0</v>
      </c>
      <c r="M1240" s="136" t="e">
        <f ca="1">OFFSET(INDEX([1]Composições!I:R,MATCH([1]Orçamentária!I1240,[1]Composições!I:I,0),8),2,0)</f>
        <v>#REF!</v>
      </c>
      <c r="N1240" t="e">
        <v>#REF!</v>
      </c>
      <c r="Q1240" t="e">
        <v>#REF!</v>
      </c>
    </row>
    <row r="1241" spans="1:17" hidden="1" x14ac:dyDescent="0.25">
      <c r="A1241" s="114" t="s">
        <v>2957</v>
      </c>
      <c r="B1241" s="115" t="s">
        <v>3014</v>
      </c>
      <c r="C1241" s="116" t="s">
        <v>16</v>
      </c>
      <c r="D1241" s="116">
        <v>0</v>
      </c>
      <c r="E1241" s="136">
        <f ca="1">OFFSET(INDEX(Composições!A:J,MATCH(Orçamentária!A1241,Composições!A:A,0),8),2,0)</f>
        <v>957.50317758333313</v>
      </c>
      <c r="F1241" s="137">
        <f t="shared" ca="1" si="120"/>
        <v>0</v>
      </c>
      <c r="G1241" s="138" t="e">
        <f>IF(A1241&lt;&gt;"",IF(AND(#REF!="Padrão",$H$4=#REF!),BDI!$B$17,IF(AND(#REF!="Padrão",$H$4=#REF!),BDI!#REF!,IF(AND(#REF!="Diferenciado",$H$4=#REF!),BDI!$E$17,IF(AND(#REF!="Diferenciado",$H$4=#REF!),BDI!#REF!,IF(#REF!="ZERO",0))))),"")</f>
        <v>#REF!</v>
      </c>
      <c r="H1241" s="139" t="e">
        <f t="shared" ca="1" si="121"/>
        <v>#REF!</v>
      </c>
      <c r="I1241" s="137" t="e">
        <f t="shared" ca="1" si="122"/>
        <v>#REF!</v>
      </c>
      <c r="J1241" s="117"/>
      <c r="K1241" s="116">
        <v>0</v>
      </c>
      <c r="M1241" s="136" t="e">
        <f ca="1">OFFSET(INDEX([1]Composições!I:R,MATCH([1]Orçamentária!I1241,[1]Composições!I:I,0),8),2,0)</f>
        <v>#REF!</v>
      </c>
      <c r="N1241" t="e">
        <v>#REF!</v>
      </c>
      <c r="Q1241" t="e">
        <v>#REF!</v>
      </c>
    </row>
    <row r="1242" spans="1:17" hidden="1" x14ac:dyDescent="0.25">
      <c r="A1242" s="114" t="s">
        <v>2958</v>
      </c>
      <c r="B1242" s="115" t="s">
        <v>3015</v>
      </c>
      <c r="C1242" s="116" t="s">
        <v>16</v>
      </c>
      <c r="D1242" s="116">
        <v>0</v>
      </c>
      <c r="E1242" s="136" t="s">
        <v>416</v>
      </c>
      <c r="F1242" s="137" t="str">
        <f t="shared" si="120"/>
        <v/>
      </c>
      <c r="G1242" s="138" t="e">
        <f>IF(A1242&lt;&gt;"",IF(AND(#REF!="Padrão",$H$4=#REF!),BDI!$B$17,IF(AND(#REF!="Padrão",$H$4=#REF!),BDI!#REF!,IF(AND(#REF!="Diferenciado",$H$4=#REF!),BDI!$E$17,IF(AND(#REF!="Diferenciado",$H$4=#REF!),BDI!#REF!,IF(#REF!="ZERO",0))))),"")</f>
        <v>#REF!</v>
      </c>
      <c r="H1242" s="139" t="str">
        <f t="shared" si="121"/>
        <v/>
      </c>
      <c r="I1242" s="137" t="str">
        <f t="shared" si="122"/>
        <v/>
      </c>
      <c r="J1242" s="117"/>
      <c r="K1242" s="116">
        <v>0</v>
      </c>
      <c r="M1242" s="136" t="s">
        <v>416</v>
      </c>
      <c r="N1242" t="e">
        <v>#REF!</v>
      </c>
      <c r="Q1242" t="s">
        <v>416</v>
      </c>
    </row>
    <row r="1243" spans="1:17" hidden="1" x14ac:dyDescent="0.25">
      <c r="A1243" s="114" t="s">
        <v>2959</v>
      </c>
      <c r="B1243" s="115" t="s">
        <v>3016</v>
      </c>
      <c r="C1243" s="116" t="s">
        <v>16</v>
      </c>
      <c r="D1243" s="116">
        <v>0</v>
      </c>
      <c r="E1243" s="136" t="s">
        <v>416</v>
      </c>
      <c r="F1243" s="137" t="str">
        <f t="shared" si="120"/>
        <v/>
      </c>
      <c r="G1243" s="138" t="e">
        <f>IF(A1243&lt;&gt;"",IF(AND(#REF!="Padrão",$H$4=#REF!),BDI!$B$17,IF(AND(#REF!="Padrão",$H$4=#REF!),BDI!#REF!,IF(AND(#REF!="Diferenciado",$H$4=#REF!),BDI!$E$17,IF(AND(#REF!="Diferenciado",$H$4=#REF!),BDI!#REF!,IF(#REF!="ZERO",0))))),"")</f>
        <v>#REF!</v>
      </c>
      <c r="H1243" s="139" t="str">
        <f t="shared" si="121"/>
        <v/>
      </c>
      <c r="I1243" s="137" t="str">
        <f t="shared" si="122"/>
        <v/>
      </c>
      <c r="J1243" s="117"/>
      <c r="K1243" s="116">
        <v>0</v>
      </c>
      <c r="M1243" s="136" t="s">
        <v>416</v>
      </c>
      <c r="N1243" t="e">
        <v>#REF!</v>
      </c>
      <c r="Q1243" t="s">
        <v>416</v>
      </c>
    </row>
    <row r="1244" spans="1:17" hidden="1" x14ac:dyDescent="0.25">
      <c r="A1244" s="114" t="s">
        <v>2960</v>
      </c>
      <c r="B1244" s="115" t="s">
        <v>3017</v>
      </c>
      <c r="C1244" s="116" t="s">
        <v>16</v>
      </c>
      <c r="D1244" s="116">
        <v>0</v>
      </c>
      <c r="E1244" s="136" t="s">
        <v>416</v>
      </c>
      <c r="F1244" s="137" t="str">
        <f t="shared" si="120"/>
        <v/>
      </c>
      <c r="G1244" s="138" t="e">
        <f>IF(A1244&lt;&gt;"",IF(AND(#REF!="Padrão",$H$4=#REF!),BDI!$B$17,IF(AND(#REF!="Padrão",$H$4=#REF!),BDI!#REF!,IF(AND(#REF!="Diferenciado",$H$4=#REF!),BDI!$E$17,IF(AND(#REF!="Diferenciado",$H$4=#REF!),BDI!#REF!,IF(#REF!="ZERO",0))))),"")</f>
        <v>#REF!</v>
      </c>
      <c r="H1244" s="139" t="str">
        <f t="shared" si="121"/>
        <v/>
      </c>
      <c r="I1244" s="137" t="str">
        <f t="shared" si="122"/>
        <v/>
      </c>
      <c r="J1244" s="117"/>
      <c r="K1244" s="116">
        <v>0</v>
      </c>
      <c r="M1244" s="136" t="s">
        <v>416</v>
      </c>
      <c r="N1244" t="e">
        <v>#REF!</v>
      </c>
      <c r="Q1244" t="s">
        <v>416</v>
      </c>
    </row>
    <row r="1245" spans="1:17" hidden="1" x14ac:dyDescent="0.25">
      <c r="A1245" s="114" t="s">
        <v>2961</v>
      </c>
      <c r="B1245" s="115" t="s">
        <v>3018</v>
      </c>
      <c r="C1245" s="116" t="s">
        <v>16</v>
      </c>
      <c r="D1245" s="116">
        <v>0</v>
      </c>
      <c r="E1245" s="136">
        <f ca="1">OFFSET(INDEX(Composições!A:J,MATCH(Orçamentária!A1245,Composições!A:A,0),8),2,0)</f>
        <v>3.7591499999999991</v>
      </c>
      <c r="F1245" s="137">
        <f t="shared" ca="1" si="120"/>
        <v>0</v>
      </c>
      <c r="G1245" s="138" t="e">
        <f>IF(A1245&lt;&gt;"",IF(AND(#REF!="Padrão",$H$4=#REF!),BDI!$B$17,IF(AND(#REF!="Padrão",$H$4=#REF!),BDI!#REF!,IF(AND(#REF!="Diferenciado",$H$4=#REF!),BDI!$E$17,IF(AND(#REF!="Diferenciado",$H$4=#REF!),BDI!#REF!,IF(#REF!="ZERO",0))))),"")</f>
        <v>#REF!</v>
      </c>
      <c r="H1245" s="139" t="e">
        <f t="shared" ca="1" si="121"/>
        <v>#REF!</v>
      </c>
      <c r="I1245" s="137" t="e">
        <f t="shared" ca="1" si="122"/>
        <v>#REF!</v>
      </c>
      <c r="J1245" s="117"/>
      <c r="K1245" s="116">
        <v>0</v>
      </c>
      <c r="M1245" s="136" t="e">
        <f ca="1">OFFSET(INDEX([1]Composições!I:R,MATCH([1]Orçamentária!I1245,[1]Composições!I:I,0),8),2,0)</f>
        <v>#REF!</v>
      </c>
      <c r="N1245" t="e">
        <v>#REF!</v>
      </c>
      <c r="Q1245" t="e">
        <v>#REF!</v>
      </c>
    </row>
    <row r="1246" spans="1:17" hidden="1" x14ac:dyDescent="0.25">
      <c r="A1246" s="114" t="s">
        <v>2962</v>
      </c>
      <c r="B1246" s="115" t="s">
        <v>3019</v>
      </c>
      <c r="C1246" s="116" t="s">
        <v>16</v>
      </c>
      <c r="D1246" s="116">
        <v>0</v>
      </c>
      <c r="E1246" s="136">
        <f ca="1">OFFSET(INDEX(Composições!A:J,MATCH(Orçamentária!A1246,Composições!A:A,0),8),2,0)</f>
        <v>3.7591499999999991</v>
      </c>
      <c r="F1246" s="137">
        <f t="shared" ca="1" si="120"/>
        <v>0</v>
      </c>
      <c r="G1246" s="138" t="e">
        <f>IF(A1246&lt;&gt;"",IF(AND(#REF!="Padrão",$H$4=#REF!),BDI!$B$17,IF(AND(#REF!="Padrão",$H$4=#REF!),BDI!#REF!,IF(AND(#REF!="Diferenciado",$H$4=#REF!),BDI!$E$17,IF(AND(#REF!="Diferenciado",$H$4=#REF!),BDI!#REF!,IF(#REF!="ZERO",0))))),"")</f>
        <v>#REF!</v>
      </c>
      <c r="H1246" s="139" t="e">
        <f t="shared" ca="1" si="121"/>
        <v>#REF!</v>
      </c>
      <c r="I1246" s="137" t="e">
        <f t="shared" ca="1" si="122"/>
        <v>#REF!</v>
      </c>
      <c r="J1246" s="117"/>
      <c r="K1246" s="116">
        <v>0</v>
      </c>
      <c r="M1246" s="136" t="e">
        <f ca="1">OFFSET(INDEX([1]Composições!I:R,MATCH([1]Orçamentária!I1246,[1]Composições!I:I,0),8),2,0)</f>
        <v>#REF!</v>
      </c>
      <c r="N1246" t="e">
        <v>#REF!</v>
      </c>
      <c r="Q1246" t="e">
        <v>#REF!</v>
      </c>
    </row>
    <row r="1247" spans="1:17" hidden="1" x14ac:dyDescent="0.25">
      <c r="A1247" s="114" t="s">
        <v>2963</v>
      </c>
      <c r="B1247" s="115" t="s">
        <v>3020</v>
      </c>
      <c r="C1247" s="116" t="s">
        <v>16</v>
      </c>
      <c r="D1247" s="116">
        <v>0</v>
      </c>
      <c r="E1247" s="136">
        <f ca="1">OFFSET(INDEX(Composições!A:J,MATCH(Orçamentária!A1247,Composições!A:A,0),8),2,0)</f>
        <v>3.7591499999999991</v>
      </c>
      <c r="F1247" s="137">
        <f t="shared" ca="1" si="120"/>
        <v>0</v>
      </c>
      <c r="G1247" s="138" t="e">
        <f>IF(A1247&lt;&gt;"",IF(AND(#REF!="Padrão",$H$4=#REF!),BDI!$B$17,IF(AND(#REF!="Padrão",$H$4=#REF!),BDI!#REF!,IF(AND(#REF!="Diferenciado",$H$4=#REF!),BDI!$E$17,IF(AND(#REF!="Diferenciado",$H$4=#REF!),BDI!#REF!,IF(#REF!="ZERO",0))))),"")</f>
        <v>#REF!</v>
      </c>
      <c r="H1247" s="139" t="e">
        <f t="shared" ca="1" si="121"/>
        <v>#REF!</v>
      </c>
      <c r="I1247" s="137" t="e">
        <f t="shared" ca="1" si="122"/>
        <v>#REF!</v>
      </c>
      <c r="J1247" s="117"/>
      <c r="K1247" s="116">
        <v>0</v>
      </c>
      <c r="M1247" s="136" t="e">
        <f ca="1">OFFSET(INDEX([1]Composições!I:R,MATCH([1]Orçamentária!I1247,[1]Composições!I:I,0),8),2,0)</f>
        <v>#REF!</v>
      </c>
      <c r="N1247" t="e">
        <v>#REF!</v>
      </c>
      <c r="Q1247" t="e">
        <v>#REF!</v>
      </c>
    </row>
    <row r="1248" spans="1:17" ht="25.5" hidden="1" x14ac:dyDescent="0.25">
      <c r="A1248" s="114" t="s">
        <v>2964</v>
      </c>
      <c r="B1248" s="115" t="s">
        <v>7714</v>
      </c>
      <c r="C1248" s="116" t="s">
        <v>69</v>
      </c>
      <c r="D1248" s="116">
        <v>0</v>
      </c>
      <c r="E1248" s="136">
        <f ca="1">OFFSET(INDEX(Composições!A:J,MATCH(Orçamentária!A1248,Composições!A:A,0),8),2,0)</f>
        <v>9.9342639999999989</v>
      </c>
      <c r="F1248" s="137">
        <f t="shared" ca="1" si="120"/>
        <v>0</v>
      </c>
      <c r="G1248" s="138" t="e">
        <f>IF(A1248&lt;&gt;"",IF(AND(#REF!="Padrão",$H$4=#REF!),BDI!$B$17,IF(AND(#REF!="Padrão",$H$4=#REF!),BDI!#REF!,IF(AND(#REF!="Diferenciado",$H$4=#REF!),BDI!$E$17,IF(AND(#REF!="Diferenciado",$H$4=#REF!),BDI!#REF!,IF(#REF!="ZERO",0))))),"")</f>
        <v>#REF!</v>
      </c>
      <c r="H1248" s="139" t="e">
        <f t="shared" ca="1" si="121"/>
        <v>#REF!</v>
      </c>
      <c r="I1248" s="137" t="e">
        <f t="shared" ca="1" si="122"/>
        <v>#REF!</v>
      </c>
      <c r="J1248" s="117"/>
      <c r="K1248" s="116">
        <v>0</v>
      </c>
      <c r="M1248" s="136" t="e">
        <f ca="1">OFFSET(INDEX([1]Composições!I:R,MATCH([1]Orçamentária!I1248,[1]Composições!I:I,0),8),2,0)</f>
        <v>#REF!</v>
      </c>
      <c r="N1248" t="e">
        <v>#REF!</v>
      </c>
      <c r="Q1248" t="e">
        <v>#REF!</v>
      </c>
    </row>
    <row r="1249" spans="1:17" hidden="1" x14ac:dyDescent="0.25">
      <c r="A1249" s="114" t="s">
        <v>2965</v>
      </c>
      <c r="B1249" s="115" t="s">
        <v>7715</v>
      </c>
      <c r="C1249" s="116" t="s">
        <v>69</v>
      </c>
      <c r="D1249" s="116">
        <v>0</v>
      </c>
      <c r="E1249" s="136">
        <f ca="1">OFFSET(INDEX(Composições!A:J,MATCH(Orçamentária!A1249,Composições!A:A,0),8),2,0)</f>
        <v>13.801599999999999</v>
      </c>
      <c r="F1249" s="137">
        <f t="shared" ca="1" si="120"/>
        <v>0</v>
      </c>
      <c r="G1249" s="138" t="e">
        <f>IF(A1249&lt;&gt;"",IF(AND(#REF!="Padrão",$H$4=#REF!),BDI!$B$17,IF(AND(#REF!="Padrão",$H$4=#REF!),BDI!#REF!,IF(AND(#REF!="Diferenciado",$H$4=#REF!),BDI!$E$17,IF(AND(#REF!="Diferenciado",$H$4=#REF!),BDI!#REF!,IF(#REF!="ZERO",0))))),"")</f>
        <v>#REF!</v>
      </c>
      <c r="H1249" s="139" t="e">
        <f t="shared" ca="1" si="121"/>
        <v>#REF!</v>
      </c>
      <c r="I1249" s="137" t="e">
        <f t="shared" ca="1" si="122"/>
        <v>#REF!</v>
      </c>
      <c r="J1249" s="117"/>
      <c r="K1249" s="116">
        <v>0</v>
      </c>
      <c r="M1249" s="136" t="e">
        <f ca="1">OFFSET(INDEX([1]Composições!I:R,MATCH([1]Orçamentária!I1249,[1]Composições!I:I,0),8),2,0)</f>
        <v>#REF!</v>
      </c>
      <c r="N1249" t="e">
        <v>#REF!</v>
      </c>
      <c r="Q1249" t="e">
        <v>#REF!</v>
      </c>
    </row>
    <row r="1250" spans="1:17" hidden="1" x14ac:dyDescent="0.25">
      <c r="A1250" s="114" t="s">
        <v>2966</v>
      </c>
      <c r="B1250" s="115" t="s">
        <v>7716</v>
      </c>
      <c r="C1250" s="116" t="s">
        <v>69</v>
      </c>
      <c r="D1250" s="116">
        <v>0</v>
      </c>
      <c r="E1250" s="136">
        <f ca="1">OFFSET(INDEX(Composições!A:J,MATCH(Orçamentária!A1250,Composições!A:A,0),8),2,0)</f>
        <v>5.9076699999999986</v>
      </c>
      <c r="F1250" s="137">
        <f t="shared" ca="1" si="120"/>
        <v>0</v>
      </c>
      <c r="G1250" s="138" t="e">
        <f>IF(A1250&lt;&gt;"",IF(AND(#REF!="Padrão",$H$4=#REF!),BDI!$B$17,IF(AND(#REF!="Padrão",$H$4=#REF!),BDI!#REF!,IF(AND(#REF!="Diferenciado",$H$4=#REF!),BDI!$E$17,IF(AND(#REF!="Diferenciado",$H$4=#REF!),BDI!#REF!,IF(#REF!="ZERO",0))))),"")</f>
        <v>#REF!</v>
      </c>
      <c r="H1250" s="139" t="e">
        <f t="shared" ca="1" si="121"/>
        <v>#REF!</v>
      </c>
      <c r="I1250" s="137" t="e">
        <f t="shared" ca="1" si="122"/>
        <v>#REF!</v>
      </c>
      <c r="J1250" s="117"/>
      <c r="K1250" s="116">
        <v>0</v>
      </c>
      <c r="M1250" s="136" t="e">
        <f ca="1">OFFSET(INDEX([1]Composições!I:R,MATCH([1]Orçamentária!I1250,[1]Composições!I:I,0),8),2,0)</f>
        <v>#REF!</v>
      </c>
      <c r="N1250" t="e">
        <v>#REF!</v>
      </c>
      <c r="Q1250" t="e">
        <v>#REF!</v>
      </c>
    </row>
    <row r="1251" spans="1:17" hidden="1" x14ac:dyDescent="0.25">
      <c r="A1251" s="114" t="s">
        <v>2967</v>
      </c>
      <c r="B1251" s="115" t="s">
        <v>7717</v>
      </c>
      <c r="C1251" s="116" t="s">
        <v>69</v>
      </c>
      <c r="D1251" s="116">
        <v>0</v>
      </c>
      <c r="E1251" s="136">
        <f ca="1">OFFSET(INDEX(Composições!A:J,MATCH(Orçamentária!A1251,Composições!A:A,0),8),2,0)</f>
        <v>15.643611999999996</v>
      </c>
      <c r="F1251" s="137">
        <f t="shared" ca="1" si="120"/>
        <v>0</v>
      </c>
      <c r="G1251" s="138" t="e">
        <f>IF(A1251&lt;&gt;"",IF(AND(#REF!="Padrão",$H$4=#REF!),BDI!$B$17,IF(AND(#REF!="Padrão",$H$4=#REF!),BDI!#REF!,IF(AND(#REF!="Diferenciado",$H$4=#REF!),BDI!$E$17,IF(AND(#REF!="Diferenciado",$H$4=#REF!),BDI!#REF!,IF(#REF!="ZERO",0))))),"")</f>
        <v>#REF!</v>
      </c>
      <c r="H1251" s="139" t="e">
        <f t="shared" ca="1" si="121"/>
        <v>#REF!</v>
      </c>
      <c r="I1251" s="137" t="e">
        <f t="shared" ca="1" si="122"/>
        <v>#REF!</v>
      </c>
      <c r="J1251" s="117"/>
      <c r="K1251" s="116">
        <v>0</v>
      </c>
      <c r="M1251" s="136" t="e">
        <f ca="1">OFFSET(INDEX([1]Composições!I:R,MATCH([1]Orçamentária!I1251,[1]Composições!I:I,0),8),2,0)</f>
        <v>#REF!</v>
      </c>
      <c r="N1251" t="e">
        <v>#REF!</v>
      </c>
      <c r="Q1251" t="e">
        <v>#REF!</v>
      </c>
    </row>
    <row r="1252" spans="1:17" hidden="1" x14ac:dyDescent="0.25">
      <c r="A1252" s="114" t="s">
        <v>2968</v>
      </c>
      <c r="B1252" s="115" t="s">
        <v>7718</v>
      </c>
      <c r="C1252" s="116" t="s">
        <v>69</v>
      </c>
      <c r="D1252" s="116">
        <v>0</v>
      </c>
      <c r="E1252" s="136">
        <f ca="1">OFFSET(INDEX(Composições!A:J,MATCH(Orçamentária!A1252,Composições!A:A,0),8),2,0)</f>
        <v>17.635875999999996</v>
      </c>
      <c r="F1252" s="137">
        <f t="shared" ca="1" si="120"/>
        <v>0</v>
      </c>
      <c r="G1252" s="138" t="e">
        <f>IF(A1252&lt;&gt;"",IF(AND(#REF!="Padrão",$H$4=#REF!),BDI!$B$17,IF(AND(#REF!="Padrão",$H$4=#REF!),BDI!#REF!,IF(AND(#REF!="Diferenciado",$H$4=#REF!),BDI!$E$17,IF(AND(#REF!="Diferenciado",$H$4=#REF!),BDI!#REF!,IF(#REF!="ZERO",0))))),"")</f>
        <v>#REF!</v>
      </c>
      <c r="H1252" s="139" t="e">
        <f t="shared" ca="1" si="121"/>
        <v>#REF!</v>
      </c>
      <c r="I1252" s="137" t="e">
        <f t="shared" ca="1" si="122"/>
        <v>#REF!</v>
      </c>
      <c r="J1252" s="117"/>
      <c r="K1252" s="116">
        <v>0</v>
      </c>
      <c r="M1252" s="136" t="e">
        <f ca="1">OFFSET(INDEX([1]Composições!I:R,MATCH([1]Orçamentária!I1252,[1]Composições!I:I,0),8),2,0)</f>
        <v>#REF!</v>
      </c>
      <c r="N1252" t="e">
        <v>#REF!</v>
      </c>
      <c r="Q1252" t="e">
        <v>#REF!</v>
      </c>
    </row>
    <row r="1253" spans="1:17" hidden="1" x14ac:dyDescent="0.25">
      <c r="A1253" s="114" t="s">
        <v>2969</v>
      </c>
      <c r="B1253" s="115" t="s">
        <v>7719</v>
      </c>
      <c r="C1253" s="116" t="s">
        <v>69</v>
      </c>
      <c r="D1253" s="116">
        <v>0</v>
      </c>
      <c r="E1253" s="136">
        <f ca="1">OFFSET(INDEX(Composições!A:J,MATCH(Orçamentária!A1253,Composições!A:A,0),8),2,0)</f>
        <v>28.456603999999999</v>
      </c>
      <c r="F1253" s="137">
        <f t="shared" ca="1" si="120"/>
        <v>0</v>
      </c>
      <c r="G1253" s="138" t="e">
        <f>IF(A1253&lt;&gt;"",IF(AND(#REF!="Padrão",$H$4=#REF!),BDI!$B$17,IF(AND(#REF!="Padrão",$H$4=#REF!),BDI!#REF!,IF(AND(#REF!="Diferenciado",$H$4=#REF!),BDI!$E$17,IF(AND(#REF!="Diferenciado",$H$4=#REF!),BDI!#REF!,IF(#REF!="ZERO",0))))),"")</f>
        <v>#REF!</v>
      </c>
      <c r="H1253" s="139" t="e">
        <f t="shared" ca="1" si="121"/>
        <v>#REF!</v>
      </c>
      <c r="I1253" s="137" t="e">
        <f t="shared" ca="1" si="122"/>
        <v>#REF!</v>
      </c>
      <c r="J1253" s="117"/>
      <c r="K1253" s="116">
        <v>0</v>
      </c>
      <c r="M1253" s="136" t="e">
        <f ca="1">OFFSET(INDEX([1]Composições!I:R,MATCH([1]Orçamentária!I1253,[1]Composições!I:I,0),8),2,0)</f>
        <v>#REF!</v>
      </c>
      <c r="N1253" t="e">
        <v>#REF!</v>
      </c>
      <c r="Q1253" t="e">
        <v>#REF!</v>
      </c>
    </row>
    <row r="1254" spans="1:17" hidden="1" x14ac:dyDescent="0.25">
      <c r="A1254" s="114" t="s">
        <v>2970</v>
      </c>
      <c r="B1254" s="115" t="s">
        <v>7720</v>
      </c>
      <c r="C1254" s="116" t="s">
        <v>69</v>
      </c>
      <c r="D1254" s="116">
        <v>0</v>
      </c>
      <c r="E1254" s="136">
        <f ca="1">OFFSET(INDEX(Composições!A:J,MATCH(Orçamentária!A1254,Composições!A:A,0),8),2,0)</f>
        <v>9.1139200000000002</v>
      </c>
      <c r="F1254" s="137">
        <f t="shared" ca="1" si="120"/>
        <v>0</v>
      </c>
      <c r="G1254" s="138" t="e">
        <f>IF(A1254&lt;&gt;"",IF(AND(#REF!="Padrão",$H$4=#REF!),BDI!$B$17,IF(AND(#REF!="Padrão",$H$4=#REF!),BDI!#REF!,IF(AND(#REF!="Diferenciado",$H$4=#REF!),BDI!$E$17,IF(AND(#REF!="Diferenciado",$H$4=#REF!),BDI!#REF!,IF(#REF!="ZERO",0))))),"")</f>
        <v>#REF!</v>
      </c>
      <c r="H1254" s="139" t="e">
        <f t="shared" ca="1" si="121"/>
        <v>#REF!</v>
      </c>
      <c r="I1254" s="137" t="e">
        <f t="shared" ca="1" si="122"/>
        <v>#REF!</v>
      </c>
      <c r="J1254" s="117"/>
      <c r="K1254" s="116">
        <v>0</v>
      </c>
      <c r="M1254" s="136" t="e">
        <f ca="1">OFFSET(INDEX([1]Composições!I:R,MATCH([1]Orçamentária!I1254,[1]Composições!I:I,0),8),2,0)</f>
        <v>#REF!</v>
      </c>
      <c r="N1254" t="e">
        <v>#REF!</v>
      </c>
      <c r="Q1254" t="e">
        <v>#REF!</v>
      </c>
    </row>
    <row r="1255" spans="1:17" hidden="1" x14ac:dyDescent="0.25">
      <c r="A1255" s="114" t="s">
        <v>2971</v>
      </c>
      <c r="B1255" s="115" t="s">
        <v>7721</v>
      </c>
      <c r="C1255" s="116" t="s">
        <v>69</v>
      </c>
      <c r="D1255" s="116">
        <v>0</v>
      </c>
      <c r="E1255" s="136">
        <f ca="1">OFFSET(INDEX(Composições!A:J,MATCH(Orçamentária!A1255,Composições!A:A,0),8),2,0)</f>
        <v>9.6608159999999987</v>
      </c>
      <c r="F1255" s="137">
        <f t="shared" ca="1" si="120"/>
        <v>0</v>
      </c>
      <c r="G1255" s="138" t="e">
        <f>IF(A1255&lt;&gt;"",IF(AND(#REF!="Padrão",$H$4=#REF!),BDI!$B$17,IF(AND(#REF!="Padrão",$H$4=#REF!),BDI!#REF!,IF(AND(#REF!="Diferenciado",$H$4=#REF!),BDI!$E$17,IF(AND(#REF!="Diferenciado",$H$4=#REF!),BDI!#REF!,IF(#REF!="ZERO",0))))),"")</f>
        <v>#REF!</v>
      </c>
      <c r="H1255" s="139" t="e">
        <f t="shared" ca="1" si="121"/>
        <v>#REF!</v>
      </c>
      <c r="I1255" s="137" t="e">
        <f t="shared" ca="1" si="122"/>
        <v>#REF!</v>
      </c>
      <c r="J1255" s="117"/>
      <c r="K1255" s="116">
        <v>0</v>
      </c>
      <c r="M1255" s="136" t="e">
        <f ca="1">OFFSET(INDEX([1]Composições!I:R,MATCH([1]Orçamentária!I1255,[1]Composições!I:I,0),8),2,0)</f>
        <v>#REF!</v>
      </c>
      <c r="N1255" t="e">
        <v>#REF!</v>
      </c>
      <c r="Q1255" t="e">
        <v>#REF!</v>
      </c>
    </row>
    <row r="1256" spans="1:17" hidden="1" x14ac:dyDescent="0.25">
      <c r="A1256" s="114" t="s">
        <v>2972</v>
      </c>
      <c r="B1256" s="115" t="s">
        <v>3021</v>
      </c>
      <c r="C1256" s="116" t="s">
        <v>16</v>
      </c>
      <c r="D1256" s="116">
        <v>0</v>
      </c>
      <c r="E1256" s="136">
        <f ca="1">OFFSET(INDEX(Composições!A:J,MATCH(Orçamentária!A1256,Composições!A:A,0),8),2,0)</f>
        <v>86.792199499999981</v>
      </c>
      <c r="F1256" s="137">
        <f t="shared" ca="1" si="120"/>
        <v>0</v>
      </c>
      <c r="G1256" s="138" t="e">
        <f>IF(A1256&lt;&gt;"",IF(AND(#REF!="Padrão",$H$4=#REF!),BDI!$B$17,IF(AND(#REF!="Padrão",$H$4=#REF!),BDI!#REF!,IF(AND(#REF!="Diferenciado",$H$4=#REF!),BDI!$E$17,IF(AND(#REF!="Diferenciado",$H$4=#REF!),BDI!#REF!,IF(#REF!="ZERO",0))))),"")</f>
        <v>#REF!</v>
      </c>
      <c r="H1256" s="139" t="e">
        <f t="shared" ca="1" si="121"/>
        <v>#REF!</v>
      </c>
      <c r="I1256" s="137" t="e">
        <f t="shared" ca="1" si="122"/>
        <v>#REF!</v>
      </c>
      <c r="J1256" s="117"/>
      <c r="K1256" s="116">
        <v>0</v>
      </c>
      <c r="M1256" s="136" t="e">
        <f ca="1">OFFSET(INDEX([1]Composições!I:R,MATCH([1]Orçamentária!I1256,[1]Composições!I:I,0),8),2,0)</f>
        <v>#REF!</v>
      </c>
      <c r="N1256" t="e">
        <v>#REF!</v>
      </c>
      <c r="Q1256" t="e">
        <v>#REF!</v>
      </c>
    </row>
    <row r="1257" spans="1:17" hidden="1" x14ac:dyDescent="0.25">
      <c r="A1257" s="114" t="s">
        <v>2973</v>
      </c>
      <c r="B1257" s="115" t="s">
        <v>3022</v>
      </c>
      <c r="C1257" s="116" t="s">
        <v>16</v>
      </c>
      <c r="D1257" s="116">
        <v>0</v>
      </c>
      <c r="E1257" s="136">
        <f ca="1">OFFSET(INDEX(Composições!A:J,MATCH(Orçamentária!A1257,Composições!A:A,0),8),2,0)</f>
        <v>86.792199499999981</v>
      </c>
      <c r="F1257" s="137">
        <f t="shared" ca="1" si="120"/>
        <v>0</v>
      </c>
      <c r="G1257" s="138" t="e">
        <f>IF(A1257&lt;&gt;"",IF(AND(#REF!="Padrão",$H$4=#REF!),BDI!$B$17,IF(AND(#REF!="Padrão",$H$4=#REF!),BDI!#REF!,IF(AND(#REF!="Diferenciado",$H$4=#REF!),BDI!$E$17,IF(AND(#REF!="Diferenciado",$H$4=#REF!),BDI!#REF!,IF(#REF!="ZERO",0))))),"")</f>
        <v>#REF!</v>
      </c>
      <c r="H1257" s="139" t="e">
        <f t="shared" ca="1" si="121"/>
        <v>#REF!</v>
      </c>
      <c r="I1257" s="137" t="e">
        <f t="shared" ca="1" si="122"/>
        <v>#REF!</v>
      </c>
      <c r="J1257" s="117"/>
      <c r="K1257" s="116">
        <v>0</v>
      </c>
      <c r="M1257" s="136" t="e">
        <f ca="1">OFFSET(INDEX([1]Composições!I:R,MATCH([1]Orçamentária!I1257,[1]Composições!I:I,0),8),2,0)</f>
        <v>#REF!</v>
      </c>
      <c r="N1257" t="e">
        <v>#REF!</v>
      </c>
      <c r="Q1257" t="e">
        <v>#REF!</v>
      </c>
    </row>
    <row r="1258" spans="1:17" hidden="1" x14ac:dyDescent="0.25">
      <c r="A1258" s="114" t="s">
        <v>2974</v>
      </c>
      <c r="B1258" s="115" t="s">
        <v>3023</v>
      </c>
      <c r="C1258" s="116" t="s">
        <v>70</v>
      </c>
      <c r="D1258" s="116">
        <v>0</v>
      </c>
      <c r="E1258" s="136" t="s">
        <v>416</v>
      </c>
      <c r="F1258" s="137" t="str">
        <f t="shared" si="120"/>
        <v/>
      </c>
      <c r="G1258" s="138" t="e">
        <f>IF(A1258&lt;&gt;"",IF(AND(#REF!="Padrão",$H$4=#REF!),BDI!$B$17,IF(AND(#REF!="Padrão",$H$4=#REF!),BDI!#REF!,IF(AND(#REF!="Diferenciado",$H$4=#REF!),BDI!$E$17,IF(AND(#REF!="Diferenciado",$H$4=#REF!),BDI!#REF!,IF(#REF!="ZERO",0))))),"")</f>
        <v>#REF!</v>
      </c>
      <c r="H1258" s="139" t="str">
        <f t="shared" si="121"/>
        <v/>
      </c>
      <c r="I1258" s="137" t="str">
        <f t="shared" si="122"/>
        <v/>
      </c>
      <c r="J1258" s="117"/>
      <c r="K1258" s="116">
        <v>0</v>
      </c>
      <c r="M1258" s="136" t="s">
        <v>416</v>
      </c>
      <c r="N1258" t="e">
        <v>#REF!</v>
      </c>
      <c r="Q1258" t="s">
        <v>416</v>
      </c>
    </row>
    <row r="1259" spans="1:17" hidden="1" x14ac:dyDescent="0.25">
      <c r="A1259" s="114" t="s">
        <v>2975</v>
      </c>
      <c r="B1259" s="115" t="s">
        <v>3024</v>
      </c>
      <c r="C1259" s="116" t="s">
        <v>70</v>
      </c>
      <c r="D1259" s="116">
        <v>0</v>
      </c>
      <c r="E1259" s="136" t="s">
        <v>416</v>
      </c>
      <c r="F1259" s="137" t="str">
        <f t="shared" si="120"/>
        <v/>
      </c>
      <c r="G1259" s="138" t="e">
        <f>IF(A1259&lt;&gt;"",IF(AND(#REF!="Padrão",$H$4=#REF!),BDI!$B$17,IF(AND(#REF!="Padrão",$H$4=#REF!),BDI!#REF!,IF(AND(#REF!="Diferenciado",$H$4=#REF!),BDI!$E$17,IF(AND(#REF!="Diferenciado",$H$4=#REF!),BDI!#REF!,IF(#REF!="ZERO",0))))),"")</f>
        <v>#REF!</v>
      </c>
      <c r="H1259" s="139" t="str">
        <f t="shared" si="121"/>
        <v/>
      </c>
      <c r="I1259" s="137" t="str">
        <f t="shared" si="122"/>
        <v/>
      </c>
      <c r="J1259" s="117"/>
      <c r="K1259" s="116">
        <v>0</v>
      </c>
      <c r="M1259" s="136" t="s">
        <v>416</v>
      </c>
      <c r="N1259" t="e">
        <v>#REF!</v>
      </c>
      <c r="Q1259" t="s">
        <v>416</v>
      </c>
    </row>
    <row r="1260" spans="1:17" hidden="1" x14ac:dyDescent="0.25">
      <c r="A1260" s="114" t="s">
        <v>2976</v>
      </c>
      <c r="B1260" s="115" t="s">
        <v>3025</v>
      </c>
      <c r="C1260" s="116" t="s">
        <v>16</v>
      </c>
      <c r="D1260" s="116">
        <v>0</v>
      </c>
      <c r="E1260" s="136">
        <f ca="1">OFFSET(INDEX(Composições!A:J,MATCH(Orçamentária!A1260,Composições!A:A,0),8),2,0)</f>
        <v>14.901851999999998</v>
      </c>
      <c r="F1260" s="137">
        <f t="shared" ca="1" si="120"/>
        <v>0</v>
      </c>
      <c r="G1260" s="138" t="e">
        <f>IF(A1260&lt;&gt;"",IF(AND(#REF!="Padrão",$H$4=#REF!),BDI!$B$17,IF(AND(#REF!="Padrão",$H$4=#REF!),BDI!#REF!,IF(AND(#REF!="Diferenciado",$H$4=#REF!),BDI!$E$17,IF(AND(#REF!="Diferenciado",$H$4=#REF!),BDI!#REF!,IF(#REF!="ZERO",0))))),"")</f>
        <v>#REF!</v>
      </c>
      <c r="H1260" s="139" t="e">
        <f t="shared" ca="1" si="121"/>
        <v>#REF!</v>
      </c>
      <c r="I1260" s="137" t="e">
        <f t="shared" ca="1" si="122"/>
        <v>#REF!</v>
      </c>
      <c r="J1260" s="117"/>
      <c r="K1260" s="116">
        <v>0</v>
      </c>
      <c r="M1260" s="136" t="e">
        <f ca="1">OFFSET(INDEX([1]Composições!I:R,MATCH([1]Orçamentária!I1260,[1]Composições!I:I,0),8),2,0)</f>
        <v>#REF!</v>
      </c>
      <c r="N1260" t="e">
        <v>#REF!</v>
      </c>
      <c r="Q1260" t="e">
        <v>#REF!</v>
      </c>
    </row>
    <row r="1261" spans="1:17" hidden="1" x14ac:dyDescent="0.25">
      <c r="A1261" s="114" t="s">
        <v>2977</v>
      </c>
      <c r="B1261" s="115" t="s">
        <v>3026</v>
      </c>
      <c r="C1261" s="116" t="s">
        <v>16</v>
      </c>
      <c r="D1261" s="116">
        <v>0</v>
      </c>
      <c r="E1261" s="136">
        <f ca="1">OFFSET(INDEX(Composições!A:J,MATCH(Orçamentária!A1261,Composições!A:A,0),8),2,0)</f>
        <v>15.538706349999998</v>
      </c>
      <c r="F1261" s="137">
        <f t="shared" ca="1" si="120"/>
        <v>0</v>
      </c>
      <c r="G1261" s="138" t="e">
        <f>IF(A1261&lt;&gt;"",IF(AND(#REF!="Padrão",$H$4=#REF!),BDI!$B$17,IF(AND(#REF!="Padrão",$H$4=#REF!),BDI!#REF!,IF(AND(#REF!="Diferenciado",$H$4=#REF!),BDI!$E$17,IF(AND(#REF!="Diferenciado",$H$4=#REF!),BDI!#REF!,IF(#REF!="ZERO",0))))),"")</f>
        <v>#REF!</v>
      </c>
      <c r="H1261" s="139" t="e">
        <f t="shared" ca="1" si="121"/>
        <v>#REF!</v>
      </c>
      <c r="I1261" s="137" t="e">
        <f t="shared" ca="1" si="122"/>
        <v>#REF!</v>
      </c>
      <c r="J1261" s="117"/>
      <c r="K1261" s="116">
        <v>0</v>
      </c>
      <c r="M1261" s="136" t="e">
        <f ca="1">OFFSET(INDEX([1]Composições!I:R,MATCH([1]Orçamentária!I1261,[1]Composições!I:I,0),8),2,0)</f>
        <v>#REF!</v>
      </c>
      <c r="N1261" t="e">
        <v>#REF!</v>
      </c>
      <c r="Q1261" t="e">
        <v>#REF!</v>
      </c>
    </row>
    <row r="1262" spans="1:17" hidden="1" x14ac:dyDescent="0.25">
      <c r="A1262" s="114" t="s">
        <v>2978</v>
      </c>
      <c r="B1262" s="115" t="s">
        <v>3027</v>
      </c>
      <c r="C1262" s="116" t="s">
        <v>16</v>
      </c>
      <c r="D1262" s="116">
        <v>0</v>
      </c>
      <c r="E1262" s="136">
        <f ca="1">OFFSET(INDEX(Composições!A:J,MATCH(Orçamentária!A1262,Composições!A:A,0),8),2,0)</f>
        <v>7.6864423999999998</v>
      </c>
      <c r="F1262" s="137">
        <f t="shared" ca="1" si="120"/>
        <v>0</v>
      </c>
      <c r="G1262" s="138" t="e">
        <f>IF(A1262&lt;&gt;"",IF(AND(#REF!="Padrão",$H$4=#REF!),BDI!$B$17,IF(AND(#REF!="Padrão",$H$4=#REF!),BDI!#REF!,IF(AND(#REF!="Diferenciado",$H$4=#REF!),BDI!$E$17,IF(AND(#REF!="Diferenciado",$H$4=#REF!),BDI!#REF!,IF(#REF!="ZERO",0))))),"")</f>
        <v>#REF!</v>
      </c>
      <c r="H1262" s="139" t="e">
        <f t="shared" ca="1" si="121"/>
        <v>#REF!</v>
      </c>
      <c r="I1262" s="137" t="e">
        <f t="shared" ca="1" si="122"/>
        <v>#REF!</v>
      </c>
      <c r="J1262" s="117"/>
      <c r="K1262" s="116">
        <v>0</v>
      </c>
      <c r="M1262" s="136" t="e">
        <f ca="1">OFFSET(INDEX([1]Composições!I:R,MATCH([1]Orçamentária!I1262,[1]Composições!I:I,0),8),2,0)</f>
        <v>#REF!</v>
      </c>
      <c r="N1262" t="e">
        <v>#REF!</v>
      </c>
      <c r="Q1262" t="e">
        <v>#REF!</v>
      </c>
    </row>
    <row r="1263" spans="1:17" hidden="1" x14ac:dyDescent="0.25">
      <c r="A1263" s="114" t="s">
        <v>2979</v>
      </c>
      <c r="B1263" s="115" t="s">
        <v>3028</v>
      </c>
      <c r="C1263" s="116" t="s">
        <v>16</v>
      </c>
      <c r="D1263" s="116">
        <v>0</v>
      </c>
      <c r="E1263" s="136">
        <f ca="1">OFFSET(INDEX(Composições!A:J,MATCH(Orçamentária!A1263,Composições!A:A,0),8),2,0)</f>
        <v>15.538706349999998</v>
      </c>
      <c r="F1263" s="137">
        <f t="shared" ca="1" si="120"/>
        <v>0</v>
      </c>
      <c r="G1263" s="138" t="e">
        <f>IF(A1263&lt;&gt;"",IF(AND(#REF!="Padrão",$H$4=#REF!),BDI!$B$17,IF(AND(#REF!="Padrão",$H$4=#REF!),BDI!#REF!,IF(AND(#REF!="Diferenciado",$H$4=#REF!),BDI!$E$17,IF(AND(#REF!="Diferenciado",$H$4=#REF!),BDI!#REF!,IF(#REF!="ZERO",0))))),"")</f>
        <v>#REF!</v>
      </c>
      <c r="H1263" s="139" t="e">
        <f t="shared" ca="1" si="121"/>
        <v>#REF!</v>
      </c>
      <c r="I1263" s="137" t="e">
        <f t="shared" ca="1" si="122"/>
        <v>#REF!</v>
      </c>
      <c r="J1263" s="117"/>
      <c r="K1263" s="116">
        <v>0</v>
      </c>
      <c r="M1263" s="136" t="e">
        <f ca="1">OFFSET(INDEX([1]Composições!I:R,MATCH([1]Orçamentária!I1263,[1]Composições!I:I,0),8),2,0)</f>
        <v>#REF!</v>
      </c>
      <c r="N1263" t="e">
        <v>#REF!</v>
      </c>
      <c r="Q1263" t="e">
        <v>#REF!</v>
      </c>
    </row>
    <row r="1264" spans="1:17" hidden="1" x14ac:dyDescent="0.25">
      <c r="A1264" s="114" t="s">
        <v>2980</v>
      </c>
      <c r="B1264" s="115" t="s">
        <v>3029</v>
      </c>
      <c r="C1264" s="116" t="s">
        <v>16</v>
      </c>
      <c r="D1264" s="116">
        <v>0</v>
      </c>
      <c r="E1264" s="136">
        <f ca="1">OFFSET(INDEX(Composições!A:J,MATCH(Orçamentária!A1264,Composições!A:A,0),8),2,0)</f>
        <v>7.6864423999999998</v>
      </c>
      <c r="F1264" s="137">
        <f t="shared" ca="1" si="120"/>
        <v>0</v>
      </c>
      <c r="G1264" s="138" t="e">
        <f>IF(A1264&lt;&gt;"",IF(AND(#REF!="Padrão",$H$4=#REF!),BDI!$B$17,IF(AND(#REF!="Padrão",$H$4=#REF!),BDI!#REF!,IF(AND(#REF!="Diferenciado",$H$4=#REF!),BDI!$E$17,IF(AND(#REF!="Diferenciado",$H$4=#REF!),BDI!#REF!,IF(#REF!="ZERO",0))))),"")</f>
        <v>#REF!</v>
      </c>
      <c r="H1264" s="139" t="e">
        <f t="shared" ca="1" si="121"/>
        <v>#REF!</v>
      </c>
      <c r="I1264" s="137" t="e">
        <f t="shared" ca="1" si="122"/>
        <v>#REF!</v>
      </c>
      <c r="J1264" s="117"/>
      <c r="K1264" s="116">
        <v>0</v>
      </c>
      <c r="M1264" s="136" t="e">
        <f ca="1">OFFSET(INDEX([1]Composições!I:R,MATCH([1]Orçamentária!I1264,[1]Composições!I:I,0),8),2,0)</f>
        <v>#REF!</v>
      </c>
      <c r="N1264" t="e">
        <v>#REF!</v>
      </c>
      <c r="Q1264" t="e">
        <v>#REF!</v>
      </c>
    </row>
    <row r="1265" spans="1:17" hidden="1" x14ac:dyDescent="0.25">
      <c r="A1265" s="114" t="s">
        <v>2981</v>
      </c>
      <c r="B1265" s="115" t="s">
        <v>3030</v>
      </c>
      <c r="C1265" s="116" t="s">
        <v>16</v>
      </c>
      <c r="D1265" s="116">
        <v>0</v>
      </c>
      <c r="E1265" s="136">
        <f ca="1">OFFSET(INDEX(Composições!A:J,MATCH(Orçamentária!A1265,Composições!A:A,0),8),2,0)</f>
        <v>7.5182999999999982</v>
      </c>
      <c r="F1265" s="137">
        <f t="shared" ca="1" si="120"/>
        <v>0</v>
      </c>
      <c r="G1265" s="138" t="e">
        <f>IF(A1265&lt;&gt;"",IF(AND(#REF!="Padrão",$H$4=#REF!),BDI!$B$17,IF(AND(#REF!="Padrão",$H$4=#REF!),BDI!#REF!,IF(AND(#REF!="Diferenciado",$H$4=#REF!),BDI!$E$17,IF(AND(#REF!="Diferenciado",$H$4=#REF!),BDI!#REF!,IF(#REF!="ZERO",0))))),"")</f>
        <v>#REF!</v>
      </c>
      <c r="H1265" s="139" t="e">
        <f t="shared" ca="1" si="121"/>
        <v>#REF!</v>
      </c>
      <c r="I1265" s="137" t="e">
        <f t="shared" ca="1" si="122"/>
        <v>#REF!</v>
      </c>
      <c r="J1265" s="117"/>
      <c r="K1265" s="116">
        <v>0</v>
      </c>
      <c r="M1265" s="136" t="e">
        <f ca="1">OFFSET(INDEX([1]Composições!I:R,MATCH([1]Orçamentária!I1265,[1]Composições!I:I,0),8),2,0)</f>
        <v>#REF!</v>
      </c>
      <c r="N1265" t="e">
        <v>#REF!</v>
      </c>
      <c r="Q1265" t="e">
        <v>#REF!</v>
      </c>
    </row>
    <row r="1266" spans="1:17" hidden="1" x14ac:dyDescent="0.25">
      <c r="A1266" s="114" t="s">
        <v>2982</v>
      </c>
      <c r="B1266" s="115" t="s">
        <v>3031</v>
      </c>
      <c r="C1266" s="116" t="s">
        <v>16</v>
      </c>
      <c r="D1266" s="116">
        <v>0</v>
      </c>
      <c r="E1266" s="136">
        <f ca="1">OFFSET(INDEX(Composições!A:J,MATCH(Orçamentária!A1266,Composições!A:A,0),8),2,0)</f>
        <v>17.427886800000003</v>
      </c>
      <c r="F1266" s="137">
        <f t="shared" ca="1" si="120"/>
        <v>0</v>
      </c>
      <c r="G1266" s="138" t="e">
        <f>IF(A1266&lt;&gt;"",IF(AND(#REF!="Padrão",$H$4=#REF!),BDI!$B$17,IF(AND(#REF!="Padrão",$H$4=#REF!),BDI!#REF!,IF(AND(#REF!="Diferenciado",$H$4=#REF!),BDI!$E$17,IF(AND(#REF!="Diferenciado",$H$4=#REF!),BDI!#REF!,IF(#REF!="ZERO",0))))),"")</f>
        <v>#REF!</v>
      </c>
      <c r="H1266" s="139" t="e">
        <f t="shared" ca="1" si="121"/>
        <v>#REF!</v>
      </c>
      <c r="I1266" s="137" t="e">
        <f t="shared" ca="1" si="122"/>
        <v>#REF!</v>
      </c>
      <c r="J1266" s="117"/>
      <c r="K1266" s="116">
        <v>0</v>
      </c>
      <c r="M1266" s="136" t="e">
        <f ca="1">OFFSET(INDEX([1]Composições!I:R,MATCH([1]Orçamentária!I1266,[1]Composições!I:I,0),8),2,0)</f>
        <v>#REF!</v>
      </c>
      <c r="N1266" t="e">
        <v>#REF!</v>
      </c>
      <c r="Q1266" t="e">
        <v>#REF!</v>
      </c>
    </row>
    <row r="1267" spans="1:17" hidden="1" x14ac:dyDescent="0.25">
      <c r="A1267" s="114" t="s">
        <v>2983</v>
      </c>
      <c r="B1267" s="115" t="s">
        <v>3032</v>
      </c>
      <c r="C1267" s="116" t="s">
        <v>16</v>
      </c>
      <c r="D1267" s="116">
        <v>0</v>
      </c>
      <c r="E1267" s="136">
        <f ca="1">OFFSET(INDEX(Composições!A:J,MATCH(Orçamentária!A1267,Composições!A:A,0),8),2,0)</f>
        <v>33.392034500000001</v>
      </c>
      <c r="F1267" s="137">
        <f t="shared" ca="1" si="120"/>
        <v>0</v>
      </c>
      <c r="G1267" s="138" t="e">
        <f>IF(A1267&lt;&gt;"",IF(AND(#REF!="Padrão",$H$4=#REF!),BDI!$B$17,IF(AND(#REF!="Padrão",$H$4=#REF!),BDI!#REF!,IF(AND(#REF!="Diferenciado",$H$4=#REF!),BDI!$E$17,IF(AND(#REF!="Diferenciado",$H$4=#REF!),BDI!#REF!,IF(#REF!="ZERO",0))))),"")</f>
        <v>#REF!</v>
      </c>
      <c r="H1267" s="139" t="e">
        <f t="shared" ca="1" si="121"/>
        <v>#REF!</v>
      </c>
      <c r="I1267" s="137" t="e">
        <f t="shared" ca="1" si="122"/>
        <v>#REF!</v>
      </c>
      <c r="J1267" s="117"/>
      <c r="K1267" s="116">
        <v>0</v>
      </c>
      <c r="M1267" s="136" t="e">
        <f ca="1">OFFSET(INDEX([1]Composições!I:R,MATCH([1]Orçamentária!I1267,[1]Composições!I:I,0),8),2,0)</f>
        <v>#REF!</v>
      </c>
      <c r="N1267" t="e">
        <v>#REF!</v>
      </c>
      <c r="Q1267" t="e">
        <v>#REF!</v>
      </c>
    </row>
    <row r="1268" spans="1:17" hidden="1" x14ac:dyDescent="0.25">
      <c r="A1268" s="114" t="s">
        <v>2984</v>
      </c>
      <c r="B1268" s="115" t="s">
        <v>3033</v>
      </c>
      <c r="C1268" s="116" t="s">
        <v>16</v>
      </c>
      <c r="D1268" s="116">
        <v>0</v>
      </c>
      <c r="E1268" s="136">
        <f ca="1">OFFSET(INDEX(Composições!A:J,MATCH(Orçamentária!A1268,Composições!A:A,0),8),2,0)</f>
        <v>35.775494250000001</v>
      </c>
      <c r="F1268" s="137">
        <f t="shared" ca="1" si="120"/>
        <v>0</v>
      </c>
      <c r="G1268" s="138" t="e">
        <f>IF(A1268&lt;&gt;"",IF(AND(#REF!="Padrão",$H$4=#REF!),BDI!$B$17,IF(AND(#REF!="Padrão",$H$4=#REF!),BDI!#REF!,IF(AND(#REF!="Diferenciado",$H$4=#REF!),BDI!$E$17,IF(AND(#REF!="Diferenciado",$H$4=#REF!),BDI!#REF!,IF(#REF!="ZERO",0))))),"")</f>
        <v>#REF!</v>
      </c>
      <c r="H1268" s="139" t="e">
        <f t="shared" ca="1" si="121"/>
        <v>#REF!</v>
      </c>
      <c r="I1268" s="137" t="e">
        <f t="shared" ca="1" si="122"/>
        <v>#REF!</v>
      </c>
      <c r="J1268" s="117"/>
      <c r="K1268" s="116">
        <v>0</v>
      </c>
      <c r="M1268" s="136" t="e">
        <f ca="1">OFFSET(INDEX([1]Composições!I:R,MATCH([1]Orçamentária!I1268,[1]Composições!I:I,0),8),2,0)</f>
        <v>#REF!</v>
      </c>
      <c r="N1268" t="e">
        <v>#REF!</v>
      </c>
      <c r="Q1268" t="e">
        <v>#REF!</v>
      </c>
    </row>
    <row r="1269" spans="1:17" hidden="1" x14ac:dyDescent="0.25">
      <c r="A1269" s="114" t="s">
        <v>2985</v>
      </c>
      <c r="B1269" s="115" t="s">
        <v>3034</v>
      </c>
      <c r="C1269" s="116" t="s">
        <v>16</v>
      </c>
      <c r="D1269" s="116">
        <v>0</v>
      </c>
      <c r="E1269" s="136">
        <f ca="1">OFFSET(INDEX(Composições!A:J,MATCH(Orçamentária!A1269,Composições!A:A,0),8),2,0)</f>
        <v>35.775494250000001</v>
      </c>
      <c r="F1269" s="137">
        <f t="shared" ca="1" si="120"/>
        <v>0</v>
      </c>
      <c r="G1269" s="138" t="e">
        <f>IF(A1269&lt;&gt;"",IF(AND(#REF!="Padrão",$H$4=#REF!),BDI!$B$17,IF(AND(#REF!="Padrão",$H$4=#REF!),BDI!#REF!,IF(AND(#REF!="Diferenciado",$H$4=#REF!),BDI!$E$17,IF(AND(#REF!="Diferenciado",$H$4=#REF!),BDI!#REF!,IF(#REF!="ZERO",0))))),"")</f>
        <v>#REF!</v>
      </c>
      <c r="H1269" s="139" t="e">
        <f t="shared" ca="1" si="121"/>
        <v>#REF!</v>
      </c>
      <c r="I1269" s="137" t="e">
        <f t="shared" ca="1" si="122"/>
        <v>#REF!</v>
      </c>
      <c r="J1269" s="117"/>
      <c r="K1269" s="116">
        <v>0</v>
      </c>
      <c r="M1269" s="136" t="e">
        <f ca="1">OFFSET(INDEX([1]Composições!I:R,MATCH([1]Orçamentária!I1269,[1]Composições!I:I,0),8),2,0)</f>
        <v>#REF!</v>
      </c>
      <c r="N1269" t="e">
        <v>#REF!</v>
      </c>
      <c r="Q1269" t="e">
        <v>#REF!</v>
      </c>
    </row>
    <row r="1270" spans="1:17" hidden="1" x14ac:dyDescent="0.25">
      <c r="A1270" s="114" t="s">
        <v>2986</v>
      </c>
      <c r="B1270" s="115" t="s">
        <v>3035</v>
      </c>
      <c r="C1270" s="116" t="s">
        <v>16</v>
      </c>
      <c r="D1270" s="116">
        <v>0</v>
      </c>
      <c r="E1270" s="136">
        <f ca="1">OFFSET(INDEX(Composições!A:J,MATCH(Orçamentária!A1270,Composições!A:A,0),8),2,0)</f>
        <v>17.07245</v>
      </c>
      <c r="F1270" s="137">
        <f t="shared" ca="1" si="120"/>
        <v>0</v>
      </c>
      <c r="G1270" s="138" t="e">
        <f>IF(A1270&lt;&gt;"",IF(AND(#REF!="Padrão",$H$4=#REF!),BDI!$B$17,IF(AND(#REF!="Padrão",$H$4=#REF!),BDI!#REF!,IF(AND(#REF!="Diferenciado",$H$4=#REF!),BDI!$E$17,IF(AND(#REF!="Diferenciado",$H$4=#REF!),BDI!#REF!,IF(#REF!="ZERO",0))))),"")</f>
        <v>#REF!</v>
      </c>
      <c r="H1270" s="139" t="e">
        <f t="shared" ca="1" si="121"/>
        <v>#REF!</v>
      </c>
      <c r="I1270" s="137" t="e">
        <f t="shared" ca="1" si="122"/>
        <v>#REF!</v>
      </c>
      <c r="J1270" s="117"/>
      <c r="K1270" s="116">
        <v>0</v>
      </c>
      <c r="M1270" s="136" t="e">
        <f ca="1">OFFSET(INDEX([1]Composições!I:R,MATCH([1]Orçamentária!I1270,[1]Composições!I:I,0),8),2,0)</f>
        <v>#REF!</v>
      </c>
      <c r="N1270" t="e">
        <v>#REF!</v>
      </c>
      <c r="Q1270" t="e">
        <v>#REF!</v>
      </c>
    </row>
    <row r="1271" spans="1:17" hidden="1" x14ac:dyDescent="0.25">
      <c r="A1271" s="114" t="s">
        <v>2987</v>
      </c>
      <c r="B1271" s="115" t="s">
        <v>7722</v>
      </c>
      <c r="C1271" s="116" t="s">
        <v>16</v>
      </c>
      <c r="D1271" s="116">
        <v>0</v>
      </c>
      <c r="E1271" s="136">
        <f ca="1">OFFSET(INDEX(Composições!A:J,MATCH(Orçamentária!A1271,Composições!A:A,0),8),2,0)</f>
        <v>272.27072199999998</v>
      </c>
      <c r="F1271" s="137">
        <f t="shared" ca="1" si="120"/>
        <v>0</v>
      </c>
      <c r="G1271" s="138" t="e">
        <f>IF(A1271&lt;&gt;"",IF(AND(#REF!="Padrão",$H$4=#REF!),BDI!$B$17,IF(AND(#REF!="Padrão",$H$4=#REF!),BDI!#REF!,IF(AND(#REF!="Diferenciado",$H$4=#REF!),BDI!$E$17,IF(AND(#REF!="Diferenciado",$H$4=#REF!),BDI!#REF!,IF(#REF!="ZERO",0))))),"")</f>
        <v>#REF!</v>
      </c>
      <c r="H1271" s="139" t="e">
        <f t="shared" ca="1" si="121"/>
        <v>#REF!</v>
      </c>
      <c r="I1271" s="137" t="e">
        <f t="shared" ca="1" si="122"/>
        <v>#REF!</v>
      </c>
      <c r="J1271" s="117"/>
      <c r="K1271" s="116">
        <v>0</v>
      </c>
      <c r="M1271" s="136" t="e">
        <f ca="1">OFFSET(INDEX([1]Composições!I:R,MATCH([1]Orçamentária!I1271,[1]Composições!I:I,0),8),2,0)</f>
        <v>#REF!</v>
      </c>
      <c r="N1271" t="e">
        <v>#REF!</v>
      </c>
      <c r="Q1271" t="e">
        <v>#REF!</v>
      </c>
    </row>
    <row r="1272" spans="1:17" hidden="1" x14ac:dyDescent="0.25">
      <c r="A1272" s="114" t="s">
        <v>2988</v>
      </c>
      <c r="B1272" s="115" t="s">
        <v>7723</v>
      </c>
      <c r="C1272" s="116" t="s">
        <v>16</v>
      </c>
      <c r="D1272" s="116">
        <v>0</v>
      </c>
      <c r="E1272" s="136">
        <f ca="1">OFFSET(INDEX(Composições!A:J,MATCH(Orçamentária!A1272,Composições!A:A,0),8),2,0)</f>
        <v>296.53729399999997</v>
      </c>
      <c r="F1272" s="137">
        <f t="shared" ca="1" si="120"/>
        <v>0</v>
      </c>
      <c r="G1272" s="138" t="e">
        <f>IF(A1272&lt;&gt;"",IF(AND(#REF!="Padrão",$H$4=#REF!),BDI!$B$17,IF(AND(#REF!="Padrão",$H$4=#REF!),BDI!#REF!,IF(AND(#REF!="Diferenciado",$H$4=#REF!),BDI!$E$17,IF(AND(#REF!="Diferenciado",$H$4=#REF!),BDI!#REF!,IF(#REF!="ZERO",0))))),"")</f>
        <v>#REF!</v>
      </c>
      <c r="H1272" s="139" t="e">
        <f t="shared" ca="1" si="121"/>
        <v>#REF!</v>
      </c>
      <c r="I1272" s="137" t="e">
        <f t="shared" ca="1" si="122"/>
        <v>#REF!</v>
      </c>
      <c r="J1272" s="117"/>
      <c r="K1272" s="116">
        <v>0</v>
      </c>
      <c r="M1272" s="136" t="e">
        <f ca="1">OFFSET(INDEX([1]Composições!I:R,MATCH([1]Orçamentária!I1272,[1]Composições!I:I,0),8),2,0)</f>
        <v>#REF!</v>
      </c>
      <c r="N1272" t="e">
        <v>#REF!</v>
      </c>
      <c r="Q1272" t="e">
        <v>#REF!</v>
      </c>
    </row>
    <row r="1273" spans="1:17" hidden="1" x14ac:dyDescent="0.25">
      <c r="A1273" s="114" t="s">
        <v>2989</v>
      </c>
      <c r="B1273" s="115" t="s">
        <v>7724</v>
      </c>
      <c r="C1273" s="116" t="s">
        <v>16</v>
      </c>
      <c r="D1273" s="116">
        <v>0</v>
      </c>
      <c r="E1273" s="136">
        <f ca="1">OFFSET(INDEX(Composições!A:J,MATCH(Orçamentária!A1273,Composições!A:A,0),8),2,0)</f>
        <v>333.44836599999996</v>
      </c>
      <c r="F1273" s="137">
        <f t="shared" ca="1" si="120"/>
        <v>0</v>
      </c>
      <c r="G1273" s="138" t="e">
        <f>IF(A1273&lt;&gt;"",IF(AND(#REF!="Padrão",$H$4=#REF!),BDI!$B$17,IF(AND(#REF!="Padrão",$H$4=#REF!),BDI!#REF!,IF(AND(#REF!="Diferenciado",$H$4=#REF!),BDI!$E$17,IF(AND(#REF!="Diferenciado",$H$4=#REF!),BDI!#REF!,IF(#REF!="ZERO",0))))),"")</f>
        <v>#REF!</v>
      </c>
      <c r="H1273" s="139" t="e">
        <f t="shared" ca="1" si="121"/>
        <v>#REF!</v>
      </c>
      <c r="I1273" s="137" t="e">
        <f t="shared" ca="1" si="122"/>
        <v>#REF!</v>
      </c>
      <c r="J1273" s="117"/>
      <c r="K1273" s="116">
        <v>0</v>
      </c>
      <c r="M1273" s="136" t="e">
        <f ca="1">OFFSET(INDEX([1]Composições!I:R,MATCH([1]Orçamentária!I1273,[1]Composições!I:I,0),8),2,0)</f>
        <v>#REF!</v>
      </c>
      <c r="N1273" t="e">
        <v>#REF!</v>
      </c>
      <c r="Q1273" t="e">
        <v>#REF!</v>
      </c>
    </row>
    <row r="1274" spans="1:17" hidden="1" x14ac:dyDescent="0.25">
      <c r="A1274" s="114" t="s">
        <v>2990</v>
      </c>
      <c r="B1274" s="115" t="s">
        <v>7725</v>
      </c>
      <c r="C1274" s="116" t="s">
        <v>16</v>
      </c>
      <c r="D1274" s="116">
        <v>0</v>
      </c>
      <c r="E1274" s="136">
        <f ca="1">OFFSET(INDEX(Composições!A:J,MATCH(Orçamentária!A1274,Composições!A:A,0),8),2,0)</f>
        <v>371.22393799999998</v>
      </c>
      <c r="F1274" s="137">
        <f t="shared" ca="1" si="120"/>
        <v>0</v>
      </c>
      <c r="G1274" s="138" t="e">
        <f>IF(A1274&lt;&gt;"",IF(AND(#REF!="Padrão",$H$4=#REF!),BDI!$B$17,IF(AND(#REF!="Padrão",$H$4=#REF!),BDI!#REF!,IF(AND(#REF!="Diferenciado",$H$4=#REF!),BDI!$E$17,IF(AND(#REF!="Diferenciado",$H$4=#REF!),BDI!#REF!,IF(#REF!="ZERO",0))))),"")</f>
        <v>#REF!</v>
      </c>
      <c r="H1274" s="139" t="e">
        <f t="shared" ca="1" si="121"/>
        <v>#REF!</v>
      </c>
      <c r="I1274" s="137" t="e">
        <f t="shared" ca="1" si="122"/>
        <v>#REF!</v>
      </c>
      <c r="J1274" s="117"/>
      <c r="K1274" s="116">
        <v>0</v>
      </c>
      <c r="M1274" s="136" t="e">
        <f ca="1">OFFSET(INDEX([1]Composições!I:R,MATCH([1]Orçamentária!I1274,[1]Composições!I:I,0),8),2,0)</f>
        <v>#REF!</v>
      </c>
      <c r="N1274" t="e">
        <v>#REF!</v>
      </c>
      <c r="Q1274" t="e">
        <v>#REF!</v>
      </c>
    </row>
    <row r="1275" spans="1:17" hidden="1" x14ac:dyDescent="0.25">
      <c r="A1275" s="114" t="s">
        <v>2991</v>
      </c>
      <c r="B1275" s="115" t="s">
        <v>3036</v>
      </c>
      <c r="C1275" s="116" t="s">
        <v>16</v>
      </c>
      <c r="D1275" s="116">
        <v>0</v>
      </c>
      <c r="E1275" s="136">
        <f ca="1">OFFSET(INDEX(Composições!A:J,MATCH(Orçamentária!A1275,Composições!A:A,0),8),2,0)</f>
        <v>87.210000000000008</v>
      </c>
      <c r="F1275" s="137">
        <f t="shared" ca="1" si="120"/>
        <v>0</v>
      </c>
      <c r="G1275" s="138" t="e">
        <f>IF(A1275&lt;&gt;"",IF(AND(#REF!="Padrão",$H$4=#REF!),BDI!$B$17,IF(AND(#REF!="Padrão",$H$4=#REF!),BDI!#REF!,IF(AND(#REF!="Diferenciado",$H$4=#REF!),BDI!$E$17,IF(AND(#REF!="Diferenciado",$H$4=#REF!),BDI!#REF!,IF(#REF!="ZERO",0))))),"")</f>
        <v>#REF!</v>
      </c>
      <c r="H1275" s="139" t="e">
        <f t="shared" ca="1" si="121"/>
        <v>#REF!</v>
      </c>
      <c r="I1275" s="137" t="e">
        <f t="shared" ca="1" si="122"/>
        <v>#REF!</v>
      </c>
      <c r="J1275" s="117"/>
      <c r="K1275" s="116">
        <v>0</v>
      </c>
      <c r="M1275" s="136" t="e">
        <f ca="1">OFFSET(INDEX([1]Composições!I:R,MATCH([1]Orçamentária!I1275,[1]Composições!I:I,0),8),2,0)</f>
        <v>#REF!</v>
      </c>
      <c r="N1275" t="e">
        <v>#REF!</v>
      </c>
      <c r="Q1275" t="e">
        <v>#REF!</v>
      </c>
    </row>
    <row r="1276" spans="1:17" hidden="1" x14ac:dyDescent="0.25">
      <c r="A1276" s="114" t="s">
        <v>2992</v>
      </c>
      <c r="B1276" s="115" t="s">
        <v>3037</v>
      </c>
      <c r="C1276" s="116" t="s">
        <v>70</v>
      </c>
      <c r="D1276" s="116">
        <v>0</v>
      </c>
      <c r="E1276" s="136">
        <f ca="1">OFFSET(INDEX(Composições!A:J,MATCH(Orçamentária!A1276,Composições!A:A,0),8),2,0)</f>
        <v>28.691519999999997</v>
      </c>
      <c r="F1276" s="137">
        <f t="shared" ca="1" si="120"/>
        <v>0</v>
      </c>
      <c r="G1276" s="138" t="e">
        <f>IF(A1276&lt;&gt;"",IF(AND(#REF!="Padrão",$H$4=#REF!),BDI!$B$17,IF(AND(#REF!="Padrão",$H$4=#REF!),BDI!#REF!,IF(AND(#REF!="Diferenciado",$H$4=#REF!),BDI!$E$17,IF(AND(#REF!="Diferenciado",$H$4=#REF!),BDI!#REF!,IF(#REF!="ZERO",0))))),"")</f>
        <v>#REF!</v>
      </c>
      <c r="H1276" s="139" t="e">
        <f t="shared" ca="1" si="121"/>
        <v>#REF!</v>
      </c>
      <c r="I1276" s="137" t="e">
        <f t="shared" ca="1" si="122"/>
        <v>#REF!</v>
      </c>
      <c r="J1276" s="117"/>
      <c r="K1276" s="116">
        <v>0</v>
      </c>
      <c r="M1276" s="136" t="e">
        <f ca="1">OFFSET(INDEX([1]Composições!I:R,MATCH([1]Orçamentária!I1276,[1]Composições!I:I,0),8),2,0)</f>
        <v>#REF!</v>
      </c>
      <c r="N1276" t="e">
        <v>#REF!</v>
      </c>
      <c r="Q1276" t="e">
        <v>#REF!</v>
      </c>
    </row>
    <row r="1277" spans="1:17" hidden="1" x14ac:dyDescent="0.25">
      <c r="A1277" s="114" t="s">
        <v>2993</v>
      </c>
      <c r="B1277" s="115" t="s">
        <v>7726</v>
      </c>
      <c r="C1277" s="116" t="s">
        <v>70</v>
      </c>
      <c r="D1277" s="116">
        <v>0</v>
      </c>
      <c r="E1277" s="136">
        <f ca="1">OFFSET(INDEX(Composições!A:J,MATCH(Orçamentária!A1277,Composições!A:A,0),8),2,0)</f>
        <v>32.594309999999993</v>
      </c>
      <c r="F1277" s="137">
        <f t="shared" ca="1" si="120"/>
        <v>0</v>
      </c>
      <c r="G1277" s="138" t="e">
        <f>IF(A1277&lt;&gt;"",IF(AND(#REF!="Padrão",$H$4=#REF!),BDI!$B$17,IF(AND(#REF!="Padrão",$H$4=#REF!),BDI!#REF!,IF(AND(#REF!="Diferenciado",$H$4=#REF!),BDI!$E$17,IF(AND(#REF!="Diferenciado",$H$4=#REF!),BDI!#REF!,IF(#REF!="ZERO",0))))),"")</f>
        <v>#REF!</v>
      </c>
      <c r="H1277" s="139" t="e">
        <f t="shared" ca="1" si="121"/>
        <v>#REF!</v>
      </c>
      <c r="I1277" s="137" t="e">
        <f t="shared" ca="1" si="122"/>
        <v>#REF!</v>
      </c>
      <c r="J1277" s="117"/>
      <c r="K1277" s="116">
        <v>0</v>
      </c>
      <c r="M1277" s="136" t="e">
        <f ca="1">OFFSET(INDEX([1]Composições!I:R,MATCH([1]Orçamentária!I1277,[1]Composições!I:I,0),8),2,0)</f>
        <v>#REF!</v>
      </c>
      <c r="N1277" t="e">
        <v>#REF!</v>
      </c>
      <c r="Q1277" t="e">
        <v>#REF!</v>
      </c>
    </row>
    <row r="1278" spans="1:17" hidden="1" x14ac:dyDescent="0.25">
      <c r="A1278" s="114" t="s">
        <v>2994</v>
      </c>
      <c r="B1278" s="115" t="s">
        <v>3038</v>
      </c>
      <c r="C1278" s="116" t="s">
        <v>70</v>
      </c>
      <c r="D1278" s="116">
        <v>0</v>
      </c>
      <c r="E1278" s="136">
        <f ca="1">OFFSET(INDEX(Composições!A:J,MATCH(Orçamentária!A1278,Composições!A:A,0),8),2,0)</f>
        <v>44.856254499999991</v>
      </c>
      <c r="F1278" s="137">
        <f t="shared" ca="1" si="120"/>
        <v>0</v>
      </c>
      <c r="G1278" s="138" t="e">
        <f>IF(A1278&lt;&gt;"",IF(AND(#REF!="Padrão",$H$4=#REF!),BDI!$B$17,IF(AND(#REF!="Padrão",$H$4=#REF!),BDI!#REF!,IF(AND(#REF!="Diferenciado",$H$4=#REF!),BDI!$E$17,IF(AND(#REF!="Diferenciado",$H$4=#REF!),BDI!#REF!,IF(#REF!="ZERO",0))))),"")</f>
        <v>#REF!</v>
      </c>
      <c r="H1278" s="139" t="e">
        <f t="shared" ca="1" si="121"/>
        <v>#REF!</v>
      </c>
      <c r="I1278" s="137" t="e">
        <f t="shared" ca="1" si="122"/>
        <v>#REF!</v>
      </c>
      <c r="J1278" s="117"/>
      <c r="K1278" s="116">
        <v>0</v>
      </c>
      <c r="M1278" s="136" t="e">
        <f ca="1">OFFSET(INDEX([1]Composições!I:R,MATCH([1]Orçamentária!I1278,[1]Composições!I:I,0),8),2,0)</f>
        <v>#REF!</v>
      </c>
      <c r="N1278" t="e">
        <v>#REF!</v>
      </c>
      <c r="Q1278" t="e">
        <v>#REF!</v>
      </c>
    </row>
    <row r="1279" spans="1:17" hidden="1" x14ac:dyDescent="0.25">
      <c r="A1279" s="114" t="s">
        <v>2995</v>
      </c>
      <c r="B1279" s="115" t="s">
        <v>3039</v>
      </c>
      <c r="C1279" s="116" t="s">
        <v>69</v>
      </c>
      <c r="D1279" s="116">
        <v>0</v>
      </c>
      <c r="E1279" s="136" t="s">
        <v>416</v>
      </c>
      <c r="F1279" s="137" t="str">
        <f t="shared" si="120"/>
        <v/>
      </c>
      <c r="G1279" s="138" t="e">
        <f>IF(A1279&lt;&gt;"",IF(AND(#REF!="Padrão",$H$4=#REF!),BDI!$B$17,IF(AND(#REF!="Padrão",$H$4=#REF!),BDI!#REF!,IF(AND(#REF!="Diferenciado",$H$4=#REF!),BDI!$E$17,IF(AND(#REF!="Diferenciado",$H$4=#REF!),BDI!#REF!,IF(#REF!="ZERO",0))))),"")</f>
        <v>#REF!</v>
      </c>
      <c r="H1279" s="139" t="str">
        <f t="shared" si="121"/>
        <v/>
      </c>
      <c r="I1279" s="137" t="str">
        <f t="shared" si="122"/>
        <v/>
      </c>
      <c r="J1279" s="117"/>
      <c r="K1279" s="116">
        <v>0</v>
      </c>
      <c r="M1279" s="136" t="s">
        <v>416</v>
      </c>
      <c r="N1279" t="e">
        <v>#REF!</v>
      </c>
      <c r="Q1279" t="s">
        <v>416</v>
      </c>
    </row>
    <row r="1280" spans="1:17" hidden="1" x14ac:dyDescent="0.25">
      <c r="A1280" s="114" t="s">
        <v>2996</v>
      </c>
      <c r="B1280" s="115" t="s">
        <v>3040</v>
      </c>
      <c r="C1280" s="116" t="s">
        <v>69</v>
      </c>
      <c r="D1280" s="116">
        <v>0</v>
      </c>
      <c r="E1280" s="136" t="s">
        <v>416</v>
      </c>
      <c r="F1280" s="137" t="str">
        <f t="shared" si="120"/>
        <v/>
      </c>
      <c r="G1280" s="138" t="e">
        <f>IF(A1280&lt;&gt;"",IF(AND(#REF!="Padrão",$H$4=#REF!),BDI!$B$17,IF(AND(#REF!="Padrão",$H$4=#REF!),BDI!#REF!,IF(AND(#REF!="Diferenciado",$H$4=#REF!),BDI!$E$17,IF(AND(#REF!="Diferenciado",$H$4=#REF!),BDI!#REF!,IF(#REF!="ZERO",0))))),"")</f>
        <v>#REF!</v>
      </c>
      <c r="H1280" s="139" t="str">
        <f t="shared" si="121"/>
        <v/>
      </c>
      <c r="I1280" s="137" t="str">
        <f t="shared" si="122"/>
        <v/>
      </c>
      <c r="J1280" s="117"/>
      <c r="K1280" s="116">
        <v>0</v>
      </c>
      <c r="M1280" s="136" t="s">
        <v>416</v>
      </c>
      <c r="N1280" t="e">
        <v>#REF!</v>
      </c>
      <c r="Q1280" t="s">
        <v>416</v>
      </c>
    </row>
    <row r="1281" spans="1:17" hidden="1" x14ac:dyDescent="0.25">
      <c r="A1281" s="114" t="s">
        <v>2997</v>
      </c>
      <c r="B1281" s="115" t="s">
        <v>3041</v>
      </c>
      <c r="C1281" s="116" t="s">
        <v>69</v>
      </c>
      <c r="D1281" s="116">
        <v>0</v>
      </c>
      <c r="E1281" s="136" t="s">
        <v>416</v>
      </c>
      <c r="F1281" s="137" t="str">
        <f t="shared" si="120"/>
        <v/>
      </c>
      <c r="G1281" s="138" t="e">
        <f>IF(A1281&lt;&gt;"",IF(AND(#REF!="Padrão",$H$4=#REF!),BDI!$B$17,IF(AND(#REF!="Padrão",$H$4=#REF!),BDI!#REF!,IF(AND(#REF!="Diferenciado",$H$4=#REF!),BDI!$E$17,IF(AND(#REF!="Diferenciado",$H$4=#REF!),BDI!#REF!,IF(#REF!="ZERO",0))))),"")</f>
        <v>#REF!</v>
      </c>
      <c r="H1281" s="139" t="str">
        <f t="shared" si="121"/>
        <v/>
      </c>
      <c r="I1281" s="137" t="str">
        <f t="shared" si="122"/>
        <v/>
      </c>
      <c r="J1281" s="117"/>
      <c r="K1281" s="116">
        <v>0</v>
      </c>
      <c r="M1281" s="136" t="s">
        <v>416</v>
      </c>
      <c r="N1281" t="e">
        <v>#REF!</v>
      </c>
      <c r="Q1281" t="s">
        <v>416</v>
      </c>
    </row>
    <row r="1282" spans="1:17" hidden="1" x14ac:dyDescent="0.25">
      <c r="A1282" s="114" t="s">
        <v>2998</v>
      </c>
      <c r="B1282" s="115" t="s">
        <v>3042</v>
      </c>
      <c r="C1282" s="116" t="s">
        <v>69</v>
      </c>
      <c r="D1282" s="116">
        <v>0</v>
      </c>
      <c r="E1282" s="136" t="s">
        <v>416</v>
      </c>
      <c r="F1282" s="137" t="str">
        <f t="shared" si="120"/>
        <v/>
      </c>
      <c r="G1282" s="138" t="e">
        <f>IF(A1282&lt;&gt;"",IF(AND(#REF!="Padrão",$H$4=#REF!),BDI!$B$17,IF(AND(#REF!="Padrão",$H$4=#REF!),BDI!#REF!,IF(AND(#REF!="Diferenciado",$H$4=#REF!),BDI!$E$17,IF(AND(#REF!="Diferenciado",$H$4=#REF!),BDI!#REF!,IF(#REF!="ZERO",0))))),"")</f>
        <v>#REF!</v>
      </c>
      <c r="H1282" s="139" t="str">
        <f t="shared" si="121"/>
        <v/>
      </c>
      <c r="I1282" s="137" t="str">
        <f t="shared" si="122"/>
        <v/>
      </c>
      <c r="J1282" s="117"/>
      <c r="K1282" s="116">
        <v>0</v>
      </c>
      <c r="M1282" s="136" t="s">
        <v>416</v>
      </c>
      <c r="N1282" t="e">
        <v>#REF!</v>
      </c>
      <c r="Q1282" t="s">
        <v>416</v>
      </c>
    </row>
    <row r="1283" spans="1:17" hidden="1" x14ac:dyDescent="0.25">
      <c r="A1283" s="114" t="s">
        <v>2999</v>
      </c>
      <c r="B1283" s="115" t="s">
        <v>3043</v>
      </c>
      <c r="C1283" s="116" t="s">
        <v>69</v>
      </c>
      <c r="D1283" s="116">
        <v>0</v>
      </c>
      <c r="E1283" s="136">
        <f ca="1">OFFSET(INDEX(Composições!A:J,MATCH(Orçamentária!A1283,Composições!A:A,0),8),2,0)</f>
        <v>10.659000000000001</v>
      </c>
      <c r="F1283" s="137">
        <f t="shared" ca="1" si="120"/>
        <v>0</v>
      </c>
      <c r="G1283" s="138" t="e">
        <f>IF(A1283&lt;&gt;"",IF(AND(#REF!="Padrão",$H$4=#REF!),BDI!$B$17,IF(AND(#REF!="Padrão",$H$4=#REF!),BDI!#REF!,IF(AND(#REF!="Diferenciado",$H$4=#REF!),BDI!$E$17,IF(AND(#REF!="Diferenciado",$H$4=#REF!),BDI!#REF!,IF(#REF!="ZERO",0))))),"")</f>
        <v>#REF!</v>
      </c>
      <c r="H1283" s="139" t="e">
        <f t="shared" ca="1" si="121"/>
        <v>#REF!</v>
      </c>
      <c r="I1283" s="137" t="e">
        <f t="shared" ca="1" si="122"/>
        <v>#REF!</v>
      </c>
      <c r="J1283" s="117"/>
      <c r="K1283" s="116">
        <v>0</v>
      </c>
      <c r="M1283" s="136" t="e">
        <f ca="1">OFFSET(INDEX([1]Composições!I:R,MATCH([1]Orçamentária!I1283,[1]Composições!I:I,0),8),2,0)</f>
        <v>#REF!</v>
      </c>
      <c r="N1283" t="e">
        <v>#REF!</v>
      </c>
      <c r="Q1283" t="e">
        <v>#REF!</v>
      </c>
    </row>
    <row r="1284" spans="1:17" hidden="1" x14ac:dyDescent="0.25">
      <c r="A1284" s="114" t="s">
        <v>3000</v>
      </c>
      <c r="B1284" s="115" t="s">
        <v>6098</v>
      </c>
      <c r="C1284" s="116" t="s">
        <v>69</v>
      </c>
      <c r="D1284" s="116">
        <v>0</v>
      </c>
      <c r="E1284" s="136">
        <f ca="1">OFFSET(INDEX(Composições!A:J,MATCH(Orçamentária!A1284,Composições!A:A,0),8),2,0)</f>
        <v>30.089378500000002</v>
      </c>
      <c r="F1284" s="137">
        <f t="shared" ca="1" si="120"/>
        <v>0</v>
      </c>
      <c r="G1284" s="138" t="e">
        <f>IF(A1284&lt;&gt;"",IF(AND(#REF!="Padrão",$H$4=#REF!),BDI!$B$17,IF(AND(#REF!="Padrão",$H$4=#REF!),BDI!#REF!,IF(AND(#REF!="Diferenciado",$H$4=#REF!),BDI!$E$17,IF(AND(#REF!="Diferenciado",$H$4=#REF!),BDI!#REF!,IF(#REF!="ZERO",0))))),"")</f>
        <v>#REF!</v>
      </c>
      <c r="H1284" s="139" t="e">
        <f t="shared" ca="1" si="121"/>
        <v>#REF!</v>
      </c>
      <c r="I1284" s="137" t="e">
        <f t="shared" ca="1" si="122"/>
        <v>#REF!</v>
      </c>
      <c r="J1284" s="117"/>
      <c r="K1284" s="116">
        <v>0</v>
      </c>
      <c r="M1284" s="136" t="e">
        <f ca="1">OFFSET(INDEX([1]Composições!I:R,MATCH([1]Orçamentária!I1284,[1]Composições!I:I,0),8),2,0)</f>
        <v>#REF!</v>
      </c>
      <c r="N1284" t="e">
        <v>#REF!</v>
      </c>
      <c r="Q1284" t="e">
        <v>#REF!</v>
      </c>
    </row>
    <row r="1285" spans="1:17" hidden="1" x14ac:dyDescent="0.25">
      <c r="A1285" s="114" t="s">
        <v>3001</v>
      </c>
      <c r="B1285" s="115" t="s">
        <v>7727</v>
      </c>
      <c r="C1285" s="116" t="s">
        <v>69</v>
      </c>
      <c r="D1285" s="116">
        <v>0</v>
      </c>
      <c r="E1285" s="136">
        <f ca="1">OFFSET(INDEX(Composições!A:J,MATCH(Orçamentária!A1285,Composições!A:A,0),8),2,0)</f>
        <v>43.004058499999992</v>
      </c>
      <c r="F1285" s="137">
        <f t="shared" ca="1" si="120"/>
        <v>0</v>
      </c>
      <c r="G1285" s="138" t="e">
        <f>IF(A1285&lt;&gt;"",IF(AND(#REF!="Padrão",$H$4=#REF!),BDI!$B$17,IF(AND(#REF!="Padrão",$H$4=#REF!),BDI!#REF!,IF(AND(#REF!="Diferenciado",$H$4=#REF!),BDI!$E$17,IF(AND(#REF!="Diferenciado",$H$4=#REF!),BDI!#REF!,IF(#REF!="ZERO",0))))),"")</f>
        <v>#REF!</v>
      </c>
      <c r="H1285" s="139" t="e">
        <f t="shared" ca="1" si="121"/>
        <v>#REF!</v>
      </c>
      <c r="I1285" s="137" t="e">
        <f t="shared" ca="1" si="122"/>
        <v>#REF!</v>
      </c>
      <c r="J1285" s="117"/>
      <c r="K1285" s="116">
        <v>0</v>
      </c>
      <c r="M1285" s="136" t="e">
        <f ca="1">OFFSET(INDEX([1]Composições!I:R,MATCH([1]Orçamentária!I1285,[1]Composições!I:I,0),8),2,0)</f>
        <v>#REF!</v>
      </c>
      <c r="N1285" t="e">
        <v>#REF!</v>
      </c>
      <c r="Q1285" t="e">
        <v>#REF!</v>
      </c>
    </row>
    <row r="1286" spans="1:17" hidden="1" x14ac:dyDescent="0.25">
      <c r="A1286" s="114" t="s">
        <v>3002</v>
      </c>
      <c r="B1286" s="115" t="s">
        <v>3044</v>
      </c>
      <c r="C1286" s="116" t="s">
        <v>16</v>
      </c>
      <c r="D1286" s="116">
        <v>0</v>
      </c>
      <c r="E1286" s="136">
        <f ca="1">OFFSET(INDEX(Composições!A:J,MATCH(Orçamentária!A1286,Composições!A:A,0),8),2,0)</f>
        <v>86.792199499999981</v>
      </c>
      <c r="F1286" s="137">
        <f t="shared" ca="1" si="120"/>
        <v>0</v>
      </c>
      <c r="G1286" s="138" t="e">
        <f>IF(A1286&lt;&gt;"",IF(AND(#REF!="Padrão",$H$4=#REF!),BDI!$B$17,IF(AND(#REF!="Padrão",$H$4=#REF!),BDI!#REF!,IF(AND(#REF!="Diferenciado",$H$4=#REF!),BDI!$E$17,IF(AND(#REF!="Diferenciado",$H$4=#REF!),BDI!#REF!,IF(#REF!="ZERO",0))))),"")</f>
        <v>#REF!</v>
      </c>
      <c r="H1286" s="139" t="e">
        <f t="shared" ca="1" si="121"/>
        <v>#REF!</v>
      </c>
      <c r="I1286" s="137" t="e">
        <f t="shared" ca="1" si="122"/>
        <v>#REF!</v>
      </c>
      <c r="J1286" s="117"/>
      <c r="K1286" s="116">
        <v>0</v>
      </c>
      <c r="M1286" s="136" t="e">
        <f ca="1">OFFSET(INDEX([1]Composições!I:R,MATCH([1]Orçamentária!I1286,[1]Composições!I:I,0),8),2,0)</f>
        <v>#REF!</v>
      </c>
      <c r="N1286" t="e">
        <v>#REF!</v>
      </c>
      <c r="Q1286" t="e">
        <v>#REF!</v>
      </c>
    </row>
    <row r="1287" spans="1:17" hidden="1" x14ac:dyDescent="0.25">
      <c r="A1287" s="114" t="s">
        <v>3003</v>
      </c>
      <c r="B1287" s="115" t="s">
        <v>3045</v>
      </c>
      <c r="C1287" s="116" t="s">
        <v>16</v>
      </c>
      <c r="D1287" s="116">
        <v>0</v>
      </c>
      <c r="E1287" s="136">
        <f ca="1">OFFSET(INDEX(Composições!A:J,MATCH(Orçamentária!A1287,Composições!A:A,0),8),2,0)</f>
        <v>24.1226831</v>
      </c>
      <c r="F1287" s="137">
        <f t="shared" ca="1" si="120"/>
        <v>0</v>
      </c>
      <c r="G1287" s="138" t="e">
        <f>IF(A1287&lt;&gt;"",IF(AND(#REF!="Padrão",$H$4=#REF!),BDI!$B$17,IF(AND(#REF!="Padrão",$H$4=#REF!),BDI!#REF!,IF(AND(#REF!="Diferenciado",$H$4=#REF!),BDI!$E$17,IF(AND(#REF!="Diferenciado",$H$4=#REF!),BDI!#REF!,IF(#REF!="ZERO",0))))),"")</f>
        <v>#REF!</v>
      </c>
      <c r="H1287" s="139" t="e">
        <f t="shared" ca="1" si="121"/>
        <v>#REF!</v>
      </c>
      <c r="I1287" s="137" t="e">
        <f t="shared" ca="1" si="122"/>
        <v>#REF!</v>
      </c>
      <c r="J1287" s="117"/>
      <c r="K1287" s="116">
        <v>0</v>
      </c>
      <c r="M1287" s="136" t="e">
        <f ca="1">OFFSET(INDEX([1]Composições!I:R,MATCH([1]Orçamentária!I1287,[1]Composições!I:I,0),8),2,0)</f>
        <v>#REF!</v>
      </c>
      <c r="N1287" t="e">
        <v>#REF!</v>
      </c>
      <c r="Q1287" t="e">
        <v>#REF!</v>
      </c>
    </row>
    <row r="1288" spans="1:17" hidden="1" x14ac:dyDescent="0.25">
      <c r="A1288" s="114" t="s">
        <v>3004</v>
      </c>
      <c r="B1288" s="115" t="s">
        <v>3046</v>
      </c>
      <c r="C1288" s="116" t="s">
        <v>16</v>
      </c>
      <c r="D1288" s="116">
        <v>0</v>
      </c>
      <c r="E1288" s="136">
        <f ca="1">OFFSET(INDEX(Composições!A:J,MATCH(Orçamentária!A1288,Composições!A:A,0),8),2,0)</f>
        <v>14.901851999999998</v>
      </c>
      <c r="F1288" s="137">
        <f t="shared" ca="1" si="120"/>
        <v>0</v>
      </c>
      <c r="G1288" s="138" t="e">
        <f>IF(A1288&lt;&gt;"",IF(AND(#REF!="Padrão",$H$4=#REF!),BDI!$B$17,IF(AND(#REF!="Padrão",$H$4=#REF!),BDI!#REF!,IF(AND(#REF!="Diferenciado",$H$4=#REF!),BDI!$E$17,IF(AND(#REF!="Diferenciado",$H$4=#REF!),BDI!#REF!,IF(#REF!="ZERO",0))))),"")</f>
        <v>#REF!</v>
      </c>
      <c r="H1288" s="139" t="e">
        <f t="shared" ca="1" si="121"/>
        <v>#REF!</v>
      </c>
      <c r="I1288" s="137" t="e">
        <f t="shared" ca="1" si="122"/>
        <v>#REF!</v>
      </c>
      <c r="J1288" s="117"/>
      <c r="K1288" s="116">
        <v>0</v>
      </c>
      <c r="M1288" s="136" t="e">
        <f ca="1">OFFSET(INDEX([1]Composições!I:R,MATCH([1]Orçamentária!I1288,[1]Composições!I:I,0),8),2,0)</f>
        <v>#REF!</v>
      </c>
      <c r="N1288" t="e">
        <v>#REF!</v>
      </c>
      <c r="Q1288" t="e">
        <v>#REF!</v>
      </c>
    </row>
    <row r="1289" spans="1:17" hidden="1" x14ac:dyDescent="0.25">
      <c r="A1289" s="114" t="s">
        <v>3005</v>
      </c>
      <c r="B1289" s="115" t="s">
        <v>3047</v>
      </c>
      <c r="C1289" s="116" t="s">
        <v>16</v>
      </c>
      <c r="D1289" s="116">
        <v>0</v>
      </c>
      <c r="E1289" s="136">
        <f ca="1">OFFSET(INDEX(Composições!A:J,MATCH(Orçamentária!A1289,Composições!A:A,0),8),2,0)</f>
        <v>291.18450000000001</v>
      </c>
      <c r="F1289" s="137">
        <f t="shared" ca="1" si="120"/>
        <v>0</v>
      </c>
      <c r="G1289" s="138" t="e">
        <f>IF(A1289&lt;&gt;"",IF(AND(#REF!="Padrão",$H$4=#REF!),BDI!$B$17,IF(AND(#REF!="Padrão",$H$4=#REF!),BDI!#REF!,IF(AND(#REF!="Diferenciado",$H$4=#REF!),BDI!$E$17,IF(AND(#REF!="Diferenciado",$H$4=#REF!),BDI!#REF!,IF(#REF!="ZERO",0))))),"")</f>
        <v>#REF!</v>
      </c>
      <c r="H1289" s="139" t="e">
        <f t="shared" ca="1" si="121"/>
        <v>#REF!</v>
      </c>
      <c r="I1289" s="137" t="e">
        <f t="shared" ca="1" si="122"/>
        <v>#REF!</v>
      </c>
      <c r="J1289" s="117"/>
      <c r="K1289" s="116">
        <v>0</v>
      </c>
      <c r="M1289" s="136" t="e">
        <f ca="1">OFFSET(INDEX([1]Composições!I:R,MATCH([1]Orçamentária!I1289,[1]Composições!I:I,0),8),2,0)</f>
        <v>#REF!</v>
      </c>
      <c r="N1289" t="e">
        <v>#REF!</v>
      </c>
      <c r="Q1289" t="e">
        <v>#REF!</v>
      </c>
    </row>
    <row r="1290" spans="1:17" hidden="1" x14ac:dyDescent="0.25">
      <c r="A1290" s="114" t="s">
        <v>3006</v>
      </c>
      <c r="B1290" s="115" t="s">
        <v>3048</v>
      </c>
      <c r="C1290" s="116" t="s">
        <v>16</v>
      </c>
      <c r="D1290" s="116">
        <v>0</v>
      </c>
      <c r="E1290" s="136">
        <f ca="1">OFFSET(INDEX(Composições!A:J,MATCH(Orçamentária!A1290,Composições!A:A,0),8),2,0)</f>
        <v>20.974243449999996</v>
      </c>
      <c r="F1290" s="137">
        <f t="shared" ca="1" si="120"/>
        <v>0</v>
      </c>
      <c r="G1290" s="138" t="e">
        <f>IF(A1290&lt;&gt;"",IF(AND(#REF!="Padrão",$H$4=#REF!),BDI!$B$17,IF(AND(#REF!="Padrão",$H$4=#REF!),BDI!#REF!,IF(AND(#REF!="Diferenciado",$H$4=#REF!),BDI!$E$17,IF(AND(#REF!="Diferenciado",$H$4=#REF!),BDI!#REF!,IF(#REF!="ZERO",0))))),"")</f>
        <v>#REF!</v>
      </c>
      <c r="H1290" s="139" t="e">
        <f t="shared" ca="1" si="121"/>
        <v>#REF!</v>
      </c>
      <c r="I1290" s="137" t="e">
        <f t="shared" ca="1" si="122"/>
        <v>#REF!</v>
      </c>
      <c r="J1290" s="117"/>
      <c r="K1290" s="116">
        <v>0</v>
      </c>
      <c r="M1290" s="136" t="e">
        <f ca="1">OFFSET(INDEX([1]Composições!I:R,MATCH([1]Orçamentária!I1290,[1]Composições!I:I,0),8),2,0)</f>
        <v>#REF!</v>
      </c>
      <c r="N1290" t="e">
        <v>#REF!</v>
      </c>
      <c r="Q1290" t="e">
        <v>#REF!</v>
      </c>
    </row>
    <row r="1291" spans="1:17" hidden="1" x14ac:dyDescent="0.25">
      <c r="A1291" s="114" t="s">
        <v>3007</v>
      </c>
      <c r="B1291" s="115" t="s">
        <v>3049</v>
      </c>
      <c r="C1291" s="116" t="s">
        <v>16</v>
      </c>
      <c r="D1291" s="116">
        <v>0</v>
      </c>
      <c r="E1291" s="136">
        <f ca="1">OFFSET(INDEX(Composições!A:J,MATCH(Orçamentária!A1291,Composições!A:A,0),8),2,0)</f>
        <v>10.488461699999998</v>
      </c>
      <c r="F1291" s="137">
        <f t="shared" ca="1" si="120"/>
        <v>0</v>
      </c>
      <c r="G1291" s="138" t="e">
        <f>IF(A1291&lt;&gt;"",IF(AND(#REF!="Padrão",$H$4=#REF!),BDI!$B$17,IF(AND(#REF!="Padrão",$H$4=#REF!),BDI!#REF!,IF(AND(#REF!="Diferenciado",$H$4=#REF!),BDI!$E$17,IF(AND(#REF!="Diferenciado",$H$4=#REF!),BDI!#REF!,IF(#REF!="ZERO",0))))),"")</f>
        <v>#REF!</v>
      </c>
      <c r="H1291" s="139" t="e">
        <f t="shared" ca="1" si="121"/>
        <v>#REF!</v>
      </c>
      <c r="I1291" s="137" t="e">
        <f t="shared" ca="1" si="122"/>
        <v>#REF!</v>
      </c>
      <c r="J1291" s="117"/>
      <c r="K1291" s="116">
        <v>0</v>
      </c>
      <c r="M1291" s="136" t="e">
        <f ca="1">OFFSET(INDEX([1]Composições!I:R,MATCH([1]Orçamentária!I1291,[1]Composições!I:I,0),8),2,0)</f>
        <v>#REF!</v>
      </c>
      <c r="N1291" t="e">
        <v>#REF!</v>
      </c>
      <c r="Q1291" t="e">
        <v>#REF!</v>
      </c>
    </row>
    <row r="1292" spans="1:17" hidden="1" x14ac:dyDescent="0.25">
      <c r="A1292" s="114" t="s">
        <v>3008</v>
      </c>
      <c r="B1292" s="115" t="s">
        <v>3050</v>
      </c>
      <c r="C1292" s="116" t="s">
        <v>16</v>
      </c>
      <c r="D1292" s="116">
        <v>0</v>
      </c>
      <c r="E1292" s="136">
        <f ca="1">OFFSET(INDEX(Composições!A:J,MATCH(Orçamentária!A1292,Composições!A:A,0),8),2,0)</f>
        <v>17.346069</v>
      </c>
      <c r="F1292" s="137">
        <f t="shared" ref="F1292:F1299" ca="1" si="123">IF(ISNUMBER(E1292),D1292*E1292,"")</f>
        <v>0</v>
      </c>
      <c r="G1292" s="138" t="e">
        <f>IF(A1292&lt;&gt;"",IF(AND(#REF!="Padrão",$H$4=#REF!),BDI!$B$17,IF(AND(#REF!="Padrão",$H$4=#REF!),BDI!#REF!,IF(AND(#REF!="Diferenciado",$H$4=#REF!),BDI!$E$17,IF(AND(#REF!="Diferenciado",$H$4=#REF!),BDI!#REF!,IF(#REF!="ZERO",0))))),"")</f>
        <v>#REF!</v>
      </c>
      <c r="H1292" s="139" t="e">
        <f t="shared" ref="H1292:H1299" ca="1" si="124">IF(ISNUMBER(E1292),ROUND(E1292*(1+G1292),2),"")</f>
        <v>#REF!</v>
      </c>
      <c r="I1292" s="137" t="e">
        <f t="shared" ref="I1292:I1299" ca="1" si="125">IF(ISNUMBER(E1292),ROUND(H1292*D1292,2),"")</f>
        <v>#REF!</v>
      </c>
      <c r="J1292" s="117"/>
      <c r="K1292" s="116">
        <v>0</v>
      </c>
      <c r="M1292" s="136" t="e">
        <f ca="1">OFFSET(INDEX([1]Composições!I:R,MATCH([1]Orçamentária!I1292,[1]Composições!I:I,0),8),2,0)</f>
        <v>#REF!</v>
      </c>
      <c r="N1292" t="e">
        <v>#REF!</v>
      </c>
      <c r="Q1292" t="e">
        <v>#REF!</v>
      </c>
    </row>
    <row r="1293" spans="1:17" hidden="1" x14ac:dyDescent="0.25">
      <c r="A1293" s="114" t="s">
        <v>3009</v>
      </c>
      <c r="B1293" s="115" t="s">
        <v>3051</v>
      </c>
      <c r="C1293" s="116" t="s">
        <v>16</v>
      </c>
      <c r="D1293" s="116">
        <v>0</v>
      </c>
      <c r="E1293" s="136">
        <f ca="1">OFFSET(INDEX(Composições!A:J,MATCH(Orçamentária!A1293,Composições!A:A,0),8),2,0)</f>
        <v>17.484275</v>
      </c>
      <c r="F1293" s="137">
        <f t="shared" ca="1" si="123"/>
        <v>0</v>
      </c>
      <c r="G1293" s="138" t="e">
        <f>IF(A1293&lt;&gt;"",IF(AND(#REF!="Padrão",$H$4=#REF!),BDI!$B$17,IF(AND(#REF!="Padrão",$H$4=#REF!),BDI!#REF!,IF(AND(#REF!="Diferenciado",$H$4=#REF!),BDI!$E$17,IF(AND(#REF!="Diferenciado",$H$4=#REF!),BDI!#REF!,IF(#REF!="ZERO",0))))),"")</f>
        <v>#REF!</v>
      </c>
      <c r="H1293" s="139" t="e">
        <f t="shared" ca="1" si="124"/>
        <v>#REF!</v>
      </c>
      <c r="I1293" s="137" t="e">
        <f t="shared" ca="1" si="125"/>
        <v>#REF!</v>
      </c>
      <c r="J1293" s="117"/>
      <c r="K1293" s="116">
        <v>0</v>
      </c>
      <c r="M1293" s="136" t="e">
        <f ca="1">OFFSET(INDEX([1]Composições!I:R,MATCH([1]Orçamentária!I1293,[1]Composições!I:I,0),8),2,0)</f>
        <v>#REF!</v>
      </c>
      <c r="N1293" t="e">
        <v>#REF!</v>
      </c>
      <c r="Q1293" t="e">
        <v>#REF!</v>
      </c>
    </row>
    <row r="1294" spans="1:17" hidden="1" x14ac:dyDescent="0.25">
      <c r="A1294" s="114" t="s">
        <v>3010</v>
      </c>
      <c r="B1294" s="115" t="s">
        <v>3052</v>
      </c>
      <c r="C1294" s="116" t="s">
        <v>16</v>
      </c>
      <c r="D1294" s="116">
        <v>0</v>
      </c>
      <c r="E1294" s="136">
        <f ca="1">OFFSET(INDEX(Composições!A:J,MATCH(Orçamentária!A1294,Composições!A:A,0),8),2,0)</f>
        <v>124.6169872</v>
      </c>
      <c r="F1294" s="137">
        <f t="shared" ca="1" si="123"/>
        <v>0</v>
      </c>
      <c r="G1294" s="138" t="e">
        <f>IF(A1294&lt;&gt;"",IF(AND(#REF!="Padrão",$H$4=#REF!),BDI!$B$17,IF(AND(#REF!="Padrão",$H$4=#REF!),BDI!#REF!,IF(AND(#REF!="Diferenciado",$H$4=#REF!),BDI!$E$17,IF(AND(#REF!="Diferenciado",$H$4=#REF!),BDI!#REF!,IF(#REF!="ZERO",0))))),"")</f>
        <v>#REF!</v>
      </c>
      <c r="H1294" s="139" t="e">
        <f t="shared" ca="1" si="124"/>
        <v>#REF!</v>
      </c>
      <c r="I1294" s="137" t="e">
        <f t="shared" ca="1" si="125"/>
        <v>#REF!</v>
      </c>
      <c r="J1294" s="117"/>
      <c r="K1294" s="116">
        <v>0</v>
      </c>
      <c r="M1294" s="136" t="e">
        <f ca="1">OFFSET(INDEX([1]Composições!I:R,MATCH([1]Orçamentária!I1294,[1]Composições!I:I,0),8),2,0)</f>
        <v>#REF!</v>
      </c>
      <c r="N1294" t="e">
        <v>#REF!</v>
      </c>
      <c r="Q1294" t="e">
        <v>#REF!</v>
      </c>
    </row>
    <row r="1295" spans="1:17" hidden="1" x14ac:dyDescent="0.25">
      <c r="A1295" s="114" t="s">
        <v>3011</v>
      </c>
      <c r="B1295" s="115" t="s">
        <v>3053</v>
      </c>
      <c r="C1295" s="116" t="s">
        <v>16</v>
      </c>
      <c r="D1295" s="116">
        <v>0</v>
      </c>
      <c r="E1295" s="136" t="s">
        <v>416</v>
      </c>
      <c r="F1295" s="137" t="str">
        <f t="shared" si="123"/>
        <v/>
      </c>
      <c r="G1295" s="138" t="e">
        <f>IF(A1295&lt;&gt;"",IF(AND(#REF!="Padrão",$H$4=#REF!),BDI!$B$17,IF(AND(#REF!="Padrão",$H$4=#REF!),BDI!#REF!,IF(AND(#REF!="Diferenciado",$H$4=#REF!),BDI!$E$17,IF(AND(#REF!="Diferenciado",$H$4=#REF!),BDI!#REF!,IF(#REF!="ZERO",0))))),"")</f>
        <v>#REF!</v>
      </c>
      <c r="H1295" s="139" t="str">
        <f t="shared" si="124"/>
        <v/>
      </c>
      <c r="I1295" s="137" t="str">
        <f t="shared" si="125"/>
        <v/>
      </c>
      <c r="J1295" s="117"/>
      <c r="K1295" s="116">
        <v>0</v>
      </c>
      <c r="M1295" s="136" t="s">
        <v>416</v>
      </c>
      <c r="N1295" t="e">
        <v>#REF!</v>
      </c>
      <c r="Q1295" t="s">
        <v>416</v>
      </c>
    </row>
    <row r="1296" spans="1:17" hidden="1" x14ac:dyDescent="0.25">
      <c r="A1296" s="114" t="s">
        <v>3012</v>
      </c>
      <c r="B1296" s="115" t="s">
        <v>3226</v>
      </c>
      <c r="C1296" s="116" t="s">
        <v>70</v>
      </c>
      <c r="D1296" s="116">
        <v>0</v>
      </c>
      <c r="E1296" s="136" t="s">
        <v>416</v>
      </c>
      <c r="F1296" s="137" t="str">
        <f t="shared" si="123"/>
        <v/>
      </c>
      <c r="G1296" s="138" t="e">
        <f>IF(A1296&lt;&gt;"",IF(AND(#REF!="Padrão",$H$4=#REF!),BDI!$B$17,IF(AND(#REF!="Padrão",$H$4=#REF!),BDI!#REF!,IF(AND(#REF!="Diferenciado",$H$4=#REF!),BDI!$E$17,IF(AND(#REF!="Diferenciado",$H$4=#REF!),BDI!#REF!,IF(#REF!="ZERO",0))))),"")</f>
        <v>#REF!</v>
      </c>
      <c r="H1296" s="139" t="str">
        <f t="shared" si="124"/>
        <v/>
      </c>
      <c r="I1296" s="137" t="str">
        <f t="shared" si="125"/>
        <v/>
      </c>
      <c r="J1296" s="117"/>
      <c r="K1296" s="116">
        <v>0</v>
      </c>
      <c r="M1296" s="136" t="s">
        <v>416</v>
      </c>
      <c r="N1296" t="e">
        <v>#REF!</v>
      </c>
      <c r="Q1296" t="s">
        <v>416</v>
      </c>
    </row>
    <row r="1297" spans="1:17" hidden="1" x14ac:dyDescent="0.25">
      <c r="A1297" s="114" t="s">
        <v>3057</v>
      </c>
      <c r="B1297" s="115" t="s">
        <v>3054</v>
      </c>
      <c r="C1297" s="116" t="s">
        <v>16</v>
      </c>
      <c r="D1297" s="116">
        <v>0</v>
      </c>
      <c r="E1297" s="136" t="s">
        <v>416</v>
      </c>
      <c r="F1297" s="137" t="str">
        <f t="shared" si="123"/>
        <v/>
      </c>
      <c r="G1297" s="138" t="e">
        <f>IF(A1297&lt;&gt;"",IF(AND(#REF!="Padrão",$H$4=#REF!),BDI!$B$17,IF(AND(#REF!="Padrão",$H$4=#REF!),BDI!#REF!,IF(AND(#REF!="Diferenciado",$H$4=#REF!),BDI!$E$17,IF(AND(#REF!="Diferenciado",$H$4=#REF!),BDI!#REF!,IF(#REF!="ZERO",0))))),"")</f>
        <v>#REF!</v>
      </c>
      <c r="H1297" s="139" t="str">
        <f t="shared" si="124"/>
        <v/>
      </c>
      <c r="I1297" s="137" t="str">
        <f t="shared" si="125"/>
        <v/>
      </c>
      <c r="J1297" s="117"/>
      <c r="K1297" s="116">
        <v>0</v>
      </c>
      <c r="M1297" s="136" t="s">
        <v>416</v>
      </c>
      <c r="N1297" t="e">
        <v>#REF!</v>
      </c>
      <c r="Q1297" t="s">
        <v>416</v>
      </c>
    </row>
    <row r="1298" spans="1:17" hidden="1" x14ac:dyDescent="0.25">
      <c r="A1298" s="114" t="s">
        <v>3058</v>
      </c>
      <c r="B1298" s="115" t="s">
        <v>3055</v>
      </c>
      <c r="C1298" s="116" t="s">
        <v>16</v>
      </c>
      <c r="D1298" s="116">
        <v>0</v>
      </c>
      <c r="E1298" s="136" t="s">
        <v>416</v>
      </c>
      <c r="F1298" s="137" t="str">
        <f t="shared" si="123"/>
        <v/>
      </c>
      <c r="G1298" s="138" t="e">
        <f>IF(A1298&lt;&gt;"",IF(AND(#REF!="Padrão",$H$4=#REF!),BDI!$B$17,IF(AND(#REF!="Padrão",$H$4=#REF!),BDI!#REF!,IF(AND(#REF!="Diferenciado",$H$4=#REF!),BDI!$E$17,IF(AND(#REF!="Diferenciado",$H$4=#REF!),BDI!#REF!,IF(#REF!="ZERO",0))))),"")</f>
        <v>#REF!</v>
      </c>
      <c r="H1298" s="139" t="str">
        <f t="shared" si="124"/>
        <v/>
      </c>
      <c r="I1298" s="137" t="str">
        <f t="shared" si="125"/>
        <v/>
      </c>
      <c r="J1298" s="117"/>
      <c r="K1298" s="116">
        <v>0</v>
      </c>
      <c r="M1298" s="136" t="s">
        <v>416</v>
      </c>
      <c r="N1298" t="e">
        <v>#REF!</v>
      </c>
      <c r="Q1298" t="s">
        <v>416</v>
      </c>
    </row>
    <row r="1299" spans="1:17" hidden="1" x14ac:dyDescent="0.25">
      <c r="A1299" s="114" t="s">
        <v>3059</v>
      </c>
      <c r="B1299" s="115" t="s">
        <v>3056</v>
      </c>
      <c r="C1299" s="116" t="s">
        <v>16</v>
      </c>
      <c r="D1299" s="116">
        <v>0</v>
      </c>
      <c r="E1299" s="136" t="s">
        <v>416</v>
      </c>
      <c r="F1299" s="137" t="str">
        <f t="shared" si="123"/>
        <v/>
      </c>
      <c r="G1299" s="138" t="e">
        <f>IF(A1299&lt;&gt;"",IF(AND(#REF!="Padrão",$H$4=#REF!),BDI!$B$17,IF(AND(#REF!="Padrão",$H$4=#REF!),BDI!#REF!,IF(AND(#REF!="Diferenciado",$H$4=#REF!),BDI!$E$17,IF(AND(#REF!="Diferenciado",$H$4=#REF!),BDI!#REF!,IF(#REF!="ZERO",0))))),"")</f>
        <v>#REF!</v>
      </c>
      <c r="H1299" s="139" t="str">
        <f t="shared" si="124"/>
        <v/>
      </c>
      <c r="I1299" s="137" t="str">
        <f t="shared" si="125"/>
        <v/>
      </c>
      <c r="J1299" s="117"/>
      <c r="K1299" s="116">
        <v>0</v>
      </c>
      <c r="M1299" s="136" t="s">
        <v>416</v>
      </c>
      <c r="N1299" t="e">
        <v>#REF!</v>
      </c>
      <c r="Q1299" t="s">
        <v>416</v>
      </c>
    </row>
    <row r="1300" spans="1:17" hidden="1" x14ac:dyDescent="0.25">
      <c r="A1300" s="114" t="s">
        <v>3116</v>
      </c>
      <c r="B1300" s="115" t="s">
        <v>3117</v>
      </c>
      <c r="C1300" s="116" t="s">
        <v>70</v>
      </c>
      <c r="D1300" s="116">
        <v>0</v>
      </c>
      <c r="E1300" s="136">
        <f ca="1">OFFSET(INDEX(Composições!A:J,MATCH(Orçamentária!A1300,Composições!A:A,0),8),2,0)</f>
        <v>223.08651155952376</v>
      </c>
      <c r="F1300" s="137">
        <f t="shared" ref="F1300:F1343" ca="1" si="126">IF(ISNUMBER(E1300),D1300*E1300,"")</f>
        <v>0</v>
      </c>
      <c r="G1300" s="138" t="e">
        <f>IF(A1300&lt;&gt;"",IF(AND(#REF!="Padrão",$H$4=#REF!),BDI!$B$17,IF(AND(#REF!="Padrão",$H$4=#REF!),BDI!#REF!,IF(AND(#REF!="Diferenciado",$H$4=#REF!),BDI!$E$17,IF(AND(#REF!="Diferenciado",$H$4=#REF!),BDI!#REF!,IF(#REF!="ZERO",0))))),"")</f>
        <v>#REF!</v>
      </c>
      <c r="H1300" s="139" t="e">
        <f t="shared" ref="H1300:H1343" ca="1" si="127">IF(ISNUMBER(E1300),ROUND(E1300*(1+G1300),2),"")</f>
        <v>#REF!</v>
      </c>
      <c r="I1300" s="137" t="e">
        <f t="shared" ref="I1300:I1343" ca="1" si="128">IF(ISNUMBER(E1300),ROUND(H1300*D1300,2),"")</f>
        <v>#REF!</v>
      </c>
      <c r="J1300" s="117"/>
      <c r="K1300" s="116">
        <v>0</v>
      </c>
      <c r="M1300" s="136" t="e">
        <f ca="1">OFFSET(INDEX([1]Composições!I:R,MATCH([1]Orçamentária!I1300,[1]Composições!I:I,0),8),2,0)</f>
        <v>#REF!</v>
      </c>
      <c r="N1300" t="e">
        <v>#REF!</v>
      </c>
      <c r="Q1300" t="e">
        <v>#REF!</v>
      </c>
    </row>
    <row r="1301" spans="1:17" hidden="1" x14ac:dyDescent="0.25">
      <c r="A1301" s="114" t="s">
        <v>3118</v>
      </c>
      <c r="B1301" s="115" t="s">
        <v>3119</v>
      </c>
      <c r="C1301" s="116" t="s">
        <v>70</v>
      </c>
      <c r="D1301" s="116">
        <v>0</v>
      </c>
      <c r="E1301" s="136">
        <f ca="1">OFFSET(INDEX(Composições!A:J,MATCH(Orçamentária!A1301,Composições!A:A,0),8),2,0)</f>
        <v>239.38078181666663</v>
      </c>
      <c r="F1301" s="137">
        <f t="shared" ca="1" si="126"/>
        <v>0</v>
      </c>
      <c r="G1301" s="138" t="e">
        <f>IF(A1301&lt;&gt;"",IF(AND(#REF!="Padrão",$H$4=#REF!),BDI!$B$17,IF(AND(#REF!="Padrão",$H$4=#REF!),BDI!#REF!,IF(AND(#REF!="Diferenciado",$H$4=#REF!),BDI!$E$17,IF(AND(#REF!="Diferenciado",$H$4=#REF!),BDI!#REF!,IF(#REF!="ZERO",0))))),"")</f>
        <v>#REF!</v>
      </c>
      <c r="H1301" s="139" t="e">
        <f t="shared" ca="1" si="127"/>
        <v>#REF!</v>
      </c>
      <c r="I1301" s="137" t="e">
        <f t="shared" ca="1" si="128"/>
        <v>#REF!</v>
      </c>
      <c r="J1301" s="117"/>
      <c r="K1301" s="116">
        <v>0</v>
      </c>
      <c r="M1301" s="136" t="e">
        <f ca="1">OFFSET(INDEX([1]Composições!I:R,MATCH([1]Orçamentária!I1301,[1]Composições!I:I,0),8),2,0)</f>
        <v>#REF!</v>
      </c>
      <c r="N1301" t="e">
        <v>#REF!</v>
      </c>
      <c r="Q1301" t="e">
        <v>#REF!</v>
      </c>
    </row>
    <row r="1302" spans="1:17" ht="25.5" hidden="1" x14ac:dyDescent="0.25">
      <c r="A1302" s="114" t="s">
        <v>3120</v>
      </c>
      <c r="B1302" s="115" t="s">
        <v>3121</v>
      </c>
      <c r="C1302" s="116" t="s">
        <v>16</v>
      </c>
      <c r="D1302" s="116">
        <v>0</v>
      </c>
      <c r="E1302" s="136" t="s">
        <v>416</v>
      </c>
      <c r="F1302" s="137" t="str">
        <f t="shared" si="126"/>
        <v/>
      </c>
      <c r="G1302" s="138" t="e">
        <f>IF(A1302&lt;&gt;"",IF(AND(#REF!="Padrão",$H$4=#REF!),BDI!$B$17,IF(AND(#REF!="Padrão",$H$4=#REF!),BDI!#REF!,IF(AND(#REF!="Diferenciado",$H$4=#REF!),BDI!$E$17,IF(AND(#REF!="Diferenciado",$H$4=#REF!),BDI!#REF!,IF(#REF!="ZERO",0))))),"")</f>
        <v>#REF!</v>
      </c>
      <c r="H1302" s="139" t="str">
        <f t="shared" si="127"/>
        <v/>
      </c>
      <c r="I1302" s="137" t="str">
        <f t="shared" si="128"/>
        <v/>
      </c>
      <c r="J1302" s="117"/>
      <c r="K1302" s="116">
        <v>0</v>
      </c>
      <c r="M1302" s="136" t="s">
        <v>416</v>
      </c>
      <c r="N1302" t="e">
        <v>#REF!</v>
      </c>
      <c r="Q1302" t="s">
        <v>416</v>
      </c>
    </row>
    <row r="1303" spans="1:17" ht="25.5" hidden="1" x14ac:dyDescent="0.25">
      <c r="A1303" s="114" t="s">
        <v>3122</v>
      </c>
      <c r="B1303" s="115" t="s">
        <v>3123</v>
      </c>
      <c r="C1303" s="116" t="s">
        <v>16</v>
      </c>
      <c r="D1303" s="116">
        <v>0</v>
      </c>
      <c r="E1303" s="136" t="s">
        <v>416</v>
      </c>
      <c r="F1303" s="137" t="str">
        <f t="shared" si="126"/>
        <v/>
      </c>
      <c r="G1303" s="138" t="e">
        <f>IF(A1303&lt;&gt;"",IF(AND(#REF!="Padrão",$H$4=#REF!),BDI!$B$17,IF(AND(#REF!="Padrão",$H$4=#REF!),BDI!#REF!,IF(AND(#REF!="Diferenciado",$H$4=#REF!),BDI!$E$17,IF(AND(#REF!="Diferenciado",$H$4=#REF!),BDI!#REF!,IF(#REF!="ZERO",0))))),"")</f>
        <v>#REF!</v>
      </c>
      <c r="H1303" s="139" t="str">
        <f t="shared" si="127"/>
        <v/>
      </c>
      <c r="I1303" s="137" t="str">
        <f t="shared" si="128"/>
        <v/>
      </c>
      <c r="J1303" s="117"/>
      <c r="K1303" s="116">
        <v>0</v>
      </c>
      <c r="M1303" s="136" t="s">
        <v>416</v>
      </c>
      <c r="N1303" t="e">
        <v>#REF!</v>
      </c>
      <c r="Q1303" t="s">
        <v>416</v>
      </c>
    </row>
    <row r="1304" spans="1:17" ht="25.5" hidden="1" x14ac:dyDescent="0.25">
      <c r="A1304" s="114" t="s">
        <v>3124</v>
      </c>
      <c r="B1304" s="115" t="s">
        <v>3125</v>
      </c>
      <c r="C1304" s="116" t="s">
        <v>16</v>
      </c>
      <c r="D1304" s="116">
        <v>0</v>
      </c>
      <c r="E1304" s="136" t="s">
        <v>416</v>
      </c>
      <c r="F1304" s="137" t="str">
        <f t="shared" si="126"/>
        <v/>
      </c>
      <c r="G1304" s="138" t="e">
        <f>IF(A1304&lt;&gt;"",IF(AND(#REF!="Padrão",$H$4=#REF!),BDI!$B$17,IF(AND(#REF!="Padrão",$H$4=#REF!),BDI!#REF!,IF(AND(#REF!="Diferenciado",$H$4=#REF!),BDI!$E$17,IF(AND(#REF!="Diferenciado",$H$4=#REF!),BDI!#REF!,IF(#REF!="ZERO",0))))),"")</f>
        <v>#REF!</v>
      </c>
      <c r="H1304" s="139" t="str">
        <f t="shared" si="127"/>
        <v/>
      </c>
      <c r="I1304" s="137" t="str">
        <f t="shared" si="128"/>
        <v/>
      </c>
      <c r="J1304" s="117"/>
      <c r="K1304" s="116">
        <v>0</v>
      </c>
      <c r="M1304" s="136" t="s">
        <v>416</v>
      </c>
      <c r="N1304" t="e">
        <v>#REF!</v>
      </c>
      <c r="Q1304" t="s">
        <v>416</v>
      </c>
    </row>
    <row r="1305" spans="1:17" ht="25.5" hidden="1" x14ac:dyDescent="0.25">
      <c r="A1305" s="114" t="s">
        <v>3126</v>
      </c>
      <c r="B1305" s="115" t="s">
        <v>3127</v>
      </c>
      <c r="C1305" s="116" t="s">
        <v>16</v>
      </c>
      <c r="D1305" s="116">
        <v>0</v>
      </c>
      <c r="E1305" s="136" t="s">
        <v>416</v>
      </c>
      <c r="F1305" s="137" t="str">
        <f t="shared" si="126"/>
        <v/>
      </c>
      <c r="G1305" s="138" t="e">
        <f>IF(A1305&lt;&gt;"",IF(AND(#REF!="Padrão",$H$4=#REF!),BDI!$B$17,IF(AND(#REF!="Padrão",$H$4=#REF!),BDI!#REF!,IF(AND(#REF!="Diferenciado",$H$4=#REF!),BDI!$E$17,IF(AND(#REF!="Diferenciado",$H$4=#REF!),BDI!#REF!,IF(#REF!="ZERO",0))))),"")</f>
        <v>#REF!</v>
      </c>
      <c r="H1305" s="139" t="str">
        <f t="shared" si="127"/>
        <v/>
      </c>
      <c r="I1305" s="137" t="str">
        <f t="shared" si="128"/>
        <v/>
      </c>
      <c r="J1305" s="117"/>
      <c r="K1305" s="116">
        <v>0</v>
      </c>
      <c r="M1305" s="136" t="s">
        <v>416</v>
      </c>
      <c r="N1305" t="e">
        <v>#REF!</v>
      </c>
      <c r="Q1305" t="s">
        <v>416</v>
      </c>
    </row>
    <row r="1306" spans="1:17" ht="38.25" hidden="1" x14ac:dyDescent="0.25">
      <c r="A1306" s="114" t="s">
        <v>3128</v>
      </c>
      <c r="B1306" s="115" t="s">
        <v>3129</v>
      </c>
      <c r="C1306" s="116" t="s">
        <v>16</v>
      </c>
      <c r="D1306" s="116">
        <v>0</v>
      </c>
      <c r="E1306" s="136" t="s">
        <v>416</v>
      </c>
      <c r="F1306" s="137" t="str">
        <f t="shared" si="126"/>
        <v/>
      </c>
      <c r="G1306" s="138" t="e">
        <f>IF(A1306&lt;&gt;"",IF(AND(#REF!="Padrão",$H$4=#REF!),BDI!$B$17,IF(AND(#REF!="Padrão",$H$4=#REF!),BDI!#REF!,IF(AND(#REF!="Diferenciado",$H$4=#REF!),BDI!$E$17,IF(AND(#REF!="Diferenciado",$H$4=#REF!),BDI!#REF!,IF(#REF!="ZERO",0))))),"")</f>
        <v>#REF!</v>
      </c>
      <c r="H1306" s="139" t="str">
        <f t="shared" si="127"/>
        <v/>
      </c>
      <c r="I1306" s="137" t="str">
        <f t="shared" si="128"/>
        <v/>
      </c>
      <c r="J1306" s="117"/>
      <c r="K1306" s="116">
        <v>0</v>
      </c>
      <c r="M1306" s="136" t="s">
        <v>416</v>
      </c>
      <c r="N1306" t="e">
        <v>#REF!</v>
      </c>
      <c r="Q1306" t="s">
        <v>416</v>
      </c>
    </row>
    <row r="1307" spans="1:17" ht="25.5" hidden="1" x14ac:dyDescent="0.25">
      <c r="A1307" s="114" t="s">
        <v>3130</v>
      </c>
      <c r="B1307" s="115" t="s">
        <v>3131</v>
      </c>
      <c r="C1307" s="116" t="s">
        <v>16</v>
      </c>
      <c r="D1307" s="116">
        <v>0</v>
      </c>
      <c r="E1307" s="136" t="s">
        <v>416</v>
      </c>
      <c r="F1307" s="137" t="str">
        <f t="shared" si="126"/>
        <v/>
      </c>
      <c r="G1307" s="138" t="e">
        <f>IF(A1307&lt;&gt;"",IF(AND(#REF!="Padrão",$H$4=#REF!),BDI!$B$17,IF(AND(#REF!="Padrão",$H$4=#REF!),BDI!#REF!,IF(AND(#REF!="Diferenciado",$H$4=#REF!),BDI!$E$17,IF(AND(#REF!="Diferenciado",$H$4=#REF!),BDI!#REF!,IF(#REF!="ZERO",0))))),"")</f>
        <v>#REF!</v>
      </c>
      <c r="H1307" s="139" t="str">
        <f t="shared" si="127"/>
        <v/>
      </c>
      <c r="I1307" s="137" t="str">
        <f t="shared" si="128"/>
        <v/>
      </c>
      <c r="J1307" s="117"/>
      <c r="K1307" s="116">
        <v>0</v>
      </c>
      <c r="M1307" s="136" t="s">
        <v>416</v>
      </c>
      <c r="N1307" t="e">
        <v>#REF!</v>
      </c>
      <c r="Q1307" t="s">
        <v>416</v>
      </c>
    </row>
    <row r="1308" spans="1:17" ht="25.5" hidden="1" x14ac:dyDescent="0.25">
      <c r="A1308" s="114" t="s">
        <v>3132</v>
      </c>
      <c r="B1308" s="115" t="s">
        <v>3133</v>
      </c>
      <c r="C1308" s="116" t="s">
        <v>16</v>
      </c>
      <c r="D1308" s="116">
        <v>0</v>
      </c>
      <c r="E1308" s="136" t="s">
        <v>416</v>
      </c>
      <c r="F1308" s="137" t="str">
        <f t="shared" si="126"/>
        <v/>
      </c>
      <c r="G1308" s="138" t="e">
        <f>IF(A1308&lt;&gt;"",IF(AND(#REF!="Padrão",$H$4=#REF!),BDI!$B$17,IF(AND(#REF!="Padrão",$H$4=#REF!),BDI!#REF!,IF(AND(#REF!="Diferenciado",$H$4=#REF!),BDI!$E$17,IF(AND(#REF!="Diferenciado",$H$4=#REF!),BDI!#REF!,IF(#REF!="ZERO",0))))),"")</f>
        <v>#REF!</v>
      </c>
      <c r="H1308" s="139" t="str">
        <f t="shared" si="127"/>
        <v/>
      </c>
      <c r="I1308" s="137" t="str">
        <f t="shared" si="128"/>
        <v/>
      </c>
      <c r="J1308" s="117"/>
      <c r="K1308" s="116">
        <v>0</v>
      </c>
      <c r="M1308" s="136" t="s">
        <v>416</v>
      </c>
      <c r="N1308" t="e">
        <v>#REF!</v>
      </c>
      <c r="Q1308" t="s">
        <v>416</v>
      </c>
    </row>
    <row r="1309" spans="1:17" ht="38.25" hidden="1" x14ac:dyDescent="0.25">
      <c r="A1309" s="114" t="s">
        <v>3134</v>
      </c>
      <c r="B1309" s="115" t="s">
        <v>3135</v>
      </c>
      <c r="C1309" s="116" t="s">
        <v>16</v>
      </c>
      <c r="D1309" s="116">
        <v>0</v>
      </c>
      <c r="E1309" s="136" t="s">
        <v>416</v>
      </c>
      <c r="F1309" s="137" t="str">
        <f t="shared" si="126"/>
        <v/>
      </c>
      <c r="G1309" s="138" t="e">
        <f>IF(A1309&lt;&gt;"",IF(AND(#REF!="Padrão",$H$4=#REF!),BDI!$B$17,IF(AND(#REF!="Padrão",$H$4=#REF!),BDI!#REF!,IF(AND(#REF!="Diferenciado",$H$4=#REF!),BDI!$E$17,IF(AND(#REF!="Diferenciado",$H$4=#REF!),BDI!#REF!,IF(#REF!="ZERO",0))))),"")</f>
        <v>#REF!</v>
      </c>
      <c r="H1309" s="139" t="str">
        <f t="shared" si="127"/>
        <v/>
      </c>
      <c r="I1309" s="137" t="str">
        <f t="shared" si="128"/>
        <v/>
      </c>
      <c r="J1309" s="117"/>
      <c r="K1309" s="116">
        <v>0</v>
      </c>
      <c r="M1309" s="136" t="s">
        <v>416</v>
      </c>
      <c r="N1309" t="e">
        <v>#REF!</v>
      </c>
      <c r="Q1309" t="s">
        <v>416</v>
      </c>
    </row>
    <row r="1310" spans="1:17" ht="38.25" hidden="1" x14ac:dyDescent="0.25">
      <c r="A1310" s="114" t="s">
        <v>3136</v>
      </c>
      <c r="B1310" s="115" t="s">
        <v>3137</v>
      </c>
      <c r="C1310" s="116" t="s">
        <v>16</v>
      </c>
      <c r="D1310" s="116">
        <v>0</v>
      </c>
      <c r="E1310" s="136" t="s">
        <v>416</v>
      </c>
      <c r="F1310" s="137" t="str">
        <f t="shared" si="126"/>
        <v/>
      </c>
      <c r="G1310" s="138" t="e">
        <f>IF(A1310&lt;&gt;"",IF(AND(#REF!="Padrão",$H$4=#REF!),BDI!$B$17,IF(AND(#REF!="Padrão",$H$4=#REF!),BDI!#REF!,IF(AND(#REF!="Diferenciado",$H$4=#REF!),BDI!$E$17,IF(AND(#REF!="Diferenciado",$H$4=#REF!),BDI!#REF!,IF(#REF!="ZERO",0))))),"")</f>
        <v>#REF!</v>
      </c>
      <c r="H1310" s="139" t="str">
        <f t="shared" si="127"/>
        <v/>
      </c>
      <c r="I1310" s="137" t="str">
        <f t="shared" si="128"/>
        <v/>
      </c>
      <c r="J1310" s="117"/>
      <c r="K1310" s="116">
        <v>0</v>
      </c>
      <c r="M1310" s="136" t="s">
        <v>416</v>
      </c>
      <c r="N1310" t="e">
        <v>#REF!</v>
      </c>
      <c r="Q1310" t="s">
        <v>416</v>
      </c>
    </row>
    <row r="1311" spans="1:17" ht="25.5" hidden="1" x14ac:dyDescent="0.25">
      <c r="A1311" s="114" t="s">
        <v>3138</v>
      </c>
      <c r="B1311" s="115" t="s">
        <v>3139</v>
      </c>
      <c r="C1311" s="116" t="s">
        <v>16</v>
      </c>
      <c r="D1311" s="116">
        <v>0</v>
      </c>
      <c r="E1311" s="136" t="s">
        <v>416</v>
      </c>
      <c r="F1311" s="137" t="str">
        <f t="shared" si="126"/>
        <v/>
      </c>
      <c r="G1311" s="138" t="e">
        <f>IF(A1311&lt;&gt;"",IF(AND(#REF!="Padrão",$H$4=#REF!),BDI!$B$17,IF(AND(#REF!="Padrão",$H$4=#REF!),BDI!#REF!,IF(AND(#REF!="Diferenciado",$H$4=#REF!),BDI!$E$17,IF(AND(#REF!="Diferenciado",$H$4=#REF!),BDI!#REF!,IF(#REF!="ZERO",0))))),"")</f>
        <v>#REF!</v>
      </c>
      <c r="H1311" s="139" t="str">
        <f t="shared" si="127"/>
        <v/>
      </c>
      <c r="I1311" s="137" t="str">
        <f t="shared" si="128"/>
        <v/>
      </c>
      <c r="J1311" s="117"/>
      <c r="K1311" s="116">
        <v>0</v>
      </c>
      <c r="M1311" s="136" t="s">
        <v>416</v>
      </c>
      <c r="N1311" t="e">
        <v>#REF!</v>
      </c>
      <c r="Q1311" t="s">
        <v>416</v>
      </c>
    </row>
    <row r="1312" spans="1:17" ht="38.25" hidden="1" x14ac:dyDescent="0.25">
      <c r="A1312" s="114" t="s">
        <v>3140</v>
      </c>
      <c r="B1312" s="115" t="s">
        <v>3141</v>
      </c>
      <c r="C1312" s="116" t="s">
        <v>16</v>
      </c>
      <c r="D1312" s="116">
        <v>0</v>
      </c>
      <c r="E1312" s="136" t="s">
        <v>416</v>
      </c>
      <c r="F1312" s="137" t="str">
        <f t="shared" si="126"/>
        <v/>
      </c>
      <c r="G1312" s="138" t="e">
        <f>IF(A1312&lt;&gt;"",IF(AND(#REF!="Padrão",$H$4=#REF!),BDI!$B$17,IF(AND(#REF!="Padrão",$H$4=#REF!),BDI!#REF!,IF(AND(#REF!="Diferenciado",$H$4=#REF!),BDI!$E$17,IF(AND(#REF!="Diferenciado",$H$4=#REF!),BDI!#REF!,IF(#REF!="ZERO",0))))),"")</f>
        <v>#REF!</v>
      </c>
      <c r="H1312" s="139" t="str">
        <f t="shared" si="127"/>
        <v/>
      </c>
      <c r="I1312" s="137" t="str">
        <f t="shared" si="128"/>
        <v/>
      </c>
      <c r="J1312" s="117"/>
      <c r="K1312" s="116">
        <v>0</v>
      </c>
      <c r="M1312" s="136" t="s">
        <v>416</v>
      </c>
      <c r="N1312" t="e">
        <v>#REF!</v>
      </c>
      <c r="Q1312" t="s">
        <v>416</v>
      </c>
    </row>
    <row r="1313" spans="1:17" ht="25.5" hidden="1" x14ac:dyDescent="0.25">
      <c r="A1313" s="114" t="s">
        <v>3142</v>
      </c>
      <c r="B1313" s="115" t="s">
        <v>3143</v>
      </c>
      <c r="C1313" s="116" t="s">
        <v>16</v>
      </c>
      <c r="D1313" s="116">
        <v>0</v>
      </c>
      <c r="E1313" s="136" t="s">
        <v>416</v>
      </c>
      <c r="F1313" s="137" t="str">
        <f t="shared" si="126"/>
        <v/>
      </c>
      <c r="G1313" s="138" t="e">
        <f>IF(A1313&lt;&gt;"",IF(AND(#REF!="Padrão",$H$4=#REF!),BDI!$B$17,IF(AND(#REF!="Padrão",$H$4=#REF!),BDI!#REF!,IF(AND(#REF!="Diferenciado",$H$4=#REF!),BDI!$E$17,IF(AND(#REF!="Diferenciado",$H$4=#REF!),BDI!#REF!,IF(#REF!="ZERO",0))))),"")</f>
        <v>#REF!</v>
      </c>
      <c r="H1313" s="139" t="str">
        <f t="shared" si="127"/>
        <v/>
      </c>
      <c r="I1313" s="137" t="str">
        <f t="shared" si="128"/>
        <v/>
      </c>
      <c r="J1313" s="117"/>
      <c r="K1313" s="116">
        <v>0</v>
      </c>
      <c r="M1313" s="136" t="s">
        <v>416</v>
      </c>
      <c r="N1313" t="e">
        <v>#REF!</v>
      </c>
      <c r="Q1313" t="s">
        <v>416</v>
      </c>
    </row>
    <row r="1314" spans="1:17" ht="38.25" hidden="1" x14ac:dyDescent="0.25">
      <c r="A1314" s="114" t="s">
        <v>3144</v>
      </c>
      <c r="B1314" s="115" t="s">
        <v>3145</v>
      </c>
      <c r="C1314" s="116" t="s">
        <v>16</v>
      </c>
      <c r="D1314" s="116">
        <v>0</v>
      </c>
      <c r="E1314" s="136" t="s">
        <v>416</v>
      </c>
      <c r="F1314" s="137" t="str">
        <f t="shared" si="126"/>
        <v/>
      </c>
      <c r="G1314" s="138" t="e">
        <f>IF(A1314&lt;&gt;"",IF(AND(#REF!="Padrão",$H$4=#REF!),BDI!$B$17,IF(AND(#REF!="Padrão",$H$4=#REF!),BDI!#REF!,IF(AND(#REF!="Diferenciado",$H$4=#REF!),BDI!$E$17,IF(AND(#REF!="Diferenciado",$H$4=#REF!),BDI!#REF!,IF(#REF!="ZERO",0))))),"")</f>
        <v>#REF!</v>
      </c>
      <c r="H1314" s="139" t="str">
        <f t="shared" si="127"/>
        <v/>
      </c>
      <c r="I1314" s="137" t="str">
        <f t="shared" si="128"/>
        <v/>
      </c>
      <c r="J1314" s="117"/>
      <c r="K1314" s="116">
        <v>0</v>
      </c>
      <c r="M1314" s="136" t="s">
        <v>416</v>
      </c>
      <c r="N1314" t="e">
        <v>#REF!</v>
      </c>
      <c r="Q1314" t="s">
        <v>416</v>
      </c>
    </row>
    <row r="1315" spans="1:17" hidden="1" x14ac:dyDescent="0.25">
      <c r="A1315" s="114" t="s">
        <v>3146</v>
      </c>
      <c r="B1315" s="115" t="s">
        <v>3147</v>
      </c>
      <c r="C1315" s="116" t="s">
        <v>16</v>
      </c>
      <c r="D1315" s="116">
        <v>0</v>
      </c>
      <c r="E1315" s="136">
        <f ca="1">OFFSET(INDEX(Composições!A:J,MATCH(Orçamentária!A1315,Composições!A:A,0),8),2,0)</f>
        <v>44.607915000000006</v>
      </c>
      <c r="F1315" s="137">
        <f t="shared" ca="1" si="126"/>
        <v>0</v>
      </c>
      <c r="G1315" s="138" t="e">
        <f>IF(A1315&lt;&gt;"",IF(AND(#REF!="Padrão",$H$4=#REF!),BDI!$B$17,IF(AND(#REF!="Padrão",$H$4=#REF!),BDI!#REF!,IF(AND(#REF!="Diferenciado",$H$4=#REF!),BDI!$E$17,IF(AND(#REF!="Diferenciado",$H$4=#REF!),BDI!#REF!,IF(#REF!="ZERO",0))))),"")</f>
        <v>#REF!</v>
      </c>
      <c r="H1315" s="139" t="e">
        <f t="shared" ca="1" si="127"/>
        <v>#REF!</v>
      </c>
      <c r="I1315" s="137" t="e">
        <f t="shared" ca="1" si="128"/>
        <v>#REF!</v>
      </c>
      <c r="J1315" s="117"/>
      <c r="K1315" s="116">
        <v>0</v>
      </c>
      <c r="M1315" s="136" t="e">
        <f ca="1">OFFSET(INDEX([1]Composições!I:R,MATCH([1]Orçamentária!I1315,[1]Composições!I:I,0),8),2,0)</f>
        <v>#REF!</v>
      </c>
      <c r="N1315" t="e">
        <v>#REF!</v>
      </c>
      <c r="Q1315" t="e">
        <v>#REF!</v>
      </c>
    </row>
    <row r="1316" spans="1:17" hidden="1" x14ac:dyDescent="0.25">
      <c r="A1316" s="114" t="s">
        <v>3148</v>
      </c>
      <c r="B1316" s="115" t="s">
        <v>3149</v>
      </c>
      <c r="C1316" s="116" t="s">
        <v>16</v>
      </c>
      <c r="D1316" s="116">
        <v>0</v>
      </c>
      <c r="E1316" s="136">
        <f ca="1">OFFSET(INDEX(Composições!A:J,MATCH(Orçamentária!A1316,Composições!A:A,0),8),2,0)</f>
        <v>95.78424115</v>
      </c>
      <c r="F1316" s="137">
        <f t="shared" ca="1" si="126"/>
        <v>0</v>
      </c>
      <c r="G1316" s="138" t="e">
        <f>IF(A1316&lt;&gt;"",IF(AND(#REF!="Padrão",$H$4=#REF!),BDI!$B$17,IF(AND(#REF!="Padrão",$H$4=#REF!),BDI!#REF!,IF(AND(#REF!="Diferenciado",$H$4=#REF!),BDI!$E$17,IF(AND(#REF!="Diferenciado",$H$4=#REF!),BDI!#REF!,IF(#REF!="ZERO",0))))),"")</f>
        <v>#REF!</v>
      </c>
      <c r="H1316" s="139" t="e">
        <f t="shared" ca="1" si="127"/>
        <v>#REF!</v>
      </c>
      <c r="I1316" s="137" t="e">
        <f t="shared" ca="1" si="128"/>
        <v>#REF!</v>
      </c>
      <c r="J1316" s="117"/>
      <c r="K1316" s="116">
        <v>0</v>
      </c>
      <c r="M1316" s="136" t="e">
        <f ca="1">OFFSET(INDEX([1]Composições!I:R,MATCH([1]Orçamentária!I1316,[1]Composições!I:I,0),8),2,0)</f>
        <v>#REF!</v>
      </c>
      <c r="N1316" t="e">
        <v>#REF!</v>
      </c>
      <c r="Q1316" t="e">
        <v>#REF!</v>
      </c>
    </row>
    <row r="1317" spans="1:17" hidden="1" x14ac:dyDescent="0.25">
      <c r="A1317" s="114" t="s">
        <v>3150</v>
      </c>
      <c r="B1317" s="115" t="s">
        <v>3151</v>
      </c>
      <c r="C1317" s="116" t="s">
        <v>16</v>
      </c>
      <c r="D1317" s="116">
        <v>0</v>
      </c>
      <c r="E1317" s="136">
        <f ca="1">OFFSET(INDEX(Composições!A:J,MATCH(Orçamentária!A1317,Composições!A:A,0),8),2,0)</f>
        <v>95.78424115</v>
      </c>
      <c r="F1317" s="137">
        <f t="shared" ca="1" si="126"/>
        <v>0</v>
      </c>
      <c r="G1317" s="138" t="e">
        <f>IF(A1317&lt;&gt;"",IF(AND(#REF!="Padrão",$H$4=#REF!),BDI!$B$17,IF(AND(#REF!="Padrão",$H$4=#REF!),BDI!#REF!,IF(AND(#REF!="Diferenciado",$H$4=#REF!),BDI!$E$17,IF(AND(#REF!="Diferenciado",$H$4=#REF!),BDI!#REF!,IF(#REF!="ZERO",0))))),"")</f>
        <v>#REF!</v>
      </c>
      <c r="H1317" s="139" t="e">
        <f t="shared" ca="1" si="127"/>
        <v>#REF!</v>
      </c>
      <c r="I1317" s="137" t="e">
        <f t="shared" ca="1" si="128"/>
        <v>#REF!</v>
      </c>
      <c r="J1317" s="117"/>
      <c r="K1317" s="116">
        <v>0</v>
      </c>
      <c r="M1317" s="136" t="e">
        <f ca="1">OFFSET(INDEX([1]Composições!I:R,MATCH([1]Orçamentária!I1317,[1]Composições!I:I,0),8),2,0)</f>
        <v>#REF!</v>
      </c>
      <c r="N1317" t="e">
        <v>#REF!</v>
      </c>
      <c r="Q1317" t="e">
        <v>#REF!</v>
      </c>
    </row>
    <row r="1318" spans="1:17" hidden="1" x14ac:dyDescent="0.25">
      <c r="A1318" s="114" t="s">
        <v>3152</v>
      </c>
      <c r="B1318" s="115" t="s">
        <v>3153</v>
      </c>
      <c r="C1318" s="116" t="s">
        <v>16</v>
      </c>
      <c r="D1318" s="116">
        <v>0</v>
      </c>
      <c r="E1318" s="136">
        <f ca="1">OFFSET(INDEX(Composições!A:J,MATCH(Orçamentária!A1318,Composições!A:A,0),8),2,0)</f>
        <v>95.78424115</v>
      </c>
      <c r="F1318" s="137">
        <f t="shared" ca="1" si="126"/>
        <v>0</v>
      </c>
      <c r="G1318" s="138" t="e">
        <f>IF(A1318&lt;&gt;"",IF(AND(#REF!="Padrão",$H$4=#REF!),BDI!$B$17,IF(AND(#REF!="Padrão",$H$4=#REF!),BDI!#REF!,IF(AND(#REF!="Diferenciado",$H$4=#REF!),BDI!$E$17,IF(AND(#REF!="Diferenciado",$H$4=#REF!),BDI!#REF!,IF(#REF!="ZERO",0))))),"")</f>
        <v>#REF!</v>
      </c>
      <c r="H1318" s="139" t="e">
        <f t="shared" ca="1" si="127"/>
        <v>#REF!</v>
      </c>
      <c r="I1318" s="137" t="e">
        <f t="shared" ca="1" si="128"/>
        <v>#REF!</v>
      </c>
      <c r="J1318" s="117"/>
      <c r="K1318" s="116">
        <v>0</v>
      </c>
      <c r="M1318" s="136" t="e">
        <f ca="1">OFFSET(INDEX([1]Composições!I:R,MATCH([1]Orçamentária!I1318,[1]Composições!I:I,0),8),2,0)</f>
        <v>#REF!</v>
      </c>
      <c r="N1318" t="e">
        <v>#REF!</v>
      </c>
      <c r="Q1318" t="e">
        <v>#REF!</v>
      </c>
    </row>
    <row r="1319" spans="1:17" hidden="1" x14ac:dyDescent="0.25">
      <c r="A1319" s="114" t="s">
        <v>3154</v>
      </c>
      <c r="B1319" s="115" t="s">
        <v>3155</v>
      </c>
      <c r="C1319" s="116" t="s">
        <v>16</v>
      </c>
      <c r="D1319" s="116">
        <v>0</v>
      </c>
      <c r="E1319" s="136">
        <f ca="1">OFFSET(INDEX(Composições!A:J,MATCH(Orçamentária!A1319,Composições!A:A,0),8),2,0)</f>
        <v>110.52027824999999</v>
      </c>
      <c r="F1319" s="137">
        <f t="shared" ca="1" si="126"/>
        <v>0</v>
      </c>
      <c r="G1319" s="138" t="e">
        <f>IF(A1319&lt;&gt;"",IF(AND(#REF!="Padrão",$H$4=#REF!),BDI!$B$17,IF(AND(#REF!="Padrão",$H$4=#REF!),BDI!#REF!,IF(AND(#REF!="Diferenciado",$H$4=#REF!),BDI!$E$17,IF(AND(#REF!="Diferenciado",$H$4=#REF!),BDI!#REF!,IF(#REF!="ZERO",0))))),"")</f>
        <v>#REF!</v>
      </c>
      <c r="H1319" s="139" t="e">
        <f t="shared" ca="1" si="127"/>
        <v>#REF!</v>
      </c>
      <c r="I1319" s="137" t="e">
        <f t="shared" ca="1" si="128"/>
        <v>#REF!</v>
      </c>
      <c r="J1319" s="117"/>
      <c r="K1319" s="116">
        <v>0</v>
      </c>
      <c r="M1319" s="136" t="e">
        <f ca="1">OFFSET(INDEX([1]Composições!I:R,MATCH([1]Orçamentária!I1319,[1]Composições!I:I,0),8),2,0)</f>
        <v>#REF!</v>
      </c>
      <c r="N1319" t="e">
        <v>#REF!</v>
      </c>
      <c r="Q1319" t="e">
        <v>#REF!</v>
      </c>
    </row>
    <row r="1320" spans="1:17" hidden="1" x14ac:dyDescent="0.25">
      <c r="A1320" s="114" t="s">
        <v>3156</v>
      </c>
      <c r="B1320" s="115" t="s">
        <v>3157</v>
      </c>
      <c r="C1320" s="116" t="s">
        <v>16</v>
      </c>
      <c r="D1320" s="116">
        <v>0</v>
      </c>
      <c r="E1320" s="136">
        <f ca="1">OFFSET(INDEX(Composições!A:J,MATCH(Orçamentária!A1320,Composições!A:A,0),8),2,0)</f>
        <v>18.802475999999999</v>
      </c>
      <c r="F1320" s="137">
        <f t="shared" ca="1" si="126"/>
        <v>0</v>
      </c>
      <c r="G1320" s="138" t="e">
        <f>IF(A1320&lt;&gt;"",IF(AND(#REF!="Padrão",$H$4=#REF!),BDI!$B$17,IF(AND(#REF!="Padrão",$H$4=#REF!),BDI!#REF!,IF(AND(#REF!="Diferenciado",$H$4=#REF!),BDI!$E$17,IF(AND(#REF!="Diferenciado",$H$4=#REF!),BDI!#REF!,IF(#REF!="ZERO",0))))),"")</f>
        <v>#REF!</v>
      </c>
      <c r="H1320" s="139" t="e">
        <f t="shared" ca="1" si="127"/>
        <v>#REF!</v>
      </c>
      <c r="I1320" s="137" t="e">
        <f t="shared" ca="1" si="128"/>
        <v>#REF!</v>
      </c>
      <c r="J1320" s="117"/>
      <c r="K1320" s="116">
        <v>0</v>
      </c>
      <c r="M1320" s="136" t="e">
        <f ca="1">OFFSET(INDEX([1]Composições!I:R,MATCH([1]Orçamentária!I1320,[1]Composições!I:I,0),8),2,0)</f>
        <v>#REF!</v>
      </c>
      <c r="N1320" t="e">
        <v>#REF!</v>
      </c>
      <c r="Q1320" t="e">
        <v>#REF!</v>
      </c>
    </row>
    <row r="1321" spans="1:17" hidden="1" x14ac:dyDescent="0.25">
      <c r="A1321" s="114" t="s">
        <v>3158</v>
      </c>
      <c r="B1321" s="115" t="s">
        <v>3159</v>
      </c>
      <c r="C1321" s="116" t="s">
        <v>16</v>
      </c>
      <c r="D1321" s="116">
        <v>0</v>
      </c>
      <c r="E1321" s="136">
        <f ca="1">OFFSET(INDEX(Composições!A:J,MATCH(Orçamentária!A1321,Composições!A:A,0),8),2,0)</f>
        <v>95.78424115</v>
      </c>
      <c r="F1321" s="137">
        <f t="shared" ca="1" si="126"/>
        <v>0</v>
      </c>
      <c r="G1321" s="138" t="e">
        <f>IF(A1321&lt;&gt;"",IF(AND(#REF!="Padrão",$H$4=#REF!),BDI!$B$17,IF(AND(#REF!="Padrão",$H$4=#REF!),BDI!#REF!,IF(AND(#REF!="Diferenciado",$H$4=#REF!),BDI!$E$17,IF(AND(#REF!="Diferenciado",$H$4=#REF!),BDI!#REF!,IF(#REF!="ZERO",0))))),"")</f>
        <v>#REF!</v>
      </c>
      <c r="H1321" s="139" t="e">
        <f t="shared" ca="1" si="127"/>
        <v>#REF!</v>
      </c>
      <c r="I1321" s="137" t="e">
        <f t="shared" ca="1" si="128"/>
        <v>#REF!</v>
      </c>
      <c r="J1321" s="117"/>
      <c r="K1321" s="116">
        <v>0</v>
      </c>
      <c r="M1321" s="136" t="e">
        <f ca="1">OFFSET(INDEX([1]Composições!I:R,MATCH([1]Orçamentária!I1321,[1]Composições!I:I,0),8),2,0)</f>
        <v>#REF!</v>
      </c>
      <c r="N1321" t="e">
        <v>#REF!</v>
      </c>
      <c r="Q1321" t="e">
        <v>#REF!</v>
      </c>
    </row>
    <row r="1322" spans="1:17" hidden="1" x14ac:dyDescent="0.25">
      <c r="A1322" s="114" t="s">
        <v>3160</v>
      </c>
      <c r="B1322" s="115" t="s">
        <v>3161</v>
      </c>
      <c r="C1322" s="116" t="s">
        <v>69</v>
      </c>
      <c r="D1322" s="116">
        <v>0</v>
      </c>
      <c r="E1322" s="136">
        <f ca="1">OFFSET(INDEX(Composições!A:J,MATCH(Orçamentária!A1322,Composições!A:A,0),8),2,0)</f>
        <v>4.6046879999999994</v>
      </c>
      <c r="F1322" s="137">
        <f t="shared" ca="1" si="126"/>
        <v>0</v>
      </c>
      <c r="G1322" s="138" t="e">
        <f>IF(A1322&lt;&gt;"",IF(AND(#REF!="Padrão",$H$4=#REF!),BDI!$B$17,IF(AND(#REF!="Padrão",$H$4=#REF!),BDI!#REF!,IF(AND(#REF!="Diferenciado",$H$4=#REF!),BDI!$E$17,IF(AND(#REF!="Diferenciado",$H$4=#REF!),BDI!#REF!,IF(#REF!="ZERO",0))))),"")</f>
        <v>#REF!</v>
      </c>
      <c r="H1322" s="139" t="e">
        <f t="shared" ca="1" si="127"/>
        <v>#REF!</v>
      </c>
      <c r="I1322" s="137" t="e">
        <f t="shared" ca="1" si="128"/>
        <v>#REF!</v>
      </c>
      <c r="J1322" s="117"/>
      <c r="K1322" s="116">
        <v>0</v>
      </c>
      <c r="M1322" s="136" t="e">
        <f ca="1">OFFSET(INDEX([1]Composições!I:R,MATCH([1]Orçamentária!I1322,[1]Composições!I:I,0),8),2,0)</f>
        <v>#REF!</v>
      </c>
      <c r="N1322" t="e">
        <v>#REF!</v>
      </c>
      <c r="Q1322" t="e">
        <v>#REF!</v>
      </c>
    </row>
    <row r="1323" spans="1:17" hidden="1" x14ac:dyDescent="0.25">
      <c r="A1323" s="114" t="s">
        <v>3162</v>
      </c>
      <c r="B1323" s="115" t="s">
        <v>3163</v>
      </c>
      <c r="C1323" s="116" t="s">
        <v>16</v>
      </c>
      <c r="D1323" s="116">
        <v>0</v>
      </c>
      <c r="E1323" s="136">
        <f ca="1">OFFSET(INDEX(Composições!A:J,MATCH(Orçamentária!A1323,Composições!A:A,0),8),2,0)</f>
        <v>8.9620815</v>
      </c>
      <c r="F1323" s="137">
        <f t="shared" ca="1" si="126"/>
        <v>0</v>
      </c>
      <c r="G1323" s="138" t="e">
        <f>IF(A1323&lt;&gt;"",IF(AND(#REF!="Padrão",$H$4=#REF!),BDI!$B$17,IF(AND(#REF!="Padrão",$H$4=#REF!),BDI!#REF!,IF(AND(#REF!="Diferenciado",$H$4=#REF!),BDI!$E$17,IF(AND(#REF!="Diferenciado",$H$4=#REF!),BDI!#REF!,IF(#REF!="ZERO",0))))),"")</f>
        <v>#REF!</v>
      </c>
      <c r="H1323" s="139" t="e">
        <f t="shared" ca="1" si="127"/>
        <v>#REF!</v>
      </c>
      <c r="I1323" s="137" t="e">
        <f t="shared" ca="1" si="128"/>
        <v>#REF!</v>
      </c>
      <c r="J1323" s="117"/>
      <c r="K1323" s="116">
        <v>0</v>
      </c>
      <c r="M1323" s="136" t="e">
        <f ca="1">OFFSET(INDEX([1]Composições!I:R,MATCH([1]Orçamentária!I1323,[1]Composições!I:I,0),8),2,0)</f>
        <v>#REF!</v>
      </c>
      <c r="N1323" t="e">
        <v>#REF!</v>
      </c>
      <c r="Q1323" t="e">
        <v>#REF!</v>
      </c>
    </row>
    <row r="1324" spans="1:17" ht="25.5" hidden="1" x14ac:dyDescent="0.25">
      <c r="A1324" s="114" t="s">
        <v>3164</v>
      </c>
      <c r="B1324" s="115" t="s">
        <v>3165</v>
      </c>
      <c r="C1324" s="116" t="s">
        <v>16</v>
      </c>
      <c r="D1324" s="116">
        <v>0</v>
      </c>
      <c r="E1324" s="136">
        <f ca="1">OFFSET(INDEX(Composições!A:J,MATCH(Orçamentária!A1324,Composições!A:A,0),8),2,0)</f>
        <v>65.263439150000011</v>
      </c>
      <c r="F1324" s="137">
        <f t="shared" ca="1" si="126"/>
        <v>0</v>
      </c>
      <c r="G1324" s="138" t="e">
        <f>IF(A1324&lt;&gt;"",IF(AND(#REF!="Padrão",$H$4=#REF!),BDI!$B$17,IF(AND(#REF!="Padrão",$H$4=#REF!),BDI!#REF!,IF(AND(#REF!="Diferenciado",$H$4=#REF!),BDI!$E$17,IF(AND(#REF!="Diferenciado",$H$4=#REF!),BDI!#REF!,IF(#REF!="ZERO",0))))),"")</f>
        <v>#REF!</v>
      </c>
      <c r="H1324" s="139" t="e">
        <f t="shared" ca="1" si="127"/>
        <v>#REF!</v>
      </c>
      <c r="I1324" s="137" t="e">
        <f t="shared" ca="1" si="128"/>
        <v>#REF!</v>
      </c>
      <c r="J1324" s="117"/>
      <c r="K1324" s="116">
        <v>0</v>
      </c>
      <c r="M1324" s="136" t="e">
        <f ca="1">OFFSET(INDEX([1]Composições!I:R,MATCH([1]Orçamentária!I1324,[1]Composições!I:I,0),8),2,0)</f>
        <v>#REF!</v>
      </c>
      <c r="N1324" t="e">
        <v>#REF!</v>
      </c>
      <c r="Q1324" t="e">
        <v>#REF!</v>
      </c>
    </row>
    <row r="1325" spans="1:17" hidden="1" x14ac:dyDescent="0.25">
      <c r="A1325" s="114" t="s">
        <v>3166</v>
      </c>
      <c r="B1325" s="115" t="s">
        <v>3167</v>
      </c>
      <c r="C1325" s="116" t="s">
        <v>16</v>
      </c>
      <c r="D1325" s="116">
        <v>0</v>
      </c>
      <c r="E1325" s="136" t="s">
        <v>416</v>
      </c>
      <c r="F1325" s="137" t="str">
        <f t="shared" si="126"/>
        <v/>
      </c>
      <c r="G1325" s="138" t="e">
        <f>IF(A1325&lt;&gt;"",IF(AND(#REF!="Padrão",$H$4=#REF!),BDI!$B$17,IF(AND(#REF!="Padrão",$H$4=#REF!),BDI!#REF!,IF(AND(#REF!="Diferenciado",$H$4=#REF!),BDI!$E$17,IF(AND(#REF!="Diferenciado",$H$4=#REF!),BDI!#REF!,IF(#REF!="ZERO",0))))),"")</f>
        <v>#REF!</v>
      </c>
      <c r="H1325" s="139" t="str">
        <f t="shared" si="127"/>
        <v/>
      </c>
      <c r="I1325" s="137" t="str">
        <f t="shared" si="128"/>
        <v/>
      </c>
      <c r="J1325" s="117"/>
      <c r="K1325" s="116">
        <v>0</v>
      </c>
      <c r="M1325" s="136" t="s">
        <v>416</v>
      </c>
      <c r="N1325" t="e">
        <v>#REF!</v>
      </c>
      <c r="Q1325" t="s">
        <v>416</v>
      </c>
    </row>
    <row r="1326" spans="1:17" hidden="1" x14ac:dyDescent="0.25">
      <c r="A1326" s="114" t="s">
        <v>3168</v>
      </c>
      <c r="B1326" s="115" t="s">
        <v>3169</v>
      </c>
      <c r="C1326" s="116" t="s">
        <v>16</v>
      </c>
      <c r="D1326" s="116">
        <v>0</v>
      </c>
      <c r="E1326" s="136" t="s">
        <v>416</v>
      </c>
      <c r="F1326" s="137" t="str">
        <f t="shared" si="126"/>
        <v/>
      </c>
      <c r="G1326" s="138" t="e">
        <f>IF(A1326&lt;&gt;"",IF(AND(#REF!="Padrão",$H$4=#REF!),BDI!$B$17,IF(AND(#REF!="Padrão",$H$4=#REF!),BDI!#REF!,IF(AND(#REF!="Diferenciado",$H$4=#REF!),BDI!$E$17,IF(AND(#REF!="Diferenciado",$H$4=#REF!),BDI!#REF!,IF(#REF!="ZERO",0))))),"")</f>
        <v>#REF!</v>
      </c>
      <c r="H1326" s="139" t="str">
        <f t="shared" si="127"/>
        <v/>
      </c>
      <c r="I1326" s="137" t="str">
        <f t="shared" si="128"/>
        <v/>
      </c>
      <c r="J1326" s="117"/>
      <c r="K1326" s="116">
        <v>0</v>
      </c>
      <c r="M1326" s="136" t="s">
        <v>416</v>
      </c>
      <c r="N1326" t="e">
        <v>#REF!</v>
      </c>
      <c r="Q1326" t="s">
        <v>416</v>
      </c>
    </row>
    <row r="1327" spans="1:17" hidden="1" x14ac:dyDescent="0.25">
      <c r="A1327" s="114" t="s">
        <v>3170</v>
      </c>
      <c r="B1327" s="115" t="s">
        <v>3171</v>
      </c>
      <c r="C1327" s="116" t="s">
        <v>16</v>
      </c>
      <c r="D1327" s="116">
        <v>0</v>
      </c>
      <c r="E1327" s="136" t="s">
        <v>416</v>
      </c>
      <c r="F1327" s="137" t="str">
        <f t="shared" si="126"/>
        <v/>
      </c>
      <c r="G1327" s="138" t="e">
        <f>IF(A1327&lt;&gt;"",IF(AND(#REF!="Padrão",$H$4=#REF!),BDI!$B$17,IF(AND(#REF!="Padrão",$H$4=#REF!),BDI!#REF!,IF(AND(#REF!="Diferenciado",$H$4=#REF!),BDI!$E$17,IF(AND(#REF!="Diferenciado",$H$4=#REF!),BDI!#REF!,IF(#REF!="ZERO",0))))),"")</f>
        <v>#REF!</v>
      </c>
      <c r="H1327" s="139" t="str">
        <f t="shared" si="127"/>
        <v/>
      </c>
      <c r="I1327" s="137" t="str">
        <f t="shared" si="128"/>
        <v/>
      </c>
      <c r="J1327" s="117"/>
      <c r="K1327" s="116">
        <v>0</v>
      </c>
      <c r="M1327" s="136" t="s">
        <v>416</v>
      </c>
      <c r="N1327" t="e">
        <v>#REF!</v>
      </c>
      <c r="Q1327" t="s">
        <v>416</v>
      </c>
    </row>
    <row r="1328" spans="1:17" hidden="1" x14ac:dyDescent="0.25">
      <c r="A1328" s="114" t="s">
        <v>3172</v>
      </c>
      <c r="B1328" s="115" t="s">
        <v>3173</v>
      </c>
      <c r="C1328" s="116" t="s">
        <v>16</v>
      </c>
      <c r="D1328" s="116">
        <v>0</v>
      </c>
      <c r="E1328" s="136" t="s">
        <v>416</v>
      </c>
      <c r="F1328" s="137" t="str">
        <f t="shared" si="126"/>
        <v/>
      </c>
      <c r="G1328" s="138" t="e">
        <f>IF(A1328&lt;&gt;"",IF(AND(#REF!="Padrão",$H$4=#REF!),BDI!$B$17,IF(AND(#REF!="Padrão",$H$4=#REF!),BDI!#REF!,IF(AND(#REF!="Diferenciado",$H$4=#REF!),BDI!$E$17,IF(AND(#REF!="Diferenciado",$H$4=#REF!),BDI!#REF!,IF(#REF!="ZERO",0))))),"")</f>
        <v>#REF!</v>
      </c>
      <c r="H1328" s="139" t="str">
        <f t="shared" si="127"/>
        <v/>
      </c>
      <c r="I1328" s="137" t="str">
        <f t="shared" si="128"/>
        <v/>
      </c>
      <c r="J1328" s="117"/>
      <c r="K1328" s="116">
        <v>0</v>
      </c>
      <c r="M1328" s="136" t="s">
        <v>416</v>
      </c>
      <c r="N1328" t="e">
        <v>#REF!</v>
      </c>
      <c r="Q1328" t="s">
        <v>416</v>
      </c>
    </row>
    <row r="1329" spans="1:17" hidden="1" x14ac:dyDescent="0.25">
      <c r="A1329" s="114" t="s">
        <v>3174</v>
      </c>
      <c r="B1329" s="115" t="s">
        <v>3175</v>
      </c>
      <c r="C1329" s="116" t="s">
        <v>16</v>
      </c>
      <c r="D1329" s="116">
        <v>0</v>
      </c>
      <c r="E1329" s="136" t="s">
        <v>416</v>
      </c>
      <c r="F1329" s="137" t="str">
        <f t="shared" si="126"/>
        <v/>
      </c>
      <c r="G1329" s="138" t="e">
        <f>IF(A1329&lt;&gt;"",IF(AND(#REF!="Padrão",$H$4=#REF!),BDI!$B$17,IF(AND(#REF!="Padrão",$H$4=#REF!),BDI!#REF!,IF(AND(#REF!="Diferenciado",$H$4=#REF!),BDI!$E$17,IF(AND(#REF!="Diferenciado",$H$4=#REF!),BDI!#REF!,IF(#REF!="ZERO",0))))),"")</f>
        <v>#REF!</v>
      </c>
      <c r="H1329" s="139" t="str">
        <f t="shared" si="127"/>
        <v/>
      </c>
      <c r="I1329" s="137" t="str">
        <f t="shared" si="128"/>
        <v/>
      </c>
      <c r="J1329" s="117"/>
      <c r="K1329" s="116">
        <v>0</v>
      </c>
      <c r="M1329" s="136" t="s">
        <v>416</v>
      </c>
      <c r="N1329" t="e">
        <v>#REF!</v>
      </c>
      <c r="Q1329" t="s">
        <v>416</v>
      </c>
    </row>
    <row r="1330" spans="1:17" hidden="1" x14ac:dyDescent="0.25">
      <c r="A1330" s="114" t="s">
        <v>3176</v>
      </c>
      <c r="B1330" s="115" t="s">
        <v>3177</v>
      </c>
      <c r="C1330" s="116" t="s">
        <v>16</v>
      </c>
      <c r="D1330" s="116">
        <v>0</v>
      </c>
      <c r="E1330" s="136">
        <f ca="1">OFFSET(INDEX(Composições!A:J,MATCH(Orçamentária!A1330,Composições!A:A,0),8),2,0)</f>
        <v>101.02197495</v>
      </c>
      <c r="F1330" s="137">
        <f t="shared" ca="1" si="126"/>
        <v>0</v>
      </c>
      <c r="G1330" s="138" t="e">
        <f>IF(A1330&lt;&gt;"",IF(AND(#REF!="Padrão",$H$4=#REF!),BDI!$B$17,IF(AND(#REF!="Padrão",$H$4=#REF!),BDI!#REF!,IF(AND(#REF!="Diferenciado",$H$4=#REF!),BDI!$E$17,IF(AND(#REF!="Diferenciado",$H$4=#REF!),BDI!#REF!,IF(#REF!="ZERO",0))))),"")</f>
        <v>#REF!</v>
      </c>
      <c r="H1330" s="139" t="e">
        <f t="shared" ca="1" si="127"/>
        <v>#REF!</v>
      </c>
      <c r="I1330" s="137" t="e">
        <f t="shared" ca="1" si="128"/>
        <v>#REF!</v>
      </c>
      <c r="J1330" s="117"/>
      <c r="K1330" s="116">
        <v>0</v>
      </c>
      <c r="M1330" s="136" t="e">
        <f ca="1">OFFSET(INDEX([1]Composições!I:R,MATCH([1]Orçamentária!I1330,[1]Composições!I:I,0),8),2,0)</f>
        <v>#REF!</v>
      </c>
      <c r="N1330" t="e">
        <v>#REF!</v>
      </c>
      <c r="Q1330" t="e">
        <v>#REF!</v>
      </c>
    </row>
    <row r="1331" spans="1:17" hidden="1" x14ac:dyDescent="0.25">
      <c r="A1331" s="114" t="s">
        <v>3178</v>
      </c>
      <c r="B1331" s="115" t="s">
        <v>3179</v>
      </c>
      <c r="C1331" s="116" t="s">
        <v>69</v>
      </c>
      <c r="D1331" s="116">
        <v>0</v>
      </c>
      <c r="E1331" s="136">
        <f ca="1">OFFSET(INDEX(Composições!A:J,MATCH(Orçamentária!A1331,Composições!A:A,0),8),2,0)</f>
        <v>307.44434534326399</v>
      </c>
      <c r="F1331" s="137">
        <f t="shared" ca="1" si="126"/>
        <v>0</v>
      </c>
      <c r="G1331" s="138" t="e">
        <f>IF(A1331&lt;&gt;"",IF(AND(#REF!="Padrão",$H$4=#REF!),BDI!$B$17,IF(AND(#REF!="Padrão",$H$4=#REF!),BDI!#REF!,IF(AND(#REF!="Diferenciado",$H$4=#REF!),BDI!$E$17,IF(AND(#REF!="Diferenciado",$H$4=#REF!),BDI!#REF!,IF(#REF!="ZERO",0))))),"")</f>
        <v>#REF!</v>
      </c>
      <c r="H1331" s="139" t="e">
        <f t="shared" ca="1" si="127"/>
        <v>#REF!</v>
      </c>
      <c r="I1331" s="137" t="e">
        <f t="shared" ca="1" si="128"/>
        <v>#REF!</v>
      </c>
      <c r="J1331" s="117"/>
      <c r="K1331" s="116">
        <v>0</v>
      </c>
      <c r="M1331" s="136" t="e">
        <f ca="1">OFFSET(INDEX([1]Composições!I:R,MATCH([1]Orçamentária!I1331,[1]Composições!I:I,0),8),2,0)</f>
        <v>#REF!</v>
      </c>
      <c r="N1331" t="e">
        <v>#REF!</v>
      </c>
      <c r="Q1331" t="e">
        <v>#REF!</v>
      </c>
    </row>
    <row r="1332" spans="1:17" hidden="1" x14ac:dyDescent="0.25">
      <c r="A1332" s="114" t="s">
        <v>3180</v>
      </c>
      <c r="B1332" s="115" t="s">
        <v>3181</v>
      </c>
      <c r="C1332" s="116" t="s">
        <v>69</v>
      </c>
      <c r="D1332" s="116">
        <v>0</v>
      </c>
      <c r="E1332" s="136">
        <f ca="1">OFFSET(INDEX(Composições!A:J,MATCH(Orçamentária!A1332,Composições!A:A,0),8),2,0)</f>
        <v>515.86146289004751</v>
      </c>
      <c r="F1332" s="137">
        <f t="shared" ca="1" si="126"/>
        <v>0</v>
      </c>
      <c r="G1332" s="138" t="e">
        <f>IF(A1332&lt;&gt;"",IF(AND(#REF!="Padrão",$H$4=#REF!),BDI!$B$17,IF(AND(#REF!="Padrão",$H$4=#REF!),BDI!#REF!,IF(AND(#REF!="Diferenciado",$H$4=#REF!),BDI!$E$17,IF(AND(#REF!="Diferenciado",$H$4=#REF!),BDI!#REF!,IF(#REF!="ZERO",0))))),"")</f>
        <v>#REF!</v>
      </c>
      <c r="H1332" s="139" t="e">
        <f t="shared" ca="1" si="127"/>
        <v>#REF!</v>
      </c>
      <c r="I1332" s="137" t="e">
        <f t="shared" ca="1" si="128"/>
        <v>#REF!</v>
      </c>
      <c r="J1332" s="117"/>
      <c r="K1332" s="116">
        <v>0</v>
      </c>
      <c r="M1332" s="136" t="e">
        <f ca="1">OFFSET(INDEX([1]Composições!I:R,MATCH([1]Orçamentária!I1332,[1]Composições!I:I,0),8),2,0)</f>
        <v>#REF!</v>
      </c>
      <c r="N1332" t="e">
        <v>#REF!</v>
      </c>
      <c r="Q1332" t="e">
        <v>#REF!</v>
      </c>
    </row>
    <row r="1333" spans="1:17" hidden="1" x14ac:dyDescent="0.25">
      <c r="A1333" s="114" t="s">
        <v>3182</v>
      </c>
      <c r="B1333" s="115" t="s">
        <v>3183</v>
      </c>
      <c r="C1333" s="116" t="s">
        <v>16</v>
      </c>
      <c r="D1333" s="116">
        <v>0</v>
      </c>
      <c r="E1333" s="136">
        <f ca="1">OFFSET(INDEX(Composições!A:J,MATCH(Orçamentária!A1333,Composições!A:A,0),8),2,0)</f>
        <v>56.973266049999992</v>
      </c>
      <c r="F1333" s="137">
        <f t="shared" ca="1" si="126"/>
        <v>0</v>
      </c>
      <c r="G1333" s="138" t="e">
        <f>IF(A1333&lt;&gt;"",IF(AND(#REF!="Padrão",$H$4=#REF!),BDI!$B$17,IF(AND(#REF!="Padrão",$H$4=#REF!),BDI!#REF!,IF(AND(#REF!="Diferenciado",$H$4=#REF!),BDI!$E$17,IF(AND(#REF!="Diferenciado",$H$4=#REF!),BDI!#REF!,IF(#REF!="ZERO",0))))),"")</f>
        <v>#REF!</v>
      </c>
      <c r="H1333" s="139" t="e">
        <f t="shared" ca="1" si="127"/>
        <v>#REF!</v>
      </c>
      <c r="I1333" s="137" t="e">
        <f t="shared" ca="1" si="128"/>
        <v>#REF!</v>
      </c>
      <c r="J1333" s="117"/>
      <c r="K1333" s="116">
        <v>0</v>
      </c>
      <c r="M1333" s="136" t="e">
        <f ca="1">OFFSET(INDEX([1]Composições!I:R,MATCH([1]Orçamentária!I1333,[1]Composições!I:I,0),8),2,0)</f>
        <v>#REF!</v>
      </c>
      <c r="N1333" t="e">
        <v>#REF!</v>
      </c>
      <c r="Q1333" t="e">
        <v>#REF!</v>
      </c>
    </row>
    <row r="1334" spans="1:17" hidden="1" x14ac:dyDescent="0.25">
      <c r="A1334" s="114" t="s">
        <v>3184</v>
      </c>
      <c r="B1334" s="115" t="s">
        <v>3185</v>
      </c>
      <c r="C1334" s="116" t="s">
        <v>16</v>
      </c>
      <c r="D1334" s="116">
        <v>0</v>
      </c>
      <c r="E1334" s="136">
        <f ca="1">OFFSET(INDEX(Composições!A:J,MATCH(Orçamentária!A1334,Composições!A:A,0),8),2,0)</f>
        <v>35.327943550000001</v>
      </c>
      <c r="F1334" s="137">
        <f t="shared" ca="1" si="126"/>
        <v>0</v>
      </c>
      <c r="G1334" s="138" t="e">
        <f>IF(A1334&lt;&gt;"",IF(AND(#REF!="Padrão",$H$4=#REF!),BDI!$B$17,IF(AND(#REF!="Padrão",$H$4=#REF!),BDI!#REF!,IF(AND(#REF!="Diferenciado",$H$4=#REF!),BDI!$E$17,IF(AND(#REF!="Diferenciado",$H$4=#REF!),BDI!#REF!,IF(#REF!="ZERO",0))))),"")</f>
        <v>#REF!</v>
      </c>
      <c r="H1334" s="139" t="e">
        <f t="shared" ca="1" si="127"/>
        <v>#REF!</v>
      </c>
      <c r="I1334" s="137" t="e">
        <f t="shared" ca="1" si="128"/>
        <v>#REF!</v>
      </c>
      <c r="J1334" s="117"/>
      <c r="K1334" s="116">
        <v>0</v>
      </c>
      <c r="M1334" s="136" t="e">
        <f ca="1">OFFSET(INDEX([1]Composições!I:R,MATCH([1]Orçamentária!I1334,[1]Composições!I:I,0),8),2,0)</f>
        <v>#REF!</v>
      </c>
      <c r="N1334" t="e">
        <v>#REF!</v>
      </c>
      <c r="Q1334" t="e">
        <v>#REF!</v>
      </c>
    </row>
    <row r="1335" spans="1:17" hidden="1" x14ac:dyDescent="0.25">
      <c r="A1335" s="114" t="s">
        <v>3186</v>
      </c>
      <c r="B1335" s="115" t="s">
        <v>3187</v>
      </c>
      <c r="C1335" s="116" t="s">
        <v>16</v>
      </c>
      <c r="D1335" s="116">
        <v>0</v>
      </c>
      <c r="E1335" s="136" t="s">
        <v>416</v>
      </c>
      <c r="F1335" s="137" t="str">
        <f t="shared" si="126"/>
        <v/>
      </c>
      <c r="G1335" s="138" t="e">
        <f>IF(A1335&lt;&gt;"",IF(AND(#REF!="Padrão",$H$4=#REF!),BDI!$B$17,IF(AND(#REF!="Padrão",$H$4=#REF!),BDI!#REF!,IF(AND(#REF!="Diferenciado",$H$4=#REF!),BDI!$E$17,IF(AND(#REF!="Diferenciado",$H$4=#REF!),BDI!#REF!,IF(#REF!="ZERO",0))))),"")</f>
        <v>#REF!</v>
      </c>
      <c r="H1335" s="139" t="str">
        <f t="shared" si="127"/>
        <v/>
      </c>
      <c r="I1335" s="137" t="str">
        <f t="shared" si="128"/>
        <v/>
      </c>
      <c r="J1335" s="117"/>
      <c r="K1335" s="116">
        <v>0</v>
      </c>
      <c r="M1335" s="136" t="s">
        <v>416</v>
      </c>
      <c r="N1335" t="e">
        <v>#REF!</v>
      </c>
      <c r="Q1335" t="s">
        <v>416</v>
      </c>
    </row>
    <row r="1336" spans="1:17" hidden="1" x14ac:dyDescent="0.25">
      <c r="A1336" s="114" t="s">
        <v>3188</v>
      </c>
      <c r="B1336" s="115" t="s">
        <v>3189</v>
      </c>
      <c r="C1336" s="116" t="s">
        <v>69</v>
      </c>
      <c r="D1336" s="116">
        <v>0</v>
      </c>
      <c r="E1336" s="136">
        <f ca="1">OFFSET(INDEX(Composições!A:J,MATCH(Orçamentária!A1336,Composições!A:A,0),8),2,0)</f>
        <v>3.5136908999999998</v>
      </c>
      <c r="F1336" s="137">
        <f t="shared" ca="1" si="126"/>
        <v>0</v>
      </c>
      <c r="G1336" s="138" t="e">
        <f>IF(A1336&lt;&gt;"",IF(AND(#REF!="Padrão",$H$4=#REF!),BDI!$B$17,IF(AND(#REF!="Padrão",$H$4=#REF!),BDI!#REF!,IF(AND(#REF!="Diferenciado",$H$4=#REF!),BDI!$E$17,IF(AND(#REF!="Diferenciado",$H$4=#REF!),BDI!#REF!,IF(#REF!="ZERO",0))))),"")</f>
        <v>#REF!</v>
      </c>
      <c r="H1336" s="139" t="e">
        <f t="shared" ca="1" si="127"/>
        <v>#REF!</v>
      </c>
      <c r="I1336" s="137" t="e">
        <f t="shared" ca="1" si="128"/>
        <v>#REF!</v>
      </c>
      <c r="J1336" s="117"/>
      <c r="K1336" s="116">
        <v>0</v>
      </c>
      <c r="M1336" s="136" t="e">
        <f ca="1">OFFSET(INDEX([1]Composições!I:R,MATCH([1]Orçamentária!I1336,[1]Composições!I:I,0),8),2,0)</f>
        <v>#REF!</v>
      </c>
      <c r="N1336" t="e">
        <v>#REF!</v>
      </c>
      <c r="Q1336" t="e">
        <v>#REF!</v>
      </c>
    </row>
    <row r="1337" spans="1:17" hidden="1" x14ac:dyDescent="0.25">
      <c r="A1337" s="114" t="s">
        <v>3190</v>
      </c>
      <c r="B1337" s="115" t="s">
        <v>3191</v>
      </c>
      <c r="C1337" s="116" t="s">
        <v>69</v>
      </c>
      <c r="D1337" s="116">
        <v>0</v>
      </c>
      <c r="E1337" s="136">
        <f ca="1">OFFSET(INDEX(Composições!A:J,MATCH(Orçamentária!A1337,Composições!A:A,0),8),2,0)</f>
        <v>6.8593571999999998</v>
      </c>
      <c r="F1337" s="137">
        <f t="shared" ca="1" si="126"/>
        <v>0</v>
      </c>
      <c r="G1337" s="138" t="e">
        <f>IF(A1337&lt;&gt;"",IF(AND(#REF!="Padrão",$H$4=#REF!),BDI!$B$17,IF(AND(#REF!="Padrão",$H$4=#REF!),BDI!#REF!,IF(AND(#REF!="Diferenciado",$H$4=#REF!),BDI!$E$17,IF(AND(#REF!="Diferenciado",$H$4=#REF!),BDI!#REF!,IF(#REF!="ZERO",0))))),"")</f>
        <v>#REF!</v>
      </c>
      <c r="H1337" s="139" t="e">
        <f t="shared" ca="1" si="127"/>
        <v>#REF!</v>
      </c>
      <c r="I1337" s="137" t="e">
        <f t="shared" ca="1" si="128"/>
        <v>#REF!</v>
      </c>
      <c r="J1337" s="117"/>
      <c r="K1337" s="116">
        <v>0</v>
      </c>
      <c r="M1337" s="136" t="e">
        <f ca="1">OFFSET(INDEX([1]Composições!I:R,MATCH([1]Orçamentária!I1337,[1]Composições!I:I,0),8),2,0)</f>
        <v>#REF!</v>
      </c>
      <c r="N1337" t="e">
        <v>#REF!</v>
      </c>
      <c r="Q1337" t="e">
        <v>#REF!</v>
      </c>
    </row>
    <row r="1338" spans="1:17" hidden="1" x14ac:dyDescent="0.25">
      <c r="A1338" s="114" t="s">
        <v>3192</v>
      </c>
      <c r="B1338" s="115" t="s">
        <v>5581</v>
      </c>
      <c r="C1338" s="116" t="s">
        <v>69</v>
      </c>
      <c r="D1338" s="116">
        <v>0</v>
      </c>
      <c r="E1338" s="136">
        <f ca="1">OFFSET(INDEX(Composições!A:J,MATCH(Orçamentária!A1338,Composições!A:A,0),8),2,0)</f>
        <v>12.251722500000001</v>
      </c>
      <c r="F1338" s="137">
        <f t="shared" ca="1" si="126"/>
        <v>0</v>
      </c>
      <c r="G1338" s="138" t="e">
        <f>IF(A1338&lt;&gt;"",IF(AND(#REF!="Padrão",$H$4=#REF!),BDI!$B$17,IF(AND(#REF!="Padrão",$H$4=#REF!),BDI!#REF!,IF(AND(#REF!="Diferenciado",$H$4=#REF!),BDI!$E$17,IF(AND(#REF!="Diferenciado",$H$4=#REF!),BDI!#REF!,IF(#REF!="ZERO",0))))),"")</f>
        <v>#REF!</v>
      </c>
      <c r="H1338" s="139" t="e">
        <f t="shared" ca="1" si="127"/>
        <v>#REF!</v>
      </c>
      <c r="I1338" s="137" t="e">
        <f t="shared" ca="1" si="128"/>
        <v>#REF!</v>
      </c>
      <c r="J1338" s="117"/>
      <c r="K1338" s="116">
        <v>0</v>
      </c>
      <c r="M1338" s="136" t="e">
        <f ca="1">OFFSET(INDEX([1]Composições!I:R,MATCH([1]Orçamentária!I1338,[1]Composições!I:I,0),8),2,0)</f>
        <v>#REF!</v>
      </c>
      <c r="N1338" t="e">
        <v>#REF!</v>
      </c>
      <c r="Q1338" t="e">
        <v>#REF!</v>
      </c>
    </row>
    <row r="1339" spans="1:17" hidden="1" x14ac:dyDescent="0.25">
      <c r="A1339" s="114" t="s">
        <v>3193</v>
      </c>
      <c r="B1339" s="115" t="s">
        <v>7728</v>
      </c>
      <c r="C1339" s="116" t="s">
        <v>16</v>
      </c>
      <c r="D1339" s="116">
        <v>0</v>
      </c>
      <c r="E1339" s="136">
        <f ca="1">OFFSET(INDEX(Composições!A:J,MATCH(Orçamentária!A1339,Composições!A:A,0),8),2,0)</f>
        <v>1904.9566248985502</v>
      </c>
      <c r="F1339" s="137">
        <f t="shared" ca="1" si="126"/>
        <v>0</v>
      </c>
      <c r="G1339" s="138" t="e">
        <f>IF(A1339&lt;&gt;"",IF(AND(#REF!="Padrão",$H$4=#REF!),BDI!$B$17,IF(AND(#REF!="Padrão",$H$4=#REF!),BDI!#REF!,IF(AND(#REF!="Diferenciado",$H$4=#REF!),BDI!$E$17,IF(AND(#REF!="Diferenciado",$H$4=#REF!),BDI!#REF!,IF(#REF!="ZERO",0))))),"")</f>
        <v>#REF!</v>
      </c>
      <c r="H1339" s="139" t="e">
        <f t="shared" ca="1" si="127"/>
        <v>#REF!</v>
      </c>
      <c r="I1339" s="137" t="e">
        <f t="shared" ca="1" si="128"/>
        <v>#REF!</v>
      </c>
      <c r="J1339" s="117"/>
      <c r="K1339" s="116">
        <v>0</v>
      </c>
      <c r="M1339" s="136" t="e">
        <f ca="1">OFFSET(INDEX([1]Composições!I:R,MATCH([1]Orçamentária!I1339,[1]Composições!I:I,0),8),2,0)</f>
        <v>#REF!</v>
      </c>
      <c r="N1339" t="e">
        <v>#REF!</v>
      </c>
      <c r="Q1339" t="e">
        <v>#REF!</v>
      </c>
    </row>
    <row r="1340" spans="1:17" hidden="1" x14ac:dyDescent="0.25">
      <c r="A1340" s="114" t="s">
        <v>3194</v>
      </c>
      <c r="B1340" s="115" t="s">
        <v>3195</v>
      </c>
      <c r="C1340" s="116" t="s">
        <v>16</v>
      </c>
      <c r="D1340" s="116">
        <v>0</v>
      </c>
      <c r="E1340" s="136">
        <f ca="1">OFFSET(INDEX(Composições!A:J,MATCH(Orçamentária!A1340,Composições!A:A,0),8),2,0)</f>
        <v>5945.09</v>
      </c>
      <c r="F1340" s="137">
        <f t="shared" ca="1" si="126"/>
        <v>0</v>
      </c>
      <c r="G1340" s="138" t="e">
        <f>IF(A1340&lt;&gt;"",IF(AND(#REF!="Padrão",$H$4=#REF!),BDI!$B$17,IF(AND(#REF!="Padrão",$H$4=#REF!),BDI!#REF!,IF(AND(#REF!="Diferenciado",$H$4=#REF!),BDI!$E$17,IF(AND(#REF!="Diferenciado",$H$4=#REF!),BDI!#REF!,IF(#REF!="ZERO",0))))),"")</f>
        <v>#REF!</v>
      </c>
      <c r="H1340" s="139" t="e">
        <f t="shared" ca="1" si="127"/>
        <v>#REF!</v>
      </c>
      <c r="I1340" s="137" t="e">
        <f t="shared" ca="1" si="128"/>
        <v>#REF!</v>
      </c>
      <c r="J1340" s="117"/>
      <c r="K1340" s="116">
        <v>0</v>
      </c>
      <c r="M1340" s="136" t="e">
        <f ca="1">OFFSET(INDEX([1]Composições!I:R,MATCH([1]Orçamentária!I1340,[1]Composições!I:I,0),8),2,0)</f>
        <v>#REF!</v>
      </c>
      <c r="N1340" t="e">
        <v>#REF!</v>
      </c>
      <c r="Q1340" t="e">
        <v>#REF!</v>
      </c>
    </row>
    <row r="1341" spans="1:17" hidden="1" x14ac:dyDescent="0.25">
      <c r="A1341" s="114" t="s">
        <v>3196</v>
      </c>
      <c r="B1341" s="115" t="s">
        <v>3197</v>
      </c>
      <c r="C1341" s="116" t="s">
        <v>69</v>
      </c>
      <c r="D1341" s="116">
        <v>0</v>
      </c>
      <c r="E1341" s="136">
        <f ca="1">OFFSET(INDEX(Composições!A:J,MATCH(Orçamentária!A1341,Composições!A:A,0),8),2,0)</f>
        <v>10.710195500000001</v>
      </c>
      <c r="F1341" s="137">
        <f t="shared" ca="1" si="126"/>
        <v>0</v>
      </c>
      <c r="G1341" s="138" t="e">
        <f>IF(A1341&lt;&gt;"",IF(AND(#REF!="Padrão",$H$4=#REF!),BDI!$B$17,IF(AND(#REF!="Padrão",$H$4=#REF!),BDI!#REF!,IF(AND(#REF!="Diferenciado",$H$4=#REF!),BDI!$E$17,IF(AND(#REF!="Diferenciado",$H$4=#REF!),BDI!#REF!,IF(#REF!="ZERO",0))))),"")</f>
        <v>#REF!</v>
      </c>
      <c r="H1341" s="139" t="e">
        <f t="shared" ca="1" si="127"/>
        <v>#REF!</v>
      </c>
      <c r="I1341" s="137" t="e">
        <f t="shared" ca="1" si="128"/>
        <v>#REF!</v>
      </c>
      <c r="J1341" s="117"/>
      <c r="K1341" s="116">
        <v>0</v>
      </c>
      <c r="M1341" s="136" t="e">
        <f ca="1">OFFSET(INDEX([1]Composições!I:R,MATCH([1]Orçamentária!I1341,[1]Composições!I:I,0),8),2,0)</f>
        <v>#REF!</v>
      </c>
      <c r="N1341" t="e">
        <v>#REF!</v>
      </c>
      <c r="Q1341" t="e">
        <v>#REF!</v>
      </c>
    </row>
    <row r="1342" spans="1:17" hidden="1" x14ac:dyDescent="0.25">
      <c r="A1342" s="114" t="s">
        <v>3198</v>
      </c>
      <c r="B1342" s="115" t="s">
        <v>3199</v>
      </c>
      <c r="C1342" s="116" t="s">
        <v>69</v>
      </c>
      <c r="D1342" s="116">
        <v>0</v>
      </c>
      <c r="E1342" s="136" t="s">
        <v>416</v>
      </c>
      <c r="F1342" s="137" t="str">
        <f t="shared" si="126"/>
        <v/>
      </c>
      <c r="G1342" s="138" t="e">
        <f>IF(A1342&lt;&gt;"",IF(AND(#REF!="Padrão",$H$4=#REF!),BDI!$B$17,IF(AND(#REF!="Padrão",$H$4=#REF!),BDI!#REF!,IF(AND(#REF!="Diferenciado",$H$4=#REF!),BDI!$E$17,IF(AND(#REF!="Diferenciado",$H$4=#REF!),BDI!#REF!,IF(#REF!="ZERO",0))))),"")</f>
        <v>#REF!</v>
      </c>
      <c r="H1342" s="139" t="str">
        <f t="shared" si="127"/>
        <v/>
      </c>
      <c r="I1342" s="137" t="str">
        <f t="shared" si="128"/>
        <v/>
      </c>
      <c r="J1342" s="117"/>
      <c r="K1342" s="116">
        <v>0</v>
      </c>
      <c r="M1342" s="136" t="s">
        <v>416</v>
      </c>
      <c r="N1342" t="e">
        <v>#REF!</v>
      </c>
      <c r="Q1342" t="s">
        <v>416</v>
      </c>
    </row>
    <row r="1343" spans="1:17" hidden="1" x14ac:dyDescent="0.25">
      <c r="A1343" s="114" t="s">
        <v>3200</v>
      </c>
      <c r="B1343" s="115" t="s">
        <v>3201</v>
      </c>
      <c r="C1343" s="116" t="s">
        <v>69</v>
      </c>
      <c r="D1343" s="116">
        <v>0</v>
      </c>
      <c r="E1343" s="136" t="s">
        <v>416</v>
      </c>
      <c r="F1343" s="137" t="str">
        <f t="shared" si="126"/>
        <v/>
      </c>
      <c r="G1343" s="138" t="e">
        <f>IF(A1343&lt;&gt;"",IF(AND(#REF!="Padrão",$H$4=#REF!),BDI!$B$17,IF(AND(#REF!="Padrão",$H$4=#REF!),BDI!#REF!,IF(AND(#REF!="Diferenciado",$H$4=#REF!),BDI!$E$17,IF(AND(#REF!="Diferenciado",$H$4=#REF!),BDI!#REF!,IF(#REF!="ZERO",0))))),"")</f>
        <v>#REF!</v>
      </c>
      <c r="H1343" s="139" t="str">
        <f t="shared" si="127"/>
        <v/>
      </c>
      <c r="I1343" s="137" t="str">
        <f t="shared" si="128"/>
        <v/>
      </c>
      <c r="J1343" s="117"/>
      <c r="K1343" s="116">
        <v>0</v>
      </c>
      <c r="M1343" s="136" t="s">
        <v>416</v>
      </c>
      <c r="N1343" t="e">
        <v>#REF!</v>
      </c>
      <c r="Q1343" t="s">
        <v>416</v>
      </c>
    </row>
    <row r="1344" spans="1:17" hidden="1" x14ac:dyDescent="0.25">
      <c r="A1344" s="114" t="s">
        <v>3202</v>
      </c>
      <c r="B1344" s="115" t="s">
        <v>3203</v>
      </c>
      <c r="C1344" s="116" t="s">
        <v>16</v>
      </c>
      <c r="D1344" s="116">
        <v>0</v>
      </c>
      <c r="E1344" s="136">
        <f ca="1">OFFSET(INDEX(Composições!A:J,MATCH(Orçamentária!A1344,Composições!A:A,0),8),2,0)</f>
        <v>783.12721341458939</v>
      </c>
      <c r="F1344" s="137">
        <f t="shared" ref="F1344:F1351" ca="1" si="129">IF(ISNUMBER(E1344),D1344*E1344,"")</f>
        <v>0</v>
      </c>
      <c r="G1344" s="138" t="e">
        <f>IF(A1344&lt;&gt;"",IF(AND(#REF!="Padrão",$H$4=#REF!),BDI!$B$17,IF(AND(#REF!="Padrão",$H$4=#REF!),BDI!#REF!,IF(AND(#REF!="Diferenciado",$H$4=#REF!),BDI!$E$17,IF(AND(#REF!="Diferenciado",$H$4=#REF!),BDI!#REF!,IF(#REF!="ZERO",0))))),"")</f>
        <v>#REF!</v>
      </c>
      <c r="H1344" s="139" t="e">
        <f t="shared" ref="H1344:H1351" ca="1" si="130">IF(ISNUMBER(E1344),ROUND(E1344*(1+G1344),2),"")</f>
        <v>#REF!</v>
      </c>
      <c r="I1344" s="137" t="e">
        <f t="shared" ref="I1344:I1351" ca="1" si="131">IF(ISNUMBER(E1344),ROUND(H1344*D1344,2),"")</f>
        <v>#REF!</v>
      </c>
      <c r="J1344" s="117"/>
      <c r="K1344" s="116">
        <v>0</v>
      </c>
      <c r="M1344" s="136" t="e">
        <f ca="1">OFFSET(INDEX([1]Composições!I:R,MATCH([1]Orçamentária!I1344,[1]Composições!I:I,0),8),2,0)</f>
        <v>#REF!</v>
      </c>
      <c r="N1344" t="e">
        <v>#REF!</v>
      </c>
      <c r="Q1344" t="e">
        <v>#REF!</v>
      </c>
    </row>
    <row r="1345" spans="1:17" hidden="1" x14ac:dyDescent="0.25">
      <c r="A1345" s="114" t="s">
        <v>3237</v>
      </c>
      <c r="B1345" s="115" t="s">
        <v>3238</v>
      </c>
      <c r="C1345" s="116" t="s">
        <v>16</v>
      </c>
      <c r="D1345" s="116">
        <v>0</v>
      </c>
      <c r="E1345" s="136" t="s">
        <v>416</v>
      </c>
      <c r="F1345" s="137" t="str">
        <f t="shared" si="129"/>
        <v/>
      </c>
      <c r="G1345" s="138" t="e">
        <f>IF(A1345&lt;&gt;"",IF(AND(#REF!="Padrão",$H$4=#REF!),BDI!$B$17,IF(AND(#REF!="Padrão",$H$4=#REF!),BDI!#REF!,IF(AND(#REF!="Diferenciado",$H$4=#REF!),BDI!$E$17,IF(AND(#REF!="Diferenciado",$H$4=#REF!),BDI!#REF!,IF(#REF!="ZERO",0))))),"")</f>
        <v>#REF!</v>
      </c>
      <c r="H1345" s="139" t="str">
        <f t="shared" si="130"/>
        <v/>
      </c>
      <c r="I1345" s="137" t="str">
        <f t="shared" si="131"/>
        <v/>
      </c>
      <c r="J1345" s="117"/>
      <c r="K1345" s="116">
        <v>0</v>
      </c>
      <c r="M1345" s="136" t="s">
        <v>416</v>
      </c>
      <c r="N1345" t="e">
        <v>#REF!</v>
      </c>
      <c r="Q1345" t="s">
        <v>416</v>
      </c>
    </row>
    <row r="1346" spans="1:17" hidden="1" x14ac:dyDescent="0.25">
      <c r="A1346" s="114" t="s">
        <v>3239</v>
      </c>
      <c r="B1346" s="115" t="s">
        <v>3240</v>
      </c>
      <c r="C1346" s="116" t="s">
        <v>16</v>
      </c>
      <c r="D1346" s="116">
        <v>0</v>
      </c>
      <c r="E1346" s="136" t="s">
        <v>416</v>
      </c>
      <c r="F1346" s="137" t="str">
        <f t="shared" si="129"/>
        <v/>
      </c>
      <c r="G1346" s="138" t="e">
        <f>IF(A1346&lt;&gt;"",IF(AND(#REF!="Padrão",$H$4=#REF!),BDI!$B$17,IF(AND(#REF!="Padrão",$H$4=#REF!),BDI!#REF!,IF(AND(#REF!="Diferenciado",$H$4=#REF!),BDI!$E$17,IF(AND(#REF!="Diferenciado",$H$4=#REF!),BDI!#REF!,IF(#REF!="ZERO",0))))),"")</f>
        <v>#REF!</v>
      </c>
      <c r="H1346" s="139" t="str">
        <f t="shared" si="130"/>
        <v/>
      </c>
      <c r="I1346" s="137" t="str">
        <f t="shared" si="131"/>
        <v/>
      </c>
      <c r="J1346" s="117"/>
      <c r="K1346" s="116">
        <v>0</v>
      </c>
      <c r="M1346" s="136" t="s">
        <v>416</v>
      </c>
      <c r="N1346" t="e">
        <v>#REF!</v>
      </c>
      <c r="Q1346" t="s">
        <v>416</v>
      </c>
    </row>
    <row r="1347" spans="1:17" hidden="1" x14ac:dyDescent="0.25">
      <c r="A1347" s="114" t="s">
        <v>3241</v>
      </c>
      <c r="B1347" s="115" t="s">
        <v>5491</v>
      </c>
      <c r="C1347" s="116" t="s">
        <v>69</v>
      </c>
      <c r="D1347" s="116">
        <v>0</v>
      </c>
      <c r="E1347" s="136">
        <f ca="1">OFFSET(INDEX(Composições!A:J,MATCH(Orçamentária!A1347,Composições!A:A,0),8),2,0)</f>
        <v>26.504540199999997</v>
      </c>
      <c r="F1347" s="137">
        <f t="shared" ca="1" si="129"/>
        <v>0</v>
      </c>
      <c r="G1347" s="138" t="e">
        <f>IF(A1347&lt;&gt;"",IF(AND(#REF!="Padrão",$H$4=#REF!),BDI!$B$17,IF(AND(#REF!="Padrão",$H$4=#REF!),BDI!#REF!,IF(AND(#REF!="Diferenciado",$H$4=#REF!),BDI!$E$17,IF(AND(#REF!="Diferenciado",$H$4=#REF!),BDI!#REF!,IF(#REF!="ZERO",0))))),"")</f>
        <v>#REF!</v>
      </c>
      <c r="H1347" s="139" t="e">
        <f t="shared" ca="1" si="130"/>
        <v>#REF!</v>
      </c>
      <c r="I1347" s="137" t="e">
        <f t="shared" ca="1" si="131"/>
        <v>#REF!</v>
      </c>
      <c r="J1347" s="117"/>
      <c r="K1347" s="116">
        <v>0</v>
      </c>
      <c r="M1347" s="136" t="e">
        <f ca="1">OFFSET(INDEX([1]Composições!I:R,MATCH([1]Orçamentária!I1347,[1]Composições!I:I,0),8),2,0)</f>
        <v>#REF!</v>
      </c>
      <c r="N1347" t="e">
        <v>#REF!</v>
      </c>
      <c r="Q1347" t="e">
        <v>#REF!</v>
      </c>
    </row>
    <row r="1348" spans="1:17" hidden="1" x14ac:dyDescent="0.25">
      <c r="A1348" s="114" t="s">
        <v>3242</v>
      </c>
      <c r="B1348" s="115" t="s">
        <v>5492</v>
      </c>
      <c r="C1348" s="116" t="s">
        <v>69</v>
      </c>
      <c r="D1348" s="116">
        <v>0</v>
      </c>
      <c r="E1348" s="136">
        <f ca="1">OFFSET(INDEX(Composições!A:J,MATCH(Orçamentária!A1348,Composições!A:A,0),8),2,0)</f>
        <v>35.020505499999999</v>
      </c>
      <c r="F1348" s="137">
        <f t="shared" ca="1" si="129"/>
        <v>0</v>
      </c>
      <c r="G1348" s="138" t="e">
        <f>IF(A1348&lt;&gt;"",IF(AND(#REF!="Padrão",$H$4=#REF!),BDI!$B$17,IF(AND(#REF!="Padrão",$H$4=#REF!),BDI!#REF!,IF(AND(#REF!="Diferenciado",$H$4=#REF!),BDI!$E$17,IF(AND(#REF!="Diferenciado",$H$4=#REF!),BDI!#REF!,IF(#REF!="ZERO",0))))),"")</f>
        <v>#REF!</v>
      </c>
      <c r="H1348" s="139" t="e">
        <f t="shared" ca="1" si="130"/>
        <v>#REF!</v>
      </c>
      <c r="I1348" s="137" t="e">
        <f t="shared" ca="1" si="131"/>
        <v>#REF!</v>
      </c>
      <c r="J1348" s="117"/>
      <c r="K1348" s="116">
        <v>0</v>
      </c>
      <c r="M1348" s="136" t="e">
        <f ca="1">OFFSET(INDEX([1]Composições!I:R,MATCH([1]Orçamentária!I1348,[1]Composições!I:I,0),8),2,0)</f>
        <v>#REF!</v>
      </c>
      <c r="N1348" t="e">
        <v>#REF!</v>
      </c>
      <c r="Q1348" t="e">
        <v>#REF!</v>
      </c>
    </row>
    <row r="1349" spans="1:17" hidden="1" x14ac:dyDescent="0.25">
      <c r="A1349" s="114" t="s">
        <v>3243</v>
      </c>
      <c r="B1349" s="115" t="s">
        <v>5493</v>
      </c>
      <c r="C1349" s="116" t="s">
        <v>16</v>
      </c>
      <c r="D1349" s="116">
        <v>0</v>
      </c>
      <c r="E1349" s="136" t="s">
        <v>416</v>
      </c>
      <c r="F1349" s="137" t="str">
        <f t="shared" si="129"/>
        <v/>
      </c>
      <c r="G1349" s="138" t="e">
        <f>IF(A1349&lt;&gt;"",IF(AND(#REF!="Padrão",$H$4=#REF!),BDI!$B$17,IF(AND(#REF!="Padrão",$H$4=#REF!),BDI!#REF!,IF(AND(#REF!="Diferenciado",$H$4=#REF!),BDI!$E$17,IF(AND(#REF!="Diferenciado",$H$4=#REF!),BDI!#REF!,IF(#REF!="ZERO",0))))),"")</f>
        <v>#REF!</v>
      </c>
      <c r="H1349" s="139" t="str">
        <f t="shared" si="130"/>
        <v/>
      </c>
      <c r="I1349" s="137" t="str">
        <f t="shared" si="131"/>
        <v/>
      </c>
      <c r="J1349" s="117"/>
      <c r="K1349" s="116">
        <v>0</v>
      </c>
      <c r="M1349" s="136" t="s">
        <v>416</v>
      </c>
      <c r="N1349" t="e">
        <v>#REF!</v>
      </c>
      <c r="Q1349" t="s">
        <v>416</v>
      </c>
    </row>
    <row r="1350" spans="1:17" hidden="1" x14ac:dyDescent="0.25">
      <c r="A1350" s="114" t="s">
        <v>3244</v>
      </c>
      <c r="B1350" s="115" t="s">
        <v>3246</v>
      </c>
      <c r="C1350" s="116" t="s">
        <v>16</v>
      </c>
      <c r="D1350" s="116">
        <v>0</v>
      </c>
      <c r="E1350" s="136" t="s">
        <v>416</v>
      </c>
      <c r="F1350" s="137" t="str">
        <f t="shared" si="129"/>
        <v/>
      </c>
      <c r="G1350" s="138" t="e">
        <f>IF(A1350&lt;&gt;"",IF(AND(#REF!="Padrão",$H$4=#REF!),BDI!$B$17,IF(AND(#REF!="Padrão",$H$4=#REF!),BDI!#REF!,IF(AND(#REF!="Diferenciado",$H$4=#REF!),BDI!$E$17,IF(AND(#REF!="Diferenciado",$H$4=#REF!),BDI!#REF!,IF(#REF!="ZERO",0))))),"")</f>
        <v>#REF!</v>
      </c>
      <c r="H1350" s="139" t="str">
        <f t="shared" si="130"/>
        <v/>
      </c>
      <c r="I1350" s="137" t="str">
        <f t="shared" si="131"/>
        <v/>
      </c>
      <c r="J1350" s="117"/>
      <c r="K1350" s="116">
        <v>0</v>
      </c>
      <c r="M1350" s="136" t="s">
        <v>416</v>
      </c>
      <c r="N1350" t="e">
        <v>#REF!</v>
      </c>
      <c r="Q1350" t="s">
        <v>416</v>
      </c>
    </row>
    <row r="1351" spans="1:17" hidden="1" x14ac:dyDescent="0.25">
      <c r="A1351" s="114" t="s">
        <v>3245</v>
      </c>
      <c r="B1351" s="115" t="s">
        <v>5494</v>
      </c>
      <c r="C1351" s="116" t="s">
        <v>16</v>
      </c>
      <c r="D1351" s="116">
        <v>0</v>
      </c>
      <c r="E1351" s="136" t="s">
        <v>416</v>
      </c>
      <c r="F1351" s="137" t="str">
        <f t="shared" si="129"/>
        <v/>
      </c>
      <c r="G1351" s="138" t="e">
        <f>IF(A1351&lt;&gt;"",IF(AND(#REF!="Padrão",$H$4=#REF!),BDI!$B$17,IF(AND(#REF!="Padrão",$H$4=#REF!),BDI!#REF!,IF(AND(#REF!="Diferenciado",$H$4=#REF!),BDI!$E$17,IF(AND(#REF!="Diferenciado",$H$4=#REF!),BDI!#REF!,IF(#REF!="ZERO",0))))),"")</f>
        <v>#REF!</v>
      </c>
      <c r="H1351" s="139" t="str">
        <f t="shared" si="130"/>
        <v/>
      </c>
      <c r="I1351" s="137" t="str">
        <f t="shared" si="131"/>
        <v/>
      </c>
      <c r="J1351" s="117"/>
      <c r="K1351" s="116">
        <v>0</v>
      </c>
      <c r="M1351" s="136" t="s">
        <v>416</v>
      </c>
      <c r="N1351" t="e">
        <v>#REF!</v>
      </c>
      <c r="Q1351" t="s">
        <v>416</v>
      </c>
    </row>
    <row r="1352" spans="1:17" hidden="1" x14ac:dyDescent="0.25">
      <c r="A1352" s="114" t="s">
        <v>3265</v>
      </c>
      <c r="B1352" s="115" t="s">
        <v>3297</v>
      </c>
      <c r="C1352" s="116" t="s">
        <v>16</v>
      </c>
      <c r="D1352" s="116">
        <v>0</v>
      </c>
      <c r="E1352" s="136">
        <f ca="1">OFFSET(INDEX(Composições!A:J,MATCH(Orçamentária!A1352,Composições!A:A,0),8),2,0)</f>
        <v>6.6108656999999997</v>
      </c>
      <c r="F1352" s="137">
        <f t="shared" ref="F1352:F1383" ca="1" si="132">IF(ISNUMBER(E1352),D1352*E1352,"")</f>
        <v>0</v>
      </c>
      <c r="G1352" s="138" t="e">
        <f>IF(A1352&lt;&gt;"",IF(AND(#REF!="Padrão",$H$4=#REF!),BDI!$B$17,IF(AND(#REF!="Padrão",$H$4=#REF!),BDI!#REF!,IF(AND(#REF!="Diferenciado",$H$4=#REF!),BDI!$E$17,IF(AND(#REF!="Diferenciado",$H$4=#REF!),BDI!#REF!,IF(#REF!="ZERO",0))))),"")</f>
        <v>#REF!</v>
      </c>
      <c r="H1352" s="139" t="e">
        <f t="shared" ref="H1352:H1383" ca="1" si="133">IF(ISNUMBER(E1352),ROUND(E1352*(1+G1352),2),"")</f>
        <v>#REF!</v>
      </c>
      <c r="I1352" s="137" t="e">
        <f t="shared" ref="I1352:I1383" ca="1" si="134">IF(ISNUMBER(E1352),ROUND(H1352*D1352,2),"")</f>
        <v>#REF!</v>
      </c>
      <c r="J1352" s="117"/>
      <c r="K1352" s="116">
        <v>0</v>
      </c>
      <c r="M1352" s="136" t="e">
        <f ca="1">OFFSET(INDEX([1]Composições!I:R,MATCH([1]Orçamentária!I1352,[1]Composições!I:I,0),8),2,0)</f>
        <v>#REF!</v>
      </c>
      <c r="N1352" t="e">
        <v>#REF!</v>
      </c>
      <c r="Q1352" t="e">
        <v>#REF!</v>
      </c>
    </row>
    <row r="1353" spans="1:17" hidden="1" x14ac:dyDescent="0.25">
      <c r="A1353" s="114" t="s">
        <v>3266</v>
      </c>
      <c r="B1353" s="115" t="s">
        <v>3298</v>
      </c>
      <c r="C1353" s="116" t="s">
        <v>69</v>
      </c>
      <c r="D1353" s="116">
        <v>0</v>
      </c>
      <c r="E1353" s="136">
        <f ca="1">OFFSET(INDEX(Composições!A:J,MATCH(Orçamentária!A1353,Composições!A:A,0),8),2,0)</f>
        <v>0.1383732</v>
      </c>
      <c r="F1353" s="137">
        <f t="shared" ca="1" si="132"/>
        <v>0</v>
      </c>
      <c r="G1353" s="138" t="e">
        <f>IF(A1353&lt;&gt;"",IF(AND(#REF!="Padrão",$H$4=#REF!),BDI!$B$17,IF(AND(#REF!="Padrão",$H$4=#REF!),BDI!#REF!,IF(AND(#REF!="Diferenciado",$H$4=#REF!),BDI!$E$17,IF(AND(#REF!="Diferenciado",$H$4=#REF!),BDI!#REF!,IF(#REF!="ZERO",0))))),"")</f>
        <v>#REF!</v>
      </c>
      <c r="H1353" s="139" t="e">
        <f t="shared" ca="1" si="133"/>
        <v>#REF!</v>
      </c>
      <c r="I1353" s="137" t="e">
        <f t="shared" ca="1" si="134"/>
        <v>#REF!</v>
      </c>
      <c r="J1353" s="117"/>
      <c r="K1353" s="116">
        <v>0</v>
      </c>
      <c r="M1353" s="136" t="e">
        <f ca="1">OFFSET(INDEX([1]Composições!I:R,MATCH([1]Orçamentária!I1353,[1]Composições!I:I,0),8),2,0)</f>
        <v>#REF!</v>
      </c>
      <c r="N1353" t="e">
        <v>#REF!</v>
      </c>
      <c r="Q1353" t="e">
        <v>#REF!</v>
      </c>
    </row>
    <row r="1354" spans="1:17" hidden="1" x14ac:dyDescent="0.25">
      <c r="A1354" s="114" t="s">
        <v>3267</v>
      </c>
      <c r="B1354" s="115" t="s">
        <v>3299</v>
      </c>
      <c r="C1354" s="116" t="s">
        <v>69</v>
      </c>
      <c r="D1354" s="116">
        <v>0</v>
      </c>
      <c r="E1354" s="136">
        <f ca="1">OFFSET(INDEX(Composições!A:J,MATCH(Orçamentária!A1354,Composições!A:A,0),8),2,0)</f>
        <v>3.5136908999999998</v>
      </c>
      <c r="F1354" s="137">
        <f t="shared" ca="1" si="132"/>
        <v>0</v>
      </c>
      <c r="G1354" s="138" t="e">
        <f>IF(A1354&lt;&gt;"",IF(AND(#REF!="Padrão",$H$4=#REF!),BDI!$B$17,IF(AND(#REF!="Padrão",$H$4=#REF!),BDI!#REF!,IF(AND(#REF!="Diferenciado",$H$4=#REF!),BDI!$E$17,IF(AND(#REF!="Diferenciado",$H$4=#REF!),BDI!#REF!,IF(#REF!="ZERO",0))))),"")</f>
        <v>#REF!</v>
      </c>
      <c r="H1354" s="139" t="e">
        <f t="shared" ca="1" si="133"/>
        <v>#REF!</v>
      </c>
      <c r="I1354" s="137" t="e">
        <f t="shared" ca="1" si="134"/>
        <v>#REF!</v>
      </c>
      <c r="J1354" s="117"/>
      <c r="K1354" s="116">
        <v>0</v>
      </c>
      <c r="M1354" s="136" t="e">
        <f ca="1">OFFSET(INDEX([1]Composições!I:R,MATCH([1]Orçamentária!I1354,[1]Composições!I:I,0),8),2,0)</f>
        <v>#REF!</v>
      </c>
      <c r="N1354" t="e">
        <v>#REF!</v>
      </c>
      <c r="Q1354" t="e">
        <v>#REF!</v>
      </c>
    </row>
    <row r="1355" spans="1:17" hidden="1" x14ac:dyDescent="0.25">
      <c r="A1355" s="114" t="s">
        <v>3268</v>
      </c>
      <c r="B1355" s="115" t="s">
        <v>3300</v>
      </c>
      <c r="C1355" s="116" t="s">
        <v>69</v>
      </c>
      <c r="D1355" s="116">
        <v>0</v>
      </c>
      <c r="E1355" s="136">
        <f ca="1">OFFSET(INDEX(Composições!A:J,MATCH(Orçamentária!A1355,Composições!A:A,0),8),2,0)</f>
        <v>0.1383732</v>
      </c>
      <c r="F1355" s="137">
        <f t="shared" ca="1" si="132"/>
        <v>0</v>
      </c>
      <c r="G1355" s="138" t="e">
        <f>IF(A1355&lt;&gt;"",IF(AND(#REF!="Padrão",$H$4=#REF!),BDI!$B$17,IF(AND(#REF!="Padrão",$H$4=#REF!),BDI!#REF!,IF(AND(#REF!="Diferenciado",$H$4=#REF!),BDI!$E$17,IF(AND(#REF!="Diferenciado",$H$4=#REF!),BDI!#REF!,IF(#REF!="ZERO",0))))),"")</f>
        <v>#REF!</v>
      </c>
      <c r="H1355" s="139" t="e">
        <f t="shared" ca="1" si="133"/>
        <v>#REF!</v>
      </c>
      <c r="I1355" s="137" t="e">
        <f t="shared" ca="1" si="134"/>
        <v>#REF!</v>
      </c>
      <c r="J1355" s="117"/>
      <c r="K1355" s="116">
        <v>0</v>
      </c>
      <c r="M1355" s="136" t="e">
        <f ca="1">OFFSET(INDEX([1]Composições!I:R,MATCH([1]Orçamentária!I1355,[1]Composições!I:I,0),8),2,0)</f>
        <v>#REF!</v>
      </c>
      <c r="N1355" t="e">
        <v>#REF!</v>
      </c>
      <c r="Q1355" t="e">
        <v>#REF!</v>
      </c>
    </row>
    <row r="1356" spans="1:17" hidden="1" x14ac:dyDescent="0.25">
      <c r="A1356" s="114" t="s">
        <v>3269</v>
      </c>
      <c r="B1356" s="115" t="s">
        <v>3301</v>
      </c>
      <c r="C1356" s="116" t="s">
        <v>69</v>
      </c>
      <c r="D1356" s="116">
        <v>0</v>
      </c>
      <c r="E1356" s="136">
        <f ca="1">OFFSET(INDEX(Composições!A:J,MATCH(Orçamentária!A1356,Composições!A:A,0),8),2,0)</f>
        <v>0.1383732</v>
      </c>
      <c r="F1356" s="137">
        <f t="shared" ca="1" si="132"/>
        <v>0</v>
      </c>
      <c r="G1356" s="138" t="e">
        <f>IF(A1356&lt;&gt;"",IF(AND(#REF!="Padrão",$H$4=#REF!),BDI!$B$17,IF(AND(#REF!="Padrão",$H$4=#REF!),BDI!#REF!,IF(AND(#REF!="Diferenciado",$H$4=#REF!),BDI!$E$17,IF(AND(#REF!="Diferenciado",$H$4=#REF!),BDI!#REF!,IF(#REF!="ZERO",0))))),"")</f>
        <v>#REF!</v>
      </c>
      <c r="H1356" s="139" t="e">
        <f t="shared" ca="1" si="133"/>
        <v>#REF!</v>
      </c>
      <c r="I1356" s="137" t="e">
        <f t="shared" ca="1" si="134"/>
        <v>#REF!</v>
      </c>
      <c r="J1356" s="117"/>
      <c r="K1356" s="116">
        <v>0</v>
      </c>
      <c r="M1356" s="136" t="e">
        <f ca="1">OFFSET(INDEX([1]Composições!I:R,MATCH([1]Orçamentária!I1356,[1]Composições!I:I,0),8),2,0)</f>
        <v>#REF!</v>
      </c>
      <c r="N1356" t="e">
        <v>#REF!</v>
      </c>
      <c r="Q1356" t="e">
        <v>#REF!</v>
      </c>
    </row>
    <row r="1357" spans="1:17" hidden="1" x14ac:dyDescent="0.25">
      <c r="A1357" s="114" t="s">
        <v>3270</v>
      </c>
      <c r="B1357" s="115" t="s">
        <v>3302</v>
      </c>
      <c r="C1357" s="116" t="s">
        <v>16</v>
      </c>
      <c r="D1357" s="116">
        <v>0</v>
      </c>
      <c r="E1357" s="136">
        <f ca="1">OFFSET(INDEX(Composições!A:J,MATCH(Orçamentária!A1357,Composições!A:A,0),8),2,0)</f>
        <v>71.762469899999999</v>
      </c>
      <c r="F1357" s="137">
        <f t="shared" ca="1" si="132"/>
        <v>0</v>
      </c>
      <c r="G1357" s="138" t="e">
        <f>IF(A1357&lt;&gt;"",IF(AND(#REF!="Padrão",$H$4=#REF!),BDI!$B$17,IF(AND(#REF!="Padrão",$H$4=#REF!),BDI!#REF!,IF(AND(#REF!="Diferenciado",$H$4=#REF!),BDI!$E$17,IF(AND(#REF!="Diferenciado",$H$4=#REF!),BDI!#REF!,IF(#REF!="ZERO",0))))),"")</f>
        <v>#REF!</v>
      </c>
      <c r="H1357" s="139" t="e">
        <f t="shared" ca="1" si="133"/>
        <v>#REF!</v>
      </c>
      <c r="I1357" s="137" t="e">
        <f t="shared" ca="1" si="134"/>
        <v>#REF!</v>
      </c>
      <c r="J1357" s="117"/>
      <c r="K1357" s="116">
        <v>0</v>
      </c>
      <c r="M1357" s="136" t="e">
        <f ca="1">OFFSET(INDEX([1]Composições!I:R,MATCH([1]Orçamentária!I1357,[1]Composições!I:I,0),8),2,0)</f>
        <v>#REF!</v>
      </c>
      <c r="N1357" t="e">
        <v>#REF!</v>
      </c>
      <c r="Q1357" t="e">
        <v>#REF!</v>
      </c>
    </row>
    <row r="1358" spans="1:17" hidden="1" x14ac:dyDescent="0.25">
      <c r="A1358" s="114" t="s">
        <v>3271</v>
      </c>
      <c r="B1358" s="115" t="s">
        <v>5560</v>
      </c>
      <c r="C1358" s="116" t="s">
        <v>69</v>
      </c>
      <c r="D1358" s="116">
        <v>0</v>
      </c>
      <c r="E1358" s="136">
        <f ca="1">OFFSET(INDEX(Composições!A:J,MATCH(Orçamentária!A1358,Composições!A:A,0),8),2,0)</f>
        <v>6.3608580000000003</v>
      </c>
      <c r="F1358" s="137">
        <f t="shared" ca="1" si="132"/>
        <v>0</v>
      </c>
      <c r="G1358" s="138" t="e">
        <f>IF(A1358&lt;&gt;"",IF(AND(#REF!="Padrão",$H$4=#REF!),BDI!$B$17,IF(AND(#REF!="Padrão",$H$4=#REF!),BDI!#REF!,IF(AND(#REF!="Diferenciado",$H$4=#REF!),BDI!$E$17,IF(AND(#REF!="Diferenciado",$H$4=#REF!),BDI!#REF!,IF(#REF!="ZERO",0))))),"")</f>
        <v>#REF!</v>
      </c>
      <c r="H1358" s="139" t="e">
        <f t="shared" ca="1" si="133"/>
        <v>#REF!</v>
      </c>
      <c r="I1358" s="137" t="e">
        <f t="shared" ca="1" si="134"/>
        <v>#REF!</v>
      </c>
      <c r="J1358" s="117"/>
      <c r="K1358" s="116">
        <v>0</v>
      </c>
      <c r="M1358" s="136" t="e">
        <f ca="1">OFFSET(INDEX([1]Composições!I:R,MATCH([1]Orçamentária!I1358,[1]Composições!I:I,0),8),2,0)</f>
        <v>#REF!</v>
      </c>
      <c r="N1358" t="e">
        <v>#REF!</v>
      </c>
      <c r="Q1358" t="e">
        <v>#REF!</v>
      </c>
    </row>
    <row r="1359" spans="1:17" hidden="1" x14ac:dyDescent="0.25">
      <c r="A1359" s="114" t="s">
        <v>3272</v>
      </c>
      <c r="B1359" s="115" t="s">
        <v>5561</v>
      </c>
      <c r="C1359" s="116" t="s">
        <v>69</v>
      </c>
      <c r="D1359" s="116">
        <v>0</v>
      </c>
      <c r="E1359" s="136">
        <f ca="1">OFFSET(INDEX(Composições!A:J,MATCH(Orçamentária!A1359,Composições!A:A,0),8),2,0)</f>
        <v>13.032423</v>
      </c>
      <c r="F1359" s="137">
        <f t="shared" ca="1" si="132"/>
        <v>0</v>
      </c>
      <c r="G1359" s="138" t="e">
        <f>IF(A1359&lt;&gt;"",IF(AND(#REF!="Padrão",$H$4=#REF!),BDI!$B$17,IF(AND(#REF!="Padrão",$H$4=#REF!),BDI!#REF!,IF(AND(#REF!="Diferenciado",$H$4=#REF!),BDI!$E$17,IF(AND(#REF!="Diferenciado",$H$4=#REF!),BDI!#REF!,IF(#REF!="ZERO",0))))),"")</f>
        <v>#REF!</v>
      </c>
      <c r="H1359" s="139" t="e">
        <f t="shared" ca="1" si="133"/>
        <v>#REF!</v>
      </c>
      <c r="I1359" s="137" t="e">
        <f t="shared" ca="1" si="134"/>
        <v>#REF!</v>
      </c>
      <c r="J1359" s="117"/>
      <c r="K1359" s="116">
        <v>0</v>
      </c>
      <c r="M1359" s="136" t="e">
        <f ca="1">OFFSET(INDEX([1]Composições!I:R,MATCH([1]Orçamentária!I1359,[1]Composições!I:I,0),8),2,0)</f>
        <v>#REF!</v>
      </c>
      <c r="N1359" t="e">
        <v>#REF!</v>
      </c>
      <c r="Q1359" t="e">
        <v>#REF!</v>
      </c>
    </row>
    <row r="1360" spans="1:17" hidden="1" x14ac:dyDescent="0.25">
      <c r="A1360" s="114" t="s">
        <v>3273</v>
      </c>
      <c r="B1360" s="115" t="s">
        <v>3303</v>
      </c>
      <c r="C1360" s="116" t="s">
        <v>16</v>
      </c>
      <c r="D1360" s="116">
        <v>0</v>
      </c>
      <c r="E1360" s="136">
        <f ca="1">OFFSET(INDEX(Composições!A:J,MATCH(Orçamentária!A1360,Composições!A:A,0),8),2,0)</f>
        <v>123.54750000000001</v>
      </c>
      <c r="F1360" s="137">
        <f t="shared" ca="1" si="132"/>
        <v>0</v>
      </c>
      <c r="G1360" s="138" t="e">
        <f>IF(A1360&lt;&gt;"",IF(AND(#REF!="Padrão",$H$4=#REF!),BDI!$B$17,IF(AND(#REF!="Padrão",$H$4=#REF!),BDI!#REF!,IF(AND(#REF!="Diferenciado",$H$4=#REF!),BDI!$E$17,IF(AND(#REF!="Diferenciado",$H$4=#REF!),BDI!#REF!,IF(#REF!="ZERO",0))))),"")</f>
        <v>#REF!</v>
      </c>
      <c r="H1360" s="139" t="e">
        <f t="shared" ca="1" si="133"/>
        <v>#REF!</v>
      </c>
      <c r="I1360" s="137" t="e">
        <f t="shared" ca="1" si="134"/>
        <v>#REF!</v>
      </c>
      <c r="J1360" s="117"/>
      <c r="K1360" s="116">
        <v>0</v>
      </c>
      <c r="M1360" s="136" t="e">
        <f ca="1">OFFSET(INDEX([1]Composições!I:R,MATCH([1]Orçamentária!I1360,[1]Composições!I:I,0),8),2,0)</f>
        <v>#REF!</v>
      </c>
      <c r="N1360" t="e">
        <v>#REF!</v>
      </c>
      <c r="Q1360" t="e">
        <v>#REF!</v>
      </c>
    </row>
    <row r="1361" spans="1:17" hidden="1" x14ac:dyDescent="0.25">
      <c r="A1361" s="114" t="s">
        <v>3274</v>
      </c>
      <c r="B1361" s="115" t="s">
        <v>3304</v>
      </c>
      <c r="C1361" s="116" t="s">
        <v>69</v>
      </c>
      <c r="D1361" s="116">
        <v>0</v>
      </c>
      <c r="E1361" s="136">
        <f ca="1">OFFSET(INDEX(Composições!A:J,MATCH(Orçamentária!A1361,Composições!A:A,0),8),2,0)</f>
        <v>11.36637</v>
      </c>
      <c r="F1361" s="137">
        <f t="shared" ca="1" si="132"/>
        <v>0</v>
      </c>
      <c r="G1361" s="138" t="e">
        <f>IF(A1361&lt;&gt;"",IF(AND(#REF!="Padrão",$H$4=#REF!),BDI!$B$17,IF(AND(#REF!="Padrão",$H$4=#REF!),BDI!#REF!,IF(AND(#REF!="Diferenciado",$H$4=#REF!),BDI!$E$17,IF(AND(#REF!="Diferenciado",$H$4=#REF!),BDI!#REF!,IF(#REF!="ZERO",0))))),"")</f>
        <v>#REF!</v>
      </c>
      <c r="H1361" s="139" t="e">
        <f t="shared" ca="1" si="133"/>
        <v>#REF!</v>
      </c>
      <c r="I1361" s="137" t="e">
        <f t="shared" ca="1" si="134"/>
        <v>#REF!</v>
      </c>
      <c r="J1361" s="117"/>
      <c r="K1361" s="116">
        <v>0</v>
      </c>
      <c r="M1361" s="136" t="e">
        <f ca="1">OFFSET(INDEX([1]Composições!I:R,MATCH([1]Orçamentária!I1361,[1]Composições!I:I,0),8),2,0)</f>
        <v>#REF!</v>
      </c>
      <c r="N1361" t="e">
        <v>#REF!</v>
      </c>
      <c r="Q1361" t="e">
        <v>#REF!</v>
      </c>
    </row>
    <row r="1362" spans="1:17" hidden="1" x14ac:dyDescent="0.25">
      <c r="A1362" s="114" t="s">
        <v>3275</v>
      </c>
      <c r="B1362" s="115" t="s">
        <v>3305</v>
      </c>
      <c r="C1362" s="116" t="s">
        <v>16</v>
      </c>
      <c r="D1362" s="116">
        <v>0</v>
      </c>
      <c r="E1362" s="136" t="s">
        <v>416</v>
      </c>
      <c r="F1362" s="137" t="str">
        <f t="shared" si="132"/>
        <v/>
      </c>
      <c r="G1362" s="138" t="e">
        <f>IF(A1362&lt;&gt;"",IF(AND(#REF!="Padrão",$H$4=#REF!),BDI!$B$17,IF(AND(#REF!="Padrão",$H$4=#REF!),BDI!#REF!,IF(AND(#REF!="Diferenciado",$H$4=#REF!),BDI!$E$17,IF(AND(#REF!="Diferenciado",$H$4=#REF!),BDI!#REF!,IF(#REF!="ZERO",0))))),"")</f>
        <v>#REF!</v>
      </c>
      <c r="H1362" s="139" t="str">
        <f t="shared" si="133"/>
        <v/>
      </c>
      <c r="I1362" s="137" t="str">
        <f t="shared" si="134"/>
        <v/>
      </c>
      <c r="J1362" s="117"/>
      <c r="K1362" s="116">
        <v>0</v>
      </c>
      <c r="M1362" s="136" t="s">
        <v>416</v>
      </c>
      <c r="N1362" t="e">
        <v>#REF!</v>
      </c>
      <c r="Q1362" t="s">
        <v>416</v>
      </c>
    </row>
    <row r="1363" spans="1:17" hidden="1" x14ac:dyDescent="0.25">
      <c r="A1363" s="114" t="s">
        <v>3276</v>
      </c>
      <c r="B1363" s="115" t="s">
        <v>3306</v>
      </c>
      <c r="C1363" s="116" t="s">
        <v>16</v>
      </c>
      <c r="D1363" s="116">
        <v>0</v>
      </c>
      <c r="E1363" s="136">
        <f ca="1">OFFSET(INDEX(Composições!A:J,MATCH(Orçamentária!A1363,Composições!A:A,0),8),2,0)</f>
        <v>13.62285</v>
      </c>
      <c r="F1363" s="137">
        <f t="shared" ca="1" si="132"/>
        <v>0</v>
      </c>
      <c r="G1363" s="138" t="e">
        <f>IF(A1363&lt;&gt;"",IF(AND(#REF!="Padrão",$H$4=#REF!),BDI!$B$17,IF(AND(#REF!="Padrão",$H$4=#REF!),BDI!#REF!,IF(AND(#REF!="Diferenciado",$H$4=#REF!),BDI!$E$17,IF(AND(#REF!="Diferenciado",$H$4=#REF!),BDI!#REF!,IF(#REF!="ZERO",0))))),"")</f>
        <v>#REF!</v>
      </c>
      <c r="H1363" s="139" t="e">
        <f t="shared" ca="1" si="133"/>
        <v>#REF!</v>
      </c>
      <c r="I1363" s="137" t="e">
        <f t="shared" ca="1" si="134"/>
        <v>#REF!</v>
      </c>
      <c r="J1363" s="117"/>
      <c r="K1363" s="116">
        <v>0</v>
      </c>
      <c r="M1363" s="136" t="e">
        <f ca="1">OFFSET(INDEX([1]Composições!I:R,MATCH([1]Orçamentária!I1363,[1]Composições!I:I,0),8),2,0)</f>
        <v>#REF!</v>
      </c>
      <c r="N1363" t="e">
        <v>#REF!</v>
      </c>
      <c r="Q1363" t="e">
        <v>#REF!</v>
      </c>
    </row>
    <row r="1364" spans="1:17" hidden="1" x14ac:dyDescent="0.25">
      <c r="A1364" s="114" t="s">
        <v>3277</v>
      </c>
      <c r="B1364" s="115" t="s">
        <v>7729</v>
      </c>
      <c r="C1364" s="116" t="s">
        <v>69</v>
      </c>
      <c r="D1364" s="116">
        <v>0</v>
      </c>
      <c r="E1364" s="136">
        <f ca="1">OFFSET(INDEX(Composições!A:J,MATCH(Orçamentária!A1364,Composições!A:A,0),8),2,0)</f>
        <v>29.651400000000002</v>
      </c>
      <c r="F1364" s="137">
        <f t="shared" ca="1" si="132"/>
        <v>0</v>
      </c>
      <c r="G1364" s="138" t="e">
        <f>IF(A1364&lt;&gt;"",IF(AND(#REF!="Padrão",$H$4=#REF!),BDI!$B$17,IF(AND(#REF!="Padrão",$H$4=#REF!),BDI!#REF!,IF(AND(#REF!="Diferenciado",$H$4=#REF!),BDI!$E$17,IF(AND(#REF!="Diferenciado",$H$4=#REF!),BDI!#REF!,IF(#REF!="ZERO",0))))),"")</f>
        <v>#REF!</v>
      </c>
      <c r="H1364" s="139" t="e">
        <f t="shared" ca="1" si="133"/>
        <v>#REF!</v>
      </c>
      <c r="I1364" s="137" t="e">
        <f t="shared" ca="1" si="134"/>
        <v>#REF!</v>
      </c>
      <c r="J1364" s="117"/>
      <c r="K1364" s="116">
        <v>0</v>
      </c>
      <c r="M1364" s="136" t="e">
        <f ca="1">OFFSET(INDEX([1]Composições!I:R,MATCH([1]Orçamentária!I1364,[1]Composições!I:I,0),8),2,0)</f>
        <v>#REF!</v>
      </c>
      <c r="N1364" t="e">
        <v>#REF!</v>
      </c>
      <c r="Q1364" t="e">
        <v>#REF!</v>
      </c>
    </row>
    <row r="1365" spans="1:17" hidden="1" x14ac:dyDescent="0.25">
      <c r="A1365" s="114" t="s">
        <v>3278</v>
      </c>
      <c r="B1365" s="115" t="s">
        <v>7730</v>
      </c>
      <c r="C1365" s="116" t="s">
        <v>69</v>
      </c>
      <c r="D1365" s="116">
        <v>0</v>
      </c>
      <c r="E1365" s="136">
        <f ca="1">OFFSET(INDEX(Composições!A:J,MATCH(Orçamentária!A1365,Composições!A:A,0),8),2,0)</f>
        <v>34.593299999999999</v>
      </c>
      <c r="F1365" s="137">
        <f t="shared" ca="1" si="132"/>
        <v>0</v>
      </c>
      <c r="G1365" s="138" t="e">
        <f>IF(A1365&lt;&gt;"",IF(AND(#REF!="Padrão",$H$4=#REF!),BDI!$B$17,IF(AND(#REF!="Padrão",$H$4=#REF!),BDI!#REF!,IF(AND(#REF!="Diferenciado",$H$4=#REF!),BDI!$E$17,IF(AND(#REF!="Diferenciado",$H$4=#REF!),BDI!#REF!,IF(#REF!="ZERO",0))))),"")</f>
        <v>#REF!</v>
      </c>
      <c r="H1365" s="139" t="e">
        <f t="shared" ca="1" si="133"/>
        <v>#REF!</v>
      </c>
      <c r="I1365" s="137" t="e">
        <f t="shared" ca="1" si="134"/>
        <v>#REF!</v>
      </c>
      <c r="J1365" s="117"/>
      <c r="K1365" s="116">
        <v>0</v>
      </c>
      <c r="M1365" s="136" t="e">
        <f ca="1">OFFSET(INDEX([1]Composições!I:R,MATCH([1]Orçamentária!I1365,[1]Composições!I:I,0),8),2,0)</f>
        <v>#REF!</v>
      </c>
      <c r="N1365" t="e">
        <v>#REF!</v>
      </c>
      <c r="Q1365" t="e">
        <v>#REF!</v>
      </c>
    </row>
    <row r="1366" spans="1:17" hidden="1" x14ac:dyDescent="0.25">
      <c r="A1366" s="114" t="s">
        <v>3279</v>
      </c>
      <c r="B1366" s="115" t="s">
        <v>3307</v>
      </c>
      <c r="C1366" s="116" t="s">
        <v>16</v>
      </c>
      <c r="D1366" s="116">
        <v>0</v>
      </c>
      <c r="E1366" s="136">
        <f ca="1">OFFSET(INDEX(Composições!A:J,MATCH(Orçamentária!A1366,Composições!A:A,0),8),2,0)</f>
        <v>15.262380800000001</v>
      </c>
      <c r="F1366" s="137">
        <f t="shared" ca="1" si="132"/>
        <v>0</v>
      </c>
      <c r="G1366" s="138" t="e">
        <f>IF(A1366&lt;&gt;"",IF(AND(#REF!="Padrão",$H$4=#REF!),BDI!$B$17,IF(AND(#REF!="Padrão",$H$4=#REF!),BDI!#REF!,IF(AND(#REF!="Diferenciado",$H$4=#REF!),BDI!$E$17,IF(AND(#REF!="Diferenciado",$H$4=#REF!),BDI!#REF!,IF(#REF!="ZERO",0))))),"")</f>
        <v>#REF!</v>
      </c>
      <c r="H1366" s="139" t="e">
        <f t="shared" ca="1" si="133"/>
        <v>#REF!</v>
      </c>
      <c r="I1366" s="137" t="e">
        <f t="shared" ca="1" si="134"/>
        <v>#REF!</v>
      </c>
      <c r="J1366" s="117"/>
      <c r="K1366" s="116">
        <v>0</v>
      </c>
      <c r="M1366" s="136" t="e">
        <f ca="1">OFFSET(INDEX([1]Composições!I:R,MATCH([1]Orçamentária!I1366,[1]Composições!I:I,0),8),2,0)</f>
        <v>#REF!</v>
      </c>
      <c r="N1366" t="e">
        <v>#REF!</v>
      </c>
      <c r="Q1366" t="e">
        <v>#REF!</v>
      </c>
    </row>
    <row r="1367" spans="1:17" hidden="1" x14ac:dyDescent="0.25">
      <c r="A1367" s="114" t="s">
        <v>3280</v>
      </c>
      <c r="B1367" s="115" t="s">
        <v>7546</v>
      </c>
      <c r="C1367" s="116" t="s">
        <v>16</v>
      </c>
      <c r="D1367" s="116">
        <v>0</v>
      </c>
      <c r="E1367" s="136">
        <f ca="1">OFFSET(INDEX(Composições!A:J,MATCH(Orçamentária!A1367,Composições!A:A,0),8),2,0)</f>
        <v>444.71779810000004</v>
      </c>
      <c r="F1367" s="137">
        <f t="shared" ca="1" si="132"/>
        <v>0</v>
      </c>
      <c r="G1367" s="138" t="e">
        <f>IF(A1367&lt;&gt;"",IF(AND(#REF!="Padrão",$H$4=#REF!),BDI!$B$17,IF(AND(#REF!="Padrão",$H$4=#REF!),BDI!#REF!,IF(AND(#REF!="Diferenciado",$H$4=#REF!),BDI!$E$17,IF(AND(#REF!="Diferenciado",$H$4=#REF!),BDI!#REF!,IF(#REF!="ZERO",0))))),"")</f>
        <v>#REF!</v>
      </c>
      <c r="H1367" s="139" t="e">
        <f t="shared" ca="1" si="133"/>
        <v>#REF!</v>
      </c>
      <c r="I1367" s="137" t="e">
        <f t="shared" ca="1" si="134"/>
        <v>#REF!</v>
      </c>
      <c r="J1367" s="117"/>
      <c r="K1367" s="116">
        <v>0</v>
      </c>
      <c r="M1367" s="136" t="e">
        <f ca="1">OFFSET(INDEX([1]Composições!I:R,MATCH([1]Orçamentária!I1367,[1]Composições!I:I,0),8),2,0)</f>
        <v>#REF!</v>
      </c>
      <c r="N1367" t="e">
        <v>#REF!</v>
      </c>
      <c r="Q1367" t="e">
        <v>#REF!</v>
      </c>
    </row>
    <row r="1368" spans="1:17" hidden="1" x14ac:dyDescent="0.25">
      <c r="A1368" s="114" t="s">
        <v>3281</v>
      </c>
      <c r="B1368" s="115" t="s">
        <v>7547</v>
      </c>
      <c r="C1368" s="116" t="s">
        <v>16</v>
      </c>
      <c r="D1368" s="116">
        <v>0</v>
      </c>
      <c r="E1368" s="136">
        <f ca="1">OFFSET(INDEX(Composições!A:J,MATCH(Orçamentária!A1368,Composições!A:A,0),8),2,0)</f>
        <v>569.48129809999989</v>
      </c>
      <c r="F1368" s="137">
        <f t="shared" ca="1" si="132"/>
        <v>0</v>
      </c>
      <c r="G1368" s="138" t="e">
        <f>IF(A1368&lt;&gt;"",IF(AND(#REF!="Padrão",$H$4=#REF!),BDI!$B$17,IF(AND(#REF!="Padrão",$H$4=#REF!),BDI!#REF!,IF(AND(#REF!="Diferenciado",$H$4=#REF!),BDI!$E$17,IF(AND(#REF!="Diferenciado",$H$4=#REF!),BDI!#REF!,IF(#REF!="ZERO",0))))),"")</f>
        <v>#REF!</v>
      </c>
      <c r="H1368" s="139" t="e">
        <f t="shared" ca="1" si="133"/>
        <v>#REF!</v>
      </c>
      <c r="I1368" s="137" t="e">
        <f t="shared" ca="1" si="134"/>
        <v>#REF!</v>
      </c>
      <c r="J1368" s="117"/>
      <c r="K1368" s="116">
        <v>0</v>
      </c>
      <c r="M1368" s="136" t="e">
        <f ca="1">OFFSET(INDEX([1]Composições!I:R,MATCH([1]Orçamentária!I1368,[1]Composições!I:I,0),8),2,0)</f>
        <v>#REF!</v>
      </c>
      <c r="N1368" t="e">
        <v>#REF!</v>
      </c>
      <c r="Q1368" t="e">
        <v>#REF!</v>
      </c>
    </row>
    <row r="1369" spans="1:17" hidden="1" x14ac:dyDescent="0.25">
      <c r="A1369" s="114" t="s">
        <v>3282</v>
      </c>
      <c r="B1369" s="115" t="s">
        <v>3310</v>
      </c>
      <c r="C1369" s="116" t="s">
        <v>16</v>
      </c>
      <c r="D1369" s="116">
        <v>0</v>
      </c>
      <c r="E1369" s="136" t="s">
        <v>416</v>
      </c>
      <c r="F1369" s="137" t="str">
        <f t="shared" si="132"/>
        <v/>
      </c>
      <c r="G1369" s="138" t="e">
        <f>IF(A1369&lt;&gt;"",IF(AND(#REF!="Padrão",$H$4=#REF!),BDI!$B$17,IF(AND(#REF!="Padrão",$H$4=#REF!),BDI!#REF!,IF(AND(#REF!="Diferenciado",$H$4=#REF!),BDI!$E$17,IF(AND(#REF!="Diferenciado",$H$4=#REF!),BDI!#REF!,IF(#REF!="ZERO",0))))),"")</f>
        <v>#REF!</v>
      </c>
      <c r="H1369" s="139" t="str">
        <f t="shared" si="133"/>
        <v/>
      </c>
      <c r="I1369" s="137" t="str">
        <f t="shared" si="134"/>
        <v/>
      </c>
      <c r="J1369" s="117"/>
      <c r="K1369" s="116">
        <v>0</v>
      </c>
      <c r="M1369" s="136" t="s">
        <v>416</v>
      </c>
      <c r="N1369" t="e">
        <v>#REF!</v>
      </c>
      <c r="Q1369" t="s">
        <v>416</v>
      </c>
    </row>
    <row r="1370" spans="1:17" hidden="1" x14ac:dyDescent="0.25">
      <c r="A1370" s="114" t="s">
        <v>3283</v>
      </c>
      <c r="B1370" s="115" t="s">
        <v>3311</v>
      </c>
      <c r="C1370" s="116" t="s">
        <v>16</v>
      </c>
      <c r="D1370" s="116">
        <v>0</v>
      </c>
      <c r="E1370" s="136" t="s">
        <v>416</v>
      </c>
      <c r="F1370" s="137" t="str">
        <f t="shared" si="132"/>
        <v/>
      </c>
      <c r="G1370" s="138" t="e">
        <f>IF(A1370&lt;&gt;"",IF(AND(#REF!="Padrão",$H$4=#REF!),BDI!$B$17,IF(AND(#REF!="Padrão",$H$4=#REF!),BDI!#REF!,IF(AND(#REF!="Diferenciado",$H$4=#REF!),BDI!$E$17,IF(AND(#REF!="Diferenciado",$H$4=#REF!),BDI!#REF!,IF(#REF!="ZERO",0))))),"")</f>
        <v>#REF!</v>
      </c>
      <c r="H1370" s="139" t="str">
        <f t="shared" si="133"/>
        <v/>
      </c>
      <c r="I1370" s="137" t="str">
        <f t="shared" si="134"/>
        <v/>
      </c>
      <c r="J1370" s="117"/>
      <c r="K1370" s="116">
        <v>0</v>
      </c>
      <c r="M1370" s="136" t="s">
        <v>416</v>
      </c>
      <c r="N1370" t="e">
        <v>#REF!</v>
      </c>
      <c r="Q1370" t="s">
        <v>416</v>
      </c>
    </row>
    <row r="1371" spans="1:17" hidden="1" x14ac:dyDescent="0.25">
      <c r="A1371" s="114" t="s">
        <v>3284</v>
      </c>
      <c r="B1371" s="115" t="s">
        <v>3312</v>
      </c>
      <c r="C1371" s="116" t="s">
        <v>16</v>
      </c>
      <c r="D1371" s="116">
        <v>0</v>
      </c>
      <c r="E1371" s="136" t="s">
        <v>416</v>
      </c>
      <c r="F1371" s="137" t="str">
        <f t="shared" si="132"/>
        <v/>
      </c>
      <c r="G1371" s="138" t="e">
        <f>IF(A1371&lt;&gt;"",IF(AND(#REF!="Padrão",$H$4=#REF!),BDI!$B$17,IF(AND(#REF!="Padrão",$H$4=#REF!),BDI!#REF!,IF(AND(#REF!="Diferenciado",$H$4=#REF!),BDI!$E$17,IF(AND(#REF!="Diferenciado",$H$4=#REF!),BDI!#REF!,IF(#REF!="ZERO",0))))),"")</f>
        <v>#REF!</v>
      </c>
      <c r="H1371" s="139" t="str">
        <f t="shared" si="133"/>
        <v/>
      </c>
      <c r="I1371" s="137" t="str">
        <f t="shared" si="134"/>
        <v/>
      </c>
      <c r="J1371" s="117"/>
      <c r="K1371" s="116">
        <v>0</v>
      </c>
      <c r="M1371" s="136" t="s">
        <v>416</v>
      </c>
      <c r="N1371" t="e">
        <v>#REF!</v>
      </c>
      <c r="Q1371" t="s">
        <v>416</v>
      </c>
    </row>
    <row r="1372" spans="1:17" hidden="1" x14ac:dyDescent="0.25">
      <c r="A1372" s="114" t="s">
        <v>3285</v>
      </c>
      <c r="B1372" s="115" t="s">
        <v>3313</v>
      </c>
      <c r="C1372" s="116" t="s">
        <v>16</v>
      </c>
      <c r="D1372" s="116">
        <v>0</v>
      </c>
      <c r="E1372" s="136" t="s">
        <v>416</v>
      </c>
      <c r="F1372" s="137" t="str">
        <f t="shared" si="132"/>
        <v/>
      </c>
      <c r="G1372" s="138" t="e">
        <f>IF(A1372&lt;&gt;"",IF(AND(#REF!="Padrão",$H$4=#REF!),BDI!$B$17,IF(AND(#REF!="Padrão",$H$4=#REF!),BDI!#REF!,IF(AND(#REF!="Diferenciado",$H$4=#REF!),BDI!$E$17,IF(AND(#REF!="Diferenciado",$H$4=#REF!),BDI!#REF!,IF(#REF!="ZERO",0))))),"")</f>
        <v>#REF!</v>
      </c>
      <c r="H1372" s="139" t="str">
        <f t="shared" si="133"/>
        <v/>
      </c>
      <c r="I1372" s="137" t="str">
        <f t="shared" si="134"/>
        <v/>
      </c>
      <c r="J1372" s="117"/>
      <c r="K1372" s="116">
        <v>0</v>
      </c>
      <c r="M1372" s="136" t="s">
        <v>416</v>
      </c>
      <c r="N1372" t="e">
        <v>#REF!</v>
      </c>
      <c r="Q1372" t="s">
        <v>416</v>
      </c>
    </row>
    <row r="1373" spans="1:17" hidden="1" x14ac:dyDescent="0.25">
      <c r="A1373" s="114" t="s">
        <v>3286</v>
      </c>
      <c r="B1373" s="115" t="s">
        <v>3314</v>
      </c>
      <c r="C1373" s="116" t="s">
        <v>16</v>
      </c>
      <c r="D1373" s="116">
        <v>0</v>
      </c>
      <c r="E1373" s="136" t="s">
        <v>416</v>
      </c>
      <c r="F1373" s="137" t="str">
        <f t="shared" si="132"/>
        <v/>
      </c>
      <c r="G1373" s="138" t="e">
        <f>IF(A1373&lt;&gt;"",IF(AND(#REF!="Padrão",$H$4=#REF!),BDI!$B$17,IF(AND(#REF!="Padrão",$H$4=#REF!),BDI!#REF!,IF(AND(#REF!="Diferenciado",$H$4=#REF!),BDI!$E$17,IF(AND(#REF!="Diferenciado",$H$4=#REF!),BDI!#REF!,IF(#REF!="ZERO",0))))),"")</f>
        <v>#REF!</v>
      </c>
      <c r="H1373" s="139" t="str">
        <f t="shared" si="133"/>
        <v/>
      </c>
      <c r="I1373" s="137" t="str">
        <f t="shared" si="134"/>
        <v/>
      </c>
      <c r="J1373" s="117"/>
      <c r="K1373" s="116">
        <v>0</v>
      </c>
      <c r="M1373" s="136" t="s">
        <v>416</v>
      </c>
      <c r="N1373" t="e">
        <v>#REF!</v>
      </c>
      <c r="Q1373" t="s">
        <v>416</v>
      </c>
    </row>
    <row r="1374" spans="1:17" hidden="1" x14ac:dyDescent="0.25">
      <c r="A1374" s="114" t="s">
        <v>3287</v>
      </c>
      <c r="B1374" s="115" t="s">
        <v>3315</v>
      </c>
      <c r="C1374" s="116" t="s">
        <v>16</v>
      </c>
      <c r="D1374" s="116">
        <v>0</v>
      </c>
      <c r="E1374" s="136">
        <f ca="1">OFFSET(INDEX(Composições!A:J,MATCH(Orçamentária!A1374,Composições!A:A,0),8),2,0)</f>
        <v>1984.6974399999999</v>
      </c>
      <c r="F1374" s="137">
        <f t="shared" ca="1" si="132"/>
        <v>0</v>
      </c>
      <c r="G1374" s="138" t="e">
        <f>IF(A1374&lt;&gt;"",IF(AND(#REF!="Padrão",$H$4=#REF!),BDI!$B$17,IF(AND(#REF!="Padrão",$H$4=#REF!),BDI!#REF!,IF(AND(#REF!="Diferenciado",$H$4=#REF!),BDI!$E$17,IF(AND(#REF!="Diferenciado",$H$4=#REF!),BDI!#REF!,IF(#REF!="ZERO",0))))),"")</f>
        <v>#REF!</v>
      </c>
      <c r="H1374" s="139" t="e">
        <f t="shared" ca="1" si="133"/>
        <v>#REF!</v>
      </c>
      <c r="I1374" s="137" t="e">
        <f t="shared" ca="1" si="134"/>
        <v>#REF!</v>
      </c>
      <c r="J1374" s="117"/>
      <c r="K1374" s="116">
        <v>0</v>
      </c>
      <c r="M1374" s="136" t="e">
        <f ca="1">OFFSET(INDEX([1]Composições!I:R,MATCH([1]Orçamentária!I1374,[1]Composições!I:I,0),8),2,0)</f>
        <v>#REF!</v>
      </c>
      <c r="N1374" t="e">
        <v>#REF!</v>
      </c>
      <c r="Q1374" t="e">
        <v>#REF!</v>
      </c>
    </row>
    <row r="1375" spans="1:17" hidden="1" x14ac:dyDescent="0.25">
      <c r="A1375" s="114" t="s">
        <v>3288</v>
      </c>
      <c r="B1375" s="115" t="s">
        <v>7731</v>
      </c>
      <c r="C1375" s="116" t="s">
        <v>16</v>
      </c>
      <c r="D1375" s="116">
        <v>0</v>
      </c>
      <c r="E1375" s="136">
        <f ca="1">OFFSET(INDEX(Composições!A:J,MATCH(Orçamentária!A1375,Composições!A:A,0),8),2,0)</f>
        <v>268.03917371116376</v>
      </c>
      <c r="F1375" s="137">
        <f t="shared" ca="1" si="132"/>
        <v>0</v>
      </c>
      <c r="G1375" s="138" t="e">
        <f>IF(A1375&lt;&gt;"",IF(AND(#REF!="Padrão",$H$4=#REF!),BDI!$B$17,IF(AND(#REF!="Padrão",$H$4=#REF!),BDI!#REF!,IF(AND(#REF!="Diferenciado",$H$4=#REF!),BDI!$E$17,IF(AND(#REF!="Diferenciado",$H$4=#REF!),BDI!#REF!,IF(#REF!="ZERO",0))))),"")</f>
        <v>#REF!</v>
      </c>
      <c r="H1375" s="139" t="e">
        <f t="shared" ca="1" si="133"/>
        <v>#REF!</v>
      </c>
      <c r="I1375" s="137" t="e">
        <f t="shared" ca="1" si="134"/>
        <v>#REF!</v>
      </c>
      <c r="J1375" s="117"/>
      <c r="K1375" s="116">
        <v>0</v>
      </c>
      <c r="M1375" s="136" t="e">
        <f ca="1">OFFSET(INDEX([1]Composições!I:R,MATCH([1]Orçamentária!I1375,[1]Composições!I:I,0),8),2,0)</f>
        <v>#REF!</v>
      </c>
      <c r="N1375" t="e">
        <v>#REF!</v>
      </c>
      <c r="Q1375" t="e">
        <v>#REF!</v>
      </c>
    </row>
    <row r="1376" spans="1:17" hidden="1" x14ac:dyDescent="0.25">
      <c r="A1376" s="114" t="s">
        <v>3289</v>
      </c>
      <c r="B1376" s="115" t="s">
        <v>3316</v>
      </c>
      <c r="C1376" s="116" t="s">
        <v>16</v>
      </c>
      <c r="D1376" s="116">
        <v>0</v>
      </c>
      <c r="E1376" s="136" t="s">
        <v>416</v>
      </c>
      <c r="F1376" s="137" t="str">
        <f t="shared" si="132"/>
        <v/>
      </c>
      <c r="G1376" s="138" t="e">
        <f>IF(A1376&lt;&gt;"",IF(AND(#REF!="Padrão",$H$4=#REF!),BDI!$B$17,IF(AND(#REF!="Padrão",$H$4=#REF!),BDI!#REF!,IF(AND(#REF!="Diferenciado",$H$4=#REF!),BDI!$E$17,IF(AND(#REF!="Diferenciado",$H$4=#REF!),BDI!#REF!,IF(#REF!="ZERO",0))))),"")</f>
        <v>#REF!</v>
      </c>
      <c r="H1376" s="139" t="str">
        <f t="shared" si="133"/>
        <v/>
      </c>
      <c r="I1376" s="137" t="str">
        <f t="shared" si="134"/>
        <v/>
      </c>
      <c r="J1376" s="117"/>
      <c r="K1376" s="116">
        <v>0</v>
      </c>
      <c r="M1376" s="136" t="s">
        <v>416</v>
      </c>
      <c r="N1376" t="e">
        <v>#REF!</v>
      </c>
      <c r="Q1376" t="s">
        <v>416</v>
      </c>
    </row>
    <row r="1377" spans="1:19" hidden="1" x14ac:dyDescent="0.25">
      <c r="A1377" s="114" t="s">
        <v>3290</v>
      </c>
      <c r="B1377" s="115" t="s">
        <v>3317</v>
      </c>
      <c r="C1377" s="116" t="s">
        <v>16</v>
      </c>
      <c r="D1377" s="116">
        <v>0</v>
      </c>
      <c r="E1377" s="136" t="s">
        <v>416</v>
      </c>
      <c r="F1377" s="137" t="str">
        <f t="shared" si="132"/>
        <v/>
      </c>
      <c r="G1377" s="138" t="e">
        <f>IF(A1377&lt;&gt;"",IF(AND(#REF!="Padrão",$H$4=#REF!),BDI!$B$17,IF(AND(#REF!="Padrão",$H$4=#REF!),BDI!#REF!,IF(AND(#REF!="Diferenciado",$H$4=#REF!),BDI!$E$17,IF(AND(#REF!="Diferenciado",$H$4=#REF!),BDI!#REF!,IF(#REF!="ZERO",0))))),"")</f>
        <v>#REF!</v>
      </c>
      <c r="H1377" s="139" t="str">
        <f t="shared" si="133"/>
        <v/>
      </c>
      <c r="I1377" s="137" t="str">
        <f t="shared" si="134"/>
        <v/>
      </c>
      <c r="J1377" s="117"/>
      <c r="K1377" s="116">
        <v>0</v>
      </c>
      <c r="M1377" s="136" t="s">
        <v>416</v>
      </c>
      <c r="N1377" t="e">
        <v>#REF!</v>
      </c>
      <c r="Q1377" t="s">
        <v>416</v>
      </c>
    </row>
    <row r="1378" spans="1:19" x14ac:dyDescent="0.25">
      <c r="A1378" s="172" t="s">
        <v>3291</v>
      </c>
      <c r="B1378" s="173" t="s">
        <v>7732</v>
      </c>
      <c r="C1378" s="174" t="s">
        <v>16</v>
      </c>
      <c r="D1378" s="174">
        <v>2</v>
      </c>
      <c r="E1378" s="136">
        <f ca="1">OFFSET(INDEX(Composições!A:J,MATCH(Orçamentária!A1378,Composições!A:A,0),8),2,0)</f>
        <v>713.57941617594531</v>
      </c>
      <c r="F1378" s="137">
        <f t="shared" ca="1" si="132"/>
        <v>1427.1588323518906</v>
      </c>
      <c r="G1378" s="138">
        <f>BDI!$B$17</f>
        <v>0.191</v>
      </c>
      <c r="H1378" s="139">
        <f t="shared" ca="1" si="133"/>
        <v>849.87</v>
      </c>
      <c r="I1378" s="137">
        <f t="shared" ca="1" si="134"/>
        <v>1699.74</v>
      </c>
      <c r="J1378" s="117"/>
      <c r="K1378" s="253">
        <v>2</v>
      </c>
      <c r="L1378" s="236" t="str">
        <f>IF(D1378&lt;&gt;K1378,"ERRO","-")</f>
        <v>-</v>
      </c>
      <c r="M1378" s="136">
        <f ca="1">OFFSET(INDEX(Composições!A:S,MATCH(A1378,Composições!A:A,0),15),2,0)</f>
        <v>610.82398024660927</v>
      </c>
      <c r="N1378" s="237">
        <v>0.191</v>
      </c>
      <c r="O1378" s="236">
        <f ca="1">ROUND(M1378*(1+N1378),2)</f>
        <v>727.49</v>
      </c>
      <c r="P1378" s="238">
        <f ca="1">ROUND(K1378*O1378,2)</f>
        <v>1454.98</v>
      </c>
      <c r="Q1378" s="236">
        <v>1454.98</v>
      </c>
      <c r="R1378" s="236">
        <f ca="1">P1378-Q1378</f>
        <v>0</v>
      </c>
      <c r="S1378" s="239">
        <f ca="1">IF(ISNUMBER(O1378),1-P1378/$I1378,"")</f>
        <v>0.14399849388730035</v>
      </c>
    </row>
    <row r="1379" spans="1:19" hidden="1" x14ac:dyDescent="0.25">
      <c r="A1379" s="114" t="s">
        <v>3292</v>
      </c>
      <c r="B1379" s="115" t="s">
        <v>3318</v>
      </c>
      <c r="C1379" s="116" t="s">
        <v>16</v>
      </c>
      <c r="D1379" s="116">
        <v>0</v>
      </c>
      <c r="E1379" s="136" t="s">
        <v>416</v>
      </c>
      <c r="F1379" s="137" t="str">
        <f t="shared" si="132"/>
        <v/>
      </c>
      <c r="G1379" s="138" t="e">
        <f>IF(A1379&lt;&gt;"",IF(AND(#REF!="Padrão",$H$4=#REF!),BDI!$B$17,IF(AND(#REF!="Padrão",$H$4=#REF!),BDI!#REF!,IF(AND(#REF!="Diferenciado",$H$4=#REF!),BDI!$E$17,IF(AND(#REF!="Diferenciado",$H$4=#REF!),BDI!#REF!,IF(#REF!="ZERO",0))))),"")</f>
        <v>#REF!</v>
      </c>
      <c r="H1379" s="139" t="str">
        <f t="shared" si="133"/>
        <v/>
      </c>
      <c r="I1379" s="137" t="str">
        <f t="shared" si="134"/>
        <v/>
      </c>
      <c r="J1379" s="117"/>
      <c r="K1379" s="116">
        <v>0</v>
      </c>
      <c r="M1379" s="136" t="s">
        <v>416</v>
      </c>
      <c r="N1379" t="e">
        <v>#REF!</v>
      </c>
      <c r="Q1379" t="s">
        <v>416</v>
      </c>
    </row>
    <row r="1380" spans="1:19" hidden="1" x14ac:dyDescent="0.25">
      <c r="A1380" s="114" t="s">
        <v>3293</v>
      </c>
      <c r="B1380" s="115" t="s">
        <v>7733</v>
      </c>
      <c r="C1380" s="116" t="s">
        <v>16</v>
      </c>
      <c r="D1380" s="116">
        <v>0</v>
      </c>
      <c r="E1380" s="136">
        <f ca="1">OFFSET(INDEX(Composições!A:J,MATCH(Orçamentária!A1380,Composições!A:A,0),8),2,0)</f>
        <v>24.709499999999998</v>
      </c>
      <c r="F1380" s="137">
        <f t="shared" ca="1" si="132"/>
        <v>0</v>
      </c>
      <c r="G1380" s="138" t="e">
        <f>IF(A1380&lt;&gt;"",IF(AND(#REF!="Padrão",$H$4=#REF!),BDI!$B$17,IF(AND(#REF!="Padrão",$H$4=#REF!),BDI!#REF!,IF(AND(#REF!="Diferenciado",$H$4=#REF!),BDI!$E$17,IF(AND(#REF!="Diferenciado",$H$4=#REF!),BDI!#REF!,IF(#REF!="ZERO",0))))),"")</f>
        <v>#REF!</v>
      </c>
      <c r="H1380" s="139" t="e">
        <f t="shared" ca="1" si="133"/>
        <v>#REF!</v>
      </c>
      <c r="I1380" s="137" t="e">
        <f t="shared" ca="1" si="134"/>
        <v>#REF!</v>
      </c>
      <c r="J1380" s="117"/>
      <c r="K1380" s="116">
        <v>0</v>
      </c>
      <c r="M1380" s="136" t="e">
        <f ca="1">OFFSET(INDEX([1]Composições!I:R,MATCH([1]Orçamentária!I1380,[1]Composições!I:I,0),8),2,0)</f>
        <v>#REF!</v>
      </c>
      <c r="N1380" t="e">
        <v>#REF!</v>
      </c>
      <c r="Q1380" t="e">
        <v>#REF!</v>
      </c>
    </row>
    <row r="1381" spans="1:19" hidden="1" x14ac:dyDescent="0.25">
      <c r="A1381" s="114" t="s">
        <v>3294</v>
      </c>
      <c r="B1381" s="115" t="s">
        <v>7734</v>
      </c>
      <c r="C1381" s="116" t="s">
        <v>16</v>
      </c>
      <c r="D1381" s="116">
        <v>0</v>
      </c>
      <c r="E1381" s="136">
        <f ca="1">OFFSET(INDEX(Composições!A:J,MATCH(Orçamentária!A1381,Composições!A:A,0),8),2,0)</f>
        <v>24.709499999999998</v>
      </c>
      <c r="F1381" s="137">
        <f t="shared" ca="1" si="132"/>
        <v>0</v>
      </c>
      <c r="G1381" s="138" t="e">
        <f>IF(A1381&lt;&gt;"",IF(AND(#REF!="Padrão",$H$4=#REF!),BDI!$B$17,IF(AND(#REF!="Padrão",$H$4=#REF!),BDI!#REF!,IF(AND(#REF!="Diferenciado",$H$4=#REF!),BDI!$E$17,IF(AND(#REF!="Diferenciado",$H$4=#REF!),BDI!#REF!,IF(#REF!="ZERO",0))))),"")</f>
        <v>#REF!</v>
      </c>
      <c r="H1381" s="139" t="e">
        <f t="shared" ca="1" si="133"/>
        <v>#REF!</v>
      </c>
      <c r="I1381" s="137" t="e">
        <f t="shared" ca="1" si="134"/>
        <v>#REF!</v>
      </c>
      <c r="J1381" s="117"/>
      <c r="K1381" s="116">
        <v>0</v>
      </c>
      <c r="M1381" s="136" t="e">
        <f ca="1">OFFSET(INDEX([1]Composições!I:R,MATCH([1]Orçamentária!I1381,[1]Composições!I:I,0),8),2,0)</f>
        <v>#REF!</v>
      </c>
      <c r="N1381" t="e">
        <v>#REF!</v>
      </c>
      <c r="Q1381" t="e">
        <v>#REF!</v>
      </c>
    </row>
    <row r="1382" spans="1:19" hidden="1" x14ac:dyDescent="0.25">
      <c r="A1382" s="114" t="s">
        <v>3295</v>
      </c>
      <c r="B1382" s="115" t="s">
        <v>3319</v>
      </c>
      <c r="C1382" s="116" t="s">
        <v>16</v>
      </c>
      <c r="D1382" s="116">
        <v>0</v>
      </c>
      <c r="E1382" s="136">
        <f ca="1">OFFSET(INDEX(Composições!A:J,MATCH(Orçamentária!A1382,Composições!A:A,0),8),2,0)</f>
        <v>21.431052000000001</v>
      </c>
      <c r="F1382" s="137">
        <f t="shared" ca="1" si="132"/>
        <v>0</v>
      </c>
      <c r="G1382" s="138" t="e">
        <f>IF(A1382&lt;&gt;"",IF(AND(#REF!="Padrão",$H$4=#REF!),BDI!$B$17,IF(AND(#REF!="Padrão",$H$4=#REF!),BDI!#REF!,IF(AND(#REF!="Diferenciado",$H$4=#REF!),BDI!$E$17,IF(AND(#REF!="Diferenciado",$H$4=#REF!),BDI!#REF!,IF(#REF!="ZERO",0))))),"")</f>
        <v>#REF!</v>
      </c>
      <c r="H1382" s="139" t="e">
        <f t="shared" ca="1" si="133"/>
        <v>#REF!</v>
      </c>
      <c r="I1382" s="137" t="e">
        <f t="shared" ca="1" si="134"/>
        <v>#REF!</v>
      </c>
      <c r="J1382" s="117"/>
      <c r="K1382" s="116">
        <v>0</v>
      </c>
      <c r="M1382" s="136" t="e">
        <f ca="1">OFFSET(INDEX([1]Composições!I:R,MATCH([1]Orçamentária!I1382,[1]Composições!I:I,0),8),2,0)</f>
        <v>#REF!</v>
      </c>
      <c r="N1382" t="e">
        <v>#REF!</v>
      </c>
      <c r="Q1382" t="e">
        <v>#REF!</v>
      </c>
    </row>
    <row r="1383" spans="1:19" hidden="1" x14ac:dyDescent="0.25">
      <c r="A1383" s="114" t="s">
        <v>3296</v>
      </c>
      <c r="B1383" s="115" t="s">
        <v>3320</v>
      </c>
      <c r="C1383" s="116" t="s">
        <v>16</v>
      </c>
      <c r="D1383" s="116">
        <v>0</v>
      </c>
      <c r="E1383" s="136" t="s">
        <v>416</v>
      </c>
      <c r="F1383" s="137" t="str">
        <f t="shared" si="132"/>
        <v/>
      </c>
      <c r="G1383" s="138" t="e">
        <f>IF(A1383&lt;&gt;"",IF(AND(#REF!="Padrão",$H$4=#REF!),BDI!$B$17,IF(AND(#REF!="Padrão",$H$4=#REF!),BDI!#REF!,IF(AND(#REF!="Diferenciado",$H$4=#REF!),BDI!$E$17,IF(AND(#REF!="Diferenciado",$H$4=#REF!),BDI!#REF!,IF(#REF!="ZERO",0))))),"")</f>
        <v>#REF!</v>
      </c>
      <c r="H1383" s="139" t="str">
        <f t="shared" si="133"/>
        <v/>
      </c>
      <c r="I1383" s="137" t="str">
        <f t="shared" si="134"/>
        <v/>
      </c>
      <c r="J1383" s="117"/>
      <c r="K1383" s="116">
        <v>0</v>
      </c>
      <c r="M1383" s="136" t="s">
        <v>416</v>
      </c>
      <c r="N1383" t="e">
        <v>#REF!</v>
      </c>
      <c r="Q1383" t="s">
        <v>416</v>
      </c>
    </row>
    <row r="1384" spans="1:19" hidden="1" x14ac:dyDescent="0.25">
      <c r="A1384" s="114" t="s">
        <v>3250</v>
      </c>
      <c r="B1384" s="115" t="s">
        <v>3251</v>
      </c>
      <c r="C1384" s="116" t="s">
        <v>16</v>
      </c>
      <c r="D1384" s="116">
        <v>0</v>
      </c>
      <c r="E1384" s="136" t="s">
        <v>416</v>
      </c>
      <c r="F1384" s="137" t="str">
        <f>IF(ISNUMBER(E1384),D1384*E1384,"")</f>
        <v/>
      </c>
      <c r="G1384" s="138" t="e">
        <f>IF(A1384&lt;&gt;"",IF(AND(#REF!="Padrão",$H$4=#REF!),BDI!$B$17,IF(AND(#REF!="Padrão",$H$4=#REF!),BDI!#REF!,IF(AND(#REF!="Diferenciado",$H$4=#REF!),BDI!$E$17,IF(AND(#REF!="Diferenciado",$H$4=#REF!),BDI!#REF!,IF(#REF!="ZERO",0))))),"")</f>
        <v>#REF!</v>
      </c>
      <c r="H1384" s="139" t="str">
        <f>IF(ISNUMBER(E1384),ROUND(E1384*(1+G1384),2),"")</f>
        <v/>
      </c>
      <c r="I1384" s="137" t="str">
        <f>IF(ISNUMBER(E1384),ROUND(H1384*D1384,2),"")</f>
        <v/>
      </c>
      <c r="J1384" s="117"/>
      <c r="K1384" s="116">
        <v>0</v>
      </c>
      <c r="M1384" s="136" t="s">
        <v>416</v>
      </c>
      <c r="N1384" t="e">
        <v>#REF!</v>
      </c>
      <c r="Q1384" t="s">
        <v>416</v>
      </c>
    </row>
    <row r="1385" spans="1:19" hidden="1" x14ac:dyDescent="0.25">
      <c r="A1385" s="114" t="s">
        <v>3248</v>
      </c>
      <c r="B1385" s="115" t="s">
        <v>3249</v>
      </c>
      <c r="C1385" s="116" t="s">
        <v>4170</v>
      </c>
      <c r="D1385" s="116">
        <v>0</v>
      </c>
      <c r="E1385" s="136" t="s">
        <v>416</v>
      </c>
      <c r="F1385" s="137" t="str">
        <f>IF(ISNUMBER(E1385),D1385*E1385,"")</f>
        <v/>
      </c>
      <c r="G1385" s="138" t="e">
        <f>IF(A1385&lt;&gt;"",IF(AND(#REF!="Padrão",$H$4=#REF!),BDI!$B$17,IF(AND(#REF!="Padrão",$H$4=#REF!),BDI!#REF!,IF(AND(#REF!="Diferenciado",$H$4=#REF!),BDI!$E$17,IF(AND(#REF!="Diferenciado",$H$4=#REF!),BDI!#REF!,IF(#REF!="ZERO",0))))),"")</f>
        <v>#REF!</v>
      </c>
      <c r="H1385" s="139" t="str">
        <f>IF(ISNUMBER(E1385),ROUND(E1385*(1+G1385),2),"")</f>
        <v/>
      </c>
      <c r="I1385" s="137" t="str">
        <f>IF(ISNUMBER(E1385),ROUND(H1385*D1385,2),"")</f>
        <v/>
      </c>
      <c r="J1385" s="117"/>
      <c r="K1385" s="116">
        <v>0</v>
      </c>
      <c r="M1385" s="136" t="s">
        <v>416</v>
      </c>
      <c r="N1385" t="e">
        <v>#REF!</v>
      </c>
      <c r="Q1385" t="s">
        <v>416</v>
      </c>
    </row>
    <row r="1386" spans="1:19" hidden="1" x14ac:dyDescent="0.25">
      <c r="A1386" s="114" t="s">
        <v>3253</v>
      </c>
      <c r="B1386" s="115" t="s">
        <v>3256</v>
      </c>
      <c r="C1386" s="116" t="s">
        <v>70</v>
      </c>
      <c r="D1386" s="116">
        <v>0</v>
      </c>
      <c r="E1386" s="136" t="s">
        <v>416</v>
      </c>
      <c r="F1386" s="137" t="str">
        <f>IF(ISNUMBER(E1386),D1386*E1386,"")</f>
        <v/>
      </c>
      <c r="G1386" s="138" t="e">
        <f>IF(A1386&lt;&gt;"",IF(AND(#REF!="Padrão",$H$4=#REF!),BDI!$B$17,IF(AND(#REF!="Padrão",$H$4=#REF!),BDI!#REF!,IF(AND(#REF!="Diferenciado",$H$4=#REF!),BDI!$E$17,IF(AND(#REF!="Diferenciado",$H$4=#REF!),BDI!#REF!,IF(#REF!="ZERO",0))))),"")</f>
        <v>#REF!</v>
      </c>
      <c r="H1386" s="139" t="str">
        <f>IF(ISNUMBER(E1386),ROUND(E1386*(1+G1386),2),"")</f>
        <v/>
      </c>
      <c r="I1386" s="137" t="str">
        <f>IF(ISNUMBER(E1386),ROUND(H1386*D1386,2),"")</f>
        <v/>
      </c>
      <c r="J1386" s="117"/>
      <c r="K1386" s="116">
        <v>0</v>
      </c>
      <c r="M1386" s="136" t="s">
        <v>416</v>
      </c>
      <c r="N1386" t="e">
        <v>#REF!</v>
      </c>
      <c r="Q1386" t="s">
        <v>416</v>
      </c>
    </row>
    <row r="1387" spans="1:19" hidden="1" x14ac:dyDescent="0.25">
      <c r="A1387" s="114" t="s">
        <v>3254</v>
      </c>
      <c r="B1387" s="115" t="s">
        <v>3257</v>
      </c>
      <c r="C1387" s="116" t="s">
        <v>70</v>
      </c>
      <c r="D1387" s="116">
        <v>0</v>
      </c>
      <c r="E1387" s="136" t="s">
        <v>416</v>
      </c>
      <c r="F1387" s="137" t="str">
        <f>IF(ISNUMBER(E1387),D1387*E1387,"")</f>
        <v/>
      </c>
      <c r="G1387" s="138" t="e">
        <f>IF(A1387&lt;&gt;"",IF(AND(#REF!="Padrão",$H$4=#REF!),BDI!$B$17,IF(AND(#REF!="Padrão",$H$4=#REF!),BDI!#REF!,IF(AND(#REF!="Diferenciado",$H$4=#REF!),BDI!$E$17,IF(AND(#REF!="Diferenciado",$H$4=#REF!),BDI!#REF!,IF(#REF!="ZERO",0))))),"")</f>
        <v>#REF!</v>
      </c>
      <c r="H1387" s="139" t="str">
        <f>IF(ISNUMBER(E1387),ROUND(E1387*(1+G1387),2),"")</f>
        <v/>
      </c>
      <c r="I1387" s="137" t="str">
        <f>IF(ISNUMBER(E1387),ROUND(H1387*D1387,2),"")</f>
        <v/>
      </c>
      <c r="J1387" s="117"/>
      <c r="K1387" s="116">
        <v>0</v>
      </c>
      <c r="M1387" s="136" t="s">
        <v>416</v>
      </c>
      <c r="N1387" t="e">
        <v>#REF!</v>
      </c>
      <c r="Q1387" t="s">
        <v>416</v>
      </c>
    </row>
    <row r="1388" spans="1:19" hidden="1" x14ac:dyDescent="0.25">
      <c r="A1388" s="114" t="s">
        <v>3255</v>
      </c>
      <c r="B1388" s="115" t="s">
        <v>3258</v>
      </c>
      <c r="C1388" s="116" t="s">
        <v>70</v>
      </c>
      <c r="D1388" s="116">
        <v>0</v>
      </c>
      <c r="E1388" s="136" t="s">
        <v>416</v>
      </c>
      <c r="F1388" s="137" t="str">
        <f>IF(ISNUMBER(E1388),D1388*E1388,"")</f>
        <v/>
      </c>
      <c r="G1388" s="138" t="e">
        <f>IF(A1388&lt;&gt;"",IF(AND(#REF!="Padrão",$H$4=#REF!),BDI!$B$17,IF(AND(#REF!="Padrão",$H$4=#REF!),BDI!#REF!,IF(AND(#REF!="Diferenciado",$H$4=#REF!),BDI!$E$17,IF(AND(#REF!="Diferenciado",$H$4=#REF!),BDI!#REF!,IF(#REF!="ZERO",0))))),"")</f>
        <v>#REF!</v>
      </c>
      <c r="H1388" s="139" t="str">
        <f>IF(ISNUMBER(E1388),ROUND(E1388*(1+G1388),2),"")</f>
        <v/>
      </c>
      <c r="I1388" s="137" t="str">
        <f>IF(ISNUMBER(E1388),ROUND(H1388*D1388,2),"")</f>
        <v/>
      </c>
      <c r="J1388" s="117"/>
      <c r="K1388" s="116">
        <v>0</v>
      </c>
      <c r="M1388" s="136" t="s">
        <v>416</v>
      </c>
      <c r="N1388" t="e">
        <v>#REF!</v>
      </c>
      <c r="Q1388" t="s">
        <v>416</v>
      </c>
    </row>
    <row r="1389" spans="1:19" hidden="1" x14ac:dyDescent="0.25">
      <c r="A1389" s="114" t="s">
        <v>4173</v>
      </c>
      <c r="B1389" s="115" t="s">
        <v>3321</v>
      </c>
      <c r="C1389" s="116" t="s">
        <v>69</v>
      </c>
      <c r="D1389" s="116">
        <v>0</v>
      </c>
      <c r="E1389" s="136">
        <f ca="1">OFFSET(INDEX(Composições!A:J,MATCH(Orçamentária!A1389,Composições!A:A,0),8),2,0)</f>
        <v>60.916920300000008</v>
      </c>
      <c r="F1389" s="137">
        <f t="shared" ref="F1389:F1452" ca="1" si="135">IF(ISNUMBER(E1389),D1389*E1389,"")</f>
        <v>0</v>
      </c>
      <c r="G1389" s="138" t="e">
        <f>IF(A1389&lt;&gt;"",IF(AND(#REF!="Padrão",$H$4=#REF!),BDI!$B$17,IF(AND(#REF!="Padrão",$H$4=#REF!),BDI!#REF!,IF(AND(#REF!="Diferenciado",$H$4=#REF!),BDI!$E$17,IF(AND(#REF!="Diferenciado",$H$4=#REF!),BDI!#REF!,IF(#REF!="ZERO",0))))),"")</f>
        <v>#REF!</v>
      </c>
      <c r="H1389" s="139" t="e">
        <f t="shared" ref="H1389:H1452" ca="1" si="136">IF(ISNUMBER(E1389),ROUND(E1389*(1+G1389),2),"")</f>
        <v>#REF!</v>
      </c>
      <c r="I1389" s="137" t="e">
        <f t="shared" ref="I1389:I1452" ca="1" si="137">IF(ISNUMBER(E1389),ROUND(H1389*D1389,2),"")</f>
        <v>#REF!</v>
      </c>
      <c r="J1389" s="117"/>
      <c r="K1389" s="116">
        <v>0</v>
      </c>
      <c r="M1389" s="136" t="e">
        <f ca="1">OFFSET(INDEX([1]Composições!I:R,MATCH([1]Orçamentária!I1389,[1]Composições!I:I,0),8),2,0)</f>
        <v>#REF!</v>
      </c>
      <c r="N1389" t="e">
        <v>#REF!</v>
      </c>
      <c r="Q1389" t="e">
        <v>#REF!</v>
      </c>
    </row>
    <row r="1390" spans="1:19" hidden="1" x14ac:dyDescent="0.25">
      <c r="A1390" s="114" t="s">
        <v>4174</v>
      </c>
      <c r="B1390" s="115" t="s">
        <v>3322</v>
      </c>
      <c r="C1390" s="116" t="s">
        <v>16</v>
      </c>
      <c r="D1390" s="116">
        <v>0</v>
      </c>
      <c r="E1390" s="136" t="s">
        <v>416</v>
      </c>
      <c r="F1390" s="137" t="str">
        <f t="shared" si="135"/>
        <v/>
      </c>
      <c r="G1390" s="138" t="e">
        <f>IF(A1390&lt;&gt;"",IF(AND(#REF!="Padrão",$H$4=#REF!),BDI!$B$17,IF(AND(#REF!="Padrão",$H$4=#REF!),BDI!#REF!,IF(AND(#REF!="Diferenciado",$H$4=#REF!),BDI!$E$17,IF(AND(#REF!="Diferenciado",$H$4=#REF!),BDI!#REF!,IF(#REF!="ZERO",0))))),"")</f>
        <v>#REF!</v>
      </c>
      <c r="H1390" s="139" t="str">
        <f t="shared" si="136"/>
        <v/>
      </c>
      <c r="I1390" s="137" t="str">
        <f t="shared" si="137"/>
        <v/>
      </c>
      <c r="J1390" s="117"/>
      <c r="K1390" s="116">
        <v>0</v>
      </c>
      <c r="M1390" s="136" t="s">
        <v>416</v>
      </c>
      <c r="N1390" t="e">
        <v>#REF!</v>
      </c>
      <c r="Q1390" t="s">
        <v>416</v>
      </c>
    </row>
    <row r="1391" spans="1:19" hidden="1" x14ac:dyDescent="0.25">
      <c r="A1391" s="114" t="s">
        <v>4175</v>
      </c>
      <c r="B1391" s="115" t="s">
        <v>3323</v>
      </c>
      <c r="C1391" s="116" t="s">
        <v>16</v>
      </c>
      <c r="D1391" s="116">
        <v>0</v>
      </c>
      <c r="E1391" s="136">
        <f ca="1">OFFSET(INDEX(Composições!A:J,MATCH(Orçamentária!A1391,Composições!A:A,0),8),2,0)</f>
        <v>19.5452145</v>
      </c>
      <c r="F1391" s="137">
        <f t="shared" ca="1" si="135"/>
        <v>0</v>
      </c>
      <c r="G1391" s="138" t="e">
        <f>IF(A1391&lt;&gt;"",IF(AND(#REF!="Padrão",$H$4=#REF!),BDI!$B$17,IF(AND(#REF!="Padrão",$H$4=#REF!),BDI!#REF!,IF(AND(#REF!="Diferenciado",$H$4=#REF!),BDI!$E$17,IF(AND(#REF!="Diferenciado",$H$4=#REF!),BDI!#REF!,IF(#REF!="ZERO",0))))),"")</f>
        <v>#REF!</v>
      </c>
      <c r="H1391" s="139" t="e">
        <f t="shared" ca="1" si="136"/>
        <v>#REF!</v>
      </c>
      <c r="I1391" s="137" t="e">
        <f t="shared" ca="1" si="137"/>
        <v>#REF!</v>
      </c>
      <c r="J1391" s="117"/>
      <c r="K1391" s="116">
        <v>0</v>
      </c>
      <c r="M1391" s="136" t="e">
        <f ca="1">OFFSET(INDEX([1]Composições!I:R,MATCH([1]Orçamentária!I1391,[1]Composições!I:I,0),8),2,0)</f>
        <v>#REF!</v>
      </c>
      <c r="N1391" t="e">
        <v>#REF!</v>
      </c>
      <c r="Q1391" t="e">
        <v>#REF!</v>
      </c>
    </row>
    <row r="1392" spans="1:19" hidden="1" x14ac:dyDescent="0.25">
      <c r="A1392" s="114" t="s">
        <v>4176</v>
      </c>
      <c r="B1392" s="115" t="s">
        <v>7735</v>
      </c>
      <c r="C1392" s="116" t="s">
        <v>69</v>
      </c>
      <c r="D1392" s="116">
        <v>0</v>
      </c>
      <c r="E1392" s="136">
        <f ca="1">OFFSET(INDEX(Composições!A:J,MATCH(Orçamentária!A1392,Composições!A:A,0),8),2,0)</f>
        <v>37.064250000000001</v>
      </c>
      <c r="F1392" s="137">
        <f t="shared" ca="1" si="135"/>
        <v>0</v>
      </c>
      <c r="G1392" s="138" t="e">
        <f>IF(A1392&lt;&gt;"",IF(AND(#REF!="Padrão",$H$4=#REF!),BDI!$B$17,IF(AND(#REF!="Padrão",$H$4=#REF!),BDI!#REF!,IF(AND(#REF!="Diferenciado",$H$4=#REF!),BDI!$E$17,IF(AND(#REF!="Diferenciado",$H$4=#REF!),BDI!#REF!,IF(#REF!="ZERO",0))))),"")</f>
        <v>#REF!</v>
      </c>
      <c r="H1392" s="139" t="e">
        <f t="shared" ca="1" si="136"/>
        <v>#REF!</v>
      </c>
      <c r="I1392" s="137" t="e">
        <f t="shared" ca="1" si="137"/>
        <v>#REF!</v>
      </c>
      <c r="J1392" s="117"/>
      <c r="K1392" s="116">
        <v>0</v>
      </c>
      <c r="M1392" s="136" t="e">
        <f ca="1">OFFSET(INDEX([1]Composições!I:R,MATCH([1]Orçamentária!I1392,[1]Composições!I:I,0),8),2,0)</f>
        <v>#REF!</v>
      </c>
      <c r="N1392" t="e">
        <v>#REF!</v>
      </c>
      <c r="Q1392" t="e">
        <v>#REF!</v>
      </c>
    </row>
    <row r="1393" spans="1:17" hidden="1" x14ac:dyDescent="0.25">
      <c r="A1393" s="114" t="s">
        <v>4177</v>
      </c>
      <c r="B1393" s="115" t="s">
        <v>3324</v>
      </c>
      <c r="C1393" s="116" t="s">
        <v>1286</v>
      </c>
      <c r="D1393" s="116">
        <v>0</v>
      </c>
      <c r="E1393" s="136">
        <f ca="1">OFFSET(INDEX(Composições!A:J,MATCH(Orçamentária!A1393,Composições!A:A,0),8),2,0)</f>
        <v>124.203</v>
      </c>
      <c r="F1393" s="137">
        <f t="shared" ca="1" si="135"/>
        <v>0</v>
      </c>
      <c r="G1393" s="138" t="e">
        <f>IF(A1393&lt;&gt;"",IF(AND(#REF!="Padrão",$H$4=#REF!),BDI!$B$17,IF(AND(#REF!="Padrão",$H$4=#REF!),BDI!#REF!,IF(AND(#REF!="Diferenciado",$H$4=#REF!),BDI!$E$17,IF(AND(#REF!="Diferenciado",$H$4=#REF!),BDI!#REF!,IF(#REF!="ZERO",0))))),"")</f>
        <v>#REF!</v>
      </c>
      <c r="H1393" s="139" t="e">
        <f t="shared" ca="1" si="136"/>
        <v>#REF!</v>
      </c>
      <c r="I1393" s="137" t="e">
        <f t="shared" ca="1" si="137"/>
        <v>#REF!</v>
      </c>
      <c r="J1393" s="117"/>
      <c r="K1393" s="116">
        <v>0</v>
      </c>
      <c r="M1393" s="136" t="e">
        <f ca="1">OFFSET(INDEX([1]Composições!I:R,MATCH([1]Orçamentária!I1393,[1]Composições!I:I,0),8),2,0)</f>
        <v>#REF!</v>
      </c>
      <c r="N1393" t="e">
        <v>#REF!</v>
      </c>
      <c r="Q1393" t="e">
        <v>#REF!</v>
      </c>
    </row>
    <row r="1394" spans="1:17" hidden="1" x14ac:dyDescent="0.25">
      <c r="A1394" s="114" t="s">
        <v>4178</v>
      </c>
      <c r="B1394" s="115" t="s">
        <v>3325</v>
      </c>
      <c r="C1394" s="116" t="s">
        <v>16</v>
      </c>
      <c r="D1394" s="116">
        <v>0</v>
      </c>
      <c r="E1394" s="136" t="s">
        <v>416</v>
      </c>
      <c r="F1394" s="137" t="str">
        <f t="shared" si="135"/>
        <v/>
      </c>
      <c r="G1394" s="138" t="e">
        <f>IF(A1394&lt;&gt;"",IF(AND(#REF!="Padrão",$H$4=#REF!),BDI!$B$17,IF(AND(#REF!="Padrão",$H$4=#REF!),BDI!#REF!,IF(AND(#REF!="Diferenciado",$H$4=#REF!),BDI!$E$17,IF(AND(#REF!="Diferenciado",$H$4=#REF!),BDI!#REF!,IF(#REF!="ZERO",0))))),"")</f>
        <v>#REF!</v>
      </c>
      <c r="H1394" s="139" t="str">
        <f t="shared" si="136"/>
        <v/>
      </c>
      <c r="I1394" s="137" t="str">
        <f t="shared" si="137"/>
        <v/>
      </c>
      <c r="J1394" s="117"/>
      <c r="K1394" s="116">
        <v>0</v>
      </c>
      <c r="M1394" s="136" t="s">
        <v>416</v>
      </c>
      <c r="N1394" t="e">
        <v>#REF!</v>
      </c>
      <c r="Q1394" t="s">
        <v>416</v>
      </c>
    </row>
    <row r="1395" spans="1:17" hidden="1" x14ac:dyDescent="0.25">
      <c r="A1395" s="114" t="s">
        <v>4179</v>
      </c>
      <c r="B1395" s="115" t="s">
        <v>3326</v>
      </c>
      <c r="C1395" s="116" t="s">
        <v>16</v>
      </c>
      <c r="D1395" s="116">
        <v>0</v>
      </c>
      <c r="E1395" s="136">
        <f ca="1">OFFSET(INDEX(Composições!A:J,MATCH(Orçamentária!A1395,Composições!A:A,0),8),2,0)</f>
        <v>19.732790099999999</v>
      </c>
      <c r="F1395" s="137">
        <f t="shared" ca="1" si="135"/>
        <v>0</v>
      </c>
      <c r="G1395" s="138" t="e">
        <f>IF(A1395&lt;&gt;"",IF(AND(#REF!="Padrão",$H$4=#REF!),BDI!$B$17,IF(AND(#REF!="Padrão",$H$4=#REF!),BDI!#REF!,IF(AND(#REF!="Diferenciado",$H$4=#REF!),BDI!$E$17,IF(AND(#REF!="Diferenciado",$H$4=#REF!),BDI!#REF!,IF(#REF!="ZERO",0))))),"")</f>
        <v>#REF!</v>
      </c>
      <c r="H1395" s="139" t="e">
        <f t="shared" ca="1" si="136"/>
        <v>#REF!</v>
      </c>
      <c r="I1395" s="137" t="e">
        <f t="shared" ca="1" si="137"/>
        <v>#REF!</v>
      </c>
      <c r="J1395" s="117"/>
      <c r="K1395" s="116">
        <v>0</v>
      </c>
      <c r="M1395" s="136" t="e">
        <f ca="1">OFFSET(INDEX([1]Composições!I:R,MATCH([1]Orçamentária!I1395,[1]Composições!I:I,0),8),2,0)</f>
        <v>#REF!</v>
      </c>
      <c r="N1395" t="e">
        <v>#REF!</v>
      </c>
      <c r="Q1395" t="e">
        <v>#REF!</v>
      </c>
    </row>
    <row r="1396" spans="1:17" hidden="1" x14ac:dyDescent="0.25">
      <c r="A1396" s="114" t="s">
        <v>4180</v>
      </c>
      <c r="B1396" s="115" t="s">
        <v>3327</v>
      </c>
      <c r="C1396" s="116" t="s">
        <v>75</v>
      </c>
      <c r="D1396" s="116">
        <v>0</v>
      </c>
      <c r="E1396" s="136">
        <f ca="1">OFFSET(INDEX(Composições!A:J,MATCH(Orçamentária!A1396,Composições!A:A,0),8),2,0)</f>
        <v>5.7285000000000004</v>
      </c>
      <c r="F1396" s="137">
        <f t="shared" ca="1" si="135"/>
        <v>0</v>
      </c>
      <c r="G1396" s="138" t="e">
        <f>IF(A1396&lt;&gt;"",IF(AND(#REF!="Padrão",$H$4=#REF!),BDI!$B$17,IF(AND(#REF!="Padrão",$H$4=#REF!),BDI!#REF!,IF(AND(#REF!="Diferenciado",$H$4=#REF!),BDI!$E$17,IF(AND(#REF!="Diferenciado",$H$4=#REF!),BDI!#REF!,IF(#REF!="ZERO",0))))),"")</f>
        <v>#REF!</v>
      </c>
      <c r="H1396" s="139" t="e">
        <f t="shared" ca="1" si="136"/>
        <v>#REF!</v>
      </c>
      <c r="I1396" s="137" t="e">
        <f t="shared" ca="1" si="137"/>
        <v>#REF!</v>
      </c>
      <c r="J1396" s="117"/>
      <c r="K1396" s="116">
        <v>0</v>
      </c>
      <c r="M1396" s="136" t="e">
        <f ca="1">OFFSET(INDEX([1]Composições!I:R,MATCH([1]Orçamentária!I1396,[1]Composições!I:I,0),8),2,0)</f>
        <v>#REF!</v>
      </c>
      <c r="N1396" t="e">
        <v>#REF!</v>
      </c>
      <c r="Q1396" t="e">
        <v>#REF!</v>
      </c>
    </row>
    <row r="1397" spans="1:17" hidden="1" x14ac:dyDescent="0.25">
      <c r="A1397" s="114" t="s">
        <v>4181</v>
      </c>
      <c r="B1397" s="115" t="s">
        <v>3328</v>
      </c>
      <c r="C1397" s="116" t="s">
        <v>16</v>
      </c>
      <c r="D1397" s="116">
        <v>0</v>
      </c>
      <c r="E1397" s="136" t="s">
        <v>416</v>
      </c>
      <c r="F1397" s="137" t="str">
        <f t="shared" si="135"/>
        <v/>
      </c>
      <c r="G1397" s="138" t="e">
        <f>IF(A1397&lt;&gt;"",IF(AND(#REF!="Padrão",$H$4=#REF!),BDI!$B$17,IF(AND(#REF!="Padrão",$H$4=#REF!),BDI!#REF!,IF(AND(#REF!="Diferenciado",$H$4=#REF!),BDI!$E$17,IF(AND(#REF!="Diferenciado",$H$4=#REF!),BDI!#REF!,IF(#REF!="ZERO",0))))),"")</f>
        <v>#REF!</v>
      </c>
      <c r="H1397" s="139" t="str">
        <f t="shared" si="136"/>
        <v/>
      </c>
      <c r="I1397" s="137" t="str">
        <f t="shared" si="137"/>
        <v/>
      </c>
      <c r="J1397" s="117"/>
      <c r="K1397" s="116">
        <v>0</v>
      </c>
      <c r="M1397" s="136" t="s">
        <v>416</v>
      </c>
      <c r="N1397" t="e">
        <v>#REF!</v>
      </c>
      <c r="Q1397" t="s">
        <v>416</v>
      </c>
    </row>
    <row r="1398" spans="1:17" hidden="1" x14ac:dyDescent="0.25">
      <c r="A1398" s="114" t="s">
        <v>4182</v>
      </c>
      <c r="B1398" s="115" t="s">
        <v>3329</v>
      </c>
      <c r="C1398" s="116" t="s">
        <v>16</v>
      </c>
      <c r="D1398" s="116">
        <v>0</v>
      </c>
      <c r="E1398" s="136" t="s">
        <v>416</v>
      </c>
      <c r="F1398" s="137" t="str">
        <f t="shared" si="135"/>
        <v/>
      </c>
      <c r="G1398" s="138" t="e">
        <f>IF(A1398&lt;&gt;"",IF(AND(#REF!="Padrão",$H$4=#REF!),BDI!$B$17,IF(AND(#REF!="Padrão",$H$4=#REF!),BDI!#REF!,IF(AND(#REF!="Diferenciado",$H$4=#REF!),BDI!$E$17,IF(AND(#REF!="Diferenciado",$H$4=#REF!),BDI!#REF!,IF(#REF!="ZERO",0))))),"")</f>
        <v>#REF!</v>
      </c>
      <c r="H1398" s="139" t="str">
        <f t="shared" si="136"/>
        <v/>
      </c>
      <c r="I1398" s="137" t="str">
        <f t="shared" si="137"/>
        <v/>
      </c>
      <c r="J1398" s="117"/>
      <c r="K1398" s="116">
        <v>0</v>
      </c>
      <c r="M1398" s="136" t="s">
        <v>416</v>
      </c>
      <c r="N1398" t="e">
        <v>#REF!</v>
      </c>
      <c r="Q1398" t="s">
        <v>416</v>
      </c>
    </row>
    <row r="1399" spans="1:17" hidden="1" x14ac:dyDescent="0.25">
      <c r="A1399" s="114" t="s">
        <v>4183</v>
      </c>
      <c r="B1399" s="115" t="s">
        <v>3330</v>
      </c>
      <c r="C1399" s="116" t="s">
        <v>16</v>
      </c>
      <c r="D1399" s="116">
        <v>0</v>
      </c>
      <c r="E1399" s="136" t="s">
        <v>416</v>
      </c>
      <c r="F1399" s="137" t="str">
        <f t="shared" si="135"/>
        <v/>
      </c>
      <c r="G1399" s="138" t="e">
        <f>IF(A1399&lt;&gt;"",IF(AND(#REF!="Padrão",$H$4=#REF!),BDI!$B$17,IF(AND(#REF!="Padrão",$H$4=#REF!),BDI!#REF!,IF(AND(#REF!="Diferenciado",$H$4=#REF!),BDI!$E$17,IF(AND(#REF!="Diferenciado",$H$4=#REF!),BDI!#REF!,IF(#REF!="ZERO",0))))),"")</f>
        <v>#REF!</v>
      </c>
      <c r="H1399" s="139" t="str">
        <f t="shared" si="136"/>
        <v/>
      </c>
      <c r="I1399" s="137" t="str">
        <f t="shared" si="137"/>
        <v/>
      </c>
      <c r="J1399" s="117"/>
      <c r="K1399" s="116">
        <v>0</v>
      </c>
      <c r="M1399" s="136" t="s">
        <v>416</v>
      </c>
      <c r="N1399" t="e">
        <v>#REF!</v>
      </c>
      <c r="Q1399" t="s">
        <v>416</v>
      </c>
    </row>
    <row r="1400" spans="1:17" hidden="1" x14ac:dyDescent="0.25">
      <c r="A1400" s="114" t="s">
        <v>4184</v>
      </c>
      <c r="B1400" s="115" t="s">
        <v>3331</v>
      </c>
      <c r="C1400" s="116" t="s">
        <v>16</v>
      </c>
      <c r="D1400" s="116">
        <v>0</v>
      </c>
      <c r="E1400" s="136" t="s">
        <v>416</v>
      </c>
      <c r="F1400" s="137" t="str">
        <f t="shared" si="135"/>
        <v/>
      </c>
      <c r="G1400" s="138" t="e">
        <f>IF(A1400&lt;&gt;"",IF(AND(#REF!="Padrão",$H$4=#REF!),BDI!$B$17,IF(AND(#REF!="Padrão",$H$4=#REF!),BDI!#REF!,IF(AND(#REF!="Diferenciado",$H$4=#REF!),BDI!$E$17,IF(AND(#REF!="Diferenciado",$H$4=#REF!),BDI!#REF!,IF(#REF!="ZERO",0))))),"")</f>
        <v>#REF!</v>
      </c>
      <c r="H1400" s="139" t="str">
        <f t="shared" si="136"/>
        <v/>
      </c>
      <c r="I1400" s="137" t="str">
        <f t="shared" si="137"/>
        <v/>
      </c>
      <c r="J1400" s="117"/>
      <c r="K1400" s="116">
        <v>0</v>
      </c>
      <c r="M1400" s="136" t="s">
        <v>416</v>
      </c>
      <c r="N1400" t="e">
        <v>#REF!</v>
      </c>
      <c r="Q1400" t="s">
        <v>416</v>
      </c>
    </row>
    <row r="1401" spans="1:17" hidden="1" x14ac:dyDescent="0.25">
      <c r="A1401" s="114" t="s">
        <v>4185</v>
      </c>
      <c r="B1401" s="115" t="s">
        <v>3332</v>
      </c>
      <c r="C1401" s="116" t="s">
        <v>16</v>
      </c>
      <c r="D1401" s="116">
        <v>0</v>
      </c>
      <c r="E1401" s="136" t="s">
        <v>416</v>
      </c>
      <c r="F1401" s="137" t="str">
        <f t="shared" si="135"/>
        <v/>
      </c>
      <c r="G1401" s="138" t="e">
        <f>IF(A1401&lt;&gt;"",IF(AND(#REF!="Padrão",$H$4=#REF!),BDI!$B$17,IF(AND(#REF!="Padrão",$H$4=#REF!),BDI!#REF!,IF(AND(#REF!="Diferenciado",$H$4=#REF!),BDI!$E$17,IF(AND(#REF!="Diferenciado",$H$4=#REF!),BDI!#REF!,IF(#REF!="ZERO",0))))),"")</f>
        <v>#REF!</v>
      </c>
      <c r="H1401" s="139" t="str">
        <f t="shared" si="136"/>
        <v/>
      </c>
      <c r="I1401" s="137" t="str">
        <f t="shared" si="137"/>
        <v/>
      </c>
      <c r="J1401" s="117"/>
      <c r="K1401" s="116">
        <v>0</v>
      </c>
      <c r="M1401" s="136" t="s">
        <v>416</v>
      </c>
      <c r="N1401" t="e">
        <v>#REF!</v>
      </c>
      <c r="Q1401" t="s">
        <v>416</v>
      </c>
    </row>
    <row r="1402" spans="1:17" hidden="1" x14ac:dyDescent="0.25">
      <c r="A1402" s="114" t="s">
        <v>4186</v>
      </c>
      <c r="B1402" s="115" t="s">
        <v>3333</v>
      </c>
      <c r="C1402" s="116" t="s">
        <v>16</v>
      </c>
      <c r="D1402" s="116">
        <v>0</v>
      </c>
      <c r="E1402" s="136" t="s">
        <v>416</v>
      </c>
      <c r="F1402" s="137" t="str">
        <f t="shared" si="135"/>
        <v/>
      </c>
      <c r="G1402" s="138" t="e">
        <f>IF(A1402&lt;&gt;"",IF(AND(#REF!="Padrão",$H$4=#REF!),BDI!$B$17,IF(AND(#REF!="Padrão",$H$4=#REF!),BDI!#REF!,IF(AND(#REF!="Diferenciado",$H$4=#REF!),BDI!$E$17,IF(AND(#REF!="Diferenciado",$H$4=#REF!),BDI!#REF!,IF(#REF!="ZERO",0))))),"")</f>
        <v>#REF!</v>
      </c>
      <c r="H1402" s="139" t="str">
        <f t="shared" si="136"/>
        <v/>
      </c>
      <c r="I1402" s="137" t="str">
        <f t="shared" si="137"/>
        <v/>
      </c>
      <c r="J1402" s="117"/>
      <c r="K1402" s="116">
        <v>0</v>
      </c>
      <c r="M1402" s="136" t="s">
        <v>416</v>
      </c>
      <c r="N1402" t="e">
        <v>#REF!</v>
      </c>
      <c r="Q1402" t="s">
        <v>416</v>
      </c>
    </row>
    <row r="1403" spans="1:17" hidden="1" x14ac:dyDescent="0.25">
      <c r="A1403" s="114" t="s">
        <v>4187</v>
      </c>
      <c r="B1403" s="115" t="s">
        <v>3334</v>
      </c>
      <c r="C1403" s="116" t="s">
        <v>16</v>
      </c>
      <c r="D1403" s="116">
        <v>0</v>
      </c>
      <c r="E1403" s="136" t="s">
        <v>416</v>
      </c>
      <c r="F1403" s="137" t="str">
        <f t="shared" si="135"/>
        <v/>
      </c>
      <c r="G1403" s="138" t="e">
        <f>IF(A1403&lt;&gt;"",IF(AND(#REF!="Padrão",$H$4=#REF!),BDI!$B$17,IF(AND(#REF!="Padrão",$H$4=#REF!),BDI!#REF!,IF(AND(#REF!="Diferenciado",$H$4=#REF!),BDI!$E$17,IF(AND(#REF!="Diferenciado",$H$4=#REF!),BDI!#REF!,IF(#REF!="ZERO",0))))),"")</f>
        <v>#REF!</v>
      </c>
      <c r="H1403" s="139" t="str">
        <f t="shared" si="136"/>
        <v/>
      </c>
      <c r="I1403" s="137" t="str">
        <f t="shared" si="137"/>
        <v/>
      </c>
      <c r="J1403" s="117"/>
      <c r="K1403" s="116">
        <v>0</v>
      </c>
      <c r="M1403" s="136" t="s">
        <v>416</v>
      </c>
      <c r="N1403" t="e">
        <v>#REF!</v>
      </c>
      <c r="Q1403" t="s">
        <v>416</v>
      </c>
    </row>
    <row r="1404" spans="1:17" hidden="1" x14ac:dyDescent="0.25">
      <c r="A1404" s="114" t="s">
        <v>4188</v>
      </c>
      <c r="B1404" s="115" t="s">
        <v>3335</v>
      </c>
      <c r="C1404" s="116" t="s">
        <v>16</v>
      </c>
      <c r="D1404" s="116">
        <v>0</v>
      </c>
      <c r="E1404" s="136" t="s">
        <v>416</v>
      </c>
      <c r="F1404" s="137" t="str">
        <f t="shared" si="135"/>
        <v/>
      </c>
      <c r="G1404" s="138" t="e">
        <f>IF(A1404&lt;&gt;"",IF(AND(#REF!="Padrão",$H$4=#REF!),BDI!$B$17,IF(AND(#REF!="Padrão",$H$4=#REF!),BDI!#REF!,IF(AND(#REF!="Diferenciado",$H$4=#REF!),BDI!$E$17,IF(AND(#REF!="Diferenciado",$H$4=#REF!),BDI!#REF!,IF(#REF!="ZERO",0))))),"")</f>
        <v>#REF!</v>
      </c>
      <c r="H1404" s="139" t="str">
        <f t="shared" si="136"/>
        <v/>
      </c>
      <c r="I1404" s="137" t="str">
        <f t="shared" si="137"/>
        <v/>
      </c>
      <c r="J1404" s="117"/>
      <c r="K1404" s="116">
        <v>0</v>
      </c>
      <c r="M1404" s="136" t="s">
        <v>416</v>
      </c>
      <c r="N1404" t="e">
        <v>#REF!</v>
      </c>
      <c r="Q1404" t="s">
        <v>416</v>
      </c>
    </row>
    <row r="1405" spans="1:17" hidden="1" x14ac:dyDescent="0.25">
      <c r="A1405" s="114" t="s">
        <v>4189</v>
      </c>
      <c r="B1405" s="115" t="s">
        <v>3336</v>
      </c>
      <c r="C1405" s="116" t="s">
        <v>16</v>
      </c>
      <c r="D1405" s="116">
        <v>0</v>
      </c>
      <c r="E1405" s="136" t="s">
        <v>416</v>
      </c>
      <c r="F1405" s="137" t="str">
        <f t="shared" si="135"/>
        <v/>
      </c>
      <c r="G1405" s="138" t="e">
        <f>IF(A1405&lt;&gt;"",IF(AND(#REF!="Padrão",$H$4=#REF!),BDI!$B$17,IF(AND(#REF!="Padrão",$H$4=#REF!),BDI!#REF!,IF(AND(#REF!="Diferenciado",$H$4=#REF!),BDI!$E$17,IF(AND(#REF!="Diferenciado",$H$4=#REF!),BDI!#REF!,IF(#REF!="ZERO",0))))),"")</f>
        <v>#REF!</v>
      </c>
      <c r="H1405" s="139" t="str">
        <f t="shared" si="136"/>
        <v/>
      </c>
      <c r="I1405" s="137" t="str">
        <f t="shared" si="137"/>
        <v/>
      </c>
      <c r="J1405" s="117"/>
      <c r="K1405" s="116">
        <v>0</v>
      </c>
      <c r="M1405" s="136" t="s">
        <v>416</v>
      </c>
      <c r="N1405" t="e">
        <v>#REF!</v>
      </c>
      <c r="Q1405" t="s">
        <v>416</v>
      </c>
    </row>
    <row r="1406" spans="1:17" hidden="1" x14ac:dyDescent="0.25">
      <c r="A1406" s="114" t="s">
        <v>4190</v>
      </c>
      <c r="B1406" s="115" t="s">
        <v>3337</v>
      </c>
      <c r="C1406" s="116" t="s">
        <v>16</v>
      </c>
      <c r="D1406" s="116">
        <v>0</v>
      </c>
      <c r="E1406" s="136" t="s">
        <v>416</v>
      </c>
      <c r="F1406" s="137" t="str">
        <f t="shared" si="135"/>
        <v/>
      </c>
      <c r="G1406" s="138" t="e">
        <f>IF(A1406&lt;&gt;"",IF(AND(#REF!="Padrão",$H$4=#REF!),BDI!$B$17,IF(AND(#REF!="Padrão",$H$4=#REF!),BDI!#REF!,IF(AND(#REF!="Diferenciado",$H$4=#REF!),BDI!$E$17,IF(AND(#REF!="Diferenciado",$H$4=#REF!),BDI!#REF!,IF(#REF!="ZERO",0))))),"")</f>
        <v>#REF!</v>
      </c>
      <c r="H1406" s="139" t="str">
        <f t="shared" si="136"/>
        <v/>
      </c>
      <c r="I1406" s="137" t="str">
        <f t="shared" si="137"/>
        <v/>
      </c>
      <c r="J1406" s="117"/>
      <c r="K1406" s="116">
        <v>0</v>
      </c>
      <c r="M1406" s="136" t="s">
        <v>416</v>
      </c>
      <c r="N1406" t="e">
        <v>#REF!</v>
      </c>
      <c r="Q1406" t="s">
        <v>416</v>
      </c>
    </row>
    <row r="1407" spans="1:17" ht="25.5" hidden="1" x14ac:dyDescent="0.25">
      <c r="A1407" s="114" t="s">
        <v>4191</v>
      </c>
      <c r="B1407" s="115" t="s">
        <v>3338</v>
      </c>
      <c r="C1407" s="116" t="s">
        <v>16</v>
      </c>
      <c r="D1407" s="116">
        <v>0</v>
      </c>
      <c r="E1407" s="136" t="s">
        <v>416</v>
      </c>
      <c r="F1407" s="137" t="str">
        <f t="shared" si="135"/>
        <v/>
      </c>
      <c r="G1407" s="138" t="e">
        <f>IF(A1407&lt;&gt;"",IF(AND(#REF!="Padrão",$H$4=#REF!),BDI!$B$17,IF(AND(#REF!="Padrão",$H$4=#REF!),BDI!#REF!,IF(AND(#REF!="Diferenciado",$H$4=#REF!),BDI!$E$17,IF(AND(#REF!="Diferenciado",$H$4=#REF!),BDI!#REF!,IF(#REF!="ZERO",0))))),"")</f>
        <v>#REF!</v>
      </c>
      <c r="H1407" s="139" t="str">
        <f t="shared" si="136"/>
        <v/>
      </c>
      <c r="I1407" s="137" t="str">
        <f t="shared" si="137"/>
        <v/>
      </c>
      <c r="J1407" s="117"/>
      <c r="K1407" s="116">
        <v>0</v>
      </c>
      <c r="M1407" s="136" t="s">
        <v>416</v>
      </c>
      <c r="N1407" t="e">
        <v>#REF!</v>
      </c>
      <c r="Q1407" t="s">
        <v>416</v>
      </c>
    </row>
    <row r="1408" spans="1:17" hidden="1" x14ac:dyDescent="0.25">
      <c r="A1408" s="114" t="s">
        <v>4192</v>
      </c>
      <c r="B1408" s="115" t="s">
        <v>3339</v>
      </c>
      <c r="C1408" s="116" t="s">
        <v>2177</v>
      </c>
      <c r="D1408" s="116">
        <v>0</v>
      </c>
      <c r="E1408" s="136">
        <f ca="1">OFFSET(INDEX(Composições!A:J,MATCH(Orçamentária!A1408,Composições!A:A,0),8),2,0)</f>
        <v>13003.0728963</v>
      </c>
      <c r="F1408" s="137">
        <f t="shared" ca="1" si="135"/>
        <v>0</v>
      </c>
      <c r="G1408" s="138" t="e">
        <f>IF(A1408&lt;&gt;"",IF(AND(#REF!="Padrão",$H$4=#REF!),BDI!$B$17,IF(AND(#REF!="Padrão",$H$4=#REF!),BDI!#REF!,IF(AND(#REF!="Diferenciado",$H$4=#REF!),BDI!$E$17,IF(AND(#REF!="Diferenciado",$H$4=#REF!),BDI!#REF!,IF(#REF!="ZERO",0))))),"")</f>
        <v>#REF!</v>
      </c>
      <c r="H1408" s="139" t="e">
        <f t="shared" ca="1" si="136"/>
        <v>#REF!</v>
      </c>
      <c r="I1408" s="137" t="e">
        <f t="shared" ca="1" si="137"/>
        <v>#REF!</v>
      </c>
      <c r="J1408" s="117"/>
      <c r="K1408" s="116">
        <v>0</v>
      </c>
      <c r="M1408" s="136" t="e">
        <f ca="1">OFFSET(INDEX([1]Composições!I:R,MATCH([1]Orçamentária!I1408,[1]Composições!I:I,0),8),2,0)</f>
        <v>#REF!</v>
      </c>
      <c r="N1408" t="e">
        <v>#REF!</v>
      </c>
      <c r="Q1408" t="e">
        <v>#REF!</v>
      </c>
    </row>
    <row r="1409" spans="1:17" hidden="1" x14ac:dyDescent="0.25">
      <c r="A1409" s="114" t="s">
        <v>4193</v>
      </c>
      <c r="B1409" s="115" t="s">
        <v>3340</v>
      </c>
      <c r="C1409" s="116" t="s">
        <v>2177</v>
      </c>
      <c r="D1409" s="116">
        <v>0</v>
      </c>
      <c r="E1409" s="136">
        <f ca="1">OFFSET(INDEX(Composições!A:J,MATCH(Orçamentária!A1409,Composições!A:A,0),8),2,0)</f>
        <v>13003.0728963</v>
      </c>
      <c r="F1409" s="137">
        <f t="shared" ca="1" si="135"/>
        <v>0</v>
      </c>
      <c r="G1409" s="138" t="e">
        <f>IF(A1409&lt;&gt;"",IF(AND(#REF!="Padrão",$H$4=#REF!),BDI!$B$17,IF(AND(#REF!="Padrão",$H$4=#REF!),BDI!#REF!,IF(AND(#REF!="Diferenciado",$H$4=#REF!),BDI!$E$17,IF(AND(#REF!="Diferenciado",$H$4=#REF!),BDI!#REF!,IF(#REF!="ZERO",0))))),"")</f>
        <v>#REF!</v>
      </c>
      <c r="H1409" s="139" t="e">
        <f t="shared" ca="1" si="136"/>
        <v>#REF!</v>
      </c>
      <c r="I1409" s="137" t="e">
        <f t="shared" ca="1" si="137"/>
        <v>#REF!</v>
      </c>
      <c r="J1409" s="117"/>
      <c r="K1409" s="116">
        <v>0</v>
      </c>
      <c r="M1409" s="136" t="e">
        <f ca="1">OFFSET(INDEX([1]Composições!I:R,MATCH([1]Orçamentária!I1409,[1]Composições!I:I,0),8),2,0)</f>
        <v>#REF!</v>
      </c>
      <c r="N1409" t="e">
        <v>#REF!</v>
      </c>
      <c r="Q1409" t="e">
        <v>#REF!</v>
      </c>
    </row>
    <row r="1410" spans="1:17" hidden="1" x14ac:dyDescent="0.25">
      <c r="A1410" s="114" t="s">
        <v>4194</v>
      </c>
      <c r="B1410" s="115" t="s">
        <v>3341</v>
      </c>
      <c r="C1410" s="116" t="s">
        <v>2177</v>
      </c>
      <c r="D1410" s="116">
        <v>0</v>
      </c>
      <c r="E1410" s="136">
        <f ca="1">OFFSET(INDEX(Composições!A:J,MATCH(Orçamentária!A1410,Composições!A:A,0),8),2,0)</f>
        <v>4606.8711684</v>
      </c>
      <c r="F1410" s="137">
        <f t="shared" ca="1" si="135"/>
        <v>0</v>
      </c>
      <c r="G1410" s="138" t="e">
        <f>IF(A1410&lt;&gt;"",IF(AND(#REF!="Padrão",$H$4=#REF!),BDI!$B$17,IF(AND(#REF!="Padrão",$H$4=#REF!),BDI!#REF!,IF(AND(#REF!="Diferenciado",$H$4=#REF!),BDI!$E$17,IF(AND(#REF!="Diferenciado",$H$4=#REF!),BDI!#REF!,IF(#REF!="ZERO",0))))),"")</f>
        <v>#REF!</v>
      </c>
      <c r="H1410" s="139" t="e">
        <f t="shared" ca="1" si="136"/>
        <v>#REF!</v>
      </c>
      <c r="I1410" s="137" t="e">
        <f t="shared" ca="1" si="137"/>
        <v>#REF!</v>
      </c>
      <c r="J1410" s="117"/>
      <c r="K1410" s="116">
        <v>0</v>
      </c>
      <c r="M1410" s="136" t="e">
        <f ca="1">OFFSET(INDEX([1]Composições!I:R,MATCH([1]Orçamentária!I1410,[1]Composições!I:I,0),8),2,0)</f>
        <v>#REF!</v>
      </c>
      <c r="N1410" t="e">
        <v>#REF!</v>
      </c>
      <c r="Q1410" t="e">
        <v>#REF!</v>
      </c>
    </row>
    <row r="1411" spans="1:17" hidden="1" x14ac:dyDescent="0.25">
      <c r="A1411" s="114" t="s">
        <v>4195</v>
      </c>
      <c r="B1411" s="115" t="s">
        <v>3342</v>
      </c>
      <c r="C1411" s="116" t="s">
        <v>2177</v>
      </c>
      <c r="D1411" s="116">
        <v>0</v>
      </c>
      <c r="E1411" s="136">
        <f ca="1">OFFSET(INDEX(Composições!A:J,MATCH(Orçamentária!A1411,Composições!A:A,0),8),2,0)</f>
        <v>2204.9726641500001</v>
      </c>
      <c r="F1411" s="137">
        <f t="shared" ca="1" si="135"/>
        <v>0</v>
      </c>
      <c r="G1411" s="138" t="e">
        <f>IF(A1411&lt;&gt;"",IF(AND(#REF!="Padrão",$H$4=#REF!),BDI!$B$17,IF(AND(#REF!="Padrão",$H$4=#REF!),BDI!#REF!,IF(AND(#REF!="Diferenciado",$H$4=#REF!),BDI!$E$17,IF(AND(#REF!="Diferenciado",$H$4=#REF!),BDI!#REF!,IF(#REF!="ZERO",0))))),"")</f>
        <v>#REF!</v>
      </c>
      <c r="H1411" s="139" t="e">
        <f t="shared" ca="1" si="136"/>
        <v>#REF!</v>
      </c>
      <c r="I1411" s="137" t="e">
        <f t="shared" ca="1" si="137"/>
        <v>#REF!</v>
      </c>
      <c r="J1411" s="117"/>
      <c r="K1411" s="116">
        <v>0</v>
      </c>
      <c r="M1411" s="136" t="e">
        <f ca="1">OFFSET(INDEX([1]Composições!I:R,MATCH([1]Orçamentária!I1411,[1]Composições!I:I,0),8),2,0)</f>
        <v>#REF!</v>
      </c>
      <c r="N1411" t="e">
        <v>#REF!</v>
      </c>
      <c r="Q1411" t="e">
        <v>#REF!</v>
      </c>
    </row>
    <row r="1412" spans="1:17" hidden="1" x14ac:dyDescent="0.25">
      <c r="A1412" s="114" t="s">
        <v>4196</v>
      </c>
      <c r="B1412" s="115" t="s">
        <v>3343</v>
      </c>
      <c r="C1412" s="116" t="s">
        <v>2177</v>
      </c>
      <c r="D1412" s="116">
        <v>0</v>
      </c>
      <c r="E1412" s="136">
        <f ca="1">OFFSET(INDEX(Composições!A:J,MATCH(Orçamentária!A1412,Composições!A:A,0),8),2,0)</f>
        <v>2483.4536501499997</v>
      </c>
      <c r="F1412" s="137">
        <f t="shared" ca="1" si="135"/>
        <v>0</v>
      </c>
      <c r="G1412" s="138" t="e">
        <f>IF(A1412&lt;&gt;"",IF(AND(#REF!="Padrão",$H$4=#REF!),BDI!$B$17,IF(AND(#REF!="Padrão",$H$4=#REF!),BDI!#REF!,IF(AND(#REF!="Diferenciado",$H$4=#REF!),BDI!$E$17,IF(AND(#REF!="Diferenciado",$H$4=#REF!),BDI!#REF!,IF(#REF!="ZERO",0))))),"")</f>
        <v>#REF!</v>
      </c>
      <c r="H1412" s="139" t="e">
        <f t="shared" ca="1" si="136"/>
        <v>#REF!</v>
      </c>
      <c r="I1412" s="137" t="e">
        <f t="shared" ca="1" si="137"/>
        <v>#REF!</v>
      </c>
      <c r="J1412" s="117"/>
      <c r="K1412" s="116">
        <v>0</v>
      </c>
      <c r="M1412" s="136" t="e">
        <f ca="1">OFFSET(INDEX([1]Composições!I:R,MATCH([1]Orçamentária!I1412,[1]Composições!I:I,0),8),2,0)</f>
        <v>#REF!</v>
      </c>
      <c r="N1412" t="e">
        <v>#REF!</v>
      </c>
      <c r="Q1412" t="e">
        <v>#REF!</v>
      </c>
    </row>
    <row r="1413" spans="1:17" hidden="1" x14ac:dyDescent="0.25">
      <c r="A1413" s="114" t="s">
        <v>4197</v>
      </c>
      <c r="B1413" s="115" t="s">
        <v>3344</v>
      </c>
      <c r="C1413" s="116" t="s">
        <v>2177</v>
      </c>
      <c r="D1413" s="116">
        <v>0</v>
      </c>
      <c r="E1413" s="136">
        <f ca="1">OFFSET(INDEX(Composições!A:J,MATCH(Orçamentária!A1413,Composições!A:A,0),8),2,0)</f>
        <v>1665.9130412499999</v>
      </c>
      <c r="F1413" s="137">
        <f t="shared" ca="1" si="135"/>
        <v>0</v>
      </c>
      <c r="G1413" s="138" t="e">
        <f>IF(A1413&lt;&gt;"",IF(AND(#REF!="Padrão",$H$4=#REF!),BDI!$B$17,IF(AND(#REF!="Padrão",$H$4=#REF!),BDI!#REF!,IF(AND(#REF!="Diferenciado",$H$4=#REF!),BDI!$E$17,IF(AND(#REF!="Diferenciado",$H$4=#REF!),BDI!#REF!,IF(#REF!="ZERO",0))))),"")</f>
        <v>#REF!</v>
      </c>
      <c r="H1413" s="139" t="e">
        <f t="shared" ca="1" si="136"/>
        <v>#REF!</v>
      </c>
      <c r="I1413" s="137" t="e">
        <f t="shared" ca="1" si="137"/>
        <v>#REF!</v>
      </c>
      <c r="J1413" s="117"/>
      <c r="K1413" s="116">
        <v>0</v>
      </c>
      <c r="M1413" s="136" t="e">
        <f ca="1">OFFSET(INDEX([1]Composições!I:R,MATCH([1]Orçamentária!I1413,[1]Composições!I:I,0),8),2,0)</f>
        <v>#REF!</v>
      </c>
      <c r="N1413" t="e">
        <v>#REF!</v>
      </c>
      <c r="Q1413" t="e">
        <v>#REF!</v>
      </c>
    </row>
    <row r="1414" spans="1:17" hidden="1" x14ac:dyDescent="0.25">
      <c r="A1414" s="114" t="s">
        <v>4198</v>
      </c>
      <c r="B1414" s="115" t="s">
        <v>3345</v>
      </c>
      <c r="C1414" s="116" t="s">
        <v>2177</v>
      </c>
      <c r="D1414" s="116">
        <v>0</v>
      </c>
      <c r="E1414" s="136">
        <f ca="1">OFFSET(INDEX(Composições!A:J,MATCH(Orçamentária!A1414,Composições!A:A,0),8),2,0)</f>
        <v>3527.7573476499997</v>
      </c>
      <c r="F1414" s="137">
        <f t="shared" ca="1" si="135"/>
        <v>0</v>
      </c>
      <c r="G1414" s="138" t="e">
        <f>IF(A1414&lt;&gt;"",IF(AND(#REF!="Padrão",$H$4=#REF!),BDI!$B$17,IF(AND(#REF!="Padrão",$H$4=#REF!),BDI!#REF!,IF(AND(#REF!="Diferenciado",$H$4=#REF!),BDI!$E$17,IF(AND(#REF!="Diferenciado",$H$4=#REF!),BDI!#REF!,IF(#REF!="ZERO",0))))),"")</f>
        <v>#REF!</v>
      </c>
      <c r="H1414" s="139" t="e">
        <f t="shared" ca="1" si="136"/>
        <v>#REF!</v>
      </c>
      <c r="I1414" s="137" t="e">
        <f t="shared" ca="1" si="137"/>
        <v>#REF!</v>
      </c>
      <c r="J1414" s="117"/>
      <c r="K1414" s="116">
        <v>0</v>
      </c>
      <c r="M1414" s="136" t="e">
        <f ca="1">OFFSET(INDEX([1]Composições!I:R,MATCH([1]Orçamentária!I1414,[1]Composições!I:I,0),8),2,0)</f>
        <v>#REF!</v>
      </c>
      <c r="N1414" t="e">
        <v>#REF!</v>
      </c>
      <c r="Q1414" t="e">
        <v>#REF!</v>
      </c>
    </row>
    <row r="1415" spans="1:17" hidden="1" x14ac:dyDescent="0.25">
      <c r="A1415" s="114" t="s">
        <v>4199</v>
      </c>
      <c r="B1415" s="115" t="s">
        <v>3346</v>
      </c>
      <c r="C1415" s="116" t="s">
        <v>2177</v>
      </c>
      <c r="D1415" s="116">
        <v>0</v>
      </c>
      <c r="E1415" s="136">
        <f ca="1">OFFSET(INDEX(Composições!A:J,MATCH(Orçamentária!A1415,Composições!A:A,0),8),2,0)</f>
        <v>3527.7573476499997</v>
      </c>
      <c r="F1415" s="137">
        <f t="shared" ca="1" si="135"/>
        <v>0</v>
      </c>
      <c r="G1415" s="138" t="e">
        <f>IF(A1415&lt;&gt;"",IF(AND(#REF!="Padrão",$H$4=#REF!),BDI!$B$17,IF(AND(#REF!="Padrão",$H$4=#REF!),BDI!#REF!,IF(AND(#REF!="Diferenciado",$H$4=#REF!),BDI!$E$17,IF(AND(#REF!="Diferenciado",$H$4=#REF!),BDI!#REF!,IF(#REF!="ZERO",0))))),"")</f>
        <v>#REF!</v>
      </c>
      <c r="H1415" s="139" t="e">
        <f t="shared" ca="1" si="136"/>
        <v>#REF!</v>
      </c>
      <c r="I1415" s="137" t="e">
        <f t="shared" ca="1" si="137"/>
        <v>#REF!</v>
      </c>
      <c r="J1415" s="117"/>
      <c r="K1415" s="116">
        <v>0</v>
      </c>
      <c r="M1415" s="136" t="e">
        <f ca="1">OFFSET(INDEX([1]Composições!I:R,MATCH([1]Orçamentária!I1415,[1]Composições!I:I,0),8),2,0)</f>
        <v>#REF!</v>
      </c>
      <c r="N1415" t="e">
        <v>#REF!</v>
      </c>
      <c r="Q1415" t="e">
        <v>#REF!</v>
      </c>
    </row>
    <row r="1416" spans="1:17" hidden="1" x14ac:dyDescent="0.25">
      <c r="A1416" s="114" t="s">
        <v>4200</v>
      </c>
      <c r="B1416" s="115" t="s">
        <v>3347</v>
      </c>
      <c r="C1416" s="116" t="s">
        <v>2177</v>
      </c>
      <c r="D1416" s="116">
        <v>0</v>
      </c>
      <c r="E1416" s="136">
        <f ca="1">OFFSET(INDEX(Composições!A:J,MATCH(Orçamentária!A1416,Composições!A:A,0),8),2,0)</f>
        <v>3527.7573476499997</v>
      </c>
      <c r="F1416" s="137">
        <f t="shared" ca="1" si="135"/>
        <v>0</v>
      </c>
      <c r="G1416" s="138" t="e">
        <f>IF(A1416&lt;&gt;"",IF(AND(#REF!="Padrão",$H$4=#REF!),BDI!$B$17,IF(AND(#REF!="Padrão",$H$4=#REF!),BDI!#REF!,IF(AND(#REF!="Diferenciado",$H$4=#REF!),BDI!$E$17,IF(AND(#REF!="Diferenciado",$H$4=#REF!),BDI!#REF!,IF(#REF!="ZERO",0))))),"")</f>
        <v>#REF!</v>
      </c>
      <c r="H1416" s="139" t="e">
        <f t="shared" ca="1" si="136"/>
        <v>#REF!</v>
      </c>
      <c r="I1416" s="137" t="e">
        <f t="shared" ca="1" si="137"/>
        <v>#REF!</v>
      </c>
      <c r="J1416" s="117"/>
      <c r="K1416" s="116">
        <v>0</v>
      </c>
      <c r="M1416" s="136" t="e">
        <f ca="1">OFFSET(INDEX([1]Composições!I:R,MATCH([1]Orçamentária!I1416,[1]Composições!I:I,0),8),2,0)</f>
        <v>#REF!</v>
      </c>
      <c r="N1416" t="e">
        <v>#REF!</v>
      </c>
      <c r="Q1416" t="e">
        <v>#REF!</v>
      </c>
    </row>
    <row r="1417" spans="1:17" hidden="1" x14ac:dyDescent="0.25">
      <c r="A1417" s="114" t="s">
        <v>4201</v>
      </c>
      <c r="B1417" s="115" t="s">
        <v>3348</v>
      </c>
      <c r="C1417" s="116" t="s">
        <v>2177</v>
      </c>
      <c r="D1417" s="116">
        <v>0</v>
      </c>
      <c r="E1417" s="136">
        <f ca="1">OFFSET(INDEX(Composições!A:J,MATCH(Orçamentária!A1417,Composições!A:A,0),8),2,0)</f>
        <v>3527.7573476499997</v>
      </c>
      <c r="F1417" s="137">
        <f t="shared" ca="1" si="135"/>
        <v>0</v>
      </c>
      <c r="G1417" s="138" t="e">
        <f>IF(A1417&lt;&gt;"",IF(AND(#REF!="Padrão",$H$4=#REF!),BDI!$B$17,IF(AND(#REF!="Padrão",$H$4=#REF!),BDI!#REF!,IF(AND(#REF!="Diferenciado",$H$4=#REF!),BDI!$E$17,IF(AND(#REF!="Diferenciado",$H$4=#REF!),BDI!#REF!,IF(#REF!="ZERO",0))))),"")</f>
        <v>#REF!</v>
      </c>
      <c r="H1417" s="139" t="e">
        <f t="shared" ca="1" si="136"/>
        <v>#REF!</v>
      </c>
      <c r="I1417" s="137" t="e">
        <f t="shared" ca="1" si="137"/>
        <v>#REF!</v>
      </c>
      <c r="J1417" s="117"/>
      <c r="K1417" s="116">
        <v>0</v>
      </c>
      <c r="M1417" s="136" t="e">
        <f ca="1">OFFSET(INDEX([1]Composições!I:R,MATCH([1]Orçamentária!I1417,[1]Composições!I:I,0),8),2,0)</f>
        <v>#REF!</v>
      </c>
      <c r="N1417" t="e">
        <v>#REF!</v>
      </c>
      <c r="Q1417" t="e">
        <v>#REF!</v>
      </c>
    </row>
    <row r="1418" spans="1:17" hidden="1" x14ac:dyDescent="0.25">
      <c r="A1418" s="114" t="s">
        <v>4202</v>
      </c>
      <c r="B1418" s="115" t="s">
        <v>3349</v>
      </c>
      <c r="C1418" s="116" t="s">
        <v>2177</v>
      </c>
      <c r="D1418" s="116">
        <v>0</v>
      </c>
      <c r="E1418" s="136">
        <f ca="1">OFFSET(INDEX(Composições!A:J,MATCH(Orçamentária!A1418,Composições!A:A,0),8),2,0)</f>
        <v>2914.1046034999999</v>
      </c>
      <c r="F1418" s="137">
        <f t="shared" ca="1" si="135"/>
        <v>0</v>
      </c>
      <c r="G1418" s="138" t="e">
        <f>IF(A1418&lt;&gt;"",IF(AND(#REF!="Padrão",$H$4=#REF!),BDI!$B$17,IF(AND(#REF!="Padrão",$H$4=#REF!),BDI!#REF!,IF(AND(#REF!="Diferenciado",$H$4=#REF!),BDI!$E$17,IF(AND(#REF!="Diferenciado",$H$4=#REF!),BDI!#REF!,IF(#REF!="ZERO",0))))),"")</f>
        <v>#REF!</v>
      </c>
      <c r="H1418" s="139" t="e">
        <f t="shared" ca="1" si="136"/>
        <v>#REF!</v>
      </c>
      <c r="I1418" s="137" t="e">
        <f t="shared" ca="1" si="137"/>
        <v>#REF!</v>
      </c>
      <c r="J1418" s="117"/>
      <c r="K1418" s="116">
        <v>0</v>
      </c>
      <c r="M1418" s="136" t="e">
        <f ca="1">OFFSET(INDEX([1]Composições!I:R,MATCH([1]Orçamentária!I1418,[1]Composições!I:I,0),8),2,0)</f>
        <v>#REF!</v>
      </c>
      <c r="N1418" t="e">
        <v>#REF!</v>
      </c>
      <c r="Q1418" t="e">
        <v>#REF!</v>
      </c>
    </row>
    <row r="1419" spans="1:17" hidden="1" x14ac:dyDescent="0.25">
      <c r="A1419" s="114" t="s">
        <v>4203</v>
      </c>
      <c r="B1419" s="115" t="s">
        <v>3350</v>
      </c>
      <c r="C1419" s="116" t="s">
        <v>2177</v>
      </c>
      <c r="D1419" s="116">
        <v>0</v>
      </c>
      <c r="E1419" s="136">
        <f ca="1">OFFSET(INDEX(Composições!A:J,MATCH(Orçamentária!A1419,Composições!A:A,0),8),2,0)</f>
        <v>2259.6742863999998</v>
      </c>
      <c r="F1419" s="137">
        <f t="shared" ca="1" si="135"/>
        <v>0</v>
      </c>
      <c r="G1419" s="138" t="e">
        <f>IF(A1419&lt;&gt;"",IF(AND(#REF!="Padrão",$H$4=#REF!),BDI!$B$17,IF(AND(#REF!="Padrão",$H$4=#REF!),BDI!#REF!,IF(AND(#REF!="Diferenciado",$H$4=#REF!),BDI!$E$17,IF(AND(#REF!="Diferenciado",$H$4=#REF!),BDI!#REF!,IF(#REF!="ZERO",0))))),"")</f>
        <v>#REF!</v>
      </c>
      <c r="H1419" s="139" t="e">
        <f t="shared" ca="1" si="136"/>
        <v>#REF!</v>
      </c>
      <c r="I1419" s="137" t="e">
        <f t="shared" ca="1" si="137"/>
        <v>#REF!</v>
      </c>
      <c r="J1419" s="117"/>
      <c r="K1419" s="116">
        <v>0</v>
      </c>
      <c r="M1419" s="136" t="e">
        <f ca="1">OFFSET(INDEX([1]Composições!I:R,MATCH([1]Orçamentária!I1419,[1]Composições!I:I,0),8),2,0)</f>
        <v>#REF!</v>
      </c>
      <c r="N1419" t="e">
        <v>#REF!</v>
      </c>
      <c r="Q1419" t="e">
        <v>#REF!</v>
      </c>
    </row>
    <row r="1420" spans="1:17" hidden="1" x14ac:dyDescent="0.25">
      <c r="A1420" s="114" t="s">
        <v>4204</v>
      </c>
      <c r="B1420" s="115" t="s">
        <v>3351</v>
      </c>
      <c r="C1420" s="116" t="s">
        <v>2177</v>
      </c>
      <c r="D1420" s="116">
        <v>0</v>
      </c>
      <c r="E1420" s="136">
        <f ca="1">OFFSET(INDEX(Composições!A:J,MATCH(Orçamentária!A1420,Composições!A:A,0),8),2,0)</f>
        <v>3527.7573476499997</v>
      </c>
      <c r="F1420" s="137">
        <f t="shared" ca="1" si="135"/>
        <v>0</v>
      </c>
      <c r="G1420" s="138" t="e">
        <f>IF(A1420&lt;&gt;"",IF(AND(#REF!="Padrão",$H$4=#REF!),BDI!$B$17,IF(AND(#REF!="Padrão",$H$4=#REF!),BDI!#REF!,IF(AND(#REF!="Diferenciado",$H$4=#REF!),BDI!$E$17,IF(AND(#REF!="Diferenciado",$H$4=#REF!),BDI!#REF!,IF(#REF!="ZERO",0))))),"")</f>
        <v>#REF!</v>
      </c>
      <c r="H1420" s="139" t="e">
        <f t="shared" ca="1" si="136"/>
        <v>#REF!</v>
      </c>
      <c r="I1420" s="137" t="e">
        <f t="shared" ca="1" si="137"/>
        <v>#REF!</v>
      </c>
      <c r="J1420" s="117"/>
      <c r="K1420" s="116">
        <v>0</v>
      </c>
      <c r="M1420" s="136" t="e">
        <f ca="1">OFFSET(INDEX([1]Composições!I:R,MATCH([1]Orçamentária!I1420,[1]Composições!I:I,0),8),2,0)</f>
        <v>#REF!</v>
      </c>
      <c r="N1420" t="e">
        <v>#REF!</v>
      </c>
      <c r="Q1420" t="e">
        <v>#REF!</v>
      </c>
    </row>
    <row r="1421" spans="1:17" hidden="1" x14ac:dyDescent="0.25">
      <c r="A1421" s="114" t="s">
        <v>4205</v>
      </c>
      <c r="B1421" s="115" t="s">
        <v>3352</v>
      </c>
      <c r="C1421" s="116" t="s">
        <v>2177</v>
      </c>
      <c r="D1421" s="116">
        <v>0</v>
      </c>
      <c r="E1421" s="136">
        <f ca="1">OFFSET(INDEX(Composições!A:J,MATCH(Orçamentária!A1421,Composições!A:A,0),8),2,0)</f>
        <v>3527.7573476499997</v>
      </c>
      <c r="F1421" s="137">
        <f t="shared" ca="1" si="135"/>
        <v>0</v>
      </c>
      <c r="G1421" s="138" t="e">
        <f>IF(A1421&lt;&gt;"",IF(AND(#REF!="Padrão",$H$4=#REF!),BDI!$B$17,IF(AND(#REF!="Padrão",$H$4=#REF!),BDI!#REF!,IF(AND(#REF!="Diferenciado",$H$4=#REF!),BDI!$E$17,IF(AND(#REF!="Diferenciado",$H$4=#REF!),BDI!#REF!,IF(#REF!="ZERO",0))))),"")</f>
        <v>#REF!</v>
      </c>
      <c r="H1421" s="139" t="e">
        <f t="shared" ca="1" si="136"/>
        <v>#REF!</v>
      </c>
      <c r="I1421" s="137" t="e">
        <f t="shared" ca="1" si="137"/>
        <v>#REF!</v>
      </c>
      <c r="J1421" s="117"/>
      <c r="K1421" s="116">
        <v>0</v>
      </c>
      <c r="M1421" s="136" t="e">
        <f ca="1">OFFSET(INDEX([1]Composições!I:R,MATCH([1]Orçamentária!I1421,[1]Composições!I:I,0),8),2,0)</f>
        <v>#REF!</v>
      </c>
      <c r="N1421" t="e">
        <v>#REF!</v>
      </c>
      <c r="Q1421" t="e">
        <v>#REF!</v>
      </c>
    </row>
    <row r="1422" spans="1:17" hidden="1" x14ac:dyDescent="0.25">
      <c r="A1422" s="114" t="s">
        <v>4206</v>
      </c>
      <c r="B1422" s="115" t="s">
        <v>3353</v>
      </c>
      <c r="C1422" s="116" t="s">
        <v>2177</v>
      </c>
      <c r="D1422" s="116">
        <v>0</v>
      </c>
      <c r="E1422" s="136">
        <f ca="1">OFFSET(INDEX(Composições!A:J,MATCH(Orçamentária!A1422,Composições!A:A,0),8),2,0)</f>
        <v>3527.7573476499997</v>
      </c>
      <c r="F1422" s="137">
        <f t="shared" ca="1" si="135"/>
        <v>0</v>
      </c>
      <c r="G1422" s="138" t="e">
        <f>IF(A1422&lt;&gt;"",IF(AND(#REF!="Padrão",$H$4=#REF!),BDI!$B$17,IF(AND(#REF!="Padrão",$H$4=#REF!),BDI!#REF!,IF(AND(#REF!="Diferenciado",$H$4=#REF!),BDI!$E$17,IF(AND(#REF!="Diferenciado",$H$4=#REF!),BDI!#REF!,IF(#REF!="ZERO",0))))),"")</f>
        <v>#REF!</v>
      </c>
      <c r="H1422" s="139" t="e">
        <f t="shared" ca="1" si="136"/>
        <v>#REF!</v>
      </c>
      <c r="I1422" s="137" t="e">
        <f t="shared" ca="1" si="137"/>
        <v>#REF!</v>
      </c>
      <c r="J1422" s="117"/>
      <c r="K1422" s="116">
        <v>0</v>
      </c>
      <c r="M1422" s="136" t="e">
        <f ca="1">OFFSET(INDEX([1]Composições!I:R,MATCH([1]Orçamentária!I1422,[1]Composições!I:I,0),8),2,0)</f>
        <v>#REF!</v>
      </c>
      <c r="N1422" t="e">
        <v>#REF!</v>
      </c>
      <c r="Q1422" t="e">
        <v>#REF!</v>
      </c>
    </row>
    <row r="1423" spans="1:17" hidden="1" x14ac:dyDescent="0.25">
      <c r="A1423" s="114" t="s">
        <v>4207</v>
      </c>
      <c r="B1423" s="115" t="s">
        <v>3354</v>
      </c>
      <c r="C1423" s="116" t="s">
        <v>2177</v>
      </c>
      <c r="D1423" s="116">
        <v>0</v>
      </c>
      <c r="E1423" s="136">
        <f ca="1">OFFSET(INDEX(Composições!A:J,MATCH(Orçamentária!A1423,Composições!A:A,0),8),2,0)</f>
        <v>3527.7573476499997</v>
      </c>
      <c r="F1423" s="137">
        <f t="shared" ca="1" si="135"/>
        <v>0</v>
      </c>
      <c r="G1423" s="138" t="e">
        <f>IF(A1423&lt;&gt;"",IF(AND(#REF!="Padrão",$H$4=#REF!),BDI!$B$17,IF(AND(#REF!="Padrão",$H$4=#REF!),BDI!#REF!,IF(AND(#REF!="Diferenciado",$H$4=#REF!),BDI!$E$17,IF(AND(#REF!="Diferenciado",$H$4=#REF!),BDI!#REF!,IF(#REF!="ZERO",0))))),"")</f>
        <v>#REF!</v>
      </c>
      <c r="H1423" s="139" t="e">
        <f t="shared" ca="1" si="136"/>
        <v>#REF!</v>
      </c>
      <c r="I1423" s="137" t="e">
        <f t="shared" ca="1" si="137"/>
        <v>#REF!</v>
      </c>
      <c r="J1423" s="117"/>
      <c r="K1423" s="116">
        <v>0</v>
      </c>
      <c r="M1423" s="136" t="e">
        <f ca="1">OFFSET(INDEX([1]Composições!I:R,MATCH([1]Orçamentária!I1423,[1]Composições!I:I,0),8),2,0)</f>
        <v>#REF!</v>
      </c>
      <c r="N1423" t="e">
        <v>#REF!</v>
      </c>
      <c r="Q1423" t="e">
        <v>#REF!</v>
      </c>
    </row>
    <row r="1424" spans="1:17" hidden="1" x14ac:dyDescent="0.25">
      <c r="A1424" s="114" t="s">
        <v>4208</v>
      </c>
      <c r="B1424" s="115" t="s">
        <v>3355</v>
      </c>
      <c r="C1424" s="116" t="s">
        <v>2177</v>
      </c>
      <c r="D1424" s="116">
        <v>0</v>
      </c>
      <c r="E1424" s="136">
        <f ca="1">OFFSET(INDEX(Composições!A:J,MATCH(Orçamentária!A1424,Composições!A:A,0),8),2,0)</f>
        <v>2914.1046034999999</v>
      </c>
      <c r="F1424" s="137">
        <f t="shared" ca="1" si="135"/>
        <v>0</v>
      </c>
      <c r="G1424" s="138" t="e">
        <f>IF(A1424&lt;&gt;"",IF(AND(#REF!="Padrão",$H$4=#REF!),BDI!$B$17,IF(AND(#REF!="Padrão",$H$4=#REF!),BDI!#REF!,IF(AND(#REF!="Diferenciado",$H$4=#REF!),BDI!$E$17,IF(AND(#REF!="Diferenciado",$H$4=#REF!),BDI!#REF!,IF(#REF!="ZERO",0))))),"")</f>
        <v>#REF!</v>
      </c>
      <c r="H1424" s="139" t="e">
        <f t="shared" ca="1" si="136"/>
        <v>#REF!</v>
      </c>
      <c r="I1424" s="137" t="e">
        <f t="shared" ca="1" si="137"/>
        <v>#REF!</v>
      </c>
      <c r="J1424" s="117"/>
      <c r="K1424" s="116">
        <v>0</v>
      </c>
      <c r="M1424" s="136" t="e">
        <f ca="1">OFFSET(INDEX([1]Composições!I:R,MATCH([1]Orçamentária!I1424,[1]Composições!I:I,0),8),2,0)</f>
        <v>#REF!</v>
      </c>
      <c r="N1424" t="e">
        <v>#REF!</v>
      </c>
      <c r="Q1424" t="e">
        <v>#REF!</v>
      </c>
    </row>
    <row r="1425" spans="1:17" hidden="1" x14ac:dyDescent="0.25">
      <c r="A1425" s="114" t="s">
        <v>4209</v>
      </c>
      <c r="B1425" s="115" t="s">
        <v>3356</v>
      </c>
      <c r="C1425" s="116" t="s">
        <v>2177</v>
      </c>
      <c r="D1425" s="116">
        <v>0</v>
      </c>
      <c r="E1425" s="136">
        <f ca="1">OFFSET(INDEX(Composições!A:J,MATCH(Orçamentária!A1425,Composições!A:A,0),8),2,0)</f>
        <v>2914.1046034999999</v>
      </c>
      <c r="F1425" s="137">
        <f t="shared" ca="1" si="135"/>
        <v>0</v>
      </c>
      <c r="G1425" s="138" t="e">
        <f>IF(A1425&lt;&gt;"",IF(AND(#REF!="Padrão",$H$4=#REF!),BDI!$B$17,IF(AND(#REF!="Padrão",$H$4=#REF!),BDI!#REF!,IF(AND(#REF!="Diferenciado",$H$4=#REF!),BDI!$E$17,IF(AND(#REF!="Diferenciado",$H$4=#REF!),BDI!#REF!,IF(#REF!="ZERO",0))))),"")</f>
        <v>#REF!</v>
      </c>
      <c r="H1425" s="139" t="e">
        <f t="shared" ca="1" si="136"/>
        <v>#REF!</v>
      </c>
      <c r="I1425" s="137" t="e">
        <f t="shared" ca="1" si="137"/>
        <v>#REF!</v>
      </c>
      <c r="J1425" s="117"/>
      <c r="K1425" s="116">
        <v>0</v>
      </c>
      <c r="M1425" s="136" t="e">
        <f ca="1">OFFSET(INDEX([1]Composições!I:R,MATCH([1]Orçamentária!I1425,[1]Composições!I:I,0),8),2,0)</f>
        <v>#REF!</v>
      </c>
      <c r="N1425" t="e">
        <v>#REF!</v>
      </c>
      <c r="Q1425" t="e">
        <v>#REF!</v>
      </c>
    </row>
    <row r="1426" spans="1:17" hidden="1" x14ac:dyDescent="0.25">
      <c r="A1426" s="114" t="s">
        <v>4210</v>
      </c>
      <c r="B1426" s="115" t="s">
        <v>3357</v>
      </c>
      <c r="C1426" s="116" t="s">
        <v>2177</v>
      </c>
      <c r="D1426" s="116">
        <v>0</v>
      </c>
      <c r="E1426" s="136">
        <f ca="1">OFFSET(INDEX(Composições!A:J,MATCH(Orçamentária!A1426,Composições!A:A,0),8),2,0)</f>
        <v>2914.1046034999999</v>
      </c>
      <c r="F1426" s="137">
        <f t="shared" ca="1" si="135"/>
        <v>0</v>
      </c>
      <c r="G1426" s="138" t="e">
        <f>IF(A1426&lt;&gt;"",IF(AND(#REF!="Padrão",$H$4=#REF!),BDI!$B$17,IF(AND(#REF!="Padrão",$H$4=#REF!),BDI!#REF!,IF(AND(#REF!="Diferenciado",$H$4=#REF!),BDI!$E$17,IF(AND(#REF!="Diferenciado",$H$4=#REF!),BDI!#REF!,IF(#REF!="ZERO",0))))),"")</f>
        <v>#REF!</v>
      </c>
      <c r="H1426" s="139" t="e">
        <f t="shared" ca="1" si="136"/>
        <v>#REF!</v>
      </c>
      <c r="I1426" s="137" t="e">
        <f t="shared" ca="1" si="137"/>
        <v>#REF!</v>
      </c>
      <c r="J1426" s="117"/>
      <c r="K1426" s="116">
        <v>0</v>
      </c>
      <c r="M1426" s="136" t="e">
        <f ca="1">OFFSET(INDEX([1]Composições!I:R,MATCH([1]Orçamentária!I1426,[1]Composições!I:I,0),8),2,0)</f>
        <v>#REF!</v>
      </c>
      <c r="N1426" t="e">
        <v>#REF!</v>
      </c>
      <c r="Q1426" t="e">
        <v>#REF!</v>
      </c>
    </row>
    <row r="1427" spans="1:17" hidden="1" x14ac:dyDescent="0.25">
      <c r="A1427" s="114" t="s">
        <v>4211</v>
      </c>
      <c r="B1427" s="115" t="s">
        <v>3358</v>
      </c>
      <c r="C1427" s="116" t="s">
        <v>2177</v>
      </c>
      <c r="D1427" s="116">
        <v>0</v>
      </c>
      <c r="E1427" s="136">
        <f ca="1">OFFSET(INDEX(Composições!A:J,MATCH(Orçamentária!A1427,Composições!A:A,0),8),2,0)</f>
        <v>2914.1046034999999</v>
      </c>
      <c r="F1427" s="137">
        <f t="shared" ca="1" si="135"/>
        <v>0</v>
      </c>
      <c r="G1427" s="138" t="e">
        <f>IF(A1427&lt;&gt;"",IF(AND(#REF!="Padrão",$H$4=#REF!),BDI!$B$17,IF(AND(#REF!="Padrão",$H$4=#REF!),BDI!#REF!,IF(AND(#REF!="Diferenciado",$H$4=#REF!),BDI!$E$17,IF(AND(#REF!="Diferenciado",$H$4=#REF!),BDI!#REF!,IF(#REF!="ZERO",0))))),"")</f>
        <v>#REF!</v>
      </c>
      <c r="H1427" s="139" t="e">
        <f t="shared" ca="1" si="136"/>
        <v>#REF!</v>
      </c>
      <c r="I1427" s="137" t="e">
        <f t="shared" ca="1" si="137"/>
        <v>#REF!</v>
      </c>
      <c r="J1427" s="117"/>
      <c r="K1427" s="116">
        <v>0</v>
      </c>
      <c r="M1427" s="136" t="e">
        <f ca="1">OFFSET(INDEX([1]Composições!I:R,MATCH([1]Orçamentária!I1427,[1]Composições!I:I,0),8),2,0)</f>
        <v>#REF!</v>
      </c>
      <c r="N1427" t="e">
        <v>#REF!</v>
      </c>
      <c r="Q1427" t="e">
        <v>#REF!</v>
      </c>
    </row>
    <row r="1428" spans="1:17" hidden="1" x14ac:dyDescent="0.25">
      <c r="A1428" s="114" t="s">
        <v>4212</v>
      </c>
      <c r="B1428" s="115" t="s">
        <v>3359</v>
      </c>
      <c r="C1428" s="116" t="s">
        <v>16</v>
      </c>
      <c r="D1428" s="116">
        <v>0</v>
      </c>
      <c r="E1428" s="136" t="s">
        <v>416</v>
      </c>
      <c r="F1428" s="137" t="str">
        <f t="shared" si="135"/>
        <v/>
      </c>
      <c r="G1428" s="138" t="e">
        <f>IF(A1428&lt;&gt;"",IF(AND(#REF!="Padrão",$H$4=#REF!),BDI!$B$17,IF(AND(#REF!="Padrão",$H$4=#REF!),BDI!#REF!,IF(AND(#REF!="Diferenciado",$H$4=#REF!),BDI!$E$17,IF(AND(#REF!="Diferenciado",$H$4=#REF!),BDI!#REF!,IF(#REF!="ZERO",0))))),"")</f>
        <v>#REF!</v>
      </c>
      <c r="H1428" s="139" t="str">
        <f t="shared" si="136"/>
        <v/>
      </c>
      <c r="I1428" s="137" t="str">
        <f t="shared" si="137"/>
        <v/>
      </c>
      <c r="J1428" s="117"/>
      <c r="K1428" s="116">
        <v>0</v>
      </c>
      <c r="M1428" s="136" t="s">
        <v>416</v>
      </c>
      <c r="N1428" t="e">
        <v>#REF!</v>
      </c>
      <c r="Q1428" t="s">
        <v>416</v>
      </c>
    </row>
    <row r="1429" spans="1:17" hidden="1" x14ac:dyDescent="0.25">
      <c r="A1429" s="114" t="s">
        <v>4213</v>
      </c>
      <c r="B1429" s="115" t="s">
        <v>3360</v>
      </c>
      <c r="C1429" s="116" t="s">
        <v>16</v>
      </c>
      <c r="D1429" s="116">
        <v>0</v>
      </c>
      <c r="E1429" s="136" t="s">
        <v>416</v>
      </c>
      <c r="F1429" s="137" t="str">
        <f t="shared" si="135"/>
        <v/>
      </c>
      <c r="G1429" s="138" t="e">
        <f>IF(A1429&lt;&gt;"",IF(AND(#REF!="Padrão",$H$4=#REF!),BDI!$B$17,IF(AND(#REF!="Padrão",$H$4=#REF!),BDI!#REF!,IF(AND(#REF!="Diferenciado",$H$4=#REF!),BDI!$E$17,IF(AND(#REF!="Diferenciado",$H$4=#REF!),BDI!#REF!,IF(#REF!="ZERO",0))))),"")</f>
        <v>#REF!</v>
      </c>
      <c r="H1429" s="139" t="str">
        <f t="shared" si="136"/>
        <v/>
      </c>
      <c r="I1429" s="137" t="str">
        <f t="shared" si="137"/>
        <v/>
      </c>
      <c r="J1429" s="117"/>
      <c r="K1429" s="116">
        <v>0</v>
      </c>
      <c r="M1429" s="136" t="s">
        <v>416</v>
      </c>
      <c r="N1429" t="e">
        <v>#REF!</v>
      </c>
      <c r="Q1429" t="s">
        <v>416</v>
      </c>
    </row>
    <row r="1430" spans="1:17" hidden="1" x14ac:dyDescent="0.25">
      <c r="A1430" s="114" t="s">
        <v>4214</v>
      </c>
      <c r="B1430" s="115" t="s">
        <v>3361</v>
      </c>
      <c r="C1430" s="116" t="s">
        <v>16</v>
      </c>
      <c r="D1430" s="116">
        <v>0</v>
      </c>
      <c r="E1430" s="136" t="s">
        <v>416</v>
      </c>
      <c r="F1430" s="137" t="str">
        <f t="shared" si="135"/>
        <v/>
      </c>
      <c r="G1430" s="138" t="e">
        <f>IF(A1430&lt;&gt;"",IF(AND(#REF!="Padrão",$H$4=#REF!),BDI!$B$17,IF(AND(#REF!="Padrão",$H$4=#REF!),BDI!#REF!,IF(AND(#REF!="Diferenciado",$H$4=#REF!),BDI!$E$17,IF(AND(#REF!="Diferenciado",$H$4=#REF!),BDI!#REF!,IF(#REF!="ZERO",0))))),"")</f>
        <v>#REF!</v>
      </c>
      <c r="H1430" s="139" t="str">
        <f t="shared" si="136"/>
        <v/>
      </c>
      <c r="I1430" s="137" t="str">
        <f t="shared" si="137"/>
        <v/>
      </c>
      <c r="J1430" s="117"/>
      <c r="K1430" s="116">
        <v>0</v>
      </c>
      <c r="M1430" s="136" t="s">
        <v>416</v>
      </c>
      <c r="N1430" t="e">
        <v>#REF!</v>
      </c>
      <c r="Q1430" t="s">
        <v>416</v>
      </c>
    </row>
    <row r="1431" spans="1:17" hidden="1" x14ac:dyDescent="0.25">
      <c r="A1431" s="114" t="s">
        <v>4215</v>
      </c>
      <c r="B1431" s="115" t="s">
        <v>3362</v>
      </c>
      <c r="C1431" s="116" t="s">
        <v>16</v>
      </c>
      <c r="D1431" s="116">
        <v>0</v>
      </c>
      <c r="E1431" s="136" t="s">
        <v>416</v>
      </c>
      <c r="F1431" s="137" t="str">
        <f t="shared" si="135"/>
        <v/>
      </c>
      <c r="G1431" s="138" t="e">
        <f>IF(A1431&lt;&gt;"",IF(AND(#REF!="Padrão",$H$4=#REF!),BDI!$B$17,IF(AND(#REF!="Padrão",$H$4=#REF!),BDI!#REF!,IF(AND(#REF!="Diferenciado",$H$4=#REF!),BDI!$E$17,IF(AND(#REF!="Diferenciado",$H$4=#REF!),BDI!#REF!,IF(#REF!="ZERO",0))))),"")</f>
        <v>#REF!</v>
      </c>
      <c r="H1431" s="139" t="str">
        <f t="shared" si="136"/>
        <v/>
      </c>
      <c r="I1431" s="137" t="str">
        <f t="shared" si="137"/>
        <v/>
      </c>
      <c r="J1431" s="117"/>
      <c r="K1431" s="116">
        <v>0</v>
      </c>
      <c r="M1431" s="136" t="s">
        <v>416</v>
      </c>
      <c r="N1431" t="e">
        <v>#REF!</v>
      </c>
      <c r="Q1431" t="s">
        <v>416</v>
      </c>
    </row>
    <row r="1432" spans="1:17" hidden="1" x14ac:dyDescent="0.25">
      <c r="A1432" s="114" t="s">
        <v>4216</v>
      </c>
      <c r="B1432" s="115" t="s">
        <v>3363</v>
      </c>
      <c r="C1432" s="116" t="s">
        <v>16</v>
      </c>
      <c r="D1432" s="116">
        <v>0</v>
      </c>
      <c r="E1432" s="136" t="s">
        <v>416</v>
      </c>
      <c r="F1432" s="137" t="str">
        <f t="shared" si="135"/>
        <v/>
      </c>
      <c r="G1432" s="138" t="e">
        <f>IF(A1432&lt;&gt;"",IF(AND(#REF!="Padrão",$H$4=#REF!),BDI!$B$17,IF(AND(#REF!="Padrão",$H$4=#REF!),BDI!#REF!,IF(AND(#REF!="Diferenciado",$H$4=#REF!),BDI!$E$17,IF(AND(#REF!="Diferenciado",$H$4=#REF!),BDI!#REF!,IF(#REF!="ZERO",0))))),"")</f>
        <v>#REF!</v>
      </c>
      <c r="H1432" s="139" t="str">
        <f t="shared" si="136"/>
        <v/>
      </c>
      <c r="I1432" s="137" t="str">
        <f t="shared" si="137"/>
        <v/>
      </c>
      <c r="J1432" s="117"/>
      <c r="K1432" s="116">
        <v>0</v>
      </c>
      <c r="M1432" s="136" t="s">
        <v>416</v>
      </c>
      <c r="N1432" t="e">
        <v>#REF!</v>
      </c>
      <c r="Q1432" t="s">
        <v>416</v>
      </c>
    </row>
    <row r="1433" spans="1:17" hidden="1" x14ac:dyDescent="0.25">
      <c r="A1433" s="114" t="s">
        <v>4217</v>
      </c>
      <c r="B1433" s="115" t="s">
        <v>3364</v>
      </c>
      <c r="C1433" s="116" t="s">
        <v>16</v>
      </c>
      <c r="D1433" s="116">
        <v>0</v>
      </c>
      <c r="E1433" s="136" t="s">
        <v>416</v>
      </c>
      <c r="F1433" s="137" t="str">
        <f t="shared" si="135"/>
        <v/>
      </c>
      <c r="G1433" s="138" t="e">
        <f>IF(A1433&lt;&gt;"",IF(AND(#REF!="Padrão",$H$4=#REF!),BDI!$B$17,IF(AND(#REF!="Padrão",$H$4=#REF!),BDI!#REF!,IF(AND(#REF!="Diferenciado",$H$4=#REF!),BDI!$E$17,IF(AND(#REF!="Diferenciado",$H$4=#REF!),BDI!#REF!,IF(#REF!="ZERO",0))))),"")</f>
        <v>#REF!</v>
      </c>
      <c r="H1433" s="139" t="str">
        <f t="shared" si="136"/>
        <v/>
      </c>
      <c r="I1433" s="137" t="str">
        <f t="shared" si="137"/>
        <v/>
      </c>
      <c r="J1433" s="117"/>
      <c r="K1433" s="116">
        <v>0</v>
      </c>
      <c r="M1433" s="136" t="s">
        <v>416</v>
      </c>
      <c r="N1433" t="e">
        <v>#REF!</v>
      </c>
      <c r="Q1433" t="s">
        <v>416</v>
      </c>
    </row>
    <row r="1434" spans="1:17" hidden="1" x14ac:dyDescent="0.25">
      <c r="A1434" s="114" t="s">
        <v>4218</v>
      </c>
      <c r="B1434" s="115" t="s">
        <v>3365</v>
      </c>
      <c r="C1434" s="116" t="s">
        <v>16</v>
      </c>
      <c r="D1434" s="116">
        <v>0</v>
      </c>
      <c r="E1434" s="136" t="s">
        <v>416</v>
      </c>
      <c r="F1434" s="137" t="str">
        <f t="shared" si="135"/>
        <v/>
      </c>
      <c r="G1434" s="138" t="e">
        <f>IF(A1434&lt;&gt;"",IF(AND(#REF!="Padrão",$H$4=#REF!),BDI!$B$17,IF(AND(#REF!="Padrão",$H$4=#REF!),BDI!#REF!,IF(AND(#REF!="Diferenciado",$H$4=#REF!),BDI!$E$17,IF(AND(#REF!="Diferenciado",$H$4=#REF!),BDI!#REF!,IF(#REF!="ZERO",0))))),"")</f>
        <v>#REF!</v>
      </c>
      <c r="H1434" s="139" t="str">
        <f t="shared" si="136"/>
        <v/>
      </c>
      <c r="I1434" s="137" t="str">
        <f t="shared" si="137"/>
        <v/>
      </c>
      <c r="J1434" s="117"/>
      <c r="K1434" s="116">
        <v>0</v>
      </c>
      <c r="M1434" s="136" t="s">
        <v>416</v>
      </c>
      <c r="N1434" t="e">
        <v>#REF!</v>
      </c>
      <c r="Q1434" t="s">
        <v>416</v>
      </c>
    </row>
    <row r="1435" spans="1:17" hidden="1" x14ac:dyDescent="0.25">
      <c r="A1435" s="114" t="s">
        <v>4219</v>
      </c>
      <c r="B1435" s="115" t="s">
        <v>3366</v>
      </c>
      <c r="C1435" s="116" t="s">
        <v>16</v>
      </c>
      <c r="D1435" s="116">
        <v>0</v>
      </c>
      <c r="E1435" s="136" t="s">
        <v>416</v>
      </c>
      <c r="F1435" s="137" t="str">
        <f t="shared" si="135"/>
        <v/>
      </c>
      <c r="G1435" s="138" t="e">
        <f>IF(A1435&lt;&gt;"",IF(AND(#REF!="Padrão",$H$4=#REF!),BDI!$B$17,IF(AND(#REF!="Padrão",$H$4=#REF!),BDI!#REF!,IF(AND(#REF!="Diferenciado",$H$4=#REF!),BDI!$E$17,IF(AND(#REF!="Diferenciado",$H$4=#REF!),BDI!#REF!,IF(#REF!="ZERO",0))))),"")</f>
        <v>#REF!</v>
      </c>
      <c r="H1435" s="139" t="str">
        <f t="shared" si="136"/>
        <v/>
      </c>
      <c r="I1435" s="137" t="str">
        <f t="shared" si="137"/>
        <v/>
      </c>
      <c r="J1435" s="117"/>
      <c r="K1435" s="116">
        <v>0</v>
      </c>
      <c r="M1435" s="136" t="s">
        <v>416</v>
      </c>
      <c r="N1435" t="e">
        <v>#REF!</v>
      </c>
      <c r="Q1435" t="s">
        <v>416</v>
      </c>
    </row>
    <row r="1436" spans="1:17" hidden="1" x14ac:dyDescent="0.25">
      <c r="A1436" s="114" t="s">
        <v>4220</v>
      </c>
      <c r="B1436" s="115" t="s">
        <v>3367</v>
      </c>
      <c r="C1436" s="116" t="s">
        <v>16</v>
      </c>
      <c r="D1436" s="116">
        <v>0</v>
      </c>
      <c r="E1436" s="136" t="s">
        <v>416</v>
      </c>
      <c r="F1436" s="137" t="str">
        <f t="shared" si="135"/>
        <v/>
      </c>
      <c r="G1436" s="138" t="e">
        <f>IF(A1436&lt;&gt;"",IF(AND(#REF!="Padrão",$H$4=#REF!),BDI!$B$17,IF(AND(#REF!="Padrão",$H$4=#REF!),BDI!#REF!,IF(AND(#REF!="Diferenciado",$H$4=#REF!),BDI!$E$17,IF(AND(#REF!="Diferenciado",$H$4=#REF!),BDI!#REF!,IF(#REF!="ZERO",0))))),"")</f>
        <v>#REF!</v>
      </c>
      <c r="H1436" s="139" t="str">
        <f t="shared" si="136"/>
        <v/>
      </c>
      <c r="I1436" s="137" t="str">
        <f t="shared" si="137"/>
        <v/>
      </c>
      <c r="J1436" s="117"/>
      <c r="K1436" s="116">
        <v>0</v>
      </c>
      <c r="M1436" s="136" t="s">
        <v>416</v>
      </c>
      <c r="N1436" t="e">
        <v>#REF!</v>
      </c>
      <c r="Q1436" t="s">
        <v>416</v>
      </c>
    </row>
    <row r="1437" spans="1:17" hidden="1" x14ac:dyDescent="0.25">
      <c r="A1437" s="114" t="s">
        <v>4221</v>
      </c>
      <c r="B1437" s="115" t="s">
        <v>3368</v>
      </c>
      <c r="C1437" s="116" t="s">
        <v>16</v>
      </c>
      <c r="D1437" s="116">
        <v>0</v>
      </c>
      <c r="E1437" s="136" t="s">
        <v>416</v>
      </c>
      <c r="F1437" s="137" t="str">
        <f t="shared" si="135"/>
        <v/>
      </c>
      <c r="G1437" s="138" t="e">
        <f>IF(A1437&lt;&gt;"",IF(AND(#REF!="Padrão",$H$4=#REF!),BDI!$B$17,IF(AND(#REF!="Padrão",$H$4=#REF!),BDI!#REF!,IF(AND(#REF!="Diferenciado",$H$4=#REF!),BDI!$E$17,IF(AND(#REF!="Diferenciado",$H$4=#REF!),BDI!#REF!,IF(#REF!="ZERO",0))))),"")</f>
        <v>#REF!</v>
      </c>
      <c r="H1437" s="139" t="str">
        <f t="shared" si="136"/>
        <v/>
      </c>
      <c r="I1437" s="137" t="str">
        <f t="shared" si="137"/>
        <v/>
      </c>
      <c r="J1437" s="117"/>
      <c r="K1437" s="116">
        <v>0</v>
      </c>
      <c r="M1437" s="136" t="s">
        <v>416</v>
      </c>
      <c r="N1437" t="e">
        <v>#REF!</v>
      </c>
      <c r="Q1437" t="s">
        <v>416</v>
      </c>
    </row>
    <row r="1438" spans="1:17" hidden="1" x14ac:dyDescent="0.25">
      <c r="A1438" s="114" t="s">
        <v>4222</v>
      </c>
      <c r="B1438" s="115" t="s">
        <v>3369</v>
      </c>
      <c r="C1438" s="116" t="s">
        <v>16</v>
      </c>
      <c r="D1438" s="116">
        <v>0</v>
      </c>
      <c r="E1438" s="136" t="s">
        <v>416</v>
      </c>
      <c r="F1438" s="137" t="str">
        <f t="shared" si="135"/>
        <v/>
      </c>
      <c r="G1438" s="138" t="e">
        <f>IF(A1438&lt;&gt;"",IF(AND(#REF!="Padrão",$H$4=#REF!),BDI!$B$17,IF(AND(#REF!="Padrão",$H$4=#REF!),BDI!#REF!,IF(AND(#REF!="Diferenciado",$H$4=#REF!),BDI!$E$17,IF(AND(#REF!="Diferenciado",$H$4=#REF!),BDI!#REF!,IF(#REF!="ZERO",0))))),"")</f>
        <v>#REF!</v>
      </c>
      <c r="H1438" s="139" t="str">
        <f t="shared" si="136"/>
        <v/>
      </c>
      <c r="I1438" s="137" t="str">
        <f t="shared" si="137"/>
        <v/>
      </c>
      <c r="J1438" s="117"/>
      <c r="K1438" s="116">
        <v>0</v>
      </c>
      <c r="M1438" s="136" t="s">
        <v>416</v>
      </c>
      <c r="N1438" t="e">
        <v>#REF!</v>
      </c>
      <c r="Q1438" t="s">
        <v>416</v>
      </c>
    </row>
    <row r="1439" spans="1:17" hidden="1" x14ac:dyDescent="0.25">
      <c r="A1439" s="114" t="s">
        <v>4223</v>
      </c>
      <c r="B1439" s="115" t="s">
        <v>3370</v>
      </c>
      <c r="C1439" s="116" t="s">
        <v>16</v>
      </c>
      <c r="D1439" s="116">
        <v>0</v>
      </c>
      <c r="E1439" s="136" t="s">
        <v>416</v>
      </c>
      <c r="F1439" s="137" t="str">
        <f t="shared" si="135"/>
        <v/>
      </c>
      <c r="G1439" s="138" t="e">
        <f>IF(A1439&lt;&gt;"",IF(AND(#REF!="Padrão",$H$4=#REF!),BDI!$B$17,IF(AND(#REF!="Padrão",$H$4=#REF!),BDI!#REF!,IF(AND(#REF!="Diferenciado",$H$4=#REF!),BDI!$E$17,IF(AND(#REF!="Diferenciado",$H$4=#REF!),BDI!#REF!,IF(#REF!="ZERO",0))))),"")</f>
        <v>#REF!</v>
      </c>
      <c r="H1439" s="139" t="str">
        <f t="shared" si="136"/>
        <v/>
      </c>
      <c r="I1439" s="137" t="str">
        <f t="shared" si="137"/>
        <v/>
      </c>
      <c r="J1439" s="117"/>
      <c r="K1439" s="116">
        <v>0</v>
      </c>
      <c r="M1439" s="136" t="s">
        <v>416</v>
      </c>
      <c r="N1439" t="e">
        <v>#REF!</v>
      </c>
      <c r="Q1439" t="s">
        <v>416</v>
      </c>
    </row>
    <row r="1440" spans="1:17" hidden="1" x14ac:dyDescent="0.25">
      <c r="A1440" s="114" t="s">
        <v>4224</v>
      </c>
      <c r="B1440" s="115" t="s">
        <v>7736</v>
      </c>
      <c r="C1440" s="116" t="s">
        <v>69</v>
      </c>
      <c r="D1440" s="116">
        <v>0</v>
      </c>
      <c r="E1440" s="136" t="s">
        <v>416</v>
      </c>
      <c r="F1440" s="137" t="str">
        <f t="shared" si="135"/>
        <v/>
      </c>
      <c r="G1440" s="138" t="e">
        <f>IF(A1440&lt;&gt;"",IF(AND(#REF!="Padrão",$H$4=#REF!),BDI!$B$17,IF(AND(#REF!="Padrão",$H$4=#REF!),BDI!#REF!,IF(AND(#REF!="Diferenciado",$H$4=#REF!),BDI!$E$17,IF(AND(#REF!="Diferenciado",$H$4=#REF!),BDI!#REF!,IF(#REF!="ZERO",0))))),"")</f>
        <v>#REF!</v>
      </c>
      <c r="H1440" s="139" t="str">
        <f t="shared" si="136"/>
        <v/>
      </c>
      <c r="I1440" s="137" t="str">
        <f t="shared" si="137"/>
        <v/>
      </c>
      <c r="J1440" s="117"/>
      <c r="K1440" s="116">
        <v>0</v>
      </c>
      <c r="M1440" s="136" t="s">
        <v>416</v>
      </c>
      <c r="N1440" t="e">
        <v>#REF!</v>
      </c>
      <c r="Q1440" t="s">
        <v>416</v>
      </c>
    </row>
    <row r="1441" spans="1:17" hidden="1" x14ac:dyDescent="0.25">
      <c r="A1441" s="114" t="s">
        <v>4225</v>
      </c>
      <c r="B1441" s="115" t="s">
        <v>3371</v>
      </c>
      <c r="C1441" s="116" t="s">
        <v>16</v>
      </c>
      <c r="D1441" s="116">
        <v>0</v>
      </c>
      <c r="E1441" s="136" t="s">
        <v>416</v>
      </c>
      <c r="F1441" s="137" t="str">
        <f t="shared" si="135"/>
        <v/>
      </c>
      <c r="G1441" s="138" t="e">
        <f>IF(A1441&lt;&gt;"",IF(AND(#REF!="Padrão",$H$4=#REF!),BDI!$B$17,IF(AND(#REF!="Padrão",$H$4=#REF!),BDI!#REF!,IF(AND(#REF!="Diferenciado",$H$4=#REF!),BDI!$E$17,IF(AND(#REF!="Diferenciado",$H$4=#REF!),BDI!#REF!,IF(#REF!="ZERO",0))))),"")</f>
        <v>#REF!</v>
      </c>
      <c r="H1441" s="139" t="str">
        <f t="shared" si="136"/>
        <v/>
      </c>
      <c r="I1441" s="137" t="str">
        <f t="shared" si="137"/>
        <v/>
      </c>
      <c r="J1441" s="117"/>
      <c r="K1441" s="116">
        <v>0</v>
      </c>
      <c r="M1441" s="136" t="s">
        <v>416</v>
      </c>
      <c r="N1441" t="e">
        <v>#REF!</v>
      </c>
      <c r="Q1441" t="s">
        <v>416</v>
      </c>
    </row>
    <row r="1442" spans="1:17" hidden="1" x14ac:dyDescent="0.25">
      <c r="A1442" s="114" t="s">
        <v>4226</v>
      </c>
      <c r="B1442" s="115" t="s">
        <v>3372</v>
      </c>
      <c r="C1442" s="116" t="s">
        <v>5416</v>
      </c>
      <c r="D1442" s="116">
        <v>0</v>
      </c>
      <c r="E1442" s="136" t="s">
        <v>416</v>
      </c>
      <c r="F1442" s="137" t="str">
        <f t="shared" si="135"/>
        <v/>
      </c>
      <c r="G1442" s="138" t="e">
        <f>IF(A1442&lt;&gt;"",IF(AND(#REF!="Padrão",$H$4=#REF!),BDI!$B$17,IF(AND(#REF!="Padrão",$H$4=#REF!),BDI!#REF!,IF(AND(#REF!="Diferenciado",$H$4=#REF!),BDI!$E$17,IF(AND(#REF!="Diferenciado",$H$4=#REF!),BDI!#REF!,IF(#REF!="ZERO",0))))),"")</f>
        <v>#REF!</v>
      </c>
      <c r="H1442" s="139" t="str">
        <f t="shared" si="136"/>
        <v/>
      </c>
      <c r="I1442" s="137" t="str">
        <f t="shared" si="137"/>
        <v/>
      </c>
      <c r="J1442" s="117"/>
      <c r="K1442" s="116">
        <v>0</v>
      </c>
      <c r="M1442" s="136" t="s">
        <v>416</v>
      </c>
      <c r="N1442" t="e">
        <v>#REF!</v>
      </c>
      <c r="Q1442" t="s">
        <v>416</v>
      </c>
    </row>
    <row r="1443" spans="1:17" hidden="1" x14ac:dyDescent="0.25">
      <c r="A1443" s="114" t="s">
        <v>4227</v>
      </c>
      <c r="B1443" s="115" t="s">
        <v>3373</v>
      </c>
      <c r="C1443" s="116" t="s">
        <v>16</v>
      </c>
      <c r="D1443" s="116">
        <v>0</v>
      </c>
      <c r="E1443" s="136" t="s">
        <v>416</v>
      </c>
      <c r="F1443" s="137" t="str">
        <f t="shared" si="135"/>
        <v/>
      </c>
      <c r="G1443" s="138" t="e">
        <f>IF(A1443&lt;&gt;"",IF(AND(#REF!="Padrão",$H$4=#REF!),BDI!$B$17,IF(AND(#REF!="Padrão",$H$4=#REF!),BDI!#REF!,IF(AND(#REF!="Diferenciado",$H$4=#REF!),BDI!$E$17,IF(AND(#REF!="Diferenciado",$H$4=#REF!),BDI!#REF!,IF(#REF!="ZERO",0))))),"")</f>
        <v>#REF!</v>
      </c>
      <c r="H1443" s="139" t="str">
        <f t="shared" si="136"/>
        <v/>
      </c>
      <c r="I1443" s="137" t="str">
        <f t="shared" si="137"/>
        <v/>
      </c>
      <c r="J1443" s="117"/>
      <c r="K1443" s="116">
        <v>0</v>
      </c>
      <c r="M1443" s="136" t="s">
        <v>416</v>
      </c>
      <c r="N1443" t="e">
        <v>#REF!</v>
      </c>
      <c r="Q1443" t="s">
        <v>416</v>
      </c>
    </row>
    <row r="1444" spans="1:17" hidden="1" x14ac:dyDescent="0.25">
      <c r="A1444" s="114" t="s">
        <v>4228</v>
      </c>
      <c r="B1444" s="115" t="s">
        <v>3374</v>
      </c>
      <c r="C1444" s="116" t="s">
        <v>16</v>
      </c>
      <c r="D1444" s="116">
        <v>0</v>
      </c>
      <c r="E1444" s="136" t="s">
        <v>416</v>
      </c>
      <c r="F1444" s="137" t="str">
        <f t="shared" si="135"/>
        <v/>
      </c>
      <c r="G1444" s="138" t="e">
        <f>IF(A1444&lt;&gt;"",IF(AND(#REF!="Padrão",$H$4=#REF!),BDI!$B$17,IF(AND(#REF!="Padrão",$H$4=#REF!),BDI!#REF!,IF(AND(#REF!="Diferenciado",$H$4=#REF!),BDI!$E$17,IF(AND(#REF!="Diferenciado",$H$4=#REF!),BDI!#REF!,IF(#REF!="ZERO",0))))),"")</f>
        <v>#REF!</v>
      </c>
      <c r="H1444" s="139" t="str">
        <f t="shared" si="136"/>
        <v/>
      </c>
      <c r="I1444" s="137" t="str">
        <f t="shared" si="137"/>
        <v/>
      </c>
      <c r="J1444" s="117"/>
      <c r="K1444" s="116">
        <v>0</v>
      </c>
      <c r="M1444" s="136" t="s">
        <v>416</v>
      </c>
      <c r="N1444" t="e">
        <v>#REF!</v>
      </c>
      <c r="Q1444" t="s">
        <v>416</v>
      </c>
    </row>
    <row r="1445" spans="1:17" hidden="1" x14ac:dyDescent="0.25">
      <c r="A1445" s="114" t="s">
        <v>4229</v>
      </c>
      <c r="B1445" s="115" t="s">
        <v>3375</v>
      </c>
      <c r="C1445" s="116" t="s">
        <v>16</v>
      </c>
      <c r="D1445" s="116">
        <v>0</v>
      </c>
      <c r="E1445" s="136" t="s">
        <v>416</v>
      </c>
      <c r="F1445" s="137" t="str">
        <f t="shared" si="135"/>
        <v/>
      </c>
      <c r="G1445" s="138" t="e">
        <f>IF(A1445&lt;&gt;"",IF(AND(#REF!="Padrão",$H$4=#REF!),BDI!$B$17,IF(AND(#REF!="Padrão",$H$4=#REF!),BDI!#REF!,IF(AND(#REF!="Diferenciado",$H$4=#REF!),BDI!$E$17,IF(AND(#REF!="Diferenciado",$H$4=#REF!),BDI!#REF!,IF(#REF!="ZERO",0))))),"")</f>
        <v>#REF!</v>
      </c>
      <c r="H1445" s="139" t="str">
        <f t="shared" si="136"/>
        <v/>
      </c>
      <c r="I1445" s="137" t="str">
        <f t="shared" si="137"/>
        <v/>
      </c>
      <c r="J1445" s="117"/>
      <c r="K1445" s="116">
        <v>0</v>
      </c>
      <c r="M1445" s="136" t="s">
        <v>416</v>
      </c>
      <c r="N1445" t="e">
        <v>#REF!</v>
      </c>
      <c r="Q1445" t="s">
        <v>416</v>
      </c>
    </row>
    <row r="1446" spans="1:17" hidden="1" x14ac:dyDescent="0.25">
      <c r="A1446" s="114" t="s">
        <v>4230</v>
      </c>
      <c r="B1446" s="115" t="s">
        <v>3376</v>
      </c>
      <c r="C1446" s="116" t="s">
        <v>16</v>
      </c>
      <c r="D1446" s="116">
        <v>0</v>
      </c>
      <c r="E1446" s="136" t="s">
        <v>416</v>
      </c>
      <c r="F1446" s="137" t="str">
        <f t="shared" si="135"/>
        <v/>
      </c>
      <c r="G1446" s="138" t="e">
        <f>IF(A1446&lt;&gt;"",IF(AND(#REF!="Padrão",$H$4=#REF!),BDI!$B$17,IF(AND(#REF!="Padrão",$H$4=#REF!),BDI!#REF!,IF(AND(#REF!="Diferenciado",$H$4=#REF!),BDI!$E$17,IF(AND(#REF!="Diferenciado",$H$4=#REF!),BDI!#REF!,IF(#REF!="ZERO",0))))),"")</f>
        <v>#REF!</v>
      </c>
      <c r="H1446" s="139" t="str">
        <f t="shared" si="136"/>
        <v/>
      </c>
      <c r="I1446" s="137" t="str">
        <f t="shared" si="137"/>
        <v/>
      </c>
      <c r="J1446" s="117"/>
      <c r="K1446" s="116">
        <v>0</v>
      </c>
      <c r="M1446" s="136" t="s">
        <v>416</v>
      </c>
      <c r="N1446" t="e">
        <v>#REF!</v>
      </c>
      <c r="Q1446" t="s">
        <v>416</v>
      </c>
    </row>
    <row r="1447" spans="1:17" hidden="1" x14ac:dyDescent="0.25">
      <c r="A1447" s="114" t="s">
        <v>4231</v>
      </c>
      <c r="B1447" s="115" t="s">
        <v>3377</v>
      </c>
      <c r="C1447" s="116" t="s">
        <v>16</v>
      </c>
      <c r="D1447" s="116">
        <v>0</v>
      </c>
      <c r="E1447" s="136" t="s">
        <v>416</v>
      </c>
      <c r="F1447" s="137" t="str">
        <f t="shared" si="135"/>
        <v/>
      </c>
      <c r="G1447" s="138" t="e">
        <f>IF(A1447&lt;&gt;"",IF(AND(#REF!="Padrão",$H$4=#REF!),BDI!$B$17,IF(AND(#REF!="Padrão",$H$4=#REF!),BDI!#REF!,IF(AND(#REF!="Diferenciado",$H$4=#REF!),BDI!$E$17,IF(AND(#REF!="Diferenciado",$H$4=#REF!),BDI!#REF!,IF(#REF!="ZERO",0))))),"")</f>
        <v>#REF!</v>
      </c>
      <c r="H1447" s="139" t="str">
        <f t="shared" si="136"/>
        <v/>
      </c>
      <c r="I1447" s="137" t="str">
        <f t="shared" si="137"/>
        <v/>
      </c>
      <c r="J1447" s="117"/>
      <c r="K1447" s="116">
        <v>0</v>
      </c>
      <c r="M1447" s="136" t="s">
        <v>416</v>
      </c>
      <c r="N1447" t="e">
        <v>#REF!</v>
      </c>
      <c r="Q1447" t="s">
        <v>416</v>
      </c>
    </row>
    <row r="1448" spans="1:17" hidden="1" x14ac:dyDescent="0.25">
      <c r="A1448" s="114" t="s">
        <v>4232</v>
      </c>
      <c r="B1448" s="115" t="s">
        <v>3378</v>
      </c>
      <c r="C1448" s="116" t="s">
        <v>16</v>
      </c>
      <c r="D1448" s="116">
        <v>0</v>
      </c>
      <c r="E1448" s="136" t="s">
        <v>416</v>
      </c>
      <c r="F1448" s="137" t="str">
        <f t="shared" si="135"/>
        <v/>
      </c>
      <c r="G1448" s="138" t="e">
        <f>IF(A1448&lt;&gt;"",IF(AND(#REF!="Padrão",$H$4=#REF!),BDI!$B$17,IF(AND(#REF!="Padrão",$H$4=#REF!),BDI!#REF!,IF(AND(#REF!="Diferenciado",$H$4=#REF!),BDI!$E$17,IF(AND(#REF!="Diferenciado",$H$4=#REF!),BDI!#REF!,IF(#REF!="ZERO",0))))),"")</f>
        <v>#REF!</v>
      </c>
      <c r="H1448" s="139" t="str">
        <f t="shared" si="136"/>
        <v/>
      </c>
      <c r="I1448" s="137" t="str">
        <f t="shared" si="137"/>
        <v/>
      </c>
      <c r="J1448" s="117"/>
      <c r="K1448" s="116">
        <v>0</v>
      </c>
      <c r="M1448" s="136" t="s">
        <v>416</v>
      </c>
      <c r="N1448" t="e">
        <v>#REF!</v>
      </c>
      <c r="Q1448" t="s">
        <v>416</v>
      </c>
    </row>
    <row r="1449" spans="1:17" hidden="1" x14ac:dyDescent="0.25">
      <c r="A1449" s="114" t="s">
        <v>4233</v>
      </c>
      <c r="B1449" s="115" t="s">
        <v>3379</v>
      </c>
      <c r="C1449" s="116" t="s">
        <v>16</v>
      </c>
      <c r="D1449" s="116">
        <v>0</v>
      </c>
      <c r="E1449" s="136" t="s">
        <v>416</v>
      </c>
      <c r="F1449" s="137" t="str">
        <f t="shared" si="135"/>
        <v/>
      </c>
      <c r="G1449" s="138" t="e">
        <f>IF(A1449&lt;&gt;"",IF(AND(#REF!="Padrão",$H$4=#REF!),BDI!$B$17,IF(AND(#REF!="Padrão",$H$4=#REF!),BDI!#REF!,IF(AND(#REF!="Diferenciado",$H$4=#REF!),BDI!$E$17,IF(AND(#REF!="Diferenciado",$H$4=#REF!),BDI!#REF!,IF(#REF!="ZERO",0))))),"")</f>
        <v>#REF!</v>
      </c>
      <c r="H1449" s="139" t="str">
        <f t="shared" si="136"/>
        <v/>
      </c>
      <c r="I1449" s="137" t="str">
        <f t="shared" si="137"/>
        <v/>
      </c>
      <c r="J1449" s="117"/>
      <c r="K1449" s="116">
        <v>0</v>
      </c>
      <c r="M1449" s="136" t="s">
        <v>416</v>
      </c>
      <c r="N1449" t="e">
        <v>#REF!</v>
      </c>
      <c r="Q1449" t="s">
        <v>416</v>
      </c>
    </row>
    <row r="1450" spans="1:17" hidden="1" x14ac:dyDescent="0.25">
      <c r="A1450" s="114" t="s">
        <v>4234</v>
      </c>
      <c r="B1450" s="115" t="s">
        <v>3380</v>
      </c>
      <c r="C1450" s="116" t="s">
        <v>4171</v>
      </c>
      <c r="D1450" s="116">
        <v>0</v>
      </c>
      <c r="E1450" s="136" t="s">
        <v>416</v>
      </c>
      <c r="F1450" s="137" t="str">
        <f t="shared" si="135"/>
        <v/>
      </c>
      <c r="G1450" s="138" t="e">
        <f>IF(A1450&lt;&gt;"",IF(AND(#REF!="Padrão",$H$4=#REF!),BDI!$B$17,IF(AND(#REF!="Padrão",$H$4=#REF!),BDI!#REF!,IF(AND(#REF!="Diferenciado",$H$4=#REF!),BDI!$E$17,IF(AND(#REF!="Diferenciado",$H$4=#REF!),BDI!#REF!,IF(#REF!="ZERO",0))))),"")</f>
        <v>#REF!</v>
      </c>
      <c r="H1450" s="139" t="str">
        <f t="shared" si="136"/>
        <v/>
      </c>
      <c r="I1450" s="137" t="str">
        <f t="shared" si="137"/>
        <v/>
      </c>
      <c r="J1450" s="117"/>
      <c r="K1450" s="116">
        <v>0</v>
      </c>
      <c r="M1450" s="136" t="s">
        <v>416</v>
      </c>
      <c r="N1450" t="e">
        <v>#REF!</v>
      </c>
      <c r="Q1450" t="s">
        <v>416</v>
      </c>
    </row>
    <row r="1451" spans="1:17" hidden="1" x14ac:dyDescent="0.25">
      <c r="A1451" s="114" t="s">
        <v>4235</v>
      </c>
      <c r="B1451" s="115" t="s">
        <v>7737</v>
      </c>
      <c r="C1451" s="116" t="s">
        <v>69</v>
      </c>
      <c r="D1451" s="116">
        <v>0</v>
      </c>
      <c r="E1451" s="136" t="s">
        <v>416</v>
      </c>
      <c r="F1451" s="137" t="str">
        <f t="shared" si="135"/>
        <v/>
      </c>
      <c r="G1451" s="138" t="e">
        <f>IF(A1451&lt;&gt;"",IF(AND(#REF!="Padrão",$H$4=#REF!),BDI!$B$17,IF(AND(#REF!="Padrão",$H$4=#REF!),BDI!#REF!,IF(AND(#REF!="Diferenciado",$H$4=#REF!),BDI!$E$17,IF(AND(#REF!="Diferenciado",$H$4=#REF!),BDI!#REF!,IF(#REF!="ZERO",0))))),"")</f>
        <v>#REF!</v>
      </c>
      <c r="H1451" s="139" t="str">
        <f t="shared" si="136"/>
        <v/>
      </c>
      <c r="I1451" s="137" t="str">
        <f t="shared" si="137"/>
        <v/>
      </c>
      <c r="J1451" s="117"/>
      <c r="K1451" s="116">
        <v>0</v>
      </c>
      <c r="M1451" s="136" t="s">
        <v>416</v>
      </c>
      <c r="N1451" t="e">
        <v>#REF!</v>
      </c>
      <c r="Q1451" t="s">
        <v>416</v>
      </c>
    </row>
    <row r="1452" spans="1:17" hidden="1" x14ac:dyDescent="0.25">
      <c r="A1452" s="114" t="s">
        <v>4236</v>
      </c>
      <c r="B1452" s="115" t="s">
        <v>7738</v>
      </c>
      <c r="C1452" s="116" t="s">
        <v>69</v>
      </c>
      <c r="D1452" s="116">
        <v>0</v>
      </c>
      <c r="E1452" s="136" t="s">
        <v>416</v>
      </c>
      <c r="F1452" s="137" t="str">
        <f t="shared" si="135"/>
        <v/>
      </c>
      <c r="G1452" s="138" t="e">
        <f>IF(A1452&lt;&gt;"",IF(AND(#REF!="Padrão",$H$4=#REF!),BDI!$B$17,IF(AND(#REF!="Padrão",$H$4=#REF!),BDI!#REF!,IF(AND(#REF!="Diferenciado",$H$4=#REF!),BDI!$E$17,IF(AND(#REF!="Diferenciado",$H$4=#REF!),BDI!#REF!,IF(#REF!="ZERO",0))))),"")</f>
        <v>#REF!</v>
      </c>
      <c r="H1452" s="139" t="str">
        <f t="shared" si="136"/>
        <v/>
      </c>
      <c r="I1452" s="137" t="str">
        <f t="shared" si="137"/>
        <v/>
      </c>
      <c r="J1452" s="117"/>
      <c r="K1452" s="116">
        <v>0</v>
      </c>
      <c r="M1452" s="136" t="s">
        <v>416</v>
      </c>
      <c r="N1452" t="e">
        <v>#REF!</v>
      </c>
      <c r="Q1452" t="s">
        <v>416</v>
      </c>
    </row>
    <row r="1453" spans="1:17" hidden="1" x14ac:dyDescent="0.25">
      <c r="A1453" s="114" t="s">
        <v>4237</v>
      </c>
      <c r="B1453" s="115" t="s">
        <v>7739</v>
      </c>
      <c r="C1453" s="116" t="s">
        <v>69</v>
      </c>
      <c r="D1453" s="116">
        <v>0</v>
      </c>
      <c r="E1453" s="136" t="s">
        <v>416</v>
      </c>
      <c r="F1453" s="137" t="str">
        <f t="shared" ref="F1453:F1516" si="138">IF(ISNUMBER(E1453),D1453*E1453,"")</f>
        <v/>
      </c>
      <c r="G1453" s="138" t="e">
        <f>IF(A1453&lt;&gt;"",IF(AND(#REF!="Padrão",$H$4=#REF!),BDI!$B$17,IF(AND(#REF!="Padrão",$H$4=#REF!),BDI!#REF!,IF(AND(#REF!="Diferenciado",$H$4=#REF!),BDI!$E$17,IF(AND(#REF!="Diferenciado",$H$4=#REF!),BDI!#REF!,IF(#REF!="ZERO",0))))),"")</f>
        <v>#REF!</v>
      </c>
      <c r="H1453" s="139" t="str">
        <f t="shared" ref="H1453:H1516" si="139">IF(ISNUMBER(E1453),ROUND(E1453*(1+G1453),2),"")</f>
        <v/>
      </c>
      <c r="I1453" s="137" t="str">
        <f t="shared" ref="I1453:I1516" si="140">IF(ISNUMBER(E1453),ROUND(H1453*D1453,2),"")</f>
        <v/>
      </c>
      <c r="J1453" s="117"/>
      <c r="K1453" s="116">
        <v>0</v>
      </c>
      <c r="M1453" s="136" t="s">
        <v>416</v>
      </c>
      <c r="N1453" t="e">
        <v>#REF!</v>
      </c>
      <c r="Q1453" t="s">
        <v>416</v>
      </c>
    </row>
    <row r="1454" spans="1:17" hidden="1" x14ac:dyDescent="0.25">
      <c r="A1454" s="114" t="s">
        <v>4238</v>
      </c>
      <c r="B1454" s="115" t="s">
        <v>7740</v>
      </c>
      <c r="C1454" s="116" t="s">
        <v>69</v>
      </c>
      <c r="D1454" s="116">
        <v>0</v>
      </c>
      <c r="E1454" s="136" t="s">
        <v>416</v>
      </c>
      <c r="F1454" s="137" t="str">
        <f t="shared" si="138"/>
        <v/>
      </c>
      <c r="G1454" s="138" t="e">
        <f>IF(A1454&lt;&gt;"",IF(AND(#REF!="Padrão",$H$4=#REF!),BDI!$B$17,IF(AND(#REF!="Padrão",$H$4=#REF!),BDI!#REF!,IF(AND(#REF!="Diferenciado",$H$4=#REF!),BDI!$E$17,IF(AND(#REF!="Diferenciado",$H$4=#REF!),BDI!#REF!,IF(#REF!="ZERO",0))))),"")</f>
        <v>#REF!</v>
      </c>
      <c r="H1454" s="139" t="str">
        <f t="shared" si="139"/>
        <v/>
      </c>
      <c r="I1454" s="137" t="str">
        <f t="shared" si="140"/>
        <v/>
      </c>
      <c r="J1454" s="117"/>
      <c r="K1454" s="116">
        <v>0</v>
      </c>
      <c r="M1454" s="136" t="s">
        <v>416</v>
      </c>
      <c r="N1454" t="e">
        <v>#REF!</v>
      </c>
      <c r="Q1454" t="s">
        <v>416</v>
      </c>
    </row>
    <row r="1455" spans="1:17" hidden="1" x14ac:dyDescent="0.25">
      <c r="A1455" s="114" t="s">
        <v>4239</v>
      </c>
      <c r="B1455" s="115" t="s">
        <v>3381</v>
      </c>
      <c r="C1455" s="116" t="s">
        <v>69</v>
      </c>
      <c r="D1455" s="116">
        <v>0</v>
      </c>
      <c r="E1455" s="136" t="s">
        <v>416</v>
      </c>
      <c r="F1455" s="137" t="str">
        <f t="shared" si="138"/>
        <v/>
      </c>
      <c r="G1455" s="138" t="e">
        <f>IF(A1455&lt;&gt;"",IF(AND(#REF!="Padrão",$H$4=#REF!),BDI!$B$17,IF(AND(#REF!="Padrão",$H$4=#REF!),BDI!#REF!,IF(AND(#REF!="Diferenciado",$H$4=#REF!),BDI!$E$17,IF(AND(#REF!="Diferenciado",$H$4=#REF!),BDI!#REF!,IF(#REF!="ZERO",0))))),"")</f>
        <v>#REF!</v>
      </c>
      <c r="H1455" s="139" t="str">
        <f t="shared" si="139"/>
        <v/>
      </c>
      <c r="I1455" s="137" t="str">
        <f t="shared" si="140"/>
        <v/>
      </c>
      <c r="J1455" s="117"/>
      <c r="K1455" s="116">
        <v>0</v>
      </c>
      <c r="M1455" s="136" t="s">
        <v>416</v>
      </c>
      <c r="N1455" t="e">
        <v>#REF!</v>
      </c>
      <c r="Q1455" t="s">
        <v>416</v>
      </c>
    </row>
    <row r="1456" spans="1:17" hidden="1" x14ac:dyDescent="0.25">
      <c r="A1456" s="114" t="s">
        <v>4240</v>
      </c>
      <c r="B1456" s="115" t="s">
        <v>3382</v>
      </c>
      <c r="C1456" s="116" t="s">
        <v>69</v>
      </c>
      <c r="D1456" s="116">
        <v>0</v>
      </c>
      <c r="E1456" s="136" t="s">
        <v>416</v>
      </c>
      <c r="F1456" s="137" t="str">
        <f t="shared" si="138"/>
        <v/>
      </c>
      <c r="G1456" s="138" t="e">
        <f>IF(A1456&lt;&gt;"",IF(AND(#REF!="Padrão",$H$4=#REF!),BDI!$B$17,IF(AND(#REF!="Padrão",$H$4=#REF!),BDI!#REF!,IF(AND(#REF!="Diferenciado",$H$4=#REF!),BDI!$E$17,IF(AND(#REF!="Diferenciado",$H$4=#REF!),BDI!#REF!,IF(#REF!="ZERO",0))))),"")</f>
        <v>#REF!</v>
      </c>
      <c r="H1456" s="139" t="str">
        <f t="shared" si="139"/>
        <v/>
      </c>
      <c r="I1456" s="137" t="str">
        <f t="shared" si="140"/>
        <v/>
      </c>
      <c r="J1456" s="117"/>
      <c r="K1456" s="116">
        <v>0</v>
      </c>
      <c r="M1456" s="136" t="s">
        <v>416</v>
      </c>
      <c r="N1456" t="e">
        <v>#REF!</v>
      </c>
      <c r="Q1456" t="s">
        <v>416</v>
      </c>
    </row>
    <row r="1457" spans="1:17" hidden="1" x14ac:dyDescent="0.25">
      <c r="A1457" s="114" t="s">
        <v>4241</v>
      </c>
      <c r="B1457" s="115" t="s">
        <v>3383</v>
      </c>
      <c r="C1457" s="116" t="s">
        <v>69</v>
      </c>
      <c r="D1457" s="116">
        <v>0</v>
      </c>
      <c r="E1457" s="136" t="s">
        <v>416</v>
      </c>
      <c r="F1457" s="137" t="str">
        <f t="shared" si="138"/>
        <v/>
      </c>
      <c r="G1457" s="138" t="e">
        <f>IF(A1457&lt;&gt;"",IF(AND(#REF!="Padrão",$H$4=#REF!),BDI!$B$17,IF(AND(#REF!="Padrão",$H$4=#REF!),BDI!#REF!,IF(AND(#REF!="Diferenciado",$H$4=#REF!),BDI!$E$17,IF(AND(#REF!="Diferenciado",$H$4=#REF!),BDI!#REF!,IF(#REF!="ZERO",0))))),"")</f>
        <v>#REF!</v>
      </c>
      <c r="H1457" s="139" t="str">
        <f t="shared" si="139"/>
        <v/>
      </c>
      <c r="I1457" s="137" t="str">
        <f t="shared" si="140"/>
        <v/>
      </c>
      <c r="J1457" s="117"/>
      <c r="K1457" s="116">
        <v>0</v>
      </c>
      <c r="M1457" s="136" t="s">
        <v>416</v>
      </c>
      <c r="N1457" t="e">
        <v>#REF!</v>
      </c>
      <c r="Q1457" t="s">
        <v>416</v>
      </c>
    </row>
    <row r="1458" spans="1:17" hidden="1" x14ac:dyDescent="0.25">
      <c r="A1458" s="114" t="s">
        <v>4242</v>
      </c>
      <c r="B1458" s="115" t="s">
        <v>3384</v>
      </c>
      <c r="C1458" s="116" t="s">
        <v>69</v>
      </c>
      <c r="D1458" s="116">
        <v>0</v>
      </c>
      <c r="E1458" s="136" t="s">
        <v>416</v>
      </c>
      <c r="F1458" s="137" t="str">
        <f t="shared" si="138"/>
        <v/>
      </c>
      <c r="G1458" s="138" t="e">
        <f>IF(A1458&lt;&gt;"",IF(AND(#REF!="Padrão",$H$4=#REF!),BDI!$B$17,IF(AND(#REF!="Padrão",$H$4=#REF!),BDI!#REF!,IF(AND(#REF!="Diferenciado",$H$4=#REF!),BDI!$E$17,IF(AND(#REF!="Diferenciado",$H$4=#REF!),BDI!#REF!,IF(#REF!="ZERO",0))))),"")</f>
        <v>#REF!</v>
      </c>
      <c r="H1458" s="139" t="str">
        <f t="shared" si="139"/>
        <v/>
      </c>
      <c r="I1458" s="137" t="str">
        <f t="shared" si="140"/>
        <v/>
      </c>
      <c r="J1458" s="117"/>
      <c r="K1458" s="116">
        <v>0</v>
      </c>
      <c r="M1458" s="136" t="s">
        <v>416</v>
      </c>
      <c r="N1458" t="e">
        <v>#REF!</v>
      </c>
      <c r="Q1458" t="s">
        <v>416</v>
      </c>
    </row>
    <row r="1459" spans="1:17" hidden="1" x14ac:dyDescent="0.25">
      <c r="A1459" s="114" t="s">
        <v>4243</v>
      </c>
      <c r="B1459" s="115" t="s">
        <v>3385</v>
      </c>
      <c r="C1459" s="116" t="s">
        <v>69</v>
      </c>
      <c r="D1459" s="116">
        <v>0</v>
      </c>
      <c r="E1459" s="136" t="s">
        <v>416</v>
      </c>
      <c r="F1459" s="137" t="str">
        <f t="shared" si="138"/>
        <v/>
      </c>
      <c r="G1459" s="138" t="e">
        <f>IF(A1459&lt;&gt;"",IF(AND(#REF!="Padrão",$H$4=#REF!),BDI!$B$17,IF(AND(#REF!="Padrão",$H$4=#REF!),BDI!#REF!,IF(AND(#REF!="Diferenciado",$H$4=#REF!),BDI!$E$17,IF(AND(#REF!="Diferenciado",$H$4=#REF!),BDI!#REF!,IF(#REF!="ZERO",0))))),"")</f>
        <v>#REF!</v>
      </c>
      <c r="H1459" s="139" t="str">
        <f t="shared" si="139"/>
        <v/>
      </c>
      <c r="I1459" s="137" t="str">
        <f t="shared" si="140"/>
        <v/>
      </c>
      <c r="J1459" s="117"/>
      <c r="K1459" s="116">
        <v>0</v>
      </c>
      <c r="M1459" s="136" t="s">
        <v>416</v>
      </c>
      <c r="N1459" t="e">
        <v>#REF!</v>
      </c>
      <c r="Q1459" t="s">
        <v>416</v>
      </c>
    </row>
    <row r="1460" spans="1:17" hidden="1" x14ac:dyDescent="0.25">
      <c r="A1460" s="114" t="s">
        <v>4244</v>
      </c>
      <c r="B1460" s="115" t="s">
        <v>3386</v>
      </c>
      <c r="C1460" s="116" t="s">
        <v>69</v>
      </c>
      <c r="D1460" s="116">
        <v>0</v>
      </c>
      <c r="E1460" s="136" t="s">
        <v>416</v>
      </c>
      <c r="F1460" s="137" t="str">
        <f t="shared" si="138"/>
        <v/>
      </c>
      <c r="G1460" s="138" t="e">
        <f>IF(A1460&lt;&gt;"",IF(AND(#REF!="Padrão",$H$4=#REF!),BDI!$B$17,IF(AND(#REF!="Padrão",$H$4=#REF!),BDI!#REF!,IF(AND(#REF!="Diferenciado",$H$4=#REF!),BDI!$E$17,IF(AND(#REF!="Diferenciado",$H$4=#REF!),BDI!#REF!,IF(#REF!="ZERO",0))))),"")</f>
        <v>#REF!</v>
      </c>
      <c r="H1460" s="139" t="str">
        <f t="shared" si="139"/>
        <v/>
      </c>
      <c r="I1460" s="137" t="str">
        <f t="shared" si="140"/>
        <v/>
      </c>
      <c r="J1460" s="117"/>
      <c r="K1460" s="116">
        <v>0</v>
      </c>
      <c r="M1460" s="136" t="s">
        <v>416</v>
      </c>
      <c r="N1460" t="e">
        <v>#REF!</v>
      </c>
      <c r="Q1460" t="s">
        <v>416</v>
      </c>
    </row>
    <row r="1461" spans="1:17" hidden="1" x14ac:dyDescent="0.25">
      <c r="A1461" s="114" t="s">
        <v>4245</v>
      </c>
      <c r="B1461" s="115" t="s">
        <v>3387</v>
      </c>
      <c r="C1461" s="116" t="s">
        <v>69</v>
      </c>
      <c r="D1461" s="116">
        <v>0</v>
      </c>
      <c r="E1461" s="136" t="s">
        <v>416</v>
      </c>
      <c r="F1461" s="137" t="str">
        <f t="shared" si="138"/>
        <v/>
      </c>
      <c r="G1461" s="138" t="e">
        <f>IF(A1461&lt;&gt;"",IF(AND(#REF!="Padrão",$H$4=#REF!),BDI!$B$17,IF(AND(#REF!="Padrão",$H$4=#REF!),BDI!#REF!,IF(AND(#REF!="Diferenciado",$H$4=#REF!),BDI!$E$17,IF(AND(#REF!="Diferenciado",$H$4=#REF!),BDI!#REF!,IF(#REF!="ZERO",0))))),"")</f>
        <v>#REF!</v>
      </c>
      <c r="H1461" s="139" t="str">
        <f t="shared" si="139"/>
        <v/>
      </c>
      <c r="I1461" s="137" t="str">
        <f t="shared" si="140"/>
        <v/>
      </c>
      <c r="J1461" s="117"/>
      <c r="K1461" s="116">
        <v>0</v>
      </c>
      <c r="M1461" s="136" t="s">
        <v>416</v>
      </c>
      <c r="N1461" t="e">
        <v>#REF!</v>
      </c>
      <c r="Q1461" t="s">
        <v>416</v>
      </c>
    </row>
    <row r="1462" spans="1:17" hidden="1" x14ac:dyDescent="0.25">
      <c r="A1462" s="114" t="s">
        <v>4246</v>
      </c>
      <c r="B1462" s="115" t="s">
        <v>3388</v>
      </c>
      <c r="C1462" s="116" t="s">
        <v>16</v>
      </c>
      <c r="D1462" s="116">
        <v>0</v>
      </c>
      <c r="E1462" s="136" t="s">
        <v>416</v>
      </c>
      <c r="F1462" s="137" t="str">
        <f t="shared" si="138"/>
        <v/>
      </c>
      <c r="G1462" s="138" t="e">
        <f>IF(A1462&lt;&gt;"",IF(AND(#REF!="Padrão",$H$4=#REF!),BDI!$B$17,IF(AND(#REF!="Padrão",$H$4=#REF!),BDI!#REF!,IF(AND(#REF!="Diferenciado",$H$4=#REF!),BDI!$E$17,IF(AND(#REF!="Diferenciado",$H$4=#REF!),BDI!#REF!,IF(#REF!="ZERO",0))))),"")</f>
        <v>#REF!</v>
      </c>
      <c r="H1462" s="139" t="str">
        <f t="shared" si="139"/>
        <v/>
      </c>
      <c r="I1462" s="137" t="str">
        <f t="shared" si="140"/>
        <v/>
      </c>
      <c r="J1462" s="117"/>
      <c r="K1462" s="116">
        <v>0</v>
      </c>
      <c r="M1462" s="136" t="s">
        <v>416</v>
      </c>
      <c r="N1462" t="e">
        <v>#REF!</v>
      </c>
      <c r="Q1462" t="s">
        <v>416</v>
      </c>
    </row>
    <row r="1463" spans="1:17" hidden="1" x14ac:dyDescent="0.25">
      <c r="A1463" s="114" t="s">
        <v>4247</v>
      </c>
      <c r="B1463" s="115" t="s">
        <v>3389</v>
      </c>
      <c r="C1463" s="116" t="s">
        <v>16</v>
      </c>
      <c r="D1463" s="116">
        <v>0</v>
      </c>
      <c r="E1463" s="136" t="s">
        <v>416</v>
      </c>
      <c r="F1463" s="137" t="str">
        <f t="shared" si="138"/>
        <v/>
      </c>
      <c r="G1463" s="138" t="e">
        <f>IF(A1463&lt;&gt;"",IF(AND(#REF!="Padrão",$H$4=#REF!),BDI!$B$17,IF(AND(#REF!="Padrão",$H$4=#REF!),BDI!#REF!,IF(AND(#REF!="Diferenciado",$H$4=#REF!),BDI!$E$17,IF(AND(#REF!="Diferenciado",$H$4=#REF!),BDI!#REF!,IF(#REF!="ZERO",0))))),"")</f>
        <v>#REF!</v>
      </c>
      <c r="H1463" s="139" t="str">
        <f t="shared" si="139"/>
        <v/>
      </c>
      <c r="I1463" s="137" t="str">
        <f t="shared" si="140"/>
        <v/>
      </c>
      <c r="J1463" s="117"/>
      <c r="K1463" s="116">
        <v>0</v>
      </c>
      <c r="M1463" s="136" t="s">
        <v>416</v>
      </c>
      <c r="N1463" t="e">
        <v>#REF!</v>
      </c>
      <c r="Q1463" t="s">
        <v>416</v>
      </c>
    </row>
    <row r="1464" spans="1:17" hidden="1" x14ac:dyDescent="0.25">
      <c r="A1464" s="114" t="s">
        <v>4248</v>
      </c>
      <c r="B1464" s="115" t="s">
        <v>3390</v>
      </c>
      <c r="C1464" s="116" t="s">
        <v>16</v>
      </c>
      <c r="D1464" s="116">
        <v>0</v>
      </c>
      <c r="E1464" s="136" t="s">
        <v>416</v>
      </c>
      <c r="F1464" s="137" t="str">
        <f t="shared" si="138"/>
        <v/>
      </c>
      <c r="G1464" s="138" t="e">
        <f>IF(A1464&lt;&gt;"",IF(AND(#REF!="Padrão",$H$4=#REF!),BDI!$B$17,IF(AND(#REF!="Padrão",$H$4=#REF!),BDI!#REF!,IF(AND(#REF!="Diferenciado",$H$4=#REF!),BDI!$E$17,IF(AND(#REF!="Diferenciado",$H$4=#REF!),BDI!#REF!,IF(#REF!="ZERO",0))))),"")</f>
        <v>#REF!</v>
      </c>
      <c r="H1464" s="139" t="str">
        <f t="shared" si="139"/>
        <v/>
      </c>
      <c r="I1464" s="137" t="str">
        <f t="shared" si="140"/>
        <v/>
      </c>
      <c r="J1464" s="117"/>
      <c r="K1464" s="116">
        <v>0</v>
      </c>
      <c r="M1464" s="136" t="s">
        <v>416</v>
      </c>
      <c r="N1464" t="e">
        <v>#REF!</v>
      </c>
      <c r="Q1464" t="s">
        <v>416</v>
      </c>
    </row>
    <row r="1465" spans="1:17" hidden="1" x14ac:dyDescent="0.25">
      <c r="A1465" s="114" t="s">
        <v>4249</v>
      </c>
      <c r="B1465" s="115" t="s">
        <v>3391</v>
      </c>
      <c r="C1465" s="116" t="s">
        <v>16</v>
      </c>
      <c r="D1465" s="116">
        <v>0</v>
      </c>
      <c r="E1465" s="136" t="s">
        <v>416</v>
      </c>
      <c r="F1465" s="137" t="str">
        <f t="shared" si="138"/>
        <v/>
      </c>
      <c r="G1465" s="138" t="e">
        <f>IF(A1465&lt;&gt;"",IF(AND(#REF!="Padrão",$H$4=#REF!),BDI!$B$17,IF(AND(#REF!="Padrão",$H$4=#REF!),BDI!#REF!,IF(AND(#REF!="Diferenciado",$H$4=#REF!),BDI!$E$17,IF(AND(#REF!="Diferenciado",$H$4=#REF!),BDI!#REF!,IF(#REF!="ZERO",0))))),"")</f>
        <v>#REF!</v>
      </c>
      <c r="H1465" s="139" t="str">
        <f t="shared" si="139"/>
        <v/>
      </c>
      <c r="I1465" s="137" t="str">
        <f t="shared" si="140"/>
        <v/>
      </c>
      <c r="J1465" s="117"/>
      <c r="K1465" s="116">
        <v>0</v>
      </c>
      <c r="M1465" s="136" t="s">
        <v>416</v>
      </c>
      <c r="N1465" t="e">
        <v>#REF!</v>
      </c>
      <c r="Q1465" t="s">
        <v>416</v>
      </c>
    </row>
    <row r="1466" spans="1:17" hidden="1" x14ac:dyDescent="0.25">
      <c r="A1466" s="114" t="s">
        <v>4250</v>
      </c>
      <c r="B1466" s="115" t="s">
        <v>3392</v>
      </c>
      <c r="C1466" s="116" t="s">
        <v>16</v>
      </c>
      <c r="D1466" s="116">
        <v>0</v>
      </c>
      <c r="E1466" s="136" t="s">
        <v>416</v>
      </c>
      <c r="F1466" s="137" t="str">
        <f t="shared" si="138"/>
        <v/>
      </c>
      <c r="G1466" s="138" t="e">
        <f>IF(A1466&lt;&gt;"",IF(AND(#REF!="Padrão",$H$4=#REF!),BDI!$B$17,IF(AND(#REF!="Padrão",$H$4=#REF!),BDI!#REF!,IF(AND(#REF!="Diferenciado",$H$4=#REF!),BDI!$E$17,IF(AND(#REF!="Diferenciado",$H$4=#REF!),BDI!#REF!,IF(#REF!="ZERO",0))))),"")</f>
        <v>#REF!</v>
      </c>
      <c r="H1466" s="139" t="str">
        <f t="shared" si="139"/>
        <v/>
      </c>
      <c r="I1466" s="137" t="str">
        <f t="shared" si="140"/>
        <v/>
      </c>
      <c r="J1466" s="117"/>
      <c r="K1466" s="116">
        <v>0</v>
      </c>
      <c r="M1466" s="136" t="s">
        <v>416</v>
      </c>
      <c r="N1466" t="e">
        <v>#REF!</v>
      </c>
      <c r="Q1466" t="s">
        <v>416</v>
      </c>
    </row>
    <row r="1467" spans="1:17" hidden="1" x14ac:dyDescent="0.25">
      <c r="A1467" s="114" t="s">
        <v>4251</v>
      </c>
      <c r="B1467" s="115" t="s">
        <v>3393</v>
      </c>
      <c r="C1467" s="116" t="s">
        <v>16</v>
      </c>
      <c r="D1467" s="116">
        <v>0</v>
      </c>
      <c r="E1467" s="136" t="s">
        <v>416</v>
      </c>
      <c r="F1467" s="137" t="str">
        <f t="shared" si="138"/>
        <v/>
      </c>
      <c r="G1467" s="138" t="e">
        <f>IF(A1467&lt;&gt;"",IF(AND(#REF!="Padrão",$H$4=#REF!),BDI!$B$17,IF(AND(#REF!="Padrão",$H$4=#REF!),BDI!#REF!,IF(AND(#REF!="Diferenciado",$H$4=#REF!),BDI!$E$17,IF(AND(#REF!="Diferenciado",$H$4=#REF!),BDI!#REF!,IF(#REF!="ZERO",0))))),"")</f>
        <v>#REF!</v>
      </c>
      <c r="H1467" s="139" t="str">
        <f t="shared" si="139"/>
        <v/>
      </c>
      <c r="I1467" s="137" t="str">
        <f t="shared" si="140"/>
        <v/>
      </c>
      <c r="J1467" s="117"/>
      <c r="K1467" s="116">
        <v>0</v>
      </c>
      <c r="M1467" s="136" t="s">
        <v>416</v>
      </c>
      <c r="N1467" t="e">
        <v>#REF!</v>
      </c>
      <c r="Q1467" t="s">
        <v>416</v>
      </c>
    </row>
    <row r="1468" spans="1:17" hidden="1" x14ac:dyDescent="0.25">
      <c r="A1468" s="114" t="s">
        <v>4252</v>
      </c>
      <c r="B1468" s="115" t="s">
        <v>3394</v>
      </c>
      <c r="C1468" s="116" t="s">
        <v>16</v>
      </c>
      <c r="D1468" s="116">
        <v>0</v>
      </c>
      <c r="E1468" s="136" t="s">
        <v>416</v>
      </c>
      <c r="F1468" s="137" t="str">
        <f t="shared" si="138"/>
        <v/>
      </c>
      <c r="G1468" s="138" t="e">
        <f>IF(A1468&lt;&gt;"",IF(AND(#REF!="Padrão",$H$4=#REF!),BDI!$B$17,IF(AND(#REF!="Padrão",$H$4=#REF!),BDI!#REF!,IF(AND(#REF!="Diferenciado",$H$4=#REF!),BDI!$E$17,IF(AND(#REF!="Diferenciado",$H$4=#REF!),BDI!#REF!,IF(#REF!="ZERO",0))))),"")</f>
        <v>#REF!</v>
      </c>
      <c r="H1468" s="139" t="str">
        <f t="shared" si="139"/>
        <v/>
      </c>
      <c r="I1468" s="137" t="str">
        <f t="shared" si="140"/>
        <v/>
      </c>
      <c r="J1468" s="117"/>
      <c r="K1468" s="116">
        <v>0</v>
      </c>
      <c r="M1468" s="136" t="s">
        <v>416</v>
      </c>
      <c r="N1468" t="e">
        <v>#REF!</v>
      </c>
      <c r="Q1468" t="s">
        <v>416</v>
      </c>
    </row>
    <row r="1469" spans="1:17" hidden="1" x14ac:dyDescent="0.25">
      <c r="A1469" s="114" t="s">
        <v>4253</v>
      </c>
      <c r="B1469" s="115" t="s">
        <v>3395</v>
      </c>
      <c r="C1469" s="116" t="s">
        <v>16</v>
      </c>
      <c r="D1469" s="116">
        <v>0</v>
      </c>
      <c r="E1469" s="136" t="s">
        <v>416</v>
      </c>
      <c r="F1469" s="137" t="str">
        <f t="shared" si="138"/>
        <v/>
      </c>
      <c r="G1469" s="138" t="e">
        <f>IF(A1469&lt;&gt;"",IF(AND(#REF!="Padrão",$H$4=#REF!),BDI!$B$17,IF(AND(#REF!="Padrão",$H$4=#REF!),BDI!#REF!,IF(AND(#REF!="Diferenciado",$H$4=#REF!),BDI!$E$17,IF(AND(#REF!="Diferenciado",$H$4=#REF!),BDI!#REF!,IF(#REF!="ZERO",0))))),"")</f>
        <v>#REF!</v>
      </c>
      <c r="H1469" s="139" t="str">
        <f t="shared" si="139"/>
        <v/>
      </c>
      <c r="I1469" s="137" t="str">
        <f t="shared" si="140"/>
        <v/>
      </c>
      <c r="J1469" s="117"/>
      <c r="K1469" s="116">
        <v>0</v>
      </c>
      <c r="M1469" s="136" t="s">
        <v>416</v>
      </c>
      <c r="N1469" t="e">
        <v>#REF!</v>
      </c>
      <c r="Q1469" t="s">
        <v>416</v>
      </c>
    </row>
    <row r="1470" spans="1:17" hidden="1" x14ac:dyDescent="0.25">
      <c r="A1470" s="114" t="s">
        <v>4254</v>
      </c>
      <c r="B1470" s="115" t="s">
        <v>3396</v>
      </c>
      <c r="C1470" s="116" t="s">
        <v>16</v>
      </c>
      <c r="D1470" s="116">
        <v>0</v>
      </c>
      <c r="E1470" s="136" t="s">
        <v>416</v>
      </c>
      <c r="F1470" s="137" t="str">
        <f t="shared" si="138"/>
        <v/>
      </c>
      <c r="G1470" s="138" t="e">
        <f>IF(A1470&lt;&gt;"",IF(AND(#REF!="Padrão",$H$4=#REF!),BDI!$B$17,IF(AND(#REF!="Padrão",$H$4=#REF!),BDI!#REF!,IF(AND(#REF!="Diferenciado",$H$4=#REF!),BDI!$E$17,IF(AND(#REF!="Diferenciado",$H$4=#REF!),BDI!#REF!,IF(#REF!="ZERO",0))))),"")</f>
        <v>#REF!</v>
      </c>
      <c r="H1470" s="139" t="str">
        <f t="shared" si="139"/>
        <v/>
      </c>
      <c r="I1470" s="137" t="str">
        <f t="shared" si="140"/>
        <v/>
      </c>
      <c r="J1470" s="117"/>
      <c r="K1470" s="116">
        <v>0</v>
      </c>
      <c r="M1470" s="136" t="s">
        <v>416</v>
      </c>
      <c r="N1470" t="e">
        <v>#REF!</v>
      </c>
      <c r="Q1470" t="s">
        <v>416</v>
      </c>
    </row>
    <row r="1471" spans="1:17" hidden="1" x14ac:dyDescent="0.25">
      <c r="A1471" s="114" t="s">
        <v>4255</v>
      </c>
      <c r="B1471" s="115" t="s">
        <v>3397</v>
      </c>
      <c r="C1471" s="116" t="s">
        <v>16</v>
      </c>
      <c r="D1471" s="116">
        <v>0</v>
      </c>
      <c r="E1471" s="136" t="s">
        <v>416</v>
      </c>
      <c r="F1471" s="137" t="str">
        <f t="shared" si="138"/>
        <v/>
      </c>
      <c r="G1471" s="138" t="e">
        <f>IF(A1471&lt;&gt;"",IF(AND(#REF!="Padrão",$H$4=#REF!),BDI!$B$17,IF(AND(#REF!="Padrão",$H$4=#REF!),BDI!#REF!,IF(AND(#REF!="Diferenciado",$H$4=#REF!),BDI!$E$17,IF(AND(#REF!="Diferenciado",$H$4=#REF!),BDI!#REF!,IF(#REF!="ZERO",0))))),"")</f>
        <v>#REF!</v>
      </c>
      <c r="H1471" s="139" t="str">
        <f t="shared" si="139"/>
        <v/>
      </c>
      <c r="I1471" s="137" t="str">
        <f t="shared" si="140"/>
        <v/>
      </c>
      <c r="J1471" s="117"/>
      <c r="K1471" s="116">
        <v>0</v>
      </c>
      <c r="M1471" s="136" t="s">
        <v>416</v>
      </c>
      <c r="N1471" t="e">
        <v>#REF!</v>
      </c>
      <c r="Q1471" t="s">
        <v>416</v>
      </c>
    </row>
    <row r="1472" spans="1:17" hidden="1" x14ac:dyDescent="0.25">
      <c r="A1472" s="114" t="s">
        <v>4256</v>
      </c>
      <c r="B1472" s="115" t="s">
        <v>3398</v>
      </c>
      <c r="C1472" s="116" t="s">
        <v>16</v>
      </c>
      <c r="D1472" s="116">
        <v>0</v>
      </c>
      <c r="E1472" s="136" t="s">
        <v>416</v>
      </c>
      <c r="F1472" s="137" t="str">
        <f t="shared" si="138"/>
        <v/>
      </c>
      <c r="G1472" s="138" t="e">
        <f>IF(A1472&lt;&gt;"",IF(AND(#REF!="Padrão",$H$4=#REF!),BDI!$B$17,IF(AND(#REF!="Padrão",$H$4=#REF!),BDI!#REF!,IF(AND(#REF!="Diferenciado",$H$4=#REF!),BDI!$E$17,IF(AND(#REF!="Diferenciado",$H$4=#REF!),BDI!#REF!,IF(#REF!="ZERO",0))))),"")</f>
        <v>#REF!</v>
      </c>
      <c r="H1472" s="139" t="str">
        <f t="shared" si="139"/>
        <v/>
      </c>
      <c r="I1472" s="137" t="str">
        <f t="shared" si="140"/>
        <v/>
      </c>
      <c r="J1472" s="117"/>
      <c r="K1472" s="116">
        <v>0</v>
      </c>
      <c r="M1472" s="136" t="s">
        <v>416</v>
      </c>
      <c r="N1472" t="e">
        <v>#REF!</v>
      </c>
      <c r="Q1472" t="s">
        <v>416</v>
      </c>
    </row>
    <row r="1473" spans="1:17" hidden="1" x14ac:dyDescent="0.25">
      <c r="A1473" s="114" t="s">
        <v>4257</v>
      </c>
      <c r="B1473" s="115" t="s">
        <v>3399</v>
      </c>
      <c r="C1473" s="116" t="s">
        <v>16</v>
      </c>
      <c r="D1473" s="116">
        <v>0</v>
      </c>
      <c r="E1473" s="136" t="s">
        <v>416</v>
      </c>
      <c r="F1473" s="137" t="str">
        <f t="shared" si="138"/>
        <v/>
      </c>
      <c r="G1473" s="138" t="e">
        <f>IF(A1473&lt;&gt;"",IF(AND(#REF!="Padrão",$H$4=#REF!),BDI!$B$17,IF(AND(#REF!="Padrão",$H$4=#REF!),BDI!#REF!,IF(AND(#REF!="Diferenciado",$H$4=#REF!),BDI!$E$17,IF(AND(#REF!="Diferenciado",$H$4=#REF!),BDI!#REF!,IF(#REF!="ZERO",0))))),"")</f>
        <v>#REF!</v>
      </c>
      <c r="H1473" s="139" t="str">
        <f t="shared" si="139"/>
        <v/>
      </c>
      <c r="I1473" s="137" t="str">
        <f t="shared" si="140"/>
        <v/>
      </c>
      <c r="J1473" s="117"/>
      <c r="K1473" s="116">
        <v>0</v>
      </c>
      <c r="M1473" s="136" t="s">
        <v>416</v>
      </c>
      <c r="N1473" t="e">
        <v>#REF!</v>
      </c>
      <c r="Q1473" t="s">
        <v>416</v>
      </c>
    </row>
    <row r="1474" spans="1:17" hidden="1" x14ac:dyDescent="0.25">
      <c r="A1474" s="114" t="s">
        <v>4258</v>
      </c>
      <c r="B1474" s="115" t="s">
        <v>3400</v>
      </c>
      <c r="C1474" s="116" t="s">
        <v>16</v>
      </c>
      <c r="D1474" s="116">
        <v>0</v>
      </c>
      <c r="E1474" s="136" t="s">
        <v>416</v>
      </c>
      <c r="F1474" s="137" t="str">
        <f t="shared" si="138"/>
        <v/>
      </c>
      <c r="G1474" s="138" t="e">
        <f>IF(A1474&lt;&gt;"",IF(AND(#REF!="Padrão",$H$4=#REF!),BDI!$B$17,IF(AND(#REF!="Padrão",$H$4=#REF!),BDI!#REF!,IF(AND(#REF!="Diferenciado",$H$4=#REF!),BDI!$E$17,IF(AND(#REF!="Diferenciado",$H$4=#REF!),BDI!#REF!,IF(#REF!="ZERO",0))))),"")</f>
        <v>#REF!</v>
      </c>
      <c r="H1474" s="139" t="str">
        <f t="shared" si="139"/>
        <v/>
      </c>
      <c r="I1474" s="137" t="str">
        <f t="shared" si="140"/>
        <v/>
      </c>
      <c r="J1474" s="117"/>
      <c r="K1474" s="116">
        <v>0</v>
      </c>
      <c r="M1474" s="136" t="s">
        <v>416</v>
      </c>
      <c r="N1474" t="e">
        <v>#REF!</v>
      </c>
      <c r="Q1474" t="s">
        <v>416</v>
      </c>
    </row>
    <row r="1475" spans="1:17" hidden="1" x14ac:dyDescent="0.25">
      <c r="A1475" s="114" t="s">
        <v>4259</v>
      </c>
      <c r="B1475" s="115" t="s">
        <v>3401</v>
      </c>
      <c r="C1475" s="116" t="s">
        <v>16</v>
      </c>
      <c r="D1475" s="116">
        <v>0</v>
      </c>
      <c r="E1475" s="136" t="s">
        <v>416</v>
      </c>
      <c r="F1475" s="137" t="str">
        <f t="shared" si="138"/>
        <v/>
      </c>
      <c r="G1475" s="138" t="e">
        <f>IF(A1475&lt;&gt;"",IF(AND(#REF!="Padrão",$H$4=#REF!),BDI!$B$17,IF(AND(#REF!="Padrão",$H$4=#REF!),BDI!#REF!,IF(AND(#REF!="Diferenciado",$H$4=#REF!),BDI!$E$17,IF(AND(#REF!="Diferenciado",$H$4=#REF!),BDI!#REF!,IF(#REF!="ZERO",0))))),"")</f>
        <v>#REF!</v>
      </c>
      <c r="H1475" s="139" t="str">
        <f t="shared" si="139"/>
        <v/>
      </c>
      <c r="I1475" s="137" t="str">
        <f t="shared" si="140"/>
        <v/>
      </c>
      <c r="J1475" s="117"/>
      <c r="K1475" s="116">
        <v>0</v>
      </c>
      <c r="M1475" s="136" t="s">
        <v>416</v>
      </c>
      <c r="N1475" t="e">
        <v>#REF!</v>
      </c>
      <c r="Q1475" t="s">
        <v>416</v>
      </c>
    </row>
    <row r="1476" spans="1:17" hidden="1" x14ac:dyDescent="0.25">
      <c r="A1476" s="114" t="s">
        <v>4260</v>
      </c>
      <c r="B1476" s="115" t="s">
        <v>3402</v>
      </c>
      <c r="C1476" s="116" t="s">
        <v>16</v>
      </c>
      <c r="D1476" s="116">
        <v>0</v>
      </c>
      <c r="E1476" s="136" t="s">
        <v>416</v>
      </c>
      <c r="F1476" s="137" t="str">
        <f t="shared" si="138"/>
        <v/>
      </c>
      <c r="G1476" s="138" t="e">
        <f>IF(A1476&lt;&gt;"",IF(AND(#REF!="Padrão",$H$4=#REF!),BDI!$B$17,IF(AND(#REF!="Padrão",$H$4=#REF!),BDI!#REF!,IF(AND(#REF!="Diferenciado",$H$4=#REF!),BDI!$E$17,IF(AND(#REF!="Diferenciado",$H$4=#REF!),BDI!#REF!,IF(#REF!="ZERO",0))))),"")</f>
        <v>#REF!</v>
      </c>
      <c r="H1476" s="139" t="str">
        <f t="shared" si="139"/>
        <v/>
      </c>
      <c r="I1476" s="137" t="str">
        <f t="shared" si="140"/>
        <v/>
      </c>
      <c r="J1476" s="117"/>
      <c r="K1476" s="116">
        <v>0</v>
      </c>
      <c r="M1476" s="136" t="s">
        <v>416</v>
      </c>
      <c r="N1476" t="e">
        <v>#REF!</v>
      </c>
      <c r="Q1476" t="s">
        <v>416</v>
      </c>
    </row>
    <row r="1477" spans="1:17" hidden="1" x14ac:dyDescent="0.25">
      <c r="A1477" s="114" t="s">
        <v>4261</v>
      </c>
      <c r="B1477" s="115" t="s">
        <v>3403</v>
      </c>
      <c r="C1477" s="116" t="s">
        <v>16</v>
      </c>
      <c r="D1477" s="116">
        <v>0</v>
      </c>
      <c r="E1477" s="136" t="s">
        <v>416</v>
      </c>
      <c r="F1477" s="137" t="str">
        <f t="shared" si="138"/>
        <v/>
      </c>
      <c r="G1477" s="138" t="e">
        <f>IF(A1477&lt;&gt;"",IF(AND(#REF!="Padrão",$H$4=#REF!),BDI!$B$17,IF(AND(#REF!="Padrão",$H$4=#REF!),BDI!#REF!,IF(AND(#REF!="Diferenciado",$H$4=#REF!),BDI!$E$17,IF(AND(#REF!="Diferenciado",$H$4=#REF!),BDI!#REF!,IF(#REF!="ZERO",0))))),"")</f>
        <v>#REF!</v>
      </c>
      <c r="H1477" s="139" t="str">
        <f t="shared" si="139"/>
        <v/>
      </c>
      <c r="I1477" s="137" t="str">
        <f t="shared" si="140"/>
        <v/>
      </c>
      <c r="J1477" s="117"/>
      <c r="K1477" s="116">
        <v>0</v>
      </c>
      <c r="M1477" s="136" t="s">
        <v>416</v>
      </c>
      <c r="N1477" t="e">
        <v>#REF!</v>
      </c>
      <c r="Q1477" t="s">
        <v>416</v>
      </c>
    </row>
    <row r="1478" spans="1:17" hidden="1" x14ac:dyDescent="0.25">
      <c r="A1478" s="114" t="s">
        <v>4262</v>
      </c>
      <c r="B1478" s="115" t="s">
        <v>3404</v>
      </c>
      <c r="C1478" s="116" t="s">
        <v>16</v>
      </c>
      <c r="D1478" s="116">
        <v>0</v>
      </c>
      <c r="E1478" s="136" t="s">
        <v>416</v>
      </c>
      <c r="F1478" s="137" t="str">
        <f t="shared" si="138"/>
        <v/>
      </c>
      <c r="G1478" s="138" t="e">
        <f>IF(A1478&lt;&gt;"",IF(AND(#REF!="Padrão",$H$4=#REF!),BDI!$B$17,IF(AND(#REF!="Padrão",$H$4=#REF!),BDI!#REF!,IF(AND(#REF!="Diferenciado",$H$4=#REF!),BDI!$E$17,IF(AND(#REF!="Diferenciado",$H$4=#REF!),BDI!#REF!,IF(#REF!="ZERO",0))))),"")</f>
        <v>#REF!</v>
      </c>
      <c r="H1478" s="139" t="str">
        <f t="shared" si="139"/>
        <v/>
      </c>
      <c r="I1478" s="137" t="str">
        <f t="shared" si="140"/>
        <v/>
      </c>
      <c r="J1478" s="117"/>
      <c r="K1478" s="116">
        <v>0</v>
      </c>
      <c r="M1478" s="136" t="s">
        <v>416</v>
      </c>
      <c r="N1478" t="e">
        <v>#REF!</v>
      </c>
      <c r="Q1478" t="s">
        <v>416</v>
      </c>
    </row>
    <row r="1479" spans="1:17" hidden="1" x14ac:dyDescent="0.25">
      <c r="A1479" s="114" t="s">
        <v>4263</v>
      </c>
      <c r="B1479" s="115" t="s">
        <v>3405</v>
      </c>
      <c r="C1479" s="116" t="s">
        <v>16</v>
      </c>
      <c r="D1479" s="116">
        <v>0</v>
      </c>
      <c r="E1479" s="136" t="s">
        <v>416</v>
      </c>
      <c r="F1479" s="137" t="str">
        <f t="shared" si="138"/>
        <v/>
      </c>
      <c r="G1479" s="138" t="e">
        <f>IF(A1479&lt;&gt;"",IF(AND(#REF!="Padrão",$H$4=#REF!),BDI!$B$17,IF(AND(#REF!="Padrão",$H$4=#REF!),BDI!#REF!,IF(AND(#REF!="Diferenciado",$H$4=#REF!),BDI!$E$17,IF(AND(#REF!="Diferenciado",$H$4=#REF!),BDI!#REF!,IF(#REF!="ZERO",0))))),"")</f>
        <v>#REF!</v>
      </c>
      <c r="H1479" s="139" t="str">
        <f t="shared" si="139"/>
        <v/>
      </c>
      <c r="I1479" s="137" t="str">
        <f t="shared" si="140"/>
        <v/>
      </c>
      <c r="J1479" s="117"/>
      <c r="K1479" s="116">
        <v>0</v>
      </c>
      <c r="M1479" s="136" t="s">
        <v>416</v>
      </c>
      <c r="N1479" t="e">
        <v>#REF!</v>
      </c>
      <c r="Q1479" t="s">
        <v>416</v>
      </c>
    </row>
    <row r="1480" spans="1:17" hidden="1" x14ac:dyDescent="0.25">
      <c r="A1480" s="114" t="s">
        <v>4264</v>
      </c>
      <c r="B1480" s="115" t="s">
        <v>3406</v>
      </c>
      <c r="C1480" s="116" t="s">
        <v>16</v>
      </c>
      <c r="D1480" s="116">
        <v>0</v>
      </c>
      <c r="E1480" s="136" t="s">
        <v>416</v>
      </c>
      <c r="F1480" s="137" t="str">
        <f t="shared" si="138"/>
        <v/>
      </c>
      <c r="G1480" s="138" t="e">
        <f>IF(A1480&lt;&gt;"",IF(AND(#REF!="Padrão",$H$4=#REF!),BDI!$B$17,IF(AND(#REF!="Padrão",$H$4=#REF!),BDI!#REF!,IF(AND(#REF!="Diferenciado",$H$4=#REF!),BDI!$E$17,IF(AND(#REF!="Diferenciado",$H$4=#REF!),BDI!#REF!,IF(#REF!="ZERO",0))))),"")</f>
        <v>#REF!</v>
      </c>
      <c r="H1480" s="139" t="str">
        <f t="shared" si="139"/>
        <v/>
      </c>
      <c r="I1480" s="137" t="str">
        <f t="shared" si="140"/>
        <v/>
      </c>
      <c r="J1480" s="117"/>
      <c r="K1480" s="116">
        <v>0</v>
      </c>
      <c r="M1480" s="136" t="s">
        <v>416</v>
      </c>
      <c r="N1480" t="e">
        <v>#REF!</v>
      </c>
      <c r="Q1480" t="s">
        <v>416</v>
      </c>
    </row>
    <row r="1481" spans="1:17" hidden="1" x14ac:dyDescent="0.25">
      <c r="A1481" s="114" t="s">
        <v>4265</v>
      </c>
      <c r="B1481" s="115" t="s">
        <v>3407</v>
      </c>
      <c r="C1481" s="116" t="s">
        <v>16</v>
      </c>
      <c r="D1481" s="116">
        <v>0</v>
      </c>
      <c r="E1481" s="136" t="s">
        <v>416</v>
      </c>
      <c r="F1481" s="137" t="str">
        <f t="shared" si="138"/>
        <v/>
      </c>
      <c r="G1481" s="138" t="e">
        <f>IF(A1481&lt;&gt;"",IF(AND(#REF!="Padrão",$H$4=#REF!),BDI!$B$17,IF(AND(#REF!="Padrão",$H$4=#REF!),BDI!#REF!,IF(AND(#REF!="Diferenciado",$H$4=#REF!),BDI!$E$17,IF(AND(#REF!="Diferenciado",$H$4=#REF!),BDI!#REF!,IF(#REF!="ZERO",0))))),"")</f>
        <v>#REF!</v>
      </c>
      <c r="H1481" s="139" t="str">
        <f t="shared" si="139"/>
        <v/>
      </c>
      <c r="I1481" s="137" t="str">
        <f t="shared" si="140"/>
        <v/>
      </c>
      <c r="J1481" s="117"/>
      <c r="K1481" s="116">
        <v>0</v>
      </c>
      <c r="M1481" s="136" t="s">
        <v>416</v>
      </c>
      <c r="N1481" t="e">
        <v>#REF!</v>
      </c>
      <c r="Q1481" t="s">
        <v>416</v>
      </c>
    </row>
    <row r="1482" spans="1:17" hidden="1" x14ac:dyDescent="0.25">
      <c r="A1482" s="114" t="s">
        <v>4266</v>
      </c>
      <c r="B1482" s="115" t="s">
        <v>3408</v>
      </c>
      <c r="C1482" s="116" t="s">
        <v>16</v>
      </c>
      <c r="D1482" s="116">
        <v>0</v>
      </c>
      <c r="E1482" s="136" t="s">
        <v>416</v>
      </c>
      <c r="F1482" s="137" t="str">
        <f t="shared" si="138"/>
        <v/>
      </c>
      <c r="G1482" s="138" t="e">
        <f>IF(A1482&lt;&gt;"",IF(AND(#REF!="Padrão",$H$4=#REF!),BDI!$B$17,IF(AND(#REF!="Padrão",$H$4=#REF!),BDI!#REF!,IF(AND(#REF!="Diferenciado",$H$4=#REF!),BDI!$E$17,IF(AND(#REF!="Diferenciado",$H$4=#REF!),BDI!#REF!,IF(#REF!="ZERO",0))))),"")</f>
        <v>#REF!</v>
      </c>
      <c r="H1482" s="139" t="str">
        <f t="shared" si="139"/>
        <v/>
      </c>
      <c r="I1482" s="137" t="str">
        <f t="shared" si="140"/>
        <v/>
      </c>
      <c r="J1482" s="117"/>
      <c r="K1482" s="116">
        <v>0</v>
      </c>
      <c r="M1482" s="136" t="s">
        <v>416</v>
      </c>
      <c r="N1482" t="e">
        <v>#REF!</v>
      </c>
      <c r="Q1482" t="s">
        <v>416</v>
      </c>
    </row>
    <row r="1483" spans="1:17" hidden="1" x14ac:dyDescent="0.25">
      <c r="A1483" s="114" t="s">
        <v>4267</v>
      </c>
      <c r="B1483" s="115" t="s">
        <v>3409</v>
      </c>
      <c r="C1483" s="116" t="s">
        <v>69</v>
      </c>
      <c r="D1483" s="116">
        <v>0</v>
      </c>
      <c r="E1483" s="136" t="s">
        <v>416</v>
      </c>
      <c r="F1483" s="137" t="str">
        <f t="shared" si="138"/>
        <v/>
      </c>
      <c r="G1483" s="138" t="e">
        <f>IF(A1483&lt;&gt;"",IF(AND(#REF!="Padrão",$H$4=#REF!),BDI!$B$17,IF(AND(#REF!="Padrão",$H$4=#REF!),BDI!#REF!,IF(AND(#REF!="Diferenciado",$H$4=#REF!),BDI!$E$17,IF(AND(#REF!="Diferenciado",$H$4=#REF!),BDI!#REF!,IF(#REF!="ZERO",0))))),"")</f>
        <v>#REF!</v>
      </c>
      <c r="H1483" s="139" t="str">
        <f t="shared" si="139"/>
        <v/>
      </c>
      <c r="I1483" s="137" t="str">
        <f t="shared" si="140"/>
        <v/>
      </c>
      <c r="J1483" s="117"/>
      <c r="K1483" s="116">
        <v>0</v>
      </c>
      <c r="M1483" s="136" t="s">
        <v>416</v>
      </c>
      <c r="N1483" t="e">
        <v>#REF!</v>
      </c>
      <c r="Q1483" t="s">
        <v>416</v>
      </c>
    </row>
    <row r="1484" spans="1:17" hidden="1" x14ac:dyDescent="0.25">
      <c r="A1484" s="114" t="s">
        <v>4268</v>
      </c>
      <c r="B1484" s="115" t="s">
        <v>3410</v>
      </c>
      <c r="C1484" s="116" t="s">
        <v>69</v>
      </c>
      <c r="D1484" s="116">
        <v>0</v>
      </c>
      <c r="E1484" s="136" t="s">
        <v>416</v>
      </c>
      <c r="F1484" s="137" t="str">
        <f t="shared" si="138"/>
        <v/>
      </c>
      <c r="G1484" s="138" t="e">
        <f>IF(A1484&lt;&gt;"",IF(AND(#REF!="Padrão",$H$4=#REF!),BDI!$B$17,IF(AND(#REF!="Padrão",$H$4=#REF!),BDI!#REF!,IF(AND(#REF!="Diferenciado",$H$4=#REF!),BDI!$E$17,IF(AND(#REF!="Diferenciado",$H$4=#REF!),BDI!#REF!,IF(#REF!="ZERO",0))))),"")</f>
        <v>#REF!</v>
      </c>
      <c r="H1484" s="139" t="str">
        <f t="shared" si="139"/>
        <v/>
      </c>
      <c r="I1484" s="137" t="str">
        <f t="shared" si="140"/>
        <v/>
      </c>
      <c r="J1484" s="117"/>
      <c r="K1484" s="116">
        <v>0</v>
      </c>
      <c r="M1484" s="136" t="s">
        <v>416</v>
      </c>
      <c r="N1484" t="e">
        <v>#REF!</v>
      </c>
      <c r="Q1484" t="s">
        <v>416</v>
      </c>
    </row>
    <row r="1485" spans="1:17" hidden="1" x14ac:dyDescent="0.25">
      <c r="A1485" s="114" t="s">
        <v>4269</v>
      </c>
      <c r="B1485" s="115" t="s">
        <v>3411</v>
      </c>
      <c r="C1485" s="116" t="s">
        <v>69</v>
      </c>
      <c r="D1485" s="116">
        <v>0</v>
      </c>
      <c r="E1485" s="136" t="s">
        <v>416</v>
      </c>
      <c r="F1485" s="137" t="str">
        <f t="shared" si="138"/>
        <v/>
      </c>
      <c r="G1485" s="138" t="e">
        <f>IF(A1485&lt;&gt;"",IF(AND(#REF!="Padrão",$H$4=#REF!),BDI!$B$17,IF(AND(#REF!="Padrão",$H$4=#REF!),BDI!#REF!,IF(AND(#REF!="Diferenciado",$H$4=#REF!),BDI!$E$17,IF(AND(#REF!="Diferenciado",$H$4=#REF!),BDI!#REF!,IF(#REF!="ZERO",0))))),"")</f>
        <v>#REF!</v>
      </c>
      <c r="H1485" s="139" t="str">
        <f t="shared" si="139"/>
        <v/>
      </c>
      <c r="I1485" s="137" t="str">
        <f t="shared" si="140"/>
        <v/>
      </c>
      <c r="J1485" s="117"/>
      <c r="K1485" s="116">
        <v>0</v>
      </c>
      <c r="M1485" s="136" t="s">
        <v>416</v>
      </c>
      <c r="N1485" t="e">
        <v>#REF!</v>
      </c>
      <c r="Q1485" t="s">
        <v>416</v>
      </c>
    </row>
    <row r="1486" spans="1:17" hidden="1" x14ac:dyDescent="0.25">
      <c r="A1486" s="114" t="s">
        <v>4270</v>
      </c>
      <c r="B1486" s="115" t="s">
        <v>3412</v>
      </c>
      <c r="C1486" s="116" t="s">
        <v>4171</v>
      </c>
      <c r="D1486" s="116">
        <v>0</v>
      </c>
      <c r="E1486" s="136" t="s">
        <v>416</v>
      </c>
      <c r="F1486" s="137" t="str">
        <f t="shared" si="138"/>
        <v/>
      </c>
      <c r="G1486" s="138" t="e">
        <f>IF(A1486&lt;&gt;"",IF(AND(#REF!="Padrão",$H$4=#REF!),BDI!$B$17,IF(AND(#REF!="Padrão",$H$4=#REF!),BDI!#REF!,IF(AND(#REF!="Diferenciado",$H$4=#REF!),BDI!$E$17,IF(AND(#REF!="Diferenciado",$H$4=#REF!),BDI!#REF!,IF(#REF!="ZERO",0))))),"")</f>
        <v>#REF!</v>
      </c>
      <c r="H1486" s="139" t="str">
        <f t="shared" si="139"/>
        <v/>
      </c>
      <c r="I1486" s="137" t="str">
        <f t="shared" si="140"/>
        <v/>
      </c>
      <c r="J1486" s="117"/>
      <c r="K1486" s="116">
        <v>0</v>
      </c>
      <c r="M1486" s="136" t="s">
        <v>416</v>
      </c>
      <c r="N1486" t="e">
        <v>#REF!</v>
      </c>
      <c r="Q1486" t="s">
        <v>416</v>
      </c>
    </row>
    <row r="1487" spans="1:17" hidden="1" x14ac:dyDescent="0.25">
      <c r="A1487" s="114" t="s">
        <v>4271</v>
      </c>
      <c r="B1487" s="115" t="s">
        <v>3413</v>
      </c>
      <c r="C1487" s="116" t="s">
        <v>16</v>
      </c>
      <c r="D1487" s="116">
        <v>0</v>
      </c>
      <c r="E1487" s="136" t="s">
        <v>416</v>
      </c>
      <c r="F1487" s="137" t="str">
        <f t="shared" si="138"/>
        <v/>
      </c>
      <c r="G1487" s="138" t="e">
        <f>IF(A1487&lt;&gt;"",IF(AND(#REF!="Padrão",$H$4=#REF!),BDI!$B$17,IF(AND(#REF!="Padrão",$H$4=#REF!),BDI!#REF!,IF(AND(#REF!="Diferenciado",$H$4=#REF!),BDI!$E$17,IF(AND(#REF!="Diferenciado",$H$4=#REF!),BDI!#REF!,IF(#REF!="ZERO",0))))),"")</f>
        <v>#REF!</v>
      </c>
      <c r="H1487" s="139" t="str">
        <f t="shared" si="139"/>
        <v/>
      </c>
      <c r="I1487" s="137" t="str">
        <f t="shared" si="140"/>
        <v/>
      </c>
      <c r="J1487" s="117"/>
      <c r="K1487" s="116">
        <v>0</v>
      </c>
      <c r="M1487" s="136" t="s">
        <v>416</v>
      </c>
      <c r="N1487" t="e">
        <v>#REF!</v>
      </c>
      <c r="Q1487" t="s">
        <v>416</v>
      </c>
    </row>
    <row r="1488" spans="1:17" hidden="1" x14ac:dyDescent="0.25">
      <c r="A1488" s="114" t="s">
        <v>4272</v>
      </c>
      <c r="B1488" s="115" t="s">
        <v>3414</v>
      </c>
      <c r="C1488" s="116" t="s">
        <v>16</v>
      </c>
      <c r="D1488" s="116">
        <v>0</v>
      </c>
      <c r="E1488" s="136" t="s">
        <v>416</v>
      </c>
      <c r="F1488" s="137" t="str">
        <f t="shared" si="138"/>
        <v/>
      </c>
      <c r="G1488" s="138" t="e">
        <f>IF(A1488&lt;&gt;"",IF(AND(#REF!="Padrão",$H$4=#REF!),BDI!$B$17,IF(AND(#REF!="Padrão",$H$4=#REF!),BDI!#REF!,IF(AND(#REF!="Diferenciado",$H$4=#REF!),BDI!$E$17,IF(AND(#REF!="Diferenciado",$H$4=#REF!),BDI!#REF!,IF(#REF!="ZERO",0))))),"")</f>
        <v>#REF!</v>
      </c>
      <c r="H1488" s="139" t="str">
        <f t="shared" si="139"/>
        <v/>
      </c>
      <c r="I1488" s="137" t="str">
        <f t="shared" si="140"/>
        <v/>
      </c>
      <c r="J1488" s="117"/>
      <c r="K1488" s="116">
        <v>0</v>
      </c>
      <c r="M1488" s="136" t="s">
        <v>416</v>
      </c>
      <c r="N1488" t="e">
        <v>#REF!</v>
      </c>
      <c r="Q1488" t="s">
        <v>416</v>
      </c>
    </row>
    <row r="1489" spans="1:17" hidden="1" x14ac:dyDescent="0.25">
      <c r="A1489" s="114" t="s">
        <v>4273</v>
      </c>
      <c r="B1489" s="115" t="s">
        <v>3415</v>
      </c>
      <c r="C1489" s="116" t="s">
        <v>16</v>
      </c>
      <c r="D1489" s="116">
        <v>0</v>
      </c>
      <c r="E1489" s="136" t="s">
        <v>416</v>
      </c>
      <c r="F1489" s="137" t="str">
        <f t="shared" si="138"/>
        <v/>
      </c>
      <c r="G1489" s="138" t="e">
        <f>IF(A1489&lt;&gt;"",IF(AND(#REF!="Padrão",$H$4=#REF!),BDI!$B$17,IF(AND(#REF!="Padrão",$H$4=#REF!),BDI!#REF!,IF(AND(#REF!="Diferenciado",$H$4=#REF!),BDI!$E$17,IF(AND(#REF!="Diferenciado",$H$4=#REF!),BDI!#REF!,IF(#REF!="ZERO",0))))),"")</f>
        <v>#REF!</v>
      </c>
      <c r="H1489" s="139" t="str">
        <f t="shared" si="139"/>
        <v/>
      </c>
      <c r="I1489" s="137" t="str">
        <f t="shared" si="140"/>
        <v/>
      </c>
      <c r="J1489" s="117"/>
      <c r="K1489" s="116">
        <v>0</v>
      </c>
      <c r="M1489" s="136" t="s">
        <v>416</v>
      </c>
      <c r="N1489" t="e">
        <v>#REF!</v>
      </c>
      <c r="Q1489" t="s">
        <v>416</v>
      </c>
    </row>
    <row r="1490" spans="1:17" hidden="1" x14ac:dyDescent="0.25">
      <c r="A1490" s="114" t="s">
        <v>4274</v>
      </c>
      <c r="B1490" s="115" t="s">
        <v>3416</v>
      </c>
      <c r="C1490" s="116" t="s">
        <v>16</v>
      </c>
      <c r="D1490" s="116">
        <v>0</v>
      </c>
      <c r="E1490" s="136" t="s">
        <v>416</v>
      </c>
      <c r="F1490" s="137" t="str">
        <f t="shared" si="138"/>
        <v/>
      </c>
      <c r="G1490" s="138" t="e">
        <f>IF(A1490&lt;&gt;"",IF(AND(#REF!="Padrão",$H$4=#REF!),BDI!$B$17,IF(AND(#REF!="Padrão",$H$4=#REF!),BDI!#REF!,IF(AND(#REF!="Diferenciado",$H$4=#REF!),BDI!$E$17,IF(AND(#REF!="Diferenciado",$H$4=#REF!),BDI!#REF!,IF(#REF!="ZERO",0))))),"")</f>
        <v>#REF!</v>
      </c>
      <c r="H1490" s="139" t="str">
        <f t="shared" si="139"/>
        <v/>
      </c>
      <c r="I1490" s="137" t="str">
        <f t="shared" si="140"/>
        <v/>
      </c>
      <c r="J1490" s="117"/>
      <c r="K1490" s="116">
        <v>0</v>
      </c>
      <c r="M1490" s="136" t="s">
        <v>416</v>
      </c>
      <c r="N1490" t="e">
        <v>#REF!</v>
      </c>
      <c r="Q1490" t="s">
        <v>416</v>
      </c>
    </row>
    <row r="1491" spans="1:17" hidden="1" x14ac:dyDescent="0.25">
      <c r="A1491" s="114" t="s">
        <v>4275</v>
      </c>
      <c r="B1491" s="115" t="s">
        <v>3417</v>
      </c>
      <c r="C1491" s="116" t="s">
        <v>70</v>
      </c>
      <c r="D1491" s="116">
        <v>0</v>
      </c>
      <c r="E1491" s="136" t="s">
        <v>416</v>
      </c>
      <c r="F1491" s="137" t="str">
        <f t="shared" si="138"/>
        <v/>
      </c>
      <c r="G1491" s="138" t="e">
        <f>IF(A1491&lt;&gt;"",IF(AND(#REF!="Padrão",$H$4=#REF!),BDI!$B$17,IF(AND(#REF!="Padrão",$H$4=#REF!),BDI!#REF!,IF(AND(#REF!="Diferenciado",$H$4=#REF!),BDI!$E$17,IF(AND(#REF!="Diferenciado",$H$4=#REF!),BDI!#REF!,IF(#REF!="ZERO",0))))),"")</f>
        <v>#REF!</v>
      </c>
      <c r="H1491" s="139" t="str">
        <f t="shared" si="139"/>
        <v/>
      </c>
      <c r="I1491" s="137" t="str">
        <f t="shared" si="140"/>
        <v/>
      </c>
      <c r="J1491" s="117"/>
      <c r="K1491" s="116">
        <v>0</v>
      </c>
      <c r="M1491" s="136" t="s">
        <v>416</v>
      </c>
      <c r="N1491" t="e">
        <v>#REF!</v>
      </c>
      <c r="Q1491" t="s">
        <v>416</v>
      </c>
    </row>
    <row r="1492" spans="1:17" hidden="1" x14ac:dyDescent="0.25">
      <c r="A1492" s="114" t="s">
        <v>4276</v>
      </c>
      <c r="B1492" s="115" t="s">
        <v>3418</v>
      </c>
      <c r="C1492" s="116" t="s">
        <v>70</v>
      </c>
      <c r="D1492" s="116">
        <v>0</v>
      </c>
      <c r="E1492" s="136" t="s">
        <v>416</v>
      </c>
      <c r="F1492" s="137" t="str">
        <f t="shared" si="138"/>
        <v/>
      </c>
      <c r="G1492" s="138" t="e">
        <f>IF(A1492&lt;&gt;"",IF(AND(#REF!="Padrão",$H$4=#REF!),BDI!$B$17,IF(AND(#REF!="Padrão",$H$4=#REF!),BDI!#REF!,IF(AND(#REF!="Diferenciado",$H$4=#REF!),BDI!$E$17,IF(AND(#REF!="Diferenciado",$H$4=#REF!),BDI!#REF!,IF(#REF!="ZERO",0))))),"")</f>
        <v>#REF!</v>
      </c>
      <c r="H1492" s="139" t="str">
        <f t="shared" si="139"/>
        <v/>
      </c>
      <c r="I1492" s="137" t="str">
        <f t="shared" si="140"/>
        <v/>
      </c>
      <c r="J1492" s="117"/>
      <c r="K1492" s="116">
        <v>0</v>
      </c>
      <c r="M1492" s="136" t="s">
        <v>416</v>
      </c>
      <c r="N1492" t="e">
        <v>#REF!</v>
      </c>
      <c r="Q1492" t="s">
        <v>416</v>
      </c>
    </row>
    <row r="1493" spans="1:17" hidden="1" x14ac:dyDescent="0.25">
      <c r="A1493" s="114" t="s">
        <v>4277</v>
      </c>
      <c r="B1493" s="115" t="s">
        <v>3419</v>
      </c>
      <c r="C1493" s="116" t="s">
        <v>28</v>
      </c>
      <c r="D1493" s="116">
        <v>0</v>
      </c>
      <c r="E1493" s="136">
        <f ca="1">OFFSET(INDEX(Composições!A:J,MATCH(Orçamentária!A1493,Composições!A:A,0),8),2,0)</f>
        <v>14.420999999999999</v>
      </c>
      <c r="F1493" s="137">
        <f t="shared" ca="1" si="138"/>
        <v>0</v>
      </c>
      <c r="G1493" s="138" t="e">
        <f>IF(A1493&lt;&gt;"",IF(AND(#REF!="Padrão",$H$4=#REF!),BDI!$B$17,IF(AND(#REF!="Padrão",$H$4=#REF!),BDI!#REF!,IF(AND(#REF!="Diferenciado",$H$4=#REF!),BDI!$E$17,IF(AND(#REF!="Diferenciado",$H$4=#REF!),BDI!#REF!,IF(#REF!="ZERO",0))))),"")</f>
        <v>#REF!</v>
      </c>
      <c r="H1493" s="139" t="e">
        <f t="shared" ca="1" si="139"/>
        <v>#REF!</v>
      </c>
      <c r="I1493" s="137" t="e">
        <f t="shared" ca="1" si="140"/>
        <v>#REF!</v>
      </c>
      <c r="J1493" s="117"/>
      <c r="K1493" s="116">
        <v>0</v>
      </c>
      <c r="M1493" s="136" t="e">
        <f ca="1">OFFSET(INDEX([1]Composições!I:R,MATCH([1]Orçamentária!I1493,[1]Composições!I:I,0),8),2,0)</f>
        <v>#REF!</v>
      </c>
      <c r="N1493" t="e">
        <v>#REF!</v>
      </c>
      <c r="Q1493" t="e">
        <v>#REF!</v>
      </c>
    </row>
    <row r="1494" spans="1:17" hidden="1" x14ac:dyDescent="0.25">
      <c r="A1494" s="114" t="s">
        <v>4278</v>
      </c>
      <c r="B1494" s="115" t="s">
        <v>3420</v>
      </c>
      <c r="C1494" s="116" t="s">
        <v>80</v>
      </c>
      <c r="D1494" s="116">
        <v>0</v>
      </c>
      <c r="E1494" s="136" t="s">
        <v>416</v>
      </c>
      <c r="F1494" s="137" t="str">
        <f t="shared" si="138"/>
        <v/>
      </c>
      <c r="G1494" s="138" t="e">
        <f>IF(A1494&lt;&gt;"",IF(AND(#REF!="Padrão",$H$4=#REF!),BDI!$B$17,IF(AND(#REF!="Padrão",$H$4=#REF!),BDI!#REF!,IF(AND(#REF!="Diferenciado",$H$4=#REF!),BDI!$E$17,IF(AND(#REF!="Diferenciado",$H$4=#REF!),BDI!#REF!,IF(#REF!="ZERO",0))))),"")</f>
        <v>#REF!</v>
      </c>
      <c r="H1494" s="139" t="str">
        <f t="shared" si="139"/>
        <v/>
      </c>
      <c r="I1494" s="137" t="str">
        <f t="shared" si="140"/>
        <v/>
      </c>
      <c r="J1494" s="117"/>
      <c r="K1494" s="116">
        <v>0</v>
      </c>
      <c r="M1494" s="136" t="s">
        <v>416</v>
      </c>
      <c r="N1494" t="e">
        <v>#REF!</v>
      </c>
      <c r="Q1494" t="s">
        <v>416</v>
      </c>
    </row>
    <row r="1495" spans="1:17" hidden="1" x14ac:dyDescent="0.25">
      <c r="A1495" s="114" t="s">
        <v>4279</v>
      </c>
      <c r="B1495" s="115" t="s">
        <v>3421</v>
      </c>
      <c r="C1495" s="116" t="s">
        <v>5415</v>
      </c>
      <c r="D1495" s="116">
        <v>0</v>
      </c>
      <c r="E1495" s="136" t="s">
        <v>416</v>
      </c>
      <c r="F1495" s="137" t="str">
        <f t="shared" si="138"/>
        <v/>
      </c>
      <c r="G1495" s="138" t="e">
        <f>IF(A1495&lt;&gt;"",IF(AND(#REF!="Padrão",$H$4=#REF!),BDI!$B$17,IF(AND(#REF!="Padrão",$H$4=#REF!),BDI!#REF!,IF(AND(#REF!="Diferenciado",$H$4=#REF!),BDI!$E$17,IF(AND(#REF!="Diferenciado",$H$4=#REF!),BDI!#REF!,IF(#REF!="ZERO",0))))),"")</f>
        <v>#REF!</v>
      </c>
      <c r="H1495" s="139" t="str">
        <f t="shared" si="139"/>
        <v/>
      </c>
      <c r="I1495" s="137" t="str">
        <f t="shared" si="140"/>
        <v/>
      </c>
      <c r="J1495" s="117"/>
      <c r="K1495" s="116">
        <v>0</v>
      </c>
      <c r="M1495" s="136" t="s">
        <v>416</v>
      </c>
      <c r="N1495" t="e">
        <v>#REF!</v>
      </c>
      <c r="Q1495" t="s">
        <v>416</v>
      </c>
    </row>
    <row r="1496" spans="1:17" hidden="1" x14ac:dyDescent="0.25">
      <c r="A1496" s="114" t="s">
        <v>4280</v>
      </c>
      <c r="B1496" s="115" t="s">
        <v>3422</v>
      </c>
      <c r="C1496" s="116" t="s">
        <v>16</v>
      </c>
      <c r="D1496" s="116">
        <v>0</v>
      </c>
      <c r="E1496" s="136" t="s">
        <v>416</v>
      </c>
      <c r="F1496" s="137" t="str">
        <f t="shared" si="138"/>
        <v/>
      </c>
      <c r="G1496" s="138" t="e">
        <f>IF(A1496&lt;&gt;"",IF(AND(#REF!="Padrão",$H$4=#REF!),BDI!$B$17,IF(AND(#REF!="Padrão",$H$4=#REF!),BDI!#REF!,IF(AND(#REF!="Diferenciado",$H$4=#REF!),BDI!$E$17,IF(AND(#REF!="Diferenciado",$H$4=#REF!),BDI!#REF!,IF(#REF!="ZERO",0))))),"")</f>
        <v>#REF!</v>
      </c>
      <c r="H1496" s="139" t="str">
        <f t="shared" si="139"/>
        <v/>
      </c>
      <c r="I1496" s="137" t="str">
        <f t="shared" si="140"/>
        <v/>
      </c>
      <c r="J1496" s="117"/>
      <c r="K1496" s="116">
        <v>0</v>
      </c>
      <c r="M1496" s="136" t="s">
        <v>416</v>
      </c>
      <c r="N1496" t="e">
        <v>#REF!</v>
      </c>
      <c r="Q1496" t="s">
        <v>416</v>
      </c>
    </row>
    <row r="1497" spans="1:17" hidden="1" x14ac:dyDescent="0.25">
      <c r="A1497" s="114" t="s">
        <v>4281</v>
      </c>
      <c r="B1497" s="115" t="s">
        <v>3423</v>
      </c>
      <c r="C1497" s="116" t="s">
        <v>16</v>
      </c>
      <c r="D1497" s="116">
        <v>0</v>
      </c>
      <c r="E1497" s="136" t="s">
        <v>416</v>
      </c>
      <c r="F1497" s="137" t="str">
        <f t="shared" si="138"/>
        <v/>
      </c>
      <c r="G1497" s="138" t="e">
        <f>IF(A1497&lt;&gt;"",IF(AND(#REF!="Padrão",$H$4=#REF!),BDI!$B$17,IF(AND(#REF!="Padrão",$H$4=#REF!),BDI!#REF!,IF(AND(#REF!="Diferenciado",$H$4=#REF!),BDI!$E$17,IF(AND(#REF!="Diferenciado",$H$4=#REF!),BDI!#REF!,IF(#REF!="ZERO",0))))),"")</f>
        <v>#REF!</v>
      </c>
      <c r="H1497" s="139" t="str">
        <f t="shared" si="139"/>
        <v/>
      </c>
      <c r="I1497" s="137" t="str">
        <f t="shared" si="140"/>
        <v/>
      </c>
      <c r="J1497" s="117"/>
      <c r="K1497" s="116">
        <v>0</v>
      </c>
      <c r="M1497" s="136" t="s">
        <v>416</v>
      </c>
      <c r="N1497" t="e">
        <v>#REF!</v>
      </c>
      <c r="Q1497" t="s">
        <v>416</v>
      </c>
    </row>
    <row r="1498" spans="1:17" hidden="1" x14ac:dyDescent="0.25">
      <c r="A1498" s="114" t="s">
        <v>4282</v>
      </c>
      <c r="B1498" s="115" t="s">
        <v>7741</v>
      </c>
      <c r="C1498" s="116" t="s">
        <v>16</v>
      </c>
      <c r="D1498" s="116">
        <v>0</v>
      </c>
      <c r="E1498" s="136" t="s">
        <v>416</v>
      </c>
      <c r="F1498" s="137" t="str">
        <f t="shared" si="138"/>
        <v/>
      </c>
      <c r="G1498" s="138" t="e">
        <f>IF(A1498&lt;&gt;"",IF(AND(#REF!="Padrão",$H$4=#REF!),BDI!$B$17,IF(AND(#REF!="Padrão",$H$4=#REF!),BDI!#REF!,IF(AND(#REF!="Diferenciado",$H$4=#REF!),BDI!$E$17,IF(AND(#REF!="Diferenciado",$H$4=#REF!),BDI!#REF!,IF(#REF!="ZERO",0))))),"")</f>
        <v>#REF!</v>
      </c>
      <c r="H1498" s="139" t="str">
        <f t="shared" si="139"/>
        <v/>
      </c>
      <c r="I1498" s="137" t="str">
        <f t="shared" si="140"/>
        <v/>
      </c>
      <c r="J1498" s="117"/>
      <c r="K1498" s="116">
        <v>0</v>
      </c>
      <c r="M1498" s="136" t="s">
        <v>416</v>
      </c>
      <c r="N1498" t="e">
        <v>#REF!</v>
      </c>
      <c r="Q1498" t="s">
        <v>416</v>
      </c>
    </row>
    <row r="1499" spans="1:17" hidden="1" x14ac:dyDescent="0.25">
      <c r="A1499" s="114" t="s">
        <v>4283</v>
      </c>
      <c r="B1499" s="115" t="s">
        <v>3424</v>
      </c>
      <c r="C1499" s="116" t="s">
        <v>28</v>
      </c>
      <c r="D1499" s="116">
        <v>0</v>
      </c>
      <c r="E1499" s="136">
        <f ca="1">OFFSET(INDEX(Composições!A:J,MATCH(Orçamentária!A1499,Composições!A:A,0),8),2,0)</f>
        <v>10.069999999999999</v>
      </c>
      <c r="F1499" s="137">
        <f t="shared" ca="1" si="138"/>
        <v>0</v>
      </c>
      <c r="G1499" s="138" t="e">
        <f>IF(A1499&lt;&gt;"",IF(AND(#REF!="Padrão",$H$4=#REF!),BDI!$B$17,IF(AND(#REF!="Padrão",$H$4=#REF!),BDI!#REF!,IF(AND(#REF!="Diferenciado",$H$4=#REF!),BDI!$E$17,IF(AND(#REF!="Diferenciado",$H$4=#REF!),BDI!#REF!,IF(#REF!="ZERO",0))))),"")</f>
        <v>#REF!</v>
      </c>
      <c r="H1499" s="139" t="e">
        <f t="shared" ca="1" si="139"/>
        <v>#REF!</v>
      </c>
      <c r="I1499" s="137" t="e">
        <f t="shared" ca="1" si="140"/>
        <v>#REF!</v>
      </c>
      <c r="J1499" s="117"/>
      <c r="K1499" s="116">
        <v>0</v>
      </c>
      <c r="M1499" s="136" t="e">
        <f ca="1">OFFSET(INDEX([1]Composições!I:R,MATCH([1]Orçamentária!I1499,[1]Composições!I:I,0),8),2,0)</f>
        <v>#REF!</v>
      </c>
      <c r="N1499" t="e">
        <v>#REF!</v>
      </c>
      <c r="Q1499" t="e">
        <v>#REF!</v>
      </c>
    </row>
    <row r="1500" spans="1:17" hidden="1" x14ac:dyDescent="0.25">
      <c r="A1500" s="114" t="s">
        <v>4284</v>
      </c>
      <c r="B1500" s="115" t="s">
        <v>3425</v>
      </c>
      <c r="C1500" s="116" t="s">
        <v>16</v>
      </c>
      <c r="D1500" s="116">
        <v>0</v>
      </c>
      <c r="E1500" s="136" t="s">
        <v>416</v>
      </c>
      <c r="F1500" s="137" t="str">
        <f t="shared" si="138"/>
        <v/>
      </c>
      <c r="G1500" s="138" t="e">
        <f>IF(A1500&lt;&gt;"",IF(AND(#REF!="Padrão",$H$4=#REF!),BDI!$B$17,IF(AND(#REF!="Padrão",$H$4=#REF!),BDI!#REF!,IF(AND(#REF!="Diferenciado",$H$4=#REF!),BDI!$E$17,IF(AND(#REF!="Diferenciado",$H$4=#REF!),BDI!#REF!,IF(#REF!="ZERO",0))))),"")</f>
        <v>#REF!</v>
      </c>
      <c r="H1500" s="139" t="str">
        <f t="shared" si="139"/>
        <v/>
      </c>
      <c r="I1500" s="137" t="str">
        <f t="shared" si="140"/>
        <v/>
      </c>
      <c r="J1500" s="117"/>
      <c r="K1500" s="116">
        <v>0</v>
      </c>
      <c r="M1500" s="136" t="s">
        <v>416</v>
      </c>
      <c r="N1500" t="e">
        <v>#REF!</v>
      </c>
      <c r="Q1500" t="s">
        <v>416</v>
      </c>
    </row>
    <row r="1501" spans="1:17" hidden="1" x14ac:dyDescent="0.25">
      <c r="A1501" s="114" t="s">
        <v>4285</v>
      </c>
      <c r="B1501" s="115" t="s">
        <v>3426</v>
      </c>
      <c r="C1501" s="116" t="s">
        <v>16</v>
      </c>
      <c r="D1501" s="116">
        <v>0</v>
      </c>
      <c r="E1501" s="136" t="s">
        <v>416</v>
      </c>
      <c r="F1501" s="137" t="str">
        <f t="shared" si="138"/>
        <v/>
      </c>
      <c r="G1501" s="138" t="e">
        <f>IF(A1501&lt;&gt;"",IF(AND(#REF!="Padrão",$H$4=#REF!),BDI!$B$17,IF(AND(#REF!="Padrão",$H$4=#REF!),BDI!#REF!,IF(AND(#REF!="Diferenciado",$H$4=#REF!),BDI!$E$17,IF(AND(#REF!="Diferenciado",$H$4=#REF!),BDI!#REF!,IF(#REF!="ZERO",0))))),"")</f>
        <v>#REF!</v>
      </c>
      <c r="H1501" s="139" t="str">
        <f t="shared" si="139"/>
        <v/>
      </c>
      <c r="I1501" s="137" t="str">
        <f t="shared" si="140"/>
        <v/>
      </c>
      <c r="J1501" s="117"/>
      <c r="K1501" s="116">
        <v>0</v>
      </c>
      <c r="M1501" s="136" t="s">
        <v>416</v>
      </c>
      <c r="N1501" t="e">
        <v>#REF!</v>
      </c>
      <c r="Q1501" t="s">
        <v>416</v>
      </c>
    </row>
    <row r="1502" spans="1:17" hidden="1" x14ac:dyDescent="0.25">
      <c r="A1502" s="114" t="s">
        <v>4286</v>
      </c>
      <c r="B1502" s="115" t="s">
        <v>3427</v>
      </c>
      <c r="C1502" s="116" t="s">
        <v>16</v>
      </c>
      <c r="D1502" s="116">
        <v>0</v>
      </c>
      <c r="E1502" s="136" t="s">
        <v>416</v>
      </c>
      <c r="F1502" s="137" t="str">
        <f t="shared" si="138"/>
        <v/>
      </c>
      <c r="G1502" s="138" t="e">
        <f>IF(A1502&lt;&gt;"",IF(AND(#REF!="Padrão",$H$4=#REF!),BDI!$B$17,IF(AND(#REF!="Padrão",$H$4=#REF!),BDI!#REF!,IF(AND(#REF!="Diferenciado",$H$4=#REF!),BDI!$E$17,IF(AND(#REF!="Diferenciado",$H$4=#REF!),BDI!#REF!,IF(#REF!="ZERO",0))))),"")</f>
        <v>#REF!</v>
      </c>
      <c r="H1502" s="139" t="str">
        <f t="shared" si="139"/>
        <v/>
      </c>
      <c r="I1502" s="137" t="str">
        <f t="shared" si="140"/>
        <v/>
      </c>
      <c r="J1502" s="117"/>
      <c r="K1502" s="116">
        <v>0</v>
      </c>
      <c r="M1502" s="136" t="s">
        <v>416</v>
      </c>
      <c r="N1502" t="e">
        <v>#REF!</v>
      </c>
      <c r="Q1502" t="s">
        <v>416</v>
      </c>
    </row>
    <row r="1503" spans="1:17" hidden="1" x14ac:dyDescent="0.25">
      <c r="A1503" s="114" t="s">
        <v>4287</v>
      </c>
      <c r="B1503" s="115" t="s">
        <v>3428</v>
      </c>
      <c r="C1503" s="116" t="s">
        <v>16</v>
      </c>
      <c r="D1503" s="116">
        <v>0</v>
      </c>
      <c r="E1503" s="136" t="s">
        <v>416</v>
      </c>
      <c r="F1503" s="137" t="str">
        <f t="shared" si="138"/>
        <v/>
      </c>
      <c r="G1503" s="138" t="e">
        <f>IF(A1503&lt;&gt;"",IF(AND(#REF!="Padrão",$H$4=#REF!),BDI!$B$17,IF(AND(#REF!="Padrão",$H$4=#REF!),BDI!#REF!,IF(AND(#REF!="Diferenciado",$H$4=#REF!),BDI!$E$17,IF(AND(#REF!="Diferenciado",$H$4=#REF!),BDI!#REF!,IF(#REF!="ZERO",0))))),"")</f>
        <v>#REF!</v>
      </c>
      <c r="H1503" s="139" t="str">
        <f t="shared" si="139"/>
        <v/>
      </c>
      <c r="I1503" s="137" t="str">
        <f t="shared" si="140"/>
        <v/>
      </c>
      <c r="J1503" s="117"/>
      <c r="K1503" s="116">
        <v>0</v>
      </c>
      <c r="M1503" s="136" t="s">
        <v>416</v>
      </c>
      <c r="N1503" t="e">
        <v>#REF!</v>
      </c>
      <c r="Q1503" t="s">
        <v>416</v>
      </c>
    </row>
    <row r="1504" spans="1:17" hidden="1" x14ac:dyDescent="0.25">
      <c r="A1504" s="114" t="s">
        <v>4288</v>
      </c>
      <c r="B1504" s="115" t="s">
        <v>3429</v>
      </c>
      <c r="C1504" s="116" t="s">
        <v>16</v>
      </c>
      <c r="D1504" s="116">
        <v>0</v>
      </c>
      <c r="E1504" s="136" t="s">
        <v>416</v>
      </c>
      <c r="F1504" s="137" t="str">
        <f t="shared" si="138"/>
        <v/>
      </c>
      <c r="G1504" s="138" t="e">
        <f>IF(A1504&lt;&gt;"",IF(AND(#REF!="Padrão",$H$4=#REF!),BDI!$B$17,IF(AND(#REF!="Padrão",$H$4=#REF!),BDI!#REF!,IF(AND(#REF!="Diferenciado",$H$4=#REF!),BDI!$E$17,IF(AND(#REF!="Diferenciado",$H$4=#REF!),BDI!#REF!,IF(#REF!="ZERO",0))))),"")</f>
        <v>#REF!</v>
      </c>
      <c r="H1504" s="139" t="str">
        <f t="shared" si="139"/>
        <v/>
      </c>
      <c r="I1504" s="137" t="str">
        <f t="shared" si="140"/>
        <v/>
      </c>
      <c r="J1504" s="117"/>
      <c r="K1504" s="116">
        <v>0</v>
      </c>
      <c r="M1504" s="136" t="s">
        <v>416</v>
      </c>
      <c r="N1504" t="e">
        <v>#REF!</v>
      </c>
      <c r="Q1504" t="s">
        <v>416</v>
      </c>
    </row>
    <row r="1505" spans="1:17" hidden="1" x14ac:dyDescent="0.25">
      <c r="A1505" s="114" t="s">
        <v>4289</v>
      </c>
      <c r="B1505" s="115" t="s">
        <v>3430</v>
      </c>
      <c r="C1505" s="116" t="s">
        <v>16</v>
      </c>
      <c r="D1505" s="116">
        <v>0</v>
      </c>
      <c r="E1505" s="136" t="s">
        <v>416</v>
      </c>
      <c r="F1505" s="137" t="str">
        <f t="shared" si="138"/>
        <v/>
      </c>
      <c r="G1505" s="138" t="e">
        <f>IF(A1505&lt;&gt;"",IF(AND(#REF!="Padrão",$H$4=#REF!),BDI!$B$17,IF(AND(#REF!="Padrão",$H$4=#REF!),BDI!#REF!,IF(AND(#REF!="Diferenciado",$H$4=#REF!),BDI!$E$17,IF(AND(#REF!="Diferenciado",$H$4=#REF!),BDI!#REF!,IF(#REF!="ZERO",0))))),"")</f>
        <v>#REF!</v>
      </c>
      <c r="H1505" s="139" t="str">
        <f t="shared" si="139"/>
        <v/>
      </c>
      <c r="I1505" s="137" t="str">
        <f t="shared" si="140"/>
        <v/>
      </c>
      <c r="J1505" s="117"/>
      <c r="K1505" s="116">
        <v>0</v>
      </c>
      <c r="M1505" s="136" t="s">
        <v>416</v>
      </c>
      <c r="N1505" t="e">
        <v>#REF!</v>
      </c>
      <c r="Q1505" t="s">
        <v>416</v>
      </c>
    </row>
    <row r="1506" spans="1:17" hidden="1" x14ac:dyDescent="0.25">
      <c r="A1506" s="114" t="s">
        <v>4290</v>
      </c>
      <c r="B1506" s="115" t="s">
        <v>3431</v>
      </c>
      <c r="C1506" s="116" t="s">
        <v>16</v>
      </c>
      <c r="D1506" s="116">
        <v>0</v>
      </c>
      <c r="E1506" s="136" t="s">
        <v>416</v>
      </c>
      <c r="F1506" s="137" t="str">
        <f t="shared" si="138"/>
        <v/>
      </c>
      <c r="G1506" s="138" t="e">
        <f>IF(A1506&lt;&gt;"",IF(AND(#REF!="Padrão",$H$4=#REF!),BDI!$B$17,IF(AND(#REF!="Padrão",$H$4=#REF!),BDI!#REF!,IF(AND(#REF!="Diferenciado",$H$4=#REF!),BDI!$E$17,IF(AND(#REF!="Diferenciado",$H$4=#REF!),BDI!#REF!,IF(#REF!="ZERO",0))))),"")</f>
        <v>#REF!</v>
      </c>
      <c r="H1506" s="139" t="str">
        <f t="shared" si="139"/>
        <v/>
      </c>
      <c r="I1506" s="137" t="str">
        <f t="shared" si="140"/>
        <v/>
      </c>
      <c r="J1506" s="117"/>
      <c r="K1506" s="116">
        <v>0</v>
      </c>
      <c r="M1506" s="136" t="s">
        <v>416</v>
      </c>
      <c r="N1506" t="e">
        <v>#REF!</v>
      </c>
      <c r="Q1506" t="s">
        <v>416</v>
      </c>
    </row>
    <row r="1507" spans="1:17" hidden="1" x14ac:dyDescent="0.25">
      <c r="A1507" s="114" t="s">
        <v>4291</v>
      </c>
      <c r="B1507" s="115" t="s">
        <v>7742</v>
      </c>
      <c r="C1507" s="116" t="s">
        <v>69</v>
      </c>
      <c r="D1507" s="116">
        <v>0</v>
      </c>
      <c r="E1507" s="136" t="s">
        <v>416</v>
      </c>
      <c r="F1507" s="137" t="str">
        <f t="shared" si="138"/>
        <v/>
      </c>
      <c r="G1507" s="138" t="e">
        <f>IF(A1507&lt;&gt;"",IF(AND(#REF!="Padrão",$H$4=#REF!),BDI!$B$17,IF(AND(#REF!="Padrão",$H$4=#REF!),BDI!#REF!,IF(AND(#REF!="Diferenciado",$H$4=#REF!),BDI!$E$17,IF(AND(#REF!="Diferenciado",$H$4=#REF!),BDI!#REF!,IF(#REF!="ZERO",0))))),"")</f>
        <v>#REF!</v>
      </c>
      <c r="H1507" s="139" t="str">
        <f t="shared" si="139"/>
        <v/>
      </c>
      <c r="I1507" s="137" t="str">
        <f t="shared" si="140"/>
        <v/>
      </c>
      <c r="J1507" s="117"/>
      <c r="K1507" s="116">
        <v>0</v>
      </c>
      <c r="M1507" s="136" t="s">
        <v>416</v>
      </c>
      <c r="N1507" t="e">
        <v>#REF!</v>
      </c>
      <c r="Q1507" t="s">
        <v>416</v>
      </c>
    </row>
    <row r="1508" spans="1:17" hidden="1" x14ac:dyDescent="0.25">
      <c r="A1508" s="114" t="s">
        <v>4292</v>
      </c>
      <c r="B1508" s="115" t="s">
        <v>7743</v>
      </c>
      <c r="C1508" s="116" t="s">
        <v>16</v>
      </c>
      <c r="D1508" s="116">
        <v>0</v>
      </c>
      <c r="E1508" s="136" t="s">
        <v>416</v>
      </c>
      <c r="F1508" s="137" t="str">
        <f t="shared" si="138"/>
        <v/>
      </c>
      <c r="G1508" s="138" t="e">
        <f>IF(A1508&lt;&gt;"",IF(AND(#REF!="Padrão",$H$4=#REF!),BDI!$B$17,IF(AND(#REF!="Padrão",$H$4=#REF!),BDI!#REF!,IF(AND(#REF!="Diferenciado",$H$4=#REF!),BDI!$E$17,IF(AND(#REF!="Diferenciado",$H$4=#REF!),BDI!#REF!,IF(#REF!="ZERO",0))))),"")</f>
        <v>#REF!</v>
      </c>
      <c r="H1508" s="139" t="str">
        <f t="shared" si="139"/>
        <v/>
      </c>
      <c r="I1508" s="137" t="str">
        <f t="shared" si="140"/>
        <v/>
      </c>
      <c r="J1508" s="117"/>
      <c r="K1508" s="116">
        <v>0</v>
      </c>
      <c r="M1508" s="136" t="s">
        <v>416</v>
      </c>
      <c r="N1508" t="e">
        <v>#REF!</v>
      </c>
      <c r="Q1508" t="s">
        <v>416</v>
      </c>
    </row>
    <row r="1509" spans="1:17" hidden="1" x14ac:dyDescent="0.25">
      <c r="A1509" s="114" t="s">
        <v>4293</v>
      </c>
      <c r="B1509" s="115" t="s">
        <v>3432</v>
      </c>
      <c r="C1509" s="116" t="s">
        <v>16</v>
      </c>
      <c r="D1509" s="116">
        <v>0</v>
      </c>
      <c r="E1509" s="136" t="s">
        <v>416</v>
      </c>
      <c r="F1509" s="137" t="str">
        <f t="shared" si="138"/>
        <v/>
      </c>
      <c r="G1509" s="138" t="e">
        <f>IF(A1509&lt;&gt;"",IF(AND(#REF!="Padrão",$H$4=#REF!),BDI!$B$17,IF(AND(#REF!="Padrão",$H$4=#REF!),BDI!#REF!,IF(AND(#REF!="Diferenciado",$H$4=#REF!),BDI!$E$17,IF(AND(#REF!="Diferenciado",$H$4=#REF!),BDI!#REF!,IF(#REF!="ZERO",0))))),"")</f>
        <v>#REF!</v>
      </c>
      <c r="H1509" s="139" t="str">
        <f t="shared" si="139"/>
        <v/>
      </c>
      <c r="I1509" s="137" t="str">
        <f t="shared" si="140"/>
        <v/>
      </c>
      <c r="J1509" s="117"/>
      <c r="K1509" s="116">
        <v>0</v>
      </c>
      <c r="M1509" s="136" t="s">
        <v>416</v>
      </c>
      <c r="N1509" t="e">
        <v>#REF!</v>
      </c>
      <c r="Q1509" t="s">
        <v>416</v>
      </c>
    </row>
    <row r="1510" spans="1:17" hidden="1" x14ac:dyDescent="0.25">
      <c r="A1510" s="114" t="s">
        <v>4294</v>
      </c>
      <c r="B1510" s="115" t="s">
        <v>7744</v>
      </c>
      <c r="C1510" s="116" t="s">
        <v>16</v>
      </c>
      <c r="D1510" s="116">
        <v>0</v>
      </c>
      <c r="E1510" s="136" t="s">
        <v>416</v>
      </c>
      <c r="F1510" s="137" t="str">
        <f t="shared" si="138"/>
        <v/>
      </c>
      <c r="G1510" s="138" t="e">
        <f>IF(A1510&lt;&gt;"",IF(AND(#REF!="Padrão",$H$4=#REF!),BDI!$B$17,IF(AND(#REF!="Padrão",$H$4=#REF!),BDI!#REF!,IF(AND(#REF!="Diferenciado",$H$4=#REF!),BDI!$E$17,IF(AND(#REF!="Diferenciado",$H$4=#REF!),BDI!#REF!,IF(#REF!="ZERO",0))))),"")</f>
        <v>#REF!</v>
      </c>
      <c r="H1510" s="139" t="str">
        <f t="shared" si="139"/>
        <v/>
      </c>
      <c r="I1510" s="137" t="str">
        <f t="shared" si="140"/>
        <v/>
      </c>
      <c r="J1510" s="117"/>
      <c r="K1510" s="116">
        <v>0</v>
      </c>
      <c r="M1510" s="136" t="s">
        <v>416</v>
      </c>
      <c r="N1510" t="e">
        <v>#REF!</v>
      </c>
      <c r="Q1510" t="s">
        <v>416</v>
      </c>
    </row>
    <row r="1511" spans="1:17" hidden="1" x14ac:dyDescent="0.25">
      <c r="A1511" s="114" t="s">
        <v>4295</v>
      </c>
      <c r="B1511" s="115" t="s">
        <v>7745</v>
      </c>
      <c r="C1511" s="116" t="s">
        <v>16</v>
      </c>
      <c r="D1511" s="116">
        <v>0</v>
      </c>
      <c r="E1511" s="136" t="s">
        <v>416</v>
      </c>
      <c r="F1511" s="137" t="str">
        <f t="shared" si="138"/>
        <v/>
      </c>
      <c r="G1511" s="138" t="e">
        <f>IF(A1511&lt;&gt;"",IF(AND(#REF!="Padrão",$H$4=#REF!),BDI!$B$17,IF(AND(#REF!="Padrão",$H$4=#REF!),BDI!#REF!,IF(AND(#REF!="Diferenciado",$H$4=#REF!),BDI!$E$17,IF(AND(#REF!="Diferenciado",$H$4=#REF!),BDI!#REF!,IF(#REF!="ZERO",0))))),"")</f>
        <v>#REF!</v>
      </c>
      <c r="H1511" s="139" t="str">
        <f t="shared" si="139"/>
        <v/>
      </c>
      <c r="I1511" s="137" t="str">
        <f t="shared" si="140"/>
        <v/>
      </c>
      <c r="J1511" s="117"/>
      <c r="K1511" s="116">
        <v>0</v>
      </c>
      <c r="M1511" s="136" t="s">
        <v>416</v>
      </c>
      <c r="N1511" t="e">
        <v>#REF!</v>
      </c>
      <c r="Q1511" t="s">
        <v>416</v>
      </c>
    </row>
    <row r="1512" spans="1:17" hidden="1" x14ac:dyDescent="0.25">
      <c r="A1512" s="114" t="s">
        <v>4296</v>
      </c>
      <c r="B1512" s="115" t="s">
        <v>7746</v>
      </c>
      <c r="C1512" s="116" t="s">
        <v>16</v>
      </c>
      <c r="D1512" s="116">
        <v>0</v>
      </c>
      <c r="E1512" s="136" t="s">
        <v>416</v>
      </c>
      <c r="F1512" s="137" t="str">
        <f t="shared" si="138"/>
        <v/>
      </c>
      <c r="G1512" s="138" t="e">
        <f>IF(A1512&lt;&gt;"",IF(AND(#REF!="Padrão",$H$4=#REF!),BDI!$B$17,IF(AND(#REF!="Padrão",$H$4=#REF!),BDI!#REF!,IF(AND(#REF!="Diferenciado",$H$4=#REF!),BDI!$E$17,IF(AND(#REF!="Diferenciado",$H$4=#REF!),BDI!#REF!,IF(#REF!="ZERO",0))))),"")</f>
        <v>#REF!</v>
      </c>
      <c r="H1512" s="139" t="str">
        <f t="shared" si="139"/>
        <v/>
      </c>
      <c r="I1512" s="137" t="str">
        <f t="shared" si="140"/>
        <v/>
      </c>
      <c r="J1512" s="117"/>
      <c r="K1512" s="116">
        <v>0</v>
      </c>
      <c r="M1512" s="136" t="s">
        <v>416</v>
      </c>
      <c r="N1512" t="e">
        <v>#REF!</v>
      </c>
      <c r="Q1512" t="s">
        <v>416</v>
      </c>
    </row>
    <row r="1513" spans="1:17" hidden="1" x14ac:dyDescent="0.25">
      <c r="A1513" s="114" t="s">
        <v>4297</v>
      </c>
      <c r="B1513" s="115" t="s">
        <v>7747</v>
      </c>
      <c r="C1513" s="116" t="s">
        <v>69</v>
      </c>
      <c r="D1513" s="116">
        <v>0</v>
      </c>
      <c r="E1513" s="136" t="s">
        <v>416</v>
      </c>
      <c r="F1513" s="137" t="str">
        <f t="shared" si="138"/>
        <v/>
      </c>
      <c r="G1513" s="138" t="e">
        <f>IF(A1513&lt;&gt;"",IF(AND(#REF!="Padrão",$H$4=#REF!),BDI!$B$17,IF(AND(#REF!="Padrão",$H$4=#REF!),BDI!#REF!,IF(AND(#REF!="Diferenciado",$H$4=#REF!),BDI!$E$17,IF(AND(#REF!="Diferenciado",$H$4=#REF!),BDI!#REF!,IF(#REF!="ZERO",0))))),"")</f>
        <v>#REF!</v>
      </c>
      <c r="H1513" s="139" t="str">
        <f t="shared" si="139"/>
        <v/>
      </c>
      <c r="I1513" s="137" t="str">
        <f t="shared" si="140"/>
        <v/>
      </c>
      <c r="J1513" s="117"/>
      <c r="K1513" s="116">
        <v>0</v>
      </c>
      <c r="M1513" s="136" t="s">
        <v>416</v>
      </c>
      <c r="N1513" t="e">
        <v>#REF!</v>
      </c>
      <c r="Q1513" t="s">
        <v>416</v>
      </c>
    </row>
    <row r="1514" spans="1:17" hidden="1" x14ac:dyDescent="0.25">
      <c r="A1514" s="114" t="s">
        <v>4298</v>
      </c>
      <c r="B1514" s="115" t="s">
        <v>7748</v>
      </c>
      <c r="C1514" s="116" t="s">
        <v>16</v>
      </c>
      <c r="D1514" s="116">
        <v>0</v>
      </c>
      <c r="E1514" s="136" t="s">
        <v>416</v>
      </c>
      <c r="F1514" s="137" t="str">
        <f t="shared" si="138"/>
        <v/>
      </c>
      <c r="G1514" s="138" t="e">
        <f>IF(A1514&lt;&gt;"",IF(AND(#REF!="Padrão",$H$4=#REF!),BDI!$B$17,IF(AND(#REF!="Padrão",$H$4=#REF!),BDI!#REF!,IF(AND(#REF!="Diferenciado",$H$4=#REF!),BDI!$E$17,IF(AND(#REF!="Diferenciado",$H$4=#REF!),BDI!#REF!,IF(#REF!="ZERO",0))))),"")</f>
        <v>#REF!</v>
      </c>
      <c r="H1514" s="139" t="str">
        <f t="shared" si="139"/>
        <v/>
      </c>
      <c r="I1514" s="137" t="str">
        <f t="shared" si="140"/>
        <v/>
      </c>
      <c r="J1514" s="117"/>
      <c r="K1514" s="116">
        <v>0</v>
      </c>
      <c r="M1514" s="136" t="s">
        <v>416</v>
      </c>
      <c r="N1514" t="e">
        <v>#REF!</v>
      </c>
      <c r="Q1514" t="s">
        <v>416</v>
      </c>
    </row>
    <row r="1515" spans="1:17" hidden="1" x14ac:dyDescent="0.25">
      <c r="A1515" s="114" t="s">
        <v>4299</v>
      </c>
      <c r="B1515" s="115" t="s">
        <v>7749</v>
      </c>
      <c r="C1515" s="116" t="s">
        <v>16</v>
      </c>
      <c r="D1515" s="116">
        <v>0</v>
      </c>
      <c r="E1515" s="136" t="s">
        <v>416</v>
      </c>
      <c r="F1515" s="137" t="str">
        <f t="shared" si="138"/>
        <v/>
      </c>
      <c r="G1515" s="138" t="e">
        <f>IF(A1515&lt;&gt;"",IF(AND(#REF!="Padrão",$H$4=#REF!),BDI!$B$17,IF(AND(#REF!="Padrão",$H$4=#REF!),BDI!#REF!,IF(AND(#REF!="Diferenciado",$H$4=#REF!),BDI!$E$17,IF(AND(#REF!="Diferenciado",$H$4=#REF!),BDI!#REF!,IF(#REF!="ZERO",0))))),"")</f>
        <v>#REF!</v>
      </c>
      <c r="H1515" s="139" t="str">
        <f t="shared" si="139"/>
        <v/>
      </c>
      <c r="I1515" s="137" t="str">
        <f t="shared" si="140"/>
        <v/>
      </c>
      <c r="J1515" s="117"/>
      <c r="K1515" s="116">
        <v>0</v>
      </c>
      <c r="M1515" s="136" t="s">
        <v>416</v>
      </c>
      <c r="N1515" t="e">
        <v>#REF!</v>
      </c>
      <c r="Q1515" t="s">
        <v>416</v>
      </c>
    </row>
    <row r="1516" spans="1:17" hidden="1" x14ac:dyDescent="0.25">
      <c r="A1516" s="114" t="s">
        <v>4300</v>
      </c>
      <c r="B1516" s="115" t="s">
        <v>7750</v>
      </c>
      <c r="C1516" s="116" t="s">
        <v>16</v>
      </c>
      <c r="D1516" s="116">
        <v>0</v>
      </c>
      <c r="E1516" s="136" t="s">
        <v>416</v>
      </c>
      <c r="F1516" s="137" t="str">
        <f t="shared" si="138"/>
        <v/>
      </c>
      <c r="G1516" s="138" t="e">
        <f>IF(A1516&lt;&gt;"",IF(AND(#REF!="Padrão",$H$4=#REF!),BDI!$B$17,IF(AND(#REF!="Padrão",$H$4=#REF!),BDI!#REF!,IF(AND(#REF!="Diferenciado",$H$4=#REF!),BDI!$E$17,IF(AND(#REF!="Diferenciado",$H$4=#REF!),BDI!#REF!,IF(#REF!="ZERO",0))))),"")</f>
        <v>#REF!</v>
      </c>
      <c r="H1516" s="139" t="str">
        <f t="shared" si="139"/>
        <v/>
      </c>
      <c r="I1516" s="137" t="str">
        <f t="shared" si="140"/>
        <v/>
      </c>
      <c r="J1516" s="117"/>
      <c r="K1516" s="116">
        <v>0</v>
      </c>
      <c r="M1516" s="136" t="s">
        <v>416</v>
      </c>
      <c r="N1516" t="e">
        <v>#REF!</v>
      </c>
      <c r="Q1516" t="s">
        <v>416</v>
      </c>
    </row>
    <row r="1517" spans="1:17" hidden="1" x14ac:dyDescent="0.25">
      <c r="A1517" s="114" t="s">
        <v>4301</v>
      </c>
      <c r="B1517" s="115" t="s">
        <v>7751</v>
      </c>
      <c r="C1517" s="116" t="s">
        <v>69</v>
      </c>
      <c r="D1517" s="116">
        <v>0</v>
      </c>
      <c r="E1517" s="136" t="s">
        <v>416</v>
      </c>
      <c r="F1517" s="137" t="str">
        <f t="shared" ref="F1517:F1580" si="141">IF(ISNUMBER(E1517),D1517*E1517,"")</f>
        <v/>
      </c>
      <c r="G1517" s="138" t="e">
        <f>IF(A1517&lt;&gt;"",IF(AND(#REF!="Padrão",$H$4=#REF!),BDI!$B$17,IF(AND(#REF!="Padrão",$H$4=#REF!),BDI!#REF!,IF(AND(#REF!="Diferenciado",$H$4=#REF!),BDI!$E$17,IF(AND(#REF!="Diferenciado",$H$4=#REF!),BDI!#REF!,IF(#REF!="ZERO",0))))),"")</f>
        <v>#REF!</v>
      </c>
      <c r="H1517" s="139" t="str">
        <f t="shared" ref="H1517:H1580" si="142">IF(ISNUMBER(E1517),ROUND(E1517*(1+G1517),2),"")</f>
        <v/>
      </c>
      <c r="I1517" s="137" t="str">
        <f t="shared" ref="I1517:I1580" si="143">IF(ISNUMBER(E1517),ROUND(H1517*D1517,2),"")</f>
        <v/>
      </c>
      <c r="J1517" s="117"/>
      <c r="K1517" s="116">
        <v>0</v>
      </c>
      <c r="M1517" s="136" t="s">
        <v>416</v>
      </c>
      <c r="N1517" t="e">
        <v>#REF!</v>
      </c>
      <c r="Q1517" t="s">
        <v>416</v>
      </c>
    </row>
    <row r="1518" spans="1:17" hidden="1" x14ac:dyDescent="0.25">
      <c r="A1518" s="114" t="s">
        <v>4302</v>
      </c>
      <c r="B1518" s="115" t="s">
        <v>7752</v>
      </c>
      <c r="C1518" s="116" t="s">
        <v>16</v>
      </c>
      <c r="D1518" s="116">
        <v>0</v>
      </c>
      <c r="E1518" s="136" t="s">
        <v>416</v>
      </c>
      <c r="F1518" s="137" t="str">
        <f t="shared" si="141"/>
        <v/>
      </c>
      <c r="G1518" s="138" t="e">
        <f>IF(A1518&lt;&gt;"",IF(AND(#REF!="Padrão",$H$4=#REF!),BDI!$B$17,IF(AND(#REF!="Padrão",$H$4=#REF!),BDI!#REF!,IF(AND(#REF!="Diferenciado",$H$4=#REF!),BDI!$E$17,IF(AND(#REF!="Diferenciado",$H$4=#REF!),BDI!#REF!,IF(#REF!="ZERO",0))))),"")</f>
        <v>#REF!</v>
      </c>
      <c r="H1518" s="139" t="str">
        <f t="shared" si="142"/>
        <v/>
      </c>
      <c r="I1518" s="137" t="str">
        <f t="shared" si="143"/>
        <v/>
      </c>
      <c r="J1518" s="117"/>
      <c r="K1518" s="116">
        <v>0</v>
      </c>
      <c r="M1518" s="136" t="s">
        <v>416</v>
      </c>
      <c r="N1518" t="e">
        <v>#REF!</v>
      </c>
      <c r="Q1518" t="s">
        <v>416</v>
      </c>
    </row>
    <row r="1519" spans="1:17" hidden="1" x14ac:dyDescent="0.25">
      <c r="A1519" s="114" t="s">
        <v>4303</v>
      </c>
      <c r="B1519" s="115" t="s">
        <v>7753</v>
      </c>
      <c r="C1519" s="116" t="s">
        <v>16</v>
      </c>
      <c r="D1519" s="116">
        <v>0</v>
      </c>
      <c r="E1519" s="136" t="s">
        <v>416</v>
      </c>
      <c r="F1519" s="137" t="str">
        <f t="shared" si="141"/>
        <v/>
      </c>
      <c r="G1519" s="138" t="e">
        <f>IF(A1519&lt;&gt;"",IF(AND(#REF!="Padrão",$H$4=#REF!),BDI!$B$17,IF(AND(#REF!="Padrão",$H$4=#REF!),BDI!#REF!,IF(AND(#REF!="Diferenciado",$H$4=#REF!),BDI!$E$17,IF(AND(#REF!="Diferenciado",$H$4=#REF!),BDI!#REF!,IF(#REF!="ZERO",0))))),"")</f>
        <v>#REF!</v>
      </c>
      <c r="H1519" s="139" t="str">
        <f t="shared" si="142"/>
        <v/>
      </c>
      <c r="I1519" s="137" t="str">
        <f t="shared" si="143"/>
        <v/>
      </c>
      <c r="J1519" s="117"/>
      <c r="K1519" s="116">
        <v>0</v>
      </c>
      <c r="M1519" s="136" t="s">
        <v>416</v>
      </c>
      <c r="N1519" t="e">
        <v>#REF!</v>
      </c>
      <c r="Q1519" t="s">
        <v>416</v>
      </c>
    </row>
    <row r="1520" spans="1:17" hidden="1" x14ac:dyDescent="0.25">
      <c r="A1520" s="114" t="s">
        <v>4304</v>
      </c>
      <c r="B1520" s="115" t="s">
        <v>7754</v>
      </c>
      <c r="C1520" s="116" t="s">
        <v>16</v>
      </c>
      <c r="D1520" s="116">
        <v>0</v>
      </c>
      <c r="E1520" s="136" t="s">
        <v>416</v>
      </c>
      <c r="F1520" s="137" t="str">
        <f t="shared" si="141"/>
        <v/>
      </c>
      <c r="G1520" s="138" t="e">
        <f>IF(A1520&lt;&gt;"",IF(AND(#REF!="Padrão",$H$4=#REF!),BDI!$B$17,IF(AND(#REF!="Padrão",$H$4=#REF!),BDI!#REF!,IF(AND(#REF!="Diferenciado",$H$4=#REF!),BDI!$E$17,IF(AND(#REF!="Diferenciado",$H$4=#REF!),BDI!#REF!,IF(#REF!="ZERO",0))))),"")</f>
        <v>#REF!</v>
      </c>
      <c r="H1520" s="139" t="str">
        <f t="shared" si="142"/>
        <v/>
      </c>
      <c r="I1520" s="137" t="str">
        <f t="shared" si="143"/>
        <v/>
      </c>
      <c r="J1520" s="117"/>
      <c r="K1520" s="116">
        <v>0</v>
      </c>
      <c r="M1520" s="136" t="s">
        <v>416</v>
      </c>
      <c r="N1520" t="e">
        <v>#REF!</v>
      </c>
      <c r="Q1520" t="s">
        <v>416</v>
      </c>
    </row>
    <row r="1521" spans="1:17" hidden="1" x14ac:dyDescent="0.25">
      <c r="A1521" s="114" t="s">
        <v>4305</v>
      </c>
      <c r="B1521" s="115" t="s">
        <v>7755</v>
      </c>
      <c r="C1521" s="116" t="s">
        <v>16</v>
      </c>
      <c r="D1521" s="116">
        <v>0</v>
      </c>
      <c r="E1521" s="136" t="s">
        <v>416</v>
      </c>
      <c r="F1521" s="137" t="str">
        <f t="shared" si="141"/>
        <v/>
      </c>
      <c r="G1521" s="138" t="e">
        <f>IF(A1521&lt;&gt;"",IF(AND(#REF!="Padrão",$H$4=#REF!),BDI!$B$17,IF(AND(#REF!="Padrão",$H$4=#REF!),BDI!#REF!,IF(AND(#REF!="Diferenciado",$H$4=#REF!),BDI!$E$17,IF(AND(#REF!="Diferenciado",$H$4=#REF!),BDI!#REF!,IF(#REF!="ZERO",0))))),"")</f>
        <v>#REF!</v>
      </c>
      <c r="H1521" s="139" t="str">
        <f t="shared" si="142"/>
        <v/>
      </c>
      <c r="I1521" s="137" t="str">
        <f t="shared" si="143"/>
        <v/>
      </c>
      <c r="J1521" s="117"/>
      <c r="K1521" s="116">
        <v>0</v>
      </c>
      <c r="M1521" s="136" t="s">
        <v>416</v>
      </c>
      <c r="N1521" t="e">
        <v>#REF!</v>
      </c>
      <c r="Q1521" t="s">
        <v>416</v>
      </c>
    </row>
    <row r="1522" spans="1:17" hidden="1" x14ac:dyDescent="0.25">
      <c r="A1522" s="114" t="s">
        <v>4306</v>
      </c>
      <c r="B1522" s="115" t="s">
        <v>7756</v>
      </c>
      <c r="C1522" s="116" t="s">
        <v>16</v>
      </c>
      <c r="D1522" s="116">
        <v>0</v>
      </c>
      <c r="E1522" s="136" t="s">
        <v>416</v>
      </c>
      <c r="F1522" s="137" t="str">
        <f t="shared" si="141"/>
        <v/>
      </c>
      <c r="G1522" s="138" t="e">
        <f>IF(A1522&lt;&gt;"",IF(AND(#REF!="Padrão",$H$4=#REF!),BDI!$B$17,IF(AND(#REF!="Padrão",$H$4=#REF!),BDI!#REF!,IF(AND(#REF!="Diferenciado",$H$4=#REF!),BDI!$E$17,IF(AND(#REF!="Diferenciado",$H$4=#REF!),BDI!#REF!,IF(#REF!="ZERO",0))))),"")</f>
        <v>#REF!</v>
      </c>
      <c r="H1522" s="139" t="str">
        <f t="shared" si="142"/>
        <v/>
      </c>
      <c r="I1522" s="137" t="str">
        <f t="shared" si="143"/>
        <v/>
      </c>
      <c r="J1522" s="117"/>
      <c r="K1522" s="116">
        <v>0</v>
      </c>
      <c r="M1522" s="136" t="s">
        <v>416</v>
      </c>
      <c r="N1522" t="e">
        <v>#REF!</v>
      </c>
      <c r="Q1522" t="s">
        <v>416</v>
      </c>
    </row>
    <row r="1523" spans="1:17" hidden="1" x14ac:dyDescent="0.25">
      <c r="A1523" s="114" t="s">
        <v>4307</v>
      </c>
      <c r="B1523" s="115" t="s">
        <v>7757</v>
      </c>
      <c r="C1523" s="116" t="s">
        <v>16</v>
      </c>
      <c r="D1523" s="116">
        <v>0</v>
      </c>
      <c r="E1523" s="136" t="s">
        <v>416</v>
      </c>
      <c r="F1523" s="137" t="str">
        <f t="shared" si="141"/>
        <v/>
      </c>
      <c r="G1523" s="138" t="e">
        <f>IF(A1523&lt;&gt;"",IF(AND(#REF!="Padrão",$H$4=#REF!),BDI!$B$17,IF(AND(#REF!="Padrão",$H$4=#REF!),BDI!#REF!,IF(AND(#REF!="Diferenciado",$H$4=#REF!),BDI!$E$17,IF(AND(#REF!="Diferenciado",$H$4=#REF!),BDI!#REF!,IF(#REF!="ZERO",0))))),"")</f>
        <v>#REF!</v>
      </c>
      <c r="H1523" s="139" t="str">
        <f t="shared" si="142"/>
        <v/>
      </c>
      <c r="I1523" s="137" t="str">
        <f t="shared" si="143"/>
        <v/>
      </c>
      <c r="J1523" s="117"/>
      <c r="K1523" s="116">
        <v>0</v>
      </c>
      <c r="M1523" s="136" t="s">
        <v>416</v>
      </c>
      <c r="N1523" t="e">
        <v>#REF!</v>
      </c>
      <c r="Q1523" t="s">
        <v>416</v>
      </c>
    </row>
    <row r="1524" spans="1:17" hidden="1" x14ac:dyDescent="0.25">
      <c r="A1524" s="114" t="s">
        <v>4308</v>
      </c>
      <c r="B1524" s="115" t="s">
        <v>3433</v>
      </c>
      <c r="C1524" s="116" t="s">
        <v>16</v>
      </c>
      <c r="D1524" s="116">
        <v>0</v>
      </c>
      <c r="E1524" s="136" t="s">
        <v>416</v>
      </c>
      <c r="F1524" s="137" t="str">
        <f t="shared" si="141"/>
        <v/>
      </c>
      <c r="G1524" s="138" t="e">
        <f>IF(A1524&lt;&gt;"",IF(AND(#REF!="Padrão",$H$4=#REF!),BDI!$B$17,IF(AND(#REF!="Padrão",$H$4=#REF!),BDI!#REF!,IF(AND(#REF!="Diferenciado",$H$4=#REF!),BDI!$E$17,IF(AND(#REF!="Diferenciado",$H$4=#REF!),BDI!#REF!,IF(#REF!="ZERO",0))))),"")</f>
        <v>#REF!</v>
      </c>
      <c r="H1524" s="139" t="str">
        <f t="shared" si="142"/>
        <v/>
      </c>
      <c r="I1524" s="137" t="str">
        <f t="shared" si="143"/>
        <v/>
      </c>
      <c r="J1524" s="117"/>
      <c r="K1524" s="116">
        <v>0</v>
      </c>
      <c r="M1524" s="136" t="s">
        <v>416</v>
      </c>
      <c r="N1524" t="e">
        <v>#REF!</v>
      </c>
      <c r="Q1524" t="s">
        <v>416</v>
      </c>
    </row>
    <row r="1525" spans="1:17" hidden="1" x14ac:dyDescent="0.25">
      <c r="A1525" s="114" t="s">
        <v>4309</v>
      </c>
      <c r="B1525" s="115" t="s">
        <v>3434</v>
      </c>
      <c r="C1525" s="116" t="s">
        <v>16</v>
      </c>
      <c r="D1525" s="116">
        <v>0</v>
      </c>
      <c r="E1525" s="136" t="s">
        <v>416</v>
      </c>
      <c r="F1525" s="137" t="str">
        <f t="shared" si="141"/>
        <v/>
      </c>
      <c r="G1525" s="138" t="e">
        <f>IF(A1525&lt;&gt;"",IF(AND(#REF!="Padrão",$H$4=#REF!),BDI!$B$17,IF(AND(#REF!="Padrão",$H$4=#REF!),BDI!#REF!,IF(AND(#REF!="Diferenciado",$H$4=#REF!),BDI!$E$17,IF(AND(#REF!="Diferenciado",$H$4=#REF!),BDI!#REF!,IF(#REF!="ZERO",0))))),"")</f>
        <v>#REF!</v>
      </c>
      <c r="H1525" s="139" t="str">
        <f t="shared" si="142"/>
        <v/>
      </c>
      <c r="I1525" s="137" t="str">
        <f t="shared" si="143"/>
        <v/>
      </c>
      <c r="J1525" s="117"/>
      <c r="K1525" s="116">
        <v>0</v>
      </c>
      <c r="M1525" s="136" t="s">
        <v>416</v>
      </c>
      <c r="N1525" t="e">
        <v>#REF!</v>
      </c>
      <c r="Q1525" t="s">
        <v>416</v>
      </c>
    </row>
    <row r="1526" spans="1:17" hidden="1" x14ac:dyDescent="0.25">
      <c r="A1526" s="114" t="s">
        <v>4310</v>
      </c>
      <c r="B1526" s="115" t="s">
        <v>3435</v>
      </c>
      <c r="C1526" s="116" t="s">
        <v>16</v>
      </c>
      <c r="D1526" s="116">
        <v>0</v>
      </c>
      <c r="E1526" s="136" t="s">
        <v>416</v>
      </c>
      <c r="F1526" s="137" t="str">
        <f t="shared" si="141"/>
        <v/>
      </c>
      <c r="G1526" s="138" t="e">
        <f>IF(A1526&lt;&gt;"",IF(AND(#REF!="Padrão",$H$4=#REF!),BDI!$B$17,IF(AND(#REF!="Padrão",$H$4=#REF!),BDI!#REF!,IF(AND(#REF!="Diferenciado",$H$4=#REF!),BDI!$E$17,IF(AND(#REF!="Diferenciado",$H$4=#REF!),BDI!#REF!,IF(#REF!="ZERO",0))))),"")</f>
        <v>#REF!</v>
      </c>
      <c r="H1526" s="139" t="str">
        <f t="shared" si="142"/>
        <v/>
      </c>
      <c r="I1526" s="137" t="str">
        <f t="shared" si="143"/>
        <v/>
      </c>
      <c r="J1526" s="117"/>
      <c r="K1526" s="116">
        <v>0</v>
      </c>
      <c r="M1526" s="136" t="s">
        <v>416</v>
      </c>
      <c r="N1526" t="e">
        <v>#REF!</v>
      </c>
      <c r="Q1526" t="s">
        <v>416</v>
      </c>
    </row>
    <row r="1527" spans="1:17" hidden="1" x14ac:dyDescent="0.25">
      <c r="A1527" s="114" t="s">
        <v>4311</v>
      </c>
      <c r="B1527" s="115" t="s">
        <v>3436</v>
      </c>
      <c r="C1527" s="116" t="s">
        <v>16</v>
      </c>
      <c r="D1527" s="116">
        <v>0</v>
      </c>
      <c r="E1527" s="136" t="s">
        <v>416</v>
      </c>
      <c r="F1527" s="137" t="str">
        <f t="shared" si="141"/>
        <v/>
      </c>
      <c r="G1527" s="138" t="e">
        <f>IF(A1527&lt;&gt;"",IF(AND(#REF!="Padrão",$H$4=#REF!),BDI!$B$17,IF(AND(#REF!="Padrão",$H$4=#REF!),BDI!#REF!,IF(AND(#REF!="Diferenciado",$H$4=#REF!),BDI!$E$17,IF(AND(#REF!="Diferenciado",$H$4=#REF!),BDI!#REF!,IF(#REF!="ZERO",0))))),"")</f>
        <v>#REF!</v>
      </c>
      <c r="H1527" s="139" t="str">
        <f t="shared" si="142"/>
        <v/>
      </c>
      <c r="I1527" s="137" t="str">
        <f t="shared" si="143"/>
        <v/>
      </c>
      <c r="J1527" s="117"/>
      <c r="K1527" s="116">
        <v>0</v>
      </c>
      <c r="M1527" s="136" t="s">
        <v>416</v>
      </c>
      <c r="N1527" t="e">
        <v>#REF!</v>
      </c>
      <c r="Q1527" t="s">
        <v>416</v>
      </c>
    </row>
    <row r="1528" spans="1:17" hidden="1" x14ac:dyDescent="0.25">
      <c r="A1528" s="114" t="s">
        <v>4312</v>
      </c>
      <c r="B1528" s="115" t="s">
        <v>3437</v>
      </c>
      <c r="C1528" s="116" t="s">
        <v>16</v>
      </c>
      <c r="D1528" s="116">
        <v>0</v>
      </c>
      <c r="E1528" s="136" t="s">
        <v>416</v>
      </c>
      <c r="F1528" s="137" t="str">
        <f t="shared" si="141"/>
        <v/>
      </c>
      <c r="G1528" s="138" t="e">
        <f>IF(A1528&lt;&gt;"",IF(AND(#REF!="Padrão",$H$4=#REF!),BDI!$B$17,IF(AND(#REF!="Padrão",$H$4=#REF!),BDI!#REF!,IF(AND(#REF!="Diferenciado",$H$4=#REF!),BDI!$E$17,IF(AND(#REF!="Diferenciado",$H$4=#REF!),BDI!#REF!,IF(#REF!="ZERO",0))))),"")</f>
        <v>#REF!</v>
      </c>
      <c r="H1528" s="139" t="str">
        <f t="shared" si="142"/>
        <v/>
      </c>
      <c r="I1528" s="137" t="str">
        <f t="shared" si="143"/>
        <v/>
      </c>
      <c r="J1528" s="117"/>
      <c r="K1528" s="116">
        <v>0</v>
      </c>
      <c r="M1528" s="136" t="s">
        <v>416</v>
      </c>
      <c r="N1528" t="e">
        <v>#REF!</v>
      </c>
      <c r="Q1528" t="s">
        <v>416</v>
      </c>
    </row>
    <row r="1529" spans="1:17" hidden="1" x14ac:dyDescent="0.25">
      <c r="A1529" s="114" t="s">
        <v>4313</v>
      </c>
      <c r="B1529" s="115" t="s">
        <v>3438</v>
      </c>
      <c r="C1529" s="116" t="s">
        <v>16</v>
      </c>
      <c r="D1529" s="116">
        <v>0</v>
      </c>
      <c r="E1529" s="136" t="s">
        <v>416</v>
      </c>
      <c r="F1529" s="137" t="str">
        <f t="shared" si="141"/>
        <v/>
      </c>
      <c r="G1529" s="138" t="e">
        <f>IF(A1529&lt;&gt;"",IF(AND(#REF!="Padrão",$H$4=#REF!),BDI!$B$17,IF(AND(#REF!="Padrão",$H$4=#REF!),BDI!#REF!,IF(AND(#REF!="Diferenciado",$H$4=#REF!),BDI!$E$17,IF(AND(#REF!="Diferenciado",$H$4=#REF!),BDI!#REF!,IF(#REF!="ZERO",0))))),"")</f>
        <v>#REF!</v>
      </c>
      <c r="H1529" s="139" t="str">
        <f t="shared" si="142"/>
        <v/>
      </c>
      <c r="I1529" s="137" t="str">
        <f t="shared" si="143"/>
        <v/>
      </c>
      <c r="J1529" s="117"/>
      <c r="K1529" s="116">
        <v>0</v>
      </c>
      <c r="M1529" s="136" t="s">
        <v>416</v>
      </c>
      <c r="N1529" t="e">
        <v>#REF!</v>
      </c>
      <c r="Q1529" t="s">
        <v>416</v>
      </c>
    </row>
    <row r="1530" spans="1:17" hidden="1" x14ac:dyDescent="0.25">
      <c r="A1530" s="114" t="s">
        <v>4314</v>
      </c>
      <c r="B1530" s="115" t="s">
        <v>3439</v>
      </c>
      <c r="C1530" s="116" t="s">
        <v>16</v>
      </c>
      <c r="D1530" s="116">
        <v>0</v>
      </c>
      <c r="E1530" s="136" t="s">
        <v>416</v>
      </c>
      <c r="F1530" s="137" t="str">
        <f t="shared" si="141"/>
        <v/>
      </c>
      <c r="G1530" s="138" t="e">
        <f>IF(A1530&lt;&gt;"",IF(AND(#REF!="Padrão",$H$4=#REF!),BDI!$B$17,IF(AND(#REF!="Padrão",$H$4=#REF!),BDI!#REF!,IF(AND(#REF!="Diferenciado",$H$4=#REF!),BDI!$E$17,IF(AND(#REF!="Diferenciado",$H$4=#REF!),BDI!#REF!,IF(#REF!="ZERO",0))))),"")</f>
        <v>#REF!</v>
      </c>
      <c r="H1530" s="139" t="str">
        <f t="shared" si="142"/>
        <v/>
      </c>
      <c r="I1530" s="137" t="str">
        <f t="shared" si="143"/>
        <v/>
      </c>
      <c r="J1530" s="117"/>
      <c r="K1530" s="116">
        <v>0</v>
      </c>
      <c r="M1530" s="136" t="s">
        <v>416</v>
      </c>
      <c r="N1530" t="e">
        <v>#REF!</v>
      </c>
      <c r="Q1530" t="s">
        <v>416</v>
      </c>
    </row>
    <row r="1531" spans="1:17" hidden="1" x14ac:dyDescent="0.25">
      <c r="A1531" s="114" t="s">
        <v>4315</v>
      </c>
      <c r="B1531" s="115" t="s">
        <v>3440</v>
      </c>
      <c r="C1531" s="116" t="s">
        <v>16</v>
      </c>
      <c r="D1531" s="116">
        <v>0</v>
      </c>
      <c r="E1531" s="136" t="s">
        <v>416</v>
      </c>
      <c r="F1531" s="137" t="str">
        <f t="shared" si="141"/>
        <v/>
      </c>
      <c r="G1531" s="138" t="e">
        <f>IF(A1531&lt;&gt;"",IF(AND(#REF!="Padrão",$H$4=#REF!),BDI!$B$17,IF(AND(#REF!="Padrão",$H$4=#REF!),BDI!#REF!,IF(AND(#REF!="Diferenciado",$H$4=#REF!),BDI!$E$17,IF(AND(#REF!="Diferenciado",$H$4=#REF!),BDI!#REF!,IF(#REF!="ZERO",0))))),"")</f>
        <v>#REF!</v>
      </c>
      <c r="H1531" s="139" t="str">
        <f t="shared" si="142"/>
        <v/>
      </c>
      <c r="I1531" s="137" t="str">
        <f t="shared" si="143"/>
        <v/>
      </c>
      <c r="J1531" s="117"/>
      <c r="K1531" s="116">
        <v>0</v>
      </c>
      <c r="M1531" s="136" t="s">
        <v>416</v>
      </c>
      <c r="N1531" t="e">
        <v>#REF!</v>
      </c>
      <c r="Q1531" t="s">
        <v>416</v>
      </c>
    </row>
    <row r="1532" spans="1:17" hidden="1" x14ac:dyDescent="0.25">
      <c r="A1532" s="114" t="s">
        <v>4316</v>
      </c>
      <c r="B1532" s="115" t="s">
        <v>3441</v>
      </c>
      <c r="C1532" s="116" t="s">
        <v>16</v>
      </c>
      <c r="D1532" s="116">
        <v>0</v>
      </c>
      <c r="E1532" s="136" t="s">
        <v>416</v>
      </c>
      <c r="F1532" s="137" t="str">
        <f t="shared" si="141"/>
        <v/>
      </c>
      <c r="G1532" s="138" t="e">
        <f>IF(A1532&lt;&gt;"",IF(AND(#REF!="Padrão",$H$4=#REF!),BDI!$B$17,IF(AND(#REF!="Padrão",$H$4=#REF!),BDI!#REF!,IF(AND(#REF!="Diferenciado",$H$4=#REF!),BDI!$E$17,IF(AND(#REF!="Diferenciado",$H$4=#REF!),BDI!#REF!,IF(#REF!="ZERO",0))))),"")</f>
        <v>#REF!</v>
      </c>
      <c r="H1532" s="139" t="str">
        <f t="shared" si="142"/>
        <v/>
      </c>
      <c r="I1532" s="137" t="str">
        <f t="shared" si="143"/>
        <v/>
      </c>
      <c r="J1532" s="117"/>
      <c r="K1532" s="116">
        <v>0</v>
      </c>
      <c r="M1532" s="136" t="s">
        <v>416</v>
      </c>
      <c r="N1532" t="e">
        <v>#REF!</v>
      </c>
      <c r="Q1532" t="s">
        <v>416</v>
      </c>
    </row>
    <row r="1533" spans="1:17" hidden="1" x14ac:dyDescent="0.25">
      <c r="A1533" s="114" t="s">
        <v>4317</v>
      </c>
      <c r="B1533" s="115" t="s">
        <v>3442</v>
      </c>
      <c r="C1533" s="116" t="s">
        <v>16</v>
      </c>
      <c r="D1533" s="116">
        <v>0</v>
      </c>
      <c r="E1533" s="136" t="s">
        <v>416</v>
      </c>
      <c r="F1533" s="137" t="str">
        <f t="shared" si="141"/>
        <v/>
      </c>
      <c r="G1533" s="138" t="e">
        <f>IF(A1533&lt;&gt;"",IF(AND(#REF!="Padrão",$H$4=#REF!),BDI!$B$17,IF(AND(#REF!="Padrão",$H$4=#REF!),BDI!#REF!,IF(AND(#REF!="Diferenciado",$H$4=#REF!),BDI!$E$17,IF(AND(#REF!="Diferenciado",$H$4=#REF!),BDI!#REF!,IF(#REF!="ZERO",0))))),"")</f>
        <v>#REF!</v>
      </c>
      <c r="H1533" s="139" t="str">
        <f t="shared" si="142"/>
        <v/>
      </c>
      <c r="I1533" s="137" t="str">
        <f t="shared" si="143"/>
        <v/>
      </c>
      <c r="J1533" s="117"/>
      <c r="K1533" s="116">
        <v>0</v>
      </c>
      <c r="M1533" s="136" t="s">
        <v>416</v>
      </c>
      <c r="N1533" t="e">
        <v>#REF!</v>
      </c>
      <c r="Q1533" t="s">
        <v>416</v>
      </c>
    </row>
    <row r="1534" spans="1:17" hidden="1" x14ac:dyDescent="0.25">
      <c r="A1534" s="114" t="s">
        <v>4318</v>
      </c>
      <c r="B1534" s="115" t="s">
        <v>3443</v>
      </c>
      <c r="C1534" s="116" t="s">
        <v>16</v>
      </c>
      <c r="D1534" s="116">
        <v>0</v>
      </c>
      <c r="E1534" s="136" t="s">
        <v>416</v>
      </c>
      <c r="F1534" s="137" t="str">
        <f t="shared" si="141"/>
        <v/>
      </c>
      <c r="G1534" s="138" t="e">
        <f>IF(A1534&lt;&gt;"",IF(AND(#REF!="Padrão",$H$4=#REF!),BDI!$B$17,IF(AND(#REF!="Padrão",$H$4=#REF!),BDI!#REF!,IF(AND(#REF!="Diferenciado",$H$4=#REF!),BDI!$E$17,IF(AND(#REF!="Diferenciado",$H$4=#REF!),BDI!#REF!,IF(#REF!="ZERO",0))))),"")</f>
        <v>#REF!</v>
      </c>
      <c r="H1534" s="139" t="str">
        <f t="shared" si="142"/>
        <v/>
      </c>
      <c r="I1534" s="137" t="str">
        <f t="shared" si="143"/>
        <v/>
      </c>
      <c r="J1534" s="117"/>
      <c r="K1534" s="116">
        <v>0</v>
      </c>
      <c r="M1534" s="136" t="s">
        <v>416</v>
      </c>
      <c r="N1534" t="e">
        <v>#REF!</v>
      </c>
      <c r="Q1534" t="s">
        <v>416</v>
      </c>
    </row>
    <row r="1535" spans="1:17" hidden="1" x14ac:dyDescent="0.25">
      <c r="A1535" s="114" t="s">
        <v>4319</v>
      </c>
      <c r="B1535" s="115" t="s">
        <v>3444</v>
      </c>
      <c r="C1535" s="116" t="s">
        <v>16</v>
      </c>
      <c r="D1535" s="116">
        <v>0</v>
      </c>
      <c r="E1535" s="136" t="s">
        <v>416</v>
      </c>
      <c r="F1535" s="137" t="str">
        <f t="shared" si="141"/>
        <v/>
      </c>
      <c r="G1535" s="138" t="e">
        <f>IF(A1535&lt;&gt;"",IF(AND(#REF!="Padrão",$H$4=#REF!),BDI!$B$17,IF(AND(#REF!="Padrão",$H$4=#REF!),BDI!#REF!,IF(AND(#REF!="Diferenciado",$H$4=#REF!),BDI!$E$17,IF(AND(#REF!="Diferenciado",$H$4=#REF!),BDI!#REF!,IF(#REF!="ZERO",0))))),"")</f>
        <v>#REF!</v>
      </c>
      <c r="H1535" s="139" t="str">
        <f t="shared" si="142"/>
        <v/>
      </c>
      <c r="I1535" s="137" t="str">
        <f t="shared" si="143"/>
        <v/>
      </c>
      <c r="J1535" s="117"/>
      <c r="K1535" s="116">
        <v>0</v>
      </c>
      <c r="M1535" s="136" t="s">
        <v>416</v>
      </c>
      <c r="N1535" t="e">
        <v>#REF!</v>
      </c>
      <c r="Q1535" t="s">
        <v>416</v>
      </c>
    </row>
    <row r="1536" spans="1:17" hidden="1" x14ac:dyDescent="0.25">
      <c r="A1536" s="114" t="s">
        <v>4320</v>
      </c>
      <c r="B1536" s="115" t="s">
        <v>3445</v>
      </c>
      <c r="C1536" s="116" t="s">
        <v>16</v>
      </c>
      <c r="D1536" s="116">
        <v>0</v>
      </c>
      <c r="E1536" s="136" t="s">
        <v>416</v>
      </c>
      <c r="F1536" s="137" t="str">
        <f t="shared" si="141"/>
        <v/>
      </c>
      <c r="G1536" s="138" t="e">
        <f>IF(A1536&lt;&gt;"",IF(AND(#REF!="Padrão",$H$4=#REF!),BDI!$B$17,IF(AND(#REF!="Padrão",$H$4=#REF!),BDI!#REF!,IF(AND(#REF!="Diferenciado",$H$4=#REF!),BDI!$E$17,IF(AND(#REF!="Diferenciado",$H$4=#REF!),BDI!#REF!,IF(#REF!="ZERO",0))))),"")</f>
        <v>#REF!</v>
      </c>
      <c r="H1536" s="139" t="str">
        <f t="shared" si="142"/>
        <v/>
      </c>
      <c r="I1536" s="137" t="str">
        <f t="shared" si="143"/>
        <v/>
      </c>
      <c r="J1536" s="117"/>
      <c r="K1536" s="116">
        <v>0</v>
      </c>
      <c r="M1536" s="136" t="s">
        <v>416</v>
      </c>
      <c r="N1536" t="e">
        <v>#REF!</v>
      </c>
      <c r="Q1536" t="s">
        <v>416</v>
      </c>
    </row>
    <row r="1537" spans="1:17" hidden="1" x14ac:dyDescent="0.25">
      <c r="A1537" s="114" t="s">
        <v>4321</v>
      </c>
      <c r="B1537" s="115" t="s">
        <v>3446</v>
      </c>
      <c r="C1537" s="116" t="s">
        <v>16</v>
      </c>
      <c r="D1537" s="116">
        <v>0</v>
      </c>
      <c r="E1537" s="136" t="s">
        <v>416</v>
      </c>
      <c r="F1537" s="137" t="str">
        <f t="shared" si="141"/>
        <v/>
      </c>
      <c r="G1537" s="138" t="e">
        <f>IF(A1537&lt;&gt;"",IF(AND(#REF!="Padrão",$H$4=#REF!),BDI!$B$17,IF(AND(#REF!="Padrão",$H$4=#REF!),BDI!#REF!,IF(AND(#REF!="Diferenciado",$H$4=#REF!),BDI!$E$17,IF(AND(#REF!="Diferenciado",$H$4=#REF!),BDI!#REF!,IF(#REF!="ZERO",0))))),"")</f>
        <v>#REF!</v>
      </c>
      <c r="H1537" s="139" t="str">
        <f t="shared" si="142"/>
        <v/>
      </c>
      <c r="I1537" s="137" t="str">
        <f t="shared" si="143"/>
        <v/>
      </c>
      <c r="J1537" s="117"/>
      <c r="K1537" s="116">
        <v>0</v>
      </c>
      <c r="M1537" s="136" t="s">
        <v>416</v>
      </c>
      <c r="N1537" t="e">
        <v>#REF!</v>
      </c>
      <c r="Q1537" t="s">
        <v>416</v>
      </c>
    </row>
    <row r="1538" spans="1:17" hidden="1" x14ac:dyDescent="0.25">
      <c r="A1538" s="114" t="s">
        <v>4322</v>
      </c>
      <c r="B1538" s="115" t="s">
        <v>3447</v>
      </c>
      <c r="C1538" s="116" t="s">
        <v>16</v>
      </c>
      <c r="D1538" s="116">
        <v>0</v>
      </c>
      <c r="E1538" s="136" t="s">
        <v>416</v>
      </c>
      <c r="F1538" s="137" t="str">
        <f t="shared" si="141"/>
        <v/>
      </c>
      <c r="G1538" s="138" t="e">
        <f>IF(A1538&lt;&gt;"",IF(AND(#REF!="Padrão",$H$4=#REF!),BDI!$B$17,IF(AND(#REF!="Padrão",$H$4=#REF!),BDI!#REF!,IF(AND(#REF!="Diferenciado",$H$4=#REF!),BDI!$E$17,IF(AND(#REF!="Diferenciado",$H$4=#REF!),BDI!#REF!,IF(#REF!="ZERO",0))))),"")</f>
        <v>#REF!</v>
      </c>
      <c r="H1538" s="139" t="str">
        <f t="shared" si="142"/>
        <v/>
      </c>
      <c r="I1538" s="137" t="str">
        <f t="shared" si="143"/>
        <v/>
      </c>
      <c r="J1538" s="117"/>
      <c r="K1538" s="116">
        <v>0</v>
      </c>
      <c r="M1538" s="136" t="s">
        <v>416</v>
      </c>
      <c r="N1538" t="e">
        <v>#REF!</v>
      </c>
      <c r="Q1538" t="s">
        <v>416</v>
      </c>
    </row>
    <row r="1539" spans="1:17" hidden="1" x14ac:dyDescent="0.25">
      <c r="A1539" s="114" t="s">
        <v>4323</v>
      </c>
      <c r="B1539" s="115" t="s">
        <v>3448</v>
      </c>
      <c r="C1539" s="116" t="s">
        <v>16</v>
      </c>
      <c r="D1539" s="116">
        <v>0</v>
      </c>
      <c r="E1539" s="136" t="s">
        <v>416</v>
      </c>
      <c r="F1539" s="137" t="str">
        <f t="shared" si="141"/>
        <v/>
      </c>
      <c r="G1539" s="138" t="e">
        <f>IF(A1539&lt;&gt;"",IF(AND(#REF!="Padrão",$H$4=#REF!),BDI!$B$17,IF(AND(#REF!="Padrão",$H$4=#REF!),BDI!#REF!,IF(AND(#REF!="Diferenciado",$H$4=#REF!),BDI!$E$17,IF(AND(#REF!="Diferenciado",$H$4=#REF!),BDI!#REF!,IF(#REF!="ZERO",0))))),"")</f>
        <v>#REF!</v>
      </c>
      <c r="H1539" s="139" t="str">
        <f t="shared" si="142"/>
        <v/>
      </c>
      <c r="I1539" s="137" t="str">
        <f t="shared" si="143"/>
        <v/>
      </c>
      <c r="J1539" s="117"/>
      <c r="K1539" s="116">
        <v>0</v>
      </c>
      <c r="M1539" s="136" t="s">
        <v>416</v>
      </c>
      <c r="N1539" t="e">
        <v>#REF!</v>
      </c>
      <c r="Q1539" t="s">
        <v>416</v>
      </c>
    </row>
    <row r="1540" spans="1:17" hidden="1" x14ac:dyDescent="0.25">
      <c r="A1540" s="114" t="s">
        <v>4324</v>
      </c>
      <c r="B1540" s="115" t="s">
        <v>3449</v>
      </c>
      <c r="C1540" s="116" t="s">
        <v>16</v>
      </c>
      <c r="D1540" s="116">
        <v>0</v>
      </c>
      <c r="E1540" s="136" t="s">
        <v>416</v>
      </c>
      <c r="F1540" s="137" t="str">
        <f t="shared" si="141"/>
        <v/>
      </c>
      <c r="G1540" s="138" t="e">
        <f>IF(A1540&lt;&gt;"",IF(AND(#REF!="Padrão",$H$4=#REF!),BDI!$B$17,IF(AND(#REF!="Padrão",$H$4=#REF!),BDI!#REF!,IF(AND(#REF!="Diferenciado",$H$4=#REF!),BDI!$E$17,IF(AND(#REF!="Diferenciado",$H$4=#REF!),BDI!#REF!,IF(#REF!="ZERO",0))))),"")</f>
        <v>#REF!</v>
      </c>
      <c r="H1540" s="139" t="str">
        <f t="shared" si="142"/>
        <v/>
      </c>
      <c r="I1540" s="137" t="str">
        <f t="shared" si="143"/>
        <v/>
      </c>
      <c r="J1540" s="117"/>
      <c r="K1540" s="116">
        <v>0</v>
      </c>
      <c r="M1540" s="136" t="s">
        <v>416</v>
      </c>
      <c r="N1540" t="e">
        <v>#REF!</v>
      </c>
      <c r="Q1540" t="s">
        <v>416</v>
      </c>
    </row>
    <row r="1541" spans="1:17" hidden="1" x14ac:dyDescent="0.25">
      <c r="A1541" s="114" t="s">
        <v>4325</v>
      </c>
      <c r="B1541" s="115" t="s">
        <v>3450</v>
      </c>
      <c r="C1541" s="116" t="s">
        <v>16</v>
      </c>
      <c r="D1541" s="116">
        <v>0</v>
      </c>
      <c r="E1541" s="136" t="s">
        <v>416</v>
      </c>
      <c r="F1541" s="137" t="str">
        <f t="shared" si="141"/>
        <v/>
      </c>
      <c r="G1541" s="138" t="e">
        <f>IF(A1541&lt;&gt;"",IF(AND(#REF!="Padrão",$H$4=#REF!),BDI!$B$17,IF(AND(#REF!="Padrão",$H$4=#REF!),BDI!#REF!,IF(AND(#REF!="Diferenciado",$H$4=#REF!),BDI!$E$17,IF(AND(#REF!="Diferenciado",$H$4=#REF!),BDI!#REF!,IF(#REF!="ZERO",0))))),"")</f>
        <v>#REF!</v>
      </c>
      <c r="H1541" s="139" t="str">
        <f t="shared" si="142"/>
        <v/>
      </c>
      <c r="I1541" s="137" t="str">
        <f t="shared" si="143"/>
        <v/>
      </c>
      <c r="J1541" s="117"/>
      <c r="K1541" s="116">
        <v>0</v>
      </c>
      <c r="M1541" s="136" t="s">
        <v>416</v>
      </c>
      <c r="N1541" t="e">
        <v>#REF!</v>
      </c>
      <c r="Q1541" t="s">
        <v>416</v>
      </c>
    </row>
    <row r="1542" spans="1:17" hidden="1" x14ac:dyDescent="0.25">
      <c r="A1542" s="114" t="s">
        <v>4326</v>
      </c>
      <c r="B1542" s="115" t="s">
        <v>5587</v>
      </c>
      <c r="C1542" s="116" t="s">
        <v>69</v>
      </c>
      <c r="D1542" s="116">
        <v>0</v>
      </c>
      <c r="E1542" s="136" t="s">
        <v>416</v>
      </c>
      <c r="F1542" s="137" t="str">
        <f t="shared" si="141"/>
        <v/>
      </c>
      <c r="G1542" s="138" t="e">
        <f>IF(A1542&lt;&gt;"",IF(AND(#REF!="Padrão",$H$4=#REF!),BDI!$B$17,IF(AND(#REF!="Padrão",$H$4=#REF!),BDI!#REF!,IF(AND(#REF!="Diferenciado",$H$4=#REF!),BDI!$E$17,IF(AND(#REF!="Diferenciado",$H$4=#REF!),BDI!#REF!,IF(#REF!="ZERO",0))))),"")</f>
        <v>#REF!</v>
      </c>
      <c r="H1542" s="139" t="str">
        <f t="shared" si="142"/>
        <v/>
      </c>
      <c r="I1542" s="137" t="str">
        <f t="shared" si="143"/>
        <v/>
      </c>
      <c r="J1542" s="117"/>
      <c r="K1542" s="116">
        <v>0</v>
      </c>
      <c r="M1542" s="136" t="s">
        <v>416</v>
      </c>
      <c r="N1542" t="e">
        <v>#REF!</v>
      </c>
      <c r="Q1542" t="s">
        <v>416</v>
      </c>
    </row>
    <row r="1543" spans="1:17" hidden="1" x14ac:dyDescent="0.25">
      <c r="A1543" s="114" t="s">
        <v>4327</v>
      </c>
      <c r="B1543" s="115" t="s">
        <v>3451</v>
      </c>
      <c r="C1543" s="116" t="s">
        <v>16</v>
      </c>
      <c r="D1543" s="116">
        <v>0</v>
      </c>
      <c r="E1543" s="136" t="s">
        <v>416</v>
      </c>
      <c r="F1543" s="137" t="str">
        <f t="shared" si="141"/>
        <v/>
      </c>
      <c r="G1543" s="138" t="e">
        <f>IF(A1543&lt;&gt;"",IF(AND(#REF!="Padrão",$H$4=#REF!),BDI!$B$17,IF(AND(#REF!="Padrão",$H$4=#REF!),BDI!#REF!,IF(AND(#REF!="Diferenciado",$H$4=#REF!),BDI!$E$17,IF(AND(#REF!="Diferenciado",$H$4=#REF!),BDI!#REF!,IF(#REF!="ZERO",0))))),"")</f>
        <v>#REF!</v>
      </c>
      <c r="H1543" s="139" t="str">
        <f t="shared" si="142"/>
        <v/>
      </c>
      <c r="I1543" s="137" t="str">
        <f t="shared" si="143"/>
        <v/>
      </c>
      <c r="J1543" s="117"/>
      <c r="K1543" s="116">
        <v>0</v>
      </c>
      <c r="M1543" s="136" t="s">
        <v>416</v>
      </c>
      <c r="N1543" t="e">
        <v>#REF!</v>
      </c>
      <c r="Q1543" t="s">
        <v>416</v>
      </c>
    </row>
    <row r="1544" spans="1:17" hidden="1" x14ac:dyDescent="0.25">
      <c r="A1544" s="114" t="s">
        <v>4328</v>
      </c>
      <c r="B1544" s="115" t="s">
        <v>7758</v>
      </c>
      <c r="C1544" s="116" t="s">
        <v>16</v>
      </c>
      <c r="D1544" s="116">
        <v>0</v>
      </c>
      <c r="E1544" s="136" t="s">
        <v>416</v>
      </c>
      <c r="F1544" s="137" t="str">
        <f t="shared" si="141"/>
        <v/>
      </c>
      <c r="G1544" s="138" t="e">
        <f>IF(A1544&lt;&gt;"",IF(AND(#REF!="Padrão",$H$4=#REF!),BDI!$B$17,IF(AND(#REF!="Padrão",$H$4=#REF!),BDI!#REF!,IF(AND(#REF!="Diferenciado",$H$4=#REF!),BDI!$E$17,IF(AND(#REF!="Diferenciado",$H$4=#REF!),BDI!#REF!,IF(#REF!="ZERO",0))))),"")</f>
        <v>#REF!</v>
      </c>
      <c r="H1544" s="139" t="str">
        <f t="shared" si="142"/>
        <v/>
      </c>
      <c r="I1544" s="137" t="str">
        <f t="shared" si="143"/>
        <v/>
      </c>
      <c r="J1544" s="117"/>
      <c r="K1544" s="116">
        <v>0</v>
      </c>
      <c r="M1544" s="136" t="s">
        <v>416</v>
      </c>
      <c r="N1544" t="e">
        <v>#REF!</v>
      </c>
      <c r="Q1544" t="s">
        <v>416</v>
      </c>
    </row>
    <row r="1545" spans="1:17" hidden="1" x14ac:dyDescent="0.25">
      <c r="A1545" s="114" t="s">
        <v>4329</v>
      </c>
      <c r="B1545" s="115" t="s">
        <v>3452</v>
      </c>
      <c r="C1545" s="116" t="s">
        <v>16</v>
      </c>
      <c r="D1545" s="116">
        <v>0</v>
      </c>
      <c r="E1545" s="136">
        <f ca="1">OFFSET(INDEX(Composições!A:J,MATCH(Orçamentária!A1545,Composições!A:A,0),8),2,0)</f>
        <v>8.8919999999999995</v>
      </c>
      <c r="F1545" s="137">
        <f t="shared" ca="1" si="141"/>
        <v>0</v>
      </c>
      <c r="G1545" s="138" t="e">
        <f>IF(A1545&lt;&gt;"",IF(AND(#REF!="Padrão",$H$4=#REF!),BDI!$B$17,IF(AND(#REF!="Padrão",$H$4=#REF!),BDI!#REF!,IF(AND(#REF!="Diferenciado",$H$4=#REF!),BDI!$E$17,IF(AND(#REF!="Diferenciado",$H$4=#REF!),BDI!#REF!,IF(#REF!="ZERO",0))))),"")</f>
        <v>#REF!</v>
      </c>
      <c r="H1545" s="139" t="e">
        <f t="shared" ca="1" si="142"/>
        <v>#REF!</v>
      </c>
      <c r="I1545" s="137" t="e">
        <f t="shared" ca="1" si="143"/>
        <v>#REF!</v>
      </c>
      <c r="J1545" s="117"/>
      <c r="K1545" s="116">
        <v>0</v>
      </c>
      <c r="M1545" s="136" t="e">
        <f ca="1">OFFSET(INDEX([1]Composições!I:R,MATCH([1]Orçamentária!I1545,[1]Composições!I:I,0),8),2,0)</f>
        <v>#REF!</v>
      </c>
      <c r="N1545" t="e">
        <v>#REF!</v>
      </c>
      <c r="Q1545" t="e">
        <v>#REF!</v>
      </c>
    </row>
    <row r="1546" spans="1:17" hidden="1" x14ac:dyDescent="0.25">
      <c r="A1546" s="114" t="s">
        <v>4330</v>
      </c>
      <c r="B1546" s="115" t="s">
        <v>3453</v>
      </c>
      <c r="C1546" s="116" t="s">
        <v>16</v>
      </c>
      <c r="D1546" s="116">
        <v>0</v>
      </c>
      <c r="E1546" s="136">
        <f ca="1">OFFSET(INDEX(Composições!A:J,MATCH(Orçamentária!A1546,Composições!A:A,0),8),2,0)</f>
        <v>14.9435</v>
      </c>
      <c r="F1546" s="137">
        <f t="shared" ca="1" si="141"/>
        <v>0</v>
      </c>
      <c r="G1546" s="138" t="e">
        <f>IF(A1546&lt;&gt;"",IF(AND(#REF!="Padrão",$H$4=#REF!),BDI!$B$17,IF(AND(#REF!="Padrão",$H$4=#REF!),BDI!#REF!,IF(AND(#REF!="Diferenciado",$H$4=#REF!),BDI!$E$17,IF(AND(#REF!="Diferenciado",$H$4=#REF!),BDI!#REF!,IF(#REF!="ZERO",0))))),"")</f>
        <v>#REF!</v>
      </c>
      <c r="H1546" s="139" t="e">
        <f t="shared" ca="1" si="142"/>
        <v>#REF!</v>
      </c>
      <c r="I1546" s="137" t="e">
        <f t="shared" ca="1" si="143"/>
        <v>#REF!</v>
      </c>
      <c r="J1546" s="117"/>
      <c r="K1546" s="116">
        <v>0</v>
      </c>
      <c r="M1546" s="136" t="e">
        <f ca="1">OFFSET(INDEX([1]Composições!I:R,MATCH([1]Orçamentária!I1546,[1]Composições!I:I,0),8),2,0)</f>
        <v>#REF!</v>
      </c>
      <c r="N1546" t="e">
        <v>#REF!</v>
      </c>
      <c r="Q1546" t="e">
        <v>#REF!</v>
      </c>
    </row>
    <row r="1547" spans="1:17" hidden="1" x14ac:dyDescent="0.25">
      <c r="A1547" s="114" t="s">
        <v>4331</v>
      </c>
      <c r="B1547" s="115" t="s">
        <v>3454</v>
      </c>
      <c r="C1547" s="116" t="s">
        <v>16</v>
      </c>
      <c r="D1547" s="116">
        <v>0</v>
      </c>
      <c r="E1547" s="136">
        <f ca="1">OFFSET(INDEX(Composições!A:J,MATCH(Orçamentária!A1547,Composições!A:A,0),8),2,0)</f>
        <v>18.315999999999999</v>
      </c>
      <c r="F1547" s="137">
        <f t="shared" ca="1" si="141"/>
        <v>0</v>
      </c>
      <c r="G1547" s="138" t="e">
        <f>IF(A1547&lt;&gt;"",IF(AND(#REF!="Padrão",$H$4=#REF!),BDI!$B$17,IF(AND(#REF!="Padrão",$H$4=#REF!),BDI!#REF!,IF(AND(#REF!="Diferenciado",$H$4=#REF!),BDI!$E$17,IF(AND(#REF!="Diferenciado",$H$4=#REF!),BDI!#REF!,IF(#REF!="ZERO",0))))),"")</f>
        <v>#REF!</v>
      </c>
      <c r="H1547" s="139" t="e">
        <f t="shared" ca="1" si="142"/>
        <v>#REF!</v>
      </c>
      <c r="I1547" s="137" t="e">
        <f t="shared" ca="1" si="143"/>
        <v>#REF!</v>
      </c>
      <c r="J1547" s="117"/>
      <c r="K1547" s="116">
        <v>0</v>
      </c>
      <c r="M1547" s="136" t="e">
        <f ca="1">OFFSET(INDEX([1]Composições!I:R,MATCH([1]Orçamentária!I1547,[1]Composições!I:I,0),8),2,0)</f>
        <v>#REF!</v>
      </c>
      <c r="N1547" t="e">
        <v>#REF!</v>
      </c>
      <c r="Q1547" t="e">
        <v>#REF!</v>
      </c>
    </row>
    <row r="1548" spans="1:17" hidden="1" x14ac:dyDescent="0.25">
      <c r="A1548" s="114" t="s">
        <v>4332</v>
      </c>
      <c r="B1548" s="115" t="s">
        <v>3455</v>
      </c>
      <c r="C1548" s="116" t="s">
        <v>16</v>
      </c>
      <c r="D1548" s="116">
        <v>0</v>
      </c>
      <c r="E1548" s="136">
        <f ca="1">OFFSET(INDEX(Composições!A:J,MATCH(Orçamentária!A1548,Composições!A:A,0),8),2,0)</f>
        <v>24.348499999999998</v>
      </c>
      <c r="F1548" s="137">
        <f t="shared" ca="1" si="141"/>
        <v>0</v>
      </c>
      <c r="G1548" s="138" t="e">
        <f>IF(A1548&lt;&gt;"",IF(AND(#REF!="Padrão",$H$4=#REF!),BDI!$B$17,IF(AND(#REF!="Padrão",$H$4=#REF!),BDI!#REF!,IF(AND(#REF!="Diferenciado",$H$4=#REF!),BDI!$E$17,IF(AND(#REF!="Diferenciado",$H$4=#REF!),BDI!#REF!,IF(#REF!="ZERO",0))))),"")</f>
        <v>#REF!</v>
      </c>
      <c r="H1548" s="139" t="e">
        <f t="shared" ca="1" si="142"/>
        <v>#REF!</v>
      </c>
      <c r="I1548" s="137" t="e">
        <f t="shared" ca="1" si="143"/>
        <v>#REF!</v>
      </c>
      <c r="J1548" s="117"/>
      <c r="K1548" s="116">
        <v>0</v>
      </c>
      <c r="M1548" s="136" t="e">
        <f ca="1">OFFSET(INDEX([1]Composições!I:R,MATCH([1]Orçamentária!I1548,[1]Composições!I:I,0),8),2,0)</f>
        <v>#REF!</v>
      </c>
      <c r="N1548" t="e">
        <v>#REF!</v>
      </c>
      <c r="Q1548" t="e">
        <v>#REF!</v>
      </c>
    </row>
    <row r="1549" spans="1:17" hidden="1" x14ac:dyDescent="0.25">
      <c r="A1549" s="114" t="s">
        <v>4333</v>
      </c>
      <c r="B1549" s="115" t="s">
        <v>5588</v>
      </c>
      <c r="C1549" s="116" t="s">
        <v>16</v>
      </c>
      <c r="D1549" s="116">
        <v>0</v>
      </c>
      <c r="E1549" s="136">
        <f ca="1">OFFSET(INDEX(Composições!A:J,MATCH(Orçamentária!A1549,Composições!A:A,0),8),2,0)</f>
        <v>35.72</v>
      </c>
      <c r="F1549" s="137">
        <f t="shared" ca="1" si="141"/>
        <v>0</v>
      </c>
      <c r="G1549" s="138" t="e">
        <f>IF(A1549&lt;&gt;"",IF(AND(#REF!="Padrão",$H$4=#REF!),BDI!$B$17,IF(AND(#REF!="Padrão",$H$4=#REF!),BDI!#REF!,IF(AND(#REF!="Diferenciado",$H$4=#REF!),BDI!$E$17,IF(AND(#REF!="Diferenciado",$H$4=#REF!),BDI!#REF!,IF(#REF!="ZERO",0))))),"")</f>
        <v>#REF!</v>
      </c>
      <c r="H1549" s="139" t="e">
        <f t="shared" ca="1" si="142"/>
        <v>#REF!</v>
      </c>
      <c r="I1549" s="137" t="e">
        <f t="shared" ca="1" si="143"/>
        <v>#REF!</v>
      </c>
      <c r="J1549" s="117"/>
      <c r="K1549" s="116">
        <v>0</v>
      </c>
      <c r="M1549" s="136" t="e">
        <f ca="1">OFFSET(INDEX([1]Composições!I:R,MATCH([1]Orçamentária!I1549,[1]Composições!I:I,0),8),2,0)</f>
        <v>#REF!</v>
      </c>
      <c r="N1549" t="e">
        <v>#REF!</v>
      </c>
      <c r="Q1549" t="e">
        <v>#REF!</v>
      </c>
    </row>
    <row r="1550" spans="1:17" hidden="1" x14ac:dyDescent="0.25">
      <c r="A1550" s="114" t="s">
        <v>4334</v>
      </c>
      <c r="B1550" s="115" t="s">
        <v>3456</v>
      </c>
      <c r="C1550" s="116" t="s">
        <v>16</v>
      </c>
      <c r="D1550" s="116">
        <v>0</v>
      </c>
      <c r="E1550" s="136" t="s">
        <v>416</v>
      </c>
      <c r="F1550" s="137" t="str">
        <f t="shared" si="141"/>
        <v/>
      </c>
      <c r="G1550" s="138" t="e">
        <f>IF(A1550&lt;&gt;"",IF(AND(#REF!="Padrão",$H$4=#REF!),BDI!$B$17,IF(AND(#REF!="Padrão",$H$4=#REF!),BDI!#REF!,IF(AND(#REF!="Diferenciado",$H$4=#REF!),BDI!$E$17,IF(AND(#REF!="Diferenciado",$H$4=#REF!),BDI!#REF!,IF(#REF!="ZERO",0))))),"")</f>
        <v>#REF!</v>
      </c>
      <c r="H1550" s="139" t="str">
        <f t="shared" si="142"/>
        <v/>
      </c>
      <c r="I1550" s="137" t="str">
        <f t="shared" si="143"/>
        <v/>
      </c>
      <c r="J1550" s="117"/>
      <c r="K1550" s="116">
        <v>0</v>
      </c>
      <c r="M1550" s="136" t="s">
        <v>416</v>
      </c>
      <c r="N1550" t="e">
        <v>#REF!</v>
      </c>
      <c r="Q1550" t="s">
        <v>416</v>
      </c>
    </row>
    <row r="1551" spans="1:17" hidden="1" x14ac:dyDescent="0.25">
      <c r="A1551" s="114" t="s">
        <v>4335</v>
      </c>
      <c r="B1551" s="115" t="s">
        <v>3457</v>
      </c>
      <c r="C1551" s="116" t="s">
        <v>16</v>
      </c>
      <c r="D1551" s="116">
        <v>0</v>
      </c>
      <c r="E1551" s="136">
        <f ca="1">OFFSET(INDEX(Composições!A:J,MATCH(Orçamentária!A1551,Composições!A:A,0),8),2,0)</f>
        <v>99.189499999999995</v>
      </c>
      <c r="F1551" s="137">
        <f t="shared" ca="1" si="141"/>
        <v>0</v>
      </c>
      <c r="G1551" s="138" t="e">
        <f>IF(A1551&lt;&gt;"",IF(AND(#REF!="Padrão",$H$4=#REF!),BDI!$B$17,IF(AND(#REF!="Padrão",$H$4=#REF!),BDI!#REF!,IF(AND(#REF!="Diferenciado",$H$4=#REF!),BDI!$E$17,IF(AND(#REF!="Diferenciado",$H$4=#REF!),BDI!#REF!,IF(#REF!="ZERO",0))))),"")</f>
        <v>#REF!</v>
      </c>
      <c r="H1551" s="139" t="e">
        <f t="shared" ca="1" si="142"/>
        <v>#REF!</v>
      </c>
      <c r="I1551" s="137" t="e">
        <f t="shared" ca="1" si="143"/>
        <v>#REF!</v>
      </c>
      <c r="J1551" s="117"/>
      <c r="K1551" s="116">
        <v>0</v>
      </c>
      <c r="M1551" s="136" t="e">
        <f ca="1">OFFSET(INDEX([1]Composições!I:R,MATCH([1]Orçamentária!I1551,[1]Composições!I:I,0),8),2,0)</f>
        <v>#REF!</v>
      </c>
      <c r="N1551" t="e">
        <v>#REF!</v>
      </c>
      <c r="Q1551" t="e">
        <v>#REF!</v>
      </c>
    </row>
    <row r="1552" spans="1:17" hidden="1" x14ac:dyDescent="0.25">
      <c r="A1552" s="114" t="s">
        <v>4336</v>
      </c>
      <c r="B1552" s="115" t="s">
        <v>3458</v>
      </c>
      <c r="C1552" s="116" t="s">
        <v>16</v>
      </c>
      <c r="D1552" s="116">
        <v>0</v>
      </c>
      <c r="E1552" s="136">
        <f ca="1">OFFSET(INDEX(Composições!A:J,MATCH(Orçamentária!A1552,Composições!A:A,0),8),2,0)</f>
        <v>182.05799999999999</v>
      </c>
      <c r="F1552" s="137">
        <f t="shared" ca="1" si="141"/>
        <v>0</v>
      </c>
      <c r="G1552" s="138" t="e">
        <f>IF(A1552&lt;&gt;"",IF(AND(#REF!="Padrão",$H$4=#REF!),BDI!$B$17,IF(AND(#REF!="Padrão",$H$4=#REF!),BDI!#REF!,IF(AND(#REF!="Diferenciado",$H$4=#REF!),BDI!$E$17,IF(AND(#REF!="Diferenciado",$H$4=#REF!),BDI!#REF!,IF(#REF!="ZERO",0))))),"")</f>
        <v>#REF!</v>
      </c>
      <c r="H1552" s="139" t="e">
        <f t="shared" ca="1" si="142"/>
        <v>#REF!</v>
      </c>
      <c r="I1552" s="137" t="e">
        <f t="shared" ca="1" si="143"/>
        <v>#REF!</v>
      </c>
      <c r="J1552" s="117"/>
      <c r="K1552" s="116">
        <v>0</v>
      </c>
      <c r="M1552" s="136" t="e">
        <f ca="1">OFFSET(INDEX([1]Composições!I:R,MATCH([1]Orçamentária!I1552,[1]Composições!I:I,0),8),2,0)</f>
        <v>#REF!</v>
      </c>
      <c r="N1552" t="e">
        <v>#REF!</v>
      </c>
      <c r="Q1552" t="e">
        <v>#REF!</v>
      </c>
    </row>
    <row r="1553" spans="1:17" hidden="1" x14ac:dyDescent="0.25">
      <c r="A1553" s="114" t="s">
        <v>4337</v>
      </c>
      <c r="B1553" s="115" t="s">
        <v>3459</v>
      </c>
      <c r="C1553" s="116" t="s">
        <v>16</v>
      </c>
      <c r="D1553" s="116">
        <v>0</v>
      </c>
      <c r="E1553" s="136" t="s">
        <v>416</v>
      </c>
      <c r="F1553" s="137" t="str">
        <f t="shared" si="141"/>
        <v/>
      </c>
      <c r="G1553" s="138" t="e">
        <f>IF(A1553&lt;&gt;"",IF(AND(#REF!="Padrão",$H$4=#REF!),BDI!$B$17,IF(AND(#REF!="Padrão",$H$4=#REF!),BDI!#REF!,IF(AND(#REF!="Diferenciado",$H$4=#REF!),BDI!$E$17,IF(AND(#REF!="Diferenciado",$H$4=#REF!),BDI!#REF!,IF(#REF!="ZERO",0))))),"")</f>
        <v>#REF!</v>
      </c>
      <c r="H1553" s="139" t="str">
        <f t="shared" si="142"/>
        <v/>
      </c>
      <c r="I1553" s="137" t="str">
        <f t="shared" si="143"/>
        <v/>
      </c>
      <c r="J1553" s="117"/>
      <c r="K1553" s="116">
        <v>0</v>
      </c>
      <c r="M1553" s="136" t="s">
        <v>416</v>
      </c>
      <c r="N1553" t="e">
        <v>#REF!</v>
      </c>
      <c r="Q1553" t="s">
        <v>416</v>
      </c>
    </row>
    <row r="1554" spans="1:17" hidden="1" x14ac:dyDescent="0.25">
      <c r="A1554" s="114" t="s">
        <v>4338</v>
      </c>
      <c r="B1554" s="115" t="s">
        <v>3460</v>
      </c>
      <c r="C1554" s="116" t="s">
        <v>16</v>
      </c>
      <c r="D1554" s="116">
        <v>0</v>
      </c>
      <c r="E1554" s="136" t="s">
        <v>416</v>
      </c>
      <c r="F1554" s="137" t="str">
        <f t="shared" si="141"/>
        <v/>
      </c>
      <c r="G1554" s="138" t="e">
        <f>IF(A1554&lt;&gt;"",IF(AND(#REF!="Padrão",$H$4=#REF!),BDI!$B$17,IF(AND(#REF!="Padrão",$H$4=#REF!),BDI!#REF!,IF(AND(#REF!="Diferenciado",$H$4=#REF!),BDI!$E$17,IF(AND(#REF!="Diferenciado",$H$4=#REF!),BDI!#REF!,IF(#REF!="ZERO",0))))),"")</f>
        <v>#REF!</v>
      </c>
      <c r="H1554" s="139" t="str">
        <f t="shared" si="142"/>
        <v/>
      </c>
      <c r="I1554" s="137" t="str">
        <f t="shared" si="143"/>
        <v/>
      </c>
      <c r="J1554" s="117"/>
      <c r="K1554" s="116">
        <v>0</v>
      </c>
      <c r="M1554" s="136" t="s">
        <v>416</v>
      </c>
      <c r="N1554" t="e">
        <v>#REF!</v>
      </c>
      <c r="Q1554" t="s">
        <v>416</v>
      </c>
    </row>
    <row r="1555" spans="1:17" hidden="1" x14ac:dyDescent="0.25">
      <c r="A1555" s="114" t="s">
        <v>4339</v>
      </c>
      <c r="B1555" s="115" t="s">
        <v>5589</v>
      </c>
      <c r="C1555" s="116" t="s">
        <v>16</v>
      </c>
      <c r="D1555" s="116">
        <v>0</v>
      </c>
      <c r="E1555" s="136" t="s">
        <v>416</v>
      </c>
      <c r="F1555" s="137" t="str">
        <f t="shared" si="141"/>
        <v/>
      </c>
      <c r="G1555" s="138" t="e">
        <f>IF(A1555&lt;&gt;"",IF(AND(#REF!="Padrão",$H$4=#REF!),BDI!$B$17,IF(AND(#REF!="Padrão",$H$4=#REF!),BDI!#REF!,IF(AND(#REF!="Diferenciado",$H$4=#REF!),BDI!$E$17,IF(AND(#REF!="Diferenciado",$H$4=#REF!),BDI!#REF!,IF(#REF!="ZERO",0))))),"")</f>
        <v>#REF!</v>
      </c>
      <c r="H1555" s="139" t="str">
        <f t="shared" si="142"/>
        <v/>
      </c>
      <c r="I1555" s="137" t="str">
        <f t="shared" si="143"/>
        <v/>
      </c>
      <c r="J1555" s="117"/>
      <c r="K1555" s="116">
        <v>0</v>
      </c>
      <c r="M1555" s="136" t="s">
        <v>416</v>
      </c>
      <c r="N1555" t="e">
        <v>#REF!</v>
      </c>
      <c r="Q1555" t="s">
        <v>416</v>
      </c>
    </row>
    <row r="1556" spans="1:17" hidden="1" x14ac:dyDescent="0.25">
      <c r="A1556" s="114" t="s">
        <v>4340</v>
      </c>
      <c r="B1556" s="115" t="s">
        <v>5590</v>
      </c>
      <c r="C1556" s="116" t="s">
        <v>16</v>
      </c>
      <c r="D1556" s="116">
        <v>0</v>
      </c>
      <c r="E1556" s="136" t="s">
        <v>416</v>
      </c>
      <c r="F1556" s="137" t="str">
        <f t="shared" si="141"/>
        <v/>
      </c>
      <c r="G1556" s="138" t="e">
        <f>IF(A1556&lt;&gt;"",IF(AND(#REF!="Padrão",$H$4=#REF!),BDI!$B$17,IF(AND(#REF!="Padrão",$H$4=#REF!),BDI!#REF!,IF(AND(#REF!="Diferenciado",$H$4=#REF!),BDI!$E$17,IF(AND(#REF!="Diferenciado",$H$4=#REF!),BDI!#REF!,IF(#REF!="ZERO",0))))),"")</f>
        <v>#REF!</v>
      </c>
      <c r="H1556" s="139" t="str">
        <f t="shared" si="142"/>
        <v/>
      </c>
      <c r="I1556" s="137" t="str">
        <f t="shared" si="143"/>
        <v/>
      </c>
      <c r="J1556" s="117"/>
      <c r="K1556" s="116">
        <v>0</v>
      </c>
      <c r="M1556" s="136" t="s">
        <v>416</v>
      </c>
      <c r="N1556" t="e">
        <v>#REF!</v>
      </c>
      <c r="Q1556" t="s">
        <v>416</v>
      </c>
    </row>
    <row r="1557" spans="1:17" hidden="1" x14ac:dyDescent="0.25">
      <c r="A1557" s="114" t="s">
        <v>4341</v>
      </c>
      <c r="B1557" s="115" t="s">
        <v>3461</v>
      </c>
      <c r="C1557" s="116" t="s">
        <v>16</v>
      </c>
      <c r="D1557" s="116">
        <v>0</v>
      </c>
      <c r="E1557" s="136" t="s">
        <v>416</v>
      </c>
      <c r="F1557" s="137" t="str">
        <f t="shared" si="141"/>
        <v/>
      </c>
      <c r="G1557" s="138" t="e">
        <f>IF(A1557&lt;&gt;"",IF(AND(#REF!="Padrão",$H$4=#REF!),BDI!$B$17,IF(AND(#REF!="Padrão",$H$4=#REF!),BDI!#REF!,IF(AND(#REF!="Diferenciado",$H$4=#REF!),BDI!$E$17,IF(AND(#REF!="Diferenciado",$H$4=#REF!),BDI!#REF!,IF(#REF!="ZERO",0))))),"")</f>
        <v>#REF!</v>
      </c>
      <c r="H1557" s="139" t="str">
        <f t="shared" si="142"/>
        <v/>
      </c>
      <c r="I1557" s="137" t="str">
        <f t="shared" si="143"/>
        <v/>
      </c>
      <c r="J1557" s="117"/>
      <c r="K1557" s="116">
        <v>0</v>
      </c>
      <c r="M1557" s="136" t="s">
        <v>416</v>
      </c>
      <c r="N1557" t="e">
        <v>#REF!</v>
      </c>
      <c r="Q1557" t="s">
        <v>416</v>
      </c>
    </row>
    <row r="1558" spans="1:17" hidden="1" x14ac:dyDescent="0.25">
      <c r="A1558" s="114" t="s">
        <v>4342</v>
      </c>
      <c r="B1558" s="115" t="s">
        <v>3462</v>
      </c>
      <c r="C1558" s="116" t="s">
        <v>16</v>
      </c>
      <c r="D1558" s="116">
        <v>0</v>
      </c>
      <c r="E1558" s="136" t="s">
        <v>416</v>
      </c>
      <c r="F1558" s="137" t="str">
        <f t="shared" si="141"/>
        <v/>
      </c>
      <c r="G1558" s="138" t="e">
        <f>IF(A1558&lt;&gt;"",IF(AND(#REF!="Padrão",$H$4=#REF!),BDI!$B$17,IF(AND(#REF!="Padrão",$H$4=#REF!),BDI!#REF!,IF(AND(#REF!="Diferenciado",$H$4=#REF!),BDI!$E$17,IF(AND(#REF!="Diferenciado",$H$4=#REF!),BDI!#REF!,IF(#REF!="ZERO",0))))),"")</f>
        <v>#REF!</v>
      </c>
      <c r="H1558" s="139" t="str">
        <f t="shared" si="142"/>
        <v/>
      </c>
      <c r="I1558" s="137" t="str">
        <f t="shared" si="143"/>
        <v/>
      </c>
      <c r="J1558" s="117"/>
      <c r="K1558" s="116">
        <v>0</v>
      </c>
      <c r="M1558" s="136" t="s">
        <v>416</v>
      </c>
      <c r="N1558" t="e">
        <v>#REF!</v>
      </c>
      <c r="Q1558" t="s">
        <v>416</v>
      </c>
    </row>
    <row r="1559" spans="1:17" hidden="1" x14ac:dyDescent="0.25">
      <c r="A1559" s="114" t="s">
        <v>4343</v>
      </c>
      <c r="B1559" s="115" t="s">
        <v>3463</v>
      </c>
      <c r="C1559" s="116" t="s">
        <v>16</v>
      </c>
      <c r="D1559" s="116">
        <v>0</v>
      </c>
      <c r="E1559" s="136" t="s">
        <v>416</v>
      </c>
      <c r="F1559" s="137" t="str">
        <f t="shared" si="141"/>
        <v/>
      </c>
      <c r="G1559" s="138" t="e">
        <f>IF(A1559&lt;&gt;"",IF(AND(#REF!="Padrão",$H$4=#REF!),BDI!$B$17,IF(AND(#REF!="Padrão",$H$4=#REF!),BDI!#REF!,IF(AND(#REF!="Diferenciado",$H$4=#REF!),BDI!$E$17,IF(AND(#REF!="Diferenciado",$H$4=#REF!),BDI!#REF!,IF(#REF!="ZERO",0))))),"")</f>
        <v>#REF!</v>
      </c>
      <c r="H1559" s="139" t="str">
        <f t="shared" si="142"/>
        <v/>
      </c>
      <c r="I1559" s="137" t="str">
        <f t="shared" si="143"/>
        <v/>
      </c>
      <c r="J1559" s="117"/>
      <c r="K1559" s="116">
        <v>0</v>
      </c>
      <c r="M1559" s="136" t="s">
        <v>416</v>
      </c>
      <c r="N1559" t="e">
        <v>#REF!</v>
      </c>
      <c r="Q1559" t="s">
        <v>416</v>
      </c>
    </row>
    <row r="1560" spans="1:17" hidden="1" x14ac:dyDescent="0.25">
      <c r="A1560" s="114" t="s">
        <v>4344</v>
      </c>
      <c r="B1560" s="115" t="s">
        <v>3464</v>
      </c>
      <c r="C1560" s="116" t="s">
        <v>16</v>
      </c>
      <c r="D1560" s="116">
        <v>0</v>
      </c>
      <c r="E1560" s="136" t="s">
        <v>416</v>
      </c>
      <c r="F1560" s="137" t="str">
        <f t="shared" si="141"/>
        <v/>
      </c>
      <c r="G1560" s="138" t="e">
        <f>IF(A1560&lt;&gt;"",IF(AND(#REF!="Padrão",$H$4=#REF!),BDI!$B$17,IF(AND(#REF!="Padrão",$H$4=#REF!),BDI!#REF!,IF(AND(#REF!="Diferenciado",$H$4=#REF!),BDI!$E$17,IF(AND(#REF!="Diferenciado",$H$4=#REF!),BDI!#REF!,IF(#REF!="ZERO",0))))),"")</f>
        <v>#REF!</v>
      </c>
      <c r="H1560" s="139" t="str">
        <f t="shared" si="142"/>
        <v/>
      </c>
      <c r="I1560" s="137" t="str">
        <f t="shared" si="143"/>
        <v/>
      </c>
      <c r="J1560" s="117"/>
      <c r="K1560" s="116">
        <v>0</v>
      </c>
      <c r="M1560" s="136" t="s">
        <v>416</v>
      </c>
      <c r="N1560" t="e">
        <v>#REF!</v>
      </c>
      <c r="Q1560" t="s">
        <v>416</v>
      </c>
    </row>
    <row r="1561" spans="1:17" hidden="1" x14ac:dyDescent="0.25">
      <c r="A1561" s="114" t="s">
        <v>4345</v>
      </c>
      <c r="B1561" s="115" t="s">
        <v>3465</v>
      </c>
      <c r="C1561" s="116" t="s">
        <v>16</v>
      </c>
      <c r="D1561" s="116">
        <v>0</v>
      </c>
      <c r="E1561" s="136" t="s">
        <v>416</v>
      </c>
      <c r="F1561" s="137" t="str">
        <f t="shared" si="141"/>
        <v/>
      </c>
      <c r="G1561" s="138" t="e">
        <f>IF(A1561&lt;&gt;"",IF(AND(#REF!="Padrão",$H$4=#REF!),BDI!$B$17,IF(AND(#REF!="Padrão",$H$4=#REF!),BDI!#REF!,IF(AND(#REF!="Diferenciado",$H$4=#REF!),BDI!$E$17,IF(AND(#REF!="Diferenciado",$H$4=#REF!),BDI!#REF!,IF(#REF!="ZERO",0))))),"")</f>
        <v>#REF!</v>
      </c>
      <c r="H1561" s="139" t="str">
        <f t="shared" si="142"/>
        <v/>
      </c>
      <c r="I1561" s="137" t="str">
        <f t="shared" si="143"/>
        <v/>
      </c>
      <c r="J1561" s="117"/>
      <c r="K1561" s="116">
        <v>0</v>
      </c>
      <c r="M1561" s="136" t="s">
        <v>416</v>
      </c>
      <c r="N1561" t="e">
        <v>#REF!</v>
      </c>
      <c r="Q1561" t="s">
        <v>416</v>
      </c>
    </row>
    <row r="1562" spans="1:17" hidden="1" x14ac:dyDescent="0.25">
      <c r="A1562" s="114" t="s">
        <v>4346</v>
      </c>
      <c r="B1562" s="115" t="s">
        <v>3466</v>
      </c>
      <c r="C1562" s="116" t="s">
        <v>16</v>
      </c>
      <c r="D1562" s="116">
        <v>0</v>
      </c>
      <c r="E1562" s="136" t="s">
        <v>416</v>
      </c>
      <c r="F1562" s="137" t="str">
        <f t="shared" si="141"/>
        <v/>
      </c>
      <c r="G1562" s="138" t="e">
        <f>IF(A1562&lt;&gt;"",IF(AND(#REF!="Padrão",$H$4=#REF!),BDI!$B$17,IF(AND(#REF!="Padrão",$H$4=#REF!),BDI!#REF!,IF(AND(#REF!="Diferenciado",$H$4=#REF!),BDI!$E$17,IF(AND(#REF!="Diferenciado",$H$4=#REF!),BDI!#REF!,IF(#REF!="ZERO",0))))),"")</f>
        <v>#REF!</v>
      </c>
      <c r="H1562" s="139" t="str">
        <f t="shared" si="142"/>
        <v/>
      </c>
      <c r="I1562" s="137" t="str">
        <f t="shared" si="143"/>
        <v/>
      </c>
      <c r="J1562" s="117"/>
      <c r="K1562" s="116">
        <v>0</v>
      </c>
      <c r="M1562" s="136" t="s">
        <v>416</v>
      </c>
      <c r="N1562" t="e">
        <v>#REF!</v>
      </c>
      <c r="Q1562" t="s">
        <v>416</v>
      </c>
    </row>
    <row r="1563" spans="1:17" hidden="1" x14ac:dyDescent="0.25">
      <c r="A1563" s="114" t="s">
        <v>4347</v>
      </c>
      <c r="B1563" s="115" t="s">
        <v>3467</v>
      </c>
      <c r="C1563" s="116" t="s">
        <v>16</v>
      </c>
      <c r="D1563" s="116">
        <v>0</v>
      </c>
      <c r="E1563" s="136" t="s">
        <v>416</v>
      </c>
      <c r="F1563" s="137" t="str">
        <f t="shared" si="141"/>
        <v/>
      </c>
      <c r="G1563" s="138" t="e">
        <f>IF(A1563&lt;&gt;"",IF(AND(#REF!="Padrão",$H$4=#REF!),BDI!$B$17,IF(AND(#REF!="Padrão",$H$4=#REF!),BDI!#REF!,IF(AND(#REF!="Diferenciado",$H$4=#REF!),BDI!$E$17,IF(AND(#REF!="Diferenciado",$H$4=#REF!),BDI!#REF!,IF(#REF!="ZERO",0))))),"")</f>
        <v>#REF!</v>
      </c>
      <c r="H1563" s="139" t="str">
        <f t="shared" si="142"/>
        <v/>
      </c>
      <c r="I1563" s="137" t="str">
        <f t="shared" si="143"/>
        <v/>
      </c>
      <c r="J1563" s="117"/>
      <c r="K1563" s="116">
        <v>0</v>
      </c>
      <c r="M1563" s="136" t="s">
        <v>416</v>
      </c>
      <c r="N1563" t="e">
        <v>#REF!</v>
      </c>
      <c r="Q1563" t="s">
        <v>416</v>
      </c>
    </row>
    <row r="1564" spans="1:17" hidden="1" x14ac:dyDescent="0.25">
      <c r="A1564" s="114" t="s">
        <v>4348</v>
      </c>
      <c r="B1564" s="115" t="s">
        <v>3468</v>
      </c>
      <c r="C1564" s="116" t="s">
        <v>16</v>
      </c>
      <c r="D1564" s="116">
        <v>0</v>
      </c>
      <c r="E1564" s="136" t="s">
        <v>416</v>
      </c>
      <c r="F1564" s="137" t="str">
        <f t="shared" si="141"/>
        <v/>
      </c>
      <c r="G1564" s="138" t="e">
        <f>IF(A1564&lt;&gt;"",IF(AND(#REF!="Padrão",$H$4=#REF!),BDI!$B$17,IF(AND(#REF!="Padrão",$H$4=#REF!),BDI!#REF!,IF(AND(#REF!="Diferenciado",$H$4=#REF!),BDI!$E$17,IF(AND(#REF!="Diferenciado",$H$4=#REF!),BDI!#REF!,IF(#REF!="ZERO",0))))),"")</f>
        <v>#REF!</v>
      </c>
      <c r="H1564" s="139" t="str">
        <f t="shared" si="142"/>
        <v/>
      </c>
      <c r="I1564" s="137" t="str">
        <f t="shared" si="143"/>
        <v/>
      </c>
      <c r="J1564" s="117"/>
      <c r="K1564" s="116">
        <v>0</v>
      </c>
      <c r="M1564" s="136" t="s">
        <v>416</v>
      </c>
      <c r="N1564" t="e">
        <v>#REF!</v>
      </c>
      <c r="Q1564" t="s">
        <v>416</v>
      </c>
    </row>
    <row r="1565" spans="1:17" hidden="1" x14ac:dyDescent="0.25">
      <c r="A1565" s="114" t="s">
        <v>4349</v>
      </c>
      <c r="B1565" s="115" t="s">
        <v>3469</v>
      </c>
      <c r="C1565" s="116" t="s">
        <v>16</v>
      </c>
      <c r="D1565" s="116">
        <v>0</v>
      </c>
      <c r="E1565" s="136" t="s">
        <v>416</v>
      </c>
      <c r="F1565" s="137" t="str">
        <f t="shared" si="141"/>
        <v/>
      </c>
      <c r="G1565" s="138" t="e">
        <f>IF(A1565&lt;&gt;"",IF(AND(#REF!="Padrão",$H$4=#REF!),BDI!$B$17,IF(AND(#REF!="Padrão",$H$4=#REF!),BDI!#REF!,IF(AND(#REF!="Diferenciado",$H$4=#REF!),BDI!$E$17,IF(AND(#REF!="Diferenciado",$H$4=#REF!),BDI!#REF!,IF(#REF!="ZERO",0))))),"")</f>
        <v>#REF!</v>
      </c>
      <c r="H1565" s="139" t="str">
        <f t="shared" si="142"/>
        <v/>
      </c>
      <c r="I1565" s="137" t="str">
        <f t="shared" si="143"/>
        <v/>
      </c>
      <c r="J1565" s="117"/>
      <c r="K1565" s="116">
        <v>0</v>
      </c>
      <c r="M1565" s="136" t="s">
        <v>416</v>
      </c>
      <c r="N1565" t="e">
        <v>#REF!</v>
      </c>
      <c r="Q1565" t="s">
        <v>416</v>
      </c>
    </row>
    <row r="1566" spans="1:17" hidden="1" x14ac:dyDescent="0.25">
      <c r="A1566" s="114" t="s">
        <v>4350</v>
      </c>
      <c r="B1566" s="115" t="s">
        <v>3470</v>
      </c>
      <c r="C1566" s="116" t="s">
        <v>16</v>
      </c>
      <c r="D1566" s="116">
        <v>0</v>
      </c>
      <c r="E1566" s="136">
        <f ca="1">OFFSET(INDEX(Composições!A:J,MATCH(Orçamentária!A1566,Composições!A:A,0),8),2,0)</f>
        <v>4.8449999999999998</v>
      </c>
      <c r="F1566" s="137">
        <f t="shared" ca="1" si="141"/>
        <v>0</v>
      </c>
      <c r="G1566" s="138" t="e">
        <f>IF(A1566&lt;&gt;"",IF(AND(#REF!="Padrão",$H$4=#REF!),BDI!$B$17,IF(AND(#REF!="Padrão",$H$4=#REF!),BDI!#REF!,IF(AND(#REF!="Diferenciado",$H$4=#REF!),BDI!$E$17,IF(AND(#REF!="Diferenciado",$H$4=#REF!),BDI!#REF!,IF(#REF!="ZERO",0))))),"")</f>
        <v>#REF!</v>
      </c>
      <c r="H1566" s="139" t="e">
        <f t="shared" ca="1" si="142"/>
        <v>#REF!</v>
      </c>
      <c r="I1566" s="137" t="e">
        <f t="shared" ca="1" si="143"/>
        <v>#REF!</v>
      </c>
      <c r="J1566" s="117"/>
      <c r="K1566" s="116">
        <v>0</v>
      </c>
      <c r="M1566" s="136" t="e">
        <f ca="1">OFFSET(INDEX([1]Composições!I:R,MATCH([1]Orçamentária!I1566,[1]Composições!I:I,0),8),2,0)</f>
        <v>#REF!</v>
      </c>
      <c r="N1566" t="e">
        <v>#REF!</v>
      </c>
      <c r="Q1566" t="e">
        <v>#REF!</v>
      </c>
    </row>
    <row r="1567" spans="1:17" hidden="1" x14ac:dyDescent="0.25">
      <c r="A1567" s="114" t="s">
        <v>4351</v>
      </c>
      <c r="B1567" s="115" t="s">
        <v>3471</v>
      </c>
      <c r="C1567" s="116" t="s">
        <v>16</v>
      </c>
      <c r="D1567" s="116">
        <v>0</v>
      </c>
      <c r="E1567" s="136" t="s">
        <v>416</v>
      </c>
      <c r="F1567" s="137" t="str">
        <f t="shared" si="141"/>
        <v/>
      </c>
      <c r="G1567" s="138" t="e">
        <f>IF(A1567&lt;&gt;"",IF(AND(#REF!="Padrão",$H$4=#REF!),BDI!$B$17,IF(AND(#REF!="Padrão",$H$4=#REF!),BDI!#REF!,IF(AND(#REF!="Diferenciado",$H$4=#REF!),BDI!$E$17,IF(AND(#REF!="Diferenciado",$H$4=#REF!),BDI!#REF!,IF(#REF!="ZERO",0))))),"")</f>
        <v>#REF!</v>
      </c>
      <c r="H1567" s="139" t="str">
        <f t="shared" si="142"/>
        <v/>
      </c>
      <c r="I1567" s="137" t="str">
        <f t="shared" si="143"/>
        <v/>
      </c>
      <c r="J1567" s="117"/>
      <c r="K1567" s="116">
        <v>0</v>
      </c>
      <c r="M1567" s="136" t="s">
        <v>416</v>
      </c>
      <c r="N1567" t="e">
        <v>#REF!</v>
      </c>
      <c r="Q1567" t="s">
        <v>416</v>
      </c>
    </row>
    <row r="1568" spans="1:17" hidden="1" x14ac:dyDescent="0.25">
      <c r="A1568" s="114" t="s">
        <v>4352</v>
      </c>
      <c r="B1568" s="115" t="s">
        <v>3472</v>
      </c>
      <c r="C1568" s="116" t="s">
        <v>16</v>
      </c>
      <c r="D1568" s="116">
        <v>0</v>
      </c>
      <c r="E1568" s="136">
        <f ca="1">OFFSET(INDEX(Composições!A:J,MATCH(Orçamentária!A1568,Composições!A:A,0),8),2,0)</f>
        <v>2.9164999999999996</v>
      </c>
      <c r="F1568" s="137">
        <f t="shared" ca="1" si="141"/>
        <v>0</v>
      </c>
      <c r="G1568" s="138" t="e">
        <f>IF(A1568&lt;&gt;"",IF(AND(#REF!="Padrão",$H$4=#REF!),BDI!$B$17,IF(AND(#REF!="Padrão",$H$4=#REF!),BDI!#REF!,IF(AND(#REF!="Diferenciado",$H$4=#REF!),BDI!$E$17,IF(AND(#REF!="Diferenciado",$H$4=#REF!),BDI!#REF!,IF(#REF!="ZERO",0))))),"")</f>
        <v>#REF!</v>
      </c>
      <c r="H1568" s="139" t="e">
        <f t="shared" ca="1" si="142"/>
        <v>#REF!</v>
      </c>
      <c r="I1568" s="137" t="e">
        <f t="shared" ca="1" si="143"/>
        <v>#REF!</v>
      </c>
      <c r="J1568" s="117"/>
      <c r="K1568" s="116">
        <v>0</v>
      </c>
      <c r="M1568" s="136" t="e">
        <f ca="1">OFFSET(INDEX([1]Composições!I:R,MATCH([1]Orçamentária!I1568,[1]Composições!I:I,0),8),2,0)</f>
        <v>#REF!</v>
      </c>
      <c r="N1568" t="e">
        <v>#REF!</v>
      </c>
      <c r="Q1568" t="e">
        <v>#REF!</v>
      </c>
    </row>
    <row r="1569" spans="1:17" hidden="1" x14ac:dyDescent="0.25">
      <c r="A1569" s="114" t="s">
        <v>4353</v>
      </c>
      <c r="B1569" s="115" t="s">
        <v>3473</v>
      </c>
      <c r="C1569" s="116" t="s">
        <v>16</v>
      </c>
      <c r="D1569" s="116">
        <v>0</v>
      </c>
      <c r="E1569" s="136">
        <f ca="1">OFFSET(INDEX(Composições!A:J,MATCH(Orçamentária!A1569,Composições!A:A,0),8),2,0)</f>
        <v>3.2869999999999999</v>
      </c>
      <c r="F1569" s="137">
        <f t="shared" ca="1" si="141"/>
        <v>0</v>
      </c>
      <c r="G1569" s="138" t="e">
        <f>IF(A1569&lt;&gt;"",IF(AND(#REF!="Padrão",$H$4=#REF!),BDI!$B$17,IF(AND(#REF!="Padrão",$H$4=#REF!),BDI!#REF!,IF(AND(#REF!="Diferenciado",$H$4=#REF!),BDI!$E$17,IF(AND(#REF!="Diferenciado",$H$4=#REF!),BDI!#REF!,IF(#REF!="ZERO",0))))),"")</f>
        <v>#REF!</v>
      </c>
      <c r="H1569" s="139" t="e">
        <f t="shared" ca="1" si="142"/>
        <v>#REF!</v>
      </c>
      <c r="I1569" s="137" t="e">
        <f t="shared" ca="1" si="143"/>
        <v>#REF!</v>
      </c>
      <c r="J1569" s="117"/>
      <c r="K1569" s="116">
        <v>0</v>
      </c>
      <c r="M1569" s="136" t="e">
        <f ca="1">OFFSET(INDEX([1]Composições!I:R,MATCH([1]Orçamentária!I1569,[1]Composições!I:I,0),8),2,0)</f>
        <v>#REF!</v>
      </c>
      <c r="N1569" t="e">
        <v>#REF!</v>
      </c>
      <c r="Q1569" t="e">
        <v>#REF!</v>
      </c>
    </row>
    <row r="1570" spans="1:17" hidden="1" x14ac:dyDescent="0.25">
      <c r="A1570" s="114" t="s">
        <v>4354</v>
      </c>
      <c r="B1570" s="115" t="s">
        <v>3474</v>
      </c>
      <c r="C1570" s="116" t="s">
        <v>16</v>
      </c>
      <c r="D1570" s="116">
        <v>0</v>
      </c>
      <c r="E1570" s="136">
        <f ca="1">OFFSET(INDEX(Composições!A:J,MATCH(Orçamentária!A1570,Composições!A:A,0),8),2,0)</f>
        <v>5.6999999999999993</v>
      </c>
      <c r="F1570" s="137">
        <f t="shared" ca="1" si="141"/>
        <v>0</v>
      </c>
      <c r="G1570" s="138" t="e">
        <f>IF(A1570&lt;&gt;"",IF(AND(#REF!="Padrão",$H$4=#REF!),BDI!$B$17,IF(AND(#REF!="Padrão",$H$4=#REF!),BDI!#REF!,IF(AND(#REF!="Diferenciado",$H$4=#REF!),BDI!$E$17,IF(AND(#REF!="Diferenciado",$H$4=#REF!),BDI!#REF!,IF(#REF!="ZERO",0))))),"")</f>
        <v>#REF!</v>
      </c>
      <c r="H1570" s="139" t="e">
        <f t="shared" ca="1" si="142"/>
        <v>#REF!</v>
      </c>
      <c r="I1570" s="137" t="e">
        <f t="shared" ca="1" si="143"/>
        <v>#REF!</v>
      </c>
      <c r="J1570" s="117"/>
      <c r="K1570" s="116">
        <v>0</v>
      </c>
      <c r="M1570" s="136" t="e">
        <f ca="1">OFFSET(INDEX([1]Composições!I:R,MATCH([1]Orçamentária!I1570,[1]Composições!I:I,0),8),2,0)</f>
        <v>#REF!</v>
      </c>
      <c r="N1570" t="e">
        <v>#REF!</v>
      </c>
      <c r="Q1570" t="e">
        <v>#REF!</v>
      </c>
    </row>
    <row r="1571" spans="1:17" hidden="1" x14ac:dyDescent="0.25">
      <c r="A1571" s="114" t="s">
        <v>4355</v>
      </c>
      <c r="B1571" s="115" t="s">
        <v>3475</v>
      </c>
      <c r="C1571" s="116" t="s">
        <v>16</v>
      </c>
      <c r="D1571" s="116">
        <v>0</v>
      </c>
      <c r="E1571" s="136">
        <f ca="1">OFFSET(INDEX(Composições!A:J,MATCH(Orçamentária!A1571,Composições!A:A,0),8),2,0)</f>
        <v>7.1059999999999999</v>
      </c>
      <c r="F1571" s="137">
        <f t="shared" ca="1" si="141"/>
        <v>0</v>
      </c>
      <c r="G1571" s="138" t="e">
        <f>IF(A1571&lt;&gt;"",IF(AND(#REF!="Padrão",$H$4=#REF!),BDI!$B$17,IF(AND(#REF!="Padrão",$H$4=#REF!),BDI!#REF!,IF(AND(#REF!="Diferenciado",$H$4=#REF!),BDI!$E$17,IF(AND(#REF!="Diferenciado",$H$4=#REF!),BDI!#REF!,IF(#REF!="ZERO",0))))),"")</f>
        <v>#REF!</v>
      </c>
      <c r="H1571" s="139" t="e">
        <f t="shared" ca="1" si="142"/>
        <v>#REF!</v>
      </c>
      <c r="I1571" s="137" t="e">
        <f t="shared" ca="1" si="143"/>
        <v>#REF!</v>
      </c>
      <c r="J1571" s="117"/>
      <c r="K1571" s="116">
        <v>0</v>
      </c>
      <c r="M1571" s="136" t="e">
        <f ca="1">OFFSET(INDEX([1]Composições!I:R,MATCH([1]Orçamentária!I1571,[1]Composições!I:I,0),8),2,0)</f>
        <v>#REF!</v>
      </c>
      <c r="N1571" t="e">
        <v>#REF!</v>
      </c>
      <c r="Q1571" t="e">
        <v>#REF!</v>
      </c>
    </row>
    <row r="1572" spans="1:17" hidden="1" x14ac:dyDescent="0.25">
      <c r="A1572" s="114" t="s">
        <v>4356</v>
      </c>
      <c r="B1572" s="115" t="s">
        <v>3476</v>
      </c>
      <c r="C1572" s="116" t="s">
        <v>16</v>
      </c>
      <c r="D1572" s="116">
        <v>0</v>
      </c>
      <c r="E1572" s="136">
        <f ca="1">OFFSET(INDEX(Composições!A:J,MATCH(Orçamentária!A1572,Composições!A:A,0),8),2,0)</f>
        <v>8.7495000000000012</v>
      </c>
      <c r="F1572" s="137">
        <f t="shared" ca="1" si="141"/>
        <v>0</v>
      </c>
      <c r="G1572" s="138" t="e">
        <f>IF(A1572&lt;&gt;"",IF(AND(#REF!="Padrão",$H$4=#REF!),BDI!$B$17,IF(AND(#REF!="Padrão",$H$4=#REF!),BDI!#REF!,IF(AND(#REF!="Diferenciado",$H$4=#REF!),BDI!$E$17,IF(AND(#REF!="Diferenciado",$H$4=#REF!),BDI!#REF!,IF(#REF!="ZERO",0))))),"")</f>
        <v>#REF!</v>
      </c>
      <c r="H1572" s="139" t="e">
        <f t="shared" ca="1" si="142"/>
        <v>#REF!</v>
      </c>
      <c r="I1572" s="137" t="e">
        <f t="shared" ca="1" si="143"/>
        <v>#REF!</v>
      </c>
      <c r="J1572" s="117"/>
      <c r="K1572" s="116">
        <v>0</v>
      </c>
      <c r="M1572" s="136" t="e">
        <f ca="1">OFFSET(INDEX([1]Composições!I:R,MATCH([1]Orçamentária!I1572,[1]Composições!I:I,0),8),2,0)</f>
        <v>#REF!</v>
      </c>
      <c r="N1572" t="e">
        <v>#REF!</v>
      </c>
      <c r="Q1572" t="e">
        <v>#REF!</v>
      </c>
    </row>
    <row r="1573" spans="1:17" hidden="1" x14ac:dyDescent="0.25">
      <c r="A1573" s="114" t="s">
        <v>4357</v>
      </c>
      <c r="B1573" s="115" t="s">
        <v>3477</v>
      </c>
      <c r="C1573" s="116" t="s">
        <v>16</v>
      </c>
      <c r="D1573" s="116">
        <v>0</v>
      </c>
      <c r="E1573" s="136">
        <f ca="1">OFFSET(INDEX(Composições!A:J,MATCH(Orçamentária!A1573,Composições!A:A,0),8),2,0)</f>
        <v>12.311999999999999</v>
      </c>
      <c r="F1573" s="137">
        <f t="shared" ca="1" si="141"/>
        <v>0</v>
      </c>
      <c r="G1573" s="138" t="e">
        <f>IF(A1573&lt;&gt;"",IF(AND(#REF!="Padrão",$H$4=#REF!),BDI!$B$17,IF(AND(#REF!="Padrão",$H$4=#REF!),BDI!#REF!,IF(AND(#REF!="Diferenciado",$H$4=#REF!),BDI!$E$17,IF(AND(#REF!="Diferenciado",$H$4=#REF!),BDI!#REF!,IF(#REF!="ZERO",0))))),"")</f>
        <v>#REF!</v>
      </c>
      <c r="H1573" s="139" t="e">
        <f t="shared" ca="1" si="142"/>
        <v>#REF!</v>
      </c>
      <c r="I1573" s="137" t="e">
        <f t="shared" ca="1" si="143"/>
        <v>#REF!</v>
      </c>
      <c r="J1573" s="117"/>
      <c r="K1573" s="116">
        <v>0</v>
      </c>
      <c r="M1573" s="136" t="e">
        <f ca="1">OFFSET(INDEX([1]Composições!I:R,MATCH([1]Orçamentária!I1573,[1]Composições!I:I,0),8),2,0)</f>
        <v>#REF!</v>
      </c>
      <c r="N1573" t="e">
        <v>#REF!</v>
      </c>
      <c r="Q1573" t="e">
        <v>#REF!</v>
      </c>
    </row>
    <row r="1574" spans="1:17" hidden="1" x14ac:dyDescent="0.25">
      <c r="A1574" s="114" t="s">
        <v>4358</v>
      </c>
      <c r="B1574" s="115" t="s">
        <v>3478</v>
      </c>
      <c r="C1574" s="116" t="s">
        <v>16</v>
      </c>
      <c r="D1574" s="116">
        <v>0</v>
      </c>
      <c r="E1574" s="136">
        <f ca="1">OFFSET(INDEX(Composições!A:J,MATCH(Orçamentária!A1574,Composições!A:A,0),8),2,0)</f>
        <v>27.701999999999998</v>
      </c>
      <c r="F1574" s="137">
        <f t="shared" ca="1" si="141"/>
        <v>0</v>
      </c>
      <c r="G1574" s="138" t="e">
        <f>IF(A1574&lt;&gt;"",IF(AND(#REF!="Padrão",$H$4=#REF!),BDI!$B$17,IF(AND(#REF!="Padrão",$H$4=#REF!),BDI!#REF!,IF(AND(#REF!="Diferenciado",$H$4=#REF!),BDI!$E$17,IF(AND(#REF!="Diferenciado",$H$4=#REF!),BDI!#REF!,IF(#REF!="ZERO",0))))),"")</f>
        <v>#REF!</v>
      </c>
      <c r="H1574" s="139" t="e">
        <f t="shared" ca="1" si="142"/>
        <v>#REF!</v>
      </c>
      <c r="I1574" s="137" t="e">
        <f t="shared" ca="1" si="143"/>
        <v>#REF!</v>
      </c>
      <c r="J1574" s="117"/>
      <c r="K1574" s="116">
        <v>0</v>
      </c>
      <c r="M1574" s="136" t="e">
        <f ca="1">OFFSET(INDEX([1]Composições!I:R,MATCH([1]Orçamentária!I1574,[1]Composições!I:I,0),8),2,0)</f>
        <v>#REF!</v>
      </c>
      <c r="N1574" t="e">
        <v>#REF!</v>
      </c>
      <c r="Q1574" t="e">
        <v>#REF!</v>
      </c>
    </row>
    <row r="1575" spans="1:17" hidden="1" x14ac:dyDescent="0.25">
      <c r="A1575" s="114" t="s">
        <v>4359</v>
      </c>
      <c r="B1575" s="115" t="s">
        <v>3479</v>
      </c>
      <c r="C1575" s="116" t="s">
        <v>16</v>
      </c>
      <c r="D1575" s="116">
        <v>0</v>
      </c>
      <c r="E1575" s="136">
        <f ca="1">OFFSET(INDEX(Composições!A:J,MATCH(Orçamentária!A1575,Composições!A:A,0),8),2,0)</f>
        <v>30.276499999999999</v>
      </c>
      <c r="F1575" s="137">
        <f t="shared" ca="1" si="141"/>
        <v>0</v>
      </c>
      <c r="G1575" s="138" t="e">
        <f>IF(A1575&lt;&gt;"",IF(AND(#REF!="Padrão",$H$4=#REF!),BDI!$B$17,IF(AND(#REF!="Padrão",$H$4=#REF!),BDI!#REF!,IF(AND(#REF!="Diferenciado",$H$4=#REF!),BDI!$E$17,IF(AND(#REF!="Diferenciado",$H$4=#REF!),BDI!#REF!,IF(#REF!="ZERO",0))))),"")</f>
        <v>#REF!</v>
      </c>
      <c r="H1575" s="139" t="e">
        <f t="shared" ca="1" si="142"/>
        <v>#REF!</v>
      </c>
      <c r="I1575" s="137" t="e">
        <f t="shared" ca="1" si="143"/>
        <v>#REF!</v>
      </c>
      <c r="J1575" s="117"/>
      <c r="K1575" s="116">
        <v>0</v>
      </c>
      <c r="M1575" s="136" t="e">
        <f ca="1">OFFSET(INDEX([1]Composições!I:R,MATCH([1]Orçamentária!I1575,[1]Composições!I:I,0),8),2,0)</f>
        <v>#REF!</v>
      </c>
      <c r="N1575" t="e">
        <v>#REF!</v>
      </c>
      <c r="Q1575" t="e">
        <v>#REF!</v>
      </c>
    </row>
    <row r="1576" spans="1:17" hidden="1" x14ac:dyDescent="0.25">
      <c r="A1576" s="114" t="s">
        <v>4360</v>
      </c>
      <c r="B1576" s="115" t="s">
        <v>3480</v>
      </c>
      <c r="C1576" s="116" t="s">
        <v>16</v>
      </c>
      <c r="D1576" s="116">
        <v>0</v>
      </c>
      <c r="E1576" s="136">
        <f ca="1">OFFSET(INDEX(Composições!A:J,MATCH(Orçamentária!A1576,Composições!A:A,0),8),2,0)</f>
        <v>39.957000000000001</v>
      </c>
      <c r="F1576" s="137">
        <f t="shared" ca="1" si="141"/>
        <v>0</v>
      </c>
      <c r="G1576" s="138" t="e">
        <f>IF(A1576&lt;&gt;"",IF(AND(#REF!="Padrão",$H$4=#REF!),BDI!$B$17,IF(AND(#REF!="Padrão",$H$4=#REF!),BDI!#REF!,IF(AND(#REF!="Diferenciado",$H$4=#REF!),BDI!$E$17,IF(AND(#REF!="Diferenciado",$H$4=#REF!),BDI!#REF!,IF(#REF!="ZERO",0))))),"")</f>
        <v>#REF!</v>
      </c>
      <c r="H1576" s="139" t="e">
        <f t="shared" ca="1" si="142"/>
        <v>#REF!</v>
      </c>
      <c r="I1576" s="137" t="e">
        <f t="shared" ca="1" si="143"/>
        <v>#REF!</v>
      </c>
      <c r="J1576" s="117"/>
      <c r="K1576" s="116">
        <v>0</v>
      </c>
      <c r="M1576" s="136" t="e">
        <f ca="1">OFFSET(INDEX([1]Composições!I:R,MATCH([1]Orçamentária!I1576,[1]Composições!I:I,0),8),2,0)</f>
        <v>#REF!</v>
      </c>
      <c r="N1576" t="e">
        <v>#REF!</v>
      </c>
      <c r="Q1576" t="e">
        <v>#REF!</v>
      </c>
    </row>
    <row r="1577" spans="1:17" hidden="1" x14ac:dyDescent="0.25">
      <c r="A1577" s="114" t="s">
        <v>4361</v>
      </c>
      <c r="B1577" s="115" t="s">
        <v>3481</v>
      </c>
      <c r="C1577" s="116" t="s">
        <v>16</v>
      </c>
      <c r="D1577" s="116">
        <v>0</v>
      </c>
      <c r="E1577" s="136">
        <f ca="1">OFFSET(INDEX(Composições!A:J,MATCH(Orçamentária!A1577,Composições!A:A,0),8),2,0)</f>
        <v>58.14</v>
      </c>
      <c r="F1577" s="137">
        <f t="shared" ca="1" si="141"/>
        <v>0</v>
      </c>
      <c r="G1577" s="138" t="e">
        <f>IF(A1577&lt;&gt;"",IF(AND(#REF!="Padrão",$H$4=#REF!),BDI!$B$17,IF(AND(#REF!="Padrão",$H$4=#REF!),BDI!#REF!,IF(AND(#REF!="Diferenciado",$H$4=#REF!),BDI!$E$17,IF(AND(#REF!="Diferenciado",$H$4=#REF!),BDI!#REF!,IF(#REF!="ZERO",0))))),"")</f>
        <v>#REF!</v>
      </c>
      <c r="H1577" s="139" t="e">
        <f t="shared" ca="1" si="142"/>
        <v>#REF!</v>
      </c>
      <c r="I1577" s="137" t="e">
        <f t="shared" ca="1" si="143"/>
        <v>#REF!</v>
      </c>
      <c r="J1577" s="117"/>
      <c r="K1577" s="116">
        <v>0</v>
      </c>
      <c r="M1577" s="136" t="e">
        <f ca="1">OFFSET(INDEX([1]Composições!I:R,MATCH([1]Orçamentária!I1577,[1]Composições!I:I,0),8),2,0)</f>
        <v>#REF!</v>
      </c>
      <c r="N1577" t="e">
        <v>#REF!</v>
      </c>
      <c r="Q1577" t="e">
        <v>#REF!</v>
      </c>
    </row>
    <row r="1578" spans="1:17" hidden="1" x14ac:dyDescent="0.25">
      <c r="A1578" s="114" t="s">
        <v>4362</v>
      </c>
      <c r="B1578" s="115" t="s">
        <v>3482</v>
      </c>
      <c r="C1578" s="116" t="s">
        <v>16</v>
      </c>
      <c r="D1578" s="116">
        <v>0</v>
      </c>
      <c r="E1578" s="136" t="s">
        <v>416</v>
      </c>
      <c r="F1578" s="137" t="str">
        <f t="shared" si="141"/>
        <v/>
      </c>
      <c r="G1578" s="138" t="e">
        <f>IF(A1578&lt;&gt;"",IF(AND(#REF!="Padrão",$H$4=#REF!),BDI!$B$17,IF(AND(#REF!="Padrão",$H$4=#REF!),BDI!#REF!,IF(AND(#REF!="Diferenciado",$H$4=#REF!),BDI!$E$17,IF(AND(#REF!="Diferenciado",$H$4=#REF!),BDI!#REF!,IF(#REF!="ZERO",0))))),"")</f>
        <v>#REF!</v>
      </c>
      <c r="H1578" s="139" t="str">
        <f t="shared" si="142"/>
        <v/>
      </c>
      <c r="I1578" s="137" t="str">
        <f t="shared" si="143"/>
        <v/>
      </c>
      <c r="J1578" s="117"/>
      <c r="K1578" s="116">
        <v>0</v>
      </c>
      <c r="M1578" s="136" t="s">
        <v>416</v>
      </c>
      <c r="N1578" t="e">
        <v>#REF!</v>
      </c>
      <c r="Q1578" t="s">
        <v>416</v>
      </c>
    </row>
    <row r="1579" spans="1:17" hidden="1" x14ac:dyDescent="0.25">
      <c r="A1579" s="114" t="s">
        <v>4363</v>
      </c>
      <c r="B1579" s="115" t="s">
        <v>3483</v>
      </c>
      <c r="C1579" s="116" t="s">
        <v>16</v>
      </c>
      <c r="D1579" s="116">
        <v>0</v>
      </c>
      <c r="E1579" s="136" t="s">
        <v>416</v>
      </c>
      <c r="F1579" s="137" t="str">
        <f t="shared" si="141"/>
        <v/>
      </c>
      <c r="G1579" s="138" t="e">
        <f>IF(A1579&lt;&gt;"",IF(AND(#REF!="Padrão",$H$4=#REF!),BDI!$B$17,IF(AND(#REF!="Padrão",$H$4=#REF!),BDI!#REF!,IF(AND(#REF!="Diferenciado",$H$4=#REF!),BDI!$E$17,IF(AND(#REF!="Diferenciado",$H$4=#REF!),BDI!#REF!,IF(#REF!="ZERO",0))))),"")</f>
        <v>#REF!</v>
      </c>
      <c r="H1579" s="139" t="str">
        <f t="shared" si="142"/>
        <v/>
      </c>
      <c r="I1579" s="137" t="str">
        <f t="shared" si="143"/>
        <v/>
      </c>
      <c r="J1579" s="117"/>
      <c r="K1579" s="116">
        <v>0</v>
      </c>
      <c r="M1579" s="136" t="s">
        <v>416</v>
      </c>
      <c r="N1579" t="e">
        <v>#REF!</v>
      </c>
      <c r="Q1579" t="s">
        <v>416</v>
      </c>
    </row>
    <row r="1580" spans="1:17" hidden="1" x14ac:dyDescent="0.25">
      <c r="A1580" s="114" t="s">
        <v>4364</v>
      </c>
      <c r="B1580" s="115" t="s">
        <v>3484</v>
      </c>
      <c r="C1580" s="116" t="s">
        <v>16</v>
      </c>
      <c r="D1580" s="116">
        <v>0</v>
      </c>
      <c r="E1580" s="136" t="s">
        <v>416</v>
      </c>
      <c r="F1580" s="137" t="str">
        <f t="shared" si="141"/>
        <v/>
      </c>
      <c r="G1580" s="138" t="e">
        <f>IF(A1580&lt;&gt;"",IF(AND(#REF!="Padrão",$H$4=#REF!),BDI!$B$17,IF(AND(#REF!="Padrão",$H$4=#REF!),BDI!#REF!,IF(AND(#REF!="Diferenciado",$H$4=#REF!),BDI!$E$17,IF(AND(#REF!="Diferenciado",$H$4=#REF!),BDI!#REF!,IF(#REF!="ZERO",0))))),"")</f>
        <v>#REF!</v>
      </c>
      <c r="H1580" s="139" t="str">
        <f t="shared" si="142"/>
        <v/>
      </c>
      <c r="I1580" s="137" t="str">
        <f t="shared" si="143"/>
        <v/>
      </c>
      <c r="J1580" s="117"/>
      <c r="K1580" s="116">
        <v>0</v>
      </c>
      <c r="M1580" s="136" t="s">
        <v>416</v>
      </c>
      <c r="N1580" t="e">
        <v>#REF!</v>
      </c>
      <c r="Q1580" t="s">
        <v>416</v>
      </c>
    </row>
    <row r="1581" spans="1:17" hidden="1" x14ac:dyDescent="0.25">
      <c r="A1581" s="114" t="s">
        <v>4365</v>
      </c>
      <c r="B1581" s="115" t="s">
        <v>3485</v>
      </c>
      <c r="C1581" s="116" t="s">
        <v>16</v>
      </c>
      <c r="D1581" s="116">
        <v>0</v>
      </c>
      <c r="E1581" s="136" t="s">
        <v>416</v>
      </c>
      <c r="F1581" s="137" t="str">
        <f t="shared" ref="F1581:F1644" si="144">IF(ISNUMBER(E1581),D1581*E1581,"")</f>
        <v/>
      </c>
      <c r="G1581" s="138" t="e">
        <f>IF(A1581&lt;&gt;"",IF(AND(#REF!="Padrão",$H$4=#REF!),BDI!$B$17,IF(AND(#REF!="Padrão",$H$4=#REF!),BDI!#REF!,IF(AND(#REF!="Diferenciado",$H$4=#REF!),BDI!$E$17,IF(AND(#REF!="Diferenciado",$H$4=#REF!),BDI!#REF!,IF(#REF!="ZERO",0))))),"")</f>
        <v>#REF!</v>
      </c>
      <c r="H1581" s="139" t="str">
        <f t="shared" ref="H1581:H1644" si="145">IF(ISNUMBER(E1581),ROUND(E1581*(1+G1581),2),"")</f>
        <v/>
      </c>
      <c r="I1581" s="137" t="str">
        <f t="shared" ref="I1581:I1644" si="146">IF(ISNUMBER(E1581),ROUND(H1581*D1581,2),"")</f>
        <v/>
      </c>
      <c r="J1581" s="117"/>
      <c r="K1581" s="116">
        <v>0</v>
      </c>
      <c r="M1581" s="136" t="s">
        <v>416</v>
      </c>
      <c r="N1581" t="e">
        <v>#REF!</v>
      </c>
      <c r="Q1581" t="s">
        <v>416</v>
      </c>
    </row>
    <row r="1582" spans="1:17" hidden="1" x14ac:dyDescent="0.25">
      <c r="A1582" s="114" t="s">
        <v>4366</v>
      </c>
      <c r="B1582" s="115" t="s">
        <v>3486</v>
      </c>
      <c r="C1582" s="116" t="s">
        <v>16</v>
      </c>
      <c r="D1582" s="116">
        <v>0</v>
      </c>
      <c r="E1582" s="136" t="s">
        <v>416</v>
      </c>
      <c r="F1582" s="137" t="str">
        <f t="shared" si="144"/>
        <v/>
      </c>
      <c r="G1582" s="138" t="e">
        <f>IF(A1582&lt;&gt;"",IF(AND(#REF!="Padrão",$H$4=#REF!),BDI!$B$17,IF(AND(#REF!="Padrão",$H$4=#REF!),BDI!#REF!,IF(AND(#REF!="Diferenciado",$H$4=#REF!),BDI!$E$17,IF(AND(#REF!="Diferenciado",$H$4=#REF!),BDI!#REF!,IF(#REF!="ZERO",0))))),"")</f>
        <v>#REF!</v>
      </c>
      <c r="H1582" s="139" t="str">
        <f t="shared" si="145"/>
        <v/>
      </c>
      <c r="I1582" s="137" t="str">
        <f t="shared" si="146"/>
        <v/>
      </c>
      <c r="J1582" s="117"/>
      <c r="K1582" s="116">
        <v>0</v>
      </c>
      <c r="M1582" s="136" t="s">
        <v>416</v>
      </c>
      <c r="N1582" t="e">
        <v>#REF!</v>
      </c>
      <c r="Q1582" t="s">
        <v>416</v>
      </c>
    </row>
    <row r="1583" spans="1:17" hidden="1" x14ac:dyDescent="0.25">
      <c r="A1583" s="114" t="s">
        <v>4367</v>
      </c>
      <c r="B1583" s="115" t="s">
        <v>3487</v>
      </c>
      <c r="C1583" s="116" t="s">
        <v>16</v>
      </c>
      <c r="D1583" s="116">
        <v>0</v>
      </c>
      <c r="E1583" s="136" t="s">
        <v>416</v>
      </c>
      <c r="F1583" s="137" t="str">
        <f t="shared" si="144"/>
        <v/>
      </c>
      <c r="G1583" s="138" t="e">
        <f>IF(A1583&lt;&gt;"",IF(AND(#REF!="Padrão",$H$4=#REF!),BDI!$B$17,IF(AND(#REF!="Padrão",$H$4=#REF!),BDI!#REF!,IF(AND(#REF!="Diferenciado",$H$4=#REF!),BDI!$E$17,IF(AND(#REF!="Diferenciado",$H$4=#REF!),BDI!#REF!,IF(#REF!="ZERO",0))))),"")</f>
        <v>#REF!</v>
      </c>
      <c r="H1583" s="139" t="str">
        <f t="shared" si="145"/>
        <v/>
      </c>
      <c r="I1583" s="137" t="str">
        <f t="shared" si="146"/>
        <v/>
      </c>
      <c r="J1583" s="117"/>
      <c r="K1583" s="116">
        <v>0</v>
      </c>
      <c r="M1583" s="136" t="s">
        <v>416</v>
      </c>
      <c r="N1583" t="e">
        <v>#REF!</v>
      </c>
      <c r="Q1583" t="s">
        <v>416</v>
      </c>
    </row>
    <row r="1584" spans="1:17" hidden="1" x14ac:dyDescent="0.25">
      <c r="A1584" s="114" t="s">
        <v>4368</v>
      </c>
      <c r="B1584" s="115" t="s">
        <v>3488</v>
      </c>
      <c r="C1584" s="116" t="s">
        <v>16</v>
      </c>
      <c r="D1584" s="116">
        <v>0</v>
      </c>
      <c r="E1584" s="136" t="s">
        <v>416</v>
      </c>
      <c r="F1584" s="137" t="str">
        <f t="shared" si="144"/>
        <v/>
      </c>
      <c r="G1584" s="138" t="e">
        <f>IF(A1584&lt;&gt;"",IF(AND(#REF!="Padrão",$H$4=#REF!),BDI!$B$17,IF(AND(#REF!="Padrão",$H$4=#REF!),BDI!#REF!,IF(AND(#REF!="Diferenciado",$H$4=#REF!),BDI!$E$17,IF(AND(#REF!="Diferenciado",$H$4=#REF!),BDI!#REF!,IF(#REF!="ZERO",0))))),"")</f>
        <v>#REF!</v>
      </c>
      <c r="H1584" s="139" t="str">
        <f t="shared" si="145"/>
        <v/>
      </c>
      <c r="I1584" s="137" t="str">
        <f t="shared" si="146"/>
        <v/>
      </c>
      <c r="J1584" s="117"/>
      <c r="K1584" s="116">
        <v>0</v>
      </c>
      <c r="M1584" s="136" t="s">
        <v>416</v>
      </c>
      <c r="N1584" t="e">
        <v>#REF!</v>
      </c>
      <c r="Q1584" t="s">
        <v>416</v>
      </c>
    </row>
    <row r="1585" spans="1:17" hidden="1" x14ac:dyDescent="0.25">
      <c r="A1585" s="114" t="s">
        <v>4369</v>
      </c>
      <c r="B1585" s="115" t="s">
        <v>3489</v>
      </c>
      <c r="C1585" s="116" t="s">
        <v>16</v>
      </c>
      <c r="D1585" s="116">
        <v>0</v>
      </c>
      <c r="E1585" s="136" t="s">
        <v>416</v>
      </c>
      <c r="F1585" s="137" t="str">
        <f t="shared" si="144"/>
        <v/>
      </c>
      <c r="G1585" s="138" t="e">
        <f>IF(A1585&lt;&gt;"",IF(AND(#REF!="Padrão",$H$4=#REF!),BDI!$B$17,IF(AND(#REF!="Padrão",$H$4=#REF!),BDI!#REF!,IF(AND(#REF!="Diferenciado",$H$4=#REF!),BDI!$E$17,IF(AND(#REF!="Diferenciado",$H$4=#REF!),BDI!#REF!,IF(#REF!="ZERO",0))))),"")</f>
        <v>#REF!</v>
      </c>
      <c r="H1585" s="139" t="str">
        <f t="shared" si="145"/>
        <v/>
      </c>
      <c r="I1585" s="137" t="str">
        <f t="shared" si="146"/>
        <v/>
      </c>
      <c r="J1585" s="117"/>
      <c r="K1585" s="116">
        <v>0</v>
      </c>
      <c r="M1585" s="136" t="s">
        <v>416</v>
      </c>
      <c r="N1585" t="e">
        <v>#REF!</v>
      </c>
      <c r="Q1585" t="s">
        <v>416</v>
      </c>
    </row>
    <row r="1586" spans="1:17" hidden="1" x14ac:dyDescent="0.25">
      <c r="A1586" s="114" t="s">
        <v>4370</v>
      </c>
      <c r="B1586" s="115" t="s">
        <v>3490</v>
      </c>
      <c r="C1586" s="116" t="s">
        <v>16</v>
      </c>
      <c r="D1586" s="116">
        <v>0</v>
      </c>
      <c r="E1586" s="136" t="s">
        <v>416</v>
      </c>
      <c r="F1586" s="137" t="str">
        <f t="shared" si="144"/>
        <v/>
      </c>
      <c r="G1586" s="138" t="e">
        <f>IF(A1586&lt;&gt;"",IF(AND(#REF!="Padrão",$H$4=#REF!),BDI!$B$17,IF(AND(#REF!="Padrão",$H$4=#REF!),BDI!#REF!,IF(AND(#REF!="Diferenciado",$H$4=#REF!),BDI!$E$17,IF(AND(#REF!="Diferenciado",$H$4=#REF!),BDI!#REF!,IF(#REF!="ZERO",0))))),"")</f>
        <v>#REF!</v>
      </c>
      <c r="H1586" s="139" t="str">
        <f t="shared" si="145"/>
        <v/>
      </c>
      <c r="I1586" s="137" t="str">
        <f t="shared" si="146"/>
        <v/>
      </c>
      <c r="J1586" s="117"/>
      <c r="K1586" s="116">
        <v>0</v>
      </c>
      <c r="M1586" s="136" t="s">
        <v>416</v>
      </c>
      <c r="N1586" t="e">
        <v>#REF!</v>
      </c>
      <c r="Q1586" t="s">
        <v>416</v>
      </c>
    </row>
    <row r="1587" spans="1:17" hidden="1" x14ac:dyDescent="0.25">
      <c r="A1587" s="114" t="s">
        <v>4371</v>
      </c>
      <c r="B1587" s="115" t="s">
        <v>3491</v>
      </c>
      <c r="C1587" s="116" t="s">
        <v>16</v>
      </c>
      <c r="D1587" s="116">
        <v>0</v>
      </c>
      <c r="E1587" s="136" t="s">
        <v>416</v>
      </c>
      <c r="F1587" s="137" t="str">
        <f t="shared" si="144"/>
        <v/>
      </c>
      <c r="G1587" s="138" t="e">
        <f>IF(A1587&lt;&gt;"",IF(AND(#REF!="Padrão",$H$4=#REF!),BDI!$B$17,IF(AND(#REF!="Padrão",$H$4=#REF!),BDI!#REF!,IF(AND(#REF!="Diferenciado",$H$4=#REF!),BDI!$E$17,IF(AND(#REF!="Diferenciado",$H$4=#REF!),BDI!#REF!,IF(#REF!="ZERO",0))))),"")</f>
        <v>#REF!</v>
      </c>
      <c r="H1587" s="139" t="str">
        <f t="shared" si="145"/>
        <v/>
      </c>
      <c r="I1587" s="137" t="str">
        <f t="shared" si="146"/>
        <v/>
      </c>
      <c r="J1587" s="117"/>
      <c r="K1587" s="116">
        <v>0</v>
      </c>
      <c r="M1587" s="136" t="s">
        <v>416</v>
      </c>
      <c r="N1587" t="e">
        <v>#REF!</v>
      </c>
      <c r="Q1587" t="s">
        <v>416</v>
      </c>
    </row>
    <row r="1588" spans="1:17" hidden="1" x14ac:dyDescent="0.25">
      <c r="A1588" s="114" t="s">
        <v>4372</v>
      </c>
      <c r="B1588" s="115" t="s">
        <v>3492</v>
      </c>
      <c r="C1588" s="116" t="s">
        <v>69</v>
      </c>
      <c r="D1588" s="116">
        <v>0</v>
      </c>
      <c r="E1588" s="136" t="s">
        <v>416</v>
      </c>
      <c r="F1588" s="137" t="str">
        <f t="shared" si="144"/>
        <v/>
      </c>
      <c r="G1588" s="138" t="e">
        <f>IF(A1588&lt;&gt;"",IF(AND(#REF!="Padrão",$H$4=#REF!),BDI!$B$17,IF(AND(#REF!="Padrão",$H$4=#REF!),BDI!#REF!,IF(AND(#REF!="Diferenciado",$H$4=#REF!),BDI!$E$17,IF(AND(#REF!="Diferenciado",$H$4=#REF!),BDI!#REF!,IF(#REF!="ZERO",0))))),"")</f>
        <v>#REF!</v>
      </c>
      <c r="H1588" s="139" t="str">
        <f t="shared" si="145"/>
        <v/>
      </c>
      <c r="I1588" s="137" t="str">
        <f t="shared" si="146"/>
        <v/>
      </c>
      <c r="J1588" s="117"/>
      <c r="K1588" s="116">
        <v>0</v>
      </c>
      <c r="M1588" s="136" t="s">
        <v>416</v>
      </c>
      <c r="N1588" t="e">
        <v>#REF!</v>
      </c>
      <c r="Q1588" t="s">
        <v>416</v>
      </c>
    </row>
    <row r="1589" spans="1:17" hidden="1" x14ac:dyDescent="0.25">
      <c r="A1589" s="114" t="s">
        <v>4373</v>
      </c>
      <c r="B1589" s="115" t="s">
        <v>3493</v>
      </c>
      <c r="C1589" s="116" t="s">
        <v>69</v>
      </c>
      <c r="D1589" s="116">
        <v>0</v>
      </c>
      <c r="E1589" s="136" t="s">
        <v>416</v>
      </c>
      <c r="F1589" s="137" t="str">
        <f t="shared" si="144"/>
        <v/>
      </c>
      <c r="G1589" s="138" t="e">
        <f>IF(A1589&lt;&gt;"",IF(AND(#REF!="Padrão",$H$4=#REF!),BDI!$B$17,IF(AND(#REF!="Padrão",$H$4=#REF!),BDI!#REF!,IF(AND(#REF!="Diferenciado",$H$4=#REF!),BDI!$E$17,IF(AND(#REF!="Diferenciado",$H$4=#REF!),BDI!#REF!,IF(#REF!="ZERO",0))))),"")</f>
        <v>#REF!</v>
      </c>
      <c r="H1589" s="139" t="str">
        <f t="shared" si="145"/>
        <v/>
      </c>
      <c r="I1589" s="137" t="str">
        <f t="shared" si="146"/>
        <v/>
      </c>
      <c r="J1589" s="117"/>
      <c r="K1589" s="116">
        <v>0</v>
      </c>
      <c r="M1589" s="136" t="s">
        <v>416</v>
      </c>
      <c r="N1589" t="e">
        <v>#REF!</v>
      </c>
      <c r="Q1589" t="s">
        <v>416</v>
      </c>
    </row>
    <row r="1590" spans="1:17" hidden="1" x14ac:dyDescent="0.25">
      <c r="A1590" s="114" t="s">
        <v>4374</v>
      </c>
      <c r="B1590" s="115" t="s">
        <v>5591</v>
      </c>
      <c r="C1590" s="116" t="s">
        <v>69</v>
      </c>
      <c r="D1590" s="116">
        <v>0</v>
      </c>
      <c r="E1590" s="136" t="s">
        <v>416</v>
      </c>
      <c r="F1590" s="137" t="str">
        <f t="shared" si="144"/>
        <v/>
      </c>
      <c r="G1590" s="138" t="e">
        <f>IF(A1590&lt;&gt;"",IF(AND(#REF!="Padrão",$H$4=#REF!),BDI!$B$17,IF(AND(#REF!="Padrão",$H$4=#REF!),BDI!#REF!,IF(AND(#REF!="Diferenciado",$H$4=#REF!),BDI!$E$17,IF(AND(#REF!="Diferenciado",$H$4=#REF!),BDI!#REF!,IF(#REF!="ZERO",0))))),"")</f>
        <v>#REF!</v>
      </c>
      <c r="H1590" s="139" t="str">
        <f t="shared" si="145"/>
        <v/>
      </c>
      <c r="I1590" s="137" t="str">
        <f t="shared" si="146"/>
        <v/>
      </c>
      <c r="J1590" s="117"/>
      <c r="K1590" s="116">
        <v>0</v>
      </c>
      <c r="M1590" s="136" t="s">
        <v>416</v>
      </c>
      <c r="N1590" t="e">
        <v>#REF!</v>
      </c>
      <c r="Q1590" t="s">
        <v>416</v>
      </c>
    </row>
    <row r="1591" spans="1:17" hidden="1" x14ac:dyDescent="0.25">
      <c r="A1591" s="114" t="s">
        <v>4375</v>
      </c>
      <c r="B1591" s="115" t="s">
        <v>5592</v>
      </c>
      <c r="C1591" s="116" t="s">
        <v>69</v>
      </c>
      <c r="D1591" s="116">
        <v>0</v>
      </c>
      <c r="E1591" s="136" t="s">
        <v>416</v>
      </c>
      <c r="F1591" s="137" t="str">
        <f t="shared" si="144"/>
        <v/>
      </c>
      <c r="G1591" s="138" t="e">
        <f>IF(A1591&lt;&gt;"",IF(AND(#REF!="Padrão",$H$4=#REF!),BDI!$B$17,IF(AND(#REF!="Padrão",$H$4=#REF!),BDI!#REF!,IF(AND(#REF!="Diferenciado",$H$4=#REF!),BDI!$E$17,IF(AND(#REF!="Diferenciado",$H$4=#REF!),BDI!#REF!,IF(#REF!="ZERO",0))))),"")</f>
        <v>#REF!</v>
      </c>
      <c r="H1591" s="139" t="str">
        <f t="shared" si="145"/>
        <v/>
      </c>
      <c r="I1591" s="137" t="str">
        <f t="shared" si="146"/>
        <v/>
      </c>
      <c r="J1591" s="117"/>
      <c r="K1591" s="116">
        <v>0</v>
      </c>
      <c r="M1591" s="136" t="s">
        <v>416</v>
      </c>
      <c r="N1591" t="e">
        <v>#REF!</v>
      </c>
      <c r="Q1591" t="s">
        <v>416</v>
      </c>
    </row>
    <row r="1592" spans="1:17" hidden="1" x14ac:dyDescent="0.25">
      <c r="A1592" s="114" t="s">
        <v>4376</v>
      </c>
      <c r="B1592" s="115" t="s">
        <v>5593</v>
      </c>
      <c r="C1592" s="116" t="s">
        <v>69</v>
      </c>
      <c r="D1592" s="116">
        <v>0</v>
      </c>
      <c r="E1592" s="136" t="s">
        <v>416</v>
      </c>
      <c r="F1592" s="137" t="str">
        <f t="shared" si="144"/>
        <v/>
      </c>
      <c r="G1592" s="138" t="e">
        <f>IF(A1592&lt;&gt;"",IF(AND(#REF!="Padrão",$H$4=#REF!),BDI!$B$17,IF(AND(#REF!="Padrão",$H$4=#REF!),BDI!#REF!,IF(AND(#REF!="Diferenciado",$H$4=#REF!),BDI!$E$17,IF(AND(#REF!="Diferenciado",$H$4=#REF!),BDI!#REF!,IF(#REF!="ZERO",0))))),"")</f>
        <v>#REF!</v>
      </c>
      <c r="H1592" s="139" t="str">
        <f t="shared" si="145"/>
        <v/>
      </c>
      <c r="I1592" s="137" t="str">
        <f t="shared" si="146"/>
        <v/>
      </c>
      <c r="J1592" s="117"/>
      <c r="K1592" s="116">
        <v>0</v>
      </c>
      <c r="M1592" s="136" t="s">
        <v>416</v>
      </c>
      <c r="N1592" t="e">
        <v>#REF!</v>
      </c>
      <c r="Q1592" t="s">
        <v>416</v>
      </c>
    </row>
    <row r="1593" spans="1:17" hidden="1" x14ac:dyDescent="0.25">
      <c r="A1593" s="114" t="s">
        <v>4377</v>
      </c>
      <c r="B1593" s="115" t="s">
        <v>5594</v>
      </c>
      <c r="C1593" s="116" t="s">
        <v>69</v>
      </c>
      <c r="D1593" s="116">
        <v>0</v>
      </c>
      <c r="E1593" s="136" t="s">
        <v>416</v>
      </c>
      <c r="F1593" s="137" t="str">
        <f t="shared" si="144"/>
        <v/>
      </c>
      <c r="G1593" s="138" t="e">
        <f>IF(A1593&lt;&gt;"",IF(AND(#REF!="Padrão",$H$4=#REF!),BDI!$B$17,IF(AND(#REF!="Padrão",$H$4=#REF!),BDI!#REF!,IF(AND(#REF!="Diferenciado",$H$4=#REF!),BDI!$E$17,IF(AND(#REF!="Diferenciado",$H$4=#REF!),BDI!#REF!,IF(#REF!="ZERO",0))))),"")</f>
        <v>#REF!</v>
      </c>
      <c r="H1593" s="139" t="str">
        <f t="shared" si="145"/>
        <v/>
      </c>
      <c r="I1593" s="137" t="str">
        <f t="shared" si="146"/>
        <v/>
      </c>
      <c r="J1593" s="117"/>
      <c r="K1593" s="116">
        <v>0</v>
      </c>
      <c r="M1593" s="136" t="s">
        <v>416</v>
      </c>
      <c r="N1593" t="e">
        <v>#REF!</v>
      </c>
      <c r="Q1593" t="s">
        <v>416</v>
      </c>
    </row>
    <row r="1594" spans="1:17" hidden="1" x14ac:dyDescent="0.25">
      <c r="A1594" s="114" t="s">
        <v>4378</v>
      </c>
      <c r="B1594" s="115" t="s">
        <v>5595</v>
      </c>
      <c r="C1594" s="116" t="s">
        <v>69</v>
      </c>
      <c r="D1594" s="116">
        <v>0</v>
      </c>
      <c r="E1594" s="136" t="s">
        <v>416</v>
      </c>
      <c r="F1594" s="137" t="str">
        <f t="shared" si="144"/>
        <v/>
      </c>
      <c r="G1594" s="138" t="e">
        <f>IF(A1594&lt;&gt;"",IF(AND(#REF!="Padrão",$H$4=#REF!),BDI!$B$17,IF(AND(#REF!="Padrão",$H$4=#REF!),BDI!#REF!,IF(AND(#REF!="Diferenciado",$H$4=#REF!),BDI!$E$17,IF(AND(#REF!="Diferenciado",$H$4=#REF!),BDI!#REF!,IF(#REF!="ZERO",0))))),"")</f>
        <v>#REF!</v>
      </c>
      <c r="H1594" s="139" t="str">
        <f t="shared" si="145"/>
        <v/>
      </c>
      <c r="I1594" s="137" t="str">
        <f t="shared" si="146"/>
        <v/>
      </c>
      <c r="J1594" s="117"/>
      <c r="K1594" s="116">
        <v>0</v>
      </c>
      <c r="M1594" s="136" t="s">
        <v>416</v>
      </c>
      <c r="N1594" t="e">
        <v>#REF!</v>
      </c>
      <c r="Q1594" t="s">
        <v>416</v>
      </c>
    </row>
    <row r="1595" spans="1:17" hidden="1" x14ac:dyDescent="0.25">
      <c r="A1595" s="114" t="s">
        <v>4379</v>
      </c>
      <c r="B1595" s="115" t="s">
        <v>5596</v>
      </c>
      <c r="C1595" s="116" t="s">
        <v>69</v>
      </c>
      <c r="D1595" s="116">
        <v>0</v>
      </c>
      <c r="E1595" s="136" t="s">
        <v>416</v>
      </c>
      <c r="F1595" s="137" t="str">
        <f t="shared" si="144"/>
        <v/>
      </c>
      <c r="G1595" s="138" t="e">
        <f>IF(A1595&lt;&gt;"",IF(AND(#REF!="Padrão",$H$4=#REF!),BDI!$B$17,IF(AND(#REF!="Padrão",$H$4=#REF!),BDI!#REF!,IF(AND(#REF!="Diferenciado",$H$4=#REF!),BDI!$E$17,IF(AND(#REF!="Diferenciado",$H$4=#REF!),BDI!#REF!,IF(#REF!="ZERO",0))))),"")</f>
        <v>#REF!</v>
      </c>
      <c r="H1595" s="139" t="str">
        <f t="shared" si="145"/>
        <v/>
      </c>
      <c r="I1595" s="137" t="str">
        <f t="shared" si="146"/>
        <v/>
      </c>
      <c r="J1595" s="117"/>
      <c r="K1595" s="116">
        <v>0</v>
      </c>
      <c r="M1595" s="136" t="s">
        <v>416</v>
      </c>
      <c r="N1595" t="e">
        <v>#REF!</v>
      </c>
      <c r="Q1595" t="s">
        <v>416</v>
      </c>
    </row>
    <row r="1596" spans="1:17" hidden="1" x14ac:dyDescent="0.25">
      <c r="A1596" s="114" t="s">
        <v>4380</v>
      </c>
      <c r="B1596" s="115" t="s">
        <v>5597</v>
      </c>
      <c r="C1596" s="116" t="s">
        <v>69</v>
      </c>
      <c r="D1596" s="116">
        <v>0</v>
      </c>
      <c r="E1596" s="136" t="s">
        <v>416</v>
      </c>
      <c r="F1596" s="137" t="str">
        <f t="shared" si="144"/>
        <v/>
      </c>
      <c r="G1596" s="138" t="e">
        <f>IF(A1596&lt;&gt;"",IF(AND(#REF!="Padrão",$H$4=#REF!),BDI!$B$17,IF(AND(#REF!="Padrão",$H$4=#REF!),BDI!#REF!,IF(AND(#REF!="Diferenciado",$H$4=#REF!),BDI!$E$17,IF(AND(#REF!="Diferenciado",$H$4=#REF!),BDI!#REF!,IF(#REF!="ZERO",0))))),"")</f>
        <v>#REF!</v>
      </c>
      <c r="H1596" s="139" t="str">
        <f t="shared" si="145"/>
        <v/>
      </c>
      <c r="I1596" s="137" t="str">
        <f t="shared" si="146"/>
        <v/>
      </c>
      <c r="J1596" s="117"/>
      <c r="K1596" s="116">
        <v>0</v>
      </c>
      <c r="M1596" s="136" t="s">
        <v>416</v>
      </c>
      <c r="N1596" t="e">
        <v>#REF!</v>
      </c>
      <c r="Q1596" t="s">
        <v>416</v>
      </c>
    </row>
    <row r="1597" spans="1:17" hidden="1" x14ac:dyDescent="0.25">
      <c r="A1597" s="114" t="s">
        <v>4381</v>
      </c>
      <c r="B1597" s="115" t="s">
        <v>5598</v>
      </c>
      <c r="C1597" s="116" t="s">
        <v>69</v>
      </c>
      <c r="D1597" s="116">
        <v>0</v>
      </c>
      <c r="E1597" s="136" t="s">
        <v>416</v>
      </c>
      <c r="F1597" s="137" t="str">
        <f t="shared" si="144"/>
        <v/>
      </c>
      <c r="G1597" s="138" t="e">
        <f>IF(A1597&lt;&gt;"",IF(AND(#REF!="Padrão",$H$4=#REF!),BDI!$B$17,IF(AND(#REF!="Padrão",$H$4=#REF!),BDI!#REF!,IF(AND(#REF!="Diferenciado",$H$4=#REF!),BDI!$E$17,IF(AND(#REF!="Diferenciado",$H$4=#REF!),BDI!#REF!,IF(#REF!="ZERO",0))))),"")</f>
        <v>#REF!</v>
      </c>
      <c r="H1597" s="139" t="str">
        <f t="shared" si="145"/>
        <v/>
      </c>
      <c r="I1597" s="137" t="str">
        <f t="shared" si="146"/>
        <v/>
      </c>
      <c r="J1597" s="117"/>
      <c r="K1597" s="116">
        <v>0</v>
      </c>
      <c r="M1597" s="136" t="s">
        <v>416</v>
      </c>
      <c r="N1597" t="e">
        <v>#REF!</v>
      </c>
      <c r="Q1597" t="s">
        <v>416</v>
      </c>
    </row>
    <row r="1598" spans="1:17" hidden="1" x14ac:dyDescent="0.25">
      <c r="A1598" s="114" t="s">
        <v>4382</v>
      </c>
      <c r="B1598" s="115" t="s">
        <v>5599</v>
      </c>
      <c r="C1598" s="116" t="s">
        <v>69</v>
      </c>
      <c r="D1598" s="116">
        <v>0</v>
      </c>
      <c r="E1598" s="136" t="s">
        <v>416</v>
      </c>
      <c r="F1598" s="137" t="str">
        <f t="shared" si="144"/>
        <v/>
      </c>
      <c r="G1598" s="138" t="e">
        <f>IF(A1598&lt;&gt;"",IF(AND(#REF!="Padrão",$H$4=#REF!),BDI!$B$17,IF(AND(#REF!="Padrão",$H$4=#REF!),BDI!#REF!,IF(AND(#REF!="Diferenciado",$H$4=#REF!),BDI!$E$17,IF(AND(#REF!="Diferenciado",$H$4=#REF!),BDI!#REF!,IF(#REF!="ZERO",0))))),"")</f>
        <v>#REF!</v>
      </c>
      <c r="H1598" s="139" t="str">
        <f t="shared" si="145"/>
        <v/>
      </c>
      <c r="I1598" s="137" t="str">
        <f t="shared" si="146"/>
        <v/>
      </c>
      <c r="J1598" s="117"/>
      <c r="K1598" s="116">
        <v>0</v>
      </c>
      <c r="M1598" s="136" t="s">
        <v>416</v>
      </c>
      <c r="N1598" t="e">
        <v>#REF!</v>
      </c>
      <c r="Q1598" t="s">
        <v>416</v>
      </c>
    </row>
    <row r="1599" spans="1:17" hidden="1" x14ac:dyDescent="0.25">
      <c r="A1599" s="114" t="s">
        <v>4383</v>
      </c>
      <c r="B1599" s="115" t="s">
        <v>5600</v>
      </c>
      <c r="C1599" s="116" t="s">
        <v>69</v>
      </c>
      <c r="D1599" s="116">
        <v>0</v>
      </c>
      <c r="E1599" s="136" t="s">
        <v>416</v>
      </c>
      <c r="F1599" s="137" t="str">
        <f t="shared" si="144"/>
        <v/>
      </c>
      <c r="G1599" s="138" t="e">
        <f>IF(A1599&lt;&gt;"",IF(AND(#REF!="Padrão",$H$4=#REF!),BDI!$B$17,IF(AND(#REF!="Padrão",$H$4=#REF!),BDI!#REF!,IF(AND(#REF!="Diferenciado",$H$4=#REF!),BDI!$E$17,IF(AND(#REF!="Diferenciado",$H$4=#REF!),BDI!#REF!,IF(#REF!="ZERO",0))))),"")</f>
        <v>#REF!</v>
      </c>
      <c r="H1599" s="139" t="str">
        <f t="shared" si="145"/>
        <v/>
      </c>
      <c r="I1599" s="137" t="str">
        <f t="shared" si="146"/>
        <v/>
      </c>
      <c r="J1599" s="117"/>
      <c r="K1599" s="116">
        <v>0</v>
      </c>
      <c r="M1599" s="136" t="s">
        <v>416</v>
      </c>
      <c r="N1599" t="e">
        <v>#REF!</v>
      </c>
      <c r="Q1599" t="s">
        <v>416</v>
      </c>
    </row>
    <row r="1600" spans="1:17" hidden="1" x14ac:dyDescent="0.25">
      <c r="A1600" s="114" t="s">
        <v>4384</v>
      </c>
      <c r="B1600" s="115" t="s">
        <v>5601</v>
      </c>
      <c r="C1600" s="116" t="s">
        <v>69</v>
      </c>
      <c r="D1600" s="116">
        <v>0</v>
      </c>
      <c r="E1600" s="136" t="s">
        <v>416</v>
      </c>
      <c r="F1600" s="137" t="str">
        <f t="shared" si="144"/>
        <v/>
      </c>
      <c r="G1600" s="138" t="e">
        <f>IF(A1600&lt;&gt;"",IF(AND(#REF!="Padrão",$H$4=#REF!),BDI!$B$17,IF(AND(#REF!="Padrão",$H$4=#REF!),BDI!#REF!,IF(AND(#REF!="Diferenciado",$H$4=#REF!),BDI!$E$17,IF(AND(#REF!="Diferenciado",$H$4=#REF!),BDI!#REF!,IF(#REF!="ZERO",0))))),"")</f>
        <v>#REF!</v>
      </c>
      <c r="H1600" s="139" t="str">
        <f t="shared" si="145"/>
        <v/>
      </c>
      <c r="I1600" s="137" t="str">
        <f t="shared" si="146"/>
        <v/>
      </c>
      <c r="J1600" s="117"/>
      <c r="K1600" s="116">
        <v>0</v>
      </c>
      <c r="M1600" s="136" t="s">
        <v>416</v>
      </c>
      <c r="N1600" t="e">
        <v>#REF!</v>
      </c>
      <c r="Q1600" t="s">
        <v>416</v>
      </c>
    </row>
    <row r="1601" spans="1:17" hidden="1" x14ac:dyDescent="0.25">
      <c r="A1601" s="114" t="s">
        <v>4385</v>
      </c>
      <c r="B1601" s="115" t="s">
        <v>5602</v>
      </c>
      <c r="C1601" s="116" t="s">
        <v>69</v>
      </c>
      <c r="D1601" s="116">
        <v>0</v>
      </c>
      <c r="E1601" s="136" t="s">
        <v>416</v>
      </c>
      <c r="F1601" s="137" t="str">
        <f t="shared" si="144"/>
        <v/>
      </c>
      <c r="G1601" s="138" t="e">
        <f>IF(A1601&lt;&gt;"",IF(AND(#REF!="Padrão",$H$4=#REF!),BDI!$B$17,IF(AND(#REF!="Padrão",$H$4=#REF!),BDI!#REF!,IF(AND(#REF!="Diferenciado",$H$4=#REF!),BDI!$E$17,IF(AND(#REF!="Diferenciado",$H$4=#REF!),BDI!#REF!,IF(#REF!="ZERO",0))))),"")</f>
        <v>#REF!</v>
      </c>
      <c r="H1601" s="139" t="str">
        <f t="shared" si="145"/>
        <v/>
      </c>
      <c r="I1601" s="137" t="str">
        <f t="shared" si="146"/>
        <v/>
      </c>
      <c r="J1601" s="117"/>
      <c r="K1601" s="116">
        <v>0</v>
      </c>
      <c r="M1601" s="136" t="s">
        <v>416</v>
      </c>
      <c r="N1601" t="e">
        <v>#REF!</v>
      </c>
      <c r="Q1601" t="s">
        <v>416</v>
      </c>
    </row>
    <row r="1602" spans="1:17" hidden="1" x14ac:dyDescent="0.25">
      <c r="A1602" s="114" t="s">
        <v>4386</v>
      </c>
      <c r="B1602" s="115" t="s">
        <v>5603</v>
      </c>
      <c r="C1602" s="116" t="s">
        <v>69</v>
      </c>
      <c r="D1602" s="116">
        <v>0</v>
      </c>
      <c r="E1602" s="136" t="s">
        <v>416</v>
      </c>
      <c r="F1602" s="137" t="str">
        <f t="shared" si="144"/>
        <v/>
      </c>
      <c r="G1602" s="138" t="e">
        <f>IF(A1602&lt;&gt;"",IF(AND(#REF!="Padrão",$H$4=#REF!),BDI!$B$17,IF(AND(#REF!="Padrão",$H$4=#REF!),BDI!#REF!,IF(AND(#REF!="Diferenciado",$H$4=#REF!),BDI!$E$17,IF(AND(#REF!="Diferenciado",$H$4=#REF!),BDI!#REF!,IF(#REF!="ZERO",0))))),"")</f>
        <v>#REF!</v>
      </c>
      <c r="H1602" s="139" t="str">
        <f t="shared" si="145"/>
        <v/>
      </c>
      <c r="I1602" s="137" t="str">
        <f t="shared" si="146"/>
        <v/>
      </c>
      <c r="J1602" s="117"/>
      <c r="K1602" s="116">
        <v>0</v>
      </c>
      <c r="M1602" s="136" t="s">
        <v>416</v>
      </c>
      <c r="N1602" t="e">
        <v>#REF!</v>
      </c>
      <c r="Q1602" t="s">
        <v>416</v>
      </c>
    </row>
    <row r="1603" spans="1:17" hidden="1" x14ac:dyDescent="0.25">
      <c r="A1603" s="114" t="s">
        <v>4387</v>
      </c>
      <c r="B1603" s="115" t="s">
        <v>5604</v>
      </c>
      <c r="C1603" s="116" t="s">
        <v>69</v>
      </c>
      <c r="D1603" s="116">
        <v>0</v>
      </c>
      <c r="E1603" s="136" t="s">
        <v>416</v>
      </c>
      <c r="F1603" s="137" t="str">
        <f t="shared" si="144"/>
        <v/>
      </c>
      <c r="G1603" s="138" t="e">
        <f>IF(A1603&lt;&gt;"",IF(AND(#REF!="Padrão",$H$4=#REF!),BDI!$B$17,IF(AND(#REF!="Padrão",$H$4=#REF!),BDI!#REF!,IF(AND(#REF!="Diferenciado",$H$4=#REF!),BDI!$E$17,IF(AND(#REF!="Diferenciado",$H$4=#REF!),BDI!#REF!,IF(#REF!="ZERO",0))))),"")</f>
        <v>#REF!</v>
      </c>
      <c r="H1603" s="139" t="str">
        <f t="shared" si="145"/>
        <v/>
      </c>
      <c r="I1603" s="137" t="str">
        <f t="shared" si="146"/>
        <v/>
      </c>
      <c r="J1603" s="117"/>
      <c r="K1603" s="116">
        <v>0</v>
      </c>
      <c r="M1603" s="136" t="s">
        <v>416</v>
      </c>
      <c r="N1603" t="e">
        <v>#REF!</v>
      </c>
      <c r="Q1603" t="s">
        <v>416</v>
      </c>
    </row>
    <row r="1604" spans="1:17" hidden="1" x14ac:dyDescent="0.25">
      <c r="A1604" s="114" t="s">
        <v>4388</v>
      </c>
      <c r="B1604" s="115" t="s">
        <v>3505</v>
      </c>
      <c r="C1604" s="116" t="s">
        <v>69</v>
      </c>
      <c r="D1604" s="116">
        <v>0</v>
      </c>
      <c r="E1604" s="136">
        <f ca="1">OFFSET(INDEX(Composições!A:J,MATCH(Orçamentária!A1604,Composições!A:A,0),8),2,0)</f>
        <v>18.012</v>
      </c>
      <c r="F1604" s="137">
        <f t="shared" ca="1" si="144"/>
        <v>0</v>
      </c>
      <c r="G1604" s="138" t="e">
        <f>IF(A1604&lt;&gt;"",IF(AND(#REF!="Padrão",$H$4=#REF!),BDI!$B$17,IF(AND(#REF!="Padrão",$H$4=#REF!),BDI!#REF!,IF(AND(#REF!="Diferenciado",$H$4=#REF!),BDI!$E$17,IF(AND(#REF!="Diferenciado",$H$4=#REF!),BDI!#REF!,IF(#REF!="ZERO",0))))),"")</f>
        <v>#REF!</v>
      </c>
      <c r="H1604" s="139" t="e">
        <f t="shared" ca="1" si="145"/>
        <v>#REF!</v>
      </c>
      <c r="I1604" s="137" t="e">
        <f t="shared" ca="1" si="146"/>
        <v>#REF!</v>
      </c>
      <c r="J1604" s="117"/>
      <c r="K1604" s="116">
        <v>0</v>
      </c>
      <c r="M1604" s="136" t="e">
        <f ca="1">OFFSET(INDEX([1]Composições!I:R,MATCH([1]Orçamentária!I1604,[1]Composições!I:I,0),8),2,0)</f>
        <v>#REF!</v>
      </c>
      <c r="N1604" t="e">
        <v>#REF!</v>
      </c>
      <c r="Q1604" t="e">
        <v>#REF!</v>
      </c>
    </row>
    <row r="1605" spans="1:17" hidden="1" x14ac:dyDescent="0.25">
      <c r="A1605" s="114" t="s">
        <v>4389</v>
      </c>
      <c r="B1605" s="115" t="s">
        <v>3506</v>
      </c>
      <c r="C1605" s="116" t="s">
        <v>69</v>
      </c>
      <c r="D1605" s="116">
        <v>0</v>
      </c>
      <c r="E1605" s="136">
        <f ca="1">OFFSET(INDEX(Composições!A:J,MATCH(Orçamentária!A1605,Composições!A:A,0),8),2,0)</f>
        <v>25.6785</v>
      </c>
      <c r="F1605" s="137">
        <f t="shared" ca="1" si="144"/>
        <v>0</v>
      </c>
      <c r="G1605" s="138" t="e">
        <f>IF(A1605&lt;&gt;"",IF(AND(#REF!="Padrão",$H$4=#REF!),BDI!$B$17,IF(AND(#REF!="Padrão",$H$4=#REF!),BDI!#REF!,IF(AND(#REF!="Diferenciado",$H$4=#REF!),BDI!$E$17,IF(AND(#REF!="Diferenciado",$H$4=#REF!),BDI!#REF!,IF(#REF!="ZERO",0))))),"")</f>
        <v>#REF!</v>
      </c>
      <c r="H1605" s="139" t="e">
        <f t="shared" ca="1" si="145"/>
        <v>#REF!</v>
      </c>
      <c r="I1605" s="137" t="e">
        <f t="shared" ca="1" si="146"/>
        <v>#REF!</v>
      </c>
      <c r="J1605" s="117"/>
      <c r="K1605" s="116">
        <v>0</v>
      </c>
      <c r="M1605" s="136" t="e">
        <f ca="1">OFFSET(INDEX([1]Composições!I:R,MATCH([1]Orçamentária!I1605,[1]Composições!I:I,0),8),2,0)</f>
        <v>#REF!</v>
      </c>
      <c r="N1605" t="e">
        <v>#REF!</v>
      </c>
      <c r="Q1605" t="e">
        <v>#REF!</v>
      </c>
    </row>
    <row r="1606" spans="1:17" hidden="1" x14ac:dyDescent="0.25">
      <c r="A1606" s="114" t="s">
        <v>4390</v>
      </c>
      <c r="B1606" s="115" t="s">
        <v>3507</v>
      </c>
      <c r="C1606" s="116" t="s">
        <v>69</v>
      </c>
      <c r="D1606" s="116">
        <v>0</v>
      </c>
      <c r="E1606" s="136">
        <f ca="1">OFFSET(INDEX(Composições!A:J,MATCH(Orçamentária!A1606,Composições!A:A,0),8),2,0)</f>
        <v>37.809999999999995</v>
      </c>
      <c r="F1606" s="137">
        <f t="shared" ca="1" si="144"/>
        <v>0</v>
      </c>
      <c r="G1606" s="138" t="e">
        <f>IF(A1606&lt;&gt;"",IF(AND(#REF!="Padrão",$H$4=#REF!),BDI!$B$17,IF(AND(#REF!="Padrão",$H$4=#REF!),BDI!#REF!,IF(AND(#REF!="Diferenciado",$H$4=#REF!),BDI!$E$17,IF(AND(#REF!="Diferenciado",$H$4=#REF!),BDI!#REF!,IF(#REF!="ZERO",0))))),"")</f>
        <v>#REF!</v>
      </c>
      <c r="H1606" s="139" t="e">
        <f t="shared" ca="1" si="145"/>
        <v>#REF!</v>
      </c>
      <c r="I1606" s="137" t="e">
        <f t="shared" ca="1" si="146"/>
        <v>#REF!</v>
      </c>
      <c r="J1606" s="117"/>
      <c r="K1606" s="116">
        <v>0</v>
      </c>
      <c r="M1606" s="136" t="e">
        <f ca="1">OFFSET(INDEX([1]Composições!I:R,MATCH([1]Orçamentária!I1606,[1]Composições!I:I,0),8),2,0)</f>
        <v>#REF!</v>
      </c>
      <c r="N1606" t="e">
        <v>#REF!</v>
      </c>
      <c r="Q1606" t="e">
        <v>#REF!</v>
      </c>
    </row>
    <row r="1607" spans="1:17" hidden="1" x14ac:dyDescent="0.25">
      <c r="A1607" s="114" t="s">
        <v>4391</v>
      </c>
      <c r="B1607" s="115" t="s">
        <v>3508</v>
      </c>
      <c r="C1607" s="116" t="s">
        <v>69</v>
      </c>
      <c r="D1607" s="116">
        <v>0</v>
      </c>
      <c r="E1607" s="136">
        <f ca="1">OFFSET(INDEX(Composições!A:J,MATCH(Orçamentária!A1607,Composições!A:A,0),8),2,0)</f>
        <v>53.865000000000002</v>
      </c>
      <c r="F1607" s="137">
        <f t="shared" ca="1" si="144"/>
        <v>0</v>
      </c>
      <c r="G1607" s="138" t="e">
        <f>IF(A1607&lt;&gt;"",IF(AND(#REF!="Padrão",$H$4=#REF!),BDI!$B$17,IF(AND(#REF!="Padrão",$H$4=#REF!),BDI!#REF!,IF(AND(#REF!="Diferenciado",$H$4=#REF!),BDI!$E$17,IF(AND(#REF!="Diferenciado",$H$4=#REF!),BDI!#REF!,IF(#REF!="ZERO",0))))),"")</f>
        <v>#REF!</v>
      </c>
      <c r="H1607" s="139" t="e">
        <f t="shared" ca="1" si="145"/>
        <v>#REF!</v>
      </c>
      <c r="I1607" s="137" t="e">
        <f t="shared" ca="1" si="146"/>
        <v>#REF!</v>
      </c>
      <c r="J1607" s="117"/>
      <c r="K1607" s="116">
        <v>0</v>
      </c>
      <c r="M1607" s="136" t="e">
        <f ca="1">OFFSET(INDEX([1]Composições!I:R,MATCH([1]Orçamentária!I1607,[1]Composições!I:I,0),8),2,0)</f>
        <v>#REF!</v>
      </c>
      <c r="N1607" t="e">
        <v>#REF!</v>
      </c>
      <c r="Q1607" t="e">
        <v>#REF!</v>
      </c>
    </row>
    <row r="1608" spans="1:17" hidden="1" x14ac:dyDescent="0.25">
      <c r="A1608" s="114" t="s">
        <v>4392</v>
      </c>
      <c r="B1608" s="115" t="s">
        <v>3509</v>
      </c>
      <c r="C1608" s="116" t="s">
        <v>69</v>
      </c>
      <c r="D1608" s="116">
        <v>0</v>
      </c>
      <c r="E1608" s="136">
        <f ca="1">OFFSET(INDEX(Composições!A:J,MATCH(Orçamentária!A1608,Composições!A:A,0),8),2,0)</f>
        <v>71.155000000000001</v>
      </c>
      <c r="F1608" s="137">
        <f t="shared" ca="1" si="144"/>
        <v>0</v>
      </c>
      <c r="G1608" s="138" t="e">
        <f>IF(A1608&lt;&gt;"",IF(AND(#REF!="Padrão",$H$4=#REF!),BDI!$B$17,IF(AND(#REF!="Padrão",$H$4=#REF!),BDI!#REF!,IF(AND(#REF!="Diferenciado",$H$4=#REF!),BDI!$E$17,IF(AND(#REF!="Diferenciado",$H$4=#REF!),BDI!#REF!,IF(#REF!="ZERO",0))))),"")</f>
        <v>#REF!</v>
      </c>
      <c r="H1608" s="139" t="e">
        <f t="shared" ca="1" si="145"/>
        <v>#REF!</v>
      </c>
      <c r="I1608" s="137" t="e">
        <f t="shared" ca="1" si="146"/>
        <v>#REF!</v>
      </c>
      <c r="J1608" s="117"/>
      <c r="K1608" s="116">
        <v>0</v>
      </c>
      <c r="M1608" s="136" t="e">
        <f ca="1">OFFSET(INDEX([1]Composições!I:R,MATCH([1]Orçamentária!I1608,[1]Composições!I:I,0),8),2,0)</f>
        <v>#REF!</v>
      </c>
      <c r="N1608" t="e">
        <v>#REF!</v>
      </c>
      <c r="Q1608" t="e">
        <v>#REF!</v>
      </c>
    </row>
    <row r="1609" spans="1:17" hidden="1" x14ac:dyDescent="0.25">
      <c r="A1609" s="114" t="s">
        <v>4393</v>
      </c>
      <c r="B1609" s="115" t="s">
        <v>7759</v>
      </c>
      <c r="C1609" s="116" t="s">
        <v>69</v>
      </c>
      <c r="D1609" s="116">
        <v>0</v>
      </c>
      <c r="E1609" s="136" t="s">
        <v>416</v>
      </c>
      <c r="F1609" s="137" t="str">
        <f t="shared" si="144"/>
        <v/>
      </c>
      <c r="G1609" s="138" t="e">
        <f>IF(A1609&lt;&gt;"",IF(AND(#REF!="Padrão",$H$4=#REF!),BDI!$B$17,IF(AND(#REF!="Padrão",$H$4=#REF!),BDI!#REF!,IF(AND(#REF!="Diferenciado",$H$4=#REF!),BDI!$E$17,IF(AND(#REF!="Diferenciado",$H$4=#REF!),BDI!#REF!,IF(#REF!="ZERO",0))))),"")</f>
        <v>#REF!</v>
      </c>
      <c r="H1609" s="139" t="str">
        <f t="shared" si="145"/>
        <v/>
      </c>
      <c r="I1609" s="137" t="str">
        <f t="shared" si="146"/>
        <v/>
      </c>
      <c r="J1609" s="117"/>
      <c r="K1609" s="116">
        <v>0</v>
      </c>
      <c r="M1609" s="136" t="s">
        <v>416</v>
      </c>
      <c r="N1609" t="e">
        <v>#REF!</v>
      </c>
      <c r="Q1609" t="s">
        <v>416</v>
      </c>
    </row>
    <row r="1610" spans="1:17" hidden="1" x14ac:dyDescent="0.25">
      <c r="A1610" s="114" t="s">
        <v>4394</v>
      </c>
      <c r="B1610" s="115" t="s">
        <v>7760</v>
      </c>
      <c r="C1610" s="116" t="s">
        <v>69</v>
      </c>
      <c r="D1610" s="116">
        <v>0</v>
      </c>
      <c r="E1610" s="136" t="s">
        <v>416</v>
      </c>
      <c r="F1610" s="137" t="str">
        <f t="shared" si="144"/>
        <v/>
      </c>
      <c r="G1610" s="138" t="e">
        <f>IF(A1610&lt;&gt;"",IF(AND(#REF!="Padrão",$H$4=#REF!),BDI!$B$17,IF(AND(#REF!="Padrão",$H$4=#REF!),BDI!#REF!,IF(AND(#REF!="Diferenciado",$H$4=#REF!),BDI!$E$17,IF(AND(#REF!="Diferenciado",$H$4=#REF!),BDI!#REF!,IF(#REF!="ZERO",0))))),"")</f>
        <v>#REF!</v>
      </c>
      <c r="H1610" s="139" t="str">
        <f t="shared" si="145"/>
        <v/>
      </c>
      <c r="I1610" s="137" t="str">
        <f t="shared" si="146"/>
        <v/>
      </c>
      <c r="J1610" s="117"/>
      <c r="K1610" s="116">
        <v>0</v>
      </c>
      <c r="M1610" s="136" t="s">
        <v>416</v>
      </c>
      <c r="N1610" t="e">
        <v>#REF!</v>
      </c>
      <c r="Q1610" t="s">
        <v>416</v>
      </c>
    </row>
    <row r="1611" spans="1:17" hidden="1" x14ac:dyDescent="0.25">
      <c r="A1611" s="114" t="s">
        <v>4395</v>
      </c>
      <c r="B1611" s="115" t="s">
        <v>7761</v>
      </c>
      <c r="C1611" s="116" t="s">
        <v>69</v>
      </c>
      <c r="D1611" s="116">
        <v>0</v>
      </c>
      <c r="E1611" s="136" t="s">
        <v>416</v>
      </c>
      <c r="F1611" s="137" t="str">
        <f t="shared" si="144"/>
        <v/>
      </c>
      <c r="G1611" s="138" t="e">
        <f>IF(A1611&lt;&gt;"",IF(AND(#REF!="Padrão",$H$4=#REF!),BDI!$B$17,IF(AND(#REF!="Padrão",$H$4=#REF!),BDI!#REF!,IF(AND(#REF!="Diferenciado",$H$4=#REF!),BDI!$E$17,IF(AND(#REF!="Diferenciado",$H$4=#REF!),BDI!#REF!,IF(#REF!="ZERO",0))))),"")</f>
        <v>#REF!</v>
      </c>
      <c r="H1611" s="139" t="str">
        <f t="shared" si="145"/>
        <v/>
      </c>
      <c r="I1611" s="137" t="str">
        <f t="shared" si="146"/>
        <v/>
      </c>
      <c r="J1611" s="117"/>
      <c r="K1611" s="116">
        <v>0</v>
      </c>
      <c r="M1611" s="136" t="s">
        <v>416</v>
      </c>
      <c r="N1611" t="e">
        <v>#REF!</v>
      </c>
      <c r="Q1611" t="s">
        <v>416</v>
      </c>
    </row>
    <row r="1612" spans="1:17" hidden="1" x14ac:dyDescent="0.25">
      <c r="A1612" s="114" t="s">
        <v>4396</v>
      </c>
      <c r="B1612" s="115" t="s">
        <v>7762</v>
      </c>
      <c r="C1612" s="116" t="s">
        <v>69</v>
      </c>
      <c r="D1612" s="116">
        <v>0</v>
      </c>
      <c r="E1612" s="136" t="s">
        <v>416</v>
      </c>
      <c r="F1612" s="137" t="str">
        <f t="shared" si="144"/>
        <v/>
      </c>
      <c r="G1612" s="138" t="e">
        <f>IF(A1612&lt;&gt;"",IF(AND(#REF!="Padrão",$H$4=#REF!),BDI!$B$17,IF(AND(#REF!="Padrão",$H$4=#REF!),BDI!#REF!,IF(AND(#REF!="Diferenciado",$H$4=#REF!),BDI!$E$17,IF(AND(#REF!="Diferenciado",$H$4=#REF!),BDI!#REF!,IF(#REF!="ZERO",0))))),"")</f>
        <v>#REF!</v>
      </c>
      <c r="H1612" s="139" t="str">
        <f t="shared" si="145"/>
        <v/>
      </c>
      <c r="I1612" s="137" t="str">
        <f t="shared" si="146"/>
        <v/>
      </c>
      <c r="J1612" s="117"/>
      <c r="K1612" s="116">
        <v>0</v>
      </c>
      <c r="M1612" s="136" t="s">
        <v>416</v>
      </c>
      <c r="N1612" t="e">
        <v>#REF!</v>
      </c>
      <c r="Q1612" t="s">
        <v>416</v>
      </c>
    </row>
    <row r="1613" spans="1:17" hidden="1" x14ac:dyDescent="0.25">
      <c r="A1613" s="114" t="s">
        <v>4397</v>
      </c>
      <c r="B1613" s="115" t="s">
        <v>7763</v>
      </c>
      <c r="C1613" s="116" t="s">
        <v>69</v>
      </c>
      <c r="D1613" s="116">
        <v>0</v>
      </c>
      <c r="E1613" s="136" t="s">
        <v>416</v>
      </c>
      <c r="F1613" s="137" t="str">
        <f t="shared" si="144"/>
        <v/>
      </c>
      <c r="G1613" s="138" t="e">
        <f>IF(A1613&lt;&gt;"",IF(AND(#REF!="Padrão",$H$4=#REF!),BDI!$B$17,IF(AND(#REF!="Padrão",$H$4=#REF!),BDI!#REF!,IF(AND(#REF!="Diferenciado",$H$4=#REF!),BDI!$E$17,IF(AND(#REF!="Diferenciado",$H$4=#REF!),BDI!#REF!,IF(#REF!="ZERO",0))))),"")</f>
        <v>#REF!</v>
      </c>
      <c r="H1613" s="139" t="str">
        <f t="shared" si="145"/>
        <v/>
      </c>
      <c r="I1613" s="137" t="str">
        <f t="shared" si="146"/>
        <v/>
      </c>
      <c r="J1613" s="117"/>
      <c r="K1613" s="116">
        <v>0</v>
      </c>
      <c r="M1613" s="136" t="s">
        <v>416</v>
      </c>
      <c r="N1613" t="e">
        <v>#REF!</v>
      </c>
      <c r="Q1613" t="s">
        <v>416</v>
      </c>
    </row>
    <row r="1614" spans="1:17" hidden="1" x14ac:dyDescent="0.25">
      <c r="A1614" s="114" t="s">
        <v>4398</v>
      </c>
      <c r="B1614" s="115" t="s">
        <v>7764</v>
      </c>
      <c r="C1614" s="116" t="s">
        <v>69</v>
      </c>
      <c r="D1614" s="116">
        <v>0</v>
      </c>
      <c r="E1614" s="136" t="s">
        <v>416</v>
      </c>
      <c r="F1614" s="137" t="str">
        <f t="shared" si="144"/>
        <v/>
      </c>
      <c r="G1614" s="138" t="e">
        <f>IF(A1614&lt;&gt;"",IF(AND(#REF!="Padrão",$H$4=#REF!),BDI!$B$17,IF(AND(#REF!="Padrão",$H$4=#REF!),BDI!#REF!,IF(AND(#REF!="Diferenciado",$H$4=#REF!),BDI!$E$17,IF(AND(#REF!="Diferenciado",$H$4=#REF!),BDI!#REF!,IF(#REF!="ZERO",0))))),"")</f>
        <v>#REF!</v>
      </c>
      <c r="H1614" s="139" t="str">
        <f t="shared" si="145"/>
        <v/>
      </c>
      <c r="I1614" s="137" t="str">
        <f t="shared" si="146"/>
        <v/>
      </c>
      <c r="J1614" s="117"/>
      <c r="K1614" s="116">
        <v>0</v>
      </c>
      <c r="M1614" s="136" t="s">
        <v>416</v>
      </c>
      <c r="N1614" t="e">
        <v>#REF!</v>
      </c>
      <c r="Q1614" t="s">
        <v>416</v>
      </c>
    </row>
    <row r="1615" spans="1:17" hidden="1" x14ac:dyDescent="0.25">
      <c r="A1615" s="114" t="s">
        <v>4399</v>
      </c>
      <c r="B1615" s="115" t="s">
        <v>7765</v>
      </c>
      <c r="C1615" s="116" t="s">
        <v>69</v>
      </c>
      <c r="D1615" s="116">
        <v>0</v>
      </c>
      <c r="E1615" s="136" t="s">
        <v>416</v>
      </c>
      <c r="F1615" s="137" t="str">
        <f t="shared" si="144"/>
        <v/>
      </c>
      <c r="G1615" s="138" t="e">
        <f>IF(A1615&lt;&gt;"",IF(AND(#REF!="Padrão",$H$4=#REF!),BDI!$B$17,IF(AND(#REF!="Padrão",$H$4=#REF!),BDI!#REF!,IF(AND(#REF!="Diferenciado",$H$4=#REF!),BDI!$E$17,IF(AND(#REF!="Diferenciado",$H$4=#REF!),BDI!#REF!,IF(#REF!="ZERO",0))))),"")</f>
        <v>#REF!</v>
      </c>
      <c r="H1615" s="139" t="str">
        <f t="shared" si="145"/>
        <v/>
      </c>
      <c r="I1615" s="137" t="str">
        <f t="shared" si="146"/>
        <v/>
      </c>
      <c r="J1615" s="117"/>
      <c r="K1615" s="116">
        <v>0</v>
      </c>
      <c r="M1615" s="136" t="s">
        <v>416</v>
      </c>
      <c r="N1615" t="e">
        <v>#REF!</v>
      </c>
      <c r="Q1615" t="s">
        <v>416</v>
      </c>
    </row>
    <row r="1616" spans="1:17" hidden="1" x14ac:dyDescent="0.25">
      <c r="A1616" s="114" t="s">
        <v>4400</v>
      </c>
      <c r="B1616" s="115" t="s">
        <v>7766</v>
      </c>
      <c r="C1616" s="116" t="s">
        <v>69</v>
      </c>
      <c r="D1616" s="116">
        <v>0</v>
      </c>
      <c r="E1616" s="136" t="s">
        <v>416</v>
      </c>
      <c r="F1616" s="137" t="str">
        <f t="shared" si="144"/>
        <v/>
      </c>
      <c r="G1616" s="138" t="e">
        <f>IF(A1616&lt;&gt;"",IF(AND(#REF!="Padrão",$H$4=#REF!),BDI!$B$17,IF(AND(#REF!="Padrão",$H$4=#REF!),BDI!#REF!,IF(AND(#REF!="Diferenciado",$H$4=#REF!),BDI!$E$17,IF(AND(#REF!="Diferenciado",$H$4=#REF!),BDI!#REF!,IF(#REF!="ZERO",0))))),"")</f>
        <v>#REF!</v>
      </c>
      <c r="H1616" s="139" t="str">
        <f t="shared" si="145"/>
        <v/>
      </c>
      <c r="I1616" s="137" t="str">
        <f t="shared" si="146"/>
        <v/>
      </c>
      <c r="J1616" s="117"/>
      <c r="K1616" s="116">
        <v>0</v>
      </c>
      <c r="M1616" s="136" t="s">
        <v>416</v>
      </c>
      <c r="N1616" t="e">
        <v>#REF!</v>
      </c>
      <c r="Q1616" t="s">
        <v>416</v>
      </c>
    </row>
    <row r="1617" spans="1:17" hidden="1" x14ac:dyDescent="0.25">
      <c r="A1617" s="114" t="s">
        <v>4401</v>
      </c>
      <c r="B1617" s="115" t="s">
        <v>7767</v>
      </c>
      <c r="C1617" s="116" t="s">
        <v>69</v>
      </c>
      <c r="D1617" s="116">
        <v>0</v>
      </c>
      <c r="E1617" s="136" t="s">
        <v>416</v>
      </c>
      <c r="F1617" s="137" t="str">
        <f t="shared" si="144"/>
        <v/>
      </c>
      <c r="G1617" s="138" t="e">
        <f>IF(A1617&lt;&gt;"",IF(AND(#REF!="Padrão",$H$4=#REF!),BDI!$B$17,IF(AND(#REF!="Padrão",$H$4=#REF!),BDI!#REF!,IF(AND(#REF!="Diferenciado",$H$4=#REF!),BDI!$E$17,IF(AND(#REF!="Diferenciado",$H$4=#REF!),BDI!#REF!,IF(#REF!="ZERO",0))))),"")</f>
        <v>#REF!</v>
      </c>
      <c r="H1617" s="139" t="str">
        <f t="shared" si="145"/>
        <v/>
      </c>
      <c r="I1617" s="137" t="str">
        <f t="shared" si="146"/>
        <v/>
      </c>
      <c r="J1617" s="117"/>
      <c r="K1617" s="116">
        <v>0</v>
      </c>
      <c r="M1617" s="136" t="s">
        <v>416</v>
      </c>
      <c r="N1617" t="e">
        <v>#REF!</v>
      </c>
      <c r="Q1617" t="s">
        <v>416</v>
      </c>
    </row>
    <row r="1618" spans="1:17" hidden="1" x14ac:dyDescent="0.25">
      <c r="A1618" s="114" t="s">
        <v>4402</v>
      </c>
      <c r="B1618" s="115" t="s">
        <v>7768</v>
      </c>
      <c r="C1618" s="116" t="s">
        <v>69</v>
      </c>
      <c r="D1618" s="116">
        <v>0</v>
      </c>
      <c r="E1618" s="136" t="s">
        <v>416</v>
      </c>
      <c r="F1618" s="137" t="str">
        <f t="shared" si="144"/>
        <v/>
      </c>
      <c r="G1618" s="138" t="e">
        <f>IF(A1618&lt;&gt;"",IF(AND(#REF!="Padrão",$H$4=#REF!),BDI!$B$17,IF(AND(#REF!="Padrão",$H$4=#REF!),BDI!#REF!,IF(AND(#REF!="Diferenciado",$H$4=#REF!),BDI!$E$17,IF(AND(#REF!="Diferenciado",$H$4=#REF!),BDI!#REF!,IF(#REF!="ZERO",0))))),"")</f>
        <v>#REF!</v>
      </c>
      <c r="H1618" s="139" t="str">
        <f t="shared" si="145"/>
        <v/>
      </c>
      <c r="I1618" s="137" t="str">
        <f t="shared" si="146"/>
        <v/>
      </c>
      <c r="J1618" s="117"/>
      <c r="K1618" s="116">
        <v>0</v>
      </c>
      <c r="M1618" s="136" t="s">
        <v>416</v>
      </c>
      <c r="N1618" t="e">
        <v>#REF!</v>
      </c>
      <c r="Q1618" t="s">
        <v>416</v>
      </c>
    </row>
    <row r="1619" spans="1:17" hidden="1" x14ac:dyDescent="0.25">
      <c r="A1619" s="114" t="s">
        <v>4403</v>
      </c>
      <c r="B1619" s="115" t="s">
        <v>7769</v>
      </c>
      <c r="C1619" s="116" t="s">
        <v>69</v>
      </c>
      <c r="D1619" s="116">
        <v>0</v>
      </c>
      <c r="E1619" s="136" t="s">
        <v>416</v>
      </c>
      <c r="F1619" s="137" t="str">
        <f t="shared" si="144"/>
        <v/>
      </c>
      <c r="G1619" s="138" t="e">
        <f>IF(A1619&lt;&gt;"",IF(AND(#REF!="Padrão",$H$4=#REF!),BDI!$B$17,IF(AND(#REF!="Padrão",$H$4=#REF!),BDI!#REF!,IF(AND(#REF!="Diferenciado",$H$4=#REF!),BDI!$E$17,IF(AND(#REF!="Diferenciado",$H$4=#REF!),BDI!#REF!,IF(#REF!="ZERO",0))))),"")</f>
        <v>#REF!</v>
      </c>
      <c r="H1619" s="139" t="str">
        <f t="shared" si="145"/>
        <v/>
      </c>
      <c r="I1619" s="137" t="str">
        <f t="shared" si="146"/>
        <v/>
      </c>
      <c r="J1619" s="117"/>
      <c r="K1619" s="116">
        <v>0</v>
      </c>
      <c r="M1619" s="136" t="s">
        <v>416</v>
      </c>
      <c r="N1619" t="e">
        <v>#REF!</v>
      </c>
      <c r="Q1619" t="s">
        <v>416</v>
      </c>
    </row>
    <row r="1620" spans="1:17" hidden="1" x14ac:dyDescent="0.25">
      <c r="A1620" s="114" t="s">
        <v>4404</v>
      </c>
      <c r="B1620" s="115" t="s">
        <v>7770</v>
      </c>
      <c r="C1620" s="116" t="s">
        <v>69</v>
      </c>
      <c r="D1620" s="116">
        <v>0</v>
      </c>
      <c r="E1620" s="136" t="s">
        <v>416</v>
      </c>
      <c r="F1620" s="137" t="str">
        <f t="shared" si="144"/>
        <v/>
      </c>
      <c r="G1620" s="138" t="e">
        <f>IF(A1620&lt;&gt;"",IF(AND(#REF!="Padrão",$H$4=#REF!),BDI!$B$17,IF(AND(#REF!="Padrão",$H$4=#REF!),BDI!#REF!,IF(AND(#REF!="Diferenciado",$H$4=#REF!),BDI!$E$17,IF(AND(#REF!="Diferenciado",$H$4=#REF!),BDI!#REF!,IF(#REF!="ZERO",0))))),"")</f>
        <v>#REF!</v>
      </c>
      <c r="H1620" s="139" t="str">
        <f t="shared" si="145"/>
        <v/>
      </c>
      <c r="I1620" s="137" t="str">
        <f t="shared" si="146"/>
        <v/>
      </c>
      <c r="J1620" s="117"/>
      <c r="K1620" s="116">
        <v>0</v>
      </c>
      <c r="M1620" s="136" t="s">
        <v>416</v>
      </c>
      <c r="N1620" t="e">
        <v>#REF!</v>
      </c>
      <c r="Q1620" t="s">
        <v>416</v>
      </c>
    </row>
    <row r="1621" spans="1:17" hidden="1" x14ac:dyDescent="0.25">
      <c r="A1621" s="114" t="s">
        <v>4405</v>
      </c>
      <c r="B1621" s="115" t="s">
        <v>7771</v>
      </c>
      <c r="C1621" s="116" t="s">
        <v>69</v>
      </c>
      <c r="D1621" s="116">
        <v>0</v>
      </c>
      <c r="E1621" s="136" t="s">
        <v>416</v>
      </c>
      <c r="F1621" s="137" t="str">
        <f t="shared" si="144"/>
        <v/>
      </c>
      <c r="G1621" s="138" t="e">
        <f>IF(A1621&lt;&gt;"",IF(AND(#REF!="Padrão",$H$4=#REF!),BDI!$B$17,IF(AND(#REF!="Padrão",$H$4=#REF!),BDI!#REF!,IF(AND(#REF!="Diferenciado",$H$4=#REF!),BDI!$E$17,IF(AND(#REF!="Diferenciado",$H$4=#REF!),BDI!#REF!,IF(#REF!="ZERO",0))))),"")</f>
        <v>#REF!</v>
      </c>
      <c r="H1621" s="139" t="str">
        <f t="shared" si="145"/>
        <v/>
      </c>
      <c r="I1621" s="137" t="str">
        <f t="shared" si="146"/>
        <v/>
      </c>
      <c r="J1621" s="117"/>
      <c r="K1621" s="116">
        <v>0</v>
      </c>
      <c r="M1621" s="136" t="s">
        <v>416</v>
      </c>
      <c r="N1621" t="e">
        <v>#REF!</v>
      </c>
      <c r="Q1621" t="s">
        <v>416</v>
      </c>
    </row>
    <row r="1622" spans="1:17" hidden="1" x14ac:dyDescent="0.25">
      <c r="A1622" s="114" t="s">
        <v>4406</v>
      </c>
      <c r="B1622" s="115" t="s">
        <v>7772</v>
      </c>
      <c r="C1622" s="116" t="s">
        <v>69</v>
      </c>
      <c r="D1622" s="116">
        <v>0</v>
      </c>
      <c r="E1622" s="136" t="s">
        <v>416</v>
      </c>
      <c r="F1622" s="137" t="str">
        <f t="shared" si="144"/>
        <v/>
      </c>
      <c r="G1622" s="138" t="e">
        <f>IF(A1622&lt;&gt;"",IF(AND(#REF!="Padrão",$H$4=#REF!),BDI!$B$17,IF(AND(#REF!="Padrão",$H$4=#REF!),BDI!#REF!,IF(AND(#REF!="Diferenciado",$H$4=#REF!),BDI!$E$17,IF(AND(#REF!="Diferenciado",$H$4=#REF!),BDI!#REF!,IF(#REF!="ZERO",0))))),"")</f>
        <v>#REF!</v>
      </c>
      <c r="H1622" s="139" t="str">
        <f t="shared" si="145"/>
        <v/>
      </c>
      <c r="I1622" s="137" t="str">
        <f t="shared" si="146"/>
        <v/>
      </c>
      <c r="J1622" s="117"/>
      <c r="K1622" s="116">
        <v>0</v>
      </c>
      <c r="M1622" s="136" t="s">
        <v>416</v>
      </c>
      <c r="N1622" t="e">
        <v>#REF!</v>
      </c>
      <c r="Q1622" t="s">
        <v>416</v>
      </c>
    </row>
    <row r="1623" spans="1:17" hidden="1" x14ac:dyDescent="0.25">
      <c r="A1623" s="114" t="s">
        <v>4407</v>
      </c>
      <c r="B1623" s="115" t="s">
        <v>7773</v>
      </c>
      <c r="C1623" s="116" t="s">
        <v>69</v>
      </c>
      <c r="D1623" s="116">
        <v>0</v>
      </c>
      <c r="E1623" s="136" t="s">
        <v>416</v>
      </c>
      <c r="F1623" s="137" t="str">
        <f t="shared" si="144"/>
        <v/>
      </c>
      <c r="G1623" s="138" t="e">
        <f>IF(A1623&lt;&gt;"",IF(AND(#REF!="Padrão",$H$4=#REF!),BDI!$B$17,IF(AND(#REF!="Padrão",$H$4=#REF!),BDI!#REF!,IF(AND(#REF!="Diferenciado",$H$4=#REF!),BDI!$E$17,IF(AND(#REF!="Diferenciado",$H$4=#REF!),BDI!#REF!,IF(#REF!="ZERO",0))))),"")</f>
        <v>#REF!</v>
      </c>
      <c r="H1623" s="139" t="str">
        <f t="shared" si="145"/>
        <v/>
      </c>
      <c r="I1623" s="137" t="str">
        <f t="shared" si="146"/>
        <v/>
      </c>
      <c r="J1623" s="117"/>
      <c r="K1623" s="116">
        <v>0</v>
      </c>
      <c r="M1623" s="136" t="s">
        <v>416</v>
      </c>
      <c r="N1623" t="e">
        <v>#REF!</v>
      </c>
      <c r="Q1623" t="s">
        <v>416</v>
      </c>
    </row>
    <row r="1624" spans="1:17" hidden="1" x14ac:dyDescent="0.25">
      <c r="A1624" s="114" t="s">
        <v>4408</v>
      </c>
      <c r="B1624" s="115" t="s">
        <v>7774</v>
      </c>
      <c r="C1624" s="116" t="s">
        <v>69</v>
      </c>
      <c r="D1624" s="116">
        <v>0</v>
      </c>
      <c r="E1624" s="136" t="s">
        <v>416</v>
      </c>
      <c r="F1624" s="137" t="str">
        <f t="shared" si="144"/>
        <v/>
      </c>
      <c r="G1624" s="138" t="e">
        <f>IF(A1624&lt;&gt;"",IF(AND(#REF!="Padrão",$H$4=#REF!),BDI!$B$17,IF(AND(#REF!="Padrão",$H$4=#REF!),BDI!#REF!,IF(AND(#REF!="Diferenciado",$H$4=#REF!),BDI!$E$17,IF(AND(#REF!="Diferenciado",$H$4=#REF!),BDI!#REF!,IF(#REF!="ZERO",0))))),"")</f>
        <v>#REF!</v>
      </c>
      <c r="H1624" s="139" t="str">
        <f t="shared" si="145"/>
        <v/>
      </c>
      <c r="I1624" s="137" t="str">
        <f t="shared" si="146"/>
        <v/>
      </c>
      <c r="J1624" s="117"/>
      <c r="K1624" s="116">
        <v>0</v>
      </c>
      <c r="M1624" s="136" t="s">
        <v>416</v>
      </c>
      <c r="N1624" t="e">
        <v>#REF!</v>
      </c>
      <c r="Q1624" t="s">
        <v>416</v>
      </c>
    </row>
    <row r="1625" spans="1:17" hidden="1" x14ac:dyDescent="0.25">
      <c r="A1625" s="114" t="s">
        <v>4409</v>
      </c>
      <c r="B1625" s="115" t="s">
        <v>7775</v>
      </c>
      <c r="C1625" s="116" t="s">
        <v>69</v>
      </c>
      <c r="D1625" s="116">
        <v>0</v>
      </c>
      <c r="E1625" s="136" t="s">
        <v>416</v>
      </c>
      <c r="F1625" s="137" t="str">
        <f t="shared" si="144"/>
        <v/>
      </c>
      <c r="G1625" s="138" t="e">
        <f>IF(A1625&lt;&gt;"",IF(AND(#REF!="Padrão",$H$4=#REF!),BDI!$B$17,IF(AND(#REF!="Padrão",$H$4=#REF!),BDI!#REF!,IF(AND(#REF!="Diferenciado",$H$4=#REF!),BDI!$E$17,IF(AND(#REF!="Diferenciado",$H$4=#REF!),BDI!#REF!,IF(#REF!="ZERO",0))))),"")</f>
        <v>#REF!</v>
      </c>
      <c r="H1625" s="139" t="str">
        <f t="shared" si="145"/>
        <v/>
      </c>
      <c r="I1625" s="137" t="str">
        <f t="shared" si="146"/>
        <v/>
      </c>
      <c r="J1625" s="117"/>
      <c r="K1625" s="116">
        <v>0</v>
      </c>
      <c r="M1625" s="136" t="s">
        <v>416</v>
      </c>
      <c r="N1625" t="e">
        <v>#REF!</v>
      </c>
      <c r="Q1625" t="s">
        <v>416</v>
      </c>
    </row>
    <row r="1626" spans="1:17" hidden="1" x14ac:dyDescent="0.25">
      <c r="A1626" s="114" t="s">
        <v>4410</v>
      </c>
      <c r="B1626" s="115" t="s">
        <v>7776</v>
      </c>
      <c r="C1626" s="116" t="s">
        <v>69</v>
      </c>
      <c r="D1626" s="116">
        <v>0</v>
      </c>
      <c r="E1626" s="136" t="s">
        <v>416</v>
      </c>
      <c r="F1626" s="137" t="str">
        <f t="shared" si="144"/>
        <v/>
      </c>
      <c r="G1626" s="138" t="e">
        <f>IF(A1626&lt;&gt;"",IF(AND(#REF!="Padrão",$H$4=#REF!),BDI!$B$17,IF(AND(#REF!="Padrão",$H$4=#REF!),BDI!#REF!,IF(AND(#REF!="Diferenciado",$H$4=#REF!),BDI!$E$17,IF(AND(#REF!="Diferenciado",$H$4=#REF!),BDI!#REF!,IF(#REF!="ZERO",0))))),"")</f>
        <v>#REF!</v>
      </c>
      <c r="H1626" s="139" t="str">
        <f t="shared" si="145"/>
        <v/>
      </c>
      <c r="I1626" s="137" t="str">
        <f t="shared" si="146"/>
        <v/>
      </c>
      <c r="J1626" s="117"/>
      <c r="K1626" s="116">
        <v>0</v>
      </c>
      <c r="M1626" s="136" t="s">
        <v>416</v>
      </c>
      <c r="N1626" t="e">
        <v>#REF!</v>
      </c>
      <c r="Q1626" t="s">
        <v>416</v>
      </c>
    </row>
    <row r="1627" spans="1:17" hidden="1" x14ac:dyDescent="0.25">
      <c r="A1627" s="114" t="s">
        <v>4411</v>
      </c>
      <c r="B1627" s="115" t="s">
        <v>7777</v>
      </c>
      <c r="C1627" s="116" t="s">
        <v>69</v>
      </c>
      <c r="D1627" s="116">
        <v>0</v>
      </c>
      <c r="E1627" s="136" t="s">
        <v>416</v>
      </c>
      <c r="F1627" s="137" t="str">
        <f t="shared" si="144"/>
        <v/>
      </c>
      <c r="G1627" s="138" t="e">
        <f>IF(A1627&lt;&gt;"",IF(AND(#REF!="Padrão",$H$4=#REF!),BDI!$B$17,IF(AND(#REF!="Padrão",$H$4=#REF!),BDI!#REF!,IF(AND(#REF!="Diferenciado",$H$4=#REF!),BDI!$E$17,IF(AND(#REF!="Diferenciado",$H$4=#REF!),BDI!#REF!,IF(#REF!="ZERO",0))))),"")</f>
        <v>#REF!</v>
      </c>
      <c r="H1627" s="139" t="str">
        <f t="shared" si="145"/>
        <v/>
      </c>
      <c r="I1627" s="137" t="str">
        <f t="shared" si="146"/>
        <v/>
      </c>
      <c r="J1627" s="117"/>
      <c r="K1627" s="116">
        <v>0</v>
      </c>
      <c r="M1627" s="136" t="s">
        <v>416</v>
      </c>
      <c r="N1627" t="e">
        <v>#REF!</v>
      </c>
      <c r="Q1627" t="s">
        <v>416</v>
      </c>
    </row>
    <row r="1628" spans="1:17" hidden="1" x14ac:dyDescent="0.25">
      <c r="A1628" s="114" t="s">
        <v>4412</v>
      </c>
      <c r="B1628" s="115" t="s">
        <v>7778</v>
      </c>
      <c r="C1628" s="116" t="s">
        <v>69</v>
      </c>
      <c r="D1628" s="116">
        <v>0</v>
      </c>
      <c r="E1628" s="136" t="s">
        <v>416</v>
      </c>
      <c r="F1628" s="137" t="str">
        <f t="shared" si="144"/>
        <v/>
      </c>
      <c r="G1628" s="138" t="e">
        <f>IF(A1628&lt;&gt;"",IF(AND(#REF!="Padrão",$H$4=#REF!),BDI!$B$17,IF(AND(#REF!="Padrão",$H$4=#REF!),BDI!#REF!,IF(AND(#REF!="Diferenciado",$H$4=#REF!),BDI!$E$17,IF(AND(#REF!="Diferenciado",$H$4=#REF!),BDI!#REF!,IF(#REF!="ZERO",0))))),"")</f>
        <v>#REF!</v>
      </c>
      <c r="H1628" s="139" t="str">
        <f t="shared" si="145"/>
        <v/>
      </c>
      <c r="I1628" s="137" t="str">
        <f t="shared" si="146"/>
        <v/>
      </c>
      <c r="J1628" s="117"/>
      <c r="K1628" s="116">
        <v>0</v>
      </c>
      <c r="M1628" s="136" t="s">
        <v>416</v>
      </c>
      <c r="N1628" t="e">
        <v>#REF!</v>
      </c>
      <c r="Q1628" t="s">
        <v>416</v>
      </c>
    </row>
    <row r="1629" spans="1:17" hidden="1" x14ac:dyDescent="0.25">
      <c r="A1629" s="114" t="s">
        <v>4413</v>
      </c>
      <c r="B1629" s="115" t="s">
        <v>7779</v>
      </c>
      <c r="C1629" s="116" t="s">
        <v>69</v>
      </c>
      <c r="D1629" s="116">
        <v>0</v>
      </c>
      <c r="E1629" s="136" t="s">
        <v>416</v>
      </c>
      <c r="F1629" s="137" t="str">
        <f t="shared" si="144"/>
        <v/>
      </c>
      <c r="G1629" s="138" t="e">
        <f>IF(A1629&lt;&gt;"",IF(AND(#REF!="Padrão",$H$4=#REF!),BDI!$B$17,IF(AND(#REF!="Padrão",$H$4=#REF!),BDI!#REF!,IF(AND(#REF!="Diferenciado",$H$4=#REF!),BDI!$E$17,IF(AND(#REF!="Diferenciado",$H$4=#REF!),BDI!#REF!,IF(#REF!="ZERO",0))))),"")</f>
        <v>#REF!</v>
      </c>
      <c r="H1629" s="139" t="str">
        <f t="shared" si="145"/>
        <v/>
      </c>
      <c r="I1629" s="137" t="str">
        <f t="shared" si="146"/>
        <v/>
      </c>
      <c r="J1629" s="117"/>
      <c r="K1629" s="116">
        <v>0</v>
      </c>
      <c r="M1629" s="136" t="s">
        <v>416</v>
      </c>
      <c r="N1629" t="e">
        <v>#REF!</v>
      </c>
      <c r="Q1629" t="s">
        <v>416</v>
      </c>
    </row>
    <row r="1630" spans="1:17" hidden="1" x14ac:dyDescent="0.25">
      <c r="A1630" s="114" t="s">
        <v>4414</v>
      </c>
      <c r="B1630" s="115" t="s">
        <v>3511</v>
      </c>
      <c r="C1630" s="116" t="s">
        <v>16</v>
      </c>
      <c r="D1630" s="116">
        <v>0</v>
      </c>
      <c r="E1630" s="136" t="s">
        <v>416</v>
      </c>
      <c r="F1630" s="137" t="str">
        <f t="shared" si="144"/>
        <v/>
      </c>
      <c r="G1630" s="138" t="e">
        <f>IF(A1630&lt;&gt;"",IF(AND(#REF!="Padrão",$H$4=#REF!),BDI!$B$17,IF(AND(#REF!="Padrão",$H$4=#REF!),BDI!#REF!,IF(AND(#REF!="Diferenciado",$H$4=#REF!),BDI!$E$17,IF(AND(#REF!="Diferenciado",$H$4=#REF!),BDI!#REF!,IF(#REF!="ZERO",0))))),"")</f>
        <v>#REF!</v>
      </c>
      <c r="H1630" s="139" t="str">
        <f t="shared" si="145"/>
        <v/>
      </c>
      <c r="I1630" s="137" t="str">
        <f t="shared" si="146"/>
        <v/>
      </c>
      <c r="J1630" s="117"/>
      <c r="K1630" s="116">
        <v>0</v>
      </c>
      <c r="M1630" s="136" t="s">
        <v>416</v>
      </c>
      <c r="N1630" t="e">
        <v>#REF!</v>
      </c>
      <c r="Q1630" t="s">
        <v>416</v>
      </c>
    </row>
    <row r="1631" spans="1:17" hidden="1" x14ac:dyDescent="0.25">
      <c r="A1631" s="114" t="s">
        <v>4415</v>
      </c>
      <c r="B1631" s="115" t="s">
        <v>3512</v>
      </c>
      <c r="C1631" s="116" t="s">
        <v>16</v>
      </c>
      <c r="D1631" s="116">
        <v>0</v>
      </c>
      <c r="E1631" s="136" t="s">
        <v>416</v>
      </c>
      <c r="F1631" s="137" t="str">
        <f t="shared" si="144"/>
        <v/>
      </c>
      <c r="G1631" s="138" t="e">
        <f>IF(A1631&lt;&gt;"",IF(AND(#REF!="Padrão",$H$4=#REF!),BDI!$B$17,IF(AND(#REF!="Padrão",$H$4=#REF!),BDI!#REF!,IF(AND(#REF!="Diferenciado",$H$4=#REF!),BDI!$E$17,IF(AND(#REF!="Diferenciado",$H$4=#REF!),BDI!#REF!,IF(#REF!="ZERO",0))))),"")</f>
        <v>#REF!</v>
      </c>
      <c r="H1631" s="139" t="str">
        <f t="shared" si="145"/>
        <v/>
      </c>
      <c r="I1631" s="137" t="str">
        <f t="shared" si="146"/>
        <v/>
      </c>
      <c r="J1631" s="117"/>
      <c r="K1631" s="116">
        <v>0</v>
      </c>
      <c r="M1631" s="136" t="s">
        <v>416</v>
      </c>
      <c r="N1631" t="e">
        <v>#REF!</v>
      </c>
      <c r="Q1631" t="s">
        <v>416</v>
      </c>
    </row>
    <row r="1632" spans="1:17" hidden="1" x14ac:dyDescent="0.25">
      <c r="A1632" s="114" t="s">
        <v>4416</v>
      </c>
      <c r="B1632" s="115" t="s">
        <v>3513</v>
      </c>
      <c r="C1632" s="116" t="s">
        <v>16</v>
      </c>
      <c r="D1632" s="116">
        <v>0</v>
      </c>
      <c r="E1632" s="136" t="s">
        <v>416</v>
      </c>
      <c r="F1632" s="137" t="str">
        <f t="shared" si="144"/>
        <v/>
      </c>
      <c r="G1632" s="138" t="e">
        <f>IF(A1632&lt;&gt;"",IF(AND(#REF!="Padrão",$H$4=#REF!),BDI!$B$17,IF(AND(#REF!="Padrão",$H$4=#REF!),BDI!#REF!,IF(AND(#REF!="Diferenciado",$H$4=#REF!),BDI!$E$17,IF(AND(#REF!="Diferenciado",$H$4=#REF!),BDI!#REF!,IF(#REF!="ZERO",0))))),"")</f>
        <v>#REF!</v>
      </c>
      <c r="H1632" s="139" t="str">
        <f t="shared" si="145"/>
        <v/>
      </c>
      <c r="I1632" s="137" t="str">
        <f t="shared" si="146"/>
        <v/>
      </c>
      <c r="J1632" s="117"/>
      <c r="K1632" s="116">
        <v>0</v>
      </c>
      <c r="M1632" s="136" t="s">
        <v>416</v>
      </c>
      <c r="N1632" t="e">
        <v>#REF!</v>
      </c>
      <c r="Q1632" t="s">
        <v>416</v>
      </c>
    </row>
    <row r="1633" spans="1:17" hidden="1" x14ac:dyDescent="0.25">
      <c r="A1633" s="114" t="s">
        <v>4417</v>
      </c>
      <c r="B1633" s="115" t="s">
        <v>7780</v>
      </c>
      <c r="C1633" s="116" t="s">
        <v>16</v>
      </c>
      <c r="D1633" s="116">
        <v>0</v>
      </c>
      <c r="E1633" s="136" t="s">
        <v>416</v>
      </c>
      <c r="F1633" s="137" t="str">
        <f t="shared" si="144"/>
        <v/>
      </c>
      <c r="G1633" s="138" t="e">
        <f>IF(A1633&lt;&gt;"",IF(AND(#REF!="Padrão",$H$4=#REF!),BDI!$B$17,IF(AND(#REF!="Padrão",$H$4=#REF!),BDI!#REF!,IF(AND(#REF!="Diferenciado",$H$4=#REF!),BDI!$E$17,IF(AND(#REF!="Diferenciado",$H$4=#REF!),BDI!#REF!,IF(#REF!="ZERO",0))))),"")</f>
        <v>#REF!</v>
      </c>
      <c r="H1633" s="139" t="str">
        <f t="shared" si="145"/>
        <v/>
      </c>
      <c r="I1633" s="137" t="str">
        <f t="shared" si="146"/>
        <v/>
      </c>
      <c r="J1633" s="117"/>
      <c r="K1633" s="116">
        <v>0</v>
      </c>
      <c r="M1633" s="136" t="s">
        <v>416</v>
      </c>
      <c r="N1633" t="e">
        <v>#REF!</v>
      </c>
      <c r="Q1633" t="s">
        <v>416</v>
      </c>
    </row>
    <row r="1634" spans="1:17" hidden="1" x14ac:dyDescent="0.25">
      <c r="A1634" s="114" t="s">
        <v>4418</v>
      </c>
      <c r="B1634" s="115" t="s">
        <v>7781</v>
      </c>
      <c r="C1634" s="116" t="s">
        <v>16</v>
      </c>
      <c r="D1634" s="116">
        <v>0</v>
      </c>
      <c r="E1634" s="136" t="s">
        <v>416</v>
      </c>
      <c r="F1634" s="137" t="str">
        <f t="shared" si="144"/>
        <v/>
      </c>
      <c r="G1634" s="138" t="e">
        <f>IF(A1634&lt;&gt;"",IF(AND(#REF!="Padrão",$H$4=#REF!),BDI!$B$17,IF(AND(#REF!="Padrão",$H$4=#REF!),BDI!#REF!,IF(AND(#REF!="Diferenciado",$H$4=#REF!),BDI!$E$17,IF(AND(#REF!="Diferenciado",$H$4=#REF!),BDI!#REF!,IF(#REF!="ZERO",0))))),"")</f>
        <v>#REF!</v>
      </c>
      <c r="H1634" s="139" t="str">
        <f t="shared" si="145"/>
        <v/>
      </c>
      <c r="I1634" s="137" t="str">
        <f t="shared" si="146"/>
        <v/>
      </c>
      <c r="J1634" s="117"/>
      <c r="K1634" s="116">
        <v>0</v>
      </c>
      <c r="M1634" s="136" t="s">
        <v>416</v>
      </c>
      <c r="N1634" t="e">
        <v>#REF!</v>
      </c>
      <c r="Q1634" t="s">
        <v>416</v>
      </c>
    </row>
    <row r="1635" spans="1:17" hidden="1" x14ac:dyDescent="0.25">
      <c r="A1635" s="114" t="s">
        <v>4419</v>
      </c>
      <c r="B1635" s="115" t="s">
        <v>7782</v>
      </c>
      <c r="C1635" s="116" t="s">
        <v>16</v>
      </c>
      <c r="D1635" s="116">
        <v>0</v>
      </c>
      <c r="E1635" s="136" t="s">
        <v>416</v>
      </c>
      <c r="F1635" s="137" t="str">
        <f t="shared" si="144"/>
        <v/>
      </c>
      <c r="G1635" s="138" t="e">
        <f>IF(A1635&lt;&gt;"",IF(AND(#REF!="Padrão",$H$4=#REF!),BDI!$B$17,IF(AND(#REF!="Padrão",$H$4=#REF!),BDI!#REF!,IF(AND(#REF!="Diferenciado",$H$4=#REF!),BDI!$E$17,IF(AND(#REF!="Diferenciado",$H$4=#REF!),BDI!#REF!,IF(#REF!="ZERO",0))))),"")</f>
        <v>#REF!</v>
      </c>
      <c r="H1635" s="139" t="str">
        <f t="shared" si="145"/>
        <v/>
      </c>
      <c r="I1635" s="137" t="str">
        <f t="shared" si="146"/>
        <v/>
      </c>
      <c r="J1635" s="117"/>
      <c r="K1635" s="116">
        <v>0</v>
      </c>
      <c r="M1635" s="136" t="s">
        <v>416</v>
      </c>
      <c r="N1635" t="e">
        <v>#REF!</v>
      </c>
      <c r="Q1635" t="s">
        <v>416</v>
      </c>
    </row>
    <row r="1636" spans="1:17" hidden="1" x14ac:dyDescent="0.25">
      <c r="A1636" s="114" t="s">
        <v>4420</v>
      </c>
      <c r="B1636" s="115" t="s">
        <v>7783</v>
      </c>
      <c r="C1636" s="116" t="s">
        <v>16</v>
      </c>
      <c r="D1636" s="116">
        <v>0</v>
      </c>
      <c r="E1636" s="136" t="s">
        <v>416</v>
      </c>
      <c r="F1636" s="137" t="str">
        <f t="shared" si="144"/>
        <v/>
      </c>
      <c r="G1636" s="138" t="e">
        <f>IF(A1636&lt;&gt;"",IF(AND(#REF!="Padrão",$H$4=#REF!),BDI!$B$17,IF(AND(#REF!="Padrão",$H$4=#REF!),BDI!#REF!,IF(AND(#REF!="Diferenciado",$H$4=#REF!),BDI!$E$17,IF(AND(#REF!="Diferenciado",$H$4=#REF!),BDI!#REF!,IF(#REF!="ZERO",0))))),"")</f>
        <v>#REF!</v>
      </c>
      <c r="H1636" s="139" t="str">
        <f t="shared" si="145"/>
        <v/>
      </c>
      <c r="I1636" s="137" t="str">
        <f t="shared" si="146"/>
        <v/>
      </c>
      <c r="J1636" s="117"/>
      <c r="K1636" s="116">
        <v>0</v>
      </c>
      <c r="M1636" s="136" t="s">
        <v>416</v>
      </c>
      <c r="N1636" t="e">
        <v>#REF!</v>
      </c>
      <c r="Q1636" t="s">
        <v>416</v>
      </c>
    </row>
    <row r="1637" spans="1:17" hidden="1" x14ac:dyDescent="0.25">
      <c r="A1637" s="114" t="s">
        <v>4421</v>
      </c>
      <c r="B1637" s="115" t="s">
        <v>7784</v>
      </c>
      <c r="C1637" s="116" t="s">
        <v>16</v>
      </c>
      <c r="D1637" s="116">
        <v>0</v>
      </c>
      <c r="E1637" s="136" t="s">
        <v>416</v>
      </c>
      <c r="F1637" s="137" t="str">
        <f t="shared" si="144"/>
        <v/>
      </c>
      <c r="G1637" s="138" t="e">
        <f>IF(A1637&lt;&gt;"",IF(AND(#REF!="Padrão",$H$4=#REF!),BDI!$B$17,IF(AND(#REF!="Padrão",$H$4=#REF!),BDI!#REF!,IF(AND(#REF!="Diferenciado",$H$4=#REF!),BDI!$E$17,IF(AND(#REF!="Diferenciado",$H$4=#REF!),BDI!#REF!,IF(#REF!="ZERO",0))))),"")</f>
        <v>#REF!</v>
      </c>
      <c r="H1637" s="139" t="str">
        <f t="shared" si="145"/>
        <v/>
      </c>
      <c r="I1637" s="137" t="str">
        <f t="shared" si="146"/>
        <v/>
      </c>
      <c r="J1637" s="117"/>
      <c r="K1637" s="116">
        <v>0</v>
      </c>
      <c r="M1637" s="136" t="s">
        <v>416</v>
      </c>
      <c r="N1637" t="e">
        <v>#REF!</v>
      </c>
      <c r="Q1637" t="s">
        <v>416</v>
      </c>
    </row>
    <row r="1638" spans="1:17" hidden="1" x14ac:dyDescent="0.25">
      <c r="A1638" s="114" t="s">
        <v>4422</v>
      </c>
      <c r="B1638" s="115" t="s">
        <v>7785</v>
      </c>
      <c r="C1638" s="116" t="s">
        <v>16</v>
      </c>
      <c r="D1638" s="116">
        <v>0</v>
      </c>
      <c r="E1638" s="136" t="s">
        <v>416</v>
      </c>
      <c r="F1638" s="137" t="str">
        <f t="shared" si="144"/>
        <v/>
      </c>
      <c r="G1638" s="138" t="e">
        <f>IF(A1638&lt;&gt;"",IF(AND(#REF!="Padrão",$H$4=#REF!),BDI!$B$17,IF(AND(#REF!="Padrão",$H$4=#REF!),BDI!#REF!,IF(AND(#REF!="Diferenciado",$H$4=#REF!),BDI!$E$17,IF(AND(#REF!="Diferenciado",$H$4=#REF!),BDI!#REF!,IF(#REF!="ZERO",0))))),"")</f>
        <v>#REF!</v>
      </c>
      <c r="H1638" s="139" t="str">
        <f t="shared" si="145"/>
        <v/>
      </c>
      <c r="I1638" s="137" t="str">
        <f t="shared" si="146"/>
        <v/>
      </c>
      <c r="J1638" s="117"/>
      <c r="K1638" s="116">
        <v>0</v>
      </c>
      <c r="M1638" s="136" t="s">
        <v>416</v>
      </c>
      <c r="N1638" t="e">
        <v>#REF!</v>
      </c>
      <c r="Q1638" t="s">
        <v>416</v>
      </c>
    </row>
    <row r="1639" spans="1:17" hidden="1" x14ac:dyDescent="0.25">
      <c r="A1639" s="114" t="s">
        <v>4423</v>
      </c>
      <c r="B1639" s="115" t="s">
        <v>7786</v>
      </c>
      <c r="C1639" s="116" t="s">
        <v>16</v>
      </c>
      <c r="D1639" s="116">
        <v>0</v>
      </c>
      <c r="E1639" s="136" t="s">
        <v>416</v>
      </c>
      <c r="F1639" s="137" t="str">
        <f t="shared" si="144"/>
        <v/>
      </c>
      <c r="G1639" s="138" t="e">
        <f>IF(A1639&lt;&gt;"",IF(AND(#REF!="Padrão",$H$4=#REF!),BDI!$B$17,IF(AND(#REF!="Padrão",$H$4=#REF!),BDI!#REF!,IF(AND(#REF!="Diferenciado",$H$4=#REF!),BDI!$E$17,IF(AND(#REF!="Diferenciado",$H$4=#REF!),BDI!#REF!,IF(#REF!="ZERO",0))))),"")</f>
        <v>#REF!</v>
      </c>
      <c r="H1639" s="139" t="str">
        <f t="shared" si="145"/>
        <v/>
      </c>
      <c r="I1639" s="137" t="str">
        <f t="shared" si="146"/>
        <v/>
      </c>
      <c r="J1639" s="117"/>
      <c r="K1639" s="116">
        <v>0</v>
      </c>
      <c r="M1639" s="136" t="s">
        <v>416</v>
      </c>
      <c r="N1639" t="e">
        <v>#REF!</v>
      </c>
      <c r="Q1639" t="s">
        <v>416</v>
      </c>
    </row>
    <row r="1640" spans="1:17" hidden="1" x14ac:dyDescent="0.25">
      <c r="A1640" s="114" t="s">
        <v>4424</v>
      </c>
      <c r="B1640" s="115" t="s">
        <v>7787</v>
      </c>
      <c r="C1640" s="116" t="s">
        <v>16</v>
      </c>
      <c r="D1640" s="116">
        <v>0</v>
      </c>
      <c r="E1640" s="136" t="s">
        <v>416</v>
      </c>
      <c r="F1640" s="137" t="str">
        <f t="shared" si="144"/>
        <v/>
      </c>
      <c r="G1640" s="138" t="e">
        <f>IF(A1640&lt;&gt;"",IF(AND(#REF!="Padrão",$H$4=#REF!),BDI!$B$17,IF(AND(#REF!="Padrão",$H$4=#REF!),BDI!#REF!,IF(AND(#REF!="Diferenciado",$H$4=#REF!),BDI!$E$17,IF(AND(#REF!="Diferenciado",$H$4=#REF!),BDI!#REF!,IF(#REF!="ZERO",0))))),"")</f>
        <v>#REF!</v>
      </c>
      <c r="H1640" s="139" t="str">
        <f t="shared" si="145"/>
        <v/>
      </c>
      <c r="I1640" s="137" t="str">
        <f t="shared" si="146"/>
        <v/>
      </c>
      <c r="J1640" s="117"/>
      <c r="K1640" s="116">
        <v>0</v>
      </c>
      <c r="M1640" s="136" t="s">
        <v>416</v>
      </c>
      <c r="N1640" t="e">
        <v>#REF!</v>
      </c>
      <c r="Q1640" t="s">
        <v>416</v>
      </c>
    </row>
    <row r="1641" spans="1:17" hidden="1" x14ac:dyDescent="0.25">
      <c r="A1641" s="114" t="s">
        <v>4425</v>
      </c>
      <c r="B1641" s="115" t="s">
        <v>7788</v>
      </c>
      <c r="C1641" s="116" t="s">
        <v>16</v>
      </c>
      <c r="D1641" s="116">
        <v>0</v>
      </c>
      <c r="E1641" s="136" t="s">
        <v>416</v>
      </c>
      <c r="F1641" s="137" t="str">
        <f t="shared" si="144"/>
        <v/>
      </c>
      <c r="G1641" s="138" t="e">
        <f>IF(A1641&lt;&gt;"",IF(AND(#REF!="Padrão",$H$4=#REF!),BDI!$B$17,IF(AND(#REF!="Padrão",$H$4=#REF!),BDI!#REF!,IF(AND(#REF!="Diferenciado",$H$4=#REF!),BDI!$E$17,IF(AND(#REF!="Diferenciado",$H$4=#REF!),BDI!#REF!,IF(#REF!="ZERO",0))))),"")</f>
        <v>#REF!</v>
      </c>
      <c r="H1641" s="139" t="str">
        <f t="shared" si="145"/>
        <v/>
      </c>
      <c r="I1641" s="137" t="str">
        <f t="shared" si="146"/>
        <v/>
      </c>
      <c r="J1641" s="117"/>
      <c r="K1641" s="116">
        <v>0</v>
      </c>
      <c r="M1641" s="136" t="s">
        <v>416</v>
      </c>
      <c r="N1641" t="e">
        <v>#REF!</v>
      </c>
      <c r="Q1641" t="s">
        <v>416</v>
      </c>
    </row>
    <row r="1642" spans="1:17" hidden="1" x14ac:dyDescent="0.25">
      <c r="A1642" s="114" t="s">
        <v>4426</v>
      </c>
      <c r="B1642" s="115" t="s">
        <v>7789</v>
      </c>
      <c r="C1642" s="116" t="s">
        <v>16</v>
      </c>
      <c r="D1642" s="116">
        <v>0</v>
      </c>
      <c r="E1642" s="136" t="s">
        <v>416</v>
      </c>
      <c r="F1642" s="137" t="str">
        <f t="shared" si="144"/>
        <v/>
      </c>
      <c r="G1642" s="138" t="e">
        <f>IF(A1642&lt;&gt;"",IF(AND(#REF!="Padrão",$H$4=#REF!),BDI!$B$17,IF(AND(#REF!="Padrão",$H$4=#REF!),BDI!#REF!,IF(AND(#REF!="Diferenciado",$H$4=#REF!),BDI!$E$17,IF(AND(#REF!="Diferenciado",$H$4=#REF!),BDI!#REF!,IF(#REF!="ZERO",0))))),"")</f>
        <v>#REF!</v>
      </c>
      <c r="H1642" s="139" t="str">
        <f t="shared" si="145"/>
        <v/>
      </c>
      <c r="I1642" s="137" t="str">
        <f t="shared" si="146"/>
        <v/>
      </c>
      <c r="J1642" s="117"/>
      <c r="K1642" s="116">
        <v>0</v>
      </c>
      <c r="M1642" s="136" t="s">
        <v>416</v>
      </c>
      <c r="N1642" t="e">
        <v>#REF!</v>
      </c>
      <c r="Q1642" t="s">
        <v>416</v>
      </c>
    </row>
    <row r="1643" spans="1:17" hidden="1" x14ac:dyDescent="0.25">
      <c r="A1643" s="114" t="s">
        <v>4427</v>
      </c>
      <c r="B1643" s="115" t="s">
        <v>7790</v>
      </c>
      <c r="C1643" s="116" t="s">
        <v>16</v>
      </c>
      <c r="D1643" s="116">
        <v>0</v>
      </c>
      <c r="E1643" s="136" t="s">
        <v>416</v>
      </c>
      <c r="F1643" s="137" t="str">
        <f t="shared" si="144"/>
        <v/>
      </c>
      <c r="G1643" s="138" t="e">
        <f>IF(A1643&lt;&gt;"",IF(AND(#REF!="Padrão",$H$4=#REF!),BDI!$B$17,IF(AND(#REF!="Padrão",$H$4=#REF!),BDI!#REF!,IF(AND(#REF!="Diferenciado",$H$4=#REF!),BDI!$E$17,IF(AND(#REF!="Diferenciado",$H$4=#REF!),BDI!#REF!,IF(#REF!="ZERO",0))))),"")</f>
        <v>#REF!</v>
      </c>
      <c r="H1643" s="139" t="str">
        <f t="shared" si="145"/>
        <v/>
      </c>
      <c r="I1643" s="137" t="str">
        <f t="shared" si="146"/>
        <v/>
      </c>
      <c r="J1643" s="117"/>
      <c r="K1643" s="116">
        <v>0</v>
      </c>
      <c r="M1643" s="136" t="s">
        <v>416</v>
      </c>
      <c r="N1643" t="e">
        <v>#REF!</v>
      </c>
      <c r="Q1643" t="s">
        <v>416</v>
      </c>
    </row>
    <row r="1644" spans="1:17" hidden="1" x14ac:dyDescent="0.25">
      <c r="A1644" s="114" t="s">
        <v>4428</v>
      </c>
      <c r="B1644" s="115" t="s">
        <v>7791</v>
      </c>
      <c r="C1644" s="116" t="s">
        <v>16</v>
      </c>
      <c r="D1644" s="116">
        <v>0</v>
      </c>
      <c r="E1644" s="136" t="s">
        <v>416</v>
      </c>
      <c r="F1644" s="137" t="str">
        <f t="shared" si="144"/>
        <v/>
      </c>
      <c r="G1644" s="138" t="e">
        <f>IF(A1644&lt;&gt;"",IF(AND(#REF!="Padrão",$H$4=#REF!),BDI!$B$17,IF(AND(#REF!="Padrão",$H$4=#REF!),BDI!#REF!,IF(AND(#REF!="Diferenciado",$H$4=#REF!),BDI!$E$17,IF(AND(#REF!="Diferenciado",$H$4=#REF!),BDI!#REF!,IF(#REF!="ZERO",0))))),"")</f>
        <v>#REF!</v>
      </c>
      <c r="H1644" s="139" t="str">
        <f t="shared" si="145"/>
        <v/>
      </c>
      <c r="I1644" s="137" t="str">
        <f t="shared" si="146"/>
        <v/>
      </c>
      <c r="J1644" s="117"/>
      <c r="K1644" s="116">
        <v>0</v>
      </c>
      <c r="M1644" s="136" t="s">
        <v>416</v>
      </c>
      <c r="N1644" t="e">
        <v>#REF!</v>
      </c>
      <c r="Q1644" t="s">
        <v>416</v>
      </c>
    </row>
    <row r="1645" spans="1:17" hidden="1" x14ac:dyDescent="0.25">
      <c r="A1645" s="114" t="s">
        <v>4429</v>
      </c>
      <c r="B1645" s="115" t="s">
        <v>7792</v>
      </c>
      <c r="C1645" s="116" t="s">
        <v>16</v>
      </c>
      <c r="D1645" s="116">
        <v>0</v>
      </c>
      <c r="E1645" s="136" t="s">
        <v>416</v>
      </c>
      <c r="F1645" s="137" t="str">
        <f t="shared" ref="F1645:F1708" si="147">IF(ISNUMBER(E1645),D1645*E1645,"")</f>
        <v/>
      </c>
      <c r="G1645" s="138" t="e">
        <f>IF(A1645&lt;&gt;"",IF(AND(#REF!="Padrão",$H$4=#REF!),BDI!$B$17,IF(AND(#REF!="Padrão",$H$4=#REF!),BDI!#REF!,IF(AND(#REF!="Diferenciado",$H$4=#REF!),BDI!$E$17,IF(AND(#REF!="Diferenciado",$H$4=#REF!),BDI!#REF!,IF(#REF!="ZERO",0))))),"")</f>
        <v>#REF!</v>
      </c>
      <c r="H1645" s="139" t="str">
        <f t="shared" ref="H1645:H1708" si="148">IF(ISNUMBER(E1645),ROUND(E1645*(1+G1645),2),"")</f>
        <v/>
      </c>
      <c r="I1645" s="137" t="str">
        <f t="shared" ref="I1645:I1708" si="149">IF(ISNUMBER(E1645),ROUND(H1645*D1645,2),"")</f>
        <v/>
      </c>
      <c r="J1645" s="117"/>
      <c r="K1645" s="116">
        <v>0</v>
      </c>
      <c r="M1645" s="136" t="s">
        <v>416</v>
      </c>
      <c r="N1645" t="e">
        <v>#REF!</v>
      </c>
      <c r="Q1645" t="s">
        <v>416</v>
      </c>
    </row>
    <row r="1646" spans="1:17" hidden="1" x14ac:dyDescent="0.25">
      <c r="A1646" s="114" t="s">
        <v>4430</v>
      </c>
      <c r="B1646" s="115" t="s">
        <v>7793</v>
      </c>
      <c r="C1646" s="116" t="s">
        <v>16</v>
      </c>
      <c r="D1646" s="116">
        <v>0</v>
      </c>
      <c r="E1646" s="136" t="s">
        <v>416</v>
      </c>
      <c r="F1646" s="137" t="str">
        <f t="shared" si="147"/>
        <v/>
      </c>
      <c r="G1646" s="138" t="e">
        <f>IF(A1646&lt;&gt;"",IF(AND(#REF!="Padrão",$H$4=#REF!),BDI!$B$17,IF(AND(#REF!="Padrão",$H$4=#REF!),BDI!#REF!,IF(AND(#REF!="Diferenciado",$H$4=#REF!),BDI!$E$17,IF(AND(#REF!="Diferenciado",$H$4=#REF!),BDI!#REF!,IF(#REF!="ZERO",0))))),"")</f>
        <v>#REF!</v>
      </c>
      <c r="H1646" s="139" t="str">
        <f t="shared" si="148"/>
        <v/>
      </c>
      <c r="I1646" s="137" t="str">
        <f t="shared" si="149"/>
        <v/>
      </c>
      <c r="J1646" s="117"/>
      <c r="K1646" s="116">
        <v>0</v>
      </c>
      <c r="M1646" s="136" t="s">
        <v>416</v>
      </c>
      <c r="N1646" t="e">
        <v>#REF!</v>
      </c>
      <c r="Q1646" t="s">
        <v>416</v>
      </c>
    </row>
    <row r="1647" spans="1:17" hidden="1" x14ac:dyDescent="0.25">
      <c r="A1647" s="114" t="s">
        <v>4431</v>
      </c>
      <c r="B1647" s="115" t="s">
        <v>7794</v>
      </c>
      <c r="C1647" s="116" t="s">
        <v>16</v>
      </c>
      <c r="D1647" s="116">
        <v>0</v>
      </c>
      <c r="E1647" s="136" t="s">
        <v>416</v>
      </c>
      <c r="F1647" s="137" t="str">
        <f t="shared" si="147"/>
        <v/>
      </c>
      <c r="G1647" s="138" t="e">
        <f>IF(A1647&lt;&gt;"",IF(AND(#REF!="Padrão",$H$4=#REF!),BDI!$B$17,IF(AND(#REF!="Padrão",$H$4=#REF!),BDI!#REF!,IF(AND(#REF!="Diferenciado",$H$4=#REF!),BDI!$E$17,IF(AND(#REF!="Diferenciado",$H$4=#REF!),BDI!#REF!,IF(#REF!="ZERO",0))))),"")</f>
        <v>#REF!</v>
      </c>
      <c r="H1647" s="139" t="str">
        <f t="shared" si="148"/>
        <v/>
      </c>
      <c r="I1647" s="137" t="str">
        <f t="shared" si="149"/>
        <v/>
      </c>
      <c r="J1647" s="117"/>
      <c r="K1647" s="116">
        <v>0</v>
      </c>
      <c r="M1647" s="136" t="s">
        <v>416</v>
      </c>
      <c r="N1647" t="e">
        <v>#REF!</v>
      </c>
      <c r="Q1647" t="s">
        <v>416</v>
      </c>
    </row>
    <row r="1648" spans="1:17" hidden="1" x14ac:dyDescent="0.25">
      <c r="A1648" s="114" t="s">
        <v>4432</v>
      </c>
      <c r="B1648" s="115" t="s">
        <v>7795</v>
      </c>
      <c r="C1648" s="116" t="s">
        <v>16</v>
      </c>
      <c r="D1648" s="116">
        <v>0</v>
      </c>
      <c r="E1648" s="136" t="s">
        <v>416</v>
      </c>
      <c r="F1648" s="137" t="str">
        <f t="shared" si="147"/>
        <v/>
      </c>
      <c r="G1648" s="138" t="e">
        <f>IF(A1648&lt;&gt;"",IF(AND(#REF!="Padrão",$H$4=#REF!),BDI!$B$17,IF(AND(#REF!="Padrão",$H$4=#REF!),BDI!#REF!,IF(AND(#REF!="Diferenciado",$H$4=#REF!),BDI!$E$17,IF(AND(#REF!="Diferenciado",$H$4=#REF!),BDI!#REF!,IF(#REF!="ZERO",0))))),"")</f>
        <v>#REF!</v>
      </c>
      <c r="H1648" s="139" t="str">
        <f t="shared" si="148"/>
        <v/>
      </c>
      <c r="I1648" s="137" t="str">
        <f t="shared" si="149"/>
        <v/>
      </c>
      <c r="J1648" s="117"/>
      <c r="K1648" s="116">
        <v>0</v>
      </c>
      <c r="M1648" s="136" t="s">
        <v>416</v>
      </c>
      <c r="N1648" t="e">
        <v>#REF!</v>
      </c>
      <c r="Q1648" t="s">
        <v>416</v>
      </c>
    </row>
    <row r="1649" spans="1:17" hidden="1" x14ac:dyDescent="0.25">
      <c r="A1649" s="114" t="s">
        <v>4433</v>
      </c>
      <c r="B1649" s="115" t="s">
        <v>7796</v>
      </c>
      <c r="C1649" s="116" t="s">
        <v>16</v>
      </c>
      <c r="D1649" s="116">
        <v>0</v>
      </c>
      <c r="E1649" s="136" t="s">
        <v>416</v>
      </c>
      <c r="F1649" s="137" t="str">
        <f t="shared" si="147"/>
        <v/>
      </c>
      <c r="G1649" s="138" t="e">
        <f>IF(A1649&lt;&gt;"",IF(AND(#REF!="Padrão",$H$4=#REF!),BDI!$B$17,IF(AND(#REF!="Padrão",$H$4=#REF!),BDI!#REF!,IF(AND(#REF!="Diferenciado",$H$4=#REF!),BDI!$E$17,IF(AND(#REF!="Diferenciado",$H$4=#REF!),BDI!#REF!,IF(#REF!="ZERO",0))))),"")</f>
        <v>#REF!</v>
      </c>
      <c r="H1649" s="139" t="str">
        <f t="shared" si="148"/>
        <v/>
      </c>
      <c r="I1649" s="137" t="str">
        <f t="shared" si="149"/>
        <v/>
      </c>
      <c r="J1649" s="117"/>
      <c r="K1649" s="116">
        <v>0</v>
      </c>
      <c r="M1649" s="136" t="s">
        <v>416</v>
      </c>
      <c r="N1649" t="e">
        <v>#REF!</v>
      </c>
      <c r="Q1649" t="s">
        <v>416</v>
      </c>
    </row>
    <row r="1650" spans="1:17" hidden="1" x14ac:dyDescent="0.25">
      <c r="A1650" s="114" t="s">
        <v>4434</v>
      </c>
      <c r="B1650" s="115" t="s">
        <v>7797</v>
      </c>
      <c r="C1650" s="116" t="s">
        <v>16</v>
      </c>
      <c r="D1650" s="116">
        <v>0</v>
      </c>
      <c r="E1650" s="136" t="s">
        <v>416</v>
      </c>
      <c r="F1650" s="137" t="str">
        <f t="shared" si="147"/>
        <v/>
      </c>
      <c r="G1650" s="138" t="e">
        <f>IF(A1650&lt;&gt;"",IF(AND(#REF!="Padrão",$H$4=#REF!),BDI!$B$17,IF(AND(#REF!="Padrão",$H$4=#REF!),BDI!#REF!,IF(AND(#REF!="Diferenciado",$H$4=#REF!),BDI!$E$17,IF(AND(#REF!="Diferenciado",$H$4=#REF!),BDI!#REF!,IF(#REF!="ZERO",0))))),"")</f>
        <v>#REF!</v>
      </c>
      <c r="H1650" s="139" t="str">
        <f t="shared" si="148"/>
        <v/>
      </c>
      <c r="I1650" s="137" t="str">
        <f t="shared" si="149"/>
        <v/>
      </c>
      <c r="J1650" s="117"/>
      <c r="K1650" s="116">
        <v>0</v>
      </c>
      <c r="M1650" s="136" t="s">
        <v>416</v>
      </c>
      <c r="N1650" t="e">
        <v>#REF!</v>
      </c>
      <c r="Q1650" t="s">
        <v>416</v>
      </c>
    </row>
    <row r="1651" spans="1:17" hidden="1" x14ac:dyDescent="0.25">
      <c r="A1651" s="114" t="s">
        <v>4435</v>
      </c>
      <c r="B1651" s="115" t="s">
        <v>7798</v>
      </c>
      <c r="C1651" s="116" t="s">
        <v>16</v>
      </c>
      <c r="D1651" s="116">
        <v>0</v>
      </c>
      <c r="E1651" s="136" t="s">
        <v>416</v>
      </c>
      <c r="F1651" s="137" t="str">
        <f t="shared" si="147"/>
        <v/>
      </c>
      <c r="G1651" s="138" t="e">
        <f>IF(A1651&lt;&gt;"",IF(AND(#REF!="Padrão",$H$4=#REF!),BDI!$B$17,IF(AND(#REF!="Padrão",$H$4=#REF!),BDI!#REF!,IF(AND(#REF!="Diferenciado",$H$4=#REF!),BDI!$E$17,IF(AND(#REF!="Diferenciado",$H$4=#REF!),BDI!#REF!,IF(#REF!="ZERO",0))))),"")</f>
        <v>#REF!</v>
      </c>
      <c r="H1651" s="139" t="str">
        <f t="shared" si="148"/>
        <v/>
      </c>
      <c r="I1651" s="137" t="str">
        <f t="shared" si="149"/>
        <v/>
      </c>
      <c r="J1651" s="117"/>
      <c r="K1651" s="116">
        <v>0</v>
      </c>
      <c r="M1651" s="136" t="s">
        <v>416</v>
      </c>
      <c r="N1651" t="e">
        <v>#REF!</v>
      </c>
      <c r="Q1651" t="s">
        <v>416</v>
      </c>
    </row>
    <row r="1652" spans="1:17" hidden="1" x14ac:dyDescent="0.25">
      <c r="A1652" s="114" t="s">
        <v>4436</v>
      </c>
      <c r="B1652" s="115" t="s">
        <v>3514</v>
      </c>
      <c r="C1652" s="116" t="s">
        <v>16</v>
      </c>
      <c r="D1652" s="116">
        <v>0</v>
      </c>
      <c r="E1652" s="136" t="s">
        <v>416</v>
      </c>
      <c r="F1652" s="137" t="str">
        <f t="shared" si="147"/>
        <v/>
      </c>
      <c r="G1652" s="138" t="e">
        <f>IF(A1652&lt;&gt;"",IF(AND(#REF!="Padrão",$H$4=#REF!),BDI!$B$17,IF(AND(#REF!="Padrão",$H$4=#REF!),BDI!#REF!,IF(AND(#REF!="Diferenciado",$H$4=#REF!),BDI!$E$17,IF(AND(#REF!="Diferenciado",$H$4=#REF!),BDI!#REF!,IF(#REF!="ZERO",0))))),"")</f>
        <v>#REF!</v>
      </c>
      <c r="H1652" s="139" t="str">
        <f t="shared" si="148"/>
        <v/>
      </c>
      <c r="I1652" s="137" t="str">
        <f t="shared" si="149"/>
        <v/>
      </c>
      <c r="J1652" s="117"/>
      <c r="K1652" s="116">
        <v>0</v>
      </c>
      <c r="M1652" s="136" t="s">
        <v>416</v>
      </c>
      <c r="N1652" t="e">
        <v>#REF!</v>
      </c>
      <c r="Q1652" t="s">
        <v>416</v>
      </c>
    </row>
    <row r="1653" spans="1:17" hidden="1" x14ac:dyDescent="0.25">
      <c r="A1653" s="114" t="s">
        <v>4437</v>
      </c>
      <c r="B1653" s="115" t="s">
        <v>3515</v>
      </c>
      <c r="C1653" s="116" t="s">
        <v>16</v>
      </c>
      <c r="D1653" s="116">
        <v>0</v>
      </c>
      <c r="E1653" s="136" t="s">
        <v>416</v>
      </c>
      <c r="F1653" s="137" t="str">
        <f t="shared" si="147"/>
        <v/>
      </c>
      <c r="G1653" s="138" t="e">
        <f>IF(A1653&lt;&gt;"",IF(AND(#REF!="Padrão",$H$4=#REF!),BDI!$B$17,IF(AND(#REF!="Padrão",$H$4=#REF!),BDI!#REF!,IF(AND(#REF!="Diferenciado",$H$4=#REF!),BDI!$E$17,IF(AND(#REF!="Diferenciado",$H$4=#REF!),BDI!#REF!,IF(#REF!="ZERO",0))))),"")</f>
        <v>#REF!</v>
      </c>
      <c r="H1653" s="139" t="str">
        <f t="shared" si="148"/>
        <v/>
      </c>
      <c r="I1653" s="137" t="str">
        <f t="shared" si="149"/>
        <v/>
      </c>
      <c r="J1653" s="117"/>
      <c r="K1653" s="116">
        <v>0</v>
      </c>
      <c r="M1653" s="136" t="s">
        <v>416</v>
      </c>
      <c r="N1653" t="e">
        <v>#REF!</v>
      </c>
      <c r="Q1653" t="s">
        <v>416</v>
      </c>
    </row>
    <row r="1654" spans="1:17" hidden="1" x14ac:dyDescent="0.25">
      <c r="A1654" s="114" t="s">
        <v>4438</v>
      </c>
      <c r="B1654" s="115" t="s">
        <v>3516</v>
      </c>
      <c r="C1654" s="116" t="s">
        <v>16</v>
      </c>
      <c r="D1654" s="116">
        <v>0</v>
      </c>
      <c r="E1654" s="136" t="s">
        <v>416</v>
      </c>
      <c r="F1654" s="137" t="str">
        <f t="shared" si="147"/>
        <v/>
      </c>
      <c r="G1654" s="138" t="e">
        <f>IF(A1654&lt;&gt;"",IF(AND(#REF!="Padrão",$H$4=#REF!),BDI!$B$17,IF(AND(#REF!="Padrão",$H$4=#REF!),BDI!#REF!,IF(AND(#REF!="Diferenciado",$H$4=#REF!),BDI!$E$17,IF(AND(#REF!="Diferenciado",$H$4=#REF!),BDI!#REF!,IF(#REF!="ZERO",0))))),"")</f>
        <v>#REF!</v>
      </c>
      <c r="H1654" s="139" t="str">
        <f t="shared" si="148"/>
        <v/>
      </c>
      <c r="I1654" s="137" t="str">
        <f t="shared" si="149"/>
        <v/>
      </c>
      <c r="J1654" s="117"/>
      <c r="K1654" s="116">
        <v>0</v>
      </c>
      <c r="M1654" s="136" t="s">
        <v>416</v>
      </c>
      <c r="N1654" t="e">
        <v>#REF!</v>
      </c>
      <c r="Q1654" t="s">
        <v>416</v>
      </c>
    </row>
    <row r="1655" spans="1:17" hidden="1" x14ac:dyDescent="0.25">
      <c r="A1655" s="114" t="s">
        <v>4439</v>
      </c>
      <c r="B1655" s="115" t="s">
        <v>7799</v>
      </c>
      <c r="C1655" s="116" t="s">
        <v>16</v>
      </c>
      <c r="D1655" s="116">
        <v>0</v>
      </c>
      <c r="E1655" s="136" t="s">
        <v>416</v>
      </c>
      <c r="F1655" s="137" t="str">
        <f t="shared" si="147"/>
        <v/>
      </c>
      <c r="G1655" s="138" t="e">
        <f>IF(A1655&lt;&gt;"",IF(AND(#REF!="Padrão",$H$4=#REF!),BDI!$B$17,IF(AND(#REF!="Padrão",$H$4=#REF!),BDI!#REF!,IF(AND(#REF!="Diferenciado",$H$4=#REF!),BDI!$E$17,IF(AND(#REF!="Diferenciado",$H$4=#REF!),BDI!#REF!,IF(#REF!="ZERO",0))))),"")</f>
        <v>#REF!</v>
      </c>
      <c r="H1655" s="139" t="str">
        <f t="shared" si="148"/>
        <v/>
      </c>
      <c r="I1655" s="137" t="str">
        <f t="shared" si="149"/>
        <v/>
      </c>
      <c r="J1655" s="117"/>
      <c r="K1655" s="116">
        <v>0</v>
      </c>
      <c r="M1655" s="136" t="s">
        <v>416</v>
      </c>
      <c r="N1655" t="e">
        <v>#REF!</v>
      </c>
      <c r="Q1655" t="s">
        <v>416</v>
      </c>
    </row>
    <row r="1656" spans="1:17" hidden="1" x14ac:dyDescent="0.25">
      <c r="A1656" s="114" t="s">
        <v>4440</v>
      </c>
      <c r="B1656" s="115" t="s">
        <v>7800</v>
      </c>
      <c r="C1656" s="116" t="s">
        <v>16</v>
      </c>
      <c r="D1656" s="116">
        <v>0</v>
      </c>
      <c r="E1656" s="136" t="s">
        <v>416</v>
      </c>
      <c r="F1656" s="137" t="str">
        <f t="shared" si="147"/>
        <v/>
      </c>
      <c r="G1656" s="138" t="e">
        <f>IF(A1656&lt;&gt;"",IF(AND(#REF!="Padrão",$H$4=#REF!),BDI!$B$17,IF(AND(#REF!="Padrão",$H$4=#REF!),BDI!#REF!,IF(AND(#REF!="Diferenciado",$H$4=#REF!),BDI!$E$17,IF(AND(#REF!="Diferenciado",$H$4=#REF!),BDI!#REF!,IF(#REF!="ZERO",0))))),"")</f>
        <v>#REF!</v>
      </c>
      <c r="H1656" s="139" t="str">
        <f t="shared" si="148"/>
        <v/>
      </c>
      <c r="I1656" s="137" t="str">
        <f t="shared" si="149"/>
        <v/>
      </c>
      <c r="J1656" s="117"/>
      <c r="K1656" s="116">
        <v>0</v>
      </c>
      <c r="M1656" s="136" t="s">
        <v>416</v>
      </c>
      <c r="N1656" t="e">
        <v>#REF!</v>
      </c>
      <c r="Q1656" t="s">
        <v>416</v>
      </c>
    </row>
    <row r="1657" spans="1:17" hidden="1" x14ac:dyDescent="0.25">
      <c r="A1657" s="114" t="s">
        <v>4441</v>
      </c>
      <c r="B1657" s="115" t="s">
        <v>7801</v>
      </c>
      <c r="C1657" s="116" t="s">
        <v>16</v>
      </c>
      <c r="D1657" s="116">
        <v>0</v>
      </c>
      <c r="E1657" s="136" t="s">
        <v>416</v>
      </c>
      <c r="F1657" s="137" t="str">
        <f t="shared" si="147"/>
        <v/>
      </c>
      <c r="G1657" s="138" t="e">
        <f>IF(A1657&lt;&gt;"",IF(AND(#REF!="Padrão",$H$4=#REF!),BDI!$B$17,IF(AND(#REF!="Padrão",$H$4=#REF!),BDI!#REF!,IF(AND(#REF!="Diferenciado",$H$4=#REF!),BDI!$E$17,IF(AND(#REF!="Diferenciado",$H$4=#REF!),BDI!#REF!,IF(#REF!="ZERO",0))))),"")</f>
        <v>#REF!</v>
      </c>
      <c r="H1657" s="139" t="str">
        <f t="shared" si="148"/>
        <v/>
      </c>
      <c r="I1657" s="137" t="str">
        <f t="shared" si="149"/>
        <v/>
      </c>
      <c r="J1657" s="117"/>
      <c r="K1657" s="116">
        <v>0</v>
      </c>
      <c r="M1657" s="136" t="s">
        <v>416</v>
      </c>
      <c r="N1657" t="e">
        <v>#REF!</v>
      </c>
      <c r="Q1657" t="s">
        <v>416</v>
      </c>
    </row>
    <row r="1658" spans="1:17" hidden="1" x14ac:dyDescent="0.25">
      <c r="A1658" s="114" t="s">
        <v>4442</v>
      </c>
      <c r="B1658" s="115" t="s">
        <v>3517</v>
      </c>
      <c r="C1658" s="116" t="s">
        <v>16</v>
      </c>
      <c r="D1658" s="116">
        <v>0</v>
      </c>
      <c r="E1658" s="136" t="s">
        <v>416</v>
      </c>
      <c r="F1658" s="137" t="str">
        <f t="shared" si="147"/>
        <v/>
      </c>
      <c r="G1658" s="138" t="e">
        <f>IF(A1658&lt;&gt;"",IF(AND(#REF!="Padrão",$H$4=#REF!),BDI!$B$17,IF(AND(#REF!="Padrão",$H$4=#REF!),BDI!#REF!,IF(AND(#REF!="Diferenciado",$H$4=#REF!),BDI!$E$17,IF(AND(#REF!="Diferenciado",$H$4=#REF!),BDI!#REF!,IF(#REF!="ZERO",0))))),"")</f>
        <v>#REF!</v>
      </c>
      <c r="H1658" s="139" t="str">
        <f t="shared" si="148"/>
        <v/>
      </c>
      <c r="I1658" s="137" t="str">
        <f t="shared" si="149"/>
        <v/>
      </c>
      <c r="J1658" s="117"/>
      <c r="K1658" s="116">
        <v>0</v>
      </c>
      <c r="M1658" s="136" t="s">
        <v>416</v>
      </c>
      <c r="N1658" t="e">
        <v>#REF!</v>
      </c>
      <c r="Q1658" t="s">
        <v>416</v>
      </c>
    </row>
    <row r="1659" spans="1:17" hidden="1" x14ac:dyDescent="0.25">
      <c r="A1659" s="114" t="s">
        <v>4443</v>
      </c>
      <c r="B1659" s="115" t="s">
        <v>3518</v>
      </c>
      <c r="C1659" s="116" t="s">
        <v>16</v>
      </c>
      <c r="D1659" s="116">
        <v>0</v>
      </c>
      <c r="E1659" s="136" t="s">
        <v>416</v>
      </c>
      <c r="F1659" s="137" t="str">
        <f t="shared" si="147"/>
        <v/>
      </c>
      <c r="G1659" s="138" t="e">
        <f>IF(A1659&lt;&gt;"",IF(AND(#REF!="Padrão",$H$4=#REF!),BDI!$B$17,IF(AND(#REF!="Padrão",$H$4=#REF!),BDI!#REF!,IF(AND(#REF!="Diferenciado",$H$4=#REF!),BDI!$E$17,IF(AND(#REF!="Diferenciado",$H$4=#REF!),BDI!#REF!,IF(#REF!="ZERO",0))))),"")</f>
        <v>#REF!</v>
      </c>
      <c r="H1659" s="139" t="str">
        <f t="shared" si="148"/>
        <v/>
      </c>
      <c r="I1659" s="137" t="str">
        <f t="shared" si="149"/>
        <v/>
      </c>
      <c r="J1659" s="117"/>
      <c r="K1659" s="116">
        <v>0</v>
      </c>
      <c r="M1659" s="136" t="s">
        <v>416</v>
      </c>
      <c r="N1659" t="e">
        <v>#REF!</v>
      </c>
      <c r="Q1659" t="s">
        <v>416</v>
      </c>
    </row>
    <row r="1660" spans="1:17" hidden="1" x14ac:dyDescent="0.25">
      <c r="A1660" s="114" t="s">
        <v>4444</v>
      </c>
      <c r="B1660" s="115" t="s">
        <v>3519</v>
      </c>
      <c r="C1660" s="116" t="s">
        <v>16</v>
      </c>
      <c r="D1660" s="116">
        <v>0</v>
      </c>
      <c r="E1660" s="136" t="s">
        <v>416</v>
      </c>
      <c r="F1660" s="137" t="str">
        <f t="shared" si="147"/>
        <v/>
      </c>
      <c r="G1660" s="138" t="e">
        <f>IF(A1660&lt;&gt;"",IF(AND(#REF!="Padrão",$H$4=#REF!),BDI!$B$17,IF(AND(#REF!="Padrão",$H$4=#REF!),BDI!#REF!,IF(AND(#REF!="Diferenciado",$H$4=#REF!),BDI!$E$17,IF(AND(#REF!="Diferenciado",$H$4=#REF!),BDI!#REF!,IF(#REF!="ZERO",0))))),"")</f>
        <v>#REF!</v>
      </c>
      <c r="H1660" s="139" t="str">
        <f t="shared" si="148"/>
        <v/>
      </c>
      <c r="I1660" s="137" t="str">
        <f t="shared" si="149"/>
        <v/>
      </c>
      <c r="J1660" s="117"/>
      <c r="K1660" s="116">
        <v>0</v>
      </c>
      <c r="M1660" s="136" t="s">
        <v>416</v>
      </c>
      <c r="N1660" t="e">
        <v>#REF!</v>
      </c>
      <c r="Q1660" t="s">
        <v>416</v>
      </c>
    </row>
    <row r="1661" spans="1:17" hidden="1" x14ac:dyDescent="0.25">
      <c r="A1661" s="114" t="s">
        <v>4445</v>
      </c>
      <c r="B1661" s="115" t="s">
        <v>3520</v>
      </c>
      <c r="C1661" s="116" t="s">
        <v>16</v>
      </c>
      <c r="D1661" s="116">
        <v>0</v>
      </c>
      <c r="E1661" s="136" t="s">
        <v>416</v>
      </c>
      <c r="F1661" s="137" t="str">
        <f t="shared" si="147"/>
        <v/>
      </c>
      <c r="G1661" s="138" t="e">
        <f>IF(A1661&lt;&gt;"",IF(AND(#REF!="Padrão",$H$4=#REF!),BDI!$B$17,IF(AND(#REF!="Padrão",$H$4=#REF!),BDI!#REF!,IF(AND(#REF!="Diferenciado",$H$4=#REF!),BDI!$E$17,IF(AND(#REF!="Diferenciado",$H$4=#REF!),BDI!#REF!,IF(#REF!="ZERO",0))))),"")</f>
        <v>#REF!</v>
      </c>
      <c r="H1661" s="139" t="str">
        <f t="shared" si="148"/>
        <v/>
      </c>
      <c r="I1661" s="137" t="str">
        <f t="shared" si="149"/>
        <v/>
      </c>
      <c r="J1661" s="117"/>
      <c r="K1661" s="116">
        <v>0</v>
      </c>
      <c r="M1661" s="136" t="s">
        <v>416</v>
      </c>
      <c r="N1661" t="e">
        <v>#REF!</v>
      </c>
      <c r="Q1661" t="s">
        <v>416</v>
      </c>
    </row>
    <row r="1662" spans="1:17" hidden="1" x14ac:dyDescent="0.25">
      <c r="A1662" s="114" t="s">
        <v>4446</v>
      </c>
      <c r="B1662" s="115" t="s">
        <v>3521</v>
      </c>
      <c r="C1662" s="116" t="s">
        <v>16</v>
      </c>
      <c r="D1662" s="116">
        <v>0</v>
      </c>
      <c r="E1662" s="136" t="s">
        <v>416</v>
      </c>
      <c r="F1662" s="137" t="str">
        <f t="shared" si="147"/>
        <v/>
      </c>
      <c r="G1662" s="138" t="e">
        <f>IF(A1662&lt;&gt;"",IF(AND(#REF!="Padrão",$H$4=#REF!),BDI!$B$17,IF(AND(#REF!="Padrão",$H$4=#REF!),BDI!#REF!,IF(AND(#REF!="Diferenciado",$H$4=#REF!),BDI!$E$17,IF(AND(#REF!="Diferenciado",$H$4=#REF!),BDI!#REF!,IF(#REF!="ZERO",0))))),"")</f>
        <v>#REF!</v>
      </c>
      <c r="H1662" s="139" t="str">
        <f t="shared" si="148"/>
        <v/>
      </c>
      <c r="I1662" s="137" t="str">
        <f t="shared" si="149"/>
        <v/>
      </c>
      <c r="J1662" s="117"/>
      <c r="K1662" s="116">
        <v>0</v>
      </c>
      <c r="M1662" s="136" t="s">
        <v>416</v>
      </c>
      <c r="N1662" t="e">
        <v>#REF!</v>
      </c>
      <c r="Q1662" t="s">
        <v>416</v>
      </c>
    </row>
    <row r="1663" spans="1:17" hidden="1" x14ac:dyDescent="0.25">
      <c r="A1663" s="114" t="s">
        <v>4447</v>
      </c>
      <c r="B1663" s="115" t="s">
        <v>3522</v>
      </c>
      <c r="C1663" s="116" t="s">
        <v>16</v>
      </c>
      <c r="D1663" s="116">
        <v>0</v>
      </c>
      <c r="E1663" s="136" t="s">
        <v>416</v>
      </c>
      <c r="F1663" s="137" t="str">
        <f t="shared" si="147"/>
        <v/>
      </c>
      <c r="G1663" s="138" t="e">
        <f>IF(A1663&lt;&gt;"",IF(AND(#REF!="Padrão",$H$4=#REF!),BDI!$B$17,IF(AND(#REF!="Padrão",$H$4=#REF!),BDI!#REF!,IF(AND(#REF!="Diferenciado",$H$4=#REF!),BDI!$E$17,IF(AND(#REF!="Diferenciado",$H$4=#REF!),BDI!#REF!,IF(#REF!="ZERO",0))))),"")</f>
        <v>#REF!</v>
      </c>
      <c r="H1663" s="139" t="str">
        <f t="shared" si="148"/>
        <v/>
      </c>
      <c r="I1663" s="137" t="str">
        <f t="shared" si="149"/>
        <v/>
      </c>
      <c r="J1663" s="117"/>
      <c r="K1663" s="116">
        <v>0</v>
      </c>
      <c r="M1663" s="136" t="s">
        <v>416</v>
      </c>
      <c r="N1663" t="e">
        <v>#REF!</v>
      </c>
      <c r="Q1663" t="s">
        <v>416</v>
      </c>
    </row>
    <row r="1664" spans="1:17" hidden="1" x14ac:dyDescent="0.25">
      <c r="A1664" s="114" t="s">
        <v>4448</v>
      </c>
      <c r="B1664" s="115" t="s">
        <v>3523</v>
      </c>
      <c r="C1664" s="116" t="s">
        <v>16</v>
      </c>
      <c r="D1664" s="116">
        <v>0</v>
      </c>
      <c r="E1664" s="136" t="s">
        <v>416</v>
      </c>
      <c r="F1664" s="137" t="str">
        <f t="shared" si="147"/>
        <v/>
      </c>
      <c r="G1664" s="138" t="e">
        <f>IF(A1664&lt;&gt;"",IF(AND(#REF!="Padrão",$H$4=#REF!),BDI!$B$17,IF(AND(#REF!="Padrão",$H$4=#REF!),BDI!#REF!,IF(AND(#REF!="Diferenciado",$H$4=#REF!),BDI!$E$17,IF(AND(#REF!="Diferenciado",$H$4=#REF!),BDI!#REF!,IF(#REF!="ZERO",0))))),"")</f>
        <v>#REF!</v>
      </c>
      <c r="H1664" s="139" t="str">
        <f t="shared" si="148"/>
        <v/>
      </c>
      <c r="I1664" s="137" t="str">
        <f t="shared" si="149"/>
        <v/>
      </c>
      <c r="J1664" s="117"/>
      <c r="K1664" s="116">
        <v>0</v>
      </c>
      <c r="M1664" s="136" t="s">
        <v>416</v>
      </c>
      <c r="N1664" t="e">
        <v>#REF!</v>
      </c>
      <c r="Q1664" t="s">
        <v>416</v>
      </c>
    </row>
    <row r="1665" spans="1:17" hidden="1" x14ac:dyDescent="0.25">
      <c r="A1665" s="114" t="s">
        <v>4449</v>
      </c>
      <c r="B1665" s="115" t="s">
        <v>7802</v>
      </c>
      <c r="C1665" s="116" t="s">
        <v>16</v>
      </c>
      <c r="D1665" s="116">
        <v>0</v>
      </c>
      <c r="E1665" s="136" t="s">
        <v>416</v>
      </c>
      <c r="F1665" s="137" t="str">
        <f t="shared" si="147"/>
        <v/>
      </c>
      <c r="G1665" s="138" t="e">
        <f>IF(A1665&lt;&gt;"",IF(AND(#REF!="Padrão",$H$4=#REF!),BDI!$B$17,IF(AND(#REF!="Padrão",$H$4=#REF!),BDI!#REF!,IF(AND(#REF!="Diferenciado",$H$4=#REF!),BDI!$E$17,IF(AND(#REF!="Diferenciado",$H$4=#REF!),BDI!#REF!,IF(#REF!="ZERO",0))))),"")</f>
        <v>#REF!</v>
      </c>
      <c r="H1665" s="139" t="str">
        <f t="shared" si="148"/>
        <v/>
      </c>
      <c r="I1665" s="137" t="str">
        <f t="shared" si="149"/>
        <v/>
      </c>
      <c r="J1665" s="117"/>
      <c r="K1665" s="116">
        <v>0</v>
      </c>
      <c r="M1665" s="136" t="s">
        <v>416</v>
      </c>
      <c r="N1665" t="e">
        <v>#REF!</v>
      </c>
      <c r="Q1665" t="s">
        <v>416</v>
      </c>
    </row>
    <row r="1666" spans="1:17" hidden="1" x14ac:dyDescent="0.25">
      <c r="A1666" s="114" t="s">
        <v>4450</v>
      </c>
      <c r="B1666" s="115" t="s">
        <v>7803</v>
      </c>
      <c r="C1666" s="116" t="s">
        <v>16</v>
      </c>
      <c r="D1666" s="116">
        <v>0</v>
      </c>
      <c r="E1666" s="136" t="s">
        <v>416</v>
      </c>
      <c r="F1666" s="137" t="str">
        <f t="shared" si="147"/>
        <v/>
      </c>
      <c r="G1666" s="138" t="e">
        <f>IF(A1666&lt;&gt;"",IF(AND(#REF!="Padrão",$H$4=#REF!),BDI!$B$17,IF(AND(#REF!="Padrão",$H$4=#REF!),BDI!#REF!,IF(AND(#REF!="Diferenciado",$H$4=#REF!),BDI!$E$17,IF(AND(#REF!="Diferenciado",$H$4=#REF!),BDI!#REF!,IF(#REF!="ZERO",0))))),"")</f>
        <v>#REF!</v>
      </c>
      <c r="H1666" s="139" t="str">
        <f t="shared" si="148"/>
        <v/>
      </c>
      <c r="I1666" s="137" t="str">
        <f t="shared" si="149"/>
        <v/>
      </c>
      <c r="J1666" s="117"/>
      <c r="K1666" s="116">
        <v>0</v>
      </c>
      <c r="M1666" s="136" t="s">
        <v>416</v>
      </c>
      <c r="N1666" t="e">
        <v>#REF!</v>
      </c>
      <c r="Q1666" t="s">
        <v>416</v>
      </c>
    </row>
    <row r="1667" spans="1:17" hidden="1" x14ac:dyDescent="0.25">
      <c r="A1667" s="114" t="s">
        <v>4451</v>
      </c>
      <c r="B1667" s="115" t="s">
        <v>7804</v>
      </c>
      <c r="C1667" s="116" t="s">
        <v>16</v>
      </c>
      <c r="D1667" s="116">
        <v>0</v>
      </c>
      <c r="E1667" s="136" t="s">
        <v>416</v>
      </c>
      <c r="F1667" s="137" t="str">
        <f t="shared" si="147"/>
        <v/>
      </c>
      <c r="G1667" s="138" t="e">
        <f>IF(A1667&lt;&gt;"",IF(AND(#REF!="Padrão",$H$4=#REF!),BDI!$B$17,IF(AND(#REF!="Padrão",$H$4=#REF!),BDI!#REF!,IF(AND(#REF!="Diferenciado",$H$4=#REF!),BDI!$E$17,IF(AND(#REF!="Diferenciado",$H$4=#REF!),BDI!#REF!,IF(#REF!="ZERO",0))))),"")</f>
        <v>#REF!</v>
      </c>
      <c r="H1667" s="139" t="str">
        <f t="shared" si="148"/>
        <v/>
      </c>
      <c r="I1667" s="137" t="str">
        <f t="shared" si="149"/>
        <v/>
      </c>
      <c r="J1667" s="117"/>
      <c r="K1667" s="116">
        <v>0</v>
      </c>
      <c r="M1667" s="136" t="s">
        <v>416</v>
      </c>
      <c r="N1667" t="e">
        <v>#REF!</v>
      </c>
      <c r="Q1667" t="s">
        <v>416</v>
      </c>
    </row>
    <row r="1668" spans="1:17" hidden="1" x14ac:dyDescent="0.25">
      <c r="A1668" s="114" t="s">
        <v>4452</v>
      </c>
      <c r="B1668" s="115" t="s">
        <v>7805</v>
      </c>
      <c r="C1668" s="116" t="s">
        <v>16</v>
      </c>
      <c r="D1668" s="116">
        <v>0</v>
      </c>
      <c r="E1668" s="136" t="s">
        <v>416</v>
      </c>
      <c r="F1668" s="137" t="str">
        <f t="shared" si="147"/>
        <v/>
      </c>
      <c r="G1668" s="138" t="e">
        <f>IF(A1668&lt;&gt;"",IF(AND(#REF!="Padrão",$H$4=#REF!),BDI!$B$17,IF(AND(#REF!="Padrão",$H$4=#REF!),BDI!#REF!,IF(AND(#REF!="Diferenciado",$H$4=#REF!),BDI!$E$17,IF(AND(#REF!="Diferenciado",$H$4=#REF!),BDI!#REF!,IF(#REF!="ZERO",0))))),"")</f>
        <v>#REF!</v>
      </c>
      <c r="H1668" s="139" t="str">
        <f t="shared" si="148"/>
        <v/>
      </c>
      <c r="I1668" s="137" t="str">
        <f t="shared" si="149"/>
        <v/>
      </c>
      <c r="J1668" s="117"/>
      <c r="K1668" s="116">
        <v>0</v>
      </c>
      <c r="M1668" s="136" t="s">
        <v>416</v>
      </c>
      <c r="N1668" t="e">
        <v>#REF!</v>
      </c>
      <c r="Q1668" t="s">
        <v>416</v>
      </c>
    </row>
    <row r="1669" spans="1:17" hidden="1" x14ac:dyDescent="0.25">
      <c r="A1669" s="114" t="s">
        <v>4453</v>
      </c>
      <c r="B1669" s="115" t="s">
        <v>3524</v>
      </c>
      <c r="C1669" s="116" t="s">
        <v>16</v>
      </c>
      <c r="D1669" s="116">
        <v>0</v>
      </c>
      <c r="E1669" s="136" t="s">
        <v>416</v>
      </c>
      <c r="F1669" s="137" t="str">
        <f t="shared" si="147"/>
        <v/>
      </c>
      <c r="G1669" s="138" t="e">
        <f>IF(A1669&lt;&gt;"",IF(AND(#REF!="Padrão",$H$4=#REF!),BDI!$B$17,IF(AND(#REF!="Padrão",$H$4=#REF!),BDI!#REF!,IF(AND(#REF!="Diferenciado",$H$4=#REF!),BDI!$E$17,IF(AND(#REF!="Diferenciado",$H$4=#REF!),BDI!#REF!,IF(#REF!="ZERO",0))))),"")</f>
        <v>#REF!</v>
      </c>
      <c r="H1669" s="139" t="str">
        <f t="shared" si="148"/>
        <v/>
      </c>
      <c r="I1669" s="137" t="str">
        <f t="shared" si="149"/>
        <v/>
      </c>
      <c r="J1669" s="117"/>
      <c r="K1669" s="116">
        <v>0</v>
      </c>
      <c r="M1669" s="136" t="s">
        <v>416</v>
      </c>
      <c r="N1669" t="e">
        <v>#REF!</v>
      </c>
      <c r="Q1669" t="s">
        <v>416</v>
      </c>
    </row>
    <row r="1670" spans="1:17" hidden="1" x14ac:dyDescent="0.25">
      <c r="A1670" s="114" t="s">
        <v>4454</v>
      </c>
      <c r="B1670" s="115" t="s">
        <v>7806</v>
      </c>
      <c r="C1670" s="116" t="s">
        <v>16</v>
      </c>
      <c r="D1670" s="116">
        <v>0</v>
      </c>
      <c r="E1670" s="136" t="s">
        <v>416</v>
      </c>
      <c r="F1670" s="137" t="str">
        <f t="shared" si="147"/>
        <v/>
      </c>
      <c r="G1670" s="138" t="e">
        <f>IF(A1670&lt;&gt;"",IF(AND(#REF!="Padrão",$H$4=#REF!),BDI!$B$17,IF(AND(#REF!="Padrão",$H$4=#REF!),BDI!#REF!,IF(AND(#REF!="Diferenciado",$H$4=#REF!),BDI!$E$17,IF(AND(#REF!="Diferenciado",$H$4=#REF!),BDI!#REF!,IF(#REF!="ZERO",0))))),"")</f>
        <v>#REF!</v>
      </c>
      <c r="H1670" s="139" t="str">
        <f t="shared" si="148"/>
        <v/>
      </c>
      <c r="I1670" s="137" t="str">
        <f t="shared" si="149"/>
        <v/>
      </c>
      <c r="J1670" s="117"/>
      <c r="K1670" s="116">
        <v>0</v>
      </c>
      <c r="M1670" s="136" t="s">
        <v>416</v>
      </c>
      <c r="N1670" t="e">
        <v>#REF!</v>
      </c>
      <c r="Q1670" t="s">
        <v>416</v>
      </c>
    </row>
    <row r="1671" spans="1:17" hidden="1" x14ac:dyDescent="0.25">
      <c r="A1671" s="114" t="s">
        <v>4455</v>
      </c>
      <c r="B1671" s="115" t="s">
        <v>7807</v>
      </c>
      <c r="C1671" s="116" t="s">
        <v>16</v>
      </c>
      <c r="D1671" s="116">
        <v>0</v>
      </c>
      <c r="E1671" s="136" t="s">
        <v>416</v>
      </c>
      <c r="F1671" s="137" t="str">
        <f t="shared" si="147"/>
        <v/>
      </c>
      <c r="G1671" s="138" t="e">
        <f>IF(A1671&lt;&gt;"",IF(AND(#REF!="Padrão",$H$4=#REF!),BDI!$B$17,IF(AND(#REF!="Padrão",$H$4=#REF!),BDI!#REF!,IF(AND(#REF!="Diferenciado",$H$4=#REF!),BDI!$E$17,IF(AND(#REF!="Diferenciado",$H$4=#REF!),BDI!#REF!,IF(#REF!="ZERO",0))))),"")</f>
        <v>#REF!</v>
      </c>
      <c r="H1671" s="139" t="str">
        <f t="shared" si="148"/>
        <v/>
      </c>
      <c r="I1671" s="137" t="str">
        <f t="shared" si="149"/>
        <v/>
      </c>
      <c r="J1671" s="117"/>
      <c r="K1671" s="116">
        <v>0</v>
      </c>
      <c r="M1671" s="136" t="s">
        <v>416</v>
      </c>
      <c r="N1671" t="e">
        <v>#REF!</v>
      </c>
      <c r="Q1671" t="s">
        <v>416</v>
      </c>
    </row>
    <row r="1672" spans="1:17" hidden="1" x14ac:dyDescent="0.25">
      <c r="A1672" s="114" t="s">
        <v>4456</v>
      </c>
      <c r="B1672" s="115" t="s">
        <v>7808</v>
      </c>
      <c r="C1672" s="116" t="s">
        <v>16</v>
      </c>
      <c r="D1672" s="116">
        <v>0</v>
      </c>
      <c r="E1672" s="136" t="s">
        <v>416</v>
      </c>
      <c r="F1672" s="137" t="str">
        <f t="shared" si="147"/>
        <v/>
      </c>
      <c r="G1672" s="138" t="e">
        <f>IF(A1672&lt;&gt;"",IF(AND(#REF!="Padrão",$H$4=#REF!),BDI!$B$17,IF(AND(#REF!="Padrão",$H$4=#REF!),BDI!#REF!,IF(AND(#REF!="Diferenciado",$H$4=#REF!),BDI!$E$17,IF(AND(#REF!="Diferenciado",$H$4=#REF!),BDI!#REF!,IF(#REF!="ZERO",0))))),"")</f>
        <v>#REF!</v>
      </c>
      <c r="H1672" s="139" t="str">
        <f t="shared" si="148"/>
        <v/>
      </c>
      <c r="I1672" s="137" t="str">
        <f t="shared" si="149"/>
        <v/>
      </c>
      <c r="J1672" s="117"/>
      <c r="K1672" s="116">
        <v>0</v>
      </c>
      <c r="M1672" s="136" t="s">
        <v>416</v>
      </c>
      <c r="N1672" t="e">
        <v>#REF!</v>
      </c>
      <c r="Q1672" t="s">
        <v>416</v>
      </c>
    </row>
    <row r="1673" spans="1:17" hidden="1" x14ac:dyDescent="0.25">
      <c r="A1673" s="114" t="s">
        <v>4457</v>
      </c>
      <c r="B1673" s="115" t="s">
        <v>7809</v>
      </c>
      <c r="C1673" s="116" t="s">
        <v>16</v>
      </c>
      <c r="D1673" s="116">
        <v>0</v>
      </c>
      <c r="E1673" s="136" t="s">
        <v>416</v>
      </c>
      <c r="F1673" s="137" t="str">
        <f t="shared" si="147"/>
        <v/>
      </c>
      <c r="G1673" s="138" t="e">
        <f>IF(A1673&lt;&gt;"",IF(AND(#REF!="Padrão",$H$4=#REF!),BDI!$B$17,IF(AND(#REF!="Padrão",$H$4=#REF!),BDI!#REF!,IF(AND(#REF!="Diferenciado",$H$4=#REF!),BDI!$E$17,IF(AND(#REF!="Diferenciado",$H$4=#REF!),BDI!#REF!,IF(#REF!="ZERO",0))))),"")</f>
        <v>#REF!</v>
      </c>
      <c r="H1673" s="139" t="str">
        <f t="shared" si="148"/>
        <v/>
      </c>
      <c r="I1673" s="137" t="str">
        <f t="shared" si="149"/>
        <v/>
      </c>
      <c r="J1673" s="117"/>
      <c r="K1673" s="116">
        <v>0</v>
      </c>
      <c r="M1673" s="136" t="s">
        <v>416</v>
      </c>
      <c r="N1673" t="e">
        <v>#REF!</v>
      </c>
      <c r="Q1673" t="s">
        <v>416</v>
      </c>
    </row>
    <row r="1674" spans="1:17" hidden="1" x14ac:dyDescent="0.25">
      <c r="A1674" s="114" t="s">
        <v>4458</v>
      </c>
      <c r="B1674" s="115" t="s">
        <v>7810</v>
      </c>
      <c r="C1674" s="116" t="s">
        <v>16</v>
      </c>
      <c r="D1674" s="116">
        <v>0</v>
      </c>
      <c r="E1674" s="136" t="s">
        <v>416</v>
      </c>
      <c r="F1674" s="137" t="str">
        <f t="shared" si="147"/>
        <v/>
      </c>
      <c r="G1674" s="138" t="e">
        <f>IF(A1674&lt;&gt;"",IF(AND(#REF!="Padrão",$H$4=#REF!),BDI!$B$17,IF(AND(#REF!="Padrão",$H$4=#REF!),BDI!#REF!,IF(AND(#REF!="Diferenciado",$H$4=#REF!),BDI!$E$17,IF(AND(#REF!="Diferenciado",$H$4=#REF!),BDI!#REF!,IF(#REF!="ZERO",0))))),"")</f>
        <v>#REF!</v>
      </c>
      <c r="H1674" s="139" t="str">
        <f t="shared" si="148"/>
        <v/>
      </c>
      <c r="I1674" s="137" t="str">
        <f t="shared" si="149"/>
        <v/>
      </c>
      <c r="J1674" s="117"/>
      <c r="K1674" s="116">
        <v>0</v>
      </c>
      <c r="M1674" s="136" t="s">
        <v>416</v>
      </c>
      <c r="N1674" t="e">
        <v>#REF!</v>
      </c>
      <c r="Q1674" t="s">
        <v>416</v>
      </c>
    </row>
    <row r="1675" spans="1:17" hidden="1" x14ac:dyDescent="0.25">
      <c r="A1675" s="114" t="s">
        <v>4459</v>
      </c>
      <c r="B1675" s="115" t="s">
        <v>7811</v>
      </c>
      <c r="C1675" s="116" t="s">
        <v>16</v>
      </c>
      <c r="D1675" s="116">
        <v>0</v>
      </c>
      <c r="E1675" s="136" t="s">
        <v>416</v>
      </c>
      <c r="F1675" s="137" t="str">
        <f t="shared" si="147"/>
        <v/>
      </c>
      <c r="G1675" s="138" t="e">
        <f>IF(A1675&lt;&gt;"",IF(AND(#REF!="Padrão",$H$4=#REF!),BDI!$B$17,IF(AND(#REF!="Padrão",$H$4=#REF!),BDI!#REF!,IF(AND(#REF!="Diferenciado",$H$4=#REF!),BDI!$E$17,IF(AND(#REF!="Diferenciado",$H$4=#REF!),BDI!#REF!,IF(#REF!="ZERO",0))))),"")</f>
        <v>#REF!</v>
      </c>
      <c r="H1675" s="139" t="str">
        <f t="shared" si="148"/>
        <v/>
      </c>
      <c r="I1675" s="137" t="str">
        <f t="shared" si="149"/>
        <v/>
      </c>
      <c r="J1675" s="117"/>
      <c r="K1675" s="116">
        <v>0</v>
      </c>
      <c r="M1675" s="136" t="s">
        <v>416</v>
      </c>
      <c r="N1675" t="e">
        <v>#REF!</v>
      </c>
      <c r="Q1675" t="s">
        <v>416</v>
      </c>
    </row>
    <row r="1676" spans="1:17" hidden="1" x14ac:dyDescent="0.25">
      <c r="A1676" s="114" t="s">
        <v>4460</v>
      </c>
      <c r="B1676" s="115" t="s">
        <v>7812</v>
      </c>
      <c r="C1676" s="116" t="s">
        <v>16</v>
      </c>
      <c r="D1676" s="116">
        <v>0</v>
      </c>
      <c r="E1676" s="136" t="s">
        <v>416</v>
      </c>
      <c r="F1676" s="137" t="str">
        <f t="shared" si="147"/>
        <v/>
      </c>
      <c r="G1676" s="138" t="e">
        <f>IF(A1676&lt;&gt;"",IF(AND(#REF!="Padrão",$H$4=#REF!),BDI!$B$17,IF(AND(#REF!="Padrão",$H$4=#REF!),BDI!#REF!,IF(AND(#REF!="Diferenciado",$H$4=#REF!),BDI!$E$17,IF(AND(#REF!="Diferenciado",$H$4=#REF!),BDI!#REF!,IF(#REF!="ZERO",0))))),"")</f>
        <v>#REF!</v>
      </c>
      <c r="H1676" s="139" t="str">
        <f t="shared" si="148"/>
        <v/>
      </c>
      <c r="I1676" s="137" t="str">
        <f t="shared" si="149"/>
        <v/>
      </c>
      <c r="J1676" s="117"/>
      <c r="K1676" s="116">
        <v>0</v>
      </c>
      <c r="M1676" s="136" t="s">
        <v>416</v>
      </c>
      <c r="N1676" t="e">
        <v>#REF!</v>
      </c>
      <c r="Q1676" t="s">
        <v>416</v>
      </c>
    </row>
    <row r="1677" spans="1:17" hidden="1" x14ac:dyDescent="0.25">
      <c r="A1677" s="114" t="s">
        <v>4461</v>
      </c>
      <c r="B1677" s="115" t="s">
        <v>7813</v>
      </c>
      <c r="C1677" s="116" t="s">
        <v>16</v>
      </c>
      <c r="D1677" s="116">
        <v>0</v>
      </c>
      <c r="E1677" s="136" t="s">
        <v>416</v>
      </c>
      <c r="F1677" s="137" t="str">
        <f t="shared" si="147"/>
        <v/>
      </c>
      <c r="G1677" s="138" t="e">
        <f>IF(A1677&lt;&gt;"",IF(AND(#REF!="Padrão",$H$4=#REF!),BDI!$B$17,IF(AND(#REF!="Padrão",$H$4=#REF!),BDI!#REF!,IF(AND(#REF!="Diferenciado",$H$4=#REF!),BDI!$E$17,IF(AND(#REF!="Diferenciado",$H$4=#REF!),BDI!#REF!,IF(#REF!="ZERO",0))))),"")</f>
        <v>#REF!</v>
      </c>
      <c r="H1677" s="139" t="str">
        <f t="shared" si="148"/>
        <v/>
      </c>
      <c r="I1677" s="137" t="str">
        <f t="shared" si="149"/>
        <v/>
      </c>
      <c r="J1677" s="117"/>
      <c r="K1677" s="116">
        <v>0</v>
      </c>
      <c r="M1677" s="136" t="s">
        <v>416</v>
      </c>
      <c r="N1677" t="e">
        <v>#REF!</v>
      </c>
      <c r="Q1677" t="s">
        <v>416</v>
      </c>
    </row>
    <row r="1678" spans="1:17" hidden="1" x14ac:dyDescent="0.25">
      <c r="A1678" s="114" t="s">
        <v>4462</v>
      </c>
      <c r="B1678" s="115" t="s">
        <v>7814</v>
      </c>
      <c r="C1678" s="116" t="s">
        <v>16</v>
      </c>
      <c r="D1678" s="116">
        <v>0</v>
      </c>
      <c r="E1678" s="136" t="s">
        <v>416</v>
      </c>
      <c r="F1678" s="137" t="str">
        <f t="shared" si="147"/>
        <v/>
      </c>
      <c r="G1678" s="138" t="e">
        <f>IF(A1678&lt;&gt;"",IF(AND(#REF!="Padrão",$H$4=#REF!),BDI!$B$17,IF(AND(#REF!="Padrão",$H$4=#REF!),BDI!#REF!,IF(AND(#REF!="Diferenciado",$H$4=#REF!),BDI!$E$17,IF(AND(#REF!="Diferenciado",$H$4=#REF!),BDI!#REF!,IF(#REF!="ZERO",0))))),"")</f>
        <v>#REF!</v>
      </c>
      <c r="H1678" s="139" t="str">
        <f t="shared" si="148"/>
        <v/>
      </c>
      <c r="I1678" s="137" t="str">
        <f t="shared" si="149"/>
        <v/>
      </c>
      <c r="J1678" s="117"/>
      <c r="K1678" s="116">
        <v>0</v>
      </c>
      <c r="M1678" s="136" t="s">
        <v>416</v>
      </c>
      <c r="N1678" t="e">
        <v>#REF!</v>
      </c>
      <c r="Q1678" t="s">
        <v>416</v>
      </c>
    </row>
    <row r="1679" spans="1:17" hidden="1" x14ac:dyDescent="0.25">
      <c r="A1679" s="114" t="s">
        <v>4463</v>
      </c>
      <c r="B1679" s="115" t="s">
        <v>7815</v>
      </c>
      <c r="C1679" s="116" t="s">
        <v>16</v>
      </c>
      <c r="D1679" s="116">
        <v>0</v>
      </c>
      <c r="E1679" s="136" t="s">
        <v>416</v>
      </c>
      <c r="F1679" s="137" t="str">
        <f t="shared" si="147"/>
        <v/>
      </c>
      <c r="G1679" s="138" t="e">
        <f>IF(A1679&lt;&gt;"",IF(AND(#REF!="Padrão",$H$4=#REF!),BDI!$B$17,IF(AND(#REF!="Padrão",$H$4=#REF!),BDI!#REF!,IF(AND(#REF!="Diferenciado",$H$4=#REF!),BDI!$E$17,IF(AND(#REF!="Diferenciado",$H$4=#REF!),BDI!#REF!,IF(#REF!="ZERO",0))))),"")</f>
        <v>#REF!</v>
      </c>
      <c r="H1679" s="139" t="str">
        <f t="shared" si="148"/>
        <v/>
      </c>
      <c r="I1679" s="137" t="str">
        <f t="shared" si="149"/>
        <v/>
      </c>
      <c r="J1679" s="117"/>
      <c r="K1679" s="116">
        <v>0</v>
      </c>
      <c r="M1679" s="136" t="s">
        <v>416</v>
      </c>
      <c r="N1679" t="e">
        <v>#REF!</v>
      </c>
      <c r="Q1679" t="s">
        <v>416</v>
      </c>
    </row>
    <row r="1680" spans="1:17" hidden="1" x14ac:dyDescent="0.25">
      <c r="A1680" s="114" t="s">
        <v>4464</v>
      </c>
      <c r="B1680" s="115" t="s">
        <v>7816</v>
      </c>
      <c r="C1680" s="116" t="s">
        <v>16</v>
      </c>
      <c r="D1680" s="116">
        <v>0</v>
      </c>
      <c r="E1680" s="136" t="s">
        <v>416</v>
      </c>
      <c r="F1680" s="137" t="str">
        <f t="shared" si="147"/>
        <v/>
      </c>
      <c r="G1680" s="138" t="e">
        <f>IF(A1680&lt;&gt;"",IF(AND(#REF!="Padrão",$H$4=#REF!),BDI!$B$17,IF(AND(#REF!="Padrão",$H$4=#REF!),BDI!#REF!,IF(AND(#REF!="Diferenciado",$H$4=#REF!),BDI!$E$17,IF(AND(#REF!="Diferenciado",$H$4=#REF!),BDI!#REF!,IF(#REF!="ZERO",0))))),"")</f>
        <v>#REF!</v>
      </c>
      <c r="H1680" s="139" t="str">
        <f t="shared" si="148"/>
        <v/>
      </c>
      <c r="I1680" s="137" t="str">
        <f t="shared" si="149"/>
        <v/>
      </c>
      <c r="J1680" s="117"/>
      <c r="K1680" s="116">
        <v>0</v>
      </c>
      <c r="M1680" s="136" t="s">
        <v>416</v>
      </c>
      <c r="N1680" t="e">
        <v>#REF!</v>
      </c>
      <c r="Q1680" t="s">
        <v>416</v>
      </c>
    </row>
    <row r="1681" spans="1:17" hidden="1" x14ac:dyDescent="0.25">
      <c r="A1681" s="114" t="s">
        <v>4465</v>
      </c>
      <c r="B1681" s="115" t="s">
        <v>7817</v>
      </c>
      <c r="C1681" s="116" t="s">
        <v>16</v>
      </c>
      <c r="D1681" s="116">
        <v>0</v>
      </c>
      <c r="E1681" s="136" t="s">
        <v>416</v>
      </c>
      <c r="F1681" s="137" t="str">
        <f t="shared" si="147"/>
        <v/>
      </c>
      <c r="G1681" s="138" t="e">
        <f>IF(A1681&lt;&gt;"",IF(AND(#REF!="Padrão",$H$4=#REF!),BDI!$B$17,IF(AND(#REF!="Padrão",$H$4=#REF!),BDI!#REF!,IF(AND(#REF!="Diferenciado",$H$4=#REF!),BDI!$E$17,IF(AND(#REF!="Diferenciado",$H$4=#REF!),BDI!#REF!,IF(#REF!="ZERO",0))))),"")</f>
        <v>#REF!</v>
      </c>
      <c r="H1681" s="139" t="str">
        <f t="shared" si="148"/>
        <v/>
      </c>
      <c r="I1681" s="137" t="str">
        <f t="shared" si="149"/>
        <v/>
      </c>
      <c r="J1681" s="117"/>
      <c r="K1681" s="116">
        <v>0</v>
      </c>
      <c r="M1681" s="136" t="s">
        <v>416</v>
      </c>
      <c r="N1681" t="e">
        <v>#REF!</v>
      </c>
      <c r="Q1681" t="s">
        <v>416</v>
      </c>
    </row>
    <row r="1682" spans="1:17" hidden="1" x14ac:dyDescent="0.25">
      <c r="A1682" s="114" t="s">
        <v>4466</v>
      </c>
      <c r="B1682" s="115" t="s">
        <v>7818</v>
      </c>
      <c r="C1682" s="116" t="s">
        <v>16</v>
      </c>
      <c r="D1682" s="116">
        <v>0</v>
      </c>
      <c r="E1682" s="136" t="s">
        <v>416</v>
      </c>
      <c r="F1682" s="137" t="str">
        <f t="shared" si="147"/>
        <v/>
      </c>
      <c r="G1682" s="138" t="e">
        <f>IF(A1682&lt;&gt;"",IF(AND(#REF!="Padrão",$H$4=#REF!),BDI!$B$17,IF(AND(#REF!="Padrão",$H$4=#REF!),BDI!#REF!,IF(AND(#REF!="Diferenciado",$H$4=#REF!),BDI!$E$17,IF(AND(#REF!="Diferenciado",$H$4=#REF!),BDI!#REF!,IF(#REF!="ZERO",0))))),"")</f>
        <v>#REF!</v>
      </c>
      <c r="H1682" s="139" t="str">
        <f t="shared" si="148"/>
        <v/>
      </c>
      <c r="I1682" s="137" t="str">
        <f t="shared" si="149"/>
        <v/>
      </c>
      <c r="J1682" s="117"/>
      <c r="K1682" s="116">
        <v>0</v>
      </c>
      <c r="M1682" s="136" t="s">
        <v>416</v>
      </c>
      <c r="N1682" t="e">
        <v>#REF!</v>
      </c>
      <c r="Q1682" t="s">
        <v>416</v>
      </c>
    </row>
    <row r="1683" spans="1:17" hidden="1" x14ac:dyDescent="0.25">
      <c r="A1683" s="114" t="s">
        <v>4467</v>
      </c>
      <c r="B1683" s="115" t="s">
        <v>7819</v>
      </c>
      <c r="C1683" s="116" t="s">
        <v>16</v>
      </c>
      <c r="D1683" s="116">
        <v>0</v>
      </c>
      <c r="E1683" s="136" t="s">
        <v>416</v>
      </c>
      <c r="F1683" s="137" t="str">
        <f t="shared" si="147"/>
        <v/>
      </c>
      <c r="G1683" s="138" t="e">
        <f>IF(A1683&lt;&gt;"",IF(AND(#REF!="Padrão",$H$4=#REF!),BDI!$B$17,IF(AND(#REF!="Padrão",$H$4=#REF!),BDI!#REF!,IF(AND(#REF!="Diferenciado",$H$4=#REF!),BDI!$E$17,IF(AND(#REF!="Diferenciado",$H$4=#REF!),BDI!#REF!,IF(#REF!="ZERO",0))))),"")</f>
        <v>#REF!</v>
      </c>
      <c r="H1683" s="139" t="str">
        <f t="shared" si="148"/>
        <v/>
      </c>
      <c r="I1683" s="137" t="str">
        <f t="shared" si="149"/>
        <v/>
      </c>
      <c r="J1683" s="117"/>
      <c r="K1683" s="116">
        <v>0</v>
      </c>
      <c r="M1683" s="136" t="s">
        <v>416</v>
      </c>
      <c r="N1683" t="e">
        <v>#REF!</v>
      </c>
      <c r="Q1683" t="s">
        <v>416</v>
      </c>
    </row>
    <row r="1684" spans="1:17" hidden="1" x14ac:dyDescent="0.25">
      <c r="A1684" s="114" t="s">
        <v>4468</v>
      </c>
      <c r="B1684" s="115" t="s">
        <v>7820</v>
      </c>
      <c r="C1684" s="116" t="s">
        <v>16</v>
      </c>
      <c r="D1684" s="116">
        <v>0</v>
      </c>
      <c r="E1684" s="136" t="s">
        <v>416</v>
      </c>
      <c r="F1684" s="137" t="str">
        <f t="shared" si="147"/>
        <v/>
      </c>
      <c r="G1684" s="138" t="e">
        <f>IF(A1684&lt;&gt;"",IF(AND(#REF!="Padrão",$H$4=#REF!),BDI!$B$17,IF(AND(#REF!="Padrão",$H$4=#REF!),BDI!#REF!,IF(AND(#REF!="Diferenciado",$H$4=#REF!),BDI!$E$17,IF(AND(#REF!="Diferenciado",$H$4=#REF!),BDI!#REF!,IF(#REF!="ZERO",0))))),"")</f>
        <v>#REF!</v>
      </c>
      <c r="H1684" s="139" t="str">
        <f t="shared" si="148"/>
        <v/>
      </c>
      <c r="I1684" s="137" t="str">
        <f t="shared" si="149"/>
        <v/>
      </c>
      <c r="J1684" s="117"/>
      <c r="K1684" s="116">
        <v>0</v>
      </c>
      <c r="M1684" s="136" t="s">
        <v>416</v>
      </c>
      <c r="N1684" t="e">
        <v>#REF!</v>
      </c>
      <c r="Q1684" t="s">
        <v>416</v>
      </c>
    </row>
    <row r="1685" spans="1:17" hidden="1" x14ac:dyDescent="0.25">
      <c r="A1685" s="114" t="s">
        <v>4469</v>
      </c>
      <c r="B1685" s="115" t="s">
        <v>7821</v>
      </c>
      <c r="C1685" s="116" t="s">
        <v>16</v>
      </c>
      <c r="D1685" s="116">
        <v>0</v>
      </c>
      <c r="E1685" s="136" t="s">
        <v>416</v>
      </c>
      <c r="F1685" s="137" t="str">
        <f t="shared" si="147"/>
        <v/>
      </c>
      <c r="G1685" s="138" t="e">
        <f>IF(A1685&lt;&gt;"",IF(AND(#REF!="Padrão",$H$4=#REF!),BDI!$B$17,IF(AND(#REF!="Padrão",$H$4=#REF!),BDI!#REF!,IF(AND(#REF!="Diferenciado",$H$4=#REF!),BDI!$E$17,IF(AND(#REF!="Diferenciado",$H$4=#REF!),BDI!#REF!,IF(#REF!="ZERO",0))))),"")</f>
        <v>#REF!</v>
      </c>
      <c r="H1685" s="139" t="str">
        <f t="shared" si="148"/>
        <v/>
      </c>
      <c r="I1685" s="137" t="str">
        <f t="shared" si="149"/>
        <v/>
      </c>
      <c r="J1685" s="117"/>
      <c r="K1685" s="116">
        <v>0</v>
      </c>
      <c r="M1685" s="136" t="s">
        <v>416</v>
      </c>
      <c r="N1685" t="e">
        <v>#REF!</v>
      </c>
      <c r="Q1685" t="s">
        <v>416</v>
      </c>
    </row>
    <row r="1686" spans="1:17" hidden="1" x14ac:dyDescent="0.25">
      <c r="A1686" s="114" t="s">
        <v>4470</v>
      </c>
      <c r="B1686" s="115" t="s">
        <v>7822</v>
      </c>
      <c r="C1686" s="116" t="s">
        <v>16</v>
      </c>
      <c r="D1686" s="116">
        <v>0</v>
      </c>
      <c r="E1686" s="136" t="s">
        <v>416</v>
      </c>
      <c r="F1686" s="137" t="str">
        <f t="shared" si="147"/>
        <v/>
      </c>
      <c r="G1686" s="138" t="e">
        <f>IF(A1686&lt;&gt;"",IF(AND(#REF!="Padrão",$H$4=#REF!),BDI!$B$17,IF(AND(#REF!="Padrão",$H$4=#REF!),BDI!#REF!,IF(AND(#REF!="Diferenciado",$H$4=#REF!),BDI!$E$17,IF(AND(#REF!="Diferenciado",$H$4=#REF!),BDI!#REF!,IF(#REF!="ZERO",0))))),"")</f>
        <v>#REF!</v>
      </c>
      <c r="H1686" s="139" t="str">
        <f t="shared" si="148"/>
        <v/>
      </c>
      <c r="I1686" s="137" t="str">
        <f t="shared" si="149"/>
        <v/>
      </c>
      <c r="J1686" s="117"/>
      <c r="K1686" s="116">
        <v>0</v>
      </c>
      <c r="M1686" s="136" t="s">
        <v>416</v>
      </c>
      <c r="N1686" t="e">
        <v>#REF!</v>
      </c>
      <c r="Q1686" t="s">
        <v>416</v>
      </c>
    </row>
    <row r="1687" spans="1:17" hidden="1" x14ac:dyDescent="0.25">
      <c r="A1687" s="114" t="s">
        <v>4471</v>
      </c>
      <c r="B1687" s="115" t="s">
        <v>7823</v>
      </c>
      <c r="C1687" s="116" t="s">
        <v>16</v>
      </c>
      <c r="D1687" s="116">
        <v>0</v>
      </c>
      <c r="E1687" s="136" t="s">
        <v>416</v>
      </c>
      <c r="F1687" s="137" t="str">
        <f t="shared" si="147"/>
        <v/>
      </c>
      <c r="G1687" s="138" t="e">
        <f>IF(A1687&lt;&gt;"",IF(AND(#REF!="Padrão",$H$4=#REF!),BDI!$B$17,IF(AND(#REF!="Padrão",$H$4=#REF!),BDI!#REF!,IF(AND(#REF!="Diferenciado",$H$4=#REF!),BDI!$E$17,IF(AND(#REF!="Diferenciado",$H$4=#REF!),BDI!#REF!,IF(#REF!="ZERO",0))))),"")</f>
        <v>#REF!</v>
      </c>
      <c r="H1687" s="139" t="str">
        <f t="shared" si="148"/>
        <v/>
      </c>
      <c r="I1687" s="137" t="str">
        <f t="shared" si="149"/>
        <v/>
      </c>
      <c r="J1687" s="117"/>
      <c r="K1687" s="116">
        <v>0</v>
      </c>
      <c r="M1687" s="136" t="s">
        <v>416</v>
      </c>
      <c r="N1687" t="e">
        <v>#REF!</v>
      </c>
      <c r="Q1687" t="s">
        <v>416</v>
      </c>
    </row>
    <row r="1688" spans="1:17" hidden="1" x14ac:dyDescent="0.25">
      <c r="A1688" s="114" t="s">
        <v>4472</v>
      </c>
      <c r="B1688" s="115" t="s">
        <v>7824</v>
      </c>
      <c r="C1688" s="116" t="s">
        <v>16</v>
      </c>
      <c r="D1688" s="116">
        <v>0</v>
      </c>
      <c r="E1688" s="136" t="s">
        <v>416</v>
      </c>
      <c r="F1688" s="137" t="str">
        <f t="shared" si="147"/>
        <v/>
      </c>
      <c r="G1688" s="138" t="e">
        <f>IF(A1688&lt;&gt;"",IF(AND(#REF!="Padrão",$H$4=#REF!),BDI!$B$17,IF(AND(#REF!="Padrão",$H$4=#REF!),BDI!#REF!,IF(AND(#REF!="Diferenciado",$H$4=#REF!),BDI!$E$17,IF(AND(#REF!="Diferenciado",$H$4=#REF!),BDI!#REF!,IF(#REF!="ZERO",0))))),"")</f>
        <v>#REF!</v>
      </c>
      <c r="H1688" s="139" t="str">
        <f t="shared" si="148"/>
        <v/>
      </c>
      <c r="I1688" s="137" t="str">
        <f t="shared" si="149"/>
        <v/>
      </c>
      <c r="J1688" s="117"/>
      <c r="K1688" s="116">
        <v>0</v>
      </c>
      <c r="M1688" s="136" t="s">
        <v>416</v>
      </c>
      <c r="N1688" t="e">
        <v>#REF!</v>
      </c>
      <c r="Q1688" t="s">
        <v>416</v>
      </c>
    </row>
    <row r="1689" spans="1:17" hidden="1" x14ac:dyDescent="0.25">
      <c r="A1689" s="114" t="s">
        <v>4473</v>
      </c>
      <c r="B1689" s="115" t="s">
        <v>7825</v>
      </c>
      <c r="C1689" s="116" t="s">
        <v>16</v>
      </c>
      <c r="D1689" s="116">
        <v>0</v>
      </c>
      <c r="E1689" s="136" t="s">
        <v>416</v>
      </c>
      <c r="F1689" s="137" t="str">
        <f t="shared" si="147"/>
        <v/>
      </c>
      <c r="G1689" s="138" t="e">
        <f>IF(A1689&lt;&gt;"",IF(AND(#REF!="Padrão",$H$4=#REF!),BDI!$B$17,IF(AND(#REF!="Padrão",$H$4=#REF!),BDI!#REF!,IF(AND(#REF!="Diferenciado",$H$4=#REF!),BDI!$E$17,IF(AND(#REF!="Diferenciado",$H$4=#REF!),BDI!#REF!,IF(#REF!="ZERO",0))))),"")</f>
        <v>#REF!</v>
      </c>
      <c r="H1689" s="139" t="str">
        <f t="shared" si="148"/>
        <v/>
      </c>
      <c r="I1689" s="137" t="str">
        <f t="shared" si="149"/>
        <v/>
      </c>
      <c r="J1689" s="117"/>
      <c r="K1689" s="116">
        <v>0</v>
      </c>
      <c r="M1689" s="136" t="s">
        <v>416</v>
      </c>
      <c r="N1689" t="e">
        <v>#REF!</v>
      </c>
      <c r="Q1689" t="s">
        <v>416</v>
      </c>
    </row>
    <row r="1690" spans="1:17" hidden="1" x14ac:dyDescent="0.25">
      <c r="A1690" s="114" t="s">
        <v>4474</v>
      </c>
      <c r="B1690" s="115" t="s">
        <v>7826</v>
      </c>
      <c r="C1690" s="116" t="s">
        <v>16</v>
      </c>
      <c r="D1690" s="116">
        <v>0</v>
      </c>
      <c r="E1690" s="136" t="s">
        <v>416</v>
      </c>
      <c r="F1690" s="137" t="str">
        <f t="shared" si="147"/>
        <v/>
      </c>
      <c r="G1690" s="138" t="e">
        <f>IF(A1690&lt;&gt;"",IF(AND(#REF!="Padrão",$H$4=#REF!),BDI!$B$17,IF(AND(#REF!="Padrão",$H$4=#REF!),BDI!#REF!,IF(AND(#REF!="Diferenciado",$H$4=#REF!),BDI!$E$17,IF(AND(#REF!="Diferenciado",$H$4=#REF!),BDI!#REF!,IF(#REF!="ZERO",0))))),"")</f>
        <v>#REF!</v>
      </c>
      <c r="H1690" s="139" t="str">
        <f t="shared" si="148"/>
        <v/>
      </c>
      <c r="I1690" s="137" t="str">
        <f t="shared" si="149"/>
        <v/>
      </c>
      <c r="J1690" s="117"/>
      <c r="K1690" s="116">
        <v>0</v>
      </c>
      <c r="M1690" s="136" t="s">
        <v>416</v>
      </c>
      <c r="N1690" t="e">
        <v>#REF!</v>
      </c>
      <c r="Q1690" t="s">
        <v>416</v>
      </c>
    </row>
    <row r="1691" spans="1:17" hidden="1" x14ac:dyDescent="0.25">
      <c r="A1691" s="114" t="s">
        <v>4475</v>
      </c>
      <c r="B1691" s="115" t="s">
        <v>7827</v>
      </c>
      <c r="C1691" s="116" t="s">
        <v>16</v>
      </c>
      <c r="D1691" s="116">
        <v>0</v>
      </c>
      <c r="E1691" s="136" t="s">
        <v>416</v>
      </c>
      <c r="F1691" s="137" t="str">
        <f t="shared" si="147"/>
        <v/>
      </c>
      <c r="G1691" s="138" t="e">
        <f>IF(A1691&lt;&gt;"",IF(AND(#REF!="Padrão",$H$4=#REF!),BDI!$B$17,IF(AND(#REF!="Padrão",$H$4=#REF!),BDI!#REF!,IF(AND(#REF!="Diferenciado",$H$4=#REF!),BDI!$E$17,IF(AND(#REF!="Diferenciado",$H$4=#REF!),BDI!#REF!,IF(#REF!="ZERO",0))))),"")</f>
        <v>#REF!</v>
      </c>
      <c r="H1691" s="139" t="str">
        <f t="shared" si="148"/>
        <v/>
      </c>
      <c r="I1691" s="137" t="str">
        <f t="shared" si="149"/>
        <v/>
      </c>
      <c r="J1691" s="117"/>
      <c r="K1691" s="116">
        <v>0</v>
      </c>
      <c r="M1691" s="136" t="s">
        <v>416</v>
      </c>
      <c r="N1691" t="e">
        <v>#REF!</v>
      </c>
      <c r="Q1691" t="s">
        <v>416</v>
      </c>
    </row>
    <row r="1692" spans="1:17" hidden="1" x14ac:dyDescent="0.25">
      <c r="A1692" s="114" t="s">
        <v>4476</v>
      </c>
      <c r="B1692" s="115" t="s">
        <v>7828</v>
      </c>
      <c r="C1692" s="116" t="s">
        <v>16</v>
      </c>
      <c r="D1692" s="116">
        <v>0</v>
      </c>
      <c r="E1692" s="136" t="s">
        <v>416</v>
      </c>
      <c r="F1692" s="137" t="str">
        <f t="shared" si="147"/>
        <v/>
      </c>
      <c r="G1692" s="138" t="e">
        <f>IF(A1692&lt;&gt;"",IF(AND(#REF!="Padrão",$H$4=#REF!),BDI!$B$17,IF(AND(#REF!="Padrão",$H$4=#REF!),BDI!#REF!,IF(AND(#REF!="Diferenciado",$H$4=#REF!),BDI!$E$17,IF(AND(#REF!="Diferenciado",$H$4=#REF!),BDI!#REF!,IF(#REF!="ZERO",0))))),"")</f>
        <v>#REF!</v>
      </c>
      <c r="H1692" s="139" t="str">
        <f t="shared" si="148"/>
        <v/>
      </c>
      <c r="I1692" s="137" t="str">
        <f t="shared" si="149"/>
        <v/>
      </c>
      <c r="J1692" s="117"/>
      <c r="K1692" s="116">
        <v>0</v>
      </c>
      <c r="M1692" s="136" t="s">
        <v>416</v>
      </c>
      <c r="N1692" t="e">
        <v>#REF!</v>
      </c>
      <c r="Q1692" t="s">
        <v>416</v>
      </c>
    </row>
    <row r="1693" spans="1:17" hidden="1" x14ac:dyDescent="0.25">
      <c r="A1693" s="114" t="s">
        <v>4477</v>
      </c>
      <c r="B1693" s="115" t="s">
        <v>7829</v>
      </c>
      <c r="C1693" s="116" t="s">
        <v>16</v>
      </c>
      <c r="D1693" s="116">
        <v>0</v>
      </c>
      <c r="E1693" s="136" t="s">
        <v>416</v>
      </c>
      <c r="F1693" s="137" t="str">
        <f t="shared" si="147"/>
        <v/>
      </c>
      <c r="G1693" s="138" t="e">
        <f>IF(A1693&lt;&gt;"",IF(AND(#REF!="Padrão",$H$4=#REF!),BDI!$B$17,IF(AND(#REF!="Padrão",$H$4=#REF!),BDI!#REF!,IF(AND(#REF!="Diferenciado",$H$4=#REF!),BDI!$E$17,IF(AND(#REF!="Diferenciado",$H$4=#REF!),BDI!#REF!,IF(#REF!="ZERO",0))))),"")</f>
        <v>#REF!</v>
      </c>
      <c r="H1693" s="139" t="str">
        <f t="shared" si="148"/>
        <v/>
      </c>
      <c r="I1693" s="137" t="str">
        <f t="shared" si="149"/>
        <v/>
      </c>
      <c r="J1693" s="117"/>
      <c r="K1693" s="116">
        <v>0</v>
      </c>
      <c r="M1693" s="136" t="s">
        <v>416</v>
      </c>
      <c r="N1693" t="e">
        <v>#REF!</v>
      </c>
      <c r="Q1693" t="s">
        <v>416</v>
      </c>
    </row>
    <row r="1694" spans="1:17" hidden="1" x14ac:dyDescent="0.25">
      <c r="A1694" s="114" t="s">
        <v>4478</v>
      </c>
      <c r="B1694" s="115" t="s">
        <v>7830</v>
      </c>
      <c r="C1694" s="116" t="s">
        <v>16</v>
      </c>
      <c r="D1694" s="116">
        <v>0</v>
      </c>
      <c r="E1694" s="136" t="s">
        <v>416</v>
      </c>
      <c r="F1694" s="137" t="str">
        <f t="shared" si="147"/>
        <v/>
      </c>
      <c r="G1694" s="138" t="e">
        <f>IF(A1694&lt;&gt;"",IF(AND(#REF!="Padrão",$H$4=#REF!),BDI!$B$17,IF(AND(#REF!="Padrão",$H$4=#REF!),BDI!#REF!,IF(AND(#REF!="Diferenciado",$H$4=#REF!),BDI!$E$17,IF(AND(#REF!="Diferenciado",$H$4=#REF!),BDI!#REF!,IF(#REF!="ZERO",0))))),"")</f>
        <v>#REF!</v>
      </c>
      <c r="H1694" s="139" t="str">
        <f t="shared" si="148"/>
        <v/>
      </c>
      <c r="I1694" s="137" t="str">
        <f t="shared" si="149"/>
        <v/>
      </c>
      <c r="J1694" s="117"/>
      <c r="K1694" s="116">
        <v>0</v>
      </c>
      <c r="M1694" s="136" t="s">
        <v>416</v>
      </c>
      <c r="N1694" t="e">
        <v>#REF!</v>
      </c>
      <c r="Q1694" t="s">
        <v>416</v>
      </c>
    </row>
    <row r="1695" spans="1:17" hidden="1" x14ac:dyDescent="0.25">
      <c r="A1695" s="114" t="s">
        <v>4479</v>
      </c>
      <c r="B1695" s="115" t="s">
        <v>7831</v>
      </c>
      <c r="C1695" s="116" t="s">
        <v>16</v>
      </c>
      <c r="D1695" s="116">
        <v>0</v>
      </c>
      <c r="E1695" s="136" t="s">
        <v>416</v>
      </c>
      <c r="F1695" s="137" t="str">
        <f t="shared" si="147"/>
        <v/>
      </c>
      <c r="G1695" s="138" t="e">
        <f>IF(A1695&lt;&gt;"",IF(AND(#REF!="Padrão",$H$4=#REF!),BDI!$B$17,IF(AND(#REF!="Padrão",$H$4=#REF!),BDI!#REF!,IF(AND(#REF!="Diferenciado",$H$4=#REF!),BDI!$E$17,IF(AND(#REF!="Diferenciado",$H$4=#REF!),BDI!#REF!,IF(#REF!="ZERO",0))))),"")</f>
        <v>#REF!</v>
      </c>
      <c r="H1695" s="139" t="str">
        <f t="shared" si="148"/>
        <v/>
      </c>
      <c r="I1695" s="137" t="str">
        <f t="shared" si="149"/>
        <v/>
      </c>
      <c r="J1695" s="117"/>
      <c r="K1695" s="116">
        <v>0</v>
      </c>
      <c r="M1695" s="136" t="s">
        <v>416</v>
      </c>
      <c r="N1695" t="e">
        <v>#REF!</v>
      </c>
      <c r="Q1695" t="s">
        <v>416</v>
      </c>
    </row>
    <row r="1696" spans="1:17" hidden="1" x14ac:dyDescent="0.25">
      <c r="A1696" s="114" t="s">
        <v>4480</v>
      </c>
      <c r="B1696" s="115" t="s">
        <v>3525</v>
      </c>
      <c r="C1696" s="116" t="s">
        <v>16</v>
      </c>
      <c r="D1696" s="116">
        <v>0</v>
      </c>
      <c r="E1696" s="136" t="s">
        <v>416</v>
      </c>
      <c r="F1696" s="137" t="str">
        <f t="shared" si="147"/>
        <v/>
      </c>
      <c r="G1696" s="138" t="e">
        <f>IF(A1696&lt;&gt;"",IF(AND(#REF!="Padrão",$H$4=#REF!),BDI!$B$17,IF(AND(#REF!="Padrão",$H$4=#REF!),BDI!#REF!,IF(AND(#REF!="Diferenciado",$H$4=#REF!),BDI!$E$17,IF(AND(#REF!="Diferenciado",$H$4=#REF!),BDI!#REF!,IF(#REF!="ZERO",0))))),"")</f>
        <v>#REF!</v>
      </c>
      <c r="H1696" s="139" t="str">
        <f t="shared" si="148"/>
        <v/>
      </c>
      <c r="I1696" s="137" t="str">
        <f t="shared" si="149"/>
        <v/>
      </c>
      <c r="J1696" s="117"/>
      <c r="K1696" s="116">
        <v>0</v>
      </c>
      <c r="M1696" s="136" t="s">
        <v>416</v>
      </c>
      <c r="N1696" t="e">
        <v>#REF!</v>
      </c>
      <c r="Q1696" t="s">
        <v>416</v>
      </c>
    </row>
    <row r="1697" spans="1:17" hidden="1" x14ac:dyDescent="0.25">
      <c r="A1697" s="114" t="s">
        <v>4481</v>
      </c>
      <c r="B1697" s="115" t="s">
        <v>3526</v>
      </c>
      <c r="C1697" s="116" t="s">
        <v>16</v>
      </c>
      <c r="D1697" s="116">
        <v>0</v>
      </c>
      <c r="E1697" s="136" t="s">
        <v>416</v>
      </c>
      <c r="F1697" s="137" t="str">
        <f t="shared" si="147"/>
        <v/>
      </c>
      <c r="G1697" s="138" t="e">
        <f>IF(A1697&lt;&gt;"",IF(AND(#REF!="Padrão",$H$4=#REF!),BDI!$B$17,IF(AND(#REF!="Padrão",$H$4=#REF!),BDI!#REF!,IF(AND(#REF!="Diferenciado",$H$4=#REF!),BDI!$E$17,IF(AND(#REF!="Diferenciado",$H$4=#REF!),BDI!#REF!,IF(#REF!="ZERO",0))))),"")</f>
        <v>#REF!</v>
      </c>
      <c r="H1697" s="139" t="str">
        <f t="shared" si="148"/>
        <v/>
      </c>
      <c r="I1697" s="137" t="str">
        <f t="shared" si="149"/>
        <v/>
      </c>
      <c r="J1697" s="117"/>
      <c r="K1697" s="116">
        <v>0</v>
      </c>
      <c r="M1697" s="136" t="s">
        <v>416</v>
      </c>
      <c r="N1697" t="e">
        <v>#REF!</v>
      </c>
      <c r="Q1697" t="s">
        <v>416</v>
      </c>
    </row>
    <row r="1698" spans="1:17" hidden="1" x14ac:dyDescent="0.25">
      <c r="A1698" s="114" t="s">
        <v>4482</v>
      </c>
      <c r="B1698" s="115" t="s">
        <v>3527</v>
      </c>
      <c r="C1698" s="116" t="s">
        <v>16</v>
      </c>
      <c r="D1698" s="116">
        <v>0</v>
      </c>
      <c r="E1698" s="136" t="s">
        <v>416</v>
      </c>
      <c r="F1698" s="137" t="str">
        <f t="shared" si="147"/>
        <v/>
      </c>
      <c r="G1698" s="138" t="e">
        <f>IF(A1698&lt;&gt;"",IF(AND(#REF!="Padrão",$H$4=#REF!),BDI!$B$17,IF(AND(#REF!="Padrão",$H$4=#REF!),BDI!#REF!,IF(AND(#REF!="Diferenciado",$H$4=#REF!),BDI!$E$17,IF(AND(#REF!="Diferenciado",$H$4=#REF!),BDI!#REF!,IF(#REF!="ZERO",0))))),"")</f>
        <v>#REF!</v>
      </c>
      <c r="H1698" s="139" t="str">
        <f t="shared" si="148"/>
        <v/>
      </c>
      <c r="I1698" s="137" t="str">
        <f t="shared" si="149"/>
        <v/>
      </c>
      <c r="J1698" s="117"/>
      <c r="K1698" s="116">
        <v>0</v>
      </c>
      <c r="M1698" s="136" t="s">
        <v>416</v>
      </c>
      <c r="N1698" t="e">
        <v>#REF!</v>
      </c>
      <c r="Q1698" t="s">
        <v>416</v>
      </c>
    </row>
    <row r="1699" spans="1:17" hidden="1" x14ac:dyDescent="0.25">
      <c r="A1699" s="114" t="s">
        <v>4483</v>
      </c>
      <c r="B1699" s="115" t="s">
        <v>3528</v>
      </c>
      <c r="C1699" s="116" t="s">
        <v>16</v>
      </c>
      <c r="D1699" s="116">
        <v>0</v>
      </c>
      <c r="E1699" s="136" t="s">
        <v>416</v>
      </c>
      <c r="F1699" s="137" t="str">
        <f t="shared" si="147"/>
        <v/>
      </c>
      <c r="G1699" s="138" t="e">
        <f>IF(A1699&lt;&gt;"",IF(AND(#REF!="Padrão",$H$4=#REF!),BDI!$B$17,IF(AND(#REF!="Padrão",$H$4=#REF!),BDI!#REF!,IF(AND(#REF!="Diferenciado",$H$4=#REF!),BDI!$E$17,IF(AND(#REF!="Diferenciado",$H$4=#REF!),BDI!#REF!,IF(#REF!="ZERO",0))))),"")</f>
        <v>#REF!</v>
      </c>
      <c r="H1699" s="139" t="str">
        <f t="shared" si="148"/>
        <v/>
      </c>
      <c r="I1699" s="137" t="str">
        <f t="shared" si="149"/>
        <v/>
      </c>
      <c r="J1699" s="117"/>
      <c r="K1699" s="116">
        <v>0</v>
      </c>
      <c r="M1699" s="136" t="s">
        <v>416</v>
      </c>
      <c r="N1699" t="e">
        <v>#REF!</v>
      </c>
      <c r="Q1699" t="s">
        <v>416</v>
      </c>
    </row>
    <row r="1700" spans="1:17" hidden="1" x14ac:dyDescent="0.25">
      <c r="A1700" s="114" t="s">
        <v>4484</v>
      </c>
      <c r="B1700" s="115" t="s">
        <v>3529</v>
      </c>
      <c r="C1700" s="116" t="s">
        <v>16</v>
      </c>
      <c r="D1700" s="116">
        <v>0</v>
      </c>
      <c r="E1700" s="136" t="s">
        <v>416</v>
      </c>
      <c r="F1700" s="137" t="str">
        <f t="shared" si="147"/>
        <v/>
      </c>
      <c r="G1700" s="138" t="e">
        <f>IF(A1700&lt;&gt;"",IF(AND(#REF!="Padrão",$H$4=#REF!),BDI!$B$17,IF(AND(#REF!="Padrão",$H$4=#REF!),BDI!#REF!,IF(AND(#REF!="Diferenciado",$H$4=#REF!),BDI!$E$17,IF(AND(#REF!="Diferenciado",$H$4=#REF!),BDI!#REF!,IF(#REF!="ZERO",0))))),"")</f>
        <v>#REF!</v>
      </c>
      <c r="H1700" s="139" t="str">
        <f t="shared" si="148"/>
        <v/>
      </c>
      <c r="I1700" s="137" t="str">
        <f t="shared" si="149"/>
        <v/>
      </c>
      <c r="J1700" s="117"/>
      <c r="K1700" s="116">
        <v>0</v>
      </c>
      <c r="M1700" s="136" t="s">
        <v>416</v>
      </c>
      <c r="N1700" t="e">
        <v>#REF!</v>
      </c>
      <c r="Q1700" t="s">
        <v>416</v>
      </c>
    </row>
    <row r="1701" spans="1:17" hidden="1" x14ac:dyDescent="0.25">
      <c r="A1701" s="114" t="s">
        <v>4485</v>
      </c>
      <c r="B1701" s="115" t="s">
        <v>3530</v>
      </c>
      <c r="C1701" s="116" t="s">
        <v>16</v>
      </c>
      <c r="D1701" s="116">
        <v>0</v>
      </c>
      <c r="E1701" s="136" t="s">
        <v>416</v>
      </c>
      <c r="F1701" s="137" t="str">
        <f t="shared" si="147"/>
        <v/>
      </c>
      <c r="G1701" s="138" t="e">
        <f>IF(A1701&lt;&gt;"",IF(AND(#REF!="Padrão",$H$4=#REF!),BDI!$B$17,IF(AND(#REF!="Padrão",$H$4=#REF!),BDI!#REF!,IF(AND(#REF!="Diferenciado",$H$4=#REF!),BDI!$E$17,IF(AND(#REF!="Diferenciado",$H$4=#REF!),BDI!#REF!,IF(#REF!="ZERO",0))))),"")</f>
        <v>#REF!</v>
      </c>
      <c r="H1701" s="139" t="str">
        <f t="shared" si="148"/>
        <v/>
      </c>
      <c r="I1701" s="137" t="str">
        <f t="shared" si="149"/>
        <v/>
      </c>
      <c r="J1701" s="117"/>
      <c r="K1701" s="116">
        <v>0</v>
      </c>
      <c r="M1701" s="136" t="s">
        <v>416</v>
      </c>
      <c r="N1701" t="e">
        <v>#REF!</v>
      </c>
      <c r="Q1701" t="s">
        <v>416</v>
      </c>
    </row>
    <row r="1702" spans="1:17" hidden="1" x14ac:dyDescent="0.25">
      <c r="A1702" s="114" t="s">
        <v>4486</v>
      </c>
      <c r="B1702" s="115" t="s">
        <v>7832</v>
      </c>
      <c r="C1702" s="116" t="s">
        <v>16</v>
      </c>
      <c r="D1702" s="116">
        <v>0</v>
      </c>
      <c r="E1702" s="136" t="s">
        <v>416</v>
      </c>
      <c r="F1702" s="137" t="str">
        <f t="shared" si="147"/>
        <v/>
      </c>
      <c r="G1702" s="138" t="e">
        <f>IF(A1702&lt;&gt;"",IF(AND(#REF!="Padrão",$H$4=#REF!),BDI!$B$17,IF(AND(#REF!="Padrão",$H$4=#REF!),BDI!#REF!,IF(AND(#REF!="Diferenciado",$H$4=#REF!),BDI!$E$17,IF(AND(#REF!="Diferenciado",$H$4=#REF!),BDI!#REF!,IF(#REF!="ZERO",0))))),"")</f>
        <v>#REF!</v>
      </c>
      <c r="H1702" s="139" t="str">
        <f t="shared" si="148"/>
        <v/>
      </c>
      <c r="I1702" s="137" t="str">
        <f t="shared" si="149"/>
        <v/>
      </c>
      <c r="J1702" s="117"/>
      <c r="K1702" s="116">
        <v>0</v>
      </c>
      <c r="M1702" s="136" t="s">
        <v>416</v>
      </c>
      <c r="N1702" t="e">
        <v>#REF!</v>
      </c>
      <c r="Q1702" t="s">
        <v>416</v>
      </c>
    </row>
    <row r="1703" spans="1:17" hidden="1" x14ac:dyDescent="0.25">
      <c r="A1703" s="114" t="s">
        <v>4487</v>
      </c>
      <c r="B1703" s="115" t="s">
        <v>7833</v>
      </c>
      <c r="C1703" s="116" t="s">
        <v>16</v>
      </c>
      <c r="D1703" s="116">
        <v>0</v>
      </c>
      <c r="E1703" s="136" t="s">
        <v>416</v>
      </c>
      <c r="F1703" s="137" t="str">
        <f t="shared" si="147"/>
        <v/>
      </c>
      <c r="G1703" s="138" t="e">
        <f>IF(A1703&lt;&gt;"",IF(AND(#REF!="Padrão",$H$4=#REF!),BDI!$B$17,IF(AND(#REF!="Padrão",$H$4=#REF!),BDI!#REF!,IF(AND(#REF!="Diferenciado",$H$4=#REF!),BDI!$E$17,IF(AND(#REF!="Diferenciado",$H$4=#REF!),BDI!#REF!,IF(#REF!="ZERO",0))))),"")</f>
        <v>#REF!</v>
      </c>
      <c r="H1703" s="139" t="str">
        <f t="shared" si="148"/>
        <v/>
      </c>
      <c r="I1703" s="137" t="str">
        <f t="shared" si="149"/>
        <v/>
      </c>
      <c r="J1703" s="117"/>
      <c r="K1703" s="116">
        <v>0</v>
      </c>
      <c r="M1703" s="136" t="s">
        <v>416</v>
      </c>
      <c r="N1703" t="e">
        <v>#REF!</v>
      </c>
      <c r="Q1703" t="s">
        <v>416</v>
      </c>
    </row>
    <row r="1704" spans="1:17" hidden="1" x14ac:dyDescent="0.25">
      <c r="A1704" s="114" t="s">
        <v>4488</v>
      </c>
      <c r="B1704" s="115" t="s">
        <v>7834</v>
      </c>
      <c r="C1704" s="116" t="s">
        <v>16</v>
      </c>
      <c r="D1704" s="116">
        <v>0</v>
      </c>
      <c r="E1704" s="136" t="s">
        <v>416</v>
      </c>
      <c r="F1704" s="137" t="str">
        <f t="shared" si="147"/>
        <v/>
      </c>
      <c r="G1704" s="138" t="e">
        <f>IF(A1704&lt;&gt;"",IF(AND(#REF!="Padrão",$H$4=#REF!),BDI!$B$17,IF(AND(#REF!="Padrão",$H$4=#REF!),BDI!#REF!,IF(AND(#REF!="Diferenciado",$H$4=#REF!),BDI!$E$17,IF(AND(#REF!="Diferenciado",$H$4=#REF!),BDI!#REF!,IF(#REF!="ZERO",0))))),"")</f>
        <v>#REF!</v>
      </c>
      <c r="H1704" s="139" t="str">
        <f t="shared" si="148"/>
        <v/>
      </c>
      <c r="I1704" s="137" t="str">
        <f t="shared" si="149"/>
        <v/>
      </c>
      <c r="J1704" s="117"/>
      <c r="K1704" s="116">
        <v>0</v>
      </c>
      <c r="M1704" s="136" t="s">
        <v>416</v>
      </c>
      <c r="N1704" t="e">
        <v>#REF!</v>
      </c>
      <c r="Q1704" t="s">
        <v>416</v>
      </c>
    </row>
    <row r="1705" spans="1:17" hidden="1" x14ac:dyDescent="0.25">
      <c r="A1705" s="114" t="s">
        <v>4489</v>
      </c>
      <c r="B1705" s="115" t="s">
        <v>7835</v>
      </c>
      <c r="C1705" s="116" t="s">
        <v>16</v>
      </c>
      <c r="D1705" s="116">
        <v>0</v>
      </c>
      <c r="E1705" s="136" t="s">
        <v>416</v>
      </c>
      <c r="F1705" s="137" t="str">
        <f t="shared" si="147"/>
        <v/>
      </c>
      <c r="G1705" s="138" t="e">
        <f>IF(A1705&lt;&gt;"",IF(AND(#REF!="Padrão",$H$4=#REF!),BDI!$B$17,IF(AND(#REF!="Padrão",$H$4=#REF!),BDI!#REF!,IF(AND(#REF!="Diferenciado",$H$4=#REF!),BDI!$E$17,IF(AND(#REF!="Diferenciado",$H$4=#REF!),BDI!#REF!,IF(#REF!="ZERO",0))))),"")</f>
        <v>#REF!</v>
      </c>
      <c r="H1705" s="139" t="str">
        <f t="shared" si="148"/>
        <v/>
      </c>
      <c r="I1705" s="137" t="str">
        <f t="shared" si="149"/>
        <v/>
      </c>
      <c r="J1705" s="117"/>
      <c r="K1705" s="116">
        <v>0</v>
      </c>
      <c r="M1705" s="136" t="s">
        <v>416</v>
      </c>
      <c r="N1705" t="e">
        <v>#REF!</v>
      </c>
      <c r="Q1705" t="s">
        <v>416</v>
      </c>
    </row>
    <row r="1706" spans="1:17" hidden="1" x14ac:dyDescent="0.25">
      <c r="A1706" s="114" t="s">
        <v>4490</v>
      </c>
      <c r="B1706" s="115" t="s">
        <v>7836</v>
      </c>
      <c r="C1706" s="116" t="s">
        <v>16</v>
      </c>
      <c r="D1706" s="116">
        <v>0</v>
      </c>
      <c r="E1706" s="136" t="s">
        <v>416</v>
      </c>
      <c r="F1706" s="137" t="str">
        <f t="shared" si="147"/>
        <v/>
      </c>
      <c r="G1706" s="138" t="e">
        <f>IF(A1706&lt;&gt;"",IF(AND(#REF!="Padrão",$H$4=#REF!),BDI!$B$17,IF(AND(#REF!="Padrão",$H$4=#REF!),BDI!#REF!,IF(AND(#REF!="Diferenciado",$H$4=#REF!),BDI!$E$17,IF(AND(#REF!="Diferenciado",$H$4=#REF!),BDI!#REF!,IF(#REF!="ZERO",0))))),"")</f>
        <v>#REF!</v>
      </c>
      <c r="H1706" s="139" t="str">
        <f t="shared" si="148"/>
        <v/>
      </c>
      <c r="I1706" s="137" t="str">
        <f t="shared" si="149"/>
        <v/>
      </c>
      <c r="J1706" s="117"/>
      <c r="K1706" s="116">
        <v>0</v>
      </c>
      <c r="M1706" s="136" t="s">
        <v>416</v>
      </c>
      <c r="N1706" t="e">
        <v>#REF!</v>
      </c>
      <c r="Q1706" t="s">
        <v>416</v>
      </c>
    </row>
    <row r="1707" spans="1:17" hidden="1" x14ac:dyDescent="0.25">
      <c r="A1707" s="114" t="s">
        <v>4491</v>
      </c>
      <c r="B1707" s="115" t="s">
        <v>7837</v>
      </c>
      <c r="C1707" s="116" t="s">
        <v>16</v>
      </c>
      <c r="D1707" s="116">
        <v>0</v>
      </c>
      <c r="E1707" s="136" t="s">
        <v>416</v>
      </c>
      <c r="F1707" s="137" t="str">
        <f t="shared" si="147"/>
        <v/>
      </c>
      <c r="G1707" s="138" t="e">
        <f>IF(A1707&lt;&gt;"",IF(AND(#REF!="Padrão",$H$4=#REF!),BDI!$B$17,IF(AND(#REF!="Padrão",$H$4=#REF!),BDI!#REF!,IF(AND(#REF!="Diferenciado",$H$4=#REF!),BDI!$E$17,IF(AND(#REF!="Diferenciado",$H$4=#REF!),BDI!#REF!,IF(#REF!="ZERO",0))))),"")</f>
        <v>#REF!</v>
      </c>
      <c r="H1707" s="139" t="str">
        <f t="shared" si="148"/>
        <v/>
      </c>
      <c r="I1707" s="137" t="str">
        <f t="shared" si="149"/>
        <v/>
      </c>
      <c r="J1707" s="117"/>
      <c r="K1707" s="116">
        <v>0</v>
      </c>
      <c r="M1707" s="136" t="s">
        <v>416</v>
      </c>
      <c r="N1707" t="e">
        <v>#REF!</v>
      </c>
      <c r="Q1707" t="s">
        <v>416</v>
      </c>
    </row>
    <row r="1708" spans="1:17" hidden="1" x14ac:dyDescent="0.25">
      <c r="A1708" s="114" t="s">
        <v>4492</v>
      </c>
      <c r="B1708" s="115" t="s">
        <v>7838</v>
      </c>
      <c r="C1708" s="116" t="s">
        <v>16</v>
      </c>
      <c r="D1708" s="116">
        <v>0</v>
      </c>
      <c r="E1708" s="136" t="s">
        <v>416</v>
      </c>
      <c r="F1708" s="137" t="str">
        <f t="shared" si="147"/>
        <v/>
      </c>
      <c r="G1708" s="138" t="e">
        <f>IF(A1708&lt;&gt;"",IF(AND(#REF!="Padrão",$H$4=#REF!),BDI!$B$17,IF(AND(#REF!="Padrão",$H$4=#REF!),BDI!#REF!,IF(AND(#REF!="Diferenciado",$H$4=#REF!),BDI!$E$17,IF(AND(#REF!="Diferenciado",$H$4=#REF!),BDI!#REF!,IF(#REF!="ZERO",0))))),"")</f>
        <v>#REF!</v>
      </c>
      <c r="H1708" s="139" t="str">
        <f t="shared" si="148"/>
        <v/>
      </c>
      <c r="I1708" s="137" t="str">
        <f t="shared" si="149"/>
        <v/>
      </c>
      <c r="J1708" s="117"/>
      <c r="K1708" s="116">
        <v>0</v>
      </c>
      <c r="M1708" s="136" t="s">
        <v>416</v>
      </c>
      <c r="N1708" t="e">
        <v>#REF!</v>
      </c>
      <c r="Q1708" t="s">
        <v>416</v>
      </c>
    </row>
    <row r="1709" spans="1:17" hidden="1" x14ac:dyDescent="0.25">
      <c r="A1709" s="114" t="s">
        <v>4493</v>
      </c>
      <c r="B1709" s="115" t="s">
        <v>7839</v>
      </c>
      <c r="C1709" s="116" t="s">
        <v>16</v>
      </c>
      <c r="D1709" s="116">
        <v>0</v>
      </c>
      <c r="E1709" s="136" t="s">
        <v>416</v>
      </c>
      <c r="F1709" s="137" t="str">
        <f t="shared" ref="F1709:F1772" si="150">IF(ISNUMBER(E1709),D1709*E1709,"")</f>
        <v/>
      </c>
      <c r="G1709" s="138" t="e">
        <f>IF(A1709&lt;&gt;"",IF(AND(#REF!="Padrão",$H$4=#REF!),BDI!$B$17,IF(AND(#REF!="Padrão",$H$4=#REF!),BDI!#REF!,IF(AND(#REF!="Diferenciado",$H$4=#REF!),BDI!$E$17,IF(AND(#REF!="Diferenciado",$H$4=#REF!),BDI!#REF!,IF(#REF!="ZERO",0))))),"")</f>
        <v>#REF!</v>
      </c>
      <c r="H1709" s="139" t="str">
        <f t="shared" ref="H1709:H1772" si="151">IF(ISNUMBER(E1709),ROUND(E1709*(1+G1709),2),"")</f>
        <v/>
      </c>
      <c r="I1709" s="137" t="str">
        <f t="shared" ref="I1709:I1772" si="152">IF(ISNUMBER(E1709),ROUND(H1709*D1709,2),"")</f>
        <v/>
      </c>
      <c r="J1709" s="117"/>
      <c r="K1709" s="116">
        <v>0</v>
      </c>
      <c r="M1709" s="136" t="s">
        <v>416</v>
      </c>
      <c r="N1709" t="e">
        <v>#REF!</v>
      </c>
      <c r="Q1709" t="s">
        <v>416</v>
      </c>
    </row>
    <row r="1710" spans="1:17" hidden="1" x14ac:dyDescent="0.25">
      <c r="A1710" s="114" t="s">
        <v>4494</v>
      </c>
      <c r="B1710" s="115" t="s">
        <v>7840</v>
      </c>
      <c r="C1710" s="116" t="s">
        <v>16</v>
      </c>
      <c r="D1710" s="116">
        <v>0</v>
      </c>
      <c r="E1710" s="136" t="s">
        <v>416</v>
      </c>
      <c r="F1710" s="137" t="str">
        <f t="shared" si="150"/>
        <v/>
      </c>
      <c r="G1710" s="138" t="e">
        <f>IF(A1710&lt;&gt;"",IF(AND(#REF!="Padrão",$H$4=#REF!),BDI!$B$17,IF(AND(#REF!="Padrão",$H$4=#REF!),BDI!#REF!,IF(AND(#REF!="Diferenciado",$H$4=#REF!),BDI!$E$17,IF(AND(#REF!="Diferenciado",$H$4=#REF!),BDI!#REF!,IF(#REF!="ZERO",0))))),"")</f>
        <v>#REF!</v>
      </c>
      <c r="H1710" s="139" t="str">
        <f t="shared" si="151"/>
        <v/>
      </c>
      <c r="I1710" s="137" t="str">
        <f t="shared" si="152"/>
        <v/>
      </c>
      <c r="J1710" s="117"/>
      <c r="K1710" s="116">
        <v>0</v>
      </c>
      <c r="M1710" s="136" t="s">
        <v>416</v>
      </c>
      <c r="N1710" t="e">
        <v>#REF!</v>
      </c>
      <c r="Q1710" t="s">
        <v>416</v>
      </c>
    </row>
    <row r="1711" spans="1:17" hidden="1" x14ac:dyDescent="0.25">
      <c r="A1711" s="114" t="s">
        <v>4495</v>
      </c>
      <c r="B1711" s="115" t="s">
        <v>7841</v>
      </c>
      <c r="C1711" s="116" t="s">
        <v>16</v>
      </c>
      <c r="D1711" s="116">
        <v>0</v>
      </c>
      <c r="E1711" s="136" t="s">
        <v>416</v>
      </c>
      <c r="F1711" s="137" t="str">
        <f t="shared" si="150"/>
        <v/>
      </c>
      <c r="G1711" s="138" t="e">
        <f>IF(A1711&lt;&gt;"",IF(AND(#REF!="Padrão",$H$4=#REF!),BDI!$B$17,IF(AND(#REF!="Padrão",$H$4=#REF!),BDI!#REF!,IF(AND(#REF!="Diferenciado",$H$4=#REF!),BDI!$E$17,IF(AND(#REF!="Diferenciado",$H$4=#REF!),BDI!#REF!,IF(#REF!="ZERO",0))))),"")</f>
        <v>#REF!</v>
      </c>
      <c r="H1711" s="139" t="str">
        <f t="shared" si="151"/>
        <v/>
      </c>
      <c r="I1711" s="137" t="str">
        <f t="shared" si="152"/>
        <v/>
      </c>
      <c r="J1711" s="117"/>
      <c r="K1711" s="116">
        <v>0</v>
      </c>
      <c r="M1711" s="136" t="s">
        <v>416</v>
      </c>
      <c r="N1711" t="e">
        <v>#REF!</v>
      </c>
      <c r="Q1711" t="s">
        <v>416</v>
      </c>
    </row>
    <row r="1712" spans="1:17" hidden="1" x14ac:dyDescent="0.25">
      <c r="A1712" s="114" t="s">
        <v>4496</v>
      </c>
      <c r="B1712" s="115" t="s">
        <v>7842</v>
      </c>
      <c r="C1712" s="116" t="s">
        <v>16</v>
      </c>
      <c r="D1712" s="116">
        <v>0</v>
      </c>
      <c r="E1712" s="136" t="s">
        <v>416</v>
      </c>
      <c r="F1712" s="137" t="str">
        <f t="shared" si="150"/>
        <v/>
      </c>
      <c r="G1712" s="138" t="e">
        <f>IF(A1712&lt;&gt;"",IF(AND(#REF!="Padrão",$H$4=#REF!),BDI!$B$17,IF(AND(#REF!="Padrão",$H$4=#REF!),BDI!#REF!,IF(AND(#REF!="Diferenciado",$H$4=#REF!),BDI!$E$17,IF(AND(#REF!="Diferenciado",$H$4=#REF!),BDI!#REF!,IF(#REF!="ZERO",0))))),"")</f>
        <v>#REF!</v>
      </c>
      <c r="H1712" s="139" t="str">
        <f t="shared" si="151"/>
        <v/>
      </c>
      <c r="I1712" s="137" t="str">
        <f t="shared" si="152"/>
        <v/>
      </c>
      <c r="J1712" s="117"/>
      <c r="K1712" s="116">
        <v>0</v>
      </c>
      <c r="M1712" s="136" t="s">
        <v>416</v>
      </c>
      <c r="N1712" t="e">
        <v>#REF!</v>
      </c>
      <c r="Q1712" t="s">
        <v>416</v>
      </c>
    </row>
    <row r="1713" spans="1:17" hidden="1" x14ac:dyDescent="0.25">
      <c r="A1713" s="114" t="s">
        <v>4497</v>
      </c>
      <c r="B1713" s="115" t="s">
        <v>7843</v>
      </c>
      <c r="C1713" s="116" t="s">
        <v>16</v>
      </c>
      <c r="D1713" s="116">
        <v>0</v>
      </c>
      <c r="E1713" s="136" t="s">
        <v>416</v>
      </c>
      <c r="F1713" s="137" t="str">
        <f t="shared" si="150"/>
        <v/>
      </c>
      <c r="G1713" s="138" t="e">
        <f>IF(A1713&lt;&gt;"",IF(AND(#REF!="Padrão",$H$4=#REF!),BDI!$B$17,IF(AND(#REF!="Padrão",$H$4=#REF!),BDI!#REF!,IF(AND(#REF!="Diferenciado",$H$4=#REF!),BDI!$E$17,IF(AND(#REF!="Diferenciado",$H$4=#REF!),BDI!#REF!,IF(#REF!="ZERO",0))))),"")</f>
        <v>#REF!</v>
      </c>
      <c r="H1713" s="139" t="str">
        <f t="shared" si="151"/>
        <v/>
      </c>
      <c r="I1713" s="137" t="str">
        <f t="shared" si="152"/>
        <v/>
      </c>
      <c r="J1713" s="117"/>
      <c r="K1713" s="116">
        <v>0</v>
      </c>
      <c r="M1713" s="136" t="s">
        <v>416</v>
      </c>
      <c r="N1713" t="e">
        <v>#REF!</v>
      </c>
      <c r="Q1713" t="s">
        <v>416</v>
      </c>
    </row>
    <row r="1714" spans="1:17" hidden="1" x14ac:dyDescent="0.25">
      <c r="A1714" s="114" t="s">
        <v>4498</v>
      </c>
      <c r="B1714" s="115" t="s">
        <v>7844</v>
      </c>
      <c r="C1714" s="116" t="s">
        <v>16</v>
      </c>
      <c r="D1714" s="116">
        <v>0</v>
      </c>
      <c r="E1714" s="136" t="s">
        <v>416</v>
      </c>
      <c r="F1714" s="137" t="str">
        <f t="shared" si="150"/>
        <v/>
      </c>
      <c r="G1714" s="138" t="e">
        <f>IF(A1714&lt;&gt;"",IF(AND(#REF!="Padrão",$H$4=#REF!),BDI!$B$17,IF(AND(#REF!="Padrão",$H$4=#REF!),BDI!#REF!,IF(AND(#REF!="Diferenciado",$H$4=#REF!),BDI!$E$17,IF(AND(#REF!="Diferenciado",$H$4=#REF!),BDI!#REF!,IF(#REF!="ZERO",0))))),"")</f>
        <v>#REF!</v>
      </c>
      <c r="H1714" s="139" t="str">
        <f t="shared" si="151"/>
        <v/>
      </c>
      <c r="I1714" s="137" t="str">
        <f t="shared" si="152"/>
        <v/>
      </c>
      <c r="J1714" s="117"/>
      <c r="K1714" s="116">
        <v>0</v>
      </c>
      <c r="M1714" s="136" t="s">
        <v>416</v>
      </c>
      <c r="N1714" t="e">
        <v>#REF!</v>
      </c>
      <c r="Q1714" t="s">
        <v>416</v>
      </c>
    </row>
    <row r="1715" spans="1:17" hidden="1" x14ac:dyDescent="0.25">
      <c r="A1715" s="114" t="s">
        <v>4499</v>
      </c>
      <c r="B1715" s="115" t="s">
        <v>7845</v>
      </c>
      <c r="C1715" s="116" t="s">
        <v>16</v>
      </c>
      <c r="D1715" s="116">
        <v>0</v>
      </c>
      <c r="E1715" s="136" t="s">
        <v>416</v>
      </c>
      <c r="F1715" s="137" t="str">
        <f t="shared" si="150"/>
        <v/>
      </c>
      <c r="G1715" s="138" t="e">
        <f>IF(A1715&lt;&gt;"",IF(AND(#REF!="Padrão",$H$4=#REF!),BDI!$B$17,IF(AND(#REF!="Padrão",$H$4=#REF!),BDI!#REF!,IF(AND(#REF!="Diferenciado",$H$4=#REF!),BDI!$E$17,IF(AND(#REF!="Diferenciado",$H$4=#REF!),BDI!#REF!,IF(#REF!="ZERO",0))))),"")</f>
        <v>#REF!</v>
      </c>
      <c r="H1715" s="139" t="str">
        <f t="shared" si="151"/>
        <v/>
      </c>
      <c r="I1715" s="137" t="str">
        <f t="shared" si="152"/>
        <v/>
      </c>
      <c r="J1715" s="117"/>
      <c r="K1715" s="116">
        <v>0</v>
      </c>
      <c r="M1715" s="136" t="s">
        <v>416</v>
      </c>
      <c r="N1715" t="e">
        <v>#REF!</v>
      </c>
      <c r="Q1715" t="s">
        <v>416</v>
      </c>
    </row>
    <row r="1716" spans="1:17" hidden="1" x14ac:dyDescent="0.25">
      <c r="A1716" s="114" t="s">
        <v>4500</v>
      </c>
      <c r="B1716" s="115" t="s">
        <v>7846</v>
      </c>
      <c r="C1716" s="116" t="s">
        <v>16</v>
      </c>
      <c r="D1716" s="116">
        <v>0</v>
      </c>
      <c r="E1716" s="136" t="s">
        <v>416</v>
      </c>
      <c r="F1716" s="137" t="str">
        <f t="shared" si="150"/>
        <v/>
      </c>
      <c r="G1716" s="138" t="e">
        <f>IF(A1716&lt;&gt;"",IF(AND(#REF!="Padrão",$H$4=#REF!),BDI!$B$17,IF(AND(#REF!="Padrão",$H$4=#REF!),BDI!#REF!,IF(AND(#REF!="Diferenciado",$H$4=#REF!),BDI!$E$17,IF(AND(#REF!="Diferenciado",$H$4=#REF!),BDI!#REF!,IF(#REF!="ZERO",0))))),"")</f>
        <v>#REF!</v>
      </c>
      <c r="H1716" s="139" t="str">
        <f t="shared" si="151"/>
        <v/>
      </c>
      <c r="I1716" s="137" t="str">
        <f t="shared" si="152"/>
        <v/>
      </c>
      <c r="J1716" s="117"/>
      <c r="K1716" s="116">
        <v>0</v>
      </c>
      <c r="M1716" s="136" t="s">
        <v>416</v>
      </c>
      <c r="N1716" t="e">
        <v>#REF!</v>
      </c>
      <c r="Q1716" t="s">
        <v>416</v>
      </c>
    </row>
    <row r="1717" spans="1:17" hidden="1" x14ac:dyDescent="0.25">
      <c r="A1717" s="114" t="s">
        <v>4501</v>
      </c>
      <c r="B1717" s="115" t="s">
        <v>7847</v>
      </c>
      <c r="C1717" s="116" t="s">
        <v>16</v>
      </c>
      <c r="D1717" s="116">
        <v>0</v>
      </c>
      <c r="E1717" s="136" t="s">
        <v>416</v>
      </c>
      <c r="F1717" s="137" t="str">
        <f t="shared" si="150"/>
        <v/>
      </c>
      <c r="G1717" s="138" t="e">
        <f>IF(A1717&lt;&gt;"",IF(AND(#REF!="Padrão",$H$4=#REF!),BDI!$B$17,IF(AND(#REF!="Padrão",$H$4=#REF!),BDI!#REF!,IF(AND(#REF!="Diferenciado",$H$4=#REF!),BDI!$E$17,IF(AND(#REF!="Diferenciado",$H$4=#REF!),BDI!#REF!,IF(#REF!="ZERO",0))))),"")</f>
        <v>#REF!</v>
      </c>
      <c r="H1717" s="139" t="str">
        <f t="shared" si="151"/>
        <v/>
      </c>
      <c r="I1717" s="137" t="str">
        <f t="shared" si="152"/>
        <v/>
      </c>
      <c r="J1717" s="117"/>
      <c r="K1717" s="116">
        <v>0</v>
      </c>
      <c r="M1717" s="136" t="s">
        <v>416</v>
      </c>
      <c r="N1717" t="e">
        <v>#REF!</v>
      </c>
      <c r="Q1717" t="s">
        <v>416</v>
      </c>
    </row>
    <row r="1718" spans="1:17" hidden="1" x14ac:dyDescent="0.25">
      <c r="A1718" s="114" t="s">
        <v>4502</v>
      </c>
      <c r="B1718" s="115" t="s">
        <v>7848</v>
      </c>
      <c r="C1718" s="116" t="s">
        <v>16</v>
      </c>
      <c r="D1718" s="116">
        <v>0</v>
      </c>
      <c r="E1718" s="136" t="s">
        <v>416</v>
      </c>
      <c r="F1718" s="137" t="str">
        <f t="shared" si="150"/>
        <v/>
      </c>
      <c r="G1718" s="138" t="e">
        <f>IF(A1718&lt;&gt;"",IF(AND(#REF!="Padrão",$H$4=#REF!),BDI!$B$17,IF(AND(#REF!="Padrão",$H$4=#REF!),BDI!#REF!,IF(AND(#REF!="Diferenciado",$H$4=#REF!),BDI!$E$17,IF(AND(#REF!="Diferenciado",$H$4=#REF!),BDI!#REF!,IF(#REF!="ZERO",0))))),"")</f>
        <v>#REF!</v>
      </c>
      <c r="H1718" s="139" t="str">
        <f t="shared" si="151"/>
        <v/>
      </c>
      <c r="I1718" s="137" t="str">
        <f t="shared" si="152"/>
        <v/>
      </c>
      <c r="J1718" s="117"/>
      <c r="K1718" s="116">
        <v>0</v>
      </c>
      <c r="M1718" s="136" t="s">
        <v>416</v>
      </c>
      <c r="N1718" t="e">
        <v>#REF!</v>
      </c>
      <c r="Q1718" t="s">
        <v>416</v>
      </c>
    </row>
    <row r="1719" spans="1:17" hidden="1" x14ac:dyDescent="0.25">
      <c r="A1719" s="114" t="s">
        <v>4503</v>
      </c>
      <c r="B1719" s="115" t="s">
        <v>7849</v>
      </c>
      <c r="C1719" s="116" t="s">
        <v>16</v>
      </c>
      <c r="D1719" s="116">
        <v>0</v>
      </c>
      <c r="E1719" s="136" t="s">
        <v>416</v>
      </c>
      <c r="F1719" s="137" t="str">
        <f t="shared" si="150"/>
        <v/>
      </c>
      <c r="G1719" s="138" t="e">
        <f>IF(A1719&lt;&gt;"",IF(AND(#REF!="Padrão",$H$4=#REF!),BDI!$B$17,IF(AND(#REF!="Padrão",$H$4=#REF!),BDI!#REF!,IF(AND(#REF!="Diferenciado",$H$4=#REF!),BDI!$E$17,IF(AND(#REF!="Diferenciado",$H$4=#REF!),BDI!#REF!,IF(#REF!="ZERO",0))))),"")</f>
        <v>#REF!</v>
      </c>
      <c r="H1719" s="139" t="str">
        <f t="shared" si="151"/>
        <v/>
      </c>
      <c r="I1719" s="137" t="str">
        <f t="shared" si="152"/>
        <v/>
      </c>
      <c r="J1719" s="117"/>
      <c r="K1719" s="116">
        <v>0</v>
      </c>
      <c r="M1719" s="136" t="s">
        <v>416</v>
      </c>
      <c r="N1719" t="e">
        <v>#REF!</v>
      </c>
      <c r="Q1719" t="s">
        <v>416</v>
      </c>
    </row>
    <row r="1720" spans="1:17" hidden="1" x14ac:dyDescent="0.25">
      <c r="A1720" s="114" t="s">
        <v>4504</v>
      </c>
      <c r="B1720" s="115" t="s">
        <v>7850</v>
      </c>
      <c r="C1720" s="116" t="s">
        <v>16</v>
      </c>
      <c r="D1720" s="116">
        <v>0</v>
      </c>
      <c r="E1720" s="136" t="s">
        <v>416</v>
      </c>
      <c r="F1720" s="137" t="str">
        <f t="shared" si="150"/>
        <v/>
      </c>
      <c r="G1720" s="138" t="e">
        <f>IF(A1720&lt;&gt;"",IF(AND(#REF!="Padrão",$H$4=#REF!),BDI!$B$17,IF(AND(#REF!="Padrão",$H$4=#REF!),BDI!#REF!,IF(AND(#REF!="Diferenciado",$H$4=#REF!),BDI!$E$17,IF(AND(#REF!="Diferenciado",$H$4=#REF!),BDI!#REF!,IF(#REF!="ZERO",0))))),"")</f>
        <v>#REF!</v>
      </c>
      <c r="H1720" s="139" t="str">
        <f t="shared" si="151"/>
        <v/>
      </c>
      <c r="I1720" s="137" t="str">
        <f t="shared" si="152"/>
        <v/>
      </c>
      <c r="J1720" s="117"/>
      <c r="K1720" s="116">
        <v>0</v>
      </c>
      <c r="M1720" s="136" t="s">
        <v>416</v>
      </c>
      <c r="N1720" t="e">
        <v>#REF!</v>
      </c>
      <c r="Q1720" t="s">
        <v>416</v>
      </c>
    </row>
    <row r="1721" spans="1:17" hidden="1" x14ac:dyDescent="0.25">
      <c r="A1721" s="114" t="s">
        <v>4505</v>
      </c>
      <c r="B1721" s="115" t="s">
        <v>7851</v>
      </c>
      <c r="C1721" s="116" t="s">
        <v>16</v>
      </c>
      <c r="D1721" s="116">
        <v>0</v>
      </c>
      <c r="E1721" s="136" t="s">
        <v>416</v>
      </c>
      <c r="F1721" s="137" t="str">
        <f t="shared" si="150"/>
        <v/>
      </c>
      <c r="G1721" s="138" t="e">
        <f>IF(A1721&lt;&gt;"",IF(AND(#REF!="Padrão",$H$4=#REF!),BDI!$B$17,IF(AND(#REF!="Padrão",$H$4=#REF!),BDI!#REF!,IF(AND(#REF!="Diferenciado",$H$4=#REF!),BDI!$E$17,IF(AND(#REF!="Diferenciado",$H$4=#REF!),BDI!#REF!,IF(#REF!="ZERO",0))))),"")</f>
        <v>#REF!</v>
      </c>
      <c r="H1721" s="139" t="str">
        <f t="shared" si="151"/>
        <v/>
      </c>
      <c r="I1721" s="137" t="str">
        <f t="shared" si="152"/>
        <v/>
      </c>
      <c r="J1721" s="117"/>
      <c r="K1721" s="116">
        <v>0</v>
      </c>
      <c r="M1721" s="136" t="s">
        <v>416</v>
      </c>
      <c r="N1721" t="e">
        <v>#REF!</v>
      </c>
      <c r="Q1721" t="s">
        <v>416</v>
      </c>
    </row>
    <row r="1722" spans="1:17" hidden="1" x14ac:dyDescent="0.25">
      <c r="A1722" s="114" t="s">
        <v>4506</v>
      </c>
      <c r="B1722" s="115" t="s">
        <v>7852</v>
      </c>
      <c r="C1722" s="116" t="s">
        <v>16</v>
      </c>
      <c r="D1722" s="116">
        <v>0</v>
      </c>
      <c r="E1722" s="136" t="s">
        <v>416</v>
      </c>
      <c r="F1722" s="137" t="str">
        <f t="shared" si="150"/>
        <v/>
      </c>
      <c r="G1722" s="138" t="e">
        <f>IF(A1722&lt;&gt;"",IF(AND(#REF!="Padrão",$H$4=#REF!),BDI!$B$17,IF(AND(#REF!="Padrão",$H$4=#REF!),BDI!#REF!,IF(AND(#REF!="Diferenciado",$H$4=#REF!),BDI!$E$17,IF(AND(#REF!="Diferenciado",$H$4=#REF!),BDI!#REF!,IF(#REF!="ZERO",0))))),"")</f>
        <v>#REF!</v>
      </c>
      <c r="H1722" s="139" t="str">
        <f t="shared" si="151"/>
        <v/>
      </c>
      <c r="I1722" s="137" t="str">
        <f t="shared" si="152"/>
        <v/>
      </c>
      <c r="J1722" s="117"/>
      <c r="K1722" s="116">
        <v>0</v>
      </c>
      <c r="M1722" s="136" t="s">
        <v>416</v>
      </c>
      <c r="N1722" t="e">
        <v>#REF!</v>
      </c>
      <c r="Q1722" t="s">
        <v>416</v>
      </c>
    </row>
    <row r="1723" spans="1:17" hidden="1" x14ac:dyDescent="0.25">
      <c r="A1723" s="114" t="s">
        <v>4507</v>
      </c>
      <c r="B1723" s="115" t="s">
        <v>7853</v>
      </c>
      <c r="C1723" s="116" t="s">
        <v>16</v>
      </c>
      <c r="D1723" s="116">
        <v>0</v>
      </c>
      <c r="E1723" s="136" t="s">
        <v>416</v>
      </c>
      <c r="F1723" s="137" t="str">
        <f t="shared" si="150"/>
        <v/>
      </c>
      <c r="G1723" s="138" t="e">
        <f>IF(A1723&lt;&gt;"",IF(AND(#REF!="Padrão",$H$4=#REF!),BDI!$B$17,IF(AND(#REF!="Padrão",$H$4=#REF!),BDI!#REF!,IF(AND(#REF!="Diferenciado",$H$4=#REF!),BDI!$E$17,IF(AND(#REF!="Diferenciado",$H$4=#REF!),BDI!#REF!,IF(#REF!="ZERO",0))))),"")</f>
        <v>#REF!</v>
      </c>
      <c r="H1723" s="139" t="str">
        <f t="shared" si="151"/>
        <v/>
      </c>
      <c r="I1723" s="137" t="str">
        <f t="shared" si="152"/>
        <v/>
      </c>
      <c r="J1723" s="117"/>
      <c r="K1723" s="116">
        <v>0</v>
      </c>
      <c r="M1723" s="136" t="s">
        <v>416</v>
      </c>
      <c r="N1723" t="e">
        <v>#REF!</v>
      </c>
      <c r="Q1723" t="s">
        <v>416</v>
      </c>
    </row>
    <row r="1724" spans="1:17" hidden="1" x14ac:dyDescent="0.25">
      <c r="A1724" s="114" t="s">
        <v>4508</v>
      </c>
      <c r="B1724" s="115" t="s">
        <v>7854</v>
      </c>
      <c r="C1724" s="116" t="s">
        <v>16</v>
      </c>
      <c r="D1724" s="116">
        <v>0</v>
      </c>
      <c r="E1724" s="136" t="s">
        <v>416</v>
      </c>
      <c r="F1724" s="137" t="str">
        <f t="shared" si="150"/>
        <v/>
      </c>
      <c r="G1724" s="138" t="e">
        <f>IF(A1724&lt;&gt;"",IF(AND(#REF!="Padrão",$H$4=#REF!),BDI!$B$17,IF(AND(#REF!="Padrão",$H$4=#REF!),BDI!#REF!,IF(AND(#REF!="Diferenciado",$H$4=#REF!),BDI!$E$17,IF(AND(#REF!="Diferenciado",$H$4=#REF!),BDI!#REF!,IF(#REF!="ZERO",0))))),"")</f>
        <v>#REF!</v>
      </c>
      <c r="H1724" s="139" t="str">
        <f t="shared" si="151"/>
        <v/>
      </c>
      <c r="I1724" s="137" t="str">
        <f t="shared" si="152"/>
        <v/>
      </c>
      <c r="J1724" s="117"/>
      <c r="K1724" s="116">
        <v>0</v>
      </c>
      <c r="M1724" s="136" t="s">
        <v>416</v>
      </c>
      <c r="N1724" t="e">
        <v>#REF!</v>
      </c>
      <c r="Q1724" t="s">
        <v>416</v>
      </c>
    </row>
    <row r="1725" spans="1:17" hidden="1" x14ac:dyDescent="0.25">
      <c r="A1725" s="114" t="s">
        <v>4509</v>
      </c>
      <c r="B1725" s="115" t="s">
        <v>7855</v>
      </c>
      <c r="C1725" s="116" t="s">
        <v>16</v>
      </c>
      <c r="D1725" s="116">
        <v>0</v>
      </c>
      <c r="E1725" s="136" t="s">
        <v>416</v>
      </c>
      <c r="F1725" s="137" t="str">
        <f t="shared" si="150"/>
        <v/>
      </c>
      <c r="G1725" s="138" t="e">
        <f>IF(A1725&lt;&gt;"",IF(AND(#REF!="Padrão",$H$4=#REF!),BDI!$B$17,IF(AND(#REF!="Padrão",$H$4=#REF!),BDI!#REF!,IF(AND(#REF!="Diferenciado",$H$4=#REF!),BDI!$E$17,IF(AND(#REF!="Diferenciado",$H$4=#REF!),BDI!#REF!,IF(#REF!="ZERO",0))))),"")</f>
        <v>#REF!</v>
      </c>
      <c r="H1725" s="139" t="str">
        <f t="shared" si="151"/>
        <v/>
      </c>
      <c r="I1725" s="137" t="str">
        <f t="shared" si="152"/>
        <v/>
      </c>
      <c r="J1725" s="117"/>
      <c r="K1725" s="116">
        <v>0</v>
      </c>
      <c r="M1725" s="136" t="s">
        <v>416</v>
      </c>
      <c r="N1725" t="e">
        <v>#REF!</v>
      </c>
      <c r="Q1725" t="s">
        <v>416</v>
      </c>
    </row>
    <row r="1726" spans="1:17" hidden="1" x14ac:dyDescent="0.25">
      <c r="A1726" s="114" t="s">
        <v>4510</v>
      </c>
      <c r="B1726" s="115" t="s">
        <v>7856</v>
      </c>
      <c r="C1726" s="116" t="s">
        <v>16</v>
      </c>
      <c r="D1726" s="116">
        <v>0</v>
      </c>
      <c r="E1726" s="136" t="s">
        <v>416</v>
      </c>
      <c r="F1726" s="137" t="str">
        <f t="shared" si="150"/>
        <v/>
      </c>
      <c r="G1726" s="138" t="e">
        <f>IF(A1726&lt;&gt;"",IF(AND(#REF!="Padrão",$H$4=#REF!),BDI!$B$17,IF(AND(#REF!="Padrão",$H$4=#REF!),BDI!#REF!,IF(AND(#REF!="Diferenciado",$H$4=#REF!),BDI!$E$17,IF(AND(#REF!="Diferenciado",$H$4=#REF!),BDI!#REF!,IF(#REF!="ZERO",0))))),"")</f>
        <v>#REF!</v>
      </c>
      <c r="H1726" s="139" t="str">
        <f t="shared" si="151"/>
        <v/>
      </c>
      <c r="I1726" s="137" t="str">
        <f t="shared" si="152"/>
        <v/>
      </c>
      <c r="J1726" s="117"/>
      <c r="K1726" s="116">
        <v>0</v>
      </c>
      <c r="M1726" s="136" t="s">
        <v>416</v>
      </c>
      <c r="N1726" t="e">
        <v>#REF!</v>
      </c>
      <c r="Q1726" t="s">
        <v>416</v>
      </c>
    </row>
    <row r="1727" spans="1:17" hidden="1" x14ac:dyDescent="0.25">
      <c r="A1727" s="114" t="s">
        <v>4511</v>
      </c>
      <c r="B1727" s="115" t="s">
        <v>7857</v>
      </c>
      <c r="C1727" s="116" t="s">
        <v>16</v>
      </c>
      <c r="D1727" s="116">
        <v>0</v>
      </c>
      <c r="E1727" s="136" t="s">
        <v>416</v>
      </c>
      <c r="F1727" s="137" t="str">
        <f t="shared" si="150"/>
        <v/>
      </c>
      <c r="G1727" s="138" t="e">
        <f>IF(A1727&lt;&gt;"",IF(AND(#REF!="Padrão",$H$4=#REF!),BDI!$B$17,IF(AND(#REF!="Padrão",$H$4=#REF!),BDI!#REF!,IF(AND(#REF!="Diferenciado",$H$4=#REF!),BDI!$E$17,IF(AND(#REF!="Diferenciado",$H$4=#REF!),BDI!#REF!,IF(#REF!="ZERO",0))))),"")</f>
        <v>#REF!</v>
      </c>
      <c r="H1727" s="139" t="str">
        <f t="shared" si="151"/>
        <v/>
      </c>
      <c r="I1727" s="137" t="str">
        <f t="shared" si="152"/>
        <v/>
      </c>
      <c r="J1727" s="117"/>
      <c r="K1727" s="116">
        <v>0</v>
      </c>
      <c r="M1727" s="136" t="s">
        <v>416</v>
      </c>
      <c r="N1727" t="e">
        <v>#REF!</v>
      </c>
      <c r="Q1727" t="s">
        <v>416</v>
      </c>
    </row>
    <row r="1728" spans="1:17" hidden="1" x14ac:dyDescent="0.25">
      <c r="A1728" s="114" t="s">
        <v>4512</v>
      </c>
      <c r="B1728" s="115" t="s">
        <v>7858</v>
      </c>
      <c r="C1728" s="116" t="s">
        <v>16</v>
      </c>
      <c r="D1728" s="116">
        <v>0</v>
      </c>
      <c r="E1728" s="136" t="s">
        <v>416</v>
      </c>
      <c r="F1728" s="137" t="str">
        <f t="shared" si="150"/>
        <v/>
      </c>
      <c r="G1728" s="138" t="e">
        <f>IF(A1728&lt;&gt;"",IF(AND(#REF!="Padrão",$H$4=#REF!),BDI!$B$17,IF(AND(#REF!="Padrão",$H$4=#REF!),BDI!#REF!,IF(AND(#REF!="Diferenciado",$H$4=#REF!),BDI!$E$17,IF(AND(#REF!="Diferenciado",$H$4=#REF!),BDI!#REF!,IF(#REF!="ZERO",0))))),"")</f>
        <v>#REF!</v>
      </c>
      <c r="H1728" s="139" t="str">
        <f t="shared" si="151"/>
        <v/>
      </c>
      <c r="I1728" s="137" t="str">
        <f t="shared" si="152"/>
        <v/>
      </c>
      <c r="J1728" s="117"/>
      <c r="K1728" s="116">
        <v>0</v>
      </c>
      <c r="M1728" s="136" t="s">
        <v>416</v>
      </c>
      <c r="N1728" t="e">
        <v>#REF!</v>
      </c>
      <c r="Q1728" t="s">
        <v>416</v>
      </c>
    </row>
    <row r="1729" spans="1:17" hidden="1" x14ac:dyDescent="0.25">
      <c r="A1729" s="114" t="s">
        <v>4513</v>
      </c>
      <c r="B1729" s="115" t="s">
        <v>7859</v>
      </c>
      <c r="C1729" s="116" t="s">
        <v>16</v>
      </c>
      <c r="D1729" s="116">
        <v>0</v>
      </c>
      <c r="E1729" s="136" t="s">
        <v>416</v>
      </c>
      <c r="F1729" s="137" t="str">
        <f t="shared" si="150"/>
        <v/>
      </c>
      <c r="G1729" s="138" t="e">
        <f>IF(A1729&lt;&gt;"",IF(AND(#REF!="Padrão",$H$4=#REF!),BDI!$B$17,IF(AND(#REF!="Padrão",$H$4=#REF!),BDI!#REF!,IF(AND(#REF!="Diferenciado",$H$4=#REF!),BDI!$E$17,IF(AND(#REF!="Diferenciado",$H$4=#REF!),BDI!#REF!,IF(#REF!="ZERO",0))))),"")</f>
        <v>#REF!</v>
      </c>
      <c r="H1729" s="139" t="str">
        <f t="shared" si="151"/>
        <v/>
      </c>
      <c r="I1729" s="137" t="str">
        <f t="shared" si="152"/>
        <v/>
      </c>
      <c r="J1729" s="117"/>
      <c r="K1729" s="116">
        <v>0</v>
      </c>
      <c r="M1729" s="136" t="s">
        <v>416</v>
      </c>
      <c r="N1729" t="e">
        <v>#REF!</v>
      </c>
      <c r="Q1729" t="s">
        <v>416</v>
      </c>
    </row>
    <row r="1730" spans="1:17" hidden="1" x14ac:dyDescent="0.25">
      <c r="A1730" s="114" t="s">
        <v>4514</v>
      </c>
      <c r="B1730" s="115" t="s">
        <v>7860</v>
      </c>
      <c r="C1730" s="116" t="s">
        <v>16</v>
      </c>
      <c r="D1730" s="116">
        <v>0</v>
      </c>
      <c r="E1730" s="136" t="s">
        <v>416</v>
      </c>
      <c r="F1730" s="137" t="str">
        <f t="shared" si="150"/>
        <v/>
      </c>
      <c r="G1730" s="138" t="e">
        <f>IF(A1730&lt;&gt;"",IF(AND(#REF!="Padrão",$H$4=#REF!),BDI!$B$17,IF(AND(#REF!="Padrão",$H$4=#REF!),BDI!#REF!,IF(AND(#REF!="Diferenciado",$H$4=#REF!),BDI!$E$17,IF(AND(#REF!="Diferenciado",$H$4=#REF!),BDI!#REF!,IF(#REF!="ZERO",0))))),"")</f>
        <v>#REF!</v>
      </c>
      <c r="H1730" s="139" t="str">
        <f t="shared" si="151"/>
        <v/>
      </c>
      <c r="I1730" s="137" t="str">
        <f t="shared" si="152"/>
        <v/>
      </c>
      <c r="J1730" s="117"/>
      <c r="K1730" s="116">
        <v>0</v>
      </c>
      <c r="M1730" s="136" t="s">
        <v>416</v>
      </c>
      <c r="N1730" t="e">
        <v>#REF!</v>
      </c>
      <c r="Q1730" t="s">
        <v>416</v>
      </c>
    </row>
    <row r="1731" spans="1:17" hidden="1" x14ac:dyDescent="0.25">
      <c r="A1731" s="114" t="s">
        <v>4515</v>
      </c>
      <c r="B1731" s="115" t="s">
        <v>7861</v>
      </c>
      <c r="C1731" s="116" t="s">
        <v>16</v>
      </c>
      <c r="D1731" s="116">
        <v>0</v>
      </c>
      <c r="E1731" s="136" t="s">
        <v>416</v>
      </c>
      <c r="F1731" s="137" t="str">
        <f t="shared" si="150"/>
        <v/>
      </c>
      <c r="G1731" s="138" t="e">
        <f>IF(A1731&lt;&gt;"",IF(AND(#REF!="Padrão",$H$4=#REF!),BDI!$B$17,IF(AND(#REF!="Padrão",$H$4=#REF!),BDI!#REF!,IF(AND(#REF!="Diferenciado",$H$4=#REF!),BDI!$E$17,IF(AND(#REF!="Diferenciado",$H$4=#REF!),BDI!#REF!,IF(#REF!="ZERO",0))))),"")</f>
        <v>#REF!</v>
      </c>
      <c r="H1731" s="139" t="str">
        <f t="shared" si="151"/>
        <v/>
      </c>
      <c r="I1731" s="137" t="str">
        <f t="shared" si="152"/>
        <v/>
      </c>
      <c r="J1731" s="117"/>
      <c r="K1731" s="116">
        <v>0</v>
      </c>
      <c r="M1731" s="136" t="s">
        <v>416</v>
      </c>
      <c r="N1731" t="e">
        <v>#REF!</v>
      </c>
      <c r="Q1731" t="s">
        <v>416</v>
      </c>
    </row>
    <row r="1732" spans="1:17" hidden="1" x14ac:dyDescent="0.25">
      <c r="A1732" s="114" t="s">
        <v>4516</v>
      </c>
      <c r="B1732" s="115" t="s">
        <v>7862</v>
      </c>
      <c r="C1732" s="116" t="s">
        <v>16</v>
      </c>
      <c r="D1732" s="116">
        <v>0</v>
      </c>
      <c r="E1732" s="136" t="s">
        <v>416</v>
      </c>
      <c r="F1732" s="137" t="str">
        <f t="shared" si="150"/>
        <v/>
      </c>
      <c r="G1732" s="138" t="e">
        <f>IF(A1732&lt;&gt;"",IF(AND(#REF!="Padrão",$H$4=#REF!),BDI!$B$17,IF(AND(#REF!="Padrão",$H$4=#REF!),BDI!#REF!,IF(AND(#REF!="Diferenciado",$H$4=#REF!),BDI!$E$17,IF(AND(#REF!="Diferenciado",$H$4=#REF!),BDI!#REF!,IF(#REF!="ZERO",0))))),"")</f>
        <v>#REF!</v>
      </c>
      <c r="H1732" s="139" t="str">
        <f t="shared" si="151"/>
        <v/>
      </c>
      <c r="I1732" s="137" t="str">
        <f t="shared" si="152"/>
        <v/>
      </c>
      <c r="J1732" s="117"/>
      <c r="K1732" s="116">
        <v>0</v>
      </c>
      <c r="M1732" s="136" t="s">
        <v>416</v>
      </c>
      <c r="N1732" t="e">
        <v>#REF!</v>
      </c>
      <c r="Q1732" t="s">
        <v>416</v>
      </c>
    </row>
    <row r="1733" spans="1:17" hidden="1" x14ac:dyDescent="0.25">
      <c r="A1733" s="114" t="s">
        <v>4517</v>
      </c>
      <c r="B1733" s="115" t="s">
        <v>7863</v>
      </c>
      <c r="C1733" s="116" t="s">
        <v>16</v>
      </c>
      <c r="D1733" s="116">
        <v>0</v>
      </c>
      <c r="E1733" s="136" t="s">
        <v>416</v>
      </c>
      <c r="F1733" s="137" t="str">
        <f t="shared" si="150"/>
        <v/>
      </c>
      <c r="G1733" s="138" t="e">
        <f>IF(A1733&lt;&gt;"",IF(AND(#REF!="Padrão",$H$4=#REF!),BDI!$B$17,IF(AND(#REF!="Padrão",$H$4=#REF!),BDI!#REF!,IF(AND(#REF!="Diferenciado",$H$4=#REF!),BDI!$E$17,IF(AND(#REF!="Diferenciado",$H$4=#REF!),BDI!#REF!,IF(#REF!="ZERO",0))))),"")</f>
        <v>#REF!</v>
      </c>
      <c r="H1733" s="139" t="str">
        <f t="shared" si="151"/>
        <v/>
      </c>
      <c r="I1733" s="137" t="str">
        <f t="shared" si="152"/>
        <v/>
      </c>
      <c r="J1733" s="117"/>
      <c r="K1733" s="116">
        <v>0</v>
      </c>
      <c r="M1733" s="136" t="s">
        <v>416</v>
      </c>
      <c r="N1733" t="e">
        <v>#REF!</v>
      </c>
      <c r="Q1733" t="s">
        <v>416</v>
      </c>
    </row>
    <row r="1734" spans="1:17" hidden="1" x14ac:dyDescent="0.25">
      <c r="A1734" s="114" t="s">
        <v>4518</v>
      </c>
      <c r="B1734" s="115" t="s">
        <v>7864</v>
      </c>
      <c r="C1734" s="116" t="s">
        <v>16</v>
      </c>
      <c r="D1734" s="116">
        <v>0</v>
      </c>
      <c r="E1734" s="136" t="s">
        <v>416</v>
      </c>
      <c r="F1734" s="137" t="str">
        <f t="shared" si="150"/>
        <v/>
      </c>
      <c r="G1734" s="138" t="e">
        <f>IF(A1734&lt;&gt;"",IF(AND(#REF!="Padrão",$H$4=#REF!),BDI!$B$17,IF(AND(#REF!="Padrão",$H$4=#REF!),BDI!#REF!,IF(AND(#REF!="Diferenciado",$H$4=#REF!),BDI!$E$17,IF(AND(#REF!="Diferenciado",$H$4=#REF!),BDI!#REF!,IF(#REF!="ZERO",0))))),"")</f>
        <v>#REF!</v>
      </c>
      <c r="H1734" s="139" t="str">
        <f t="shared" si="151"/>
        <v/>
      </c>
      <c r="I1734" s="137" t="str">
        <f t="shared" si="152"/>
        <v/>
      </c>
      <c r="J1734" s="117"/>
      <c r="K1734" s="116">
        <v>0</v>
      </c>
      <c r="M1734" s="136" t="s">
        <v>416</v>
      </c>
      <c r="N1734" t="e">
        <v>#REF!</v>
      </c>
      <c r="Q1734" t="s">
        <v>416</v>
      </c>
    </row>
    <row r="1735" spans="1:17" hidden="1" x14ac:dyDescent="0.25">
      <c r="A1735" s="114" t="s">
        <v>4519</v>
      </c>
      <c r="B1735" s="115" t="s">
        <v>7865</v>
      </c>
      <c r="C1735" s="116" t="s">
        <v>16</v>
      </c>
      <c r="D1735" s="116">
        <v>0</v>
      </c>
      <c r="E1735" s="136" t="s">
        <v>416</v>
      </c>
      <c r="F1735" s="137" t="str">
        <f t="shared" si="150"/>
        <v/>
      </c>
      <c r="G1735" s="138" t="e">
        <f>IF(A1735&lt;&gt;"",IF(AND(#REF!="Padrão",$H$4=#REF!),BDI!$B$17,IF(AND(#REF!="Padrão",$H$4=#REF!),BDI!#REF!,IF(AND(#REF!="Diferenciado",$H$4=#REF!),BDI!$E$17,IF(AND(#REF!="Diferenciado",$H$4=#REF!),BDI!#REF!,IF(#REF!="ZERO",0))))),"")</f>
        <v>#REF!</v>
      </c>
      <c r="H1735" s="139" t="str">
        <f t="shared" si="151"/>
        <v/>
      </c>
      <c r="I1735" s="137" t="str">
        <f t="shared" si="152"/>
        <v/>
      </c>
      <c r="J1735" s="117"/>
      <c r="K1735" s="116">
        <v>0</v>
      </c>
      <c r="M1735" s="136" t="s">
        <v>416</v>
      </c>
      <c r="N1735" t="e">
        <v>#REF!</v>
      </c>
      <c r="Q1735" t="s">
        <v>416</v>
      </c>
    </row>
    <row r="1736" spans="1:17" hidden="1" x14ac:dyDescent="0.25">
      <c r="A1736" s="114" t="s">
        <v>4520</v>
      </c>
      <c r="B1736" s="115" t="s">
        <v>7866</v>
      </c>
      <c r="C1736" s="116" t="s">
        <v>16</v>
      </c>
      <c r="D1736" s="116">
        <v>0</v>
      </c>
      <c r="E1736" s="136" t="s">
        <v>416</v>
      </c>
      <c r="F1736" s="137" t="str">
        <f t="shared" si="150"/>
        <v/>
      </c>
      <c r="G1736" s="138" t="e">
        <f>IF(A1736&lt;&gt;"",IF(AND(#REF!="Padrão",$H$4=#REF!),BDI!$B$17,IF(AND(#REF!="Padrão",$H$4=#REF!),BDI!#REF!,IF(AND(#REF!="Diferenciado",$H$4=#REF!),BDI!$E$17,IF(AND(#REF!="Diferenciado",$H$4=#REF!),BDI!#REF!,IF(#REF!="ZERO",0))))),"")</f>
        <v>#REF!</v>
      </c>
      <c r="H1736" s="139" t="str">
        <f t="shared" si="151"/>
        <v/>
      </c>
      <c r="I1736" s="137" t="str">
        <f t="shared" si="152"/>
        <v/>
      </c>
      <c r="J1736" s="117"/>
      <c r="K1736" s="116">
        <v>0</v>
      </c>
      <c r="M1736" s="136" t="s">
        <v>416</v>
      </c>
      <c r="N1736" t="e">
        <v>#REF!</v>
      </c>
      <c r="Q1736" t="s">
        <v>416</v>
      </c>
    </row>
    <row r="1737" spans="1:17" hidden="1" x14ac:dyDescent="0.25">
      <c r="A1737" s="114" t="s">
        <v>4521</v>
      </c>
      <c r="B1737" s="115" t="s">
        <v>7867</v>
      </c>
      <c r="C1737" s="116" t="s">
        <v>16</v>
      </c>
      <c r="D1737" s="116">
        <v>0</v>
      </c>
      <c r="E1737" s="136" t="s">
        <v>416</v>
      </c>
      <c r="F1737" s="137" t="str">
        <f t="shared" si="150"/>
        <v/>
      </c>
      <c r="G1737" s="138" t="e">
        <f>IF(A1737&lt;&gt;"",IF(AND(#REF!="Padrão",$H$4=#REF!),BDI!$B$17,IF(AND(#REF!="Padrão",$H$4=#REF!),BDI!#REF!,IF(AND(#REF!="Diferenciado",$H$4=#REF!),BDI!$E$17,IF(AND(#REF!="Diferenciado",$H$4=#REF!),BDI!#REF!,IF(#REF!="ZERO",0))))),"")</f>
        <v>#REF!</v>
      </c>
      <c r="H1737" s="139" t="str">
        <f t="shared" si="151"/>
        <v/>
      </c>
      <c r="I1737" s="137" t="str">
        <f t="shared" si="152"/>
        <v/>
      </c>
      <c r="J1737" s="117"/>
      <c r="K1737" s="116">
        <v>0</v>
      </c>
      <c r="M1737" s="136" t="s">
        <v>416</v>
      </c>
      <c r="N1737" t="e">
        <v>#REF!</v>
      </c>
      <c r="Q1737" t="s">
        <v>416</v>
      </c>
    </row>
    <row r="1738" spans="1:17" hidden="1" x14ac:dyDescent="0.25">
      <c r="A1738" s="114" t="s">
        <v>4522</v>
      </c>
      <c r="B1738" s="115" t="s">
        <v>7868</v>
      </c>
      <c r="C1738" s="116" t="s">
        <v>69</v>
      </c>
      <c r="D1738" s="116">
        <v>0</v>
      </c>
      <c r="E1738" s="136" t="s">
        <v>416</v>
      </c>
      <c r="F1738" s="137" t="str">
        <f t="shared" si="150"/>
        <v/>
      </c>
      <c r="G1738" s="138" t="e">
        <f>IF(A1738&lt;&gt;"",IF(AND(#REF!="Padrão",$H$4=#REF!),BDI!$B$17,IF(AND(#REF!="Padrão",$H$4=#REF!),BDI!#REF!,IF(AND(#REF!="Diferenciado",$H$4=#REF!),BDI!$E$17,IF(AND(#REF!="Diferenciado",$H$4=#REF!),BDI!#REF!,IF(#REF!="ZERO",0))))),"")</f>
        <v>#REF!</v>
      </c>
      <c r="H1738" s="139" t="str">
        <f t="shared" si="151"/>
        <v/>
      </c>
      <c r="I1738" s="137" t="str">
        <f t="shared" si="152"/>
        <v/>
      </c>
      <c r="J1738" s="117"/>
      <c r="K1738" s="116">
        <v>0</v>
      </c>
      <c r="M1738" s="136" t="s">
        <v>416</v>
      </c>
      <c r="N1738" t="e">
        <v>#REF!</v>
      </c>
      <c r="Q1738" t="s">
        <v>416</v>
      </c>
    </row>
    <row r="1739" spans="1:17" hidden="1" x14ac:dyDescent="0.25">
      <c r="A1739" s="114" t="s">
        <v>4523</v>
      </c>
      <c r="B1739" s="115" t="s">
        <v>7869</v>
      </c>
      <c r="C1739" s="116" t="s">
        <v>69</v>
      </c>
      <c r="D1739" s="116">
        <v>0</v>
      </c>
      <c r="E1739" s="136" t="s">
        <v>416</v>
      </c>
      <c r="F1739" s="137" t="str">
        <f t="shared" si="150"/>
        <v/>
      </c>
      <c r="G1739" s="138" t="e">
        <f>IF(A1739&lt;&gt;"",IF(AND(#REF!="Padrão",$H$4=#REF!),BDI!$B$17,IF(AND(#REF!="Padrão",$H$4=#REF!),BDI!#REF!,IF(AND(#REF!="Diferenciado",$H$4=#REF!),BDI!$E$17,IF(AND(#REF!="Diferenciado",$H$4=#REF!),BDI!#REF!,IF(#REF!="ZERO",0))))),"")</f>
        <v>#REF!</v>
      </c>
      <c r="H1739" s="139" t="str">
        <f t="shared" si="151"/>
        <v/>
      </c>
      <c r="I1739" s="137" t="str">
        <f t="shared" si="152"/>
        <v/>
      </c>
      <c r="J1739" s="117"/>
      <c r="K1739" s="116">
        <v>0</v>
      </c>
      <c r="M1739" s="136" t="s">
        <v>416</v>
      </c>
      <c r="N1739" t="e">
        <v>#REF!</v>
      </c>
      <c r="Q1739" t="s">
        <v>416</v>
      </c>
    </row>
    <row r="1740" spans="1:17" hidden="1" x14ac:dyDescent="0.25">
      <c r="A1740" s="114" t="s">
        <v>4524</v>
      </c>
      <c r="B1740" s="115" t="s">
        <v>7870</v>
      </c>
      <c r="C1740" s="116" t="s">
        <v>69</v>
      </c>
      <c r="D1740" s="116">
        <v>0</v>
      </c>
      <c r="E1740" s="136" t="s">
        <v>416</v>
      </c>
      <c r="F1740" s="137" t="str">
        <f t="shared" si="150"/>
        <v/>
      </c>
      <c r="G1740" s="138" t="e">
        <f>IF(A1740&lt;&gt;"",IF(AND(#REF!="Padrão",$H$4=#REF!),BDI!$B$17,IF(AND(#REF!="Padrão",$H$4=#REF!),BDI!#REF!,IF(AND(#REF!="Diferenciado",$H$4=#REF!),BDI!$E$17,IF(AND(#REF!="Diferenciado",$H$4=#REF!),BDI!#REF!,IF(#REF!="ZERO",0))))),"")</f>
        <v>#REF!</v>
      </c>
      <c r="H1740" s="139" t="str">
        <f t="shared" si="151"/>
        <v/>
      </c>
      <c r="I1740" s="137" t="str">
        <f t="shared" si="152"/>
        <v/>
      </c>
      <c r="J1740" s="117"/>
      <c r="K1740" s="116">
        <v>0</v>
      </c>
      <c r="M1740" s="136" t="s">
        <v>416</v>
      </c>
      <c r="N1740" t="e">
        <v>#REF!</v>
      </c>
      <c r="Q1740" t="s">
        <v>416</v>
      </c>
    </row>
    <row r="1741" spans="1:17" hidden="1" x14ac:dyDescent="0.25">
      <c r="A1741" s="114" t="s">
        <v>4525</v>
      </c>
      <c r="B1741" s="115" t="s">
        <v>7871</v>
      </c>
      <c r="C1741" s="116" t="s">
        <v>69</v>
      </c>
      <c r="D1741" s="116">
        <v>0</v>
      </c>
      <c r="E1741" s="136" t="s">
        <v>416</v>
      </c>
      <c r="F1741" s="137" t="str">
        <f t="shared" si="150"/>
        <v/>
      </c>
      <c r="G1741" s="138" t="e">
        <f>IF(A1741&lt;&gt;"",IF(AND(#REF!="Padrão",$H$4=#REF!),BDI!$B$17,IF(AND(#REF!="Padrão",$H$4=#REF!),BDI!#REF!,IF(AND(#REF!="Diferenciado",$H$4=#REF!),BDI!$E$17,IF(AND(#REF!="Diferenciado",$H$4=#REF!),BDI!#REF!,IF(#REF!="ZERO",0))))),"")</f>
        <v>#REF!</v>
      </c>
      <c r="H1741" s="139" t="str">
        <f t="shared" si="151"/>
        <v/>
      </c>
      <c r="I1741" s="137" t="str">
        <f t="shared" si="152"/>
        <v/>
      </c>
      <c r="J1741" s="117"/>
      <c r="K1741" s="116">
        <v>0</v>
      </c>
      <c r="M1741" s="136" t="s">
        <v>416</v>
      </c>
      <c r="N1741" t="e">
        <v>#REF!</v>
      </c>
      <c r="Q1741" t="s">
        <v>416</v>
      </c>
    </row>
    <row r="1742" spans="1:17" hidden="1" x14ac:dyDescent="0.25">
      <c r="A1742" s="114" t="s">
        <v>4526</v>
      </c>
      <c r="B1742" s="115" t="s">
        <v>7872</v>
      </c>
      <c r="C1742" s="116" t="s">
        <v>69</v>
      </c>
      <c r="D1742" s="116">
        <v>0</v>
      </c>
      <c r="E1742" s="136" t="s">
        <v>416</v>
      </c>
      <c r="F1742" s="137" t="str">
        <f t="shared" si="150"/>
        <v/>
      </c>
      <c r="G1742" s="138" t="e">
        <f>IF(A1742&lt;&gt;"",IF(AND(#REF!="Padrão",$H$4=#REF!),BDI!$B$17,IF(AND(#REF!="Padrão",$H$4=#REF!),BDI!#REF!,IF(AND(#REF!="Diferenciado",$H$4=#REF!),BDI!$E$17,IF(AND(#REF!="Diferenciado",$H$4=#REF!),BDI!#REF!,IF(#REF!="ZERO",0))))),"")</f>
        <v>#REF!</v>
      </c>
      <c r="H1742" s="139" t="str">
        <f t="shared" si="151"/>
        <v/>
      </c>
      <c r="I1742" s="137" t="str">
        <f t="shared" si="152"/>
        <v/>
      </c>
      <c r="J1742" s="117"/>
      <c r="K1742" s="116">
        <v>0</v>
      </c>
      <c r="M1742" s="136" t="s">
        <v>416</v>
      </c>
      <c r="N1742" t="e">
        <v>#REF!</v>
      </c>
      <c r="Q1742" t="s">
        <v>416</v>
      </c>
    </row>
    <row r="1743" spans="1:17" hidden="1" x14ac:dyDescent="0.25">
      <c r="A1743" s="114" t="s">
        <v>4527</v>
      </c>
      <c r="B1743" s="115" t="s">
        <v>7873</v>
      </c>
      <c r="C1743" s="116" t="s">
        <v>69</v>
      </c>
      <c r="D1743" s="116">
        <v>0</v>
      </c>
      <c r="E1743" s="136" t="s">
        <v>416</v>
      </c>
      <c r="F1743" s="137" t="str">
        <f t="shared" si="150"/>
        <v/>
      </c>
      <c r="G1743" s="138" t="e">
        <f>IF(A1743&lt;&gt;"",IF(AND(#REF!="Padrão",$H$4=#REF!),BDI!$B$17,IF(AND(#REF!="Padrão",$H$4=#REF!),BDI!#REF!,IF(AND(#REF!="Diferenciado",$H$4=#REF!),BDI!$E$17,IF(AND(#REF!="Diferenciado",$H$4=#REF!),BDI!#REF!,IF(#REF!="ZERO",0))))),"")</f>
        <v>#REF!</v>
      </c>
      <c r="H1743" s="139" t="str">
        <f t="shared" si="151"/>
        <v/>
      </c>
      <c r="I1743" s="137" t="str">
        <f t="shared" si="152"/>
        <v/>
      </c>
      <c r="J1743" s="117"/>
      <c r="K1743" s="116">
        <v>0</v>
      </c>
      <c r="M1743" s="136" t="s">
        <v>416</v>
      </c>
      <c r="N1743" t="e">
        <v>#REF!</v>
      </c>
      <c r="Q1743" t="s">
        <v>416</v>
      </c>
    </row>
    <row r="1744" spans="1:17" hidden="1" x14ac:dyDescent="0.25">
      <c r="A1744" s="114" t="s">
        <v>4528</v>
      </c>
      <c r="B1744" s="115" t="s">
        <v>7874</v>
      </c>
      <c r="C1744" s="116" t="s">
        <v>69</v>
      </c>
      <c r="D1744" s="116">
        <v>0</v>
      </c>
      <c r="E1744" s="136" t="s">
        <v>416</v>
      </c>
      <c r="F1744" s="137" t="str">
        <f t="shared" si="150"/>
        <v/>
      </c>
      <c r="G1744" s="138" t="e">
        <f>IF(A1744&lt;&gt;"",IF(AND(#REF!="Padrão",$H$4=#REF!),BDI!$B$17,IF(AND(#REF!="Padrão",$H$4=#REF!),BDI!#REF!,IF(AND(#REF!="Diferenciado",$H$4=#REF!),BDI!$E$17,IF(AND(#REF!="Diferenciado",$H$4=#REF!),BDI!#REF!,IF(#REF!="ZERO",0))))),"")</f>
        <v>#REF!</v>
      </c>
      <c r="H1744" s="139" t="str">
        <f t="shared" si="151"/>
        <v/>
      </c>
      <c r="I1744" s="137" t="str">
        <f t="shared" si="152"/>
        <v/>
      </c>
      <c r="J1744" s="117"/>
      <c r="K1744" s="116">
        <v>0</v>
      </c>
      <c r="M1744" s="136" t="s">
        <v>416</v>
      </c>
      <c r="N1744" t="e">
        <v>#REF!</v>
      </c>
      <c r="Q1744" t="s">
        <v>416</v>
      </c>
    </row>
    <row r="1745" spans="1:17" hidden="1" x14ac:dyDescent="0.25">
      <c r="A1745" s="114" t="s">
        <v>4529</v>
      </c>
      <c r="B1745" s="115" t="s">
        <v>7875</v>
      </c>
      <c r="C1745" s="116" t="s">
        <v>69</v>
      </c>
      <c r="D1745" s="116">
        <v>0</v>
      </c>
      <c r="E1745" s="136" t="s">
        <v>416</v>
      </c>
      <c r="F1745" s="137" t="str">
        <f t="shared" si="150"/>
        <v/>
      </c>
      <c r="G1745" s="138" t="e">
        <f>IF(A1745&lt;&gt;"",IF(AND(#REF!="Padrão",$H$4=#REF!),BDI!$B$17,IF(AND(#REF!="Padrão",$H$4=#REF!),BDI!#REF!,IF(AND(#REF!="Diferenciado",$H$4=#REF!),BDI!$E$17,IF(AND(#REF!="Diferenciado",$H$4=#REF!),BDI!#REF!,IF(#REF!="ZERO",0))))),"")</f>
        <v>#REF!</v>
      </c>
      <c r="H1745" s="139" t="str">
        <f t="shared" si="151"/>
        <v/>
      </c>
      <c r="I1745" s="137" t="str">
        <f t="shared" si="152"/>
        <v/>
      </c>
      <c r="J1745" s="117"/>
      <c r="K1745" s="116">
        <v>0</v>
      </c>
      <c r="M1745" s="136" t="s">
        <v>416</v>
      </c>
      <c r="N1745" t="e">
        <v>#REF!</v>
      </c>
      <c r="Q1745" t="s">
        <v>416</v>
      </c>
    </row>
    <row r="1746" spans="1:17" hidden="1" x14ac:dyDescent="0.25">
      <c r="A1746" s="114" t="s">
        <v>4530</v>
      </c>
      <c r="B1746" s="115" t="s">
        <v>7876</v>
      </c>
      <c r="C1746" s="116" t="s">
        <v>69</v>
      </c>
      <c r="D1746" s="116">
        <v>0</v>
      </c>
      <c r="E1746" s="136" t="s">
        <v>416</v>
      </c>
      <c r="F1746" s="137" t="str">
        <f t="shared" si="150"/>
        <v/>
      </c>
      <c r="G1746" s="138" t="e">
        <f>IF(A1746&lt;&gt;"",IF(AND(#REF!="Padrão",$H$4=#REF!),BDI!$B$17,IF(AND(#REF!="Padrão",$H$4=#REF!),BDI!#REF!,IF(AND(#REF!="Diferenciado",$H$4=#REF!),BDI!$E$17,IF(AND(#REF!="Diferenciado",$H$4=#REF!),BDI!#REF!,IF(#REF!="ZERO",0))))),"")</f>
        <v>#REF!</v>
      </c>
      <c r="H1746" s="139" t="str">
        <f t="shared" si="151"/>
        <v/>
      </c>
      <c r="I1746" s="137" t="str">
        <f t="shared" si="152"/>
        <v/>
      </c>
      <c r="J1746" s="117"/>
      <c r="K1746" s="116">
        <v>0</v>
      </c>
      <c r="M1746" s="136" t="s">
        <v>416</v>
      </c>
      <c r="N1746" t="e">
        <v>#REF!</v>
      </c>
      <c r="Q1746" t="s">
        <v>416</v>
      </c>
    </row>
    <row r="1747" spans="1:17" hidden="1" x14ac:dyDescent="0.25">
      <c r="A1747" s="114" t="s">
        <v>4531</v>
      </c>
      <c r="B1747" s="115" t="s">
        <v>7877</v>
      </c>
      <c r="C1747" s="116" t="s">
        <v>69</v>
      </c>
      <c r="D1747" s="116">
        <v>0</v>
      </c>
      <c r="E1747" s="136" t="s">
        <v>416</v>
      </c>
      <c r="F1747" s="137" t="str">
        <f t="shared" si="150"/>
        <v/>
      </c>
      <c r="G1747" s="138" t="e">
        <f>IF(A1747&lt;&gt;"",IF(AND(#REF!="Padrão",$H$4=#REF!),BDI!$B$17,IF(AND(#REF!="Padrão",$H$4=#REF!),BDI!#REF!,IF(AND(#REF!="Diferenciado",$H$4=#REF!),BDI!$E$17,IF(AND(#REF!="Diferenciado",$H$4=#REF!),BDI!#REF!,IF(#REF!="ZERO",0))))),"")</f>
        <v>#REF!</v>
      </c>
      <c r="H1747" s="139" t="str">
        <f t="shared" si="151"/>
        <v/>
      </c>
      <c r="I1747" s="137" t="str">
        <f t="shared" si="152"/>
        <v/>
      </c>
      <c r="J1747" s="117"/>
      <c r="K1747" s="116">
        <v>0</v>
      </c>
      <c r="M1747" s="136" t="s">
        <v>416</v>
      </c>
      <c r="N1747" t="e">
        <v>#REF!</v>
      </c>
      <c r="Q1747" t="s">
        <v>416</v>
      </c>
    </row>
    <row r="1748" spans="1:17" hidden="1" x14ac:dyDescent="0.25">
      <c r="A1748" s="114" t="s">
        <v>4532</v>
      </c>
      <c r="B1748" s="115" t="s">
        <v>3531</v>
      </c>
      <c r="C1748" s="116" t="s">
        <v>69</v>
      </c>
      <c r="D1748" s="116">
        <v>0</v>
      </c>
      <c r="E1748" s="136" t="s">
        <v>416</v>
      </c>
      <c r="F1748" s="137" t="str">
        <f t="shared" si="150"/>
        <v/>
      </c>
      <c r="G1748" s="138" t="e">
        <f>IF(A1748&lt;&gt;"",IF(AND(#REF!="Padrão",$H$4=#REF!),BDI!$B$17,IF(AND(#REF!="Padrão",$H$4=#REF!),BDI!#REF!,IF(AND(#REF!="Diferenciado",$H$4=#REF!),BDI!$E$17,IF(AND(#REF!="Diferenciado",$H$4=#REF!),BDI!#REF!,IF(#REF!="ZERO",0))))),"")</f>
        <v>#REF!</v>
      </c>
      <c r="H1748" s="139" t="str">
        <f t="shared" si="151"/>
        <v/>
      </c>
      <c r="I1748" s="137" t="str">
        <f t="shared" si="152"/>
        <v/>
      </c>
      <c r="J1748" s="117"/>
      <c r="K1748" s="116">
        <v>0</v>
      </c>
      <c r="M1748" s="136" t="s">
        <v>416</v>
      </c>
      <c r="N1748" t="e">
        <v>#REF!</v>
      </c>
      <c r="Q1748" t="s">
        <v>416</v>
      </c>
    </row>
    <row r="1749" spans="1:17" hidden="1" x14ac:dyDescent="0.25">
      <c r="A1749" s="114" t="s">
        <v>4533</v>
      </c>
      <c r="B1749" s="115" t="s">
        <v>3532</v>
      </c>
      <c r="C1749" s="116" t="s">
        <v>69</v>
      </c>
      <c r="D1749" s="116">
        <v>0</v>
      </c>
      <c r="E1749" s="136" t="s">
        <v>416</v>
      </c>
      <c r="F1749" s="137" t="str">
        <f t="shared" si="150"/>
        <v/>
      </c>
      <c r="G1749" s="138" t="e">
        <f>IF(A1749&lt;&gt;"",IF(AND(#REF!="Padrão",$H$4=#REF!),BDI!$B$17,IF(AND(#REF!="Padrão",$H$4=#REF!),BDI!#REF!,IF(AND(#REF!="Diferenciado",$H$4=#REF!),BDI!$E$17,IF(AND(#REF!="Diferenciado",$H$4=#REF!),BDI!#REF!,IF(#REF!="ZERO",0))))),"")</f>
        <v>#REF!</v>
      </c>
      <c r="H1749" s="139" t="str">
        <f t="shared" si="151"/>
        <v/>
      </c>
      <c r="I1749" s="137" t="str">
        <f t="shared" si="152"/>
        <v/>
      </c>
      <c r="J1749" s="117"/>
      <c r="K1749" s="116">
        <v>0</v>
      </c>
      <c r="M1749" s="136" t="s">
        <v>416</v>
      </c>
      <c r="N1749" t="e">
        <v>#REF!</v>
      </c>
      <c r="Q1749" t="s">
        <v>416</v>
      </c>
    </row>
    <row r="1750" spans="1:17" hidden="1" x14ac:dyDescent="0.25">
      <c r="A1750" s="114" t="s">
        <v>4534</v>
      </c>
      <c r="B1750" s="115" t="s">
        <v>3533</v>
      </c>
      <c r="C1750" s="116" t="s">
        <v>69</v>
      </c>
      <c r="D1750" s="116">
        <v>0</v>
      </c>
      <c r="E1750" s="136" t="s">
        <v>416</v>
      </c>
      <c r="F1750" s="137" t="str">
        <f t="shared" si="150"/>
        <v/>
      </c>
      <c r="G1750" s="138" t="e">
        <f>IF(A1750&lt;&gt;"",IF(AND(#REF!="Padrão",$H$4=#REF!),BDI!$B$17,IF(AND(#REF!="Padrão",$H$4=#REF!),BDI!#REF!,IF(AND(#REF!="Diferenciado",$H$4=#REF!),BDI!$E$17,IF(AND(#REF!="Diferenciado",$H$4=#REF!),BDI!#REF!,IF(#REF!="ZERO",0))))),"")</f>
        <v>#REF!</v>
      </c>
      <c r="H1750" s="139" t="str">
        <f t="shared" si="151"/>
        <v/>
      </c>
      <c r="I1750" s="137" t="str">
        <f t="shared" si="152"/>
        <v/>
      </c>
      <c r="J1750" s="117"/>
      <c r="K1750" s="116">
        <v>0</v>
      </c>
      <c r="M1750" s="136" t="s">
        <v>416</v>
      </c>
      <c r="N1750" t="e">
        <v>#REF!</v>
      </c>
      <c r="Q1750" t="s">
        <v>416</v>
      </c>
    </row>
    <row r="1751" spans="1:17" hidden="1" x14ac:dyDescent="0.25">
      <c r="A1751" s="114" t="s">
        <v>4535</v>
      </c>
      <c r="B1751" s="115" t="s">
        <v>3534</v>
      </c>
      <c r="C1751" s="116" t="s">
        <v>69</v>
      </c>
      <c r="D1751" s="116">
        <v>0</v>
      </c>
      <c r="E1751" s="136" t="s">
        <v>416</v>
      </c>
      <c r="F1751" s="137" t="str">
        <f t="shared" si="150"/>
        <v/>
      </c>
      <c r="G1751" s="138" t="e">
        <f>IF(A1751&lt;&gt;"",IF(AND(#REF!="Padrão",$H$4=#REF!),BDI!$B$17,IF(AND(#REF!="Padrão",$H$4=#REF!),BDI!#REF!,IF(AND(#REF!="Diferenciado",$H$4=#REF!),BDI!$E$17,IF(AND(#REF!="Diferenciado",$H$4=#REF!),BDI!#REF!,IF(#REF!="ZERO",0))))),"")</f>
        <v>#REF!</v>
      </c>
      <c r="H1751" s="139" t="str">
        <f t="shared" si="151"/>
        <v/>
      </c>
      <c r="I1751" s="137" t="str">
        <f t="shared" si="152"/>
        <v/>
      </c>
      <c r="J1751" s="117"/>
      <c r="K1751" s="116">
        <v>0</v>
      </c>
      <c r="M1751" s="136" t="s">
        <v>416</v>
      </c>
      <c r="N1751" t="e">
        <v>#REF!</v>
      </c>
      <c r="Q1751" t="s">
        <v>416</v>
      </c>
    </row>
    <row r="1752" spans="1:17" hidden="1" x14ac:dyDescent="0.25">
      <c r="A1752" s="114" t="s">
        <v>4536</v>
      </c>
      <c r="B1752" s="115" t="s">
        <v>3535</v>
      </c>
      <c r="C1752" s="116" t="s">
        <v>69</v>
      </c>
      <c r="D1752" s="116">
        <v>0</v>
      </c>
      <c r="E1752" s="136" t="s">
        <v>416</v>
      </c>
      <c r="F1752" s="137" t="str">
        <f t="shared" si="150"/>
        <v/>
      </c>
      <c r="G1752" s="138" t="e">
        <f>IF(A1752&lt;&gt;"",IF(AND(#REF!="Padrão",$H$4=#REF!),BDI!$B$17,IF(AND(#REF!="Padrão",$H$4=#REF!),BDI!#REF!,IF(AND(#REF!="Diferenciado",$H$4=#REF!),BDI!$E$17,IF(AND(#REF!="Diferenciado",$H$4=#REF!),BDI!#REF!,IF(#REF!="ZERO",0))))),"")</f>
        <v>#REF!</v>
      </c>
      <c r="H1752" s="139" t="str">
        <f t="shared" si="151"/>
        <v/>
      </c>
      <c r="I1752" s="137" t="str">
        <f t="shared" si="152"/>
        <v/>
      </c>
      <c r="J1752" s="117"/>
      <c r="K1752" s="116">
        <v>0</v>
      </c>
      <c r="M1752" s="136" t="s">
        <v>416</v>
      </c>
      <c r="N1752" t="e">
        <v>#REF!</v>
      </c>
      <c r="Q1752" t="s">
        <v>416</v>
      </c>
    </row>
    <row r="1753" spans="1:17" hidden="1" x14ac:dyDescent="0.25">
      <c r="A1753" s="114" t="s">
        <v>4537</v>
      </c>
      <c r="B1753" s="115" t="s">
        <v>3536</v>
      </c>
      <c r="C1753" s="116" t="s">
        <v>69</v>
      </c>
      <c r="D1753" s="116">
        <v>0</v>
      </c>
      <c r="E1753" s="136" t="s">
        <v>416</v>
      </c>
      <c r="F1753" s="137" t="str">
        <f t="shared" si="150"/>
        <v/>
      </c>
      <c r="G1753" s="138" t="e">
        <f>IF(A1753&lt;&gt;"",IF(AND(#REF!="Padrão",$H$4=#REF!),BDI!$B$17,IF(AND(#REF!="Padrão",$H$4=#REF!),BDI!#REF!,IF(AND(#REF!="Diferenciado",$H$4=#REF!),BDI!$E$17,IF(AND(#REF!="Diferenciado",$H$4=#REF!),BDI!#REF!,IF(#REF!="ZERO",0))))),"")</f>
        <v>#REF!</v>
      </c>
      <c r="H1753" s="139" t="str">
        <f t="shared" si="151"/>
        <v/>
      </c>
      <c r="I1753" s="137" t="str">
        <f t="shared" si="152"/>
        <v/>
      </c>
      <c r="J1753" s="117"/>
      <c r="K1753" s="116">
        <v>0</v>
      </c>
      <c r="M1753" s="136" t="s">
        <v>416</v>
      </c>
      <c r="N1753" t="e">
        <v>#REF!</v>
      </c>
      <c r="Q1753" t="s">
        <v>416</v>
      </c>
    </row>
    <row r="1754" spans="1:17" hidden="1" x14ac:dyDescent="0.25">
      <c r="A1754" s="114" t="s">
        <v>4538</v>
      </c>
      <c r="B1754" s="115" t="s">
        <v>3537</v>
      </c>
      <c r="C1754" s="116" t="s">
        <v>69</v>
      </c>
      <c r="D1754" s="116">
        <v>0</v>
      </c>
      <c r="E1754" s="136" t="s">
        <v>416</v>
      </c>
      <c r="F1754" s="137" t="str">
        <f t="shared" si="150"/>
        <v/>
      </c>
      <c r="G1754" s="138" t="e">
        <f>IF(A1754&lt;&gt;"",IF(AND(#REF!="Padrão",$H$4=#REF!),BDI!$B$17,IF(AND(#REF!="Padrão",$H$4=#REF!),BDI!#REF!,IF(AND(#REF!="Diferenciado",$H$4=#REF!),BDI!$E$17,IF(AND(#REF!="Diferenciado",$H$4=#REF!),BDI!#REF!,IF(#REF!="ZERO",0))))),"")</f>
        <v>#REF!</v>
      </c>
      <c r="H1754" s="139" t="str">
        <f t="shared" si="151"/>
        <v/>
      </c>
      <c r="I1754" s="137" t="str">
        <f t="shared" si="152"/>
        <v/>
      </c>
      <c r="J1754" s="117"/>
      <c r="K1754" s="116">
        <v>0</v>
      </c>
      <c r="M1754" s="136" t="s">
        <v>416</v>
      </c>
      <c r="N1754" t="e">
        <v>#REF!</v>
      </c>
      <c r="Q1754" t="s">
        <v>416</v>
      </c>
    </row>
    <row r="1755" spans="1:17" hidden="1" x14ac:dyDescent="0.25">
      <c r="A1755" s="114" t="s">
        <v>4539</v>
      </c>
      <c r="B1755" s="115" t="s">
        <v>3538</v>
      </c>
      <c r="C1755" s="116" t="s">
        <v>16</v>
      </c>
      <c r="D1755" s="116">
        <v>0</v>
      </c>
      <c r="E1755" s="136" t="s">
        <v>416</v>
      </c>
      <c r="F1755" s="137" t="str">
        <f t="shared" si="150"/>
        <v/>
      </c>
      <c r="G1755" s="138" t="e">
        <f>IF(A1755&lt;&gt;"",IF(AND(#REF!="Padrão",$H$4=#REF!),BDI!$B$17,IF(AND(#REF!="Padrão",$H$4=#REF!),BDI!#REF!,IF(AND(#REF!="Diferenciado",$H$4=#REF!),BDI!$E$17,IF(AND(#REF!="Diferenciado",$H$4=#REF!),BDI!#REF!,IF(#REF!="ZERO",0))))),"")</f>
        <v>#REF!</v>
      </c>
      <c r="H1755" s="139" t="str">
        <f t="shared" si="151"/>
        <v/>
      </c>
      <c r="I1755" s="137" t="str">
        <f t="shared" si="152"/>
        <v/>
      </c>
      <c r="J1755" s="117"/>
      <c r="K1755" s="116">
        <v>0</v>
      </c>
      <c r="M1755" s="136" t="s">
        <v>416</v>
      </c>
      <c r="N1755" t="e">
        <v>#REF!</v>
      </c>
      <c r="Q1755" t="s">
        <v>416</v>
      </c>
    </row>
    <row r="1756" spans="1:17" hidden="1" x14ac:dyDescent="0.25">
      <c r="A1756" s="114" t="s">
        <v>4540</v>
      </c>
      <c r="B1756" s="115" t="s">
        <v>3539</v>
      </c>
      <c r="C1756" s="116" t="s">
        <v>16</v>
      </c>
      <c r="D1756" s="116">
        <v>0</v>
      </c>
      <c r="E1756" s="136" t="s">
        <v>416</v>
      </c>
      <c r="F1756" s="137" t="str">
        <f t="shared" si="150"/>
        <v/>
      </c>
      <c r="G1756" s="138" t="e">
        <f>IF(A1756&lt;&gt;"",IF(AND(#REF!="Padrão",$H$4=#REF!),BDI!$B$17,IF(AND(#REF!="Padrão",$H$4=#REF!),BDI!#REF!,IF(AND(#REF!="Diferenciado",$H$4=#REF!),BDI!$E$17,IF(AND(#REF!="Diferenciado",$H$4=#REF!),BDI!#REF!,IF(#REF!="ZERO",0))))),"")</f>
        <v>#REF!</v>
      </c>
      <c r="H1756" s="139" t="str">
        <f t="shared" si="151"/>
        <v/>
      </c>
      <c r="I1756" s="137" t="str">
        <f t="shared" si="152"/>
        <v/>
      </c>
      <c r="J1756" s="117"/>
      <c r="K1756" s="116">
        <v>0</v>
      </c>
      <c r="M1756" s="136" t="s">
        <v>416</v>
      </c>
      <c r="N1756" t="e">
        <v>#REF!</v>
      </c>
      <c r="Q1756" t="s">
        <v>416</v>
      </c>
    </row>
    <row r="1757" spans="1:17" hidden="1" x14ac:dyDescent="0.25">
      <c r="A1757" s="114" t="s">
        <v>4541</v>
      </c>
      <c r="B1757" s="115" t="s">
        <v>3540</v>
      </c>
      <c r="C1757" s="116" t="s">
        <v>16</v>
      </c>
      <c r="D1757" s="116">
        <v>0</v>
      </c>
      <c r="E1757" s="136" t="s">
        <v>416</v>
      </c>
      <c r="F1757" s="137" t="str">
        <f t="shared" si="150"/>
        <v/>
      </c>
      <c r="G1757" s="138" t="e">
        <f>IF(A1757&lt;&gt;"",IF(AND(#REF!="Padrão",$H$4=#REF!),BDI!$B$17,IF(AND(#REF!="Padrão",$H$4=#REF!),BDI!#REF!,IF(AND(#REF!="Diferenciado",$H$4=#REF!),BDI!$E$17,IF(AND(#REF!="Diferenciado",$H$4=#REF!),BDI!#REF!,IF(#REF!="ZERO",0))))),"")</f>
        <v>#REF!</v>
      </c>
      <c r="H1757" s="139" t="str">
        <f t="shared" si="151"/>
        <v/>
      </c>
      <c r="I1757" s="137" t="str">
        <f t="shared" si="152"/>
        <v/>
      </c>
      <c r="J1757" s="117"/>
      <c r="K1757" s="116">
        <v>0</v>
      </c>
      <c r="M1757" s="136" t="s">
        <v>416</v>
      </c>
      <c r="N1757" t="e">
        <v>#REF!</v>
      </c>
      <c r="Q1757" t="s">
        <v>416</v>
      </c>
    </row>
    <row r="1758" spans="1:17" hidden="1" x14ac:dyDescent="0.25">
      <c r="A1758" s="114" t="s">
        <v>4542</v>
      </c>
      <c r="B1758" s="115" t="s">
        <v>3541</v>
      </c>
      <c r="C1758" s="116" t="s">
        <v>16</v>
      </c>
      <c r="D1758" s="116">
        <v>0</v>
      </c>
      <c r="E1758" s="136" t="s">
        <v>416</v>
      </c>
      <c r="F1758" s="137" t="str">
        <f t="shared" si="150"/>
        <v/>
      </c>
      <c r="G1758" s="138" t="e">
        <f>IF(A1758&lt;&gt;"",IF(AND(#REF!="Padrão",$H$4=#REF!),BDI!$B$17,IF(AND(#REF!="Padrão",$H$4=#REF!),BDI!#REF!,IF(AND(#REF!="Diferenciado",$H$4=#REF!),BDI!$E$17,IF(AND(#REF!="Diferenciado",$H$4=#REF!),BDI!#REF!,IF(#REF!="ZERO",0))))),"")</f>
        <v>#REF!</v>
      </c>
      <c r="H1758" s="139" t="str">
        <f t="shared" si="151"/>
        <v/>
      </c>
      <c r="I1758" s="137" t="str">
        <f t="shared" si="152"/>
        <v/>
      </c>
      <c r="J1758" s="117"/>
      <c r="K1758" s="116">
        <v>0</v>
      </c>
      <c r="M1758" s="136" t="s">
        <v>416</v>
      </c>
      <c r="N1758" t="e">
        <v>#REF!</v>
      </c>
      <c r="Q1758" t="s">
        <v>416</v>
      </c>
    </row>
    <row r="1759" spans="1:17" hidden="1" x14ac:dyDescent="0.25">
      <c r="A1759" s="114" t="s">
        <v>4543</v>
      </c>
      <c r="B1759" s="115" t="s">
        <v>3542</v>
      </c>
      <c r="C1759" s="116" t="s">
        <v>16</v>
      </c>
      <c r="D1759" s="116">
        <v>0</v>
      </c>
      <c r="E1759" s="136" t="s">
        <v>416</v>
      </c>
      <c r="F1759" s="137" t="str">
        <f t="shared" si="150"/>
        <v/>
      </c>
      <c r="G1759" s="138" t="e">
        <f>IF(A1759&lt;&gt;"",IF(AND(#REF!="Padrão",$H$4=#REF!),BDI!$B$17,IF(AND(#REF!="Padrão",$H$4=#REF!),BDI!#REF!,IF(AND(#REF!="Diferenciado",$H$4=#REF!),BDI!$E$17,IF(AND(#REF!="Diferenciado",$H$4=#REF!),BDI!#REF!,IF(#REF!="ZERO",0))))),"")</f>
        <v>#REF!</v>
      </c>
      <c r="H1759" s="139" t="str">
        <f t="shared" si="151"/>
        <v/>
      </c>
      <c r="I1759" s="137" t="str">
        <f t="shared" si="152"/>
        <v/>
      </c>
      <c r="J1759" s="117"/>
      <c r="K1759" s="116">
        <v>0</v>
      </c>
      <c r="M1759" s="136" t="s">
        <v>416</v>
      </c>
      <c r="N1759" t="e">
        <v>#REF!</v>
      </c>
      <c r="Q1759" t="s">
        <v>416</v>
      </c>
    </row>
    <row r="1760" spans="1:17" hidden="1" x14ac:dyDescent="0.25">
      <c r="A1760" s="114" t="s">
        <v>4544</v>
      </c>
      <c r="B1760" s="115" t="s">
        <v>7878</v>
      </c>
      <c r="C1760" s="116" t="s">
        <v>16</v>
      </c>
      <c r="D1760" s="116">
        <v>0</v>
      </c>
      <c r="E1760" s="136" t="s">
        <v>416</v>
      </c>
      <c r="F1760" s="137" t="str">
        <f t="shared" si="150"/>
        <v/>
      </c>
      <c r="G1760" s="138" t="e">
        <f>IF(A1760&lt;&gt;"",IF(AND(#REF!="Padrão",$H$4=#REF!),BDI!$B$17,IF(AND(#REF!="Padrão",$H$4=#REF!),BDI!#REF!,IF(AND(#REF!="Diferenciado",$H$4=#REF!),BDI!$E$17,IF(AND(#REF!="Diferenciado",$H$4=#REF!),BDI!#REF!,IF(#REF!="ZERO",0))))),"")</f>
        <v>#REF!</v>
      </c>
      <c r="H1760" s="139" t="str">
        <f t="shared" si="151"/>
        <v/>
      </c>
      <c r="I1760" s="137" t="str">
        <f t="shared" si="152"/>
        <v/>
      </c>
      <c r="J1760" s="117"/>
      <c r="K1760" s="116">
        <v>0</v>
      </c>
      <c r="M1760" s="136" t="s">
        <v>416</v>
      </c>
      <c r="N1760" t="e">
        <v>#REF!</v>
      </c>
      <c r="Q1760" t="s">
        <v>416</v>
      </c>
    </row>
    <row r="1761" spans="1:17" hidden="1" x14ac:dyDescent="0.25">
      <c r="A1761" s="114" t="s">
        <v>4545</v>
      </c>
      <c r="B1761" s="115" t="s">
        <v>7879</v>
      </c>
      <c r="C1761" s="116" t="s">
        <v>16</v>
      </c>
      <c r="D1761" s="116">
        <v>0</v>
      </c>
      <c r="E1761" s="136" t="s">
        <v>416</v>
      </c>
      <c r="F1761" s="137" t="str">
        <f t="shared" si="150"/>
        <v/>
      </c>
      <c r="G1761" s="138" t="e">
        <f>IF(A1761&lt;&gt;"",IF(AND(#REF!="Padrão",$H$4=#REF!),BDI!$B$17,IF(AND(#REF!="Padrão",$H$4=#REF!),BDI!#REF!,IF(AND(#REF!="Diferenciado",$H$4=#REF!),BDI!$E$17,IF(AND(#REF!="Diferenciado",$H$4=#REF!),BDI!#REF!,IF(#REF!="ZERO",0))))),"")</f>
        <v>#REF!</v>
      </c>
      <c r="H1761" s="139" t="str">
        <f t="shared" si="151"/>
        <v/>
      </c>
      <c r="I1761" s="137" t="str">
        <f t="shared" si="152"/>
        <v/>
      </c>
      <c r="J1761" s="117"/>
      <c r="K1761" s="116">
        <v>0</v>
      </c>
      <c r="M1761" s="136" t="s">
        <v>416</v>
      </c>
      <c r="N1761" t="e">
        <v>#REF!</v>
      </c>
      <c r="Q1761" t="s">
        <v>416</v>
      </c>
    </row>
    <row r="1762" spans="1:17" hidden="1" x14ac:dyDescent="0.25">
      <c r="A1762" s="114" t="s">
        <v>4546</v>
      </c>
      <c r="B1762" s="115" t="s">
        <v>7880</v>
      </c>
      <c r="C1762" s="116" t="s">
        <v>16</v>
      </c>
      <c r="D1762" s="116">
        <v>0</v>
      </c>
      <c r="E1762" s="136" t="s">
        <v>416</v>
      </c>
      <c r="F1762" s="137" t="str">
        <f t="shared" si="150"/>
        <v/>
      </c>
      <c r="G1762" s="138" t="e">
        <f>IF(A1762&lt;&gt;"",IF(AND(#REF!="Padrão",$H$4=#REF!),BDI!$B$17,IF(AND(#REF!="Padrão",$H$4=#REF!),BDI!#REF!,IF(AND(#REF!="Diferenciado",$H$4=#REF!),BDI!$E$17,IF(AND(#REF!="Diferenciado",$H$4=#REF!),BDI!#REF!,IF(#REF!="ZERO",0))))),"")</f>
        <v>#REF!</v>
      </c>
      <c r="H1762" s="139" t="str">
        <f t="shared" si="151"/>
        <v/>
      </c>
      <c r="I1762" s="137" t="str">
        <f t="shared" si="152"/>
        <v/>
      </c>
      <c r="J1762" s="117"/>
      <c r="K1762" s="116">
        <v>0</v>
      </c>
      <c r="M1762" s="136" t="s">
        <v>416</v>
      </c>
      <c r="N1762" t="e">
        <v>#REF!</v>
      </c>
      <c r="Q1762" t="s">
        <v>416</v>
      </c>
    </row>
    <row r="1763" spans="1:17" hidden="1" x14ac:dyDescent="0.25">
      <c r="A1763" s="114" t="s">
        <v>4547</v>
      </c>
      <c r="B1763" s="115" t="s">
        <v>7881</v>
      </c>
      <c r="C1763" s="116" t="s">
        <v>16</v>
      </c>
      <c r="D1763" s="116">
        <v>0</v>
      </c>
      <c r="E1763" s="136" t="s">
        <v>416</v>
      </c>
      <c r="F1763" s="137" t="str">
        <f t="shared" si="150"/>
        <v/>
      </c>
      <c r="G1763" s="138" t="e">
        <f>IF(A1763&lt;&gt;"",IF(AND(#REF!="Padrão",$H$4=#REF!),BDI!$B$17,IF(AND(#REF!="Padrão",$H$4=#REF!),BDI!#REF!,IF(AND(#REF!="Diferenciado",$H$4=#REF!),BDI!$E$17,IF(AND(#REF!="Diferenciado",$H$4=#REF!),BDI!#REF!,IF(#REF!="ZERO",0))))),"")</f>
        <v>#REF!</v>
      </c>
      <c r="H1763" s="139" t="str">
        <f t="shared" si="151"/>
        <v/>
      </c>
      <c r="I1763" s="137" t="str">
        <f t="shared" si="152"/>
        <v/>
      </c>
      <c r="J1763" s="117"/>
      <c r="K1763" s="116">
        <v>0</v>
      </c>
      <c r="M1763" s="136" t="s">
        <v>416</v>
      </c>
      <c r="N1763" t="e">
        <v>#REF!</v>
      </c>
      <c r="Q1763" t="s">
        <v>416</v>
      </c>
    </row>
    <row r="1764" spans="1:17" ht="25.5" hidden="1" x14ac:dyDescent="0.25">
      <c r="A1764" s="114" t="s">
        <v>4548</v>
      </c>
      <c r="B1764" s="115" t="s">
        <v>7882</v>
      </c>
      <c r="C1764" s="116" t="s">
        <v>16</v>
      </c>
      <c r="D1764" s="116">
        <v>0</v>
      </c>
      <c r="E1764" s="136" t="s">
        <v>416</v>
      </c>
      <c r="F1764" s="137" t="str">
        <f t="shared" si="150"/>
        <v/>
      </c>
      <c r="G1764" s="138" t="e">
        <f>IF(A1764&lt;&gt;"",IF(AND(#REF!="Padrão",$H$4=#REF!),BDI!$B$17,IF(AND(#REF!="Padrão",$H$4=#REF!),BDI!#REF!,IF(AND(#REF!="Diferenciado",$H$4=#REF!),BDI!$E$17,IF(AND(#REF!="Diferenciado",$H$4=#REF!),BDI!#REF!,IF(#REF!="ZERO",0))))),"")</f>
        <v>#REF!</v>
      </c>
      <c r="H1764" s="139" t="str">
        <f t="shared" si="151"/>
        <v/>
      </c>
      <c r="I1764" s="137" t="str">
        <f t="shared" si="152"/>
        <v/>
      </c>
      <c r="J1764" s="117"/>
      <c r="K1764" s="116">
        <v>0</v>
      </c>
      <c r="M1764" s="136" t="s">
        <v>416</v>
      </c>
      <c r="N1764" t="e">
        <v>#REF!</v>
      </c>
      <c r="Q1764" t="s">
        <v>416</v>
      </c>
    </row>
    <row r="1765" spans="1:17" hidden="1" x14ac:dyDescent="0.25">
      <c r="A1765" s="114" t="s">
        <v>4549</v>
      </c>
      <c r="B1765" s="115" t="s">
        <v>7883</v>
      </c>
      <c r="C1765" s="116" t="s">
        <v>16</v>
      </c>
      <c r="D1765" s="116">
        <v>0</v>
      </c>
      <c r="E1765" s="136" t="s">
        <v>416</v>
      </c>
      <c r="F1765" s="137" t="str">
        <f t="shared" si="150"/>
        <v/>
      </c>
      <c r="G1765" s="138" t="e">
        <f>IF(A1765&lt;&gt;"",IF(AND(#REF!="Padrão",$H$4=#REF!),BDI!$B$17,IF(AND(#REF!="Padrão",$H$4=#REF!),BDI!#REF!,IF(AND(#REF!="Diferenciado",$H$4=#REF!),BDI!$E$17,IF(AND(#REF!="Diferenciado",$H$4=#REF!),BDI!#REF!,IF(#REF!="ZERO",0))))),"")</f>
        <v>#REF!</v>
      </c>
      <c r="H1765" s="139" t="str">
        <f t="shared" si="151"/>
        <v/>
      </c>
      <c r="I1765" s="137" t="str">
        <f t="shared" si="152"/>
        <v/>
      </c>
      <c r="J1765" s="117"/>
      <c r="K1765" s="116">
        <v>0</v>
      </c>
      <c r="M1765" s="136" t="s">
        <v>416</v>
      </c>
      <c r="N1765" t="e">
        <v>#REF!</v>
      </c>
      <c r="Q1765" t="s">
        <v>416</v>
      </c>
    </row>
    <row r="1766" spans="1:17" hidden="1" x14ac:dyDescent="0.25">
      <c r="A1766" s="114" t="s">
        <v>4550</v>
      </c>
      <c r="B1766" s="115" t="s">
        <v>7884</v>
      </c>
      <c r="C1766" s="116" t="s">
        <v>16</v>
      </c>
      <c r="D1766" s="116">
        <v>0</v>
      </c>
      <c r="E1766" s="136" t="s">
        <v>416</v>
      </c>
      <c r="F1766" s="137" t="str">
        <f t="shared" si="150"/>
        <v/>
      </c>
      <c r="G1766" s="138" t="e">
        <f>IF(A1766&lt;&gt;"",IF(AND(#REF!="Padrão",$H$4=#REF!),BDI!$B$17,IF(AND(#REF!="Padrão",$H$4=#REF!),BDI!#REF!,IF(AND(#REF!="Diferenciado",$H$4=#REF!),BDI!$E$17,IF(AND(#REF!="Diferenciado",$H$4=#REF!),BDI!#REF!,IF(#REF!="ZERO",0))))),"")</f>
        <v>#REF!</v>
      </c>
      <c r="H1766" s="139" t="str">
        <f t="shared" si="151"/>
        <v/>
      </c>
      <c r="I1766" s="137" t="str">
        <f t="shared" si="152"/>
        <v/>
      </c>
      <c r="J1766" s="117"/>
      <c r="K1766" s="116">
        <v>0</v>
      </c>
      <c r="M1766" s="136" t="s">
        <v>416</v>
      </c>
      <c r="N1766" t="e">
        <v>#REF!</v>
      </c>
      <c r="Q1766" t="s">
        <v>416</v>
      </c>
    </row>
    <row r="1767" spans="1:17" hidden="1" x14ac:dyDescent="0.25">
      <c r="A1767" s="114" t="s">
        <v>4551</v>
      </c>
      <c r="B1767" s="115" t="s">
        <v>7885</v>
      </c>
      <c r="C1767" s="116" t="s">
        <v>16</v>
      </c>
      <c r="D1767" s="116">
        <v>0</v>
      </c>
      <c r="E1767" s="136" t="s">
        <v>416</v>
      </c>
      <c r="F1767" s="137" t="str">
        <f t="shared" si="150"/>
        <v/>
      </c>
      <c r="G1767" s="138" t="e">
        <f>IF(A1767&lt;&gt;"",IF(AND(#REF!="Padrão",$H$4=#REF!),BDI!$B$17,IF(AND(#REF!="Padrão",$H$4=#REF!),BDI!#REF!,IF(AND(#REF!="Diferenciado",$H$4=#REF!),BDI!$E$17,IF(AND(#REF!="Diferenciado",$H$4=#REF!),BDI!#REF!,IF(#REF!="ZERO",0))))),"")</f>
        <v>#REF!</v>
      </c>
      <c r="H1767" s="139" t="str">
        <f t="shared" si="151"/>
        <v/>
      </c>
      <c r="I1767" s="137" t="str">
        <f t="shared" si="152"/>
        <v/>
      </c>
      <c r="J1767" s="117"/>
      <c r="K1767" s="116">
        <v>0</v>
      </c>
      <c r="M1767" s="136" t="s">
        <v>416</v>
      </c>
      <c r="N1767" t="e">
        <v>#REF!</v>
      </c>
      <c r="Q1767" t="s">
        <v>416</v>
      </c>
    </row>
    <row r="1768" spans="1:17" hidden="1" x14ac:dyDescent="0.25">
      <c r="A1768" s="114" t="s">
        <v>4552</v>
      </c>
      <c r="B1768" s="115" t="s">
        <v>7886</v>
      </c>
      <c r="C1768" s="116" t="s">
        <v>16</v>
      </c>
      <c r="D1768" s="116">
        <v>0</v>
      </c>
      <c r="E1768" s="136" t="s">
        <v>416</v>
      </c>
      <c r="F1768" s="137" t="str">
        <f t="shared" si="150"/>
        <v/>
      </c>
      <c r="G1768" s="138" t="e">
        <f>IF(A1768&lt;&gt;"",IF(AND(#REF!="Padrão",$H$4=#REF!),BDI!$B$17,IF(AND(#REF!="Padrão",$H$4=#REF!),BDI!#REF!,IF(AND(#REF!="Diferenciado",$H$4=#REF!),BDI!$E$17,IF(AND(#REF!="Diferenciado",$H$4=#REF!),BDI!#REF!,IF(#REF!="ZERO",0))))),"")</f>
        <v>#REF!</v>
      </c>
      <c r="H1768" s="139" t="str">
        <f t="shared" si="151"/>
        <v/>
      </c>
      <c r="I1768" s="137" t="str">
        <f t="shared" si="152"/>
        <v/>
      </c>
      <c r="J1768" s="117"/>
      <c r="K1768" s="116">
        <v>0</v>
      </c>
      <c r="M1768" s="136" t="s">
        <v>416</v>
      </c>
      <c r="N1768" t="e">
        <v>#REF!</v>
      </c>
      <c r="Q1768" t="s">
        <v>416</v>
      </c>
    </row>
    <row r="1769" spans="1:17" hidden="1" x14ac:dyDescent="0.25">
      <c r="A1769" s="114" t="s">
        <v>4553</v>
      </c>
      <c r="B1769" s="115" t="s">
        <v>7887</v>
      </c>
      <c r="C1769" s="116" t="s">
        <v>16</v>
      </c>
      <c r="D1769" s="116">
        <v>0</v>
      </c>
      <c r="E1769" s="136" t="s">
        <v>416</v>
      </c>
      <c r="F1769" s="137" t="str">
        <f t="shared" si="150"/>
        <v/>
      </c>
      <c r="G1769" s="138" t="e">
        <f>IF(A1769&lt;&gt;"",IF(AND(#REF!="Padrão",$H$4=#REF!),BDI!$B$17,IF(AND(#REF!="Padrão",$H$4=#REF!),BDI!#REF!,IF(AND(#REF!="Diferenciado",$H$4=#REF!),BDI!$E$17,IF(AND(#REF!="Diferenciado",$H$4=#REF!),BDI!#REF!,IF(#REF!="ZERO",0))))),"")</f>
        <v>#REF!</v>
      </c>
      <c r="H1769" s="139" t="str">
        <f t="shared" si="151"/>
        <v/>
      </c>
      <c r="I1769" s="137" t="str">
        <f t="shared" si="152"/>
        <v/>
      </c>
      <c r="J1769" s="117"/>
      <c r="K1769" s="116">
        <v>0</v>
      </c>
      <c r="M1769" s="136" t="s">
        <v>416</v>
      </c>
      <c r="N1769" t="e">
        <v>#REF!</v>
      </c>
      <c r="Q1769" t="s">
        <v>416</v>
      </c>
    </row>
    <row r="1770" spans="1:17" hidden="1" x14ac:dyDescent="0.25">
      <c r="A1770" s="114" t="s">
        <v>4554</v>
      </c>
      <c r="B1770" s="115" t="s">
        <v>7888</v>
      </c>
      <c r="C1770" s="116" t="s">
        <v>16</v>
      </c>
      <c r="D1770" s="116">
        <v>0</v>
      </c>
      <c r="E1770" s="136" t="s">
        <v>416</v>
      </c>
      <c r="F1770" s="137" t="str">
        <f t="shared" si="150"/>
        <v/>
      </c>
      <c r="G1770" s="138" t="e">
        <f>IF(A1770&lt;&gt;"",IF(AND(#REF!="Padrão",$H$4=#REF!),BDI!$B$17,IF(AND(#REF!="Padrão",$H$4=#REF!),BDI!#REF!,IF(AND(#REF!="Diferenciado",$H$4=#REF!),BDI!$E$17,IF(AND(#REF!="Diferenciado",$H$4=#REF!),BDI!#REF!,IF(#REF!="ZERO",0))))),"")</f>
        <v>#REF!</v>
      </c>
      <c r="H1770" s="139" t="str">
        <f t="shared" si="151"/>
        <v/>
      </c>
      <c r="I1770" s="137" t="str">
        <f t="shared" si="152"/>
        <v/>
      </c>
      <c r="J1770" s="117"/>
      <c r="K1770" s="116">
        <v>0</v>
      </c>
      <c r="M1770" s="136" t="s">
        <v>416</v>
      </c>
      <c r="N1770" t="e">
        <v>#REF!</v>
      </c>
      <c r="Q1770" t="s">
        <v>416</v>
      </c>
    </row>
    <row r="1771" spans="1:17" hidden="1" x14ac:dyDescent="0.25">
      <c r="A1771" s="114" t="s">
        <v>4555</v>
      </c>
      <c r="B1771" s="115" t="s">
        <v>7889</v>
      </c>
      <c r="C1771" s="116" t="s">
        <v>16</v>
      </c>
      <c r="D1771" s="116">
        <v>0</v>
      </c>
      <c r="E1771" s="136" t="s">
        <v>416</v>
      </c>
      <c r="F1771" s="137" t="str">
        <f t="shared" si="150"/>
        <v/>
      </c>
      <c r="G1771" s="138" t="e">
        <f>IF(A1771&lt;&gt;"",IF(AND(#REF!="Padrão",$H$4=#REF!),BDI!$B$17,IF(AND(#REF!="Padrão",$H$4=#REF!),BDI!#REF!,IF(AND(#REF!="Diferenciado",$H$4=#REF!),BDI!$E$17,IF(AND(#REF!="Diferenciado",$H$4=#REF!),BDI!#REF!,IF(#REF!="ZERO",0))))),"")</f>
        <v>#REF!</v>
      </c>
      <c r="H1771" s="139" t="str">
        <f t="shared" si="151"/>
        <v/>
      </c>
      <c r="I1771" s="137" t="str">
        <f t="shared" si="152"/>
        <v/>
      </c>
      <c r="J1771" s="117"/>
      <c r="K1771" s="116">
        <v>0</v>
      </c>
      <c r="M1771" s="136" t="s">
        <v>416</v>
      </c>
      <c r="N1771" t="e">
        <v>#REF!</v>
      </c>
      <c r="Q1771" t="s">
        <v>416</v>
      </c>
    </row>
    <row r="1772" spans="1:17" hidden="1" x14ac:dyDescent="0.25">
      <c r="A1772" s="114" t="s">
        <v>4556</v>
      </c>
      <c r="B1772" s="115" t="s">
        <v>7890</v>
      </c>
      <c r="C1772" s="116" t="s">
        <v>16</v>
      </c>
      <c r="D1772" s="116">
        <v>0</v>
      </c>
      <c r="E1772" s="136" t="s">
        <v>416</v>
      </c>
      <c r="F1772" s="137" t="str">
        <f t="shared" si="150"/>
        <v/>
      </c>
      <c r="G1772" s="138" t="e">
        <f>IF(A1772&lt;&gt;"",IF(AND(#REF!="Padrão",$H$4=#REF!),BDI!$B$17,IF(AND(#REF!="Padrão",$H$4=#REF!),BDI!#REF!,IF(AND(#REF!="Diferenciado",$H$4=#REF!),BDI!$E$17,IF(AND(#REF!="Diferenciado",$H$4=#REF!),BDI!#REF!,IF(#REF!="ZERO",0))))),"")</f>
        <v>#REF!</v>
      </c>
      <c r="H1772" s="139" t="str">
        <f t="shared" si="151"/>
        <v/>
      </c>
      <c r="I1772" s="137" t="str">
        <f t="shared" si="152"/>
        <v/>
      </c>
      <c r="J1772" s="117"/>
      <c r="K1772" s="116">
        <v>0</v>
      </c>
      <c r="M1772" s="136" t="s">
        <v>416</v>
      </c>
      <c r="N1772" t="e">
        <v>#REF!</v>
      </c>
      <c r="Q1772" t="s">
        <v>416</v>
      </c>
    </row>
    <row r="1773" spans="1:17" hidden="1" x14ac:dyDescent="0.25">
      <c r="A1773" s="114" t="s">
        <v>4557</v>
      </c>
      <c r="B1773" s="115" t="s">
        <v>7891</v>
      </c>
      <c r="C1773" s="116" t="s">
        <v>16</v>
      </c>
      <c r="D1773" s="116">
        <v>0</v>
      </c>
      <c r="E1773" s="136" t="s">
        <v>416</v>
      </c>
      <c r="F1773" s="137" t="str">
        <f t="shared" ref="F1773:F1836" si="153">IF(ISNUMBER(E1773),D1773*E1773,"")</f>
        <v/>
      </c>
      <c r="G1773" s="138" t="e">
        <f>IF(A1773&lt;&gt;"",IF(AND(#REF!="Padrão",$H$4=#REF!),BDI!$B$17,IF(AND(#REF!="Padrão",$H$4=#REF!),BDI!#REF!,IF(AND(#REF!="Diferenciado",$H$4=#REF!),BDI!$E$17,IF(AND(#REF!="Diferenciado",$H$4=#REF!),BDI!#REF!,IF(#REF!="ZERO",0))))),"")</f>
        <v>#REF!</v>
      </c>
      <c r="H1773" s="139" t="str">
        <f t="shared" ref="H1773:H1836" si="154">IF(ISNUMBER(E1773),ROUND(E1773*(1+G1773),2),"")</f>
        <v/>
      </c>
      <c r="I1773" s="137" t="str">
        <f t="shared" ref="I1773:I1836" si="155">IF(ISNUMBER(E1773),ROUND(H1773*D1773,2),"")</f>
        <v/>
      </c>
      <c r="J1773" s="117"/>
      <c r="K1773" s="116">
        <v>0</v>
      </c>
      <c r="M1773" s="136" t="s">
        <v>416</v>
      </c>
      <c r="N1773" t="e">
        <v>#REF!</v>
      </c>
      <c r="Q1773" t="s">
        <v>416</v>
      </c>
    </row>
    <row r="1774" spans="1:17" ht="25.5" hidden="1" x14ac:dyDescent="0.25">
      <c r="A1774" s="114" t="s">
        <v>4558</v>
      </c>
      <c r="B1774" s="115" t="s">
        <v>7892</v>
      </c>
      <c r="C1774" s="116" t="s">
        <v>16</v>
      </c>
      <c r="D1774" s="116">
        <v>0</v>
      </c>
      <c r="E1774" s="136" t="s">
        <v>416</v>
      </c>
      <c r="F1774" s="137" t="str">
        <f t="shared" si="153"/>
        <v/>
      </c>
      <c r="G1774" s="138" t="e">
        <f>IF(A1774&lt;&gt;"",IF(AND(#REF!="Padrão",$H$4=#REF!),BDI!$B$17,IF(AND(#REF!="Padrão",$H$4=#REF!),BDI!#REF!,IF(AND(#REF!="Diferenciado",$H$4=#REF!),BDI!$E$17,IF(AND(#REF!="Diferenciado",$H$4=#REF!),BDI!#REF!,IF(#REF!="ZERO",0))))),"")</f>
        <v>#REF!</v>
      </c>
      <c r="H1774" s="139" t="str">
        <f t="shared" si="154"/>
        <v/>
      </c>
      <c r="I1774" s="137" t="str">
        <f t="shared" si="155"/>
        <v/>
      </c>
      <c r="J1774" s="117"/>
      <c r="K1774" s="116">
        <v>0</v>
      </c>
      <c r="M1774" s="136" t="s">
        <v>416</v>
      </c>
      <c r="N1774" t="e">
        <v>#REF!</v>
      </c>
      <c r="Q1774" t="s">
        <v>416</v>
      </c>
    </row>
    <row r="1775" spans="1:17" hidden="1" x14ac:dyDescent="0.25">
      <c r="A1775" s="114" t="s">
        <v>4559</v>
      </c>
      <c r="B1775" s="115" t="s">
        <v>7893</v>
      </c>
      <c r="C1775" s="116" t="s">
        <v>16</v>
      </c>
      <c r="D1775" s="116">
        <v>0</v>
      </c>
      <c r="E1775" s="136" t="s">
        <v>416</v>
      </c>
      <c r="F1775" s="137" t="str">
        <f t="shared" si="153"/>
        <v/>
      </c>
      <c r="G1775" s="138" t="e">
        <f>IF(A1775&lt;&gt;"",IF(AND(#REF!="Padrão",$H$4=#REF!),BDI!$B$17,IF(AND(#REF!="Padrão",$H$4=#REF!),BDI!#REF!,IF(AND(#REF!="Diferenciado",$H$4=#REF!),BDI!$E$17,IF(AND(#REF!="Diferenciado",$H$4=#REF!),BDI!#REF!,IF(#REF!="ZERO",0))))),"")</f>
        <v>#REF!</v>
      </c>
      <c r="H1775" s="139" t="str">
        <f t="shared" si="154"/>
        <v/>
      </c>
      <c r="I1775" s="137" t="str">
        <f t="shared" si="155"/>
        <v/>
      </c>
      <c r="J1775" s="117"/>
      <c r="K1775" s="116">
        <v>0</v>
      </c>
      <c r="M1775" s="136" t="s">
        <v>416</v>
      </c>
      <c r="N1775" t="e">
        <v>#REF!</v>
      </c>
      <c r="Q1775" t="s">
        <v>416</v>
      </c>
    </row>
    <row r="1776" spans="1:17" hidden="1" x14ac:dyDescent="0.25">
      <c r="A1776" s="114" t="s">
        <v>4560</v>
      </c>
      <c r="B1776" s="115" t="s">
        <v>7894</v>
      </c>
      <c r="C1776" s="116" t="s">
        <v>16</v>
      </c>
      <c r="D1776" s="116">
        <v>0</v>
      </c>
      <c r="E1776" s="136" t="s">
        <v>416</v>
      </c>
      <c r="F1776" s="137" t="str">
        <f t="shared" si="153"/>
        <v/>
      </c>
      <c r="G1776" s="138" t="e">
        <f>IF(A1776&lt;&gt;"",IF(AND(#REF!="Padrão",$H$4=#REF!),BDI!$B$17,IF(AND(#REF!="Padrão",$H$4=#REF!),BDI!#REF!,IF(AND(#REF!="Diferenciado",$H$4=#REF!),BDI!$E$17,IF(AND(#REF!="Diferenciado",$H$4=#REF!),BDI!#REF!,IF(#REF!="ZERO",0))))),"")</f>
        <v>#REF!</v>
      </c>
      <c r="H1776" s="139" t="str">
        <f t="shared" si="154"/>
        <v/>
      </c>
      <c r="I1776" s="137" t="str">
        <f t="shared" si="155"/>
        <v/>
      </c>
      <c r="J1776" s="117"/>
      <c r="K1776" s="116">
        <v>0</v>
      </c>
      <c r="M1776" s="136" t="s">
        <v>416</v>
      </c>
      <c r="N1776" t="e">
        <v>#REF!</v>
      </c>
      <c r="Q1776" t="s">
        <v>416</v>
      </c>
    </row>
    <row r="1777" spans="1:17" hidden="1" x14ac:dyDescent="0.25">
      <c r="A1777" s="114" t="s">
        <v>4561</v>
      </c>
      <c r="B1777" s="115" t="s">
        <v>7895</v>
      </c>
      <c r="C1777" s="116" t="s">
        <v>16</v>
      </c>
      <c r="D1777" s="116">
        <v>0</v>
      </c>
      <c r="E1777" s="136" t="s">
        <v>416</v>
      </c>
      <c r="F1777" s="137" t="str">
        <f t="shared" si="153"/>
        <v/>
      </c>
      <c r="G1777" s="138" t="e">
        <f>IF(A1777&lt;&gt;"",IF(AND(#REF!="Padrão",$H$4=#REF!),BDI!$B$17,IF(AND(#REF!="Padrão",$H$4=#REF!),BDI!#REF!,IF(AND(#REF!="Diferenciado",$H$4=#REF!),BDI!$E$17,IF(AND(#REF!="Diferenciado",$H$4=#REF!),BDI!#REF!,IF(#REF!="ZERO",0))))),"")</f>
        <v>#REF!</v>
      </c>
      <c r="H1777" s="139" t="str">
        <f t="shared" si="154"/>
        <v/>
      </c>
      <c r="I1777" s="137" t="str">
        <f t="shared" si="155"/>
        <v/>
      </c>
      <c r="J1777" s="117"/>
      <c r="K1777" s="116">
        <v>0</v>
      </c>
      <c r="M1777" s="136" t="s">
        <v>416</v>
      </c>
      <c r="N1777" t="e">
        <v>#REF!</v>
      </c>
      <c r="Q1777" t="s">
        <v>416</v>
      </c>
    </row>
    <row r="1778" spans="1:17" hidden="1" x14ac:dyDescent="0.25">
      <c r="A1778" s="114" t="s">
        <v>4562</v>
      </c>
      <c r="B1778" s="115" t="s">
        <v>7896</v>
      </c>
      <c r="C1778" s="116" t="s">
        <v>16</v>
      </c>
      <c r="D1778" s="116">
        <v>0</v>
      </c>
      <c r="E1778" s="136" t="s">
        <v>416</v>
      </c>
      <c r="F1778" s="137" t="str">
        <f t="shared" si="153"/>
        <v/>
      </c>
      <c r="G1778" s="138" t="e">
        <f>IF(A1778&lt;&gt;"",IF(AND(#REF!="Padrão",$H$4=#REF!),BDI!$B$17,IF(AND(#REF!="Padrão",$H$4=#REF!),BDI!#REF!,IF(AND(#REF!="Diferenciado",$H$4=#REF!),BDI!$E$17,IF(AND(#REF!="Diferenciado",$H$4=#REF!),BDI!#REF!,IF(#REF!="ZERO",0))))),"")</f>
        <v>#REF!</v>
      </c>
      <c r="H1778" s="139" t="str">
        <f t="shared" si="154"/>
        <v/>
      </c>
      <c r="I1778" s="137" t="str">
        <f t="shared" si="155"/>
        <v/>
      </c>
      <c r="J1778" s="117"/>
      <c r="K1778" s="116">
        <v>0</v>
      </c>
      <c r="M1778" s="136" t="s">
        <v>416</v>
      </c>
      <c r="N1778" t="e">
        <v>#REF!</v>
      </c>
      <c r="Q1778" t="s">
        <v>416</v>
      </c>
    </row>
    <row r="1779" spans="1:17" hidden="1" x14ac:dyDescent="0.25">
      <c r="A1779" s="114" t="s">
        <v>4563</v>
      </c>
      <c r="B1779" s="115" t="s">
        <v>7897</v>
      </c>
      <c r="C1779" s="116" t="s">
        <v>16</v>
      </c>
      <c r="D1779" s="116">
        <v>0</v>
      </c>
      <c r="E1779" s="136" t="s">
        <v>416</v>
      </c>
      <c r="F1779" s="137" t="str">
        <f t="shared" si="153"/>
        <v/>
      </c>
      <c r="G1779" s="138" t="e">
        <f>IF(A1779&lt;&gt;"",IF(AND(#REF!="Padrão",$H$4=#REF!),BDI!$B$17,IF(AND(#REF!="Padrão",$H$4=#REF!),BDI!#REF!,IF(AND(#REF!="Diferenciado",$H$4=#REF!),BDI!$E$17,IF(AND(#REF!="Diferenciado",$H$4=#REF!),BDI!#REF!,IF(#REF!="ZERO",0))))),"")</f>
        <v>#REF!</v>
      </c>
      <c r="H1779" s="139" t="str">
        <f t="shared" si="154"/>
        <v/>
      </c>
      <c r="I1779" s="137" t="str">
        <f t="shared" si="155"/>
        <v/>
      </c>
      <c r="J1779" s="117"/>
      <c r="K1779" s="116">
        <v>0</v>
      </c>
      <c r="M1779" s="136" t="s">
        <v>416</v>
      </c>
      <c r="N1779" t="e">
        <v>#REF!</v>
      </c>
      <c r="Q1779" t="s">
        <v>416</v>
      </c>
    </row>
    <row r="1780" spans="1:17" hidden="1" x14ac:dyDescent="0.25">
      <c r="A1780" s="114" t="s">
        <v>4564</v>
      </c>
      <c r="B1780" s="115" t="s">
        <v>7898</v>
      </c>
      <c r="C1780" s="116" t="s">
        <v>16</v>
      </c>
      <c r="D1780" s="116">
        <v>0</v>
      </c>
      <c r="E1780" s="136" t="s">
        <v>416</v>
      </c>
      <c r="F1780" s="137" t="str">
        <f t="shared" si="153"/>
        <v/>
      </c>
      <c r="G1780" s="138" t="e">
        <f>IF(A1780&lt;&gt;"",IF(AND(#REF!="Padrão",$H$4=#REF!),BDI!$B$17,IF(AND(#REF!="Padrão",$H$4=#REF!),BDI!#REF!,IF(AND(#REF!="Diferenciado",$H$4=#REF!),BDI!$E$17,IF(AND(#REF!="Diferenciado",$H$4=#REF!),BDI!#REF!,IF(#REF!="ZERO",0))))),"")</f>
        <v>#REF!</v>
      </c>
      <c r="H1780" s="139" t="str">
        <f t="shared" si="154"/>
        <v/>
      </c>
      <c r="I1780" s="137" t="str">
        <f t="shared" si="155"/>
        <v/>
      </c>
      <c r="J1780" s="117"/>
      <c r="K1780" s="116">
        <v>0</v>
      </c>
      <c r="M1780" s="136" t="s">
        <v>416</v>
      </c>
      <c r="N1780" t="e">
        <v>#REF!</v>
      </c>
      <c r="Q1780" t="s">
        <v>416</v>
      </c>
    </row>
    <row r="1781" spans="1:17" hidden="1" x14ac:dyDescent="0.25">
      <c r="A1781" s="114" t="s">
        <v>4565</v>
      </c>
      <c r="B1781" s="115" t="s">
        <v>7899</v>
      </c>
      <c r="C1781" s="116" t="s">
        <v>16</v>
      </c>
      <c r="D1781" s="116">
        <v>0</v>
      </c>
      <c r="E1781" s="136" t="s">
        <v>416</v>
      </c>
      <c r="F1781" s="137" t="str">
        <f t="shared" si="153"/>
        <v/>
      </c>
      <c r="G1781" s="138" t="e">
        <f>IF(A1781&lt;&gt;"",IF(AND(#REF!="Padrão",$H$4=#REF!),BDI!$B$17,IF(AND(#REF!="Padrão",$H$4=#REF!),BDI!#REF!,IF(AND(#REF!="Diferenciado",$H$4=#REF!),BDI!$E$17,IF(AND(#REF!="Diferenciado",$H$4=#REF!),BDI!#REF!,IF(#REF!="ZERO",0))))),"")</f>
        <v>#REF!</v>
      </c>
      <c r="H1781" s="139" t="str">
        <f t="shared" si="154"/>
        <v/>
      </c>
      <c r="I1781" s="137" t="str">
        <f t="shared" si="155"/>
        <v/>
      </c>
      <c r="J1781" s="117"/>
      <c r="K1781" s="116">
        <v>0</v>
      </c>
      <c r="M1781" s="136" t="s">
        <v>416</v>
      </c>
      <c r="N1781" t="e">
        <v>#REF!</v>
      </c>
      <c r="Q1781" t="s">
        <v>416</v>
      </c>
    </row>
    <row r="1782" spans="1:17" hidden="1" x14ac:dyDescent="0.25">
      <c r="A1782" s="114" t="s">
        <v>4566</v>
      </c>
      <c r="B1782" s="115" t="s">
        <v>7900</v>
      </c>
      <c r="C1782" s="116" t="s">
        <v>16</v>
      </c>
      <c r="D1782" s="116">
        <v>0</v>
      </c>
      <c r="E1782" s="136" t="s">
        <v>416</v>
      </c>
      <c r="F1782" s="137" t="str">
        <f t="shared" si="153"/>
        <v/>
      </c>
      <c r="G1782" s="138" t="e">
        <f>IF(A1782&lt;&gt;"",IF(AND(#REF!="Padrão",$H$4=#REF!),BDI!$B$17,IF(AND(#REF!="Padrão",$H$4=#REF!),BDI!#REF!,IF(AND(#REF!="Diferenciado",$H$4=#REF!),BDI!$E$17,IF(AND(#REF!="Diferenciado",$H$4=#REF!),BDI!#REF!,IF(#REF!="ZERO",0))))),"")</f>
        <v>#REF!</v>
      </c>
      <c r="H1782" s="139" t="str">
        <f t="shared" si="154"/>
        <v/>
      </c>
      <c r="I1782" s="137" t="str">
        <f t="shared" si="155"/>
        <v/>
      </c>
      <c r="J1782" s="117"/>
      <c r="K1782" s="116">
        <v>0</v>
      </c>
      <c r="M1782" s="136" t="s">
        <v>416</v>
      </c>
      <c r="N1782" t="e">
        <v>#REF!</v>
      </c>
      <c r="Q1782" t="s">
        <v>416</v>
      </c>
    </row>
    <row r="1783" spans="1:17" hidden="1" x14ac:dyDescent="0.25">
      <c r="A1783" s="114" t="s">
        <v>4567</v>
      </c>
      <c r="B1783" s="115" t="s">
        <v>7901</v>
      </c>
      <c r="C1783" s="116" t="s">
        <v>16</v>
      </c>
      <c r="D1783" s="116">
        <v>0</v>
      </c>
      <c r="E1783" s="136" t="s">
        <v>416</v>
      </c>
      <c r="F1783" s="137" t="str">
        <f t="shared" si="153"/>
        <v/>
      </c>
      <c r="G1783" s="138" t="e">
        <f>IF(A1783&lt;&gt;"",IF(AND(#REF!="Padrão",$H$4=#REF!),BDI!$B$17,IF(AND(#REF!="Padrão",$H$4=#REF!),BDI!#REF!,IF(AND(#REF!="Diferenciado",$H$4=#REF!),BDI!$E$17,IF(AND(#REF!="Diferenciado",$H$4=#REF!),BDI!#REF!,IF(#REF!="ZERO",0))))),"")</f>
        <v>#REF!</v>
      </c>
      <c r="H1783" s="139" t="str">
        <f t="shared" si="154"/>
        <v/>
      </c>
      <c r="I1783" s="137" t="str">
        <f t="shared" si="155"/>
        <v/>
      </c>
      <c r="J1783" s="117"/>
      <c r="K1783" s="116">
        <v>0</v>
      </c>
      <c r="M1783" s="136" t="s">
        <v>416</v>
      </c>
      <c r="N1783" t="e">
        <v>#REF!</v>
      </c>
      <c r="Q1783" t="s">
        <v>416</v>
      </c>
    </row>
    <row r="1784" spans="1:17" hidden="1" x14ac:dyDescent="0.25">
      <c r="A1784" s="114" t="s">
        <v>4568</v>
      </c>
      <c r="B1784" s="115" t="s">
        <v>7902</v>
      </c>
      <c r="C1784" s="116" t="s">
        <v>16</v>
      </c>
      <c r="D1784" s="116">
        <v>0</v>
      </c>
      <c r="E1784" s="136" t="s">
        <v>416</v>
      </c>
      <c r="F1784" s="137" t="str">
        <f t="shared" si="153"/>
        <v/>
      </c>
      <c r="G1784" s="138" t="e">
        <f>IF(A1784&lt;&gt;"",IF(AND(#REF!="Padrão",$H$4=#REF!),BDI!$B$17,IF(AND(#REF!="Padrão",$H$4=#REF!),BDI!#REF!,IF(AND(#REF!="Diferenciado",$H$4=#REF!),BDI!$E$17,IF(AND(#REF!="Diferenciado",$H$4=#REF!),BDI!#REF!,IF(#REF!="ZERO",0))))),"")</f>
        <v>#REF!</v>
      </c>
      <c r="H1784" s="139" t="str">
        <f t="shared" si="154"/>
        <v/>
      </c>
      <c r="I1784" s="137" t="str">
        <f t="shared" si="155"/>
        <v/>
      </c>
      <c r="J1784" s="117"/>
      <c r="K1784" s="116">
        <v>0</v>
      </c>
      <c r="M1784" s="136" t="s">
        <v>416</v>
      </c>
      <c r="N1784" t="e">
        <v>#REF!</v>
      </c>
      <c r="Q1784" t="s">
        <v>416</v>
      </c>
    </row>
    <row r="1785" spans="1:17" hidden="1" x14ac:dyDescent="0.25">
      <c r="A1785" s="114" t="s">
        <v>4569</v>
      </c>
      <c r="B1785" s="115" t="s">
        <v>7903</v>
      </c>
      <c r="C1785" s="116" t="s">
        <v>16</v>
      </c>
      <c r="D1785" s="116">
        <v>0</v>
      </c>
      <c r="E1785" s="136" t="s">
        <v>416</v>
      </c>
      <c r="F1785" s="137" t="str">
        <f t="shared" si="153"/>
        <v/>
      </c>
      <c r="G1785" s="138" t="e">
        <f>IF(A1785&lt;&gt;"",IF(AND(#REF!="Padrão",$H$4=#REF!),BDI!$B$17,IF(AND(#REF!="Padrão",$H$4=#REF!),BDI!#REF!,IF(AND(#REF!="Diferenciado",$H$4=#REF!),BDI!$E$17,IF(AND(#REF!="Diferenciado",$H$4=#REF!),BDI!#REF!,IF(#REF!="ZERO",0))))),"")</f>
        <v>#REF!</v>
      </c>
      <c r="H1785" s="139" t="str">
        <f t="shared" si="154"/>
        <v/>
      </c>
      <c r="I1785" s="137" t="str">
        <f t="shared" si="155"/>
        <v/>
      </c>
      <c r="J1785" s="117"/>
      <c r="K1785" s="116">
        <v>0</v>
      </c>
      <c r="M1785" s="136" t="s">
        <v>416</v>
      </c>
      <c r="N1785" t="e">
        <v>#REF!</v>
      </c>
      <c r="Q1785" t="s">
        <v>416</v>
      </c>
    </row>
    <row r="1786" spans="1:17" hidden="1" x14ac:dyDescent="0.25">
      <c r="A1786" s="114" t="s">
        <v>4570</v>
      </c>
      <c r="B1786" s="115" t="s">
        <v>7904</v>
      </c>
      <c r="C1786" s="116" t="s">
        <v>16</v>
      </c>
      <c r="D1786" s="116">
        <v>0</v>
      </c>
      <c r="E1786" s="136" t="s">
        <v>416</v>
      </c>
      <c r="F1786" s="137" t="str">
        <f t="shared" si="153"/>
        <v/>
      </c>
      <c r="G1786" s="138" t="e">
        <f>IF(A1786&lt;&gt;"",IF(AND(#REF!="Padrão",$H$4=#REF!),BDI!$B$17,IF(AND(#REF!="Padrão",$H$4=#REF!),BDI!#REF!,IF(AND(#REF!="Diferenciado",$H$4=#REF!),BDI!$E$17,IF(AND(#REF!="Diferenciado",$H$4=#REF!),BDI!#REF!,IF(#REF!="ZERO",0))))),"")</f>
        <v>#REF!</v>
      </c>
      <c r="H1786" s="139" t="str">
        <f t="shared" si="154"/>
        <v/>
      </c>
      <c r="I1786" s="137" t="str">
        <f t="shared" si="155"/>
        <v/>
      </c>
      <c r="J1786" s="117"/>
      <c r="K1786" s="116">
        <v>0</v>
      </c>
      <c r="M1786" s="136" t="s">
        <v>416</v>
      </c>
      <c r="N1786" t="e">
        <v>#REF!</v>
      </c>
      <c r="Q1786" t="s">
        <v>416</v>
      </c>
    </row>
    <row r="1787" spans="1:17" hidden="1" x14ac:dyDescent="0.25">
      <c r="A1787" s="114" t="s">
        <v>4571</v>
      </c>
      <c r="B1787" s="115" t="s">
        <v>7905</v>
      </c>
      <c r="C1787" s="116" t="s">
        <v>16</v>
      </c>
      <c r="D1787" s="116">
        <v>0</v>
      </c>
      <c r="E1787" s="136" t="s">
        <v>416</v>
      </c>
      <c r="F1787" s="137" t="str">
        <f t="shared" si="153"/>
        <v/>
      </c>
      <c r="G1787" s="138" t="e">
        <f>IF(A1787&lt;&gt;"",IF(AND(#REF!="Padrão",$H$4=#REF!),BDI!$B$17,IF(AND(#REF!="Padrão",$H$4=#REF!),BDI!#REF!,IF(AND(#REF!="Diferenciado",$H$4=#REF!),BDI!$E$17,IF(AND(#REF!="Diferenciado",$H$4=#REF!),BDI!#REF!,IF(#REF!="ZERO",0))))),"")</f>
        <v>#REF!</v>
      </c>
      <c r="H1787" s="139" t="str">
        <f t="shared" si="154"/>
        <v/>
      </c>
      <c r="I1787" s="137" t="str">
        <f t="shared" si="155"/>
        <v/>
      </c>
      <c r="J1787" s="117"/>
      <c r="K1787" s="116">
        <v>0</v>
      </c>
      <c r="M1787" s="136" t="s">
        <v>416</v>
      </c>
      <c r="N1787" t="e">
        <v>#REF!</v>
      </c>
      <c r="Q1787" t="s">
        <v>416</v>
      </c>
    </row>
    <row r="1788" spans="1:17" hidden="1" x14ac:dyDescent="0.25">
      <c r="A1788" s="114" t="s">
        <v>4572</v>
      </c>
      <c r="B1788" s="115" t="s">
        <v>7906</v>
      </c>
      <c r="C1788" s="116" t="s">
        <v>16</v>
      </c>
      <c r="D1788" s="116">
        <v>0</v>
      </c>
      <c r="E1788" s="136" t="s">
        <v>416</v>
      </c>
      <c r="F1788" s="137" t="str">
        <f t="shared" si="153"/>
        <v/>
      </c>
      <c r="G1788" s="138" t="e">
        <f>IF(A1788&lt;&gt;"",IF(AND(#REF!="Padrão",$H$4=#REF!),BDI!$B$17,IF(AND(#REF!="Padrão",$H$4=#REF!),BDI!#REF!,IF(AND(#REF!="Diferenciado",$H$4=#REF!),BDI!$E$17,IF(AND(#REF!="Diferenciado",$H$4=#REF!),BDI!#REF!,IF(#REF!="ZERO",0))))),"")</f>
        <v>#REF!</v>
      </c>
      <c r="H1788" s="139" t="str">
        <f t="shared" si="154"/>
        <v/>
      </c>
      <c r="I1788" s="137" t="str">
        <f t="shared" si="155"/>
        <v/>
      </c>
      <c r="J1788" s="117"/>
      <c r="K1788" s="116">
        <v>0</v>
      </c>
      <c r="M1788" s="136" t="s">
        <v>416</v>
      </c>
      <c r="N1788" t="e">
        <v>#REF!</v>
      </c>
      <c r="Q1788" t="s">
        <v>416</v>
      </c>
    </row>
    <row r="1789" spans="1:17" hidden="1" x14ac:dyDescent="0.25">
      <c r="A1789" s="114" t="s">
        <v>4573</v>
      </c>
      <c r="B1789" s="115" t="s">
        <v>7907</v>
      </c>
      <c r="C1789" s="116" t="s">
        <v>16</v>
      </c>
      <c r="D1789" s="116">
        <v>0</v>
      </c>
      <c r="E1789" s="136" t="s">
        <v>416</v>
      </c>
      <c r="F1789" s="137" t="str">
        <f t="shared" si="153"/>
        <v/>
      </c>
      <c r="G1789" s="138" t="e">
        <f>IF(A1789&lt;&gt;"",IF(AND(#REF!="Padrão",$H$4=#REF!),BDI!$B$17,IF(AND(#REF!="Padrão",$H$4=#REF!),BDI!#REF!,IF(AND(#REF!="Diferenciado",$H$4=#REF!),BDI!$E$17,IF(AND(#REF!="Diferenciado",$H$4=#REF!),BDI!#REF!,IF(#REF!="ZERO",0))))),"")</f>
        <v>#REF!</v>
      </c>
      <c r="H1789" s="139" t="str">
        <f t="shared" si="154"/>
        <v/>
      </c>
      <c r="I1789" s="137" t="str">
        <f t="shared" si="155"/>
        <v/>
      </c>
      <c r="J1789" s="117"/>
      <c r="K1789" s="116">
        <v>0</v>
      </c>
      <c r="M1789" s="136" t="s">
        <v>416</v>
      </c>
      <c r="N1789" t="e">
        <v>#REF!</v>
      </c>
      <c r="Q1789" t="s">
        <v>416</v>
      </c>
    </row>
    <row r="1790" spans="1:17" hidden="1" x14ac:dyDescent="0.25">
      <c r="A1790" s="114" t="s">
        <v>4574</v>
      </c>
      <c r="B1790" s="115" t="s">
        <v>7908</v>
      </c>
      <c r="C1790" s="116" t="s">
        <v>16</v>
      </c>
      <c r="D1790" s="116">
        <v>0</v>
      </c>
      <c r="E1790" s="136" t="s">
        <v>416</v>
      </c>
      <c r="F1790" s="137" t="str">
        <f t="shared" si="153"/>
        <v/>
      </c>
      <c r="G1790" s="138" t="e">
        <f>IF(A1790&lt;&gt;"",IF(AND(#REF!="Padrão",$H$4=#REF!),BDI!$B$17,IF(AND(#REF!="Padrão",$H$4=#REF!),BDI!#REF!,IF(AND(#REF!="Diferenciado",$H$4=#REF!),BDI!$E$17,IF(AND(#REF!="Diferenciado",$H$4=#REF!),BDI!#REF!,IF(#REF!="ZERO",0))))),"")</f>
        <v>#REF!</v>
      </c>
      <c r="H1790" s="139" t="str">
        <f t="shared" si="154"/>
        <v/>
      </c>
      <c r="I1790" s="137" t="str">
        <f t="shared" si="155"/>
        <v/>
      </c>
      <c r="J1790" s="117"/>
      <c r="K1790" s="116">
        <v>0</v>
      </c>
      <c r="M1790" s="136" t="s">
        <v>416</v>
      </c>
      <c r="N1790" t="e">
        <v>#REF!</v>
      </c>
      <c r="Q1790" t="s">
        <v>416</v>
      </c>
    </row>
    <row r="1791" spans="1:17" hidden="1" x14ac:dyDescent="0.25">
      <c r="A1791" s="114" t="s">
        <v>4575</v>
      </c>
      <c r="B1791" s="115" t="s">
        <v>7909</v>
      </c>
      <c r="C1791" s="116" t="s">
        <v>16</v>
      </c>
      <c r="D1791" s="116">
        <v>0</v>
      </c>
      <c r="E1791" s="136" t="s">
        <v>416</v>
      </c>
      <c r="F1791" s="137" t="str">
        <f t="shared" si="153"/>
        <v/>
      </c>
      <c r="G1791" s="138" t="e">
        <f>IF(A1791&lt;&gt;"",IF(AND(#REF!="Padrão",$H$4=#REF!),BDI!$B$17,IF(AND(#REF!="Padrão",$H$4=#REF!),BDI!#REF!,IF(AND(#REF!="Diferenciado",$H$4=#REF!),BDI!$E$17,IF(AND(#REF!="Diferenciado",$H$4=#REF!),BDI!#REF!,IF(#REF!="ZERO",0))))),"")</f>
        <v>#REF!</v>
      </c>
      <c r="H1791" s="139" t="str">
        <f t="shared" si="154"/>
        <v/>
      </c>
      <c r="I1791" s="137" t="str">
        <f t="shared" si="155"/>
        <v/>
      </c>
      <c r="J1791" s="117"/>
      <c r="K1791" s="116">
        <v>0</v>
      </c>
      <c r="M1791" s="136" t="s">
        <v>416</v>
      </c>
      <c r="N1791" t="e">
        <v>#REF!</v>
      </c>
      <c r="Q1791" t="s">
        <v>416</v>
      </c>
    </row>
    <row r="1792" spans="1:17" hidden="1" x14ac:dyDescent="0.25">
      <c r="A1792" s="114" t="s">
        <v>4576</v>
      </c>
      <c r="B1792" s="115" t="s">
        <v>7910</v>
      </c>
      <c r="C1792" s="116" t="s">
        <v>16</v>
      </c>
      <c r="D1792" s="116">
        <v>0</v>
      </c>
      <c r="E1792" s="136" t="s">
        <v>416</v>
      </c>
      <c r="F1792" s="137" t="str">
        <f t="shared" si="153"/>
        <v/>
      </c>
      <c r="G1792" s="138" t="e">
        <f>IF(A1792&lt;&gt;"",IF(AND(#REF!="Padrão",$H$4=#REF!),BDI!$B$17,IF(AND(#REF!="Padrão",$H$4=#REF!),BDI!#REF!,IF(AND(#REF!="Diferenciado",$H$4=#REF!),BDI!$E$17,IF(AND(#REF!="Diferenciado",$H$4=#REF!),BDI!#REF!,IF(#REF!="ZERO",0))))),"")</f>
        <v>#REF!</v>
      </c>
      <c r="H1792" s="139" t="str">
        <f t="shared" si="154"/>
        <v/>
      </c>
      <c r="I1792" s="137" t="str">
        <f t="shared" si="155"/>
        <v/>
      </c>
      <c r="J1792" s="117"/>
      <c r="K1792" s="116">
        <v>0</v>
      </c>
      <c r="M1792" s="136" t="s">
        <v>416</v>
      </c>
      <c r="N1792" t="e">
        <v>#REF!</v>
      </c>
      <c r="Q1792" t="s">
        <v>416</v>
      </c>
    </row>
    <row r="1793" spans="1:17" hidden="1" x14ac:dyDescent="0.25">
      <c r="A1793" s="114" t="s">
        <v>4577</v>
      </c>
      <c r="B1793" s="115" t="s">
        <v>7911</v>
      </c>
      <c r="C1793" s="116" t="s">
        <v>16</v>
      </c>
      <c r="D1793" s="116">
        <v>0</v>
      </c>
      <c r="E1793" s="136" t="s">
        <v>416</v>
      </c>
      <c r="F1793" s="137" t="str">
        <f t="shared" si="153"/>
        <v/>
      </c>
      <c r="G1793" s="138" t="e">
        <f>IF(A1793&lt;&gt;"",IF(AND(#REF!="Padrão",$H$4=#REF!),BDI!$B$17,IF(AND(#REF!="Padrão",$H$4=#REF!),BDI!#REF!,IF(AND(#REF!="Diferenciado",$H$4=#REF!),BDI!$E$17,IF(AND(#REF!="Diferenciado",$H$4=#REF!),BDI!#REF!,IF(#REF!="ZERO",0))))),"")</f>
        <v>#REF!</v>
      </c>
      <c r="H1793" s="139" t="str">
        <f t="shared" si="154"/>
        <v/>
      </c>
      <c r="I1793" s="137" t="str">
        <f t="shared" si="155"/>
        <v/>
      </c>
      <c r="J1793" s="117"/>
      <c r="K1793" s="116">
        <v>0</v>
      </c>
      <c r="M1793" s="136" t="s">
        <v>416</v>
      </c>
      <c r="N1793" t="e">
        <v>#REF!</v>
      </c>
      <c r="Q1793" t="s">
        <v>416</v>
      </c>
    </row>
    <row r="1794" spans="1:17" hidden="1" x14ac:dyDescent="0.25">
      <c r="A1794" s="114" t="s">
        <v>4578</v>
      </c>
      <c r="B1794" s="115" t="s">
        <v>7912</v>
      </c>
      <c r="C1794" s="116" t="s">
        <v>16</v>
      </c>
      <c r="D1794" s="116">
        <v>0</v>
      </c>
      <c r="E1794" s="136" t="s">
        <v>416</v>
      </c>
      <c r="F1794" s="137" t="str">
        <f t="shared" si="153"/>
        <v/>
      </c>
      <c r="G1794" s="138" t="e">
        <f>IF(A1794&lt;&gt;"",IF(AND(#REF!="Padrão",$H$4=#REF!),BDI!$B$17,IF(AND(#REF!="Padrão",$H$4=#REF!),BDI!#REF!,IF(AND(#REF!="Diferenciado",$H$4=#REF!),BDI!$E$17,IF(AND(#REF!="Diferenciado",$H$4=#REF!),BDI!#REF!,IF(#REF!="ZERO",0))))),"")</f>
        <v>#REF!</v>
      </c>
      <c r="H1794" s="139" t="str">
        <f t="shared" si="154"/>
        <v/>
      </c>
      <c r="I1794" s="137" t="str">
        <f t="shared" si="155"/>
        <v/>
      </c>
      <c r="J1794" s="117"/>
      <c r="K1794" s="116">
        <v>0</v>
      </c>
      <c r="M1794" s="136" t="s">
        <v>416</v>
      </c>
      <c r="N1794" t="e">
        <v>#REF!</v>
      </c>
      <c r="Q1794" t="s">
        <v>416</v>
      </c>
    </row>
    <row r="1795" spans="1:17" hidden="1" x14ac:dyDescent="0.25">
      <c r="A1795" s="114" t="s">
        <v>4579</v>
      </c>
      <c r="B1795" s="115" t="s">
        <v>7913</v>
      </c>
      <c r="C1795" s="116" t="s">
        <v>16</v>
      </c>
      <c r="D1795" s="116">
        <v>0</v>
      </c>
      <c r="E1795" s="136" t="s">
        <v>416</v>
      </c>
      <c r="F1795" s="137" t="str">
        <f t="shared" si="153"/>
        <v/>
      </c>
      <c r="G1795" s="138" t="e">
        <f>IF(A1795&lt;&gt;"",IF(AND(#REF!="Padrão",$H$4=#REF!),BDI!$B$17,IF(AND(#REF!="Padrão",$H$4=#REF!),BDI!#REF!,IF(AND(#REF!="Diferenciado",$H$4=#REF!),BDI!$E$17,IF(AND(#REF!="Diferenciado",$H$4=#REF!),BDI!#REF!,IF(#REF!="ZERO",0))))),"")</f>
        <v>#REF!</v>
      </c>
      <c r="H1795" s="139" t="str">
        <f t="shared" si="154"/>
        <v/>
      </c>
      <c r="I1795" s="137" t="str">
        <f t="shared" si="155"/>
        <v/>
      </c>
      <c r="J1795" s="117"/>
      <c r="K1795" s="116">
        <v>0</v>
      </c>
      <c r="M1795" s="136" t="s">
        <v>416</v>
      </c>
      <c r="N1795" t="e">
        <v>#REF!</v>
      </c>
      <c r="Q1795" t="s">
        <v>416</v>
      </c>
    </row>
    <row r="1796" spans="1:17" hidden="1" x14ac:dyDescent="0.25">
      <c r="A1796" s="114" t="s">
        <v>4580</v>
      </c>
      <c r="B1796" s="115" t="s">
        <v>7914</v>
      </c>
      <c r="C1796" s="116" t="s">
        <v>16</v>
      </c>
      <c r="D1796" s="116">
        <v>0</v>
      </c>
      <c r="E1796" s="136" t="s">
        <v>416</v>
      </c>
      <c r="F1796" s="137" t="str">
        <f t="shared" si="153"/>
        <v/>
      </c>
      <c r="G1796" s="138" t="e">
        <f>IF(A1796&lt;&gt;"",IF(AND(#REF!="Padrão",$H$4=#REF!),BDI!$B$17,IF(AND(#REF!="Padrão",$H$4=#REF!),BDI!#REF!,IF(AND(#REF!="Diferenciado",$H$4=#REF!),BDI!$E$17,IF(AND(#REF!="Diferenciado",$H$4=#REF!),BDI!#REF!,IF(#REF!="ZERO",0))))),"")</f>
        <v>#REF!</v>
      </c>
      <c r="H1796" s="139" t="str">
        <f t="shared" si="154"/>
        <v/>
      </c>
      <c r="I1796" s="137" t="str">
        <f t="shared" si="155"/>
        <v/>
      </c>
      <c r="J1796" s="117"/>
      <c r="K1796" s="116">
        <v>0</v>
      </c>
      <c r="M1796" s="136" t="s">
        <v>416</v>
      </c>
      <c r="N1796" t="e">
        <v>#REF!</v>
      </c>
      <c r="Q1796" t="s">
        <v>416</v>
      </c>
    </row>
    <row r="1797" spans="1:17" hidden="1" x14ac:dyDescent="0.25">
      <c r="A1797" s="114" t="s">
        <v>4581</v>
      </c>
      <c r="B1797" s="115" t="s">
        <v>7915</v>
      </c>
      <c r="C1797" s="116" t="s">
        <v>16</v>
      </c>
      <c r="D1797" s="116">
        <v>0</v>
      </c>
      <c r="E1797" s="136" t="s">
        <v>416</v>
      </c>
      <c r="F1797" s="137" t="str">
        <f t="shared" si="153"/>
        <v/>
      </c>
      <c r="G1797" s="138" t="e">
        <f>IF(A1797&lt;&gt;"",IF(AND(#REF!="Padrão",$H$4=#REF!),BDI!$B$17,IF(AND(#REF!="Padrão",$H$4=#REF!),BDI!#REF!,IF(AND(#REF!="Diferenciado",$H$4=#REF!),BDI!$E$17,IF(AND(#REF!="Diferenciado",$H$4=#REF!),BDI!#REF!,IF(#REF!="ZERO",0))))),"")</f>
        <v>#REF!</v>
      </c>
      <c r="H1797" s="139" t="str">
        <f t="shared" si="154"/>
        <v/>
      </c>
      <c r="I1797" s="137" t="str">
        <f t="shared" si="155"/>
        <v/>
      </c>
      <c r="J1797" s="117"/>
      <c r="K1797" s="116">
        <v>0</v>
      </c>
      <c r="M1797" s="136" t="s">
        <v>416</v>
      </c>
      <c r="N1797" t="e">
        <v>#REF!</v>
      </c>
      <c r="Q1797" t="s">
        <v>416</v>
      </c>
    </row>
    <row r="1798" spans="1:17" hidden="1" x14ac:dyDescent="0.25">
      <c r="A1798" s="114" t="s">
        <v>4582</v>
      </c>
      <c r="B1798" s="115" t="s">
        <v>7916</v>
      </c>
      <c r="C1798" s="116" t="s">
        <v>16</v>
      </c>
      <c r="D1798" s="116">
        <v>0</v>
      </c>
      <c r="E1798" s="136" t="s">
        <v>416</v>
      </c>
      <c r="F1798" s="137" t="str">
        <f t="shared" si="153"/>
        <v/>
      </c>
      <c r="G1798" s="138" t="e">
        <f>IF(A1798&lt;&gt;"",IF(AND(#REF!="Padrão",$H$4=#REF!),BDI!$B$17,IF(AND(#REF!="Padrão",$H$4=#REF!),BDI!#REF!,IF(AND(#REF!="Diferenciado",$H$4=#REF!),BDI!$E$17,IF(AND(#REF!="Diferenciado",$H$4=#REF!),BDI!#REF!,IF(#REF!="ZERO",0))))),"")</f>
        <v>#REF!</v>
      </c>
      <c r="H1798" s="139" t="str">
        <f t="shared" si="154"/>
        <v/>
      </c>
      <c r="I1798" s="137" t="str">
        <f t="shared" si="155"/>
        <v/>
      </c>
      <c r="J1798" s="117"/>
      <c r="K1798" s="116">
        <v>0</v>
      </c>
      <c r="M1798" s="136" t="s">
        <v>416</v>
      </c>
      <c r="N1798" t="e">
        <v>#REF!</v>
      </c>
      <c r="Q1798" t="s">
        <v>416</v>
      </c>
    </row>
    <row r="1799" spans="1:17" hidden="1" x14ac:dyDescent="0.25">
      <c r="A1799" s="114" t="s">
        <v>4583</v>
      </c>
      <c r="B1799" s="115" t="s">
        <v>7917</v>
      </c>
      <c r="C1799" s="116" t="s">
        <v>16</v>
      </c>
      <c r="D1799" s="116">
        <v>0</v>
      </c>
      <c r="E1799" s="136" t="s">
        <v>416</v>
      </c>
      <c r="F1799" s="137" t="str">
        <f t="shared" si="153"/>
        <v/>
      </c>
      <c r="G1799" s="138" t="e">
        <f>IF(A1799&lt;&gt;"",IF(AND(#REF!="Padrão",$H$4=#REF!),BDI!$B$17,IF(AND(#REF!="Padrão",$H$4=#REF!),BDI!#REF!,IF(AND(#REF!="Diferenciado",$H$4=#REF!),BDI!$E$17,IF(AND(#REF!="Diferenciado",$H$4=#REF!),BDI!#REF!,IF(#REF!="ZERO",0))))),"")</f>
        <v>#REF!</v>
      </c>
      <c r="H1799" s="139" t="str">
        <f t="shared" si="154"/>
        <v/>
      </c>
      <c r="I1799" s="137" t="str">
        <f t="shared" si="155"/>
        <v/>
      </c>
      <c r="J1799" s="117"/>
      <c r="K1799" s="116">
        <v>0</v>
      </c>
      <c r="M1799" s="136" t="s">
        <v>416</v>
      </c>
      <c r="N1799" t="e">
        <v>#REF!</v>
      </c>
      <c r="Q1799" t="s">
        <v>416</v>
      </c>
    </row>
    <row r="1800" spans="1:17" hidden="1" x14ac:dyDescent="0.25">
      <c r="A1800" s="114" t="s">
        <v>4584</v>
      </c>
      <c r="B1800" s="115" t="s">
        <v>7918</v>
      </c>
      <c r="C1800" s="116" t="s">
        <v>16</v>
      </c>
      <c r="D1800" s="116">
        <v>0</v>
      </c>
      <c r="E1800" s="136" t="s">
        <v>416</v>
      </c>
      <c r="F1800" s="137" t="str">
        <f t="shared" si="153"/>
        <v/>
      </c>
      <c r="G1800" s="138" t="e">
        <f>IF(A1800&lt;&gt;"",IF(AND(#REF!="Padrão",$H$4=#REF!),BDI!$B$17,IF(AND(#REF!="Padrão",$H$4=#REF!),BDI!#REF!,IF(AND(#REF!="Diferenciado",$H$4=#REF!),BDI!$E$17,IF(AND(#REF!="Diferenciado",$H$4=#REF!),BDI!#REF!,IF(#REF!="ZERO",0))))),"")</f>
        <v>#REF!</v>
      </c>
      <c r="H1800" s="139" t="str">
        <f t="shared" si="154"/>
        <v/>
      </c>
      <c r="I1800" s="137" t="str">
        <f t="shared" si="155"/>
        <v/>
      </c>
      <c r="J1800" s="117"/>
      <c r="K1800" s="116">
        <v>0</v>
      </c>
      <c r="M1800" s="136" t="s">
        <v>416</v>
      </c>
      <c r="N1800" t="e">
        <v>#REF!</v>
      </c>
      <c r="Q1800" t="s">
        <v>416</v>
      </c>
    </row>
    <row r="1801" spans="1:17" hidden="1" x14ac:dyDescent="0.25">
      <c r="A1801" s="114" t="s">
        <v>4585</v>
      </c>
      <c r="B1801" s="115" t="s">
        <v>7919</v>
      </c>
      <c r="C1801" s="116" t="s">
        <v>16</v>
      </c>
      <c r="D1801" s="116">
        <v>0</v>
      </c>
      <c r="E1801" s="136" t="s">
        <v>416</v>
      </c>
      <c r="F1801" s="137" t="str">
        <f t="shared" si="153"/>
        <v/>
      </c>
      <c r="G1801" s="138" t="e">
        <f>IF(A1801&lt;&gt;"",IF(AND(#REF!="Padrão",$H$4=#REF!),BDI!$B$17,IF(AND(#REF!="Padrão",$H$4=#REF!),BDI!#REF!,IF(AND(#REF!="Diferenciado",$H$4=#REF!),BDI!$E$17,IF(AND(#REF!="Diferenciado",$H$4=#REF!),BDI!#REF!,IF(#REF!="ZERO",0))))),"")</f>
        <v>#REF!</v>
      </c>
      <c r="H1801" s="139" t="str">
        <f t="shared" si="154"/>
        <v/>
      </c>
      <c r="I1801" s="137" t="str">
        <f t="shared" si="155"/>
        <v/>
      </c>
      <c r="J1801" s="117"/>
      <c r="K1801" s="116">
        <v>0</v>
      </c>
      <c r="M1801" s="136" t="s">
        <v>416</v>
      </c>
      <c r="N1801" t="e">
        <v>#REF!</v>
      </c>
      <c r="Q1801" t="s">
        <v>416</v>
      </c>
    </row>
    <row r="1802" spans="1:17" hidden="1" x14ac:dyDescent="0.25">
      <c r="A1802" s="114" t="s">
        <v>4586</v>
      </c>
      <c r="B1802" s="115" t="s">
        <v>7920</v>
      </c>
      <c r="C1802" s="116" t="s">
        <v>16</v>
      </c>
      <c r="D1802" s="116">
        <v>0</v>
      </c>
      <c r="E1802" s="136" t="s">
        <v>416</v>
      </c>
      <c r="F1802" s="137" t="str">
        <f t="shared" si="153"/>
        <v/>
      </c>
      <c r="G1802" s="138" t="e">
        <f>IF(A1802&lt;&gt;"",IF(AND(#REF!="Padrão",$H$4=#REF!),BDI!$B$17,IF(AND(#REF!="Padrão",$H$4=#REF!),BDI!#REF!,IF(AND(#REF!="Diferenciado",$H$4=#REF!),BDI!$E$17,IF(AND(#REF!="Diferenciado",$H$4=#REF!),BDI!#REF!,IF(#REF!="ZERO",0))))),"")</f>
        <v>#REF!</v>
      </c>
      <c r="H1802" s="139" t="str">
        <f t="shared" si="154"/>
        <v/>
      </c>
      <c r="I1802" s="137" t="str">
        <f t="shared" si="155"/>
        <v/>
      </c>
      <c r="J1802" s="117"/>
      <c r="K1802" s="116">
        <v>0</v>
      </c>
      <c r="M1802" s="136" t="s">
        <v>416</v>
      </c>
      <c r="N1802" t="e">
        <v>#REF!</v>
      </c>
      <c r="Q1802" t="s">
        <v>416</v>
      </c>
    </row>
    <row r="1803" spans="1:17" hidden="1" x14ac:dyDescent="0.25">
      <c r="A1803" s="114" t="s">
        <v>4587</v>
      </c>
      <c r="B1803" s="115" t="s">
        <v>7921</v>
      </c>
      <c r="C1803" s="116" t="s">
        <v>16</v>
      </c>
      <c r="D1803" s="116">
        <v>0</v>
      </c>
      <c r="E1803" s="136" t="s">
        <v>416</v>
      </c>
      <c r="F1803" s="137" t="str">
        <f t="shared" si="153"/>
        <v/>
      </c>
      <c r="G1803" s="138" t="e">
        <f>IF(A1803&lt;&gt;"",IF(AND(#REF!="Padrão",$H$4=#REF!),BDI!$B$17,IF(AND(#REF!="Padrão",$H$4=#REF!),BDI!#REF!,IF(AND(#REF!="Diferenciado",$H$4=#REF!),BDI!$E$17,IF(AND(#REF!="Diferenciado",$H$4=#REF!),BDI!#REF!,IF(#REF!="ZERO",0))))),"")</f>
        <v>#REF!</v>
      </c>
      <c r="H1803" s="139" t="str">
        <f t="shared" si="154"/>
        <v/>
      </c>
      <c r="I1803" s="137" t="str">
        <f t="shared" si="155"/>
        <v/>
      </c>
      <c r="J1803" s="117"/>
      <c r="K1803" s="116">
        <v>0</v>
      </c>
      <c r="M1803" s="136" t="s">
        <v>416</v>
      </c>
      <c r="N1803" t="e">
        <v>#REF!</v>
      </c>
      <c r="Q1803" t="s">
        <v>416</v>
      </c>
    </row>
    <row r="1804" spans="1:17" hidden="1" x14ac:dyDescent="0.25">
      <c r="A1804" s="114" t="s">
        <v>4588</v>
      </c>
      <c r="B1804" s="115" t="s">
        <v>7922</v>
      </c>
      <c r="C1804" s="116" t="s">
        <v>16</v>
      </c>
      <c r="D1804" s="116">
        <v>0</v>
      </c>
      <c r="E1804" s="136" t="s">
        <v>416</v>
      </c>
      <c r="F1804" s="137" t="str">
        <f t="shared" si="153"/>
        <v/>
      </c>
      <c r="G1804" s="138" t="e">
        <f>IF(A1804&lt;&gt;"",IF(AND(#REF!="Padrão",$H$4=#REF!),BDI!$B$17,IF(AND(#REF!="Padrão",$H$4=#REF!),BDI!#REF!,IF(AND(#REF!="Diferenciado",$H$4=#REF!),BDI!$E$17,IF(AND(#REF!="Diferenciado",$H$4=#REF!),BDI!#REF!,IF(#REF!="ZERO",0))))),"")</f>
        <v>#REF!</v>
      </c>
      <c r="H1804" s="139" t="str">
        <f t="shared" si="154"/>
        <v/>
      </c>
      <c r="I1804" s="137" t="str">
        <f t="shared" si="155"/>
        <v/>
      </c>
      <c r="J1804" s="117"/>
      <c r="K1804" s="116">
        <v>0</v>
      </c>
      <c r="M1804" s="136" t="s">
        <v>416</v>
      </c>
      <c r="N1804" t="e">
        <v>#REF!</v>
      </c>
      <c r="Q1804" t="s">
        <v>416</v>
      </c>
    </row>
    <row r="1805" spans="1:17" hidden="1" x14ac:dyDescent="0.25">
      <c r="A1805" s="114" t="s">
        <v>4589</v>
      </c>
      <c r="B1805" s="115" t="s">
        <v>7923</v>
      </c>
      <c r="C1805" s="116" t="s">
        <v>16</v>
      </c>
      <c r="D1805" s="116">
        <v>0</v>
      </c>
      <c r="E1805" s="136" t="s">
        <v>416</v>
      </c>
      <c r="F1805" s="137" t="str">
        <f t="shared" si="153"/>
        <v/>
      </c>
      <c r="G1805" s="138" t="e">
        <f>IF(A1805&lt;&gt;"",IF(AND(#REF!="Padrão",$H$4=#REF!),BDI!$B$17,IF(AND(#REF!="Padrão",$H$4=#REF!),BDI!#REF!,IF(AND(#REF!="Diferenciado",$H$4=#REF!),BDI!$E$17,IF(AND(#REF!="Diferenciado",$H$4=#REF!),BDI!#REF!,IF(#REF!="ZERO",0))))),"")</f>
        <v>#REF!</v>
      </c>
      <c r="H1805" s="139" t="str">
        <f t="shared" si="154"/>
        <v/>
      </c>
      <c r="I1805" s="137" t="str">
        <f t="shared" si="155"/>
        <v/>
      </c>
      <c r="J1805" s="117"/>
      <c r="K1805" s="116">
        <v>0</v>
      </c>
      <c r="M1805" s="136" t="s">
        <v>416</v>
      </c>
      <c r="N1805" t="e">
        <v>#REF!</v>
      </c>
      <c r="Q1805" t="s">
        <v>416</v>
      </c>
    </row>
    <row r="1806" spans="1:17" hidden="1" x14ac:dyDescent="0.25">
      <c r="A1806" s="114" t="s">
        <v>4590</v>
      </c>
      <c r="B1806" s="115" t="s">
        <v>7924</v>
      </c>
      <c r="C1806" s="116" t="s">
        <v>16</v>
      </c>
      <c r="D1806" s="116">
        <v>0</v>
      </c>
      <c r="E1806" s="136" t="s">
        <v>416</v>
      </c>
      <c r="F1806" s="137" t="str">
        <f t="shared" si="153"/>
        <v/>
      </c>
      <c r="G1806" s="138" t="e">
        <f>IF(A1806&lt;&gt;"",IF(AND(#REF!="Padrão",$H$4=#REF!),BDI!$B$17,IF(AND(#REF!="Padrão",$H$4=#REF!),BDI!#REF!,IF(AND(#REF!="Diferenciado",$H$4=#REF!),BDI!$E$17,IF(AND(#REF!="Diferenciado",$H$4=#REF!),BDI!#REF!,IF(#REF!="ZERO",0))))),"")</f>
        <v>#REF!</v>
      </c>
      <c r="H1806" s="139" t="str">
        <f t="shared" si="154"/>
        <v/>
      </c>
      <c r="I1806" s="137" t="str">
        <f t="shared" si="155"/>
        <v/>
      </c>
      <c r="J1806" s="117"/>
      <c r="K1806" s="116">
        <v>0</v>
      </c>
      <c r="M1806" s="136" t="s">
        <v>416</v>
      </c>
      <c r="N1806" t="e">
        <v>#REF!</v>
      </c>
      <c r="Q1806" t="s">
        <v>416</v>
      </c>
    </row>
    <row r="1807" spans="1:17" hidden="1" x14ac:dyDescent="0.25">
      <c r="A1807" s="114" t="s">
        <v>4591</v>
      </c>
      <c r="B1807" s="115" t="s">
        <v>7925</v>
      </c>
      <c r="C1807" s="116" t="s">
        <v>16</v>
      </c>
      <c r="D1807" s="116">
        <v>0</v>
      </c>
      <c r="E1807" s="136" t="s">
        <v>416</v>
      </c>
      <c r="F1807" s="137" t="str">
        <f t="shared" si="153"/>
        <v/>
      </c>
      <c r="G1807" s="138" t="e">
        <f>IF(A1807&lt;&gt;"",IF(AND(#REF!="Padrão",$H$4=#REF!),BDI!$B$17,IF(AND(#REF!="Padrão",$H$4=#REF!),BDI!#REF!,IF(AND(#REF!="Diferenciado",$H$4=#REF!),BDI!$E$17,IF(AND(#REF!="Diferenciado",$H$4=#REF!),BDI!#REF!,IF(#REF!="ZERO",0))))),"")</f>
        <v>#REF!</v>
      </c>
      <c r="H1807" s="139" t="str">
        <f t="shared" si="154"/>
        <v/>
      </c>
      <c r="I1807" s="137" t="str">
        <f t="shared" si="155"/>
        <v/>
      </c>
      <c r="J1807" s="117"/>
      <c r="K1807" s="116">
        <v>0</v>
      </c>
      <c r="M1807" s="136" t="s">
        <v>416</v>
      </c>
      <c r="N1807" t="e">
        <v>#REF!</v>
      </c>
      <c r="Q1807" t="s">
        <v>416</v>
      </c>
    </row>
    <row r="1808" spans="1:17" hidden="1" x14ac:dyDescent="0.25">
      <c r="A1808" s="114" t="s">
        <v>4592</v>
      </c>
      <c r="B1808" s="115" t="s">
        <v>7926</v>
      </c>
      <c r="C1808" s="116" t="s">
        <v>16</v>
      </c>
      <c r="D1808" s="116">
        <v>0</v>
      </c>
      <c r="E1808" s="136" t="s">
        <v>416</v>
      </c>
      <c r="F1808" s="137" t="str">
        <f t="shared" si="153"/>
        <v/>
      </c>
      <c r="G1808" s="138" t="e">
        <f>IF(A1808&lt;&gt;"",IF(AND(#REF!="Padrão",$H$4=#REF!),BDI!$B$17,IF(AND(#REF!="Padrão",$H$4=#REF!),BDI!#REF!,IF(AND(#REF!="Diferenciado",$H$4=#REF!),BDI!$E$17,IF(AND(#REF!="Diferenciado",$H$4=#REF!),BDI!#REF!,IF(#REF!="ZERO",0))))),"")</f>
        <v>#REF!</v>
      </c>
      <c r="H1808" s="139" t="str">
        <f t="shared" si="154"/>
        <v/>
      </c>
      <c r="I1808" s="137" t="str">
        <f t="shared" si="155"/>
        <v/>
      </c>
      <c r="J1808" s="117"/>
      <c r="K1808" s="116">
        <v>0</v>
      </c>
      <c r="M1808" s="136" t="s">
        <v>416</v>
      </c>
      <c r="N1808" t="e">
        <v>#REF!</v>
      </c>
      <c r="Q1808" t="s">
        <v>416</v>
      </c>
    </row>
    <row r="1809" spans="1:17" hidden="1" x14ac:dyDescent="0.25">
      <c r="A1809" s="114" t="s">
        <v>4593</v>
      </c>
      <c r="B1809" s="115" t="s">
        <v>7927</v>
      </c>
      <c r="C1809" s="116" t="s">
        <v>16</v>
      </c>
      <c r="D1809" s="116">
        <v>0</v>
      </c>
      <c r="E1809" s="136" t="s">
        <v>416</v>
      </c>
      <c r="F1809" s="137" t="str">
        <f t="shared" si="153"/>
        <v/>
      </c>
      <c r="G1809" s="138" t="e">
        <f>IF(A1809&lt;&gt;"",IF(AND(#REF!="Padrão",$H$4=#REF!),BDI!$B$17,IF(AND(#REF!="Padrão",$H$4=#REF!),BDI!#REF!,IF(AND(#REF!="Diferenciado",$H$4=#REF!),BDI!$E$17,IF(AND(#REF!="Diferenciado",$H$4=#REF!),BDI!#REF!,IF(#REF!="ZERO",0))))),"")</f>
        <v>#REF!</v>
      </c>
      <c r="H1809" s="139" t="str">
        <f t="shared" si="154"/>
        <v/>
      </c>
      <c r="I1809" s="137" t="str">
        <f t="shared" si="155"/>
        <v/>
      </c>
      <c r="J1809" s="117"/>
      <c r="K1809" s="116">
        <v>0</v>
      </c>
      <c r="M1809" s="136" t="s">
        <v>416</v>
      </c>
      <c r="N1809" t="e">
        <v>#REF!</v>
      </c>
      <c r="Q1809" t="s">
        <v>416</v>
      </c>
    </row>
    <row r="1810" spans="1:17" hidden="1" x14ac:dyDescent="0.25">
      <c r="A1810" s="114" t="s">
        <v>4594</v>
      </c>
      <c r="B1810" s="115" t="s">
        <v>3543</v>
      </c>
      <c r="C1810" s="116" t="s">
        <v>16</v>
      </c>
      <c r="D1810" s="116">
        <v>0</v>
      </c>
      <c r="E1810" s="136" t="s">
        <v>416</v>
      </c>
      <c r="F1810" s="137" t="str">
        <f t="shared" si="153"/>
        <v/>
      </c>
      <c r="G1810" s="138" t="e">
        <f>IF(A1810&lt;&gt;"",IF(AND(#REF!="Padrão",$H$4=#REF!),BDI!$B$17,IF(AND(#REF!="Padrão",$H$4=#REF!),BDI!#REF!,IF(AND(#REF!="Diferenciado",$H$4=#REF!),BDI!$E$17,IF(AND(#REF!="Diferenciado",$H$4=#REF!),BDI!#REF!,IF(#REF!="ZERO",0))))),"")</f>
        <v>#REF!</v>
      </c>
      <c r="H1810" s="139" t="str">
        <f t="shared" si="154"/>
        <v/>
      </c>
      <c r="I1810" s="137" t="str">
        <f t="shared" si="155"/>
        <v/>
      </c>
      <c r="J1810" s="117"/>
      <c r="K1810" s="116">
        <v>0</v>
      </c>
      <c r="M1810" s="136" t="s">
        <v>416</v>
      </c>
      <c r="N1810" t="e">
        <v>#REF!</v>
      </c>
      <c r="Q1810" t="s">
        <v>416</v>
      </c>
    </row>
    <row r="1811" spans="1:17" hidden="1" x14ac:dyDescent="0.25">
      <c r="A1811" s="114" t="s">
        <v>4595</v>
      </c>
      <c r="B1811" s="115" t="s">
        <v>3544</v>
      </c>
      <c r="C1811" s="116" t="s">
        <v>69</v>
      </c>
      <c r="D1811" s="116">
        <v>0</v>
      </c>
      <c r="E1811" s="136" t="s">
        <v>416</v>
      </c>
      <c r="F1811" s="137" t="str">
        <f t="shared" si="153"/>
        <v/>
      </c>
      <c r="G1811" s="138" t="e">
        <f>IF(A1811&lt;&gt;"",IF(AND(#REF!="Padrão",$H$4=#REF!),BDI!$B$17,IF(AND(#REF!="Padrão",$H$4=#REF!),BDI!#REF!,IF(AND(#REF!="Diferenciado",$H$4=#REF!),BDI!$E$17,IF(AND(#REF!="Diferenciado",$H$4=#REF!),BDI!#REF!,IF(#REF!="ZERO",0))))),"")</f>
        <v>#REF!</v>
      </c>
      <c r="H1811" s="139" t="str">
        <f t="shared" si="154"/>
        <v/>
      </c>
      <c r="I1811" s="137" t="str">
        <f t="shared" si="155"/>
        <v/>
      </c>
      <c r="J1811" s="117"/>
      <c r="K1811" s="116">
        <v>0</v>
      </c>
      <c r="M1811" s="136" t="s">
        <v>416</v>
      </c>
      <c r="N1811" t="e">
        <v>#REF!</v>
      </c>
      <c r="Q1811" t="s">
        <v>416</v>
      </c>
    </row>
    <row r="1812" spans="1:17" hidden="1" x14ac:dyDescent="0.25">
      <c r="A1812" s="114" t="s">
        <v>4596</v>
      </c>
      <c r="B1812" s="115" t="s">
        <v>3545</v>
      </c>
      <c r="C1812" s="116" t="s">
        <v>69</v>
      </c>
      <c r="D1812" s="116">
        <v>0</v>
      </c>
      <c r="E1812" s="136">
        <f ca="1">OFFSET(INDEX(Composições!A:J,MATCH(Orçamentária!A1812,Composições!A:A,0),8),2,0)</f>
        <v>0</v>
      </c>
      <c r="F1812" s="137">
        <f t="shared" ca="1" si="153"/>
        <v>0</v>
      </c>
      <c r="G1812" s="138" t="e">
        <f>IF(A1812&lt;&gt;"",IF(AND(#REF!="Padrão",$H$4=#REF!),BDI!$B$17,IF(AND(#REF!="Padrão",$H$4=#REF!),BDI!#REF!,IF(AND(#REF!="Diferenciado",$H$4=#REF!),BDI!$E$17,IF(AND(#REF!="Diferenciado",$H$4=#REF!),BDI!#REF!,IF(#REF!="ZERO",0))))),"")</f>
        <v>#REF!</v>
      </c>
      <c r="H1812" s="139" t="e">
        <f t="shared" ca="1" si="154"/>
        <v>#REF!</v>
      </c>
      <c r="I1812" s="137" t="e">
        <f t="shared" ca="1" si="155"/>
        <v>#REF!</v>
      </c>
      <c r="J1812" s="117"/>
      <c r="K1812" s="116">
        <v>0</v>
      </c>
      <c r="M1812" s="136" t="e">
        <f ca="1">OFFSET(INDEX([1]Composições!I:R,MATCH([1]Orçamentária!I1812,[1]Composições!I:I,0),8),2,0)</f>
        <v>#REF!</v>
      </c>
      <c r="N1812" t="e">
        <v>#REF!</v>
      </c>
      <c r="Q1812" t="e">
        <v>#REF!</v>
      </c>
    </row>
    <row r="1813" spans="1:17" hidden="1" x14ac:dyDescent="0.25">
      <c r="A1813" s="114" t="s">
        <v>4597</v>
      </c>
      <c r="B1813" s="115" t="s">
        <v>3546</v>
      </c>
      <c r="C1813" s="116" t="s">
        <v>69</v>
      </c>
      <c r="D1813" s="116">
        <v>0</v>
      </c>
      <c r="E1813" s="136">
        <f ca="1">OFFSET(INDEX(Composições!A:J,MATCH(Orçamentária!A1813,Composições!A:A,0),8),2,0)</f>
        <v>0</v>
      </c>
      <c r="F1813" s="137">
        <f t="shared" ca="1" si="153"/>
        <v>0</v>
      </c>
      <c r="G1813" s="138" t="e">
        <f>IF(A1813&lt;&gt;"",IF(AND(#REF!="Padrão",$H$4=#REF!),BDI!$B$17,IF(AND(#REF!="Padrão",$H$4=#REF!),BDI!#REF!,IF(AND(#REF!="Diferenciado",$H$4=#REF!),BDI!$E$17,IF(AND(#REF!="Diferenciado",$H$4=#REF!),BDI!#REF!,IF(#REF!="ZERO",0))))),"")</f>
        <v>#REF!</v>
      </c>
      <c r="H1813" s="139" t="e">
        <f t="shared" ca="1" si="154"/>
        <v>#REF!</v>
      </c>
      <c r="I1813" s="137" t="e">
        <f t="shared" ca="1" si="155"/>
        <v>#REF!</v>
      </c>
      <c r="J1813" s="117"/>
      <c r="K1813" s="116">
        <v>0</v>
      </c>
      <c r="M1813" s="136" t="e">
        <f ca="1">OFFSET(INDEX([1]Composições!I:R,MATCH([1]Orçamentária!I1813,[1]Composições!I:I,0),8),2,0)</f>
        <v>#REF!</v>
      </c>
      <c r="N1813" t="e">
        <v>#REF!</v>
      </c>
      <c r="Q1813" t="e">
        <v>#REF!</v>
      </c>
    </row>
    <row r="1814" spans="1:17" hidden="1" x14ac:dyDescent="0.25">
      <c r="A1814" s="114" t="s">
        <v>4598</v>
      </c>
      <c r="B1814" s="115" t="s">
        <v>3547</v>
      </c>
      <c r="C1814" s="116" t="s">
        <v>69</v>
      </c>
      <c r="D1814" s="116">
        <v>0</v>
      </c>
      <c r="E1814" s="136">
        <f ca="1">OFFSET(INDEX(Composições!A:J,MATCH(Orçamentária!A1814,Composições!A:A,0),8),2,0)</f>
        <v>0</v>
      </c>
      <c r="F1814" s="137">
        <f t="shared" ca="1" si="153"/>
        <v>0</v>
      </c>
      <c r="G1814" s="138" t="e">
        <f>IF(A1814&lt;&gt;"",IF(AND(#REF!="Padrão",$H$4=#REF!),BDI!$B$17,IF(AND(#REF!="Padrão",$H$4=#REF!),BDI!#REF!,IF(AND(#REF!="Diferenciado",$H$4=#REF!),BDI!$E$17,IF(AND(#REF!="Diferenciado",$H$4=#REF!),BDI!#REF!,IF(#REF!="ZERO",0))))),"")</f>
        <v>#REF!</v>
      </c>
      <c r="H1814" s="139" t="e">
        <f t="shared" ca="1" si="154"/>
        <v>#REF!</v>
      </c>
      <c r="I1814" s="137" t="e">
        <f t="shared" ca="1" si="155"/>
        <v>#REF!</v>
      </c>
      <c r="J1814" s="117"/>
      <c r="K1814" s="116">
        <v>0</v>
      </c>
      <c r="M1814" s="136" t="e">
        <f ca="1">OFFSET(INDEX([1]Composições!I:R,MATCH([1]Orçamentária!I1814,[1]Composições!I:I,0),8),2,0)</f>
        <v>#REF!</v>
      </c>
      <c r="N1814" t="e">
        <v>#REF!</v>
      </c>
      <c r="Q1814" t="e">
        <v>#REF!</v>
      </c>
    </row>
    <row r="1815" spans="1:17" hidden="1" x14ac:dyDescent="0.25">
      <c r="A1815" s="114" t="s">
        <v>4599</v>
      </c>
      <c r="B1815" s="115" t="s">
        <v>3548</v>
      </c>
      <c r="C1815" s="116" t="s">
        <v>69</v>
      </c>
      <c r="D1815" s="116">
        <v>0</v>
      </c>
      <c r="E1815" s="136">
        <f ca="1">OFFSET(INDEX(Composições!A:J,MATCH(Orçamentária!A1815,Composições!A:A,0),8),2,0)</f>
        <v>0</v>
      </c>
      <c r="F1815" s="137">
        <f t="shared" ca="1" si="153"/>
        <v>0</v>
      </c>
      <c r="G1815" s="138" t="e">
        <f>IF(A1815&lt;&gt;"",IF(AND(#REF!="Padrão",$H$4=#REF!),BDI!$B$17,IF(AND(#REF!="Padrão",$H$4=#REF!),BDI!#REF!,IF(AND(#REF!="Diferenciado",$H$4=#REF!),BDI!$E$17,IF(AND(#REF!="Diferenciado",$H$4=#REF!),BDI!#REF!,IF(#REF!="ZERO",0))))),"")</f>
        <v>#REF!</v>
      </c>
      <c r="H1815" s="139" t="e">
        <f t="shared" ca="1" si="154"/>
        <v>#REF!</v>
      </c>
      <c r="I1815" s="137" t="e">
        <f t="shared" ca="1" si="155"/>
        <v>#REF!</v>
      </c>
      <c r="J1815" s="117"/>
      <c r="K1815" s="116">
        <v>0</v>
      </c>
      <c r="M1815" s="136" t="e">
        <f ca="1">OFFSET(INDEX([1]Composições!I:R,MATCH([1]Orçamentária!I1815,[1]Composições!I:I,0),8),2,0)</f>
        <v>#REF!</v>
      </c>
      <c r="N1815" t="e">
        <v>#REF!</v>
      </c>
      <c r="Q1815" t="e">
        <v>#REF!</v>
      </c>
    </row>
    <row r="1816" spans="1:17" hidden="1" x14ac:dyDescent="0.25">
      <c r="A1816" s="114" t="s">
        <v>4600</v>
      </c>
      <c r="B1816" s="115" t="s">
        <v>3549</v>
      </c>
      <c r="C1816" s="116" t="s">
        <v>69</v>
      </c>
      <c r="D1816" s="116">
        <v>0</v>
      </c>
      <c r="E1816" s="136">
        <f ca="1">OFFSET(INDEX(Composições!A:J,MATCH(Orçamentária!A1816,Composições!A:A,0),8),2,0)</f>
        <v>0</v>
      </c>
      <c r="F1816" s="137">
        <f t="shared" ca="1" si="153"/>
        <v>0</v>
      </c>
      <c r="G1816" s="138" t="e">
        <f>IF(A1816&lt;&gt;"",IF(AND(#REF!="Padrão",$H$4=#REF!),BDI!$B$17,IF(AND(#REF!="Padrão",$H$4=#REF!),BDI!#REF!,IF(AND(#REF!="Diferenciado",$H$4=#REF!),BDI!$E$17,IF(AND(#REF!="Diferenciado",$H$4=#REF!),BDI!#REF!,IF(#REF!="ZERO",0))))),"")</f>
        <v>#REF!</v>
      </c>
      <c r="H1816" s="139" t="e">
        <f t="shared" ca="1" si="154"/>
        <v>#REF!</v>
      </c>
      <c r="I1816" s="137" t="e">
        <f t="shared" ca="1" si="155"/>
        <v>#REF!</v>
      </c>
      <c r="J1816" s="117"/>
      <c r="K1816" s="116">
        <v>0</v>
      </c>
      <c r="M1816" s="136" t="e">
        <f ca="1">OFFSET(INDEX([1]Composições!I:R,MATCH([1]Orçamentária!I1816,[1]Composições!I:I,0),8),2,0)</f>
        <v>#REF!</v>
      </c>
      <c r="N1816" t="e">
        <v>#REF!</v>
      </c>
      <c r="Q1816" t="e">
        <v>#REF!</v>
      </c>
    </row>
    <row r="1817" spans="1:17" hidden="1" x14ac:dyDescent="0.25">
      <c r="A1817" s="114" t="s">
        <v>4601</v>
      </c>
      <c r="B1817" s="115" t="s">
        <v>3550</v>
      </c>
      <c r="C1817" s="116" t="s">
        <v>69</v>
      </c>
      <c r="D1817" s="116">
        <v>0</v>
      </c>
      <c r="E1817" s="136">
        <f ca="1">OFFSET(INDEX(Composições!A:J,MATCH(Orçamentária!A1817,Composições!A:A,0),8),2,0)</f>
        <v>0</v>
      </c>
      <c r="F1817" s="137">
        <f t="shared" ca="1" si="153"/>
        <v>0</v>
      </c>
      <c r="G1817" s="138" t="e">
        <f>IF(A1817&lt;&gt;"",IF(AND(#REF!="Padrão",$H$4=#REF!),BDI!$B$17,IF(AND(#REF!="Padrão",$H$4=#REF!),BDI!#REF!,IF(AND(#REF!="Diferenciado",$H$4=#REF!),BDI!$E$17,IF(AND(#REF!="Diferenciado",$H$4=#REF!),BDI!#REF!,IF(#REF!="ZERO",0))))),"")</f>
        <v>#REF!</v>
      </c>
      <c r="H1817" s="139" t="e">
        <f t="shared" ca="1" si="154"/>
        <v>#REF!</v>
      </c>
      <c r="I1817" s="137" t="e">
        <f t="shared" ca="1" si="155"/>
        <v>#REF!</v>
      </c>
      <c r="J1817" s="117"/>
      <c r="K1817" s="116">
        <v>0</v>
      </c>
      <c r="M1817" s="136" t="e">
        <f ca="1">OFFSET(INDEX([1]Composições!I:R,MATCH([1]Orçamentária!I1817,[1]Composições!I:I,0),8),2,0)</f>
        <v>#REF!</v>
      </c>
      <c r="N1817" t="e">
        <v>#REF!</v>
      </c>
      <c r="Q1817" t="e">
        <v>#REF!</v>
      </c>
    </row>
    <row r="1818" spans="1:17" hidden="1" x14ac:dyDescent="0.25">
      <c r="A1818" s="114" t="s">
        <v>4602</v>
      </c>
      <c r="B1818" s="115" t="s">
        <v>5605</v>
      </c>
      <c r="C1818" s="116" t="s">
        <v>69</v>
      </c>
      <c r="D1818" s="116">
        <v>0</v>
      </c>
      <c r="E1818" s="136">
        <f ca="1">OFFSET(INDEX(Composições!A:J,MATCH(Orçamentária!A1818,Composições!A:A,0),8),2,0)</f>
        <v>0</v>
      </c>
      <c r="F1818" s="137">
        <f t="shared" ca="1" si="153"/>
        <v>0</v>
      </c>
      <c r="G1818" s="138" t="e">
        <f>IF(A1818&lt;&gt;"",IF(AND(#REF!="Padrão",$H$4=#REF!),BDI!$B$17,IF(AND(#REF!="Padrão",$H$4=#REF!),BDI!#REF!,IF(AND(#REF!="Diferenciado",$H$4=#REF!),BDI!$E$17,IF(AND(#REF!="Diferenciado",$H$4=#REF!),BDI!#REF!,IF(#REF!="ZERO",0))))),"")</f>
        <v>#REF!</v>
      </c>
      <c r="H1818" s="139" t="e">
        <f t="shared" ca="1" si="154"/>
        <v>#REF!</v>
      </c>
      <c r="I1818" s="137" t="e">
        <f t="shared" ca="1" si="155"/>
        <v>#REF!</v>
      </c>
      <c r="J1818" s="117"/>
      <c r="K1818" s="116">
        <v>0</v>
      </c>
      <c r="M1818" s="136" t="e">
        <f ca="1">OFFSET(INDEX([1]Composições!I:R,MATCH([1]Orçamentária!I1818,[1]Composições!I:I,0),8),2,0)</f>
        <v>#REF!</v>
      </c>
      <c r="N1818" t="e">
        <v>#REF!</v>
      </c>
      <c r="Q1818" t="e">
        <v>#REF!</v>
      </c>
    </row>
    <row r="1819" spans="1:17" hidden="1" x14ac:dyDescent="0.25">
      <c r="A1819" s="114" t="s">
        <v>4603</v>
      </c>
      <c r="B1819" s="115" t="s">
        <v>3551</v>
      </c>
      <c r="C1819" s="116" t="s">
        <v>69</v>
      </c>
      <c r="D1819" s="116">
        <v>0</v>
      </c>
      <c r="E1819" s="136">
        <f ca="1">OFFSET(INDEX(Composições!A:J,MATCH(Orçamentária!A1819,Composições!A:A,0),8),2,0)</f>
        <v>0</v>
      </c>
      <c r="F1819" s="137">
        <f t="shared" ca="1" si="153"/>
        <v>0</v>
      </c>
      <c r="G1819" s="138" t="e">
        <f>IF(A1819&lt;&gt;"",IF(AND(#REF!="Padrão",$H$4=#REF!),BDI!$B$17,IF(AND(#REF!="Padrão",$H$4=#REF!),BDI!#REF!,IF(AND(#REF!="Diferenciado",$H$4=#REF!),BDI!$E$17,IF(AND(#REF!="Diferenciado",$H$4=#REF!),BDI!#REF!,IF(#REF!="ZERO",0))))),"")</f>
        <v>#REF!</v>
      </c>
      <c r="H1819" s="139" t="e">
        <f t="shared" ca="1" si="154"/>
        <v>#REF!</v>
      </c>
      <c r="I1819" s="137" t="e">
        <f t="shared" ca="1" si="155"/>
        <v>#REF!</v>
      </c>
      <c r="J1819" s="117"/>
      <c r="K1819" s="116">
        <v>0</v>
      </c>
      <c r="M1819" s="136" t="e">
        <f ca="1">OFFSET(INDEX([1]Composições!I:R,MATCH([1]Orçamentária!I1819,[1]Composições!I:I,0),8),2,0)</f>
        <v>#REF!</v>
      </c>
      <c r="N1819" t="e">
        <v>#REF!</v>
      </c>
      <c r="Q1819" t="e">
        <v>#REF!</v>
      </c>
    </row>
    <row r="1820" spans="1:17" hidden="1" x14ac:dyDescent="0.25">
      <c r="A1820" s="114" t="s">
        <v>4604</v>
      </c>
      <c r="B1820" s="115" t="s">
        <v>3552</v>
      </c>
      <c r="C1820" s="116" t="s">
        <v>69</v>
      </c>
      <c r="D1820" s="116">
        <v>0</v>
      </c>
      <c r="E1820" s="136" t="s">
        <v>416</v>
      </c>
      <c r="F1820" s="137" t="str">
        <f t="shared" si="153"/>
        <v/>
      </c>
      <c r="G1820" s="138" t="e">
        <f>IF(A1820&lt;&gt;"",IF(AND(#REF!="Padrão",$H$4=#REF!),BDI!$B$17,IF(AND(#REF!="Padrão",$H$4=#REF!),BDI!#REF!,IF(AND(#REF!="Diferenciado",$H$4=#REF!),BDI!$E$17,IF(AND(#REF!="Diferenciado",$H$4=#REF!),BDI!#REF!,IF(#REF!="ZERO",0))))),"")</f>
        <v>#REF!</v>
      </c>
      <c r="H1820" s="139" t="str">
        <f t="shared" si="154"/>
        <v/>
      </c>
      <c r="I1820" s="137" t="str">
        <f t="shared" si="155"/>
        <v/>
      </c>
      <c r="J1820" s="117"/>
      <c r="K1820" s="116">
        <v>0</v>
      </c>
      <c r="M1820" s="136" t="s">
        <v>416</v>
      </c>
      <c r="N1820" t="e">
        <v>#REF!</v>
      </c>
      <c r="Q1820" t="s">
        <v>416</v>
      </c>
    </row>
    <row r="1821" spans="1:17" hidden="1" x14ac:dyDescent="0.25">
      <c r="A1821" s="114" t="s">
        <v>4605</v>
      </c>
      <c r="B1821" s="115" t="s">
        <v>3553</v>
      </c>
      <c r="C1821" s="116" t="s">
        <v>69</v>
      </c>
      <c r="D1821" s="116">
        <v>0</v>
      </c>
      <c r="E1821" s="136" t="s">
        <v>416</v>
      </c>
      <c r="F1821" s="137" t="str">
        <f t="shared" si="153"/>
        <v/>
      </c>
      <c r="G1821" s="138" t="e">
        <f>IF(A1821&lt;&gt;"",IF(AND(#REF!="Padrão",$H$4=#REF!),BDI!$B$17,IF(AND(#REF!="Padrão",$H$4=#REF!),BDI!#REF!,IF(AND(#REF!="Diferenciado",$H$4=#REF!),BDI!$E$17,IF(AND(#REF!="Diferenciado",$H$4=#REF!),BDI!#REF!,IF(#REF!="ZERO",0))))),"")</f>
        <v>#REF!</v>
      </c>
      <c r="H1821" s="139" t="str">
        <f t="shared" si="154"/>
        <v/>
      </c>
      <c r="I1821" s="137" t="str">
        <f t="shared" si="155"/>
        <v/>
      </c>
      <c r="J1821" s="117"/>
      <c r="K1821" s="116">
        <v>0</v>
      </c>
      <c r="M1821" s="136" t="s">
        <v>416</v>
      </c>
      <c r="N1821" t="e">
        <v>#REF!</v>
      </c>
      <c r="Q1821" t="s">
        <v>416</v>
      </c>
    </row>
    <row r="1822" spans="1:17" hidden="1" x14ac:dyDescent="0.25">
      <c r="A1822" s="114" t="s">
        <v>4606</v>
      </c>
      <c r="B1822" s="115" t="s">
        <v>3554</v>
      </c>
      <c r="C1822" s="116" t="s">
        <v>69</v>
      </c>
      <c r="D1822" s="116">
        <v>0</v>
      </c>
      <c r="E1822" s="136" t="s">
        <v>416</v>
      </c>
      <c r="F1822" s="137" t="str">
        <f t="shared" si="153"/>
        <v/>
      </c>
      <c r="G1822" s="138" t="e">
        <f>IF(A1822&lt;&gt;"",IF(AND(#REF!="Padrão",$H$4=#REF!),BDI!$B$17,IF(AND(#REF!="Padrão",$H$4=#REF!),BDI!#REF!,IF(AND(#REF!="Diferenciado",$H$4=#REF!),BDI!$E$17,IF(AND(#REF!="Diferenciado",$H$4=#REF!),BDI!#REF!,IF(#REF!="ZERO",0))))),"")</f>
        <v>#REF!</v>
      </c>
      <c r="H1822" s="139" t="str">
        <f t="shared" si="154"/>
        <v/>
      </c>
      <c r="I1822" s="137" t="str">
        <f t="shared" si="155"/>
        <v/>
      </c>
      <c r="J1822" s="117"/>
      <c r="K1822" s="116">
        <v>0</v>
      </c>
      <c r="M1822" s="136" t="s">
        <v>416</v>
      </c>
      <c r="N1822" t="e">
        <v>#REF!</v>
      </c>
      <c r="Q1822" t="s">
        <v>416</v>
      </c>
    </row>
    <row r="1823" spans="1:17" hidden="1" x14ac:dyDescent="0.25">
      <c r="A1823" s="114" t="s">
        <v>4607</v>
      </c>
      <c r="B1823" s="115" t="s">
        <v>3555</v>
      </c>
      <c r="C1823" s="116" t="s">
        <v>69</v>
      </c>
      <c r="D1823" s="116">
        <v>0</v>
      </c>
      <c r="E1823" s="136" t="s">
        <v>416</v>
      </c>
      <c r="F1823" s="137" t="str">
        <f t="shared" si="153"/>
        <v/>
      </c>
      <c r="G1823" s="138" t="e">
        <f>IF(A1823&lt;&gt;"",IF(AND(#REF!="Padrão",$H$4=#REF!),BDI!$B$17,IF(AND(#REF!="Padrão",$H$4=#REF!),BDI!#REF!,IF(AND(#REF!="Diferenciado",$H$4=#REF!),BDI!$E$17,IF(AND(#REF!="Diferenciado",$H$4=#REF!),BDI!#REF!,IF(#REF!="ZERO",0))))),"")</f>
        <v>#REF!</v>
      </c>
      <c r="H1823" s="139" t="str">
        <f t="shared" si="154"/>
        <v/>
      </c>
      <c r="I1823" s="137" t="str">
        <f t="shared" si="155"/>
        <v/>
      </c>
      <c r="J1823" s="117"/>
      <c r="K1823" s="116">
        <v>0</v>
      </c>
      <c r="M1823" s="136" t="s">
        <v>416</v>
      </c>
      <c r="N1823" t="e">
        <v>#REF!</v>
      </c>
      <c r="Q1823" t="s">
        <v>416</v>
      </c>
    </row>
    <row r="1824" spans="1:17" hidden="1" x14ac:dyDescent="0.25">
      <c r="A1824" s="114" t="s">
        <v>4608</v>
      </c>
      <c r="B1824" s="115" t="s">
        <v>3556</v>
      </c>
      <c r="C1824" s="116" t="s">
        <v>69</v>
      </c>
      <c r="D1824" s="116">
        <v>0</v>
      </c>
      <c r="E1824" s="136" t="s">
        <v>416</v>
      </c>
      <c r="F1824" s="137" t="str">
        <f t="shared" si="153"/>
        <v/>
      </c>
      <c r="G1824" s="138" t="e">
        <f>IF(A1824&lt;&gt;"",IF(AND(#REF!="Padrão",$H$4=#REF!),BDI!$B$17,IF(AND(#REF!="Padrão",$H$4=#REF!),BDI!#REF!,IF(AND(#REF!="Diferenciado",$H$4=#REF!),BDI!$E$17,IF(AND(#REF!="Diferenciado",$H$4=#REF!),BDI!#REF!,IF(#REF!="ZERO",0))))),"")</f>
        <v>#REF!</v>
      </c>
      <c r="H1824" s="139" t="str">
        <f t="shared" si="154"/>
        <v/>
      </c>
      <c r="I1824" s="137" t="str">
        <f t="shared" si="155"/>
        <v/>
      </c>
      <c r="J1824" s="117"/>
      <c r="K1824" s="116">
        <v>0</v>
      </c>
      <c r="M1824" s="136" t="s">
        <v>416</v>
      </c>
      <c r="N1824" t="e">
        <v>#REF!</v>
      </c>
      <c r="Q1824" t="s">
        <v>416</v>
      </c>
    </row>
    <row r="1825" spans="1:17" hidden="1" x14ac:dyDescent="0.25">
      <c r="A1825" s="114" t="s">
        <v>4609</v>
      </c>
      <c r="B1825" s="115" t="s">
        <v>3557</v>
      </c>
      <c r="C1825" s="116" t="s">
        <v>69</v>
      </c>
      <c r="D1825" s="116">
        <v>0</v>
      </c>
      <c r="E1825" s="136" t="s">
        <v>416</v>
      </c>
      <c r="F1825" s="137" t="str">
        <f t="shared" si="153"/>
        <v/>
      </c>
      <c r="G1825" s="138" t="e">
        <f>IF(A1825&lt;&gt;"",IF(AND(#REF!="Padrão",$H$4=#REF!),BDI!$B$17,IF(AND(#REF!="Padrão",$H$4=#REF!),BDI!#REF!,IF(AND(#REF!="Diferenciado",$H$4=#REF!),BDI!$E$17,IF(AND(#REF!="Diferenciado",$H$4=#REF!),BDI!#REF!,IF(#REF!="ZERO",0))))),"")</f>
        <v>#REF!</v>
      </c>
      <c r="H1825" s="139" t="str">
        <f t="shared" si="154"/>
        <v/>
      </c>
      <c r="I1825" s="137" t="str">
        <f t="shared" si="155"/>
        <v/>
      </c>
      <c r="J1825" s="117"/>
      <c r="K1825" s="116">
        <v>0</v>
      </c>
      <c r="M1825" s="136" t="s">
        <v>416</v>
      </c>
      <c r="N1825" t="e">
        <v>#REF!</v>
      </c>
      <c r="Q1825" t="s">
        <v>416</v>
      </c>
    </row>
    <row r="1826" spans="1:17" hidden="1" x14ac:dyDescent="0.25">
      <c r="A1826" s="114" t="s">
        <v>4610</v>
      </c>
      <c r="B1826" s="115" t="s">
        <v>3558</v>
      </c>
      <c r="C1826" s="116" t="s">
        <v>69</v>
      </c>
      <c r="D1826" s="116">
        <v>0</v>
      </c>
      <c r="E1826" s="136" t="s">
        <v>416</v>
      </c>
      <c r="F1826" s="137" t="str">
        <f t="shared" si="153"/>
        <v/>
      </c>
      <c r="G1826" s="138" t="e">
        <f>IF(A1826&lt;&gt;"",IF(AND(#REF!="Padrão",$H$4=#REF!),BDI!$B$17,IF(AND(#REF!="Padrão",$H$4=#REF!),BDI!#REF!,IF(AND(#REF!="Diferenciado",$H$4=#REF!),BDI!$E$17,IF(AND(#REF!="Diferenciado",$H$4=#REF!),BDI!#REF!,IF(#REF!="ZERO",0))))),"")</f>
        <v>#REF!</v>
      </c>
      <c r="H1826" s="139" t="str">
        <f t="shared" si="154"/>
        <v/>
      </c>
      <c r="I1826" s="137" t="str">
        <f t="shared" si="155"/>
        <v/>
      </c>
      <c r="J1826" s="117"/>
      <c r="K1826" s="116">
        <v>0</v>
      </c>
      <c r="M1826" s="136" t="s">
        <v>416</v>
      </c>
      <c r="N1826" t="e">
        <v>#REF!</v>
      </c>
      <c r="Q1826" t="s">
        <v>416</v>
      </c>
    </row>
    <row r="1827" spans="1:17" hidden="1" x14ac:dyDescent="0.25">
      <c r="A1827" s="114" t="s">
        <v>4611</v>
      </c>
      <c r="B1827" s="115" t="s">
        <v>3559</v>
      </c>
      <c r="C1827" s="116" t="s">
        <v>69</v>
      </c>
      <c r="D1827" s="116">
        <v>0</v>
      </c>
      <c r="E1827" s="136" t="s">
        <v>416</v>
      </c>
      <c r="F1827" s="137" t="str">
        <f t="shared" si="153"/>
        <v/>
      </c>
      <c r="G1827" s="138" t="e">
        <f>IF(A1827&lt;&gt;"",IF(AND(#REF!="Padrão",$H$4=#REF!),BDI!$B$17,IF(AND(#REF!="Padrão",$H$4=#REF!),BDI!#REF!,IF(AND(#REF!="Diferenciado",$H$4=#REF!),BDI!$E$17,IF(AND(#REF!="Diferenciado",$H$4=#REF!),BDI!#REF!,IF(#REF!="ZERO",0))))),"")</f>
        <v>#REF!</v>
      </c>
      <c r="H1827" s="139" t="str">
        <f t="shared" si="154"/>
        <v/>
      </c>
      <c r="I1827" s="137" t="str">
        <f t="shared" si="155"/>
        <v/>
      </c>
      <c r="J1827" s="117"/>
      <c r="K1827" s="116">
        <v>0</v>
      </c>
      <c r="M1827" s="136" t="s">
        <v>416</v>
      </c>
      <c r="N1827" t="e">
        <v>#REF!</v>
      </c>
      <c r="Q1827" t="s">
        <v>416</v>
      </c>
    </row>
    <row r="1828" spans="1:17" hidden="1" x14ac:dyDescent="0.25">
      <c r="A1828" s="114" t="s">
        <v>4612</v>
      </c>
      <c r="B1828" s="115" t="s">
        <v>3560</v>
      </c>
      <c r="C1828" s="116" t="s">
        <v>16</v>
      </c>
      <c r="D1828" s="116">
        <v>0</v>
      </c>
      <c r="E1828" s="136" t="s">
        <v>416</v>
      </c>
      <c r="F1828" s="137" t="str">
        <f t="shared" si="153"/>
        <v/>
      </c>
      <c r="G1828" s="138" t="e">
        <f>IF(A1828&lt;&gt;"",IF(AND(#REF!="Padrão",$H$4=#REF!),BDI!$B$17,IF(AND(#REF!="Padrão",$H$4=#REF!),BDI!#REF!,IF(AND(#REF!="Diferenciado",$H$4=#REF!),BDI!$E$17,IF(AND(#REF!="Diferenciado",$H$4=#REF!),BDI!#REF!,IF(#REF!="ZERO",0))))),"")</f>
        <v>#REF!</v>
      </c>
      <c r="H1828" s="139" t="str">
        <f t="shared" si="154"/>
        <v/>
      </c>
      <c r="I1828" s="137" t="str">
        <f t="shared" si="155"/>
        <v/>
      </c>
      <c r="J1828" s="117"/>
      <c r="K1828" s="116">
        <v>0</v>
      </c>
      <c r="M1828" s="136" t="s">
        <v>416</v>
      </c>
      <c r="N1828" t="e">
        <v>#REF!</v>
      </c>
      <c r="Q1828" t="s">
        <v>416</v>
      </c>
    </row>
    <row r="1829" spans="1:17" hidden="1" x14ac:dyDescent="0.25">
      <c r="A1829" s="114" t="s">
        <v>4613</v>
      </c>
      <c r="B1829" s="115" t="s">
        <v>3561</v>
      </c>
      <c r="C1829" s="116" t="s">
        <v>16</v>
      </c>
      <c r="D1829" s="116">
        <v>0</v>
      </c>
      <c r="E1829" s="136">
        <f ca="1">OFFSET(INDEX(Composições!A:J,MATCH(Orçamentária!A1829,Composições!A:A,0),8),2,0)</f>
        <v>1.6435</v>
      </c>
      <c r="F1829" s="137">
        <f t="shared" ca="1" si="153"/>
        <v>0</v>
      </c>
      <c r="G1829" s="138" t="e">
        <f>IF(A1829&lt;&gt;"",IF(AND(#REF!="Padrão",$H$4=#REF!),BDI!$B$17,IF(AND(#REF!="Padrão",$H$4=#REF!),BDI!#REF!,IF(AND(#REF!="Diferenciado",$H$4=#REF!),BDI!$E$17,IF(AND(#REF!="Diferenciado",$H$4=#REF!),BDI!#REF!,IF(#REF!="ZERO",0))))),"")</f>
        <v>#REF!</v>
      </c>
      <c r="H1829" s="139" t="e">
        <f t="shared" ca="1" si="154"/>
        <v>#REF!</v>
      </c>
      <c r="I1829" s="137" t="e">
        <f t="shared" ca="1" si="155"/>
        <v>#REF!</v>
      </c>
      <c r="J1829" s="117"/>
      <c r="K1829" s="116">
        <v>0</v>
      </c>
      <c r="M1829" s="136" t="e">
        <f ca="1">OFFSET(INDEX([1]Composições!I:R,MATCH([1]Orçamentária!I1829,[1]Composições!I:I,0),8),2,0)</f>
        <v>#REF!</v>
      </c>
      <c r="N1829" t="e">
        <v>#REF!</v>
      </c>
      <c r="Q1829" t="e">
        <v>#REF!</v>
      </c>
    </row>
    <row r="1830" spans="1:17" hidden="1" x14ac:dyDescent="0.25">
      <c r="A1830" s="114" t="s">
        <v>4614</v>
      </c>
      <c r="B1830" s="115" t="s">
        <v>3562</v>
      </c>
      <c r="C1830" s="116" t="s">
        <v>16</v>
      </c>
      <c r="D1830" s="116">
        <v>0</v>
      </c>
      <c r="E1830" s="136" t="s">
        <v>416</v>
      </c>
      <c r="F1830" s="137" t="str">
        <f t="shared" si="153"/>
        <v/>
      </c>
      <c r="G1830" s="138" t="e">
        <f>IF(A1830&lt;&gt;"",IF(AND(#REF!="Padrão",$H$4=#REF!),BDI!$B$17,IF(AND(#REF!="Padrão",$H$4=#REF!),BDI!#REF!,IF(AND(#REF!="Diferenciado",$H$4=#REF!),BDI!$E$17,IF(AND(#REF!="Diferenciado",$H$4=#REF!),BDI!#REF!,IF(#REF!="ZERO",0))))),"")</f>
        <v>#REF!</v>
      </c>
      <c r="H1830" s="139" t="str">
        <f t="shared" si="154"/>
        <v/>
      </c>
      <c r="I1830" s="137" t="str">
        <f t="shared" si="155"/>
        <v/>
      </c>
      <c r="J1830" s="117"/>
      <c r="K1830" s="116">
        <v>0</v>
      </c>
      <c r="M1830" s="136" t="s">
        <v>416</v>
      </c>
      <c r="N1830" t="e">
        <v>#REF!</v>
      </c>
      <c r="Q1830" t="s">
        <v>416</v>
      </c>
    </row>
    <row r="1831" spans="1:17" hidden="1" x14ac:dyDescent="0.25">
      <c r="A1831" s="114" t="s">
        <v>4615</v>
      </c>
      <c r="B1831" s="115" t="s">
        <v>3563</v>
      </c>
      <c r="C1831" s="116" t="s">
        <v>16</v>
      </c>
      <c r="D1831" s="116">
        <v>0</v>
      </c>
      <c r="E1831" s="136">
        <f ca="1">OFFSET(INDEX(Composições!A:J,MATCH(Orçamentária!A1831,Composições!A:A,0),8),2,0)</f>
        <v>4.1040000000000001</v>
      </c>
      <c r="F1831" s="137">
        <f t="shared" ca="1" si="153"/>
        <v>0</v>
      </c>
      <c r="G1831" s="138" t="e">
        <f>IF(A1831&lt;&gt;"",IF(AND(#REF!="Padrão",$H$4=#REF!),BDI!$B$17,IF(AND(#REF!="Padrão",$H$4=#REF!),BDI!#REF!,IF(AND(#REF!="Diferenciado",$H$4=#REF!),BDI!$E$17,IF(AND(#REF!="Diferenciado",$H$4=#REF!),BDI!#REF!,IF(#REF!="ZERO",0))))),"")</f>
        <v>#REF!</v>
      </c>
      <c r="H1831" s="139" t="e">
        <f t="shared" ca="1" si="154"/>
        <v>#REF!</v>
      </c>
      <c r="I1831" s="137" t="e">
        <f t="shared" ca="1" si="155"/>
        <v>#REF!</v>
      </c>
      <c r="J1831" s="117"/>
      <c r="K1831" s="116">
        <v>0</v>
      </c>
      <c r="M1831" s="136" t="e">
        <f ca="1">OFFSET(INDEX([1]Composições!I:R,MATCH([1]Orçamentária!I1831,[1]Composições!I:I,0),8),2,0)</f>
        <v>#REF!</v>
      </c>
      <c r="N1831" t="e">
        <v>#REF!</v>
      </c>
      <c r="Q1831" t="e">
        <v>#REF!</v>
      </c>
    </row>
    <row r="1832" spans="1:17" hidden="1" x14ac:dyDescent="0.25">
      <c r="A1832" s="114" t="s">
        <v>4616</v>
      </c>
      <c r="B1832" s="115" t="s">
        <v>3564</v>
      </c>
      <c r="C1832" s="116" t="s">
        <v>16</v>
      </c>
      <c r="D1832" s="116">
        <v>0</v>
      </c>
      <c r="E1832" s="136">
        <f ca="1">OFFSET(INDEX(Composições!A:J,MATCH(Orçamentária!A1832,Composições!A:A,0),8),2,0)</f>
        <v>1.7859999999999998</v>
      </c>
      <c r="F1832" s="137">
        <f t="shared" ca="1" si="153"/>
        <v>0</v>
      </c>
      <c r="G1832" s="138" t="e">
        <f>IF(A1832&lt;&gt;"",IF(AND(#REF!="Padrão",$H$4=#REF!),BDI!$B$17,IF(AND(#REF!="Padrão",$H$4=#REF!),BDI!#REF!,IF(AND(#REF!="Diferenciado",$H$4=#REF!),BDI!$E$17,IF(AND(#REF!="Diferenciado",$H$4=#REF!),BDI!#REF!,IF(#REF!="ZERO",0))))),"")</f>
        <v>#REF!</v>
      </c>
      <c r="H1832" s="139" t="e">
        <f t="shared" ca="1" si="154"/>
        <v>#REF!</v>
      </c>
      <c r="I1832" s="137" t="e">
        <f t="shared" ca="1" si="155"/>
        <v>#REF!</v>
      </c>
      <c r="J1832" s="117"/>
      <c r="K1832" s="116">
        <v>0</v>
      </c>
      <c r="M1832" s="136" t="e">
        <f ca="1">OFFSET(INDEX([1]Composições!I:R,MATCH([1]Orçamentária!I1832,[1]Composições!I:I,0),8),2,0)</f>
        <v>#REF!</v>
      </c>
      <c r="N1832" t="e">
        <v>#REF!</v>
      </c>
      <c r="Q1832" t="e">
        <v>#REF!</v>
      </c>
    </row>
    <row r="1833" spans="1:17" hidden="1" x14ac:dyDescent="0.25">
      <c r="A1833" s="114" t="s">
        <v>4617</v>
      </c>
      <c r="B1833" s="115" t="s">
        <v>3565</v>
      </c>
      <c r="C1833" s="116" t="s">
        <v>16</v>
      </c>
      <c r="D1833" s="116">
        <v>0</v>
      </c>
      <c r="E1833" s="136">
        <f ca="1">OFFSET(INDEX(Composições!A:J,MATCH(Orçamentária!A1833,Composições!A:A,0),8),2,0)</f>
        <v>8.4169999999999998</v>
      </c>
      <c r="F1833" s="137">
        <f t="shared" ca="1" si="153"/>
        <v>0</v>
      </c>
      <c r="G1833" s="138" t="e">
        <f>IF(A1833&lt;&gt;"",IF(AND(#REF!="Padrão",$H$4=#REF!),BDI!$B$17,IF(AND(#REF!="Padrão",$H$4=#REF!),BDI!#REF!,IF(AND(#REF!="Diferenciado",$H$4=#REF!),BDI!$E$17,IF(AND(#REF!="Diferenciado",$H$4=#REF!),BDI!#REF!,IF(#REF!="ZERO",0))))),"")</f>
        <v>#REF!</v>
      </c>
      <c r="H1833" s="139" t="e">
        <f t="shared" ca="1" si="154"/>
        <v>#REF!</v>
      </c>
      <c r="I1833" s="137" t="e">
        <f t="shared" ca="1" si="155"/>
        <v>#REF!</v>
      </c>
      <c r="J1833" s="117"/>
      <c r="K1833" s="116">
        <v>0</v>
      </c>
      <c r="M1833" s="136" t="e">
        <f ca="1">OFFSET(INDEX([1]Composições!I:R,MATCH([1]Orçamentária!I1833,[1]Composições!I:I,0),8),2,0)</f>
        <v>#REF!</v>
      </c>
      <c r="N1833" t="e">
        <v>#REF!</v>
      </c>
      <c r="Q1833" t="e">
        <v>#REF!</v>
      </c>
    </row>
    <row r="1834" spans="1:17" hidden="1" x14ac:dyDescent="0.25">
      <c r="A1834" s="114" t="s">
        <v>4618</v>
      </c>
      <c r="B1834" s="115" t="s">
        <v>3566</v>
      </c>
      <c r="C1834" s="116" t="s">
        <v>16</v>
      </c>
      <c r="D1834" s="116">
        <v>0</v>
      </c>
      <c r="E1834" s="136">
        <f ca="1">OFFSET(INDEX(Composições!A:J,MATCH(Orçamentária!A1834,Composições!A:A,0),8),2,0)</f>
        <v>1.748</v>
      </c>
      <c r="F1834" s="137">
        <f t="shared" ca="1" si="153"/>
        <v>0</v>
      </c>
      <c r="G1834" s="138" t="e">
        <f>IF(A1834&lt;&gt;"",IF(AND(#REF!="Padrão",$H$4=#REF!),BDI!$B$17,IF(AND(#REF!="Padrão",$H$4=#REF!),BDI!#REF!,IF(AND(#REF!="Diferenciado",$H$4=#REF!),BDI!$E$17,IF(AND(#REF!="Diferenciado",$H$4=#REF!),BDI!#REF!,IF(#REF!="ZERO",0))))),"")</f>
        <v>#REF!</v>
      </c>
      <c r="H1834" s="139" t="e">
        <f t="shared" ca="1" si="154"/>
        <v>#REF!</v>
      </c>
      <c r="I1834" s="137" t="e">
        <f t="shared" ca="1" si="155"/>
        <v>#REF!</v>
      </c>
      <c r="J1834" s="117"/>
      <c r="K1834" s="116">
        <v>0</v>
      </c>
      <c r="M1834" s="136" t="e">
        <f ca="1">OFFSET(INDEX([1]Composições!I:R,MATCH([1]Orçamentária!I1834,[1]Composições!I:I,0),8),2,0)</f>
        <v>#REF!</v>
      </c>
      <c r="N1834" t="e">
        <v>#REF!</v>
      </c>
      <c r="Q1834" t="e">
        <v>#REF!</v>
      </c>
    </row>
    <row r="1835" spans="1:17" hidden="1" x14ac:dyDescent="0.25">
      <c r="A1835" s="114" t="s">
        <v>4619</v>
      </c>
      <c r="B1835" s="115" t="s">
        <v>3567</v>
      </c>
      <c r="C1835" s="116" t="s">
        <v>16</v>
      </c>
      <c r="D1835" s="116">
        <v>0</v>
      </c>
      <c r="E1835" s="136" t="s">
        <v>416</v>
      </c>
      <c r="F1835" s="137" t="str">
        <f t="shared" si="153"/>
        <v/>
      </c>
      <c r="G1835" s="138" t="e">
        <f>IF(A1835&lt;&gt;"",IF(AND(#REF!="Padrão",$H$4=#REF!),BDI!$B$17,IF(AND(#REF!="Padrão",$H$4=#REF!),BDI!#REF!,IF(AND(#REF!="Diferenciado",$H$4=#REF!),BDI!$E$17,IF(AND(#REF!="Diferenciado",$H$4=#REF!),BDI!#REF!,IF(#REF!="ZERO",0))))),"")</f>
        <v>#REF!</v>
      </c>
      <c r="H1835" s="139" t="str">
        <f t="shared" si="154"/>
        <v/>
      </c>
      <c r="I1835" s="137" t="str">
        <f t="shared" si="155"/>
        <v/>
      </c>
      <c r="J1835" s="117"/>
      <c r="K1835" s="116">
        <v>0</v>
      </c>
      <c r="M1835" s="136" t="s">
        <v>416</v>
      </c>
      <c r="N1835" t="e">
        <v>#REF!</v>
      </c>
      <c r="Q1835" t="s">
        <v>416</v>
      </c>
    </row>
    <row r="1836" spans="1:17" hidden="1" x14ac:dyDescent="0.25">
      <c r="A1836" s="114" t="s">
        <v>4620</v>
      </c>
      <c r="B1836" s="115" t="s">
        <v>3568</v>
      </c>
      <c r="C1836" s="116" t="s">
        <v>16</v>
      </c>
      <c r="D1836" s="116">
        <v>0</v>
      </c>
      <c r="E1836" s="136">
        <f ca="1">OFFSET(INDEX(Composições!A:J,MATCH(Orçamentária!A1836,Composições!A:A,0),8),2,0)</f>
        <v>4.6360000000000001</v>
      </c>
      <c r="F1836" s="137">
        <f t="shared" ca="1" si="153"/>
        <v>0</v>
      </c>
      <c r="G1836" s="138" t="e">
        <f>IF(A1836&lt;&gt;"",IF(AND(#REF!="Padrão",$H$4=#REF!),BDI!$B$17,IF(AND(#REF!="Padrão",$H$4=#REF!),BDI!#REF!,IF(AND(#REF!="Diferenciado",$H$4=#REF!),BDI!$E$17,IF(AND(#REF!="Diferenciado",$H$4=#REF!),BDI!#REF!,IF(#REF!="ZERO",0))))),"")</f>
        <v>#REF!</v>
      </c>
      <c r="H1836" s="139" t="e">
        <f t="shared" ca="1" si="154"/>
        <v>#REF!</v>
      </c>
      <c r="I1836" s="137" t="e">
        <f t="shared" ca="1" si="155"/>
        <v>#REF!</v>
      </c>
      <c r="J1836" s="117"/>
      <c r="K1836" s="116">
        <v>0</v>
      </c>
      <c r="M1836" s="136" t="e">
        <f ca="1">OFFSET(INDEX([1]Composições!I:R,MATCH([1]Orçamentária!I1836,[1]Composições!I:I,0),8),2,0)</f>
        <v>#REF!</v>
      </c>
      <c r="N1836" t="e">
        <v>#REF!</v>
      </c>
      <c r="Q1836" t="e">
        <v>#REF!</v>
      </c>
    </row>
    <row r="1837" spans="1:17" hidden="1" x14ac:dyDescent="0.25">
      <c r="A1837" s="114" t="s">
        <v>4621</v>
      </c>
      <c r="B1837" s="115" t="s">
        <v>3569</v>
      </c>
      <c r="C1837" s="116" t="s">
        <v>16</v>
      </c>
      <c r="D1837" s="116">
        <v>0</v>
      </c>
      <c r="E1837" s="136">
        <f ca="1">OFFSET(INDEX(Composições!A:J,MATCH(Orçamentária!A1837,Composições!A:A,0),8),2,0)</f>
        <v>3.1825000000000001</v>
      </c>
      <c r="F1837" s="137">
        <f t="shared" ref="F1837:F1900" ca="1" si="156">IF(ISNUMBER(E1837),D1837*E1837,"")</f>
        <v>0</v>
      </c>
      <c r="G1837" s="138" t="e">
        <f>IF(A1837&lt;&gt;"",IF(AND(#REF!="Padrão",$H$4=#REF!),BDI!$B$17,IF(AND(#REF!="Padrão",$H$4=#REF!),BDI!#REF!,IF(AND(#REF!="Diferenciado",$H$4=#REF!),BDI!$E$17,IF(AND(#REF!="Diferenciado",$H$4=#REF!),BDI!#REF!,IF(#REF!="ZERO",0))))),"")</f>
        <v>#REF!</v>
      </c>
      <c r="H1837" s="139" t="e">
        <f t="shared" ref="H1837:H1900" ca="1" si="157">IF(ISNUMBER(E1837),ROUND(E1837*(1+G1837),2),"")</f>
        <v>#REF!</v>
      </c>
      <c r="I1837" s="137" t="e">
        <f t="shared" ref="I1837:I1900" ca="1" si="158">IF(ISNUMBER(E1837),ROUND(H1837*D1837,2),"")</f>
        <v>#REF!</v>
      </c>
      <c r="J1837" s="117"/>
      <c r="K1837" s="116">
        <v>0</v>
      </c>
      <c r="M1837" s="136" t="e">
        <f ca="1">OFFSET(INDEX([1]Composições!I:R,MATCH([1]Orçamentária!I1837,[1]Composições!I:I,0),8),2,0)</f>
        <v>#REF!</v>
      </c>
      <c r="N1837" t="e">
        <v>#REF!</v>
      </c>
      <c r="Q1837" t="e">
        <v>#REF!</v>
      </c>
    </row>
    <row r="1838" spans="1:17" hidden="1" x14ac:dyDescent="0.25">
      <c r="A1838" s="114" t="s">
        <v>4622</v>
      </c>
      <c r="B1838" s="115" t="s">
        <v>3570</v>
      </c>
      <c r="C1838" s="116" t="s">
        <v>16</v>
      </c>
      <c r="D1838" s="116">
        <v>0</v>
      </c>
      <c r="E1838" s="136">
        <f ca="1">OFFSET(INDEX(Composições!A:J,MATCH(Orçamentária!A1838,Composições!A:A,0),8),2,0)</f>
        <v>10.1175</v>
      </c>
      <c r="F1838" s="137">
        <f t="shared" ca="1" si="156"/>
        <v>0</v>
      </c>
      <c r="G1838" s="138" t="e">
        <f>IF(A1838&lt;&gt;"",IF(AND(#REF!="Padrão",$H$4=#REF!),BDI!$B$17,IF(AND(#REF!="Padrão",$H$4=#REF!),BDI!#REF!,IF(AND(#REF!="Diferenciado",$H$4=#REF!),BDI!$E$17,IF(AND(#REF!="Diferenciado",$H$4=#REF!),BDI!#REF!,IF(#REF!="ZERO",0))))),"")</f>
        <v>#REF!</v>
      </c>
      <c r="H1838" s="139" t="e">
        <f t="shared" ca="1" si="157"/>
        <v>#REF!</v>
      </c>
      <c r="I1838" s="137" t="e">
        <f t="shared" ca="1" si="158"/>
        <v>#REF!</v>
      </c>
      <c r="J1838" s="117"/>
      <c r="K1838" s="116">
        <v>0</v>
      </c>
      <c r="M1838" s="136" t="e">
        <f ca="1">OFFSET(INDEX([1]Composições!I:R,MATCH([1]Orçamentária!I1838,[1]Composições!I:I,0),8),2,0)</f>
        <v>#REF!</v>
      </c>
      <c r="N1838" t="e">
        <v>#REF!</v>
      </c>
      <c r="Q1838" t="e">
        <v>#REF!</v>
      </c>
    </row>
    <row r="1839" spans="1:17" hidden="1" x14ac:dyDescent="0.25">
      <c r="A1839" s="114" t="s">
        <v>4623</v>
      </c>
      <c r="B1839" s="115" t="s">
        <v>3571</v>
      </c>
      <c r="C1839" s="116" t="s">
        <v>16</v>
      </c>
      <c r="D1839" s="116">
        <v>0</v>
      </c>
      <c r="E1839" s="136">
        <f ca="1">OFFSET(INDEX(Composições!A:J,MATCH(Orçamentária!A1839,Composições!A:A,0),8),2,0)</f>
        <v>2.0329999999999999</v>
      </c>
      <c r="F1839" s="137">
        <f t="shared" ca="1" si="156"/>
        <v>0</v>
      </c>
      <c r="G1839" s="138" t="e">
        <f>IF(A1839&lt;&gt;"",IF(AND(#REF!="Padrão",$H$4=#REF!),BDI!$B$17,IF(AND(#REF!="Padrão",$H$4=#REF!),BDI!#REF!,IF(AND(#REF!="Diferenciado",$H$4=#REF!),BDI!$E$17,IF(AND(#REF!="Diferenciado",$H$4=#REF!),BDI!#REF!,IF(#REF!="ZERO",0))))),"")</f>
        <v>#REF!</v>
      </c>
      <c r="H1839" s="139" t="e">
        <f t="shared" ca="1" si="157"/>
        <v>#REF!</v>
      </c>
      <c r="I1839" s="137" t="e">
        <f t="shared" ca="1" si="158"/>
        <v>#REF!</v>
      </c>
      <c r="J1839" s="117"/>
      <c r="K1839" s="116">
        <v>0</v>
      </c>
      <c r="M1839" s="136" t="e">
        <f ca="1">OFFSET(INDEX([1]Composições!I:R,MATCH([1]Orçamentária!I1839,[1]Composições!I:I,0),8),2,0)</f>
        <v>#REF!</v>
      </c>
      <c r="N1839" t="e">
        <v>#REF!</v>
      </c>
      <c r="Q1839" t="e">
        <v>#REF!</v>
      </c>
    </row>
    <row r="1840" spans="1:17" hidden="1" x14ac:dyDescent="0.25">
      <c r="A1840" s="114" t="s">
        <v>4624</v>
      </c>
      <c r="B1840" s="115" t="s">
        <v>3572</v>
      </c>
      <c r="C1840" s="116" t="s">
        <v>16</v>
      </c>
      <c r="D1840" s="116">
        <v>0</v>
      </c>
      <c r="E1840" s="136" t="s">
        <v>416</v>
      </c>
      <c r="F1840" s="137" t="str">
        <f t="shared" si="156"/>
        <v/>
      </c>
      <c r="G1840" s="138" t="e">
        <f>IF(A1840&lt;&gt;"",IF(AND(#REF!="Padrão",$H$4=#REF!),BDI!$B$17,IF(AND(#REF!="Padrão",$H$4=#REF!),BDI!#REF!,IF(AND(#REF!="Diferenciado",$H$4=#REF!),BDI!$E$17,IF(AND(#REF!="Diferenciado",$H$4=#REF!),BDI!#REF!,IF(#REF!="ZERO",0))))),"")</f>
        <v>#REF!</v>
      </c>
      <c r="H1840" s="139" t="str">
        <f t="shared" si="157"/>
        <v/>
      </c>
      <c r="I1840" s="137" t="str">
        <f t="shared" si="158"/>
        <v/>
      </c>
      <c r="J1840" s="117"/>
      <c r="K1840" s="116">
        <v>0</v>
      </c>
      <c r="M1840" s="136" t="s">
        <v>416</v>
      </c>
      <c r="N1840" t="e">
        <v>#REF!</v>
      </c>
      <c r="Q1840" t="s">
        <v>416</v>
      </c>
    </row>
    <row r="1841" spans="1:17" hidden="1" x14ac:dyDescent="0.25">
      <c r="A1841" s="114" t="s">
        <v>4625</v>
      </c>
      <c r="B1841" s="115" t="s">
        <v>3573</v>
      </c>
      <c r="C1841" s="116" t="s">
        <v>16</v>
      </c>
      <c r="D1841" s="116">
        <v>0</v>
      </c>
      <c r="E1841" s="136">
        <f ca="1">OFFSET(INDEX(Composições!A:J,MATCH(Orçamentária!A1841,Composições!A:A,0),8),2,0)</f>
        <v>6.3079999999999998</v>
      </c>
      <c r="F1841" s="137">
        <f t="shared" ca="1" si="156"/>
        <v>0</v>
      </c>
      <c r="G1841" s="138" t="e">
        <f>IF(A1841&lt;&gt;"",IF(AND(#REF!="Padrão",$H$4=#REF!),BDI!$B$17,IF(AND(#REF!="Padrão",$H$4=#REF!),BDI!#REF!,IF(AND(#REF!="Diferenciado",$H$4=#REF!),BDI!$E$17,IF(AND(#REF!="Diferenciado",$H$4=#REF!),BDI!#REF!,IF(#REF!="ZERO",0))))),"")</f>
        <v>#REF!</v>
      </c>
      <c r="H1841" s="139" t="e">
        <f t="shared" ca="1" si="157"/>
        <v>#REF!</v>
      </c>
      <c r="I1841" s="137" t="e">
        <f t="shared" ca="1" si="158"/>
        <v>#REF!</v>
      </c>
      <c r="J1841" s="117"/>
      <c r="K1841" s="116">
        <v>0</v>
      </c>
      <c r="M1841" s="136" t="e">
        <f ca="1">OFFSET(INDEX([1]Composições!I:R,MATCH([1]Orçamentária!I1841,[1]Composições!I:I,0),8),2,0)</f>
        <v>#REF!</v>
      </c>
      <c r="N1841" t="e">
        <v>#REF!</v>
      </c>
      <c r="Q1841" t="e">
        <v>#REF!</v>
      </c>
    </row>
    <row r="1842" spans="1:17" hidden="1" x14ac:dyDescent="0.25">
      <c r="A1842" s="114" t="s">
        <v>4626</v>
      </c>
      <c r="B1842" s="115" t="s">
        <v>3574</v>
      </c>
      <c r="C1842" s="116" t="s">
        <v>16</v>
      </c>
      <c r="D1842" s="116">
        <v>0</v>
      </c>
      <c r="E1842" s="136">
        <f ca="1">OFFSET(INDEX(Composições!A:J,MATCH(Orçamentária!A1842,Composições!A:A,0),8),2,0)</f>
        <v>4.4649999999999999</v>
      </c>
      <c r="F1842" s="137">
        <f t="shared" ca="1" si="156"/>
        <v>0</v>
      </c>
      <c r="G1842" s="138" t="e">
        <f>IF(A1842&lt;&gt;"",IF(AND(#REF!="Padrão",$H$4=#REF!),BDI!$B$17,IF(AND(#REF!="Padrão",$H$4=#REF!),BDI!#REF!,IF(AND(#REF!="Diferenciado",$H$4=#REF!),BDI!$E$17,IF(AND(#REF!="Diferenciado",$H$4=#REF!),BDI!#REF!,IF(#REF!="ZERO",0))))),"")</f>
        <v>#REF!</v>
      </c>
      <c r="H1842" s="139" t="e">
        <f t="shared" ca="1" si="157"/>
        <v>#REF!</v>
      </c>
      <c r="I1842" s="137" t="e">
        <f t="shared" ca="1" si="158"/>
        <v>#REF!</v>
      </c>
      <c r="J1842" s="117"/>
      <c r="K1842" s="116">
        <v>0</v>
      </c>
      <c r="M1842" s="136" t="e">
        <f ca="1">OFFSET(INDEX([1]Composições!I:R,MATCH([1]Orçamentária!I1842,[1]Composições!I:I,0),8),2,0)</f>
        <v>#REF!</v>
      </c>
      <c r="N1842" t="e">
        <v>#REF!</v>
      </c>
      <c r="Q1842" t="e">
        <v>#REF!</v>
      </c>
    </row>
    <row r="1843" spans="1:17" hidden="1" x14ac:dyDescent="0.25">
      <c r="A1843" s="114" t="s">
        <v>4627</v>
      </c>
      <c r="B1843" s="115" t="s">
        <v>3575</v>
      </c>
      <c r="C1843" s="116" t="s">
        <v>16</v>
      </c>
      <c r="D1843" s="116">
        <v>0</v>
      </c>
      <c r="E1843" s="136">
        <f ca="1">OFFSET(INDEX(Composições!A:J,MATCH(Orçamentária!A1843,Composições!A:A,0),8),2,0)</f>
        <v>12.597</v>
      </c>
      <c r="F1843" s="137">
        <f t="shared" ca="1" si="156"/>
        <v>0</v>
      </c>
      <c r="G1843" s="138" t="e">
        <f>IF(A1843&lt;&gt;"",IF(AND(#REF!="Padrão",$H$4=#REF!),BDI!$B$17,IF(AND(#REF!="Padrão",$H$4=#REF!),BDI!#REF!,IF(AND(#REF!="Diferenciado",$H$4=#REF!),BDI!$E$17,IF(AND(#REF!="Diferenciado",$H$4=#REF!),BDI!#REF!,IF(#REF!="ZERO",0))))),"")</f>
        <v>#REF!</v>
      </c>
      <c r="H1843" s="139" t="e">
        <f t="shared" ca="1" si="157"/>
        <v>#REF!</v>
      </c>
      <c r="I1843" s="137" t="e">
        <f t="shared" ca="1" si="158"/>
        <v>#REF!</v>
      </c>
      <c r="J1843" s="117"/>
      <c r="K1843" s="116">
        <v>0</v>
      </c>
      <c r="M1843" s="136" t="e">
        <f ca="1">OFFSET(INDEX([1]Composições!I:R,MATCH([1]Orçamentária!I1843,[1]Composições!I:I,0),8),2,0)</f>
        <v>#REF!</v>
      </c>
      <c r="N1843" t="e">
        <v>#REF!</v>
      </c>
      <c r="Q1843" t="e">
        <v>#REF!</v>
      </c>
    </row>
    <row r="1844" spans="1:17" hidden="1" x14ac:dyDescent="0.25">
      <c r="A1844" s="114" t="s">
        <v>4628</v>
      </c>
      <c r="B1844" s="115" t="s">
        <v>3576</v>
      </c>
      <c r="C1844" s="116" t="s">
        <v>16</v>
      </c>
      <c r="D1844" s="116">
        <v>0</v>
      </c>
      <c r="E1844" s="136">
        <f ca="1">OFFSET(INDEX(Composições!A:J,MATCH(Orçamentária!A1844,Composições!A:A,0),8),2,0)</f>
        <v>3.61</v>
      </c>
      <c r="F1844" s="137">
        <f t="shared" ca="1" si="156"/>
        <v>0</v>
      </c>
      <c r="G1844" s="138" t="e">
        <f>IF(A1844&lt;&gt;"",IF(AND(#REF!="Padrão",$H$4=#REF!),BDI!$B$17,IF(AND(#REF!="Padrão",$H$4=#REF!),BDI!#REF!,IF(AND(#REF!="Diferenciado",$H$4=#REF!),BDI!$E$17,IF(AND(#REF!="Diferenciado",$H$4=#REF!),BDI!#REF!,IF(#REF!="ZERO",0))))),"")</f>
        <v>#REF!</v>
      </c>
      <c r="H1844" s="139" t="e">
        <f t="shared" ca="1" si="157"/>
        <v>#REF!</v>
      </c>
      <c r="I1844" s="137" t="e">
        <f t="shared" ca="1" si="158"/>
        <v>#REF!</v>
      </c>
      <c r="J1844" s="117"/>
      <c r="K1844" s="116">
        <v>0</v>
      </c>
      <c r="M1844" s="136" t="e">
        <f ca="1">OFFSET(INDEX([1]Composições!I:R,MATCH([1]Orçamentária!I1844,[1]Composições!I:I,0),8),2,0)</f>
        <v>#REF!</v>
      </c>
      <c r="N1844" t="e">
        <v>#REF!</v>
      </c>
      <c r="Q1844" t="e">
        <v>#REF!</v>
      </c>
    </row>
    <row r="1845" spans="1:17" hidden="1" x14ac:dyDescent="0.25">
      <c r="A1845" s="114" t="s">
        <v>4629</v>
      </c>
      <c r="B1845" s="115" t="s">
        <v>3577</v>
      </c>
      <c r="C1845" s="116" t="s">
        <v>16</v>
      </c>
      <c r="D1845" s="116">
        <v>0</v>
      </c>
      <c r="E1845" s="136" t="s">
        <v>416</v>
      </c>
      <c r="F1845" s="137" t="str">
        <f t="shared" si="156"/>
        <v/>
      </c>
      <c r="G1845" s="138" t="e">
        <f>IF(A1845&lt;&gt;"",IF(AND(#REF!="Padrão",$H$4=#REF!),BDI!$B$17,IF(AND(#REF!="Padrão",$H$4=#REF!),BDI!#REF!,IF(AND(#REF!="Diferenciado",$H$4=#REF!),BDI!$E$17,IF(AND(#REF!="Diferenciado",$H$4=#REF!),BDI!#REF!,IF(#REF!="ZERO",0))))),"")</f>
        <v>#REF!</v>
      </c>
      <c r="H1845" s="139" t="str">
        <f t="shared" si="157"/>
        <v/>
      </c>
      <c r="I1845" s="137" t="str">
        <f t="shared" si="158"/>
        <v/>
      </c>
      <c r="J1845" s="117"/>
      <c r="K1845" s="116">
        <v>0</v>
      </c>
      <c r="M1845" s="136" t="s">
        <v>416</v>
      </c>
      <c r="N1845" t="e">
        <v>#REF!</v>
      </c>
      <c r="Q1845" t="s">
        <v>416</v>
      </c>
    </row>
    <row r="1846" spans="1:17" hidden="1" x14ac:dyDescent="0.25">
      <c r="A1846" s="114" t="s">
        <v>4630</v>
      </c>
      <c r="B1846" s="115" t="s">
        <v>3578</v>
      </c>
      <c r="C1846" s="116" t="s">
        <v>16</v>
      </c>
      <c r="D1846" s="116">
        <v>0</v>
      </c>
      <c r="E1846" s="136">
        <f ca="1">OFFSET(INDEX(Composições!A:J,MATCH(Orçamentária!A1846,Composições!A:A,0),8),2,0)</f>
        <v>14.363999999999999</v>
      </c>
      <c r="F1846" s="137">
        <f t="shared" ca="1" si="156"/>
        <v>0</v>
      </c>
      <c r="G1846" s="138" t="e">
        <f>IF(A1846&lt;&gt;"",IF(AND(#REF!="Padrão",$H$4=#REF!),BDI!$B$17,IF(AND(#REF!="Padrão",$H$4=#REF!),BDI!#REF!,IF(AND(#REF!="Diferenciado",$H$4=#REF!),BDI!$E$17,IF(AND(#REF!="Diferenciado",$H$4=#REF!),BDI!#REF!,IF(#REF!="ZERO",0))))),"")</f>
        <v>#REF!</v>
      </c>
      <c r="H1846" s="139" t="e">
        <f t="shared" ca="1" si="157"/>
        <v>#REF!</v>
      </c>
      <c r="I1846" s="137" t="e">
        <f t="shared" ca="1" si="158"/>
        <v>#REF!</v>
      </c>
      <c r="J1846" s="117"/>
      <c r="K1846" s="116">
        <v>0</v>
      </c>
      <c r="M1846" s="136" t="e">
        <f ca="1">OFFSET(INDEX([1]Composições!I:R,MATCH([1]Orçamentária!I1846,[1]Composições!I:I,0),8),2,0)</f>
        <v>#REF!</v>
      </c>
      <c r="N1846" t="e">
        <v>#REF!</v>
      </c>
      <c r="Q1846" t="e">
        <v>#REF!</v>
      </c>
    </row>
    <row r="1847" spans="1:17" hidden="1" x14ac:dyDescent="0.25">
      <c r="A1847" s="114" t="s">
        <v>4631</v>
      </c>
      <c r="B1847" s="115" t="s">
        <v>3579</v>
      </c>
      <c r="C1847" s="116" t="s">
        <v>16</v>
      </c>
      <c r="D1847" s="116">
        <v>0</v>
      </c>
      <c r="E1847" s="136">
        <f ca="1">OFFSET(INDEX(Composições!A:J,MATCH(Orçamentária!A1847,Composições!A:A,0),8),2,0)</f>
        <v>6.9729999999999999</v>
      </c>
      <c r="F1847" s="137">
        <f t="shared" ca="1" si="156"/>
        <v>0</v>
      </c>
      <c r="G1847" s="138" t="e">
        <f>IF(A1847&lt;&gt;"",IF(AND(#REF!="Padrão",$H$4=#REF!),BDI!$B$17,IF(AND(#REF!="Padrão",$H$4=#REF!),BDI!#REF!,IF(AND(#REF!="Diferenciado",$H$4=#REF!),BDI!$E$17,IF(AND(#REF!="Diferenciado",$H$4=#REF!),BDI!#REF!,IF(#REF!="ZERO",0))))),"")</f>
        <v>#REF!</v>
      </c>
      <c r="H1847" s="139" t="e">
        <f t="shared" ca="1" si="157"/>
        <v>#REF!</v>
      </c>
      <c r="I1847" s="137" t="e">
        <f t="shared" ca="1" si="158"/>
        <v>#REF!</v>
      </c>
      <c r="J1847" s="117"/>
      <c r="K1847" s="116">
        <v>0</v>
      </c>
      <c r="M1847" s="136" t="e">
        <f ca="1">OFFSET(INDEX([1]Composições!I:R,MATCH([1]Orçamentária!I1847,[1]Composições!I:I,0),8),2,0)</f>
        <v>#REF!</v>
      </c>
      <c r="N1847" t="e">
        <v>#REF!</v>
      </c>
      <c r="Q1847" t="e">
        <v>#REF!</v>
      </c>
    </row>
    <row r="1848" spans="1:17" hidden="1" x14ac:dyDescent="0.25">
      <c r="A1848" s="114" t="s">
        <v>4632</v>
      </c>
      <c r="B1848" s="115" t="s">
        <v>3580</v>
      </c>
      <c r="C1848" s="116" t="s">
        <v>16</v>
      </c>
      <c r="D1848" s="116">
        <v>0</v>
      </c>
      <c r="E1848" s="136">
        <f ca="1">OFFSET(INDEX(Composições!A:J,MATCH(Orçamentária!A1848,Composições!A:A,0),8),2,0)</f>
        <v>19.494</v>
      </c>
      <c r="F1848" s="137">
        <f t="shared" ca="1" si="156"/>
        <v>0</v>
      </c>
      <c r="G1848" s="138" t="e">
        <f>IF(A1848&lt;&gt;"",IF(AND(#REF!="Padrão",$H$4=#REF!),BDI!$B$17,IF(AND(#REF!="Padrão",$H$4=#REF!),BDI!#REF!,IF(AND(#REF!="Diferenciado",$H$4=#REF!),BDI!$E$17,IF(AND(#REF!="Diferenciado",$H$4=#REF!),BDI!#REF!,IF(#REF!="ZERO",0))))),"")</f>
        <v>#REF!</v>
      </c>
      <c r="H1848" s="139" t="e">
        <f t="shared" ca="1" si="157"/>
        <v>#REF!</v>
      </c>
      <c r="I1848" s="137" t="e">
        <f t="shared" ca="1" si="158"/>
        <v>#REF!</v>
      </c>
      <c r="J1848" s="117"/>
      <c r="K1848" s="116">
        <v>0</v>
      </c>
      <c r="M1848" s="136" t="e">
        <f ca="1">OFFSET(INDEX([1]Composições!I:R,MATCH([1]Orçamentária!I1848,[1]Composições!I:I,0),8),2,0)</f>
        <v>#REF!</v>
      </c>
      <c r="N1848" t="e">
        <v>#REF!</v>
      </c>
      <c r="Q1848" t="e">
        <v>#REF!</v>
      </c>
    </row>
    <row r="1849" spans="1:17" hidden="1" x14ac:dyDescent="0.25">
      <c r="A1849" s="114" t="s">
        <v>4633</v>
      </c>
      <c r="B1849" s="115" t="s">
        <v>3581</v>
      </c>
      <c r="C1849" s="116" t="s">
        <v>16</v>
      </c>
      <c r="D1849" s="116">
        <v>0</v>
      </c>
      <c r="E1849" s="136">
        <f ca="1">OFFSET(INDEX(Composições!A:J,MATCH(Orçamentária!A1849,Composições!A:A,0),8),2,0)</f>
        <v>5.2249999999999996</v>
      </c>
      <c r="F1849" s="137">
        <f t="shared" ca="1" si="156"/>
        <v>0</v>
      </c>
      <c r="G1849" s="138" t="e">
        <f>IF(A1849&lt;&gt;"",IF(AND(#REF!="Padrão",$H$4=#REF!),BDI!$B$17,IF(AND(#REF!="Padrão",$H$4=#REF!),BDI!#REF!,IF(AND(#REF!="Diferenciado",$H$4=#REF!),BDI!$E$17,IF(AND(#REF!="Diferenciado",$H$4=#REF!),BDI!#REF!,IF(#REF!="ZERO",0))))),"")</f>
        <v>#REF!</v>
      </c>
      <c r="H1849" s="139" t="e">
        <f t="shared" ca="1" si="157"/>
        <v>#REF!</v>
      </c>
      <c r="I1849" s="137" t="e">
        <f t="shared" ca="1" si="158"/>
        <v>#REF!</v>
      </c>
      <c r="J1849" s="117"/>
      <c r="K1849" s="116">
        <v>0</v>
      </c>
      <c r="M1849" s="136" t="e">
        <f ca="1">OFFSET(INDEX([1]Composições!I:R,MATCH([1]Orçamentária!I1849,[1]Composições!I:I,0),8),2,0)</f>
        <v>#REF!</v>
      </c>
      <c r="N1849" t="e">
        <v>#REF!</v>
      </c>
      <c r="Q1849" t="e">
        <v>#REF!</v>
      </c>
    </row>
    <row r="1850" spans="1:17" hidden="1" x14ac:dyDescent="0.25">
      <c r="A1850" s="114" t="s">
        <v>4634</v>
      </c>
      <c r="B1850" s="115" t="s">
        <v>3582</v>
      </c>
      <c r="C1850" s="116" t="s">
        <v>16</v>
      </c>
      <c r="D1850" s="116">
        <v>0</v>
      </c>
      <c r="E1850" s="136" t="s">
        <v>416</v>
      </c>
      <c r="F1850" s="137" t="str">
        <f t="shared" si="156"/>
        <v/>
      </c>
      <c r="G1850" s="138" t="e">
        <f>IF(A1850&lt;&gt;"",IF(AND(#REF!="Padrão",$H$4=#REF!),BDI!$B$17,IF(AND(#REF!="Padrão",$H$4=#REF!),BDI!#REF!,IF(AND(#REF!="Diferenciado",$H$4=#REF!),BDI!$E$17,IF(AND(#REF!="Diferenciado",$H$4=#REF!),BDI!#REF!,IF(#REF!="ZERO",0))))),"")</f>
        <v>#REF!</v>
      </c>
      <c r="H1850" s="139" t="str">
        <f t="shared" si="157"/>
        <v/>
      </c>
      <c r="I1850" s="137" t="str">
        <f t="shared" si="158"/>
        <v/>
      </c>
      <c r="J1850" s="117"/>
      <c r="K1850" s="116">
        <v>0</v>
      </c>
      <c r="M1850" s="136" t="s">
        <v>416</v>
      </c>
      <c r="N1850" t="e">
        <v>#REF!</v>
      </c>
      <c r="Q1850" t="s">
        <v>416</v>
      </c>
    </row>
    <row r="1851" spans="1:17" hidden="1" x14ac:dyDescent="0.25">
      <c r="A1851" s="114" t="s">
        <v>4635</v>
      </c>
      <c r="B1851" s="115" t="s">
        <v>3583</v>
      </c>
      <c r="C1851" s="116" t="s">
        <v>16</v>
      </c>
      <c r="D1851" s="116">
        <v>0</v>
      </c>
      <c r="E1851" s="136">
        <f ca="1">OFFSET(INDEX(Composições!A:J,MATCH(Orçamentária!A1851,Composições!A:A,0),8),2,0)</f>
        <v>17.518000000000001</v>
      </c>
      <c r="F1851" s="137">
        <f t="shared" ca="1" si="156"/>
        <v>0</v>
      </c>
      <c r="G1851" s="138" t="e">
        <f>IF(A1851&lt;&gt;"",IF(AND(#REF!="Padrão",$H$4=#REF!),BDI!$B$17,IF(AND(#REF!="Padrão",$H$4=#REF!),BDI!#REF!,IF(AND(#REF!="Diferenciado",$H$4=#REF!),BDI!$E$17,IF(AND(#REF!="Diferenciado",$H$4=#REF!),BDI!#REF!,IF(#REF!="ZERO",0))))),"")</f>
        <v>#REF!</v>
      </c>
      <c r="H1851" s="139" t="e">
        <f t="shared" ca="1" si="157"/>
        <v>#REF!</v>
      </c>
      <c r="I1851" s="137" t="e">
        <f t="shared" ca="1" si="158"/>
        <v>#REF!</v>
      </c>
      <c r="J1851" s="117"/>
      <c r="K1851" s="116">
        <v>0</v>
      </c>
      <c r="M1851" s="136" t="e">
        <f ca="1">OFFSET(INDEX([1]Composições!I:R,MATCH([1]Orçamentária!I1851,[1]Composições!I:I,0),8),2,0)</f>
        <v>#REF!</v>
      </c>
      <c r="N1851" t="e">
        <v>#REF!</v>
      </c>
      <c r="Q1851" t="e">
        <v>#REF!</v>
      </c>
    </row>
    <row r="1852" spans="1:17" hidden="1" x14ac:dyDescent="0.25">
      <c r="A1852" s="114" t="s">
        <v>4636</v>
      </c>
      <c r="B1852" s="115" t="s">
        <v>3584</v>
      </c>
      <c r="C1852" s="116" t="s">
        <v>16</v>
      </c>
      <c r="D1852" s="116">
        <v>0</v>
      </c>
      <c r="E1852" s="136">
        <f ca="1">OFFSET(INDEX(Composições!A:J,MATCH(Orçamentária!A1852,Composições!A:A,0),8),2,0)</f>
        <v>7.7330000000000005</v>
      </c>
      <c r="F1852" s="137">
        <f t="shared" ca="1" si="156"/>
        <v>0</v>
      </c>
      <c r="G1852" s="138" t="e">
        <f>IF(A1852&lt;&gt;"",IF(AND(#REF!="Padrão",$H$4=#REF!),BDI!$B$17,IF(AND(#REF!="Padrão",$H$4=#REF!),BDI!#REF!,IF(AND(#REF!="Diferenciado",$H$4=#REF!),BDI!$E$17,IF(AND(#REF!="Diferenciado",$H$4=#REF!),BDI!#REF!,IF(#REF!="ZERO",0))))),"")</f>
        <v>#REF!</v>
      </c>
      <c r="H1852" s="139" t="e">
        <f t="shared" ca="1" si="157"/>
        <v>#REF!</v>
      </c>
      <c r="I1852" s="137" t="e">
        <f t="shared" ca="1" si="158"/>
        <v>#REF!</v>
      </c>
      <c r="J1852" s="117"/>
      <c r="K1852" s="116">
        <v>0</v>
      </c>
      <c r="M1852" s="136" t="e">
        <f ca="1">OFFSET(INDEX([1]Composições!I:R,MATCH([1]Orçamentária!I1852,[1]Composições!I:I,0),8),2,0)</f>
        <v>#REF!</v>
      </c>
      <c r="N1852" t="e">
        <v>#REF!</v>
      </c>
      <c r="Q1852" t="e">
        <v>#REF!</v>
      </c>
    </row>
    <row r="1853" spans="1:17" hidden="1" x14ac:dyDescent="0.25">
      <c r="A1853" s="114" t="s">
        <v>4637</v>
      </c>
      <c r="B1853" s="115" t="s">
        <v>3585</v>
      </c>
      <c r="C1853" s="116" t="s">
        <v>16</v>
      </c>
      <c r="D1853" s="116">
        <v>0</v>
      </c>
      <c r="E1853" s="136">
        <f ca="1">OFFSET(INDEX(Composições!A:J,MATCH(Orçamentária!A1853,Composições!A:A,0),8),2,0)</f>
        <v>39.500999999999998</v>
      </c>
      <c r="F1853" s="137">
        <f t="shared" ca="1" si="156"/>
        <v>0</v>
      </c>
      <c r="G1853" s="138" t="e">
        <f>IF(A1853&lt;&gt;"",IF(AND(#REF!="Padrão",$H$4=#REF!),BDI!$B$17,IF(AND(#REF!="Padrão",$H$4=#REF!),BDI!#REF!,IF(AND(#REF!="Diferenciado",$H$4=#REF!),BDI!$E$17,IF(AND(#REF!="Diferenciado",$H$4=#REF!),BDI!#REF!,IF(#REF!="ZERO",0))))),"")</f>
        <v>#REF!</v>
      </c>
      <c r="H1853" s="139" t="e">
        <f t="shared" ca="1" si="157"/>
        <v>#REF!</v>
      </c>
      <c r="I1853" s="137" t="e">
        <f t="shared" ca="1" si="158"/>
        <v>#REF!</v>
      </c>
      <c r="J1853" s="117"/>
      <c r="K1853" s="116">
        <v>0</v>
      </c>
      <c r="M1853" s="136" t="e">
        <f ca="1">OFFSET(INDEX([1]Composições!I:R,MATCH([1]Orçamentária!I1853,[1]Composições!I:I,0),8),2,0)</f>
        <v>#REF!</v>
      </c>
      <c r="N1853" t="e">
        <v>#REF!</v>
      </c>
      <c r="Q1853" t="e">
        <v>#REF!</v>
      </c>
    </row>
    <row r="1854" spans="1:17" hidden="1" x14ac:dyDescent="0.25">
      <c r="A1854" s="114" t="s">
        <v>4638</v>
      </c>
      <c r="B1854" s="115" t="s">
        <v>3586</v>
      </c>
      <c r="C1854" s="116" t="s">
        <v>16</v>
      </c>
      <c r="D1854" s="116">
        <v>0</v>
      </c>
      <c r="E1854" s="136">
        <f ca="1">OFFSET(INDEX(Composições!A:J,MATCH(Orçamentária!A1854,Composições!A:A,0),8),2,0)</f>
        <v>7.2770000000000001</v>
      </c>
      <c r="F1854" s="137">
        <f t="shared" ca="1" si="156"/>
        <v>0</v>
      </c>
      <c r="G1854" s="138" t="e">
        <f>IF(A1854&lt;&gt;"",IF(AND(#REF!="Padrão",$H$4=#REF!),BDI!$B$17,IF(AND(#REF!="Padrão",$H$4=#REF!),BDI!#REF!,IF(AND(#REF!="Diferenciado",$H$4=#REF!),BDI!$E$17,IF(AND(#REF!="Diferenciado",$H$4=#REF!),BDI!#REF!,IF(#REF!="ZERO",0))))),"")</f>
        <v>#REF!</v>
      </c>
      <c r="H1854" s="139" t="e">
        <f t="shared" ca="1" si="157"/>
        <v>#REF!</v>
      </c>
      <c r="I1854" s="137" t="e">
        <f t="shared" ca="1" si="158"/>
        <v>#REF!</v>
      </c>
      <c r="J1854" s="117"/>
      <c r="K1854" s="116">
        <v>0</v>
      </c>
      <c r="M1854" s="136" t="e">
        <f ca="1">OFFSET(INDEX([1]Composições!I:R,MATCH([1]Orçamentária!I1854,[1]Composições!I:I,0),8),2,0)</f>
        <v>#REF!</v>
      </c>
      <c r="N1854" t="e">
        <v>#REF!</v>
      </c>
      <c r="Q1854" t="e">
        <v>#REF!</v>
      </c>
    </row>
    <row r="1855" spans="1:17" hidden="1" x14ac:dyDescent="0.25">
      <c r="A1855" s="114" t="s">
        <v>4639</v>
      </c>
      <c r="B1855" s="115" t="s">
        <v>3587</v>
      </c>
      <c r="C1855" s="116" t="s">
        <v>16</v>
      </c>
      <c r="D1855" s="116">
        <v>0</v>
      </c>
      <c r="E1855" s="136" t="s">
        <v>416</v>
      </c>
      <c r="F1855" s="137" t="str">
        <f t="shared" si="156"/>
        <v/>
      </c>
      <c r="G1855" s="138" t="e">
        <f>IF(A1855&lt;&gt;"",IF(AND(#REF!="Padrão",$H$4=#REF!),BDI!$B$17,IF(AND(#REF!="Padrão",$H$4=#REF!),BDI!#REF!,IF(AND(#REF!="Diferenciado",$H$4=#REF!),BDI!$E$17,IF(AND(#REF!="Diferenciado",$H$4=#REF!),BDI!#REF!,IF(#REF!="ZERO",0))))),"")</f>
        <v>#REF!</v>
      </c>
      <c r="H1855" s="139" t="str">
        <f t="shared" si="157"/>
        <v/>
      </c>
      <c r="I1855" s="137" t="str">
        <f t="shared" si="158"/>
        <v/>
      </c>
      <c r="J1855" s="117"/>
      <c r="K1855" s="116">
        <v>0</v>
      </c>
      <c r="M1855" s="136" t="s">
        <v>416</v>
      </c>
      <c r="N1855" t="e">
        <v>#REF!</v>
      </c>
      <c r="Q1855" t="s">
        <v>416</v>
      </c>
    </row>
    <row r="1856" spans="1:17" hidden="1" x14ac:dyDescent="0.25">
      <c r="A1856" s="114" t="s">
        <v>4640</v>
      </c>
      <c r="B1856" s="115" t="s">
        <v>3588</v>
      </c>
      <c r="C1856" s="116" t="s">
        <v>16</v>
      </c>
      <c r="D1856" s="116">
        <v>0</v>
      </c>
      <c r="E1856" s="136">
        <f ca="1">OFFSET(INDEX(Composições!A:J,MATCH(Orçamentária!A1856,Composições!A:A,0),8),2,0)</f>
        <v>25.7165</v>
      </c>
      <c r="F1856" s="137">
        <f t="shared" ca="1" si="156"/>
        <v>0</v>
      </c>
      <c r="G1856" s="138" t="e">
        <f>IF(A1856&lt;&gt;"",IF(AND(#REF!="Padrão",$H$4=#REF!),BDI!$B$17,IF(AND(#REF!="Padrão",$H$4=#REF!),BDI!#REF!,IF(AND(#REF!="Diferenciado",$H$4=#REF!),BDI!$E$17,IF(AND(#REF!="Diferenciado",$H$4=#REF!),BDI!#REF!,IF(#REF!="ZERO",0))))),"")</f>
        <v>#REF!</v>
      </c>
      <c r="H1856" s="139" t="e">
        <f t="shared" ca="1" si="157"/>
        <v>#REF!</v>
      </c>
      <c r="I1856" s="137" t="e">
        <f t="shared" ca="1" si="158"/>
        <v>#REF!</v>
      </c>
      <c r="J1856" s="117"/>
      <c r="K1856" s="116">
        <v>0</v>
      </c>
      <c r="M1856" s="136" t="e">
        <f ca="1">OFFSET(INDEX([1]Composições!I:R,MATCH([1]Orçamentária!I1856,[1]Composições!I:I,0),8),2,0)</f>
        <v>#REF!</v>
      </c>
      <c r="N1856" t="e">
        <v>#REF!</v>
      </c>
      <c r="Q1856" t="e">
        <v>#REF!</v>
      </c>
    </row>
    <row r="1857" spans="1:17" hidden="1" x14ac:dyDescent="0.25">
      <c r="A1857" s="114" t="s">
        <v>4641</v>
      </c>
      <c r="B1857" s="115" t="s">
        <v>3589</v>
      </c>
      <c r="C1857" s="116" t="s">
        <v>16</v>
      </c>
      <c r="D1857" s="116">
        <v>0</v>
      </c>
      <c r="E1857" s="136" t="s">
        <v>416</v>
      </c>
      <c r="F1857" s="137" t="str">
        <f t="shared" si="156"/>
        <v/>
      </c>
      <c r="G1857" s="138" t="e">
        <f>IF(A1857&lt;&gt;"",IF(AND(#REF!="Padrão",$H$4=#REF!),BDI!$B$17,IF(AND(#REF!="Padrão",$H$4=#REF!),BDI!#REF!,IF(AND(#REF!="Diferenciado",$H$4=#REF!),BDI!$E$17,IF(AND(#REF!="Diferenciado",$H$4=#REF!),BDI!#REF!,IF(#REF!="ZERO",0))))),"")</f>
        <v>#REF!</v>
      </c>
      <c r="H1857" s="139" t="str">
        <f t="shared" si="157"/>
        <v/>
      </c>
      <c r="I1857" s="137" t="str">
        <f t="shared" si="158"/>
        <v/>
      </c>
      <c r="J1857" s="117"/>
      <c r="K1857" s="116">
        <v>0</v>
      </c>
      <c r="M1857" s="136" t="s">
        <v>416</v>
      </c>
      <c r="N1857" t="e">
        <v>#REF!</v>
      </c>
      <c r="Q1857" t="s">
        <v>416</v>
      </c>
    </row>
    <row r="1858" spans="1:17" hidden="1" x14ac:dyDescent="0.25">
      <c r="A1858" s="114" t="s">
        <v>4642</v>
      </c>
      <c r="B1858" s="115" t="s">
        <v>3590</v>
      </c>
      <c r="C1858" s="116" t="s">
        <v>16</v>
      </c>
      <c r="D1858" s="116">
        <v>0</v>
      </c>
      <c r="E1858" s="136">
        <f ca="1">OFFSET(INDEX(Composições!A:J,MATCH(Orçamentária!A1858,Composições!A:A,0),8),2,0)</f>
        <v>92.786500000000004</v>
      </c>
      <c r="F1858" s="137">
        <f t="shared" ca="1" si="156"/>
        <v>0</v>
      </c>
      <c r="G1858" s="138" t="e">
        <f>IF(A1858&lt;&gt;"",IF(AND(#REF!="Padrão",$H$4=#REF!),BDI!$B$17,IF(AND(#REF!="Padrão",$H$4=#REF!),BDI!#REF!,IF(AND(#REF!="Diferenciado",$H$4=#REF!),BDI!$E$17,IF(AND(#REF!="Diferenciado",$H$4=#REF!),BDI!#REF!,IF(#REF!="ZERO",0))))),"")</f>
        <v>#REF!</v>
      </c>
      <c r="H1858" s="139" t="e">
        <f t="shared" ca="1" si="157"/>
        <v>#REF!</v>
      </c>
      <c r="I1858" s="137" t="e">
        <f t="shared" ca="1" si="158"/>
        <v>#REF!</v>
      </c>
      <c r="J1858" s="117"/>
      <c r="K1858" s="116">
        <v>0</v>
      </c>
      <c r="M1858" s="136" t="e">
        <f ca="1">OFFSET(INDEX([1]Composições!I:R,MATCH([1]Orçamentária!I1858,[1]Composições!I:I,0),8),2,0)</f>
        <v>#REF!</v>
      </c>
      <c r="N1858" t="e">
        <v>#REF!</v>
      </c>
      <c r="Q1858" t="e">
        <v>#REF!</v>
      </c>
    </row>
    <row r="1859" spans="1:17" hidden="1" x14ac:dyDescent="0.25">
      <c r="A1859" s="114" t="s">
        <v>4643</v>
      </c>
      <c r="B1859" s="115" t="s">
        <v>3591</v>
      </c>
      <c r="C1859" s="116" t="s">
        <v>16</v>
      </c>
      <c r="D1859" s="116">
        <v>0</v>
      </c>
      <c r="E1859" s="136">
        <f ca="1">OFFSET(INDEX(Composições!A:J,MATCH(Orçamentária!A1859,Composições!A:A,0),8),2,0)</f>
        <v>10.620999999999999</v>
      </c>
      <c r="F1859" s="137">
        <f t="shared" ca="1" si="156"/>
        <v>0</v>
      </c>
      <c r="G1859" s="138" t="e">
        <f>IF(A1859&lt;&gt;"",IF(AND(#REF!="Padrão",$H$4=#REF!),BDI!$B$17,IF(AND(#REF!="Padrão",$H$4=#REF!),BDI!#REF!,IF(AND(#REF!="Diferenciado",$H$4=#REF!),BDI!$E$17,IF(AND(#REF!="Diferenciado",$H$4=#REF!),BDI!#REF!,IF(#REF!="ZERO",0))))),"")</f>
        <v>#REF!</v>
      </c>
      <c r="H1859" s="139" t="e">
        <f t="shared" ca="1" si="157"/>
        <v>#REF!</v>
      </c>
      <c r="I1859" s="137" t="e">
        <f t="shared" ca="1" si="158"/>
        <v>#REF!</v>
      </c>
      <c r="J1859" s="117"/>
      <c r="K1859" s="116">
        <v>0</v>
      </c>
      <c r="M1859" s="136" t="e">
        <f ca="1">OFFSET(INDEX([1]Composições!I:R,MATCH([1]Orçamentária!I1859,[1]Composições!I:I,0),8),2,0)</f>
        <v>#REF!</v>
      </c>
      <c r="N1859" t="e">
        <v>#REF!</v>
      </c>
      <c r="Q1859" t="e">
        <v>#REF!</v>
      </c>
    </row>
    <row r="1860" spans="1:17" hidden="1" x14ac:dyDescent="0.25">
      <c r="A1860" s="114" t="s">
        <v>4644</v>
      </c>
      <c r="B1860" s="115" t="s">
        <v>3592</v>
      </c>
      <c r="C1860" s="116" t="s">
        <v>16</v>
      </c>
      <c r="D1860" s="116">
        <v>0</v>
      </c>
      <c r="E1860" s="136" t="s">
        <v>416</v>
      </c>
      <c r="F1860" s="137" t="str">
        <f t="shared" si="156"/>
        <v/>
      </c>
      <c r="G1860" s="138" t="e">
        <f>IF(A1860&lt;&gt;"",IF(AND(#REF!="Padrão",$H$4=#REF!),BDI!$B$17,IF(AND(#REF!="Padrão",$H$4=#REF!),BDI!#REF!,IF(AND(#REF!="Diferenciado",$H$4=#REF!),BDI!$E$17,IF(AND(#REF!="Diferenciado",$H$4=#REF!),BDI!#REF!,IF(#REF!="ZERO",0))))),"")</f>
        <v>#REF!</v>
      </c>
      <c r="H1860" s="139" t="str">
        <f t="shared" si="157"/>
        <v/>
      </c>
      <c r="I1860" s="137" t="str">
        <f t="shared" si="158"/>
        <v/>
      </c>
      <c r="J1860" s="117"/>
      <c r="K1860" s="116">
        <v>0</v>
      </c>
      <c r="M1860" s="136" t="s">
        <v>416</v>
      </c>
      <c r="N1860" t="e">
        <v>#REF!</v>
      </c>
      <c r="Q1860" t="s">
        <v>416</v>
      </c>
    </row>
    <row r="1861" spans="1:17" hidden="1" x14ac:dyDescent="0.25">
      <c r="A1861" s="114" t="s">
        <v>4645</v>
      </c>
      <c r="B1861" s="115" t="s">
        <v>3593</v>
      </c>
      <c r="C1861" s="116" t="s">
        <v>16</v>
      </c>
      <c r="D1861" s="116">
        <v>0</v>
      </c>
      <c r="E1861" s="136">
        <f ca="1">OFFSET(INDEX(Composições!A:J,MATCH(Orçamentária!A1861,Composições!A:A,0),8),2,0)</f>
        <v>65.122499999999988</v>
      </c>
      <c r="F1861" s="137">
        <f t="shared" ca="1" si="156"/>
        <v>0</v>
      </c>
      <c r="G1861" s="138" t="e">
        <f>IF(A1861&lt;&gt;"",IF(AND(#REF!="Padrão",$H$4=#REF!),BDI!$B$17,IF(AND(#REF!="Padrão",$H$4=#REF!),BDI!#REF!,IF(AND(#REF!="Diferenciado",$H$4=#REF!),BDI!$E$17,IF(AND(#REF!="Diferenciado",$H$4=#REF!),BDI!#REF!,IF(#REF!="ZERO",0))))),"")</f>
        <v>#REF!</v>
      </c>
      <c r="H1861" s="139" t="e">
        <f t="shared" ca="1" si="157"/>
        <v>#REF!</v>
      </c>
      <c r="I1861" s="137" t="e">
        <f t="shared" ca="1" si="158"/>
        <v>#REF!</v>
      </c>
      <c r="J1861" s="117"/>
      <c r="K1861" s="116">
        <v>0</v>
      </c>
      <c r="M1861" s="136" t="e">
        <f ca="1">OFFSET(INDEX([1]Composições!I:R,MATCH([1]Orçamentária!I1861,[1]Composições!I:I,0),8),2,0)</f>
        <v>#REF!</v>
      </c>
      <c r="N1861" t="e">
        <v>#REF!</v>
      </c>
      <c r="Q1861" t="e">
        <v>#REF!</v>
      </c>
    </row>
    <row r="1862" spans="1:17" hidden="1" x14ac:dyDescent="0.25">
      <c r="A1862" s="114" t="s">
        <v>4646</v>
      </c>
      <c r="B1862" s="115" t="s">
        <v>3594</v>
      </c>
      <c r="C1862" s="116" t="s">
        <v>16</v>
      </c>
      <c r="D1862" s="116">
        <v>0</v>
      </c>
      <c r="E1862" s="136">
        <f ca="1">OFFSET(INDEX(Composições!A:J,MATCH(Orçamentária!A1862,Composições!A:A,0),8),2,0)</f>
        <v>25.497999999999998</v>
      </c>
      <c r="F1862" s="137">
        <f t="shared" ca="1" si="156"/>
        <v>0</v>
      </c>
      <c r="G1862" s="138" t="e">
        <f>IF(A1862&lt;&gt;"",IF(AND(#REF!="Padrão",$H$4=#REF!),BDI!$B$17,IF(AND(#REF!="Padrão",$H$4=#REF!),BDI!#REF!,IF(AND(#REF!="Diferenciado",$H$4=#REF!),BDI!$E$17,IF(AND(#REF!="Diferenciado",$H$4=#REF!),BDI!#REF!,IF(#REF!="ZERO",0))))),"")</f>
        <v>#REF!</v>
      </c>
      <c r="H1862" s="139" t="e">
        <f t="shared" ca="1" si="157"/>
        <v>#REF!</v>
      </c>
      <c r="I1862" s="137" t="e">
        <f t="shared" ca="1" si="158"/>
        <v>#REF!</v>
      </c>
      <c r="J1862" s="117"/>
      <c r="K1862" s="116">
        <v>0</v>
      </c>
      <c r="M1862" s="136" t="e">
        <f ca="1">OFFSET(INDEX([1]Composições!I:R,MATCH([1]Orçamentária!I1862,[1]Composições!I:I,0),8),2,0)</f>
        <v>#REF!</v>
      </c>
      <c r="N1862" t="e">
        <v>#REF!</v>
      </c>
      <c r="Q1862" t="e">
        <v>#REF!</v>
      </c>
    </row>
    <row r="1863" spans="1:17" hidden="1" x14ac:dyDescent="0.25">
      <c r="A1863" s="114" t="s">
        <v>4647</v>
      </c>
      <c r="B1863" s="115" t="s">
        <v>3595</v>
      </c>
      <c r="C1863" s="116" t="s">
        <v>16</v>
      </c>
      <c r="D1863" s="116">
        <v>0</v>
      </c>
      <c r="E1863" s="136">
        <f ca="1">OFFSET(INDEX(Composições!A:J,MATCH(Orçamentária!A1863,Composições!A:A,0),8),2,0)</f>
        <v>111.88149999999999</v>
      </c>
      <c r="F1863" s="137">
        <f t="shared" ca="1" si="156"/>
        <v>0</v>
      </c>
      <c r="G1863" s="138" t="e">
        <f>IF(A1863&lt;&gt;"",IF(AND(#REF!="Padrão",$H$4=#REF!),BDI!$B$17,IF(AND(#REF!="Padrão",$H$4=#REF!),BDI!#REF!,IF(AND(#REF!="Diferenciado",$H$4=#REF!),BDI!$E$17,IF(AND(#REF!="Diferenciado",$H$4=#REF!),BDI!#REF!,IF(#REF!="ZERO",0))))),"")</f>
        <v>#REF!</v>
      </c>
      <c r="H1863" s="139" t="e">
        <f t="shared" ca="1" si="157"/>
        <v>#REF!</v>
      </c>
      <c r="I1863" s="137" t="e">
        <f t="shared" ca="1" si="158"/>
        <v>#REF!</v>
      </c>
      <c r="J1863" s="117"/>
      <c r="K1863" s="116">
        <v>0</v>
      </c>
      <c r="M1863" s="136" t="e">
        <f ca="1">OFFSET(INDEX([1]Composições!I:R,MATCH([1]Orçamentária!I1863,[1]Composições!I:I,0),8),2,0)</f>
        <v>#REF!</v>
      </c>
      <c r="N1863" t="e">
        <v>#REF!</v>
      </c>
      <c r="Q1863" t="e">
        <v>#REF!</v>
      </c>
    </row>
    <row r="1864" spans="1:17" hidden="1" x14ac:dyDescent="0.25">
      <c r="A1864" s="114" t="s">
        <v>4648</v>
      </c>
      <c r="B1864" s="115" t="s">
        <v>3596</v>
      </c>
      <c r="C1864" s="116" t="s">
        <v>16</v>
      </c>
      <c r="D1864" s="116">
        <v>0</v>
      </c>
      <c r="E1864" s="136">
        <f ca="1">OFFSET(INDEX(Composições!A:J,MATCH(Orçamentária!A1864,Composições!A:A,0),8),2,0)</f>
        <v>16.1785</v>
      </c>
      <c r="F1864" s="137">
        <f t="shared" ca="1" si="156"/>
        <v>0</v>
      </c>
      <c r="G1864" s="138" t="e">
        <f>IF(A1864&lt;&gt;"",IF(AND(#REF!="Padrão",$H$4=#REF!),BDI!$B$17,IF(AND(#REF!="Padrão",$H$4=#REF!),BDI!#REF!,IF(AND(#REF!="Diferenciado",$H$4=#REF!),BDI!$E$17,IF(AND(#REF!="Diferenciado",$H$4=#REF!),BDI!#REF!,IF(#REF!="ZERO",0))))),"")</f>
        <v>#REF!</v>
      </c>
      <c r="H1864" s="139" t="e">
        <f t="shared" ca="1" si="157"/>
        <v>#REF!</v>
      </c>
      <c r="I1864" s="137" t="e">
        <f t="shared" ca="1" si="158"/>
        <v>#REF!</v>
      </c>
      <c r="J1864" s="117"/>
      <c r="K1864" s="116">
        <v>0</v>
      </c>
      <c r="M1864" s="136" t="e">
        <f ca="1">OFFSET(INDEX([1]Composições!I:R,MATCH([1]Orçamentária!I1864,[1]Composições!I:I,0),8),2,0)</f>
        <v>#REF!</v>
      </c>
      <c r="N1864" t="e">
        <v>#REF!</v>
      </c>
      <c r="Q1864" t="e">
        <v>#REF!</v>
      </c>
    </row>
    <row r="1865" spans="1:17" hidden="1" x14ac:dyDescent="0.25">
      <c r="A1865" s="114" t="s">
        <v>4649</v>
      </c>
      <c r="B1865" s="115" t="s">
        <v>3597</v>
      </c>
      <c r="C1865" s="116" t="s">
        <v>16</v>
      </c>
      <c r="D1865" s="116">
        <v>0</v>
      </c>
      <c r="E1865" s="136" t="s">
        <v>416</v>
      </c>
      <c r="F1865" s="137" t="str">
        <f t="shared" si="156"/>
        <v/>
      </c>
      <c r="G1865" s="138" t="e">
        <f>IF(A1865&lt;&gt;"",IF(AND(#REF!="Padrão",$H$4=#REF!),BDI!$B$17,IF(AND(#REF!="Padrão",$H$4=#REF!),BDI!#REF!,IF(AND(#REF!="Diferenciado",$H$4=#REF!),BDI!$E$17,IF(AND(#REF!="Diferenciado",$H$4=#REF!),BDI!#REF!,IF(#REF!="ZERO",0))))),"")</f>
        <v>#REF!</v>
      </c>
      <c r="H1865" s="139" t="str">
        <f t="shared" si="157"/>
        <v/>
      </c>
      <c r="I1865" s="137" t="str">
        <f t="shared" si="158"/>
        <v/>
      </c>
      <c r="J1865" s="117"/>
      <c r="K1865" s="116">
        <v>0</v>
      </c>
      <c r="M1865" s="136" t="s">
        <v>416</v>
      </c>
      <c r="N1865" t="e">
        <v>#REF!</v>
      </c>
      <c r="Q1865" t="s">
        <v>416</v>
      </c>
    </row>
    <row r="1866" spans="1:17" hidden="1" x14ac:dyDescent="0.25">
      <c r="A1866" s="114" t="s">
        <v>4650</v>
      </c>
      <c r="B1866" s="115" t="s">
        <v>3598</v>
      </c>
      <c r="C1866" s="116" t="s">
        <v>16</v>
      </c>
      <c r="D1866" s="116">
        <v>0</v>
      </c>
      <c r="E1866" s="136">
        <f ca="1">OFFSET(INDEX(Composições!A:J,MATCH(Orçamentária!A1866,Composições!A:A,0),8),2,0)</f>
        <v>85.5</v>
      </c>
      <c r="F1866" s="137">
        <f t="shared" ca="1" si="156"/>
        <v>0</v>
      </c>
      <c r="G1866" s="138" t="e">
        <f>IF(A1866&lt;&gt;"",IF(AND(#REF!="Padrão",$H$4=#REF!),BDI!$B$17,IF(AND(#REF!="Padrão",$H$4=#REF!),BDI!#REF!,IF(AND(#REF!="Diferenciado",$H$4=#REF!),BDI!$E$17,IF(AND(#REF!="Diferenciado",$H$4=#REF!),BDI!#REF!,IF(#REF!="ZERO",0))))),"")</f>
        <v>#REF!</v>
      </c>
      <c r="H1866" s="139" t="e">
        <f t="shared" ca="1" si="157"/>
        <v>#REF!</v>
      </c>
      <c r="I1866" s="137" t="e">
        <f t="shared" ca="1" si="158"/>
        <v>#REF!</v>
      </c>
      <c r="J1866" s="117"/>
      <c r="K1866" s="116">
        <v>0</v>
      </c>
      <c r="M1866" s="136" t="e">
        <f ca="1">OFFSET(INDEX([1]Composições!I:R,MATCH([1]Orçamentária!I1866,[1]Composições!I:I,0),8),2,0)</f>
        <v>#REF!</v>
      </c>
      <c r="N1866" t="e">
        <v>#REF!</v>
      </c>
      <c r="Q1866" t="e">
        <v>#REF!</v>
      </c>
    </row>
    <row r="1867" spans="1:17" hidden="1" x14ac:dyDescent="0.25">
      <c r="A1867" s="114" t="s">
        <v>4651</v>
      </c>
      <c r="B1867" s="115" t="s">
        <v>3599</v>
      </c>
      <c r="C1867" s="116" t="s">
        <v>16</v>
      </c>
      <c r="D1867" s="116">
        <v>0</v>
      </c>
      <c r="E1867" s="136">
        <f ca="1">OFFSET(INDEX(Composições!A:J,MATCH(Orçamentária!A1867,Composições!A:A,0),8),2,0)</f>
        <v>39.966499999999996</v>
      </c>
      <c r="F1867" s="137">
        <f t="shared" ca="1" si="156"/>
        <v>0</v>
      </c>
      <c r="G1867" s="138" t="e">
        <f>IF(A1867&lt;&gt;"",IF(AND(#REF!="Padrão",$H$4=#REF!),BDI!$B$17,IF(AND(#REF!="Padrão",$H$4=#REF!),BDI!#REF!,IF(AND(#REF!="Diferenciado",$H$4=#REF!),BDI!$E$17,IF(AND(#REF!="Diferenciado",$H$4=#REF!),BDI!#REF!,IF(#REF!="ZERO",0))))),"")</f>
        <v>#REF!</v>
      </c>
      <c r="H1867" s="139" t="e">
        <f t="shared" ca="1" si="157"/>
        <v>#REF!</v>
      </c>
      <c r="I1867" s="137" t="e">
        <f t="shared" ca="1" si="158"/>
        <v>#REF!</v>
      </c>
      <c r="J1867" s="117"/>
      <c r="K1867" s="116">
        <v>0</v>
      </c>
      <c r="M1867" s="136" t="e">
        <f ca="1">OFFSET(INDEX([1]Composições!I:R,MATCH([1]Orçamentária!I1867,[1]Composições!I:I,0),8),2,0)</f>
        <v>#REF!</v>
      </c>
      <c r="N1867" t="e">
        <v>#REF!</v>
      </c>
      <c r="Q1867" t="e">
        <v>#REF!</v>
      </c>
    </row>
    <row r="1868" spans="1:17" hidden="1" x14ac:dyDescent="0.25">
      <c r="A1868" s="114" t="s">
        <v>4652</v>
      </c>
      <c r="B1868" s="115" t="s">
        <v>3600</v>
      </c>
      <c r="C1868" s="116" t="s">
        <v>16</v>
      </c>
      <c r="D1868" s="116">
        <v>0</v>
      </c>
      <c r="E1868" s="136">
        <f ca="1">OFFSET(INDEX(Composições!A:J,MATCH(Orçamentária!A1868,Composições!A:A,0),8),2,0)</f>
        <v>205.92199999999997</v>
      </c>
      <c r="F1868" s="137">
        <f t="shared" ca="1" si="156"/>
        <v>0</v>
      </c>
      <c r="G1868" s="138" t="e">
        <f>IF(A1868&lt;&gt;"",IF(AND(#REF!="Padrão",$H$4=#REF!),BDI!$B$17,IF(AND(#REF!="Padrão",$H$4=#REF!),BDI!#REF!,IF(AND(#REF!="Diferenciado",$H$4=#REF!),BDI!$E$17,IF(AND(#REF!="Diferenciado",$H$4=#REF!),BDI!#REF!,IF(#REF!="ZERO",0))))),"")</f>
        <v>#REF!</v>
      </c>
      <c r="H1868" s="139" t="e">
        <f t="shared" ca="1" si="157"/>
        <v>#REF!</v>
      </c>
      <c r="I1868" s="137" t="e">
        <f t="shared" ca="1" si="158"/>
        <v>#REF!</v>
      </c>
      <c r="J1868" s="117"/>
      <c r="K1868" s="116">
        <v>0</v>
      </c>
      <c r="M1868" s="136" t="e">
        <f ca="1">OFFSET(INDEX([1]Composições!I:R,MATCH([1]Orçamentária!I1868,[1]Composições!I:I,0),8),2,0)</f>
        <v>#REF!</v>
      </c>
      <c r="N1868" t="e">
        <v>#REF!</v>
      </c>
      <c r="Q1868" t="e">
        <v>#REF!</v>
      </c>
    </row>
    <row r="1869" spans="1:17" hidden="1" x14ac:dyDescent="0.25">
      <c r="A1869" s="114" t="s">
        <v>4653</v>
      </c>
      <c r="B1869" s="115" t="s">
        <v>3601</v>
      </c>
      <c r="C1869" s="116" t="s">
        <v>16</v>
      </c>
      <c r="D1869" s="116">
        <v>0</v>
      </c>
      <c r="E1869" s="136">
        <f ca="1">OFFSET(INDEX(Composições!A:J,MATCH(Orçamentária!A1869,Composições!A:A,0),8),2,0)</f>
        <v>25.526499999999999</v>
      </c>
      <c r="F1869" s="137">
        <f t="shared" ca="1" si="156"/>
        <v>0</v>
      </c>
      <c r="G1869" s="138" t="e">
        <f>IF(A1869&lt;&gt;"",IF(AND(#REF!="Padrão",$H$4=#REF!),BDI!$B$17,IF(AND(#REF!="Padrão",$H$4=#REF!),BDI!#REF!,IF(AND(#REF!="Diferenciado",$H$4=#REF!),BDI!$E$17,IF(AND(#REF!="Diferenciado",$H$4=#REF!),BDI!#REF!,IF(#REF!="ZERO",0))))),"")</f>
        <v>#REF!</v>
      </c>
      <c r="H1869" s="139" t="e">
        <f t="shared" ca="1" si="157"/>
        <v>#REF!</v>
      </c>
      <c r="I1869" s="137" t="e">
        <f t="shared" ca="1" si="158"/>
        <v>#REF!</v>
      </c>
      <c r="J1869" s="117"/>
      <c r="K1869" s="116">
        <v>0</v>
      </c>
      <c r="M1869" s="136" t="e">
        <f ca="1">OFFSET(INDEX([1]Composições!I:R,MATCH([1]Orçamentária!I1869,[1]Composições!I:I,0),8),2,0)</f>
        <v>#REF!</v>
      </c>
      <c r="N1869" t="e">
        <v>#REF!</v>
      </c>
      <c r="Q1869" t="e">
        <v>#REF!</v>
      </c>
    </row>
    <row r="1870" spans="1:17" hidden="1" x14ac:dyDescent="0.25">
      <c r="A1870" s="114" t="s">
        <v>4654</v>
      </c>
      <c r="B1870" s="115" t="s">
        <v>3602</v>
      </c>
      <c r="C1870" s="116" t="s">
        <v>16</v>
      </c>
      <c r="D1870" s="116">
        <v>0</v>
      </c>
      <c r="E1870" s="136" t="s">
        <v>416</v>
      </c>
      <c r="F1870" s="137" t="str">
        <f t="shared" si="156"/>
        <v/>
      </c>
      <c r="G1870" s="138" t="e">
        <f>IF(A1870&lt;&gt;"",IF(AND(#REF!="Padrão",$H$4=#REF!),BDI!$B$17,IF(AND(#REF!="Padrão",$H$4=#REF!),BDI!#REF!,IF(AND(#REF!="Diferenciado",$H$4=#REF!),BDI!$E$17,IF(AND(#REF!="Diferenciado",$H$4=#REF!),BDI!#REF!,IF(#REF!="ZERO",0))))),"")</f>
        <v>#REF!</v>
      </c>
      <c r="H1870" s="139" t="str">
        <f t="shared" si="157"/>
        <v/>
      </c>
      <c r="I1870" s="137" t="str">
        <f t="shared" si="158"/>
        <v/>
      </c>
      <c r="J1870" s="117"/>
      <c r="K1870" s="116">
        <v>0</v>
      </c>
      <c r="M1870" s="136" t="s">
        <v>416</v>
      </c>
      <c r="N1870" t="e">
        <v>#REF!</v>
      </c>
      <c r="Q1870" t="s">
        <v>416</v>
      </c>
    </row>
    <row r="1871" spans="1:17" hidden="1" x14ac:dyDescent="0.25">
      <c r="A1871" s="114" t="s">
        <v>4655</v>
      </c>
      <c r="B1871" s="115" t="s">
        <v>3603</v>
      </c>
      <c r="C1871" s="116" t="s">
        <v>16</v>
      </c>
      <c r="D1871" s="116">
        <v>0</v>
      </c>
      <c r="E1871" s="136">
        <f ca="1">OFFSET(INDEX(Composições!A:J,MATCH(Orçamentária!A1871,Composições!A:A,0),8),2,0)</f>
        <v>145.00799999999998</v>
      </c>
      <c r="F1871" s="137">
        <f t="shared" ca="1" si="156"/>
        <v>0</v>
      </c>
      <c r="G1871" s="138" t="e">
        <f>IF(A1871&lt;&gt;"",IF(AND(#REF!="Padrão",$H$4=#REF!),BDI!$B$17,IF(AND(#REF!="Padrão",$H$4=#REF!),BDI!#REF!,IF(AND(#REF!="Diferenciado",$H$4=#REF!),BDI!$E$17,IF(AND(#REF!="Diferenciado",$H$4=#REF!),BDI!#REF!,IF(#REF!="ZERO",0))))),"")</f>
        <v>#REF!</v>
      </c>
      <c r="H1871" s="139" t="e">
        <f t="shared" ca="1" si="157"/>
        <v>#REF!</v>
      </c>
      <c r="I1871" s="137" t="e">
        <f t="shared" ca="1" si="158"/>
        <v>#REF!</v>
      </c>
      <c r="J1871" s="117"/>
      <c r="K1871" s="116">
        <v>0</v>
      </c>
      <c r="M1871" s="136" t="e">
        <f ca="1">OFFSET(INDEX([1]Composições!I:R,MATCH([1]Orçamentária!I1871,[1]Composições!I:I,0),8),2,0)</f>
        <v>#REF!</v>
      </c>
      <c r="N1871" t="e">
        <v>#REF!</v>
      </c>
      <c r="Q1871" t="e">
        <v>#REF!</v>
      </c>
    </row>
    <row r="1872" spans="1:17" hidden="1" x14ac:dyDescent="0.25">
      <c r="A1872" s="114" t="s">
        <v>4656</v>
      </c>
      <c r="B1872" s="115" t="s">
        <v>3604</v>
      </c>
      <c r="C1872" s="116" t="s">
        <v>69</v>
      </c>
      <c r="D1872" s="116">
        <v>0</v>
      </c>
      <c r="E1872" s="136">
        <f ca="1">OFFSET(INDEX(Composições!A:J,MATCH(Orçamentária!A1872,Composições!A:A,0),8),2,0)</f>
        <v>4.4935</v>
      </c>
      <c r="F1872" s="137">
        <f t="shared" ca="1" si="156"/>
        <v>0</v>
      </c>
      <c r="G1872" s="138" t="e">
        <f>IF(A1872&lt;&gt;"",IF(AND(#REF!="Padrão",$H$4=#REF!),BDI!$B$17,IF(AND(#REF!="Padrão",$H$4=#REF!),BDI!#REF!,IF(AND(#REF!="Diferenciado",$H$4=#REF!),BDI!$E$17,IF(AND(#REF!="Diferenciado",$H$4=#REF!),BDI!#REF!,IF(#REF!="ZERO",0))))),"")</f>
        <v>#REF!</v>
      </c>
      <c r="H1872" s="139" t="e">
        <f t="shared" ca="1" si="157"/>
        <v>#REF!</v>
      </c>
      <c r="I1872" s="137" t="e">
        <f t="shared" ca="1" si="158"/>
        <v>#REF!</v>
      </c>
      <c r="J1872" s="117"/>
      <c r="K1872" s="116">
        <v>0</v>
      </c>
      <c r="M1872" s="136" t="e">
        <f ca="1">OFFSET(INDEX([1]Composições!I:R,MATCH([1]Orçamentária!I1872,[1]Composições!I:I,0),8),2,0)</f>
        <v>#REF!</v>
      </c>
      <c r="N1872" t="e">
        <v>#REF!</v>
      </c>
      <c r="Q1872" t="e">
        <v>#REF!</v>
      </c>
    </row>
    <row r="1873" spans="1:17" hidden="1" x14ac:dyDescent="0.25">
      <c r="A1873" s="114" t="s">
        <v>4657</v>
      </c>
      <c r="B1873" s="115" t="s">
        <v>3605</v>
      </c>
      <c r="C1873" s="116" t="s">
        <v>69</v>
      </c>
      <c r="D1873" s="116">
        <v>0</v>
      </c>
      <c r="E1873" s="136">
        <f ca="1">OFFSET(INDEX(Composições!A:J,MATCH(Orçamentária!A1873,Composições!A:A,0),8),2,0)</f>
        <v>8.6449999999999996</v>
      </c>
      <c r="F1873" s="137">
        <f t="shared" ca="1" si="156"/>
        <v>0</v>
      </c>
      <c r="G1873" s="138" t="e">
        <f>IF(A1873&lt;&gt;"",IF(AND(#REF!="Padrão",$H$4=#REF!),BDI!$B$17,IF(AND(#REF!="Padrão",$H$4=#REF!),BDI!#REF!,IF(AND(#REF!="Diferenciado",$H$4=#REF!),BDI!$E$17,IF(AND(#REF!="Diferenciado",$H$4=#REF!),BDI!#REF!,IF(#REF!="ZERO",0))))),"")</f>
        <v>#REF!</v>
      </c>
      <c r="H1873" s="139" t="e">
        <f t="shared" ca="1" si="157"/>
        <v>#REF!</v>
      </c>
      <c r="I1873" s="137" t="e">
        <f t="shared" ca="1" si="158"/>
        <v>#REF!</v>
      </c>
      <c r="J1873" s="117"/>
      <c r="K1873" s="116">
        <v>0</v>
      </c>
      <c r="M1873" s="136" t="e">
        <f ca="1">OFFSET(INDEX([1]Composições!I:R,MATCH([1]Orçamentária!I1873,[1]Composições!I:I,0),8),2,0)</f>
        <v>#REF!</v>
      </c>
      <c r="N1873" t="e">
        <v>#REF!</v>
      </c>
      <c r="Q1873" t="e">
        <v>#REF!</v>
      </c>
    </row>
    <row r="1874" spans="1:17" hidden="1" x14ac:dyDescent="0.25">
      <c r="A1874" s="114" t="s">
        <v>4658</v>
      </c>
      <c r="B1874" s="115" t="s">
        <v>3606</v>
      </c>
      <c r="C1874" s="116" t="s">
        <v>69</v>
      </c>
      <c r="D1874" s="116">
        <v>0</v>
      </c>
      <c r="E1874" s="136">
        <f ca="1">OFFSET(INDEX(Composições!A:J,MATCH(Orçamentária!A1874,Composições!A:A,0),8),2,0)</f>
        <v>10.535499999999999</v>
      </c>
      <c r="F1874" s="137">
        <f t="shared" ca="1" si="156"/>
        <v>0</v>
      </c>
      <c r="G1874" s="138" t="e">
        <f>IF(A1874&lt;&gt;"",IF(AND(#REF!="Padrão",$H$4=#REF!),BDI!$B$17,IF(AND(#REF!="Padrão",$H$4=#REF!),BDI!#REF!,IF(AND(#REF!="Diferenciado",$H$4=#REF!),BDI!$E$17,IF(AND(#REF!="Diferenciado",$H$4=#REF!),BDI!#REF!,IF(#REF!="ZERO",0))))),"")</f>
        <v>#REF!</v>
      </c>
      <c r="H1874" s="139" t="e">
        <f t="shared" ca="1" si="157"/>
        <v>#REF!</v>
      </c>
      <c r="I1874" s="137" t="e">
        <f t="shared" ca="1" si="158"/>
        <v>#REF!</v>
      </c>
      <c r="J1874" s="117"/>
      <c r="K1874" s="116">
        <v>0</v>
      </c>
      <c r="M1874" s="136" t="e">
        <f ca="1">OFFSET(INDEX([1]Composições!I:R,MATCH([1]Orçamentária!I1874,[1]Composições!I:I,0),8),2,0)</f>
        <v>#REF!</v>
      </c>
      <c r="N1874" t="e">
        <v>#REF!</v>
      </c>
      <c r="Q1874" t="e">
        <v>#REF!</v>
      </c>
    </row>
    <row r="1875" spans="1:17" hidden="1" x14ac:dyDescent="0.25">
      <c r="A1875" s="114" t="s">
        <v>4659</v>
      </c>
      <c r="B1875" s="115" t="s">
        <v>3607</v>
      </c>
      <c r="C1875" s="116" t="s">
        <v>16</v>
      </c>
      <c r="D1875" s="116">
        <v>0</v>
      </c>
      <c r="E1875" s="136" t="s">
        <v>416</v>
      </c>
      <c r="F1875" s="137" t="str">
        <f t="shared" si="156"/>
        <v/>
      </c>
      <c r="G1875" s="138" t="e">
        <f>IF(A1875&lt;&gt;"",IF(AND(#REF!="Padrão",$H$4=#REF!),BDI!$B$17,IF(AND(#REF!="Padrão",$H$4=#REF!),BDI!#REF!,IF(AND(#REF!="Diferenciado",$H$4=#REF!),BDI!$E$17,IF(AND(#REF!="Diferenciado",$H$4=#REF!),BDI!#REF!,IF(#REF!="ZERO",0))))),"")</f>
        <v>#REF!</v>
      </c>
      <c r="H1875" s="139" t="str">
        <f t="shared" si="157"/>
        <v/>
      </c>
      <c r="I1875" s="137" t="str">
        <f t="shared" si="158"/>
        <v/>
      </c>
      <c r="J1875" s="117"/>
      <c r="K1875" s="116">
        <v>0</v>
      </c>
      <c r="M1875" s="136" t="s">
        <v>416</v>
      </c>
      <c r="N1875" t="e">
        <v>#REF!</v>
      </c>
      <c r="Q1875" t="s">
        <v>416</v>
      </c>
    </row>
    <row r="1876" spans="1:17" hidden="1" x14ac:dyDescent="0.25">
      <c r="A1876" s="114" t="s">
        <v>4660</v>
      </c>
      <c r="B1876" s="115" t="s">
        <v>3608</v>
      </c>
      <c r="C1876" s="116" t="s">
        <v>69</v>
      </c>
      <c r="D1876" s="116">
        <v>0</v>
      </c>
      <c r="E1876" s="136">
        <f ca="1">OFFSET(INDEX(Composições!A:J,MATCH(Orçamentária!A1876,Composições!A:A,0),8),2,0)</f>
        <v>13.8225</v>
      </c>
      <c r="F1876" s="137">
        <f t="shared" ca="1" si="156"/>
        <v>0</v>
      </c>
      <c r="G1876" s="138" t="e">
        <f>IF(A1876&lt;&gt;"",IF(AND(#REF!="Padrão",$H$4=#REF!),BDI!$B$17,IF(AND(#REF!="Padrão",$H$4=#REF!),BDI!#REF!,IF(AND(#REF!="Diferenciado",$H$4=#REF!),BDI!$E$17,IF(AND(#REF!="Diferenciado",$H$4=#REF!),BDI!#REF!,IF(#REF!="ZERO",0))))),"")</f>
        <v>#REF!</v>
      </c>
      <c r="H1876" s="139" t="e">
        <f t="shared" ca="1" si="157"/>
        <v>#REF!</v>
      </c>
      <c r="I1876" s="137" t="e">
        <f t="shared" ca="1" si="158"/>
        <v>#REF!</v>
      </c>
      <c r="J1876" s="117"/>
      <c r="K1876" s="116">
        <v>0</v>
      </c>
      <c r="M1876" s="136" t="e">
        <f ca="1">OFFSET(INDEX([1]Composições!I:R,MATCH([1]Orçamentária!I1876,[1]Composições!I:I,0),8),2,0)</f>
        <v>#REF!</v>
      </c>
      <c r="N1876" t="e">
        <v>#REF!</v>
      </c>
      <c r="Q1876" t="e">
        <v>#REF!</v>
      </c>
    </row>
    <row r="1877" spans="1:17" hidden="1" x14ac:dyDescent="0.25">
      <c r="A1877" s="114" t="s">
        <v>4661</v>
      </c>
      <c r="B1877" s="115" t="s">
        <v>3609</v>
      </c>
      <c r="C1877" s="116" t="s">
        <v>16</v>
      </c>
      <c r="D1877" s="116">
        <v>0</v>
      </c>
      <c r="E1877" s="136" t="s">
        <v>416</v>
      </c>
      <c r="F1877" s="137" t="str">
        <f t="shared" si="156"/>
        <v/>
      </c>
      <c r="G1877" s="138" t="e">
        <f>IF(A1877&lt;&gt;"",IF(AND(#REF!="Padrão",$H$4=#REF!),BDI!$B$17,IF(AND(#REF!="Padrão",$H$4=#REF!),BDI!#REF!,IF(AND(#REF!="Diferenciado",$H$4=#REF!),BDI!$E$17,IF(AND(#REF!="Diferenciado",$H$4=#REF!),BDI!#REF!,IF(#REF!="ZERO",0))))),"")</f>
        <v>#REF!</v>
      </c>
      <c r="H1877" s="139" t="str">
        <f t="shared" si="157"/>
        <v/>
      </c>
      <c r="I1877" s="137" t="str">
        <f t="shared" si="158"/>
        <v/>
      </c>
      <c r="J1877" s="117"/>
      <c r="K1877" s="116">
        <v>0</v>
      </c>
      <c r="M1877" s="136" t="s">
        <v>416</v>
      </c>
      <c r="N1877" t="e">
        <v>#REF!</v>
      </c>
      <c r="Q1877" t="s">
        <v>416</v>
      </c>
    </row>
    <row r="1878" spans="1:17" hidden="1" x14ac:dyDescent="0.25">
      <c r="A1878" s="114" t="s">
        <v>4662</v>
      </c>
      <c r="B1878" s="115" t="s">
        <v>3610</v>
      </c>
      <c r="C1878" s="116" t="s">
        <v>69</v>
      </c>
      <c r="D1878" s="116">
        <v>0</v>
      </c>
      <c r="E1878" s="136">
        <f ca="1">OFFSET(INDEX(Composições!A:J,MATCH(Orçamentária!A1878,Composições!A:A,0),8),2,0)</f>
        <v>20.852499999999999</v>
      </c>
      <c r="F1878" s="137">
        <f t="shared" ca="1" si="156"/>
        <v>0</v>
      </c>
      <c r="G1878" s="138" t="e">
        <f>IF(A1878&lt;&gt;"",IF(AND(#REF!="Padrão",$H$4=#REF!),BDI!$B$17,IF(AND(#REF!="Padrão",$H$4=#REF!),BDI!#REF!,IF(AND(#REF!="Diferenciado",$H$4=#REF!),BDI!$E$17,IF(AND(#REF!="Diferenciado",$H$4=#REF!),BDI!#REF!,IF(#REF!="ZERO",0))))),"")</f>
        <v>#REF!</v>
      </c>
      <c r="H1878" s="139" t="e">
        <f t="shared" ca="1" si="157"/>
        <v>#REF!</v>
      </c>
      <c r="I1878" s="137" t="e">
        <f t="shared" ca="1" si="158"/>
        <v>#REF!</v>
      </c>
      <c r="J1878" s="117"/>
      <c r="K1878" s="116">
        <v>0</v>
      </c>
      <c r="M1878" s="136" t="e">
        <f ca="1">OFFSET(INDEX([1]Composições!I:R,MATCH([1]Orçamentária!I1878,[1]Composições!I:I,0),8),2,0)</f>
        <v>#REF!</v>
      </c>
      <c r="N1878" t="e">
        <v>#REF!</v>
      </c>
      <c r="Q1878" t="e">
        <v>#REF!</v>
      </c>
    </row>
    <row r="1879" spans="1:17" hidden="1" x14ac:dyDescent="0.25">
      <c r="A1879" s="114" t="s">
        <v>4663</v>
      </c>
      <c r="B1879" s="115" t="s">
        <v>3611</v>
      </c>
      <c r="C1879" s="116" t="s">
        <v>16</v>
      </c>
      <c r="D1879" s="116">
        <v>0</v>
      </c>
      <c r="E1879" s="136" t="s">
        <v>416</v>
      </c>
      <c r="F1879" s="137" t="str">
        <f t="shared" si="156"/>
        <v/>
      </c>
      <c r="G1879" s="138" t="e">
        <f>IF(A1879&lt;&gt;"",IF(AND(#REF!="Padrão",$H$4=#REF!),BDI!$B$17,IF(AND(#REF!="Padrão",$H$4=#REF!),BDI!#REF!,IF(AND(#REF!="Diferenciado",$H$4=#REF!),BDI!$E$17,IF(AND(#REF!="Diferenciado",$H$4=#REF!),BDI!#REF!,IF(#REF!="ZERO",0))))),"")</f>
        <v>#REF!</v>
      </c>
      <c r="H1879" s="139" t="str">
        <f t="shared" si="157"/>
        <v/>
      </c>
      <c r="I1879" s="137" t="str">
        <f t="shared" si="158"/>
        <v/>
      </c>
      <c r="J1879" s="117"/>
      <c r="K1879" s="116">
        <v>0</v>
      </c>
      <c r="M1879" s="136" t="s">
        <v>416</v>
      </c>
      <c r="N1879" t="e">
        <v>#REF!</v>
      </c>
      <c r="Q1879" t="s">
        <v>416</v>
      </c>
    </row>
    <row r="1880" spans="1:17" hidden="1" x14ac:dyDescent="0.25">
      <c r="A1880" s="114" t="s">
        <v>4664</v>
      </c>
      <c r="B1880" s="115" t="s">
        <v>3612</v>
      </c>
      <c r="C1880" s="116" t="s">
        <v>69</v>
      </c>
      <c r="D1880" s="116">
        <v>0</v>
      </c>
      <c r="E1880" s="136">
        <f ca="1">OFFSET(INDEX(Composições!A:J,MATCH(Orçamentária!A1880,Composições!A:A,0),8),2,0)</f>
        <v>26.847000000000001</v>
      </c>
      <c r="F1880" s="137">
        <f t="shared" ca="1" si="156"/>
        <v>0</v>
      </c>
      <c r="G1880" s="138" t="e">
        <f>IF(A1880&lt;&gt;"",IF(AND(#REF!="Padrão",$H$4=#REF!),BDI!$B$17,IF(AND(#REF!="Padrão",$H$4=#REF!),BDI!#REF!,IF(AND(#REF!="Diferenciado",$H$4=#REF!),BDI!$E$17,IF(AND(#REF!="Diferenciado",$H$4=#REF!),BDI!#REF!,IF(#REF!="ZERO",0))))),"")</f>
        <v>#REF!</v>
      </c>
      <c r="H1880" s="139" t="e">
        <f t="shared" ca="1" si="157"/>
        <v>#REF!</v>
      </c>
      <c r="I1880" s="137" t="e">
        <f t="shared" ca="1" si="158"/>
        <v>#REF!</v>
      </c>
      <c r="J1880" s="117"/>
      <c r="K1880" s="116">
        <v>0</v>
      </c>
      <c r="M1880" s="136" t="e">
        <f ca="1">OFFSET(INDEX([1]Composições!I:R,MATCH([1]Orçamentária!I1880,[1]Composições!I:I,0),8),2,0)</f>
        <v>#REF!</v>
      </c>
      <c r="N1880" t="e">
        <v>#REF!</v>
      </c>
      <c r="Q1880" t="e">
        <v>#REF!</v>
      </c>
    </row>
    <row r="1881" spans="1:17" hidden="1" x14ac:dyDescent="0.25">
      <c r="A1881" s="114" t="s">
        <v>4665</v>
      </c>
      <c r="B1881" s="115" t="s">
        <v>3613</v>
      </c>
      <c r="C1881" s="116" t="s">
        <v>16</v>
      </c>
      <c r="D1881" s="116">
        <v>0</v>
      </c>
      <c r="E1881" s="136" t="s">
        <v>416</v>
      </c>
      <c r="F1881" s="137" t="str">
        <f t="shared" si="156"/>
        <v/>
      </c>
      <c r="G1881" s="138" t="e">
        <f>IF(A1881&lt;&gt;"",IF(AND(#REF!="Padrão",$H$4=#REF!),BDI!$B$17,IF(AND(#REF!="Padrão",$H$4=#REF!),BDI!#REF!,IF(AND(#REF!="Diferenciado",$H$4=#REF!),BDI!$E$17,IF(AND(#REF!="Diferenciado",$H$4=#REF!),BDI!#REF!,IF(#REF!="ZERO",0))))),"")</f>
        <v>#REF!</v>
      </c>
      <c r="H1881" s="139" t="str">
        <f t="shared" si="157"/>
        <v/>
      </c>
      <c r="I1881" s="137" t="str">
        <f t="shared" si="158"/>
        <v/>
      </c>
      <c r="J1881" s="117"/>
      <c r="K1881" s="116">
        <v>0</v>
      </c>
      <c r="M1881" s="136" t="s">
        <v>416</v>
      </c>
      <c r="N1881" t="e">
        <v>#REF!</v>
      </c>
      <c r="Q1881" t="s">
        <v>416</v>
      </c>
    </row>
    <row r="1882" spans="1:17" hidden="1" x14ac:dyDescent="0.25">
      <c r="A1882" s="114" t="s">
        <v>4666</v>
      </c>
      <c r="B1882" s="115" t="s">
        <v>3614</v>
      </c>
      <c r="C1882" s="116" t="s">
        <v>69</v>
      </c>
      <c r="D1882" s="116">
        <v>0</v>
      </c>
      <c r="E1882" s="136">
        <f ca="1">OFFSET(INDEX(Composições!A:J,MATCH(Orçamentária!A1882,Composições!A:A,0),8),2,0)</f>
        <v>35.757999999999996</v>
      </c>
      <c r="F1882" s="137">
        <f t="shared" ca="1" si="156"/>
        <v>0</v>
      </c>
      <c r="G1882" s="138" t="e">
        <f>IF(A1882&lt;&gt;"",IF(AND(#REF!="Padrão",$H$4=#REF!),BDI!$B$17,IF(AND(#REF!="Padrão",$H$4=#REF!),BDI!#REF!,IF(AND(#REF!="Diferenciado",$H$4=#REF!),BDI!$E$17,IF(AND(#REF!="Diferenciado",$H$4=#REF!),BDI!#REF!,IF(#REF!="ZERO",0))))),"")</f>
        <v>#REF!</v>
      </c>
      <c r="H1882" s="139" t="e">
        <f t="shared" ca="1" si="157"/>
        <v>#REF!</v>
      </c>
      <c r="I1882" s="137" t="e">
        <f t="shared" ca="1" si="158"/>
        <v>#REF!</v>
      </c>
      <c r="J1882" s="117"/>
      <c r="K1882" s="116">
        <v>0</v>
      </c>
      <c r="M1882" s="136" t="e">
        <f ca="1">OFFSET(INDEX([1]Composições!I:R,MATCH([1]Orçamentária!I1882,[1]Composições!I:I,0),8),2,0)</f>
        <v>#REF!</v>
      </c>
      <c r="N1882" t="e">
        <v>#REF!</v>
      </c>
      <c r="Q1882" t="e">
        <v>#REF!</v>
      </c>
    </row>
    <row r="1883" spans="1:17" hidden="1" x14ac:dyDescent="0.25">
      <c r="A1883" s="114" t="s">
        <v>4667</v>
      </c>
      <c r="B1883" s="115" t="s">
        <v>3615</v>
      </c>
      <c r="C1883" s="116" t="s">
        <v>16</v>
      </c>
      <c r="D1883" s="116">
        <v>0</v>
      </c>
      <c r="E1883" s="136" t="s">
        <v>416</v>
      </c>
      <c r="F1883" s="137" t="str">
        <f t="shared" si="156"/>
        <v/>
      </c>
      <c r="G1883" s="138" t="e">
        <f>IF(A1883&lt;&gt;"",IF(AND(#REF!="Padrão",$H$4=#REF!),BDI!$B$17,IF(AND(#REF!="Padrão",$H$4=#REF!),BDI!#REF!,IF(AND(#REF!="Diferenciado",$H$4=#REF!),BDI!$E$17,IF(AND(#REF!="Diferenciado",$H$4=#REF!),BDI!#REF!,IF(#REF!="ZERO",0))))),"")</f>
        <v>#REF!</v>
      </c>
      <c r="H1883" s="139" t="str">
        <f t="shared" si="157"/>
        <v/>
      </c>
      <c r="I1883" s="137" t="str">
        <f t="shared" si="158"/>
        <v/>
      </c>
      <c r="J1883" s="117"/>
      <c r="K1883" s="116">
        <v>0</v>
      </c>
      <c r="M1883" s="136" t="s">
        <v>416</v>
      </c>
      <c r="N1883" t="e">
        <v>#REF!</v>
      </c>
      <c r="Q1883" t="s">
        <v>416</v>
      </c>
    </row>
    <row r="1884" spans="1:17" hidden="1" x14ac:dyDescent="0.25">
      <c r="A1884" s="114" t="s">
        <v>4668</v>
      </c>
      <c r="B1884" s="115" t="s">
        <v>3616</v>
      </c>
      <c r="C1884" s="116" t="s">
        <v>69</v>
      </c>
      <c r="D1884" s="116">
        <v>0</v>
      </c>
      <c r="E1884" s="136">
        <f ca="1">OFFSET(INDEX(Composições!A:J,MATCH(Orçamentária!A1884,Composições!A:A,0),8),2,0)</f>
        <v>3.3344999999999998</v>
      </c>
      <c r="F1884" s="137">
        <f t="shared" ca="1" si="156"/>
        <v>0</v>
      </c>
      <c r="G1884" s="138" t="e">
        <f>IF(A1884&lt;&gt;"",IF(AND(#REF!="Padrão",$H$4=#REF!),BDI!$B$17,IF(AND(#REF!="Padrão",$H$4=#REF!),BDI!#REF!,IF(AND(#REF!="Diferenciado",$H$4=#REF!),BDI!$E$17,IF(AND(#REF!="Diferenciado",$H$4=#REF!),BDI!#REF!,IF(#REF!="ZERO",0))))),"")</f>
        <v>#REF!</v>
      </c>
      <c r="H1884" s="139" t="e">
        <f t="shared" ca="1" si="157"/>
        <v>#REF!</v>
      </c>
      <c r="I1884" s="137" t="e">
        <f t="shared" ca="1" si="158"/>
        <v>#REF!</v>
      </c>
      <c r="J1884" s="117"/>
      <c r="K1884" s="116">
        <v>0</v>
      </c>
      <c r="M1884" s="136" t="e">
        <f ca="1">OFFSET(INDEX([1]Composições!I:R,MATCH([1]Orçamentária!I1884,[1]Composições!I:I,0),8),2,0)</f>
        <v>#REF!</v>
      </c>
      <c r="N1884" t="e">
        <v>#REF!</v>
      </c>
      <c r="Q1884" t="e">
        <v>#REF!</v>
      </c>
    </row>
    <row r="1885" spans="1:17" hidden="1" x14ac:dyDescent="0.25">
      <c r="A1885" s="114" t="s">
        <v>4669</v>
      </c>
      <c r="B1885" s="115" t="s">
        <v>3617</v>
      </c>
      <c r="C1885" s="116" t="s">
        <v>16</v>
      </c>
      <c r="D1885" s="116">
        <v>0</v>
      </c>
      <c r="E1885" s="136">
        <f ca="1">OFFSET(INDEX(Composições!A:J,MATCH(Orçamentária!A1885,Composições!A:A,0),8),2,0)</f>
        <v>5.5385</v>
      </c>
      <c r="F1885" s="137">
        <f t="shared" ca="1" si="156"/>
        <v>0</v>
      </c>
      <c r="G1885" s="138" t="e">
        <f>IF(A1885&lt;&gt;"",IF(AND(#REF!="Padrão",$H$4=#REF!),BDI!$B$17,IF(AND(#REF!="Padrão",$H$4=#REF!),BDI!#REF!,IF(AND(#REF!="Diferenciado",$H$4=#REF!),BDI!$E$17,IF(AND(#REF!="Diferenciado",$H$4=#REF!),BDI!#REF!,IF(#REF!="ZERO",0))))),"")</f>
        <v>#REF!</v>
      </c>
      <c r="H1885" s="139" t="e">
        <f t="shared" ca="1" si="157"/>
        <v>#REF!</v>
      </c>
      <c r="I1885" s="137" t="e">
        <f t="shared" ca="1" si="158"/>
        <v>#REF!</v>
      </c>
      <c r="J1885" s="117"/>
      <c r="K1885" s="116">
        <v>0</v>
      </c>
      <c r="M1885" s="136" t="e">
        <f ca="1">OFFSET(INDEX([1]Composições!I:R,MATCH([1]Orçamentária!I1885,[1]Composições!I:I,0),8),2,0)</f>
        <v>#REF!</v>
      </c>
      <c r="N1885" t="e">
        <v>#REF!</v>
      </c>
      <c r="Q1885" t="e">
        <v>#REF!</v>
      </c>
    </row>
    <row r="1886" spans="1:17" hidden="1" x14ac:dyDescent="0.25">
      <c r="A1886" s="114" t="s">
        <v>4670</v>
      </c>
      <c r="B1886" s="115" t="s">
        <v>3618</v>
      </c>
      <c r="C1886" s="116" t="s">
        <v>69</v>
      </c>
      <c r="D1886" s="116">
        <v>0</v>
      </c>
      <c r="E1886" s="136">
        <f ca="1">OFFSET(INDEX(Composições!A:J,MATCH(Orçamentária!A1886,Composições!A:A,0),8),2,0)</f>
        <v>5.4909999999999997</v>
      </c>
      <c r="F1886" s="137">
        <f t="shared" ca="1" si="156"/>
        <v>0</v>
      </c>
      <c r="G1886" s="138" t="e">
        <f>IF(A1886&lt;&gt;"",IF(AND(#REF!="Padrão",$H$4=#REF!),BDI!$B$17,IF(AND(#REF!="Padrão",$H$4=#REF!),BDI!#REF!,IF(AND(#REF!="Diferenciado",$H$4=#REF!),BDI!$E$17,IF(AND(#REF!="Diferenciado",$H$4=#REF!),BDI!#REF!,IF(#REF!="ZERO",0))))),"")</f>
        <v>#REF!</v>
      </c>
      <c r="H1886" s="139" t="e">
        <f t="shared" ca="1" si="157"/>
        <v>#REF!</v>
      </c>
      <c r="I1886" s="137" t="e">
        <f t="shared" ca="1" si="158"/>
        <v>#REF!</v>
      </c>
      <c r="J1886" s="117"/>
      <c r="K1886" s="116">
        <v>0</v>
      </c>
      <c r="M1886" s="136" t="e">
        <f ca="1">OFFSET(INDEX([1]Composições!I:R,MATCH([1]Orçamentária!I1886,[1]Composições!I:I,0),8),2,0)</f>
        <v>#REF!</v>
      </c>
      <c r="N1886" t="e">
        <v>#REF!</v>
      </c>
      <c r="Q1886" t="e">
        <v>#REF!</v>
      </c>
    </row>
    <row r="1887" spans="1:17" hidden="1" x14ac:dyDescent="0.25">
      <c r="A1887" s="114" t="s">
        <v>4671</v>
      </c>
      <c r="B1887" s="115" t="s">
        <v>3619</v>
      </c>
      <c r="C1887" s="116" t="s">
        <v>16</v>
      </c>
      <c r="D1887" s="116">
        <v>0</v>
      </c>
      <c r="E1887" s="136">
        <f ca="1">OFFSET(INDEX(Composições!A:J,MATCH(Orçamentária!A1887,Composições!A:A,0),8),2,0)</f>
        <v>6.327</v>
      </c>
      <c r="F1887" s="137">
        <f t="shared" ca="1" si="156"/>
        <v>0</v>
      </c>
      <c r="G1887" s="138" t="e">
        <f>IF(A1887&lt;&gt;"",IF(AND(#REF!="Padrão",$H$4=#REF!),BDI!$B$17,IF(AND(#REF!="Padrão",$H$4=#REF!),BDI!#REF!,IF(AND(#REF!="Diferenciado",$H$4=#REF!),BDI!$E$17,IF(AND(#REF!="Diferenciado",$H$4=#REF!),BDI!#REF!,IF(#REF!="ZERO",0))))),"")</f>
        <v>#REF!</v>
      </c>
      <c r="H1887" s="139" t="e">
        <f t="shared" ca="1" si="157"/>
        <v>#REF!</v>
      </c>
      <c r="I1887" s="137" t="e">
        <f t="shared" ca="1" si="158"/>
        <v>#REF!</v>
      </c>
      <c r="J1887" s="117"/>
      <c r="K1887" s="116">
        <v>0</v>
      </c>
      <c r="M1887" s="136" t="e">
        <f ca="1">OFFSET(INDEX([1]Composições!I:R,MATCH([1]Orçamentária!I1887,[1]Composições!I:I,0),8),2,0)</f>
        <v>#REF!</v>
      </c>
      <c r="N1887" t="e">
        <v>#REF!</v>
      </c>
      <c r="Q1887" t="e">
        <v>#REF!</v>
      </c>
    </row>
    <row r="1888" spans="1:17" hidden="1" x14ac:dyDescent="0.25">
      <c r="A1888" s="114" t="s">
        <v>4672</v>
      </c>
      <c r="B1888" s="115" t="s">
        <v>3620</v>
      </c>
      <c r="C1888" s="116" t="s">
        <v>69</v>
      </c>
      <c r="D1888" s="116">
        <v>0</v>
      </c>
      <c r="E1888" s="136">
        <f ca="1">OFFSET(INDEX(Composições!A:J,MATCH(Orçamentária!A1888,Composições!A:A,0),8),2,0)</f>
        <v>7.6949999999999994</v>
      </c>
      <c r="F1888" s="137">
        <f t="shared" ca="1" si="156"/>
        <v>0</v>
      </c>
      <c r="G1888" s="138" t="e">
        <f>IF(A1888&lt;&gt;"",IF(AND(#REF!="Padrão",$H$4=#REF!),BDI!$B$17,IF(AND(#REF!="Padrão",$H$4=#REF!),BDI!#REF!,IF(AND(#REF!="Diferenciado",$H$4=#REF!),BDI!$E$17,IF(AND(#REF!="Diferenciado",$H$4=#REF!),BDI!#REF!,IF(#REF!="ZERO",0))))),"")</f>
        <v>#REF!</v>
      </c>
      <c r="H1888" s="139" t="e">
        <f t="shared" ca="1" si="157"/>
        <v>#REF!</v>
      </c>
      <c r="I1888" s="137" t="e">
        <f t="shared" ca="1" si="158"/>
        <v>#REF!</v>
      </c>
      <c r="J1888" s="117"/>
      <c r="K1888" s="116">
        <v>0</v>
      </c>
      <c r="M1888" s="136" t="e">
        <f ca="1">OFFSET(INDEX([1]Composições!I:R,MATCH([1]Orçamentária!I1888,[1]Composições!I:I,0),8),2,0)</f>
        <v>#REF!</v>
      </c>
      <c r="N1888" t="e">
        <v>#REF!</v>
      </c>
      <c r="Q1888" t="e">
        <v>#REF!</v>
      </c>
    </row>
    <row r="1889" spans="1:17" hidden="1" x14ac:dyDescent="0.25">
      <c r="A1889" s="114" t="s">
        <v>4673</v>
      </c>
      <c r="B1889" s="115" t="s">
        <v>3621</v>
      </c>
      <c r="C1889" s="116" t="s">
        <v>16</v>
      </c>
      <c r="D1889" s="116">
        <v>0</v>
      </c>
      <c r="E1889" s="136">
        <f ca="1">OFFSET(INDEX(Composições!A:J,MATCH(Orçamentária!A1889,Composições!A:A,0),8),2,0)</f>
        <v>9.3290000000000006</v>
      </c>
      <c r="F1889" s="137">
        <f t="shared" ca="1" si="156"/>
        <v>0</v>
      </c>
      <c r="G1889" s="138" t="e">
        <f>IF(A1889&lt;&gt;"",IF(AND(#REF!="Padrão",$H$4=#REF!),BDI!$B$17,IF(AND(#REF!="Padrão",$H$4=#REF!),BDI!#REF!,IF(AND(#REF!="Diferenciado",$H$4=#REF!),BDI!$E$17,IF(AND(#REF!="Diferenciado",$H$4=#REF!),BDI!#REF!,IF(#REF!="ZERO",0))))),"")</f>
        <v>#REF!</v>
      </c>
      <c r="H1889" s="139" t="e">
        <f t="shared" ca="1" si="157"/>
        <v>#REF!</v>
      </c>
      <c r="I1889" s="137" t="e">
        <f t="shared" ca="1" si="158"/>
        <v>#REF!</v>
      </c>
      <c r="J1889" s="117"/>
      <c r="K1889" s="116">
        <v>0</v>
      </c>
      <c r="M1889" s="136" t="e">
        <f ca="1">OFFSET(INDEX([1]Composições!I:R,MATCH([1]Orçamentária!I1889,[1]Composições!I:I,0),8),2,0)</f>
        <v>#REF!</v>
      </c>
      <c r="N1889" t="e">
        <v>#REF!</v>
      </c>
      <c r="Q1889" t="e">
        <v>#REF!</v>
      </c>
    </row>
    <row r="1890" spans="1:17" hidden="1" x14ac:dyDescent="0.25">
      <c r="A1890" s="114" t="s">
        <v>4674</v>
      </c>
      <c r="B1890" s="115" t="s">
        <v>3622</v>
      </c>
      <c r="C1890" s="116" t="s">
        <v>69</v>
      </c>
      <c r="D1890" s="116">
        <v>0</v>
      </c>
      <c r="E1890" s="136">
        <f ca="1">OFFSET(INDEX(Composições!A:J,MATCH(Orçamentária!A1890,Composições!A:A,0),8),2,0)</f>
        <v>5.6050000000000004</v>
      </c>
      <c r="F1890" s="137">
        <f t="shared" ca="1" si="156"/>
        <v>0</v>
      </c>
      <c r="G1890" s="138" t="e">
        <f>IF(A1890&lt;&gt;"",IF(AND(#REF!="Padrão",$H$4=#REF!),BDI!$B$17,IF(AND(#REF!="Padrão",$H$4=#REF!),BDI!#REF!,IF(AND(#REF!="Diferenciado",$H$4=#REF!),BDI!$E$17,IF(AND(#REF!="Diferenciado",$H$4=#REF!),BDI!#REF!,IF(#REF!="ZERO",0))))),"")</f>
        <v>#REF!</v>
      </c>
      <c r="H1890" s="139" t="e">
        <f t="shared" ca="1" si="157"/>
        <v>#REF!</v>
      </c>
      <c r="I1890" s="137" t="e">
        <f t="shared" ca="1" si="158"/>
        <v>#REF!</v>
      </c>
      <c r="J1890" s="117"/>
      <c r="K1890" s="116">
        <v>0</v>
      </c>
      <c r="M1890" s="136" t="e">
        <f ca="1">OFFSET(INDEX([1]Composições!I:R,MATCH([1]Orçamentária!I1890,[1]Composições!I:I,0),8),2,0)</f>
        <v>#REF!</v>
      </c>
      <c r="N1890" t="e">
        <v>#REF!</v>
      </c>
      <c r="Q1890" t="e">
        <v>#REF!</v>
      </c>
    </row>
    <row r="1891" spans="1:17" hidden="1" x14ac:dyDescent="0.25">
      <c r="A1891" s="114" t="s">
        <v>4675</v>
      </c>
      <c r="B1891" s="115" t="s">
        <v>3623</v>
      </c>
      <c r="C1891" s="116" t="s">
        <v>16</v>
      </c>
      <c r="D1891" s="116">
        <v>0</v>
      </c>
      <c r="E1891" s="136">
        <f ca="1">OFFSET(INDEX(Composições!A:J,MATCH(Orçamentária!A1891,Composições!A:A,0),8),2,0)</f>
        <v>1.6244999999999998</v>
      </c>
      <c r="F1891" s="137">
        <f t="shared" ca="1" si="156"/>
        <v>0</v>
      </c>
      <c r="G1891" s="138" t="e">
        <f>IF(A1891&lt;&gt;"",IF(AND(#REF!="Padrão",$H$4=#REF!),BDI!$B$17,IF(AND(#REF!="Padrão",$H$4=#REF!),BDI!#REF!,IF(AND(#REF!="Diferenciado",$H$4=#REF!),BDI!$E$17,IF(AND(#REF!="Diferenciado",$H$4=#REF!),BDI!#REF!,IF(#REF!="ZERO",0))))),"")</f>
        <v>#REF!</v>
      </c>
      <c r="H1891" s="139" t="e">
        <f t="shared" ca="1" si="157"/>
        <v>#REF!</v>
      </c>
      <c r="I1891" s="137" t="e">
        <f t="shared" ca="1" si="158"/>
        <v>#REF!</v>
      </c>
      <c r="J1891" s="117"/>
      <c r="K1891" s="116">
        <v>0</v>
      </c>
      <c r="M1891" s="136" t="e">
        <f ca="1">OFFSET(INDEX([1]Composições!I:R,MATCH([1]Orçamentária!I1891,[1]Composições!I:I,0),8),2,0)</f>
        <v>#REF!</v>
      </c>
      <c r="N1891" t="e">
        <v>#REF!</v>
      </c>
      <c r="Q1891" t="e">
        <v>#REF!</v>
      </c>
    </row>
    <row r="1892" spans="1:17" hidden="1" x14ac:dyDescent="0.25">
      <c r="A1892" s="114" t="s">
        <v>4676</v>
      </c>
      <c r="B1892" s="115" t="s">
        <v>3624</v>
      </c>
      <c r="C1892" s="116" t="s">
        <v>16</v>
      </c>
      <c r="D1892" s="116">
        <v>0</v>
      </c>
      <c r="E1892" s="136">
        <f ca="1">OFFSET(INDEX(Composições!A:J,MATCH(Orçamentária!A1892,Composições!A:A,0),8),2,0)</f>
        <v>3.5150000000000001</v>
      </c>
      <c r="F1892" s="137">
        <f t="shared" ca="1" si="156"/>
        <v>0</v>
      </c>
      <c r="G1892" s="138" t="e">
        <f>IF(A1892&lt;&gt;"",IF(AND(#REF!="Padrão",$H$4=#REF!),BDI!$B$17,IF(AND(#REF!="Padrão",$H$4=#REF!),BDI!#REF!,IF(AND(#REF!="Diferenciado",$H$4=#REF!),BDI!$E$17,IF(AND(#REF!="Diferenciado",$H$4=#REF!),BDI!#REF!,IF(#REF!="ZERO",0))))),"")</f>
        <v>#REF!</v>
      </c>
      <c r="H1892" s="139" t="e">
        <f t="shared" ca="1" si="157"/>
        <v>#REF!</v>
      </c>
      <c r="I1892" s="137" t="e">
        <f t="shared" ca="1" si="158"/>
        <v>#REF!</v>
      </c>
      <c r="J1892" s="117"/>
      <c r="K1892" s="116">
        <v>0</v>
      </c>
      <c r="M1892" s="136" t="e">
        <f ca="1">OFFSET(INDEX([1]Composições!I:R,MATCH([1]Orçamentária!I1892,[1]Composições!I:I,0),8),2,0)</f>
        <v>#REF!</v>
      </c>
      <c r="N1892" t="e">
        <v>#REF!</v>
      </c>
      <c r="Q1892" t="e">
        <v>#REF!</v>
      </c>
    </row>
    <row r="1893" spans="1:17" hidden="1" x14ac:dyDescent="0.25">
      <c r="A1893" s="114" t="s">
        <v>4677</v>
      </c>
      <c r="B1893" s="115" t="s">
        <v>3625</v>
      </c>
      <c r="C1893" s="116" t="s">
        <v>69</v>
      </c>
      <c r="D1893" s="116">
        <v>0</v>
      </c>
      <c r="E1893" s="136">
        <f ca="1">OFFSET(INDEX(Composições!A:J,MATCH(Orçamentária!A1893,Composições!A:A,0),8),2,0)</f>
        <v>8.7590000000000003</v>
      </c>
      <c r="F1893" s="137">
        <f t="shared" ca="1" si="156"/>
        <v>0</v>
      </c>
      <c r="G1893" s="138" t="e">
        <f>IF(A1893&lt;&gt;"",IF(AND(#REF!="Padrão",$H$4=#REF!),BDI!$B$17,IF(AND(#REF!="Padrão",$H$4=#REF!),BDI!#REF!,IF(AND(#REF!="Diferenciado",$H$4=#REF!),BDI!$E$17,IF(AND(#REF!="Diferenciado",$H$4=#REF!),BDI!#REF!,IF(#REF!="ZERO",0))))),"")</f>
        <v>#REF!</v>
      </c>
      <c r="H1893" s="139" t="e">
        <f t="shared" ca="1" si="157"/>
        <v>#REF!</v>
      </c>
      <c r="I1893" s="137" t="e">
        <f t="shared" ca="1" si="158"/>
        <v>#REF!</v>
      </c>
      <c r="J1893" s="117"/>
      <c r="K1893" s="116">
        <v>0</v>
      </c>
      <c r="M1893" s="136" t="e">
        <f ca="1">OFFSET(INDEX([1]Composições!I:R,MATCH([1]Orçamentária!I1893,[1]Composições!I:I,0),8),2,0)</f>
        <v>#REF!</v>
      </c>
      <c r="N1893" t="e">
        <v>#REF!</v>
      </c>
      <c r="Q1893" t="e">
        <v>#REF!</v>
      </c>
    </row>
    <row r="1894" spans="1:17" hidden="1" x14ac:dyDescent="0.25">
      <c r="A1894" s="114" t="s">
        <v>4678</v>
      </c>
      <c r="B1894" s="115" t="s">
        <v>3626</v>
      </c>
      <c r="C1894" s="116" t="s">
        <v>16</v>
      </c>
      <c r="D1894" s="116">
        <v>0</v>
      </c>
      <c r="E1894" s="136">
        <f ca="1">OFFSET(INDEX(Composições!A:J,MATCH(Orçamentária!A1894,Composições!A:A,0),8),2,0)</f>
        <v>2.2705000000000002</v>
      </c>
      <c r="F1894" s="137">
        <f t="shared" ca="1" si="156"/>
        <v>0</v>
      </c>
      <c r="G1894" s="138" t="e">
        <f>IF(A1894&lt;&gt;"",IF(AND(#REF!="Padrão",$H$4=#REF!),BDI!$B$17,IF(AND(#REF!="Padrão",$H$4=#REF!),BDI!#REF!,IF(AND(#REF!="Diferenciado",$H$4=#REF!),BDI!$E$17,IF(AND(#REF!="Diferenciado",$H$4=#REF!),BDI!#REF!,IF(#REF!="ZERO",0))))),"")</f>
        <v>#REF!</v>
      </c>
      <c r="H1894" s="139" t="e">
        <f t="shared" ca="1" si="157"/>
        <v>#REF!</v>
      </c>
      <c r="I1894" s="137" t="e">
        <f t="shared" ca="1" si="158"/>
        <v>#REF!</v>
      </c>
      <c r="J1894" s="117"/>
      <c r="K1894" s="116">
        <v>0</v>
      </c>
      <c r="M1894" s="136" t="e">
        <f ca="1">OFFSET(INDEX([1]Composições!I:R,MATCH([1]Orçamentária!I1894,[1]Composições!I:I,0),8),2,0)</f>
        <v>#REF!</v>
      </c>
      <c r="N1894" t="e">
        <v>#REF!</v>
      </c>
      <c r="Q1894" t="e">
        <v>#REF!</v>
      </c>
    </row>
    <row r="1895" spans="1:17" hidden="1" x14ac:dyDescent="0.25">
      <c r="A1895" s="114" t="s">
        <v>4679</v>
      </c>
      <c r="B1895" s="115" t="s">
        <v>3627</v>
      </c>
      <c r="C1895" s="116" t="s">
        <v>16</v>
      </c>
      <c r="D1895" s="116">
        <v>0</v>
      </c>
      <c r="E1895" s="136">
        <f ca="1">OFFSET(INDEX(Composições!A:J,MATCH(Orçamentária!A1895,Composições!A:A,0),8),2,0)</f>
        <v>4.8639999999999999</v>
      </c>
      <c r="F1895" s="137">
        <f t="shared" ca="1" si="156"/>
        <v>0</v>
      </c>
      <c r="G1895" s="138" t="e">
        <f>IF(A1895&lt;&gt;"",IF(AND(#REF!="Padrão",$H$4=#REF!),BDI!$B$17,IF(AND(#REF!="Padrão",$H$4=#REF!),BDI!#REF!,IF(AND(#REF!="Diferenciado",$H$4=#REF!),BDI!$E$17,IF(AND(#REF!="Diferenciado",$H$4=#REF!),BDI!#REF!,IF(#REF!="ZERO",0))))),"")</f>
        <v>#REF!</v>
      </c>
      <c r="H1895" s="139" t="e">
        <f t="shared" ca="1" si="157"/>
        <v>#REF!</v>
      </c>
      <c r="I1895" s="137" t="e">
        <f t="shared" ca="1" si="158"/>
        <v>#REF!</v>
      </c>
      <c r="J1895" s="117"/>
      <c r="K1895" s="116">
        <v>0</v>
      </c>
      <c r="M1895" s="136" t="e">
        <f ca="1">OFFSET(INDEX([1]Composições!I:R,MATCH([1]Orçamentária!I1895,[1]Composições!I:I,0),8),2,0)</f>
        <v>#REF!</v>
      </c>
      <c r="N1895" t="e">
        <v>#REF!</v>
      </c>
      <c r="Q1895" t="e">
        <v>#REF!</v>
      </c>
    </row>
    <row r="1896" spans="1:17" hidden="1" x14ac:dyDescent="0.25">
      <c r="A1896" s="114" t="s">
        <v>4680</v>
      </c>
      <c r="B1896" s="115" t="s">
        <v>3628</v>
      </c>
      <c r="C1896" s="116" t="s">
        <v>69</v>
      </c>
      <c r="D1896" s="116">
        <v>0</v>
      </c>
      <c r="E1896" s="136">
        <f ca="1">OFFSET(INDEX(Composições!A:J,MATCH(Orçamentária!A1896,Composições!A:A,0),8),2,0)</f>
        <v>11.665999999999999</v>
      </c>
      <c r="F1896" s="137">
        <f t="shared" ca="1" si="156"/>
        <v>0</v>
      </c>
      <c r="G1896" s="138" t="e">
        <f>IF(A1896&lt;&gt;"",IF(AND(#REF!="Padrão",$H$4=#REF!),BDI!$B$17,IF(AND(#REF!="Padrão",$H$4=#REF!),BDI!#REF!,IF(AND(#REF!="Diferenciado",$H$4=#REF!),BDI!$E$17,IF(AND(#REF!="Diferenciado",$H$4=#REF!),BDI!#REF!,IF(#REF!="ZERO",0))))),"")</f>
        <v>#REF!</v>
      </c>
      <c r="H1896" s="139" t="e">
        <f t="shared" ca="1" si="157"/>
        <v>#REF!</v>
      </c>
      <c r="I1896" s="137" t="e">
        <f t="shared" ca="1" si="158"/>
        <v>#REF!</v>
      </c>
      <c r="J1896" s="117"/>
      <c r="K1896" s="116">
        <v>0</v>
      </c>
      <c r="M1896" s="136" t="e">
        <f ca="1">OFFSET(INDEX([1]Composições!I:R,MATCH([1]Orçamentária!I1896,[1]Composições!I:I,0),8),2,0)</f>
        <v>#REF!</v>
      </c>
      <c r="N1896" t="e">
        <v>#REF!</v>
      </c>
      <c r="Q1896" t="e">
        <v>#REF!</v>
      </c>
    </row>
    <row r="1897" spans="1:17" hidden="1" x14ac:dyDescent="0.25">
      <c r="A1897" s="114" t="s">
        <v>4681</v>
      </c>
      <c r="B1897" s="115" t="s">
        <v>3629</v>
      </c>
      <c r="C1897" s="116" t="s">
        <v>16</v>
      </c>
      <c r="D1897" s="116">
        <v>0</v>
      </c>
      <c r="E1897" s="136">
        <f ca="1">OFFSET(INDEX(Composições!A:J,MATCH(Orçamentária!A1897,Composições!A:A,0),8),2,0)</f>
        <v>3.5244999999999997</v>
      </c>
      <c r="F1897" s="137">
        <f t="shared" ca="1" si="156"/>
        <v>0</v>
      </c>
      <c r="G1897" s="138" t="e">
        <f>IF(A1897&lt;&gt;"",IF(AND(#REF!="Padrão",$H$4=#REF!),BDI!$B$17,IF(AND(#REF!="Padrão",$H$4=#REF!),BDI!#REF!,IF(AND(#REF!="Diferenciado",$H$4=#REF!),BDI!$E$17,IF(AND(#REF!="Diferenciado",$H$4=#REF!),BDI!#REF!,IF(#REF!="ZERO",0))))),"")</f>
        <v>#REF!</v>
      </c>
      <c r="H1897" s="139" t="e">
        <f t="shared" ca="1" si="157"/>
        <v>#REF!</v>
      </c>
      <c r="I1897" s="137" t="e">
        <f t="shared" ca="1" si="158"/>
        <v>#REF!</v>
      </c>
      <c r="J1897" s="117"/>
      <c r="K1897" s="116">
        <v>0</v>
      </c>
      <c r="M1897" s="136" t="e">
        <f ca="1">OFFSET(INDEX([1]Composições!I:R,MATCH([1]Orçamentária!I1897,[1]Composições!I:I,0),8),2,0)</f>
        <v>#REF!</v>
      </c>
      <c r="N1897" t="e">
        <v>#REF!</v>
      </c>
      <c r="Q1897" t="e">
        <v>#REF!</v>
      </c>
    </row>
    <row r="1898" spans="1:17" hidden="1" x14ac:dyDescent="0.25">
      <c r="A1898" s="114" t="s">
        <v>4682</v>
      </c>
      <c r="B1898" s="115" t="s">
        <v>3630</v>
      </c>
      <c r="C1898" s="116" t="s">
        <v>16</v>
      </c>
      <c r="D1898" s="116">
        <v>0</v>
      </c>
      <c r="E1898" s="136">
        <f ca="1">OFFSET(INDEX(Composições!A:J,MATCH(Orçamentária!A1898,Composições!A:A,0),8),2,0)</f>
        <v>6.4124999999999996</v>
      </c>
      <c r="F1898" s="137">
        <f t="shared" ca="1" si="156"/>
        <v>0</v>
      </c>
      <c r="G1898" s="138" t="e">
        <f>IF(A1898&lt;&gt;"",IF(AND(#REF!="Padrão",$H$4=#REF!),BDI!$B$17,IF(AND(#REF!="Padrão",$H$4=#REF!),BDI!#REF!,IF(AND(#REF!="Diferenciado",$H$4=#REF!),BDI!$E$17,IF(AND(#REF!="Diferenciado",$H$4=#REF!),BDI!#REF!,IF(#REF!="ZERO",0))))),"")</f>
        <v>#REF!</v>
      </c>
      <c r="H1898" s="139" t="e">
        <f t="shared" ca="1" si="157"/>
        <v>#REF!</v>
      </c>
      <c r="I1898" s="137" t="e">
        <f t="shared" ca="1" si="158"/>
        <v>#REF!</v>
      </c>
      <c r="J1898" s="117"/>
      <c r="K1898" s="116">
        <v>0</v>
      </c>
      <c r="M1898" s="136" t="e">
        <f ca="1">OFFSET(INDEX([1]Composições!I:R,MATCH([1]Orçamentária!I1898,[1]Composições!I:I,0),8),2,0)</f>
        <v>#REF!</v>
      </c>
      <c r="N1898" t="e">
        <v>#REF!</v>
      </c>
      <c r="Q1898" t="e">
        <v>#REF!</v>
      </c>
    </row>
    <row r="1899" spans="1:17" hidden="1" x14ac:dyDescent="0.25">
      <c r="A1899" s="114" t="s">
        <v>4683</v>
      </c>
      <c r="B1899" s="115" t="s">
        <v>3631</v>
      </c>
      <c r="C1899" s="116" t="s">
        <v>69</v>
      </c>
      <c r="D1899" s="116">
        <v>0</v>
      </c>
      <c r="E1899" s="136">
        <f ca="1">OFFSET(INDEX(Composições!A:J,MATCH(Orçamentária!A1899,Composições!A:A,0),8),2,0)</f>
        <v>12.824999999999999</v>
      </c>
      <c r="F1899" s="137">
        <f t="shared" ca="1" si="156"/>
        <v>0</v>
      </c>
      <c r="G1899" s="138" t="e">
        <f>IF(A1899&lt;&gt;"",IF(AND(#REF!="Padrão",$H$4=#REF!),BDI!$B$17,IF(AND(#REF!="Padrão",$H$4=#REF!),BDI!#REF!,IF(AND(#REF!="Diferenciado",$H$4=#REF!),BDI!$E$17,IF(AND(#REF!="Diferenciado",$H$4=#REF!),BDI!#REF!,IF(#REF!="ZERO",0))))),"")</f>
        <v>#REF!</v>
      </c>
      <c r="H1899" s="139" t="e">
        <f t="shared" ca="1" si="157"/>
        <v>#REF!</v>
      </c>
      <c r="I1899" s="137" t="e">
        <f t="shared" ca="1" si="158"/>
        <v>#REF!</v>
      </c>
      <c r="J1899" s="117"/>
      <c r="K1899" s="116">
        <v>0</v>
      </c>
      <c r="M1899" s="136" t="e">
        <f ca="1">OFFSET(INDEX([1]Composições!I:R,MATCH([1]Orçamentária!I1899,[1]Composições!I:I,0),8),2,0)</f>
        <v>#REF!</v>
      </c>
      <c r="N1899" t="e">
        <v>#REF!</v>
      </c>
      <c r="Q1899" t="e">
        <v>#REF!</v>
      </c>
    </row>
    <row r="1900" spans="1:17" hidden="1" x14ac:dyDescent="0.25">
      <c r="A1900" s="114" t="s">
        <v>4684</v>
      </c>
      <c r="B1900" s="115" t="s">
        <v>3632</v>
      </c>
      <c r="C1900" s="116" t="s">
        <v>16</v>
      </c>
      <c r="D1900" s="116">
        <v>0</v>
      </c>
      <c r="E1900" s="136">
        <f ca="1">OFFSET(INDEX(Composições!A:J,MATCH(Orçamentária!A1900,Composições!A:A,0),8),2,0)</f>
        <v>4.8449999999999998</v>
      </c>
      <c r="F1900" s="137">
        <f t="shared" ca="1" si="156"/>
        <v>0</v>
      </c>
      <c r="G1900" s="138" t="e">
        <f>IF(A1900&lt;&gt;"",IF(AND(#REF!="Padrão",$H$4=#REF!),BDI!$B$17,IF(AND(#REF!="Padrão",$H$4=#REF!),BDI!#REF!,IF(AND(#REF!="Diferenciado",$H$4=#REF!),BDI!$E$17,IF(AND(#REF!="Diferenciado",$H$4=#REF!),BDI!#REF!,IF(#REF!="ZERO",0))))),"")</f>
        <v>#REF!</v>
      </c>
      <c r="H1900" s="139" t="e">
        <f t="shared" ca="1" si="157"/>
        <v>#REF!</v>
      </c>
      <c r="I1900" s="137" t="e">
        <f t="shared" ca="1" si="158"/>
        <v>#REF!</v>
      </c>
      <c r="J1900" s="117"/>
      <c r="K1900" s="116">
        <v>0</v>
      </c>
      <c r="M1900" s="136" t="e">
        <f ca="1">OFFSET(INDEX([1]Composições!I:R,MATCH([1]Orçamentária!I1900,[1]Composições!I:I,0),8),2,0)</f>
        <v>#REF!</v>
      </c>
      <c r="N1900" t="e">
        <v>#REF!</v>
      </c>
      <c r="Q1900" t="e">
        <v>#REF!</v>
      </c>
    </row>
    <row r="1901" spans="1:17" hidden="1" x14ac:dyDescent="0.25">
      <c r="A1901" s="114" t="s">
        <v>4685</v>
      </c>
      <c r="B1901" s="115" t="s">
        <v>3633</v>
      </c>
      <c r="C1901" s="116" t="s">
        <v>16</v>
      </c>
      <c r="D1901" s="116">
        <v>0</v>
      </c>
      <c r="E1901" s="136">
        <f ca="1">OFFSET(INDEX(Composições!A:J,MATCH(Orçamentária!A1901,Composições!A:A,0),8),2,0)</f>
        <v>7.770999999999999</v>
      </c>
      <c r="F1901" s="137">
        <f t="shared" ref="F1901:F1964" ca="1" si="159">IF(ISNUMBER(E1901),D1901*E1901,"")</f>
        <v>0</v>
      </c>
      <c r="G1901" s="138" t="e">
        <f>IF(A1901&lt;&gt;"",IF(AND(#REF!="Padrão",$H$4=#REF!),BDI!$B$17,IF(AND(#REF!="Padrão",$H$4=#REF!),BDI!#REF!,IF(AND(#REF!="Diferenciado",$H$4=#REF!),BDI!$E$17,IF(AND(#REF!="Diferenciado",$H$4=#REF!),BDI!#REF!,IF(#REF!="ZERO",0))))),"")</f>
        <v>#REF!</v>
      </c>
      <c r="H1901" s="139" t="e">
        <f t="shared" ref="H1901:H1964" ca="1" si="160">IF(ISNUMBER(E1901),ROUND(E1901*(1+G1901),2),"")</f>
        <v>#REF!</v>
      </c>
      <c r="I1901" s="137" t="e">
        <f t="shared" ref="I1901:I1964" ca="1" si="161">IF(ISNUMBER(E1901),ROUND(H1901*D1901,2),"")</f>
        <v>#REF!</v>
      </c>
      <c r="J1901" s="117"/>
      <c r="K1901" s="116">
        <v>0</v>
      </c>
      <c r="M1901" s="136" t="e">
        <f ca="1">OFFSET(INDEX([1]Composições!I:R,MATCH([1]Orçamentária!I1901,[1]Composições!I:I,0),8),2,0)</f>
        <v>#REF!</v>
      </c>
      <c r="N1901" t="e">
        <v>#REF!</v>
      </c>
      <c r="Q1901" t="e">
        <v>#REF!</v>
      </c>
    </row>
    <row r="1902" spans="1:17" hidden="1" x14ac:dyDescent="0.25">
      <c r="A1902" s="114" t="s">
        <v>4686</v>
      </c>
      <c r="B1902" s="115" t="s">
        <v>3634</v>
      </c>
      <c r="C1902" s="116" t="s">
        <v>69</v>
      </c>
      <c r="D1902" s="116">
        <v>0</v>
      </c>
      <c r="E1902" s="136">
        <f ca="1">OFFSET(INDEX(Composições!A:J,MATCH(Orçamentária!A1902,Composições!A:A,0),8),2,0)</f>
        <v>20.956999999999997</v>
      </c>
      <c r="F1902" s="137">
        <f t="shared" ca="1" si="159"/>
        <v>0</v>
      </c>
      <c r="G1902" s="138" t="e">
        <f>IF(A1902&lt;&gt;"",IF(AND(#REF!="Padrão",$H$4=#REF!),BDI!$B$17,IF(AND(#REF!="Padrão",$H$4=#REF!),BDI!#REF!,IF(AND(#REF!="Diferenciado",$H$4=#REF!),BDI!$E$17,IF(AND(#REF!="Diferenciado",$H$4=#REF!),BDI!#REF!,IF(#REF!="ZERO",0))))),"")</f>
        <v>#REF!</v>
      </c>
      <c r="H1902" s="139" t="e">
        <f t="shared" ca="1" si="160"/>
        <v>#REF!</v>
      </c>
      <c r="I1902" s="137" t="e">
        <f t="shared" ca="1" si="161"/>
        <v>#REF!</v>
      </c>
      <c r="J1902" s="117"/>
      <c r="K1902" s="116">
        <v>0</v>
      </c>
      <c r="M1902" s="136" t="e">
        <f ca="1">OFFSET(INDEX([1]Composições!I:R,MATCH([1]Orçamentária!I1902,[1]Composições!I:I,0),8),2,0)</f>
        <v>#REF!</v>
      </c>
      <c r="N1902" t="e">
        <v>#REF!</v>
      </c>
      <c r="Q1902" t="e">
        <v>#REF!</v>
      </c>
    </row>
    <row r="1903" spans="1:17" hidden="1" x14ac:dyDescent="0.25">
      <c r="A1903" s="114" t="s">
        <v>4687</v>
      </c>
      <c r="B1903" s="115" t="s">
        <v>3635</v>
      </c>
      <c r="C1903" s="116" t="s">
        <v>16</v>
      </c>
      <c r="D1903" s="116">
        <v>0</v>
      </c>
      <c r="E1903" s="136">
        <f ca="1">OFFSET(INDEX(Composições!A:J,MATCH(Orçamentária!A1903,Composições!A:A,0),8),2,0)</f>
        <v>7.0204999999999993</v>
      </c>
      <c r="F1903" s="137">
        <f t="shared" ca="1" si="159"/>
        <v>0</v>
      </c>
      <c r="G1903" s="138" t="e">
        <f>IF(A1903&lt;&gt;"",IF(AND(#REF!="Padrão",$H$4=#REF!),BDI!$B$17,IF(AND(#REF!="Padrão",$H$4=#REF!),BDI!#REF!,IF(AND(#REF!="Diferenciado",$H$4=#REF!),BDI!$E$17,IF(AND(#REF!="Diferenciado",$H$4=#REF!),BDI!#REF!,IF(#REF!="ZERO",0))))),"")</f>
        <v>#REF!</v>
      </c>
      <c r="H1903" s="139" t="e">
        <f t="shared" ca="1" si="160"/>
        <v>#REF!</v>
      </c>
      <c r="I1903" s="137" t="e">
        <f t="shared" ca="1" si="161"/>
        <v>#REF!</v>
      </c>
      <c r="J1903" s="117"/>
      <c r="K1903" s="116">
        <v>0</v>
      </c>
      <c r="M1903" s="136" t="e">
        <f ca="1">OFFSET(INDEX([1]Composições!I:R,MATCH([1]Orçamentária!I1903,[1]Composições!I:I,0),8),2,0)</f>
        <v>#REF!</v>
      </c>
      <c r="N1903" t="e">
        <v>#REF!</v>
      </c>
      <c r="Q1903" t="e">
        <v>#REF!</v>
      </c>
    </row>
    <row r="1904" spans="1:17" hidden="1" x14ac:dyDescent="0.25">
      <c r="A1904" s="114" t="s">
        <v>4688</v>
      </c>
      <c r="B1904" s="115" t="s">
        <v>3636</v>
      </c>
      <c r="C1904" s="116" t="s">
        <v>16</v>
      </c>
      <c r="D1904" s="116">
        <v>0</v>
      </c>
      <c r="E1904" s="136">
        <f ca="1">OFFSET(INDEX(Composições!A:J,MATCH(Orçamentária!A1904,Composições!A:A,0),8),2,0)</f>
        <v>12.625499999999999</v>
      </c>
      <c r="F1904" s="137">
        <f t="shared" ca="1" si="159"/>
        <v>0</v>
      </c>
      <c r="G1904" s="138" t="e">
        <f>IF(A1904&lt;&gt;"",IF(AND(#REF!="Padrão",$H$4=#REF!),BDI!$B$17,IF(AND(#REF!="Padrão",$H$4=#REF!),BDI!#REF!,IF(AND(#REF!="Diferenciado",$H$4=#REF!),BDI!$E$17,IF(AND(#REF!="Diferenciado",$H$4=#REF!),BDI!#REF!,IF(#REF!="ZERO",0))))),"")</f>
        <v>#REF!</v>
      </c>
      <c r="H1904" s="139" t="e">
        <f t="shared" ca="1" si="160"/>
        <v>#REF!</v>
      </c>
      <c r="I1904" s="137" t="e">
        <f t="shared" ca="1" si="161"/>
        <v>#REF!</v>
      </c>
      <c r="J1904" s="117"/>
      <c r="K1904" s="116">
        <v>0</v>
      </c>
      <c r="M1904" s="136" t="e">
        <f ca="1">OFFSET(INDEX([1]Composições!I:R,MATCH([1]Orçamentária!I1904,[1]Composições!I:I,0),8),2,0)</f>
        <v>#REF!</v>
      </c>
      <c r="N1904" t="e">
        <v>#REF!</v>
      </c>
      <c r="Q1904" t="e">
        <v>#REF!</v>
      </c>
    </row>
    <row r="1905" spans="1:17" hidden="1" x14ac:dyDescent="0.25">
      <c r="A1905" s="114" t="s">
        <v>4689</v>
      </c>
      <c r="B1905" s="115" t="s">
        <v>3637</v>
      </c>
      <c r="C1905" s="116" t="s">
        <v>69</v>
      </c>
      <c r="D1905" s="116">
        <v>0</v>
      </c>
      <c r="E1905" s="136">
        <f ca="1">OFFSET(INDEX(Composições!A:J,MATCH(Orçamentária!A1905,Composições!A:A,0),8),2,0)</f>
        <v>38.332499999999996</v>
      </c>
      <c r="F1905" s="137">
        <f t="shared" ca="1" si="159"/>
        <v>0</v>
      </c>
      <c r="G1905" s="138" t="e">
        <f>IF(A1905&lt;&gt;"",IF(AND(#REF!="Padrão",$H$4=#REF!),BDI!$B$17,IF(AND(#REF!="Padrão",$H$4=#REF!),BDI!#REF!,IF(AND(#REF!="Diferenciado",$H$4=#REF!),BDI!$E$17,IF(AND(#REF!="Diferenciado",$H$4=#REF!),BDI!#REF!,IF(#REF!="ZERO",0))))),"")</f>
        <v>#REF!</v>
      </c>
      <c r="H1905" s="139" t="e">
        <f t="shared" ca="1" si="160"/>
        <v>#REF!</v>
      </c>
      <c r="I1905" s="137" t="e">
        <f t="shared" ca="1" si="161"/>
        <v>#REF!</v>
      </c>
      <c r="J1905" s="117"/>
      <c r="K1905" s="116">
        <v>0</v>
      </c>
      <c r="M1905" s="136" t="e">
        <f ca="1">OFFSET(INDEX([1]Composições!I:R,MATCH([1]Orçamentária!I1905,[1]Composições!I:I,0),8),2,0)</f>
        <v>#REF!</v>
      </c>
      <c r="N1905" t="e">
        <v>#REF!</v>
      </c>
      <c r="Q1905" t="e">
        <v>#REF!</v>
      </c>
    </row>
    <row r="1906" spans="1:17" hidden="1" x14ac:dyDescent="0.25">
      <c r="A1906" s="114" t="s">
        <v>4690</v>
      </c>
      <c r="B1906" s="115" t="s">
        <v>3638</v>
      </c>
      <c r="C1906" s="116" t="s">
        <v>16</v>
      </c>
      <c r="D1906" s="116">
        <v>0</v>
      </c>
      <c r="E1906" s="136">
        <f ca="1">OFFSET(INDEX(Composições!A:J,MATCH(Orçamentária!A1906,Composições!A:A,0),8),2,0)</f>
        <v>20.956999999999997</v>
      </c>
      <c r="F1906" s="137">
        <f t="shared" ca="1" si="159"/>
        <v>0</v>
      </c>
      <c r="G1906" s="138" t="e">
        <f>IF(A1906&lt;&gt;"",IF(AND(#REF!="Padrão",$H$4=#REF!),BDI!$B$17,IF(AND(#REF!="Padrão",$H$4=#REF!),BDI!#REF!,IF(AND(#REF!="Diferenciado",$H$4=#REF!),BDI!$E$17,IF(AND(#REF!="Diferenciado",$H$4=#REF!),BDI!#REF!,IF(#REF!="ZERO",0))))),"")</f>
        <v>#REF!</v>
      </c>
      <c r="H1906" s="139" t="e">
        <f t="shared" ca="1" si="160"/>
        <v>#REF!</v>
      </c>
      <c r="I1906" s="137" t="e">
        <f t="shared" ca="1" si="161"/>
        <v>#REF!</v>
      </c>
      <c r="J1906" s="117"/>
      <c r="K1906" s="116">
        <v>0</v>
      </c>
      <c r="M1906" s="136" t="e">
        <f ca="1">OFFSET(INDEX([1]Composições!I:R,MATCH([1]Orçamentária!I1906,[1]Composições!I:I,0),8),2,0)</f>
        <v>#REF!</v>
      </c>
      <c r="N1906" t="e">
        <v>#REF!</v>
      </c>
      <c r="Q1906" t="e">
        <v>#REF!</v>
      </c>
    </row>
    <row r="1907" spans="1:17" hidden="1" x14ac:dyDescent="0.25">
      <c r="A1907" s="114" t="s">
        <v>4691</v>
      </c>
      <c r="B1907" s="115" t="s">
        <v>3639</v>
      </c>
      <c r="C1907" s="116" t="s">
        <v>16</v>
      </c>
      <c r="D1907" s="116">
        <v>0</v>
      </c>
      <c r="E1907" s="136">
        <f ca="1">OFFSET(INDEX(Composições!A:J,MATCH(Orçamentária!A1907,Composições!A:A,0),8),2,0)</f>
        <v>32.252499999999998</v>
      </c>
      <c r="F1907" s="137">
        <f t="shared" ca="1" si="159"/>
        <v>0</v>
      </c>
      <c r="G1907" s="138" t="e">
        <f>IF(A1907&lt;&gt;"",IF(AND(#REF!="Padrão",$H$4=#REF!),BDI!$B$17,IF(AND(#REF!="Padrão",$H$4=#REF!),BDI!#REF!,IF(AND(#REF!="Diferenciado",$H$4=#REF!),BDI!$E$17,IF(AND(#REF!="Diferenciado",$H$4=#REF!),BDI!#REF!,IF(#REF!="ZERO",0))))),"")</f>
        <v>#REF!</v>
      </c>
      <c r="H1907" s="139" t="e">
        <f t="shared" ca="1" si="160"/>
        <v>#REF!</v>
      </c>
      <c r="I1907" s="137" t="e">
        <f t="shared" ca="1" si="161"/>
        <v>#REF!</v>
      </c>
      <c r="J1907" s="117"/>
      <c r="K1907" s="116">
        <v>0</v>
      </c>
      <c r="M1907" s="136" t="e">
        <f ca="1">OFFSET(INDEX([1]Composições!I:R,MATCH([1]Orçamentária!I1907,[1]Composições!I:I,0),8),2,0)</f>
        <v>#REF!</v>
      </c>
      <c r="N1907" t="e">
        <v>#REF!</v>
      </c>
      <c r="Q1907" t="e">
        <v>#REF!</v>
      </c>
    </row>
    <row r="1908" spans="1:17" hidden="1" x14ac:dyDescent="0.25">
      <c r="A1908" s="114" t="s">
        <v>4692</v>
      </c>
      <c r="B1908" s="115" t="s">
        <v>7928</v>
      </c>
      <c r="C1908" s="116" t="s">
        <v>16</v>
      </c>
      <c r="D1908" s="116">
        <v>0</v>
      </c>
      <c r="E1908" s="136" t="s">
        <v>416</v>
      </c>
      <c r="F1908" s="137" t="str">
        <f t="shared" si="159"/>
        <v/>
      </c>
      <c r="G1908" s="138" t="e">
        <f>IF(A1908&lt;&gt;"",IF(AND(#REF!="Padrão",$H$4=#REF!),BDI!$B$17,IF(AND(#REF!="Padrão",$H$4=#REF!),BDI!#REF!,IF(AND(#REF!="Diferenciado",$H$4=#REF!),BDI!$E$17,IF(AND(#REF!="Diferenciado",$H$4=#REF!),BDI!#REF!,IF(#REF!="ZERO",0))))),"")</f>
        <v>#REF!</v>
      </c>
      <c r="H1908" s="139" t="str">
        <f t="shared" si="160"/>
        <v/>
      </c>
      <c r="I1908" s="137" t="str">
        <f t="shared" si="161"/>
        <v/>
      </c>
      <c r="J1908" s="117"/>
      <c r="K1908" s="116">
        <v>0</v>
      </c>
      <c r="M1908" s="136" t="s">
        <v>416</v>
      </c>
      <c r="N1908" t="e">
        <v>#REF!</v>
      </c>
      <c r="Q1908" t="s">
        <v>416</v>
      </c>
    </row>
    <row r="1909" spans="1:17" hidden="1" x14ac:dyDescent="0.25">
      <c r="A1909" s="114" t="s">
        <v>4693</v>
      </c>
      <c r="B1909" s="115" t="s">
        <v>7929</v>
      </c>
      <c r="C1909" s="116" t="s">
        <v>16</v>
      </c>
      <c r="D1909" s="116">
        <v>0</v>
      </c>
      <c r="E1909" s="136" t="s">
        <v>416</v>
      </c>
      <c r="F1909" s="137" t="str">
        <f t="shared" si="159"/>
        <v/>
      </c>
      <c r="G1909" s="138" t="e">
        <f>IF(A1909&lt;&gt;"",IF(AND(#REF!="Padrão",$H$4=#REF!),BDI!$B$17,IF(AND(#REF!="Padrão",$H$4=#REF!),BDI!#REF!,IF(AND(#REF!="Diferenciado",$H$4=#REF!),BDI!$E$17,IF(AND(#REF!="Diferenciado",$H$4=#REF!),BDI!#REF!,IF(#REF!="ZERO",0))))),"")</f>
        <v>#REF!</v>
      </c>
      <c r="H1909" s="139" t="str">
        <f t="shared" si="160"/>
        <v/>
      </c>
      <c r="I1909" s="137" t="str">
        <f t="shared" si="161"/>
        <v/>
      </c>
      <c r="J1909" s="117"/>
      <c r="K1909" s="116">
        <v>0</v>
      </c>
      <c r="M1909" s="136" t="s">
        <v>416</v>
      </c>
      <c r="N1909" t="e">
        <v>#REF!</v>
      </c>
      <c r="Q1909" t="s">
        <v>416</v>
      </c>
    </row>
    <row r="1910" spans="1:17" hidden="1" x14ac:dyDescent="0.25">
      <c r="A1910" s="114" t="s">
        <v>4694</v>
      </c>
      <c r="B1910" s="115" t="s">
        <v>7930</v>
      </c>
      <c r="C1910" s="116" t="s">
        <v>16</v>
      </c>
      <c r="D1910" s="116">
        <v>0</v>
      </c>
      <c r="E1910" s="136" t="s">
        <v>416</v>
      </c>
      <c r="F1910" s="137" t="str">
        <f t="shared" si="159"/>
        <v/>
      </c>
      <c r="G1910" s="138" t="e">
        <f>IF(A1910&lt;&gt;"",IF(AND(#REF!="Padrão",$H$4=#REF!),BDI!$B$17,IF(AND(#REF!="Padrão",$H$4=#REF!),BDI!#REF!,IF(AND(#REF!="Diferenciado",$H$4=#REF!),BDI!$E$17,IF(AND(#REF!="Diferenciado",$H$4=#REF!),BDI!#REF!,IF(#REF!="ZERO",0))))),"")</f>
        <v>#REF!</v>
      </c>
      <c r="H1910" s="139" t="str">
        <f t="shared" si="160"/>
        <v/>
      </c>
      <c r="I1910" s="137" t="str">
        <f t="shared" si="161"/>
        <v/>
      </c>
      <c r="J1910" s="117"/>
      <c r="K1910" s="116">
        <v>0</v>
      </c>
      <c r="M1910" s="136" t="s">
        <v>416</v>
      </c>
      <c r="N1910" t="e">
        <v>#REF!</v>
      </c>
      <c r="Q1910" t="s">
        <v>416</v>
      </c>
    </row>
    <row r="1911" spans="1:17" hidden="1" x14ac:dyDescent="0.25">
      <c r="A1911" s="114" t="s">
        <v>4695</v>
      </c>
      <c r="B1911" s="115" t="s">
        <v>7931</v>
      </c>
      <c r="C1911" s="116" t="s">
        <v>16</v>
      </c>
      <c r="D1911" s="116">
        <v>0</v>
      </c>
      <c r="E1911" s="136" t="s">
        <v>416</v>
      </c>
      <c r="F1911" s="137" t="str">
        <f t="shared" si="159"/>
        <v/>
      </c>
      <c r="G1911" s="138" t="e">
        <f>IF(A1911&lt;&gt;"",IF(AND(#REF!="Padrão",$H$4=#REF!),BDI!$B$17,IF(AND(#REF!="Padrão",$H$4=#REF!),BDI!#REF!,IF(AND(#REF!="Diferenciado",$H$4=#REF!),BDI!$E$17,IF(AND(#REF!="Diferenciado",$H$4=#REF!),BDI!#REF!,IF(#REF!="ZERO",0))))),"")</f>
        <v>#REF!</v>
      </c>
      <c r="H1911" s="139" t="str">
        <f t="shared" si="160"/>
        <v/>
      </c>
      <c r="I1911" s="137" t="str">
        <f t="shared" si="161"/>
        <v/>
      </c>
      <c r="J1911" s="117"/>
      <c r="K1911" s="116">
        <v>0</v>
      </c>
      <c r="M1911" s="136" t="s">
        <v>416</v>
      </c>
      <c r="N1911" t="e">
        <v>#REF!</v>
      </c>
      <c r="Q1911" t="s">
        <v>416</v>
      </c>
    </row>
    <row r="1912" spans="1:17" hidden="1" x14ac:dyDescent="0.25">
      <c r="A1912" s="114" t="s">
        <v>4696</v>
      </c>
      <c r="B1912" s="115" t="s">
        <v>7932</v>
      </c>
      <c r="C1912" s="116" t="s">
        <v>16</v>
      </c>
      <c r="D1912" s="116">
        <v>0</v>
      </c>
      <c r="E1912" s="136" t="s">
        <v>416</v>
      </c>
      <c r="F1912" s="137" t="str">
        <f t="shared" si="159"/>
        <v/>
      </c>
      <c r="G1912" s="138" t="e">
        <f>IF(A1912&lt;&gt;"",IF(AND(#REF!="Padrão",$H$4=#REF!),BDI!$B$17,IF(AND(#REF!="Padrão",$H$4=#REF!),BDI!#REF!,IF(AND(#REF!="Diferenciado",$H$4=#REF!),BDI!$E$17,IF(AND(#REF!="Diferenciado",$H$4=#REF!),BDI!#REF!,IF(#REF!="ZERO",0))))),"")</f>
        <v>#REF!</v>
      </c>
      <c r="H1912" s="139" t="str">
        <f t="shared" si="160"/>
        <v/>
      </c>
      <c r="I1912" s="137" t="str">
        <f t="shared" si="161"/>
        <v/>
      </c>
      <c r="J1912" s="117"/>
      <c r="K1912" s="116">
        <v>0</v>
      </c>
      <c r="M1912" s="136" t="s">
        <v>416</v>
      </c>
      <c r="N1912" t="e">
        <v>#REF!</v>
      </c>
      <c r="Q1912" t="s">
        <v>416</v>
      </c>
    </row>
    <row r="1913" spans="1:17" hidden="1" x14ac:dyDescent="0.25">
      <c r="A1913" s="114" t="s">
        <v>4697</v>
      </c>
      <c r="B1913" s="115" t="s">
        <v>7933</v>
      </c>
      <c r="C1913" s="116" t="s">
        <v>16</v>
      </c>
      <c r="D1913" s="116">
        <v>0</v>
      </c>
      <c r="E1913" s="136" t="s">
        <v>416</v>
      </c>
      <c r="F1913" s="137" t="str">
        <f t="shared" si="159"/>
        <v/>
      </c>
      <c r="G1913" s="138" t="e">
        <f>IF(A1913&lt;&gt;"",IF(AND(#REF!="Padrão",$H$4=#REF!),BDI!$B$17,IF(AND(#REF!="Padrão",$H$4=#REF!),BDI!#REF!,IF(AND(#REF!="Diferenciado",$H$4=#REF!),BDI!$E$17,IF(AND(#REF!="Diferenciado",$H$4=#REF!),BDI!#REF!,IF(#REF!="ZERO",0))))),"")</f>
        <v>#REF!</v>
      </c>
      <c r="H1913" s="139" t="str">
        <f t="shared" si="160"/>
        <v/>
      </c>
      <c r="I1913" s="137" t="str">
        <f t="shared" si="161"/>
        <v/>
      </c>
      <c r="J1913" s="117"/>
      <c r="K1913" s="116">
        <v>0</v>
      </c>
      <c r="M1913" s="136" t="s">
        <v>416</v>
      </c>
      <c r="N1913" t="e">
        <v>#REF!</v>
      </c>
      <c r="Q1913" t="s">
        <v>416</v>
      </c>
    </row>
    <row r="1914" spans="1:17" hidden="1" x14ac:dyDescent="0.25">
      <c r="A1914" s="114" t="s">
        <v>4698</v>
      </c>
      <c r="B1914" s="115" t="s">
        <v>3640</v>
      </c>
      <c r="C1914" s="116" t="s">
        <v>16</v>
      </c>
      <c r="D1914" s="116">
        <v>0</v>
      </c>
      <c r="E1914" s="136" t="s">
        <v>416</v>
      </c>
      <c r="F1914" s="137" t="str">
        <f t="shared" si="159"/>
        <v/>
      </c>
      <c r="G1914" s="138" t="e">
        <f>IF(A1914&lt;&gt;"",IF(AND(#REF!="Padrão",$H$4=#REF!),BDI!$B$17,IF(AND(#REF!="Padrão",$H$4=#REF!),BDI!#REF!,IF(AND(#REF!="Diferenciado",$H$4=#REF!),BDI!$E$17,IF(AND(#REF!="Diferenciado",$H$4=#REF!),BDI!#REF!,IF(#REF!="ZERO",0))))),"")</f>
        <v>#REF!</v>
      </c>
      <c r="H1914" s="139" t="str">
        <f t="shared" si="160"/>
        <v/>
      </c>
      <c r="I1914" s="137" t="str">
        <f t="shared" si="161"/>
        <v/>
      </c>
      <c r="J1914" s="117"/>
      <c r="K1914" s="116">
        <v>0</v>
      </c>
      <c r="M1914" s="136" t="s">
        <v>416</v>
      </c>
      <c r="N1914" t="e">
        <v>#REF!</v>
      </c>
      <c r="Q1914" t="s">
        <v>416</v>
      </c>
    </row>
    <row r="1915" spans="1:17" hidden="1" x14ac:dyDescent="0.25">
      <c r="A1915" s="114" t="s">
        <v>4699</v>
      </c>
      <c r="B1915" s="115" t="s">
        <v>3641</v>
      </c>
      <c r="C1915" s="116" t="s">
        <v>16</v>
      </c>
      <c r="D1915" s="116">
        <v>0</v>
      </c>
      <c r="E1915" s="136" t="s">
        <v>416</v>
      </c>
      <c r="F1915" s="137" t="str">
        <f t="shared" si="159"/>
        <v/>
      </c>
      <c r="G1915" s="138" t="e">
        <f>IF(A1915&lt;&gt;"",IF(AND(#REF!="Padrão",$H$4=#REF!),BDI!$B$17,IF(AND(#REF!="Padrão",$H$4=#REF!),BDI!#REF!,IF(AND(#REF!="Diferenciado",$H$4=#REF!),BDI!$E$17,IF(AND(#REF!="Diferenciado",$H$4=#REF!),BDI!#REF!,IF(#REF!="ZERO",0))))),"")</f>
        <v>#REF!</v>
      </c>
      <c r="H1915" s="139" t="str">
        <f t="shared" si="160"/>
        <v/>
      </c>
      <c r="I1915" s="137" t="str">
        <f t="shared" si="161"/>
        <v/>
      </c>
      <c r="J1915" s="117"/>
      <c r="K1915" s="116">
        <v>0</v>
      </c>
      <c r="M1915" s="136" t="s">
        <v>416</v>
      </c>
      <c r="N1915" t="e">
        <v>#REF!</v>
      </c>
      <c r="Q1915" t="s">
        <v>416</v>
      </c>
    </row>
    <row r="1916" spans="1:17" hidden="1" x14ac:dyDescent="0.25">
      <c r="A1916" s="114" t="s">
        <v>4700</v>
      </c>
      <c r="B1916" s="115" t="s">
        <v>3642</v>
      </c>
      <c r="C1916" s="116" t="s">
        <v>16</v>
      </c>
      <c r="D1916" s="116">
        <v>0</v>
      </c>
      <c r="E1916" s="136" t="s">
        <v>416</v>
      </c>
      <c r="F1916" s="137" t="str">
        <f t="shared" si="159"/>
        <v/>
      </c>
      <c r="G1916" s="138" t="e">
        <f>IF(A1916&lt;&gt;"",IF(AND(#REF!="Padrão",$H$4=#REF!),BDI!$B$17,IF(AND(#REF!="Padrão",$H$4=#REF!),BDI!#REF!,IF(AND(#REF!="Diferenciado",$H$4=#REF!),BDI!$E$17,IF(AND(#REF!="Diferenciado",$H$4=#REF!),BDI!#REF!,IF(#REF!="ZERO",0))))),"")</f>
        <v>#REF!</v>
      </c>
      <c r="H1916" s="139" t="str">
        <f t="shared" si="160"/>
        <v/>
      </c>
      <c r="I1916" s="137" t="str">
        <f t="shared" si="161"/>
        <v/>
      </c>
      <c r="J1916" s="117"/>
      <c r="K1916" s="116">
        <v>0</v>
      </c>
      <c r="M1916" s="136" t="s">
        <v>416</v>
      </c>
      <c r="N1916" t="e">
        <v>#REF!</v>
      </c>
      <c r="Q1916" t="s">
        <v>416</v>
      </c>
    </row>
    <row r="1917" spans="1:17" hidden="1" x14ac:dyDescent="0.25">
      <c r="A1917" s="114" t="s">
        <v>4701</v>
      </c>
      <c r="B1917" s="115" t="s">
        <v>3643</v>
      </c>
      <c r="C1917" s="116" t="s">
        <v>16</v>
      </c>
      <c r="D1917" s="116">
        <v>0</v>
      </c>
      <c r="E1917" s="136" t="s">
        <v>416</v>
      </c>
      <c r="F1917" s="137" t="str">
        <f t="shared" si="159"/>
        <v/>
      </c>
      <c r="G1917" s="138" t="e">
        <f>IF(A1917&lt;&gt;"",IF(AND(#REF!="Padrão",$H$4=#REF!),BDI!$B$17,IF(AND(#REF!="Padrão",$H$4=#REF!),BDI!#REF!,IF(AND(#REF!="Diferenciado",$H$4=#REF!),BDI!$E$17,IF(AND(#REF!="Diferenciado",$H$4=#REF!),BDI!#REF!,IF(#REF!="ZERO",0))))),"")</f>
        <v>#REF!</v>
      </c>
      <c r="H1917" s="139" t="str">
        <f t="shared" si="160"/>
        <v/>
      </c>
      <c r="I1917" s="137" t="str">
        <f t="shared" si="161"/>
        <v/>
      </c>
      <c r="J1917" s="117"/>
      <c r="K1917" s="116">
        <v>0</v>
      </c>
      <c r="M1917" s="136" t="s">
        <v>416</v>
      </c>
      <c r="N1917" t="e">
        <v>#REF!</v>
      </c>
      <c r="Q1917" t="s">
        <v>416</v>
      </c>
    </row>
    <row r="1918" spans="1:17" hidden="1" x14ac:dyDescent="0.25">
      <c r="A1918" s="114" t="s">
        <v>4702</v>
      </c>
      <c r="B1918" s="115" t="s">
        <v>3644</v>
      </c>
      <c r="C1918" s="116" t="s">
        <v>16</v>
      </c>
      <c r="D1918" s="116">
        <v>0</v>
      </c>
      <c r="E1918" s="136" t="s">
        <v>416</v>
      </c>
      <c r="F1918" s="137" t="str">
        <f t="shared" si="159"/>
        <v/>
      </c>
      <c r="G1918" s="138" t="e">
        <f>IF(A1918&lt;&gt;"",IF(AND(#REF!="Padrão",$H$4=#REF!),BDI!$B$17,IF(AND(#REF!="Padrão",$H$4=#REF!),BDI!#REF!,IF(AND(#REF!="Diferenciado",$H$4=#REF!),BDI!$E$17,IF(AND(#REF!="Diferenciado",$H$4=#REF!),BDI!#REF!,IF(#REF!="ZERO",0))))),"")</f>
        <v>#REF!</v>
      </c>
      <c r="H1918" s="139" t="str">
        <f t="shared" si="160"/>
        <v/>
      </c>
      <c r="I1918" s="137" t="str">
        <f t="shared" si="161"/>
        <v/>
      </c>
      <c r="J1918" s="117"/>
      <c r="K1918" s="116">
        <v>0</v>
      </c>
      <c r="M1918" s="136" t="s">
        <v>416</v>
      </c>
      <c r="N1918" t="e">
        <v>#REF!</v>
      </c>
      <c r="Q1918" t="s">
        <v>416</v>
      </c>
    </row>
    <row r="1919" spans="1:17" hidden="1" x14ac:dyDescent="0.25">
      <c r="A1919" s="114" t="s">
        <v>4703</v>
      </c>
      <c r="B1919" s="115" t="s">
        <v>3645</v>
      </c>
      <c r="C1919" s="116" t="s">
        <v>16</v>
      </c>
      <c r="D1919" s="116">
        <v>0</v>
      </c>
      <c r="E1919" s="136" t="s">
        <v>416</v>
      </c>
      <c r="F1919" s="137" t="str">
        <f t="shared" si="159"/>
        <v/>
      </c>
      <c r="G1919" s="138" t="e">
        <f>IF(A1919&lt;&gt;"",IF(AND(#REF!="Padrão",$H$4=#REF!),BDI!$B$17,IF(AND(#REF!="Padrão",$H$4=#REF!),BDI!#REF!,IF(AND(#REF!="Diferenciado",$H$4=#REF!),BDI!$E$17,IF(AND(#REF!="Diferenciado",$H$4=#REF!),BDI!#REF!,IF(#REF!="ZERO",0))))),"")</f>
        <v>#REF!</v>
      </c>
      <c r="H1919" s="139" t="str">
        <f t="shared" si="160"/>
        <v/>
      </c>
      <c r="I1919" s="137" t="str">
        <f t="shared" si="161"/>
        <v/>
      </c>
      <c r="J1919" s="117"/>
      <c r="K1919" s="116">
        <v>0</v>
      </c>
      <c r="M1919" s="136" t="s">
        <v>416</v>
      </c>
      <c r="N1919" t="e">
        <v>#REF!</v>
      </c>
      <c r="Q1919" t="s">
        <v>416</v>
      </c>
    </row>
    <row r="1920" spans="1:17" hidden="1" x14ac:dyDescent="0.25">
      <c r="A1920" s="114" t="s">
        <v>4704</v>
      </c>
      <c r="B1920" s="115" t="s">
        <v>3646</v>
      </c>
      <c r="C1920" s="116" t="s">
        <v>16</v>
      </c>
      <c r="D1920" s="116">
        <v>0</v>
      </c>
      <c r="E1920" s="136">
        <f ca="1">OFFSET(INDEX(Composições!A:J,MATCH(Orçamentária!A1920,Composições!A:A,0),8),2,0)</f>
        <v>0</v>
      </c>
      <c r="F1920" s="137">
        <f t="shared" ca="1" si="159"/>
        <v>0</v>
      </c>
      <c r="G1920" s="138" t="e">
        <f>IF(A1920&lt;&gt;"",IF(AND(#REF!="Padrão",$H$4=#REF!),BDI!$B$17,IF(AND(#REF!="Padrão",$H$4=#REF!),BDI!#REF!,IF(AND(#REF!="Diferenciado",$H$4=#REF!),BDI!$E$17,IF(AND(#REF!="Diferenciado",$H$4=#REF!),BDI!#REF!,IF(#REF!="ZERO",0))))),"")</f>
        <v>#REF!</v>
      </c>
      <c r="H1920" s="139" t="e">
        <f t="shared" ca="1" si="160"/>
        <v>#REF!</v>
      </c>
      <c r="I1920" s="137" t="e">
        <f t="shared" ca="1" si="161"/>
        <v>#REF!</v>
      </c>
      <c r="J1920" s="117"/>
      <c r="K1920" s="116">
        <v>0</v>
      </c>
      <c r="M1920" s="136" t="e">
        <f ca="1">OFFSET(INDEX([1]Composições!I:R,MATCH([1]Orçamentária!I1920,[1]Composições!I:I,0),8),2,0)</f>
        <v>#REF!</v>
      </c>
      <c r="N1920" t="e">
        <v>#REF!</v>
      </c>
      <c r="Q1920" t="e">
        <v>#REF!</v>
      </c>
    </row>
    <row r="1921" spans="1:17" hidden="1" x14ac:dyDescent="0.25">
      <c r="A1921" s="114" t="s">
        <v>4705</v>
      </c>
      <c r="B1921" s="115" t="s">
        <v>3647</v>
      </c>
      <c r="C1921" s="116" t="s">
        <v>16</v>
      </c>
      <c r="D1921" s="116">
        <v>0</v>
      </c>
      <c r="E1921" s="136">
        <f ca="1">OFFSET(INDEX(Composições!A:J,MATCH(Orçamentária!A1921,Composições!A:A,0),8),2,0)</f>
        <v>0</v>
      </c>
      <c r="F1921" s="137">
        <f t="shared" ca="1" si="159"/>
        <v>0</v>
      </c>
      <c r="G1921" s="138" t="e">
        <f>IF(A1921&lt;&gt;"",IF(AND(#REF!="Padrão",$H$4=#REF!),BDI!$B$17,IF(AND(#REF!="Padrão",$H$4=#REF!),BDI!#REF!,IF(AND(#REF!="Diferenciado",$H$4=#REF!),BDI!$E$17,IF(AND(#REF!="Diferenciado",$H$4=#REF!),BDI!#REF!,IF(#REF!="ZERO",0))))),"")</f>
        <v>#REF!</v>
      </c>
      <c r="H1921" s="139" t="e">
        <f t="shared" ca="1" si="160"/>
        <v>#REF!</v>
      </c>
      <c r="I1921" s="137" t="e">
        <f t="shared" ca="1" si="161"/>
        <v>#REF!</v>
      </c>
      <c r="J1921" s="117"/>
      <c r="K1921" s="116">
        <v>0</v>
      </c>
      <c r="M1921" s="136" t="e">
        <f ca="1">OFFSET(INDEX([1]Composições!I:R,MATCH([1]Orçamentária!I1921,[1]Composições!I:I,0),8),2,0)</f>
        <v>#REF!</v>
      </c>
      <c r="N1921" t="e">
        <v>#REF!</v>
      </c>
      <c r="Q1921" t="e">
        <v>#REF!</v>
      </c>
    </row>
    <row r="1922" spans="1:17" hidden="1" x14ac:dyDescent="0.25">
      <c r="A1922" s="114" t="s">
        <v>4706</v>
      </c>
      <c r="B1922" s="115" t="s">
        <v>3648</v>
      </c>
      <c r="C1922" s="116" t="s">
        <v>16</v>
      </c>
      <c r="D1922" s="116">
        <v>0</v>
      </c>
      <c r="E1922" s="136">
        <f ca="1">OFFSET(INDEX(Composições!A:J,MATCH(Orçamentária!A1922,Composições!A:A,0),8),2,0)</f>
        <v>0</v>
      </c>
      <c r="F1922" s="137">
        <f t="shared" ca="1" si="159"/>
        <v>0</v>
      </c>
      <c r="G1922" s="138" t="e">
        <f>IF(A1922&lt;&gt;"",IF(AND(#REF!="Padrão",$H$4=#REF!),BDI!$B$17,IF(AND(#REF!="Padrão",$H$4=#REF!),BDI!#REF!,IF(AND(#REF!="Diferenciado",$H$4=#REF!),BDI!$E$17,IF(AND(#REF!="Diferenciado",$H$4=#REF!),BDI!#REF!,IF(#REF!="ZERO",0))))),"")</f>
        <v>#REF!</v>
      </c>
      <c r="H1922" s="139" t="e">
        <f t="shared" ca="1" si="160"/>
        <v>#REF!</v>
      </c>
      <c r="I1922" s="137" t="e">
        <f t="shared" ca="1" si="161"/>
        <v>#REF!</v>
      </c>
      <c r="J1922" s="117"/>
      <c r="K1922" s="116">
        <v>0</v>
      </c>
      <c r="M1922" s="136" t="e">
        <f ca="1">OFFSET(INDEX([1]Composições!I:R,MATCH([1]Orçamentária!I1922,[1]Composições!I:I,0),8),2,0)</f>
        <v>#REF!</v>
      </c>
      <c r="N1922" t="e">
        <v>#REF!</v>
      </c>
      <c r="Q1922" t="e">
        <v>#REF!</v>
      </c>
    </row>
    <row r="1923" spans="1:17" hidden="1" x14ac:dyDescent="0.25">
      <c r="A1923" s="114" t="s">
        <v>4707</v>
      </c>
      <c r="B1923" s="115" t="s">
        <v>3649</v>
      </c>
      <c r="C1923" s="116" t="s">
        <v>16</v>
      </c>
      <c r="D1923" s="116">
        <v>0</v>
      </c>
      <c r="E1923" s="136">
        <f ca="1">OFFSET(INDEX(Composições!A:J,MATCH(Orçamentária!A1923,Composições!A:A,0),8),2,0)</f>
        <v>0</v>
      </c>
      <c r="F1923" s="137">
        <f t="shared" ca="1" si="159"/>
        <v>0</v>
      </c>
      <c r="G1923" s="138" t="e">
        <f>IF(A1923&lt;&gt;"",IF(AND(#REF!="Padrão",$H$4=#REF!),BDI!$B$17,IF(AND(#REF!="Padrão",$H$4=#REF!),BDI!#REF!,IF(AND(#REF!="Diferenciado",$H$4=#REF!),BDI!$E$17,IF(AND(#REF!="Diferenciado",$H$4=#REF!),BDI!#REF!,IF(#REF!="ZERO",0))))),"")</f>
        <v>#REF!</v>
      </c>
      <c r="H1923" s="139" t="e">
        <f t="shared" ca="1" si="160"/>
        <v>#REF!</v>
      </c>
      <c r="I1923" s="137" t="e">
        <f t="shared" ca="1" si="161"/>
        <v>#REF!</v>
      </c>
      <c r="J1923" s="117"/>
      <c r="K1923" s="116">
        <v>0</v>
      </c>
      <c r="M1923" s="136" t="e">
        <f ca="1">OFFSET(INDEX([1]Composições!I:R,MATCH([1]Orçamentária!I1923,[1]Composições!I:I,0),8),2,0)</f>
        <v>#REF!</v>
      </c>
      <c r="N1923" t="e">
        <v>#REF!</v>
      </c>
      <c r="Q1923" t="e">
        <v>#REF!</v>
      </c>
    </row>
    <row r="1924" spans="1:17" hidden="1" x14ac:dyDescent="0.25">
      <c r="A1924" s="114" t="s">
        <v>4708</v>
      </c>
      <c r="B1924" s="115" t="s">
        <v>3650</v>
      </c>
      <c r="C1924" s="116" t="s">
        <v>16</v>
      </c>
      <c r="D1924" s="116">
        <v>0</v>
      </c>
      <c r="E1924" s="136">
        <f ca="1">OFFSET(INDEX(Composições!A:J,MATCH(Orçamentária!A1924,Composições!A:A,0),8),2,0)</f>
        <v>0</v>
      </c>
      <c r="F1924" s="137">
        <f t="shared" ca="1" si="159"/>
        <v>0</v>
      </c>
      <c r="G1924" s="138" t="e">
        <f>IF(A1924&lt;&gt;"",IF(AND(#REF!="Padrão",$H$4=#REF!),BDI!$B$17,IF(AND(#REF!="Padrão",$H$4=#REF!),BDI!#REF!,IF(AND(#REF!="Diferenciado",$H$4=#REF!),BDI!$E$17,IF(AND(#REF!="Diferenciado",$H$4=#REF!),BDI!#REF!,IF(#REF!="ZERO",0))))),"")</f>
        <v>#REF!</v>
      </c>
      <c r="H1924" s="139" t="e">
        <f t="shared" ca="1" si="160"/>
        <v>#REF!</v>
      </c>
      <c r="I1924" s="137" t="e">
        <f t="shared" ca="1" si="161"/>
        <v>#REF!</v>
      </c>
      <c r="J1924" s="117"/>
      <c r="K1924" s="116">
        <v>0</v>
      </c>
      <c r="M1924" s="136" t="e">
        <f ca="1">OFFSET(INDEX([1]Composições!I:R,MATCH([1]Orçamentária!I1924,[1]Composições!I:I,0),8),2,0)</f>
        <v>#REF!</v>
      </c>
      <c r="N1924" t="e">
        <v>#REF!</v>
      </c>
      <c r="Q1924" t="e">
        <v>#REF!</v>
      </c>
    </row>
    <row r="1925" spans="1:17" hidden="1" x14ac:dyDescent="0.25">
      <c r="A1925" s="114" t="s">
        <v>4709</v>
      </c>
      <c r="B1925" s="115" t="s">
        <v>3651</v>
      </c>
      <c r="C1925" s="116" t="s">
        <v>16</v>
      </c>
      <c r="D1925" s="116">
        <v>0</v>
      </c>
      <c r="E1925" s="136" t="s">
        <v>416</v>
      </c>
      <c r="F1925" s="137" t="str">
        <f t="shared" si="159"/>
        <v/>
      </c>
      <c r="G1925" s="138" t="e">
        <f>IF(A1925&lt;&gt;"",IF(AND(#REF!="Padrão",$H$4=#REF!),BDI!$B$17,IF(AND(#REF!="Padrão",$H$4=#REF!),BDI!#REF!,IF(AND(#REF!="Diferenciado",$H$4=#REF!),BDI!$E$17,IF(AND(#REF!="Diferenciado",$H$4=#REF!),BDI!#REF!,IF(#REF!="ZERO",0))))),"")</f>
        <v>#REF!</v>
      </c>
      <c r="H1925" s="139" t="str">
        <f t="shared" si="160"/>
        <v/>
      </c>
      <c r="I1925" s="137" t="str">
        <f t="shared" si="161"/>
        <v/>
      </c>
      <c r="J1925" s="117"/>
      <c r="K1925" s="116">
        <v>0</v>
      </c>
      <c r="M1925" s="136" t="s">
        <v>416</v>
      </c>
      <c r="N1925" t="e">
        <v>#REF!</v>
      </c>
      <c r="Q1925" t="s">
        <v>416</v>
      </c>
    </row>
    <row r="1926" spans="1:17" hidden="1" x14ac:dyDescent="0.25">
      <c r="A1926" s="114" t="s">
        <v>4710</v>
      </c>
      <c r="B1926" s="115" t="s">
        <v>3652</v>
      </c>
      <c r="C1926" s="116" t="s">
        <v>16</v>
      </c>
      <c r="D1926" s="116">
        <v>0</v>
      </c>
      <c r="E1926" s="136">
        <f ca="1">OFFSET(INDEX(Composições!A:J,MATCH(Orçamentária!A1926,Composições!A:A,0),8),2,0)</f>
        <v>0</v>
      </c>
      <c r="F1926" s="137">
        <f t="shared" ca="1" si="159"/>
        <v>0</v>
      </c>
      <c r="G1926" s="138" t="e">
        <f>IF(A1926&lt;&gt;"",IF(AND(#REF!="Padrão",$H$4=#REF!),BDI!$B$17,IF(AND(#REF!="Padrão",$H$4=#REF!),BDI!#REF!,IF(AND(#REF!="Diferenciado",$H$4=#REF!),BDI!$E$17,IF(AND(#REF!="Diferenciado",$H$4=#REF!),BDI!#REF!,IF(#REF!="ZERO",0))))),"")</f>
        <v>#REF!</v>
      </c>
      <c r="H1926" s="139" t="e">
        <f t="shared" ca="1" si="160"/>
        <v>#REF!</v>
      </c>
      <c r="I1926" s="137" t="e">
        <f t="shared" ca="1" si="161"/>
        <v>#REF!</v>
      </c>
      <c r="J1926" s="117"/>
      <c r="K1926" s="116">
        <v>0</v>
      </c>
      <c r="M1926" s="136" t="e">
        <f ca="1">OFFSET(INDEX([1]Composições!I:R,MATCH([1]Orçamentária!I1926,[1]Composições!I:I,0),8),2,0)</f>
        <v>#REF!</v>
      </c>
      <c r="N1926" t="e">
        <v>#REF!</v>
      </c>
      <c r="Q1926" t="e">
        <v>#REF!</v>
      </c>
    </row>
    <row r="1927" spans="1:17" hidden="1" x14ac:dyDescent="0.25">
      <c r="A1927" s="114" t="s">
        <v>4711</v>
      </c>
      <c r="B1927" s="115" t="s">
        <v>3653</v>
      </c>
      <c r="C1927" s="116" t="s">
        <v>16</v>
      </c>
      <c r="D1927" s="116">
        <v>0</v>
      </c>
      <c r="E1927" s="136" t="s">
        <v>416</v>
      </c>
      <c r="F1927" s="137" t="str">
        <f t="shared" si="159"/>
        <v/>
      </c>
      <c r="G1927" s="138" t="e">
        <f>IF(A1927&lt;&gt;"",IF(AND(#REF!="Padrão",$H$4=#REF!),BDI!$B$17,IF(AND(#REF!="Padrão",$H$4=#REF!),BDI!#REF!,IF(AND(#REF!="Diferenciado",$H$4=#REF!),BDI!$E$17,IF(AND(#REF!="Diferenciado",$H$4=#REF!),BDI!#REF!,IF(#REF!="ZERO",0))))),"")</f>
        <v>#REF!</v>
      </c>
      <c r="H1927" s="139" t="str">
        <f t="shared" si="160"/>
        <v/>
      </c>
      <c r="I1927" s="137" t="str">
        <f t="shared" si="161"/>
        <v/>
      </c>
      <c r="J1927" s="117"/>
      <c r="K1927" s="116">
        <v>0</v>
      </c>
      <c r="M1927" s="136" t="s">
        <v>416</v>
      </c>
      <c r="N1927" t="e">
        <v>#REF!</v>
      </c>
      <c r="Q1927" t="s">
        <v>416</v>
      </c>
    </row>
    <row r="1928" spans="1:17" hidden="1" x14ac:dyDescent="0.25">
      <c r="A1928" s="114" t="s">
        <v>4712</v>
      </c>
      <c r="B1928" s="115" t="s">
        <v>3654</v>
      </c>
      <c r="C1928" s="116" t="s">
        <v>16</v>
      </c>
      <c r="D1928" s="116">
        <v>0</v>
      </c>
      <c r="E1928" s="136">
        <f ca="1">OFFSET(INDEX(Composições!A:J,MATCH(Orçamentária!A1928,Composições!A:A,0),8),2,0)</f>
        <v>0</v>
      </c>
      <c r="F1928" s="137">
        <f t="shared" ca="1" si="159"/>
        <v>0</v>
      </c>
      <c r="G1928" s="138" t="e">
        <f>IF(A1928&lt;&gt;"",IF(AND(#REF!="Padrão",$H$4=#REF!),BDI!$B$17,IF(AND(#REF!="Padrão",$H$4=#REF!),BDI!#REF!,IF(AND(#REF!="Diferenciado",$H$4=#REF!),BDI!$E$17,IF(AND(#REF!="Diferenciado",$H$4=#REF!),BDI!#REF!,IF(#REF!="ZERO",0))))),"")</f>
        <v>#REF!</v>
      </c>
      <c r="H1928" s="139" t="e">
        <f t="shared" ca="1" si="160"/>
        <v>#REF!</v>
      </c>
      <c r="I1928" s="137" t="e">
        <f t="shared" ca="1" si="161"/>
        <v>#REF!</v>
      </c>
      <c r="J1928" s="117"/>
      <c r="K1928" s="116">
        <v>0</v>
      </c>
      <c r="M1928" s="136" t="e">
        <f ca="1">OFFSET(INDEX([1]Composições!I:R,MATCH([1]Orçamentária!I1928,[1]Composições!I:I,0),8),2,0)</f>
        <v>#REF!</v>
      </c>
      <c r="N1928" t="e">
        <v>#REF!</v>
      </c>
      <c r="Q1928" t="e">
        <v>#REF!</v>
      </c>
    </row>
    <row r="1929" spans="1:17" hidden="1" x14ac:dyDescent="0.25">
      <c r="A1929" s="114" t="s">
        <v>4713</v>
      </c>
      <c r="B1929" s="115" t="s">
        <v>3655</v>
      </c>
      <c r="C1929" s="116" t="s">
        <v>16</v>
      </c>
      <c r="D1929" s="116">
        <v>0</v>
      </c>
      <c r="E1929" s="136" t="s">
        <v>416</v>
      </c>
      <c r="F1929" s="137" t="str">
        <f t="shared" si="159"/>
        <v/>
      </c>
      <c r="G1929" s="138" t="e">
        <f>IF(A1929&lt;&gt;"",IF(AND(#REF!="Padrão",$H$4=#REF!),BDI!$B$17,IF(AND(#REF!="Padrão",$H$4=#REF!),BDI!#REF!,IF(AND(#REF!="Diferenciado",$H$4=#REF!),BDI!$E$17,IF(AND(#REF!="Diferenciado",$H$4=#REF!),BDI!#REF!,IF(#REF!="ZERO",0))))),"")</f>
        <v>#REF!</v>
      </c>
      <c r="H1929" s="139" t="str">
        <f t="shared" si="160"/>
        <v/>
      </c>
      <c r="I1929" s="137" t="str">
        <f t="shared" si="161"/>
        <v/>
      </c>
      <c r="J1929" s="117"/>
      <c r="K1929" s="116">
        <v>0</v>
      </c>
      <c r="M1929" s="136" t="s">
        <v>416</v>
      </c>
      <c r="N1929" t="e">
        <v>#REF!</v>
      </c>
      <c r="Q1929" t="s">
        <v>416</v>
      </c>
    </row>
    <row r="1930" spans="1:17" hidden="1" x14ac:dyDescent="0.25">
      <c r="A1930" s="114" t="s">
        <v>4714</v>
      </c>
      <c r="B1930" s="115" t="s">
        <v>3656</v>
      </c>
      <c r="C1930" s="116" t="s">
        <v>16</v>
      </c>
      <c r="D1930" s="116">
        <v>0</v>
      </c>
      <c r="E1930" s="136">
        <f ca="1">OFFSET(INDEX(Composições!A:J,MATCH(Orçamentária!A1930,Composições!A:A,0),8),2,0)</f>
        <v>0</v>
      </c>
      <c r="F1930" s="137">
        <f t="shared" ca="1" si="159"/>
        <v>0</v>
      </c>
      <c r="G1930" s="138" t="e">
        <f>IF(A1930&lt;&gt;"",IF(AND(#REF!="Padrão",$H$4=#REF!),BDI!$B$17,IF(AND(#REF!="Padrão",$H$4=#REF!),BDI!#REF!,IF(AND(#REF!="Diferenciado",$H$4=#REF!),BDI!$E$17,IF(AND(#REF!="Diferenciado",$H$4=#REF!),BDI!#REF!,IF(#REF!="ZERO",0))))),"")</f>
        <v>#REF!</v>
      </c>
      <c r="H1930" s="139" t="e">
        <f t="shared" ca="1" si="160"/>
        <v>#REF!</v>
      </c>
      <c r="I1930" s="137" t="e">
        <f t="shared" ca="1" si="161"/>
        <v>#REF!</v>
      </c>
      <c r="J1930" s="117"/>
      <c r="K1930" s="116">
        <v>0</v>
      </c>
      <c r="M1930" s="136" t="e">
        <f ca="1">OFFSET(INDEX([1]Composições!I:R,MATCH([1]Orçamentária!I1930,[1]Composições!I:I,0),8),2,0)</f>
        <v>#REF!</v>
      </c>
      <c r="N1930" t="e">
        <v>#REF!</v>
      </c>
      <c r="Q1930" t="e">
        <v>#REF!</v>
      </c>
    </row>
    <row r="1931" spans="1:17" hidden="1" x14ac:dyDescent="0.25">
      <c r="A1931" s="114" t="s">
        <v>4715</v>
      </c>
      <c r="B1931" s="115" t="s">
        <v>3657</v>
      </c>
      <c r="C1931" s="116" t="s">
        <v>16</v>
      </c>
      <c r="D1931" s="116">
        <v>0</v>
      </c>
      <c r="E1931" s="136" t="s">
        <v>416</v>
      </c>
      <c r="F1931" s="137" t="str">
        <f t="shared" si="159"/>
        <v/>
      </c>
      <c r="G1931" s="138" t="e">
        <f>IF(A1931&lt;&gt;"",IF(AND(#REF!="Padrão",$H$4=#REF!),BDI!$B$17,IF(AND(#REF!="Padrão",$H$4=#REF!),BDI!#REF!,IF(AND(#REF!="Diferenciado",$H$4=#REF!),BDI!$E$17,IF(AND(#REF!="Diferenciado",$H$4=#REF!),BDI!#REF!,IF(#REF!="ZERO",0))))),"")</f>
        <v>#REF!</v>
      </c>
      <c r="H1931" s="139" t="str">
        <f t="shared" si="160"/>
        <v/>
      </c>
      <c r="I1931" s="137" t="str">
        <f t="shared" si="161"/>
        <v/>
      </c>
      <c r="J1931" s="117"/>
      <c r="K1931" s="116">
        <v>0</v>
      </c>
      <c r="M1931" s="136" t="s">
        <v>416</v>
      </c>
      <c r="N1931" t="e">
        <v>#REF!</v>
      </c>
      <c r="Q1931" t="s">
        <v>416</v>
      </c>
    </row>
    <row r="1932" spans="1:17" hidden="1" x14ac:dyDescent="0.25">
      <c r="A1932" s="114" t="s">
        <v>4716</v>
      </c>
      <c r="B1932" s="115" t="s">
        <v>3658</v>
      </c>
      <c r="C1932" s="116" t="s">
        <v>16</v>
      </c>
      <c r="D1932" s="116">
        <v>0</v>
      </c>
      <c r="E1932" s="136" t="s">
        <v>416</v>
      </c>
      <c r="F1932" s="137" t="str">
        <f t="shared" si="159"/>
        <v/>
      </c>
      <c r="G1932" s="138" t="e">
        <f>IF(A1932&lt;&gt;"",IF(AND(#REF!="Padrão",$H$4=#REF!),BDI!$B$17,IF(AND(#REF!="Padrão",$H$4=#REF!),BDI!#REF!,IF(AND(#REF!="Diferenciado",$H$4=#REF!),BDI!$E$17,IF(AND(#REF!="Diferenciado",$H$4=#REF!),BDI!#REF!,IF(#REF!="ZERO",0))))),"")</f>
        <v>#REF!</v>
      </c>
      <c r="H1932" s="139" t="str">
        <f t="shared" si="160"/>
        <v/>
      </c>
      <c r="I1932" s="137" t="str">
        <f t="shared" si="161"/>
        <v/>
      </c>
      <c r="J1932" s="117"/>
      <c r="K1932" s="116">
        <v>0</v>
      </c>
      <c r="M1932" s="136" t="s">
        <v>416</v>
      </c>
      <c r="N1932" t="e">
        <v>#REF!</v>
      </c>
      <c r="Q1932" t="s">
        <v>416</v>
      </c>
    </row>
    <row r="1933" spans="1:17" hidden="1" x14ac:dyDescent="0.25">
      <c r="A1933" s="114" t="s">
        <v>4717</v>
      </c>
      <c r="B1933" s="115" t="s">
        <v>3659</v>
      </c>
      <c r="C1933" s="116" t="s">
        <v>16</v>
      </c>
      <c r="D1933" s="116">
        <v>0</v>
      </c>
      <c r="E1933" s="136">
        <f ca="1">OFFSET(INDEX(Composições!A:J,MATCH(Orçamentária!A1933,Composições!A:A,0),8),2,0)</f>
        <v>6.4694999999999991</v>
      </c>
      <c r="F1933" s="137">
        <f t="shared" ca="1" si="159"/>
        <v>0</v>
      </c>
      <c r="G1933" s="138" t="e">
        <f>IF(A1933&lt;&gt;"",IF(AND(#REF!="Padrão",$H$4=#REF!),BDI!$B$17,IF(AND(#REF!="Padrão",$H$4=#REF!),BDI!#REF!,IF(AND(#REF!="Diferenciado",$H$4=#REF!),BDI!$E$17,IF(AND(#REF!="Diferenciado",$H$4=#REF!),BDI!#REF!,IF(#REF!="ZERO",0))))),"")</f>
        <v>#REF!</v>
      </c>
      <c r="H1933" s="139" t="e">
        <f t="shared" ca="1" si="160"/>
        <v>#REF!</v>
      </c>
      <c r="I1933" s="137" t="e">
        <f t="shared" ca="1" si="161"/>
        <v>#REF!</v>
      </c>
      <c r="J1933" s="117"/>
      <c r="K1933" s="116">
        <v>0</v>
      </c>
      <c r="M1933" s="136" t="e">
        <f ca="1">OFFSET(INDEX([1]Composições!I:R,MATCH([1]Orçamentária!I1933,[1]Composições!I:I,0),8),2,0)</f>
        <v>#REF!</v>
      </c>
      <c r="N1933" t="e">
        <v>#REF!</v>
      </c>
      <c r="Q1933" t="e">
        <v>#REF!</v>
      </c>
    </row>
    <row r="1934" spans="1:17" hidden="1" x14ac:dyDescent="0.25">
      <c r="A1934" s="114" t="s">
        <v>4718</v>
      </c>
      <c r="B1934" s="115" t="s">
        <v>3660</v>
      </c>
      <c r="C1934" s="116" t="s">
        <v>16</v>
      </c>
      <c r="D1934" s="116">
        <v>0</v>
      </c>
      <c r="E1934" s="136" t="s">
        <v>416</v>
      </c>
      <c r="F1934" s="137" t="str">
        <f t="shared" si="159"/>
        <v/>
      </c>
      <c r="G1934" s="138" t="e">
        <f>IF(A1934&lt;&gt;"",IF(AND(#REF!="Padrão",$H$4=#REF!),BDI!$B$17,IF(AND(#REF!="Padrão",$H$4=#REF!),BDI!#REF!,IF(AND(#REF!="Diferenciado",$H$4=#REF!),BDI!$E$17,IF(AND(#REF!="Diferenciado",$H$4=#REF!),BDI!#REF!,IF(#REF!="ZERO",0))))),"")</f>
        <v>#REF!</v>
      </c>
      <c r="H1934" s="139" t="str">
        <f t="shared" si="160"/>
        <v/>
      </c>
      <c r="I1934" s="137" t="str">
        <f t="shared" si="161"/>
        <v/>
      </c>
      <c r="J1934" s="117"/>
      <c r="K1934" s="116">
        <v>0</v>
      </c>
      <c r="M1934" s="136" t="s">
        <v>416</v>
      </c>
      <c r="N1934" t="e">
        <v>#REF!</v>
      </c>
      <c r="Q1934" t="s">
        <v>416</v>
      </c>
    </row>
    <row r="1935" spans="1:17" hidden="1" x14ac:dyDescent="0.25">
      <c r="A1935" s="114" t="s">
        <v>4719</v>
      </c>
      <c r="B1935" s="115" t="s">
        <v>3661</v>
      </c>
      <c r="C1935" s="116" t="s">
        <v>16</v>
      </c>
      <c r="D1935" s="116">
        <v>0</v>
      </c>
      <c r="E1935" s="136" t="s">
        <v>416</v>
      </c>
      <c r="F1935" s="137" t="str">
        <f t="shared" si="159"/>
        <v/>
      </c>
      <c r="G1935" s="138" t="e">
        <f>IF(A1935&lt;&gt;"",IF(AND(#REF!="Padrão",$H$4=#REF!),BDI!$B$17,IF(AND(#REF!="Padrão",$H$4=#REF!),BDI!#REF!,IF(AND(#REF!="Diferenciado",$H$4=#REF!),BDI!$E$17,IF(AND(#REF!="Diferenciado",$H$4=#REF!),BDI!#REF!,IF(#REF!="ZERO",0))))),"")</f>
        <v>#REF!</v>
      </c>
      <c r="H1935" s="139" t="str">
        <f t="shared" si="160"/>
        <v/>
      </c>
      <c r="I1935" s="137" t="str">
        <f t="shared" si="161"/>
        <v/>
      </c>
      <c r="J1935" s="117"/>
      <c r="K1935" s="116">
        <v>0</v>
      </c>
      <c r="M1935" s="136" t="s">
        <v>416</v>
      </c>
      <c r="N1935" t="e">
        <v>#REF!</v>
      </c>
      <c r="Q1935" t="s">
        <v>416</v>
      </c>
    </row>
    <row r="1936" spans="1:17" hidden="1" x14ac:dyDescent="0.25">
      <c r="A1936" s="114" t="s">
        <v>4720</v>
      </c>
      <c r="B1936" s="115" t="s">
        <v>7540</v>
      </c>
      <c r="C1936" s="116" t="s">
        <v>16</v>
      </c>
      <c r="D1936" s="116">
        <v>0</v>
      </c>
      <c r="E1936" s="136" t="s">
        <v>416</v>
      </c>
      <c r="F1936" s="137" t="str">
        <f t="shared" si="159"/>
        <v/>
      </c>
      <c r="G1936" s="138" t="e">
        <f>IF(A1936&lt;&gt;"",IF(AND(#REF!="Padrão",$H$4=#REF!),BDI!$B$17,IF(AND(#REF!="Padrão",$H$4=#REF!),BDI!#REF!,IF(AND(#REF!="Diferenciado",$H$4=#REF!),BDI!$E$17,IF(AND(#REF!="Diferenciado",$H$4=#REF!),BDI!#REF!,IF(#REF!="ZERO",0))))),"")</f>
        <v>#REF!</v>
      </c>
      <c r="H1936" s="139" t="str">
        <f t="shared" si="160"/>
        <v/>
      </c>
      <c r="I1936" s="137" t="str">
        <f t="shared" si="161"/>
        <v/>
      </c>
      <c r="J1936" s="117"/>
      <c r="K1936" s="116">
        <v>0</v>
      </c>
      <c r="M1936" s="136" t="s">
        <v>416</v>
      </c>
      <c r="N1936" t="e">
        <v>#REF!</v>
      </c>
      <c r="Q1936" t="s">
        <v>416</v>
      </c>
    </row>
    <row r="1937" spans="1:17" hidden="1" x14ac:dyDescent="0.25">
      <c r="A1937" s="114" t="s">
        <v>4721</v>
      </c>
      <c r="B1937" s="115" t="s">
        <v>7541</v>
      </c>
      <c r="C1937" s="116" t="s">
        <v>16</v>
      </c>
      <c r="D1937" s="116">
        <v>0</v>
      </c>
      <c r="E1937" s="136" t="s">
        <v>416</v>
      </c>
      <c r="F1937" s="137" t="str">
        <f t="shared" si="159"/>
        <v/>
      </c>
      <c r="G1937" s="138" t="e">
        <f>IF(A1937&lt;&gt;"",IF(AND(#REF!="Padrão",$H$4=#REF!),BDI!$B$17,IF(AND(#REF!="Padrão",$H$4=#REF!),BDI!#REF!,IF(AND(#REF!="Diferenciado",$H$4=#REF!),BDI!$E$17,IF(AND(#REF!="Diferenciado",$H$4=#REF!),BDI!#REF!,IF(#REF!="ZERO",0))))),"")</f>
        <v>#REF!</v>
      </c>
      <c r="H1937" s="139" t="str">
        <f t="shared" si="160"/>
        <v/>
      </c>
      <c r="I1937" s="137" t="str">
        <f t="shared" si="161"/>
        <v/>
      </c>
      <c r="J1937" s="117"/>
      <c r="K1937" s="116">
        <v>0</v>
      </c>
      <c r="M1937" s="136" t="s">
        <v>416</v>
      </c>
      <c r="N1937" t="e">
        <v>#REF!</v>
      </c>
      <c r="Q1937" t="s">
        <v>416</v>
      </c>
    </row>
    <row r="1938" spans="1:17" hidden="1" x14ac:dyDescent="0.25">
      <c r="A1938" s="114" t="s">
        <v>4722</v>
      </c>
      <c r="B1938" s="115" t="s">
        <v>3308</v>
      </c>
      <c r="C1938" s="116" t="s">
        <v>16</v>
      </c>
      <c r="D1938" s="116">
        <v>0</v>
      </c>
      <c r="E1938" s="136" t="s">
        <v>416</v>
      </c>
      <c r="F1938" s="137" t="str">
        <f t="shared" si="159"/>
        <v/>
      </c>
      <c r="G1938" s="138" t="e">
        <f>IF(A1938&lt;&gt;"",IF(AND(#REF!="Padrão",$H$4=#REF!),BDI!$B$17,IF(AND(#REF!="Padrão",$H$4=#REF!),BDI!#REF!,IF(AND(#REF!="Diferenciado",$H$4=#REF!),BDI!$E$17,IF(AND(#REF!="Diferenciado",$H$4=#REF!),BDI!#REF!,IF(#REF!="ZERO",0))))),"")</f>
        <v>#REF!</v>
      </c>
      <c r="H1938" s="139" t="str">
        <f t="shared" si="160"/>
        <v/>
      </c>
      <c r="I1938" s="137" t="str">
        <f t="shared" si="161"/>
        <v/>
      </c>
      <c r="J1938" s="117"/>
      <c r="K1938" s="116">
        <v>0</v>
      </c>
      <c r="M1938" s="136" t="s">
        <v>416</v>
      </c>
      <c r="N1938" t="e">
        <v>#REF!</v>
      </c>
      <c r="Q1938" t="s">
        <v>416</v>
      </c>
    </row>
    <row r="1939" spans="1:17" hidden="1" x14ac:dyDescent="0.25">
      <c r="A1939" s="114" t="s">
        <v>4723</v>
      </c>
      <c r="B1939" s="115" t="s">
        <v>7542</v>
      </c>
      <c r="C1939" s="116" t="s">
        <v>16</v>
      </c>
      <c r="D1939" s="116">
        <v>0</v>
      </c>
      <c r="E1939" s="136" t="s">
        <v>416</v>
      </c>
      <c r="F1939" s="137" t="str">
        <f t="shared" si="159"/>
        <v/>
      </c>
      <c r="G1939" s="138" t="e">
        <f>IF(A1939&lt;&gt;"",IF(AND(#REF!="Padrão",$H$4=#REF!),BDI!$B$17,IF(AND(#REF!="Padrão",$H$4=#REF!),BDI!#REF!,IF(AND(#REF!="Diferenciado",$H$4=#REF!),BDI!$E$17,IF(AND(#REF!="Diferenciado",$H$4=#REF!),BDI!#REF!,IF(#REF!="ZERO",0))))),"")</f>
        <v>#REF!</v>
      </c>
      <c r="H1939" s="139" t="str">
        <f t="shared" si="160"/>
        <v/>
      </c>
      <c r="I1939" s="137" t="str">
        <f t="shared" si="161"/>
        <v/>
      </c>
      <c r="J1939" s="117"/>
      <c r="K1939" s="116">
        <v>0</v>
      </c>
      <c r="M1939" s="136" t="s">
        <v>416</v>
      </c>
      <c r="N1939" t="e">
        <v>#REF!</v>
      </c>
      <c r="Q1939" t="s">
        <v>416</v>
      </c>
    </row>
    <row r="1940" spans="1:17" hidden="1" x14ac:dyDescent="0.25">
      <c r="A1940" s="114" t="s">
        <v>4724</v>
      </c>
      <c r="B1940" s="115" t="s">
        <v>3309</v>
      </c>
      <c r="C1940" s="116" t="s">
        <v>16</v>
      </c>
      <c r="D1940" s="116">
        <v>0</v>
      </c>
      <c r="E1940" s="136" t="s">
        <v>416</v>
      </c>
      <c r="F1940" s="137" t="str">
        <f t="shared" si="159"/>
        <v/>
      </c>
      <c r="G1940" s="138" t="e">
        <f>IF(A1940&lt;&gt;"",IF(AND(#REF!="Padrão",$H$4=#REF!),BDI!$B$17,IF(AND(#REF!="Padrão",$H$4=#REF!),BDI!#REF!,IF(AND(#REF!="Diferenciado",$H$4=#REF!),BDI!$E$17,IF(AND(#REF!="Diferenciado",$H$4=#REF!),BDI!#REF!,IF(#REF!="ZERO",0))))),"")</f>
        <v>#REF!</v>
      </c>
      <c r="H1940" s="139" t="str">
        <f t="shared" si="160"/>
        <v/>
      </c>
      <c r="I1940" s="137" t="str">
        <f t="shared" si="161"/>
        <v/>
      </c>
      <c r="J1940" s="117"/>
      <c r="K1940" s="116">
        <v>0</v>
      </c>
      <c r="M1940" s="136" t="s">
        <v>416</v>
      </c>
      <c r="N1940" t="e">
        <v>#REF!</v>
      </c>
      <c r="Q1940" t="s">
        <v>416</v>
      </c>
    </row>
    <row r="1941" spans="1:17" hidden="1" x14ac:dyDescent="0.25">
      <c r="A1941" s="114" t="s">
        <v>4725</v>
      </c>
      <c r="B1941" s="115" t="s">
        <v>7269</v>
      </c>
      <c r="C1941" s="116" t="s">
        <v>16</v>
      </c>
      <c r="D1941" s="116">
        <v>0</v>
      </c>
      <c r="E1941" s="136" t="s">
        <v>416</v>
      </c>
      <c r="F1941" s="137" t="str">
        <f t="shared" si="159"/>
        <v/>
      </c>
      <c r="G1941" s="138" t="e">
        <f>IF(A1941&lt;&gt;"",IF(AND(#REF!="Padrão",$H$4=#REF!),BDI!$B$17,IF(AND(#REF!="Padrão",$H$4=#REF!),BDI!#REF!,IF(AND(#REF!="Diferenciado",$H$4=#REF!),BDI!$E$17,IF(AND(#REF!="Diferenciado",$H$4=#REF!),BDI!#REF!,IF(#REF!="ZERO",0))))),"")</f>
        <v>#REF!</v>
      </c>
      <c r="H1941" s="139" t="str">
        <f t="shared" si="160"/>
        <v/>
      </c>
      <c r="I1941" s="137" t="str">
        <f t="shared" si="161"/>
        <v/>
      </c>
      <c r="J1941" s="117"/>
      <c r="K1941" s="116">
        <v>0</v>
      </c>
      <c r="M1941" s="136" t="s">
        <v>416</v>
      </c>
      <c r="N1941" t="e">
        <v>#REF!</v>
      </c>
      <c r="Q1941" t="s">
        <v>416</v>
      </c>
    </row>
    <row r="1942" spans="1:17" hidden="1" x14ac:dyDescent="0.25">
      <c r="A1942" s="114" t="s">
        <v>4726</v>
      </c>
      <c r="B1942" s="115" t="s">
        <v>7543</v>
      </c>
      <c r="C1942" s="116" t="s">
        <v>16</v>
      </c>
      <c r="D1942" s="116">
        <v>0</v>
      </c>
      <c r="E1942" s="136" t="s">
        <v>416</v>
      </c>
      <c r="F1942" s="137" t="str">
        <f t="shared" si="159"/>
        <v/>
      </c>
      <c r="G1942" s="138" t="e">
        <f>IF(A1942&lt;&gt;"",IF(AND(#REF!="Padrão",$H$4=#REF!),BDI!$B$17,IF(AND(#REF!="Padrão",$H$4=#REF!),BDI!#REF!,IF(AND(#REF!="Diferenciado",$H$4=#REF!),BDI!$E$17,IF(AND(#REF!="Diferenciado",$H$4=#REF!),BDI!#REF!,IF(#REF!="ZERO",0))))),"")</f>
        <v>#REF!</v>
      </c>
      <c r="H1942" s="139" t="str">
        <f t="shared" si="160"/>
        <v/>
      </c>
      <c r="I1942" s="137" t="str">
        <f t="shared" si="161"/>
        <v/>
      </c>
      <c r="J1942" s="117"/>
      <c r="K1942" s="116">
        <v>0</v>
      </c>
      <c r="M1942" s="136" t="s">
        <v>416</v>
      </c>
      <c r="N1942" t="e">
        <v>#REF!</v>
      </c>
      <c r="Q1942" t="s">
        <v>416</v>
      </c>
    </row>
    <row r="1943" spans="1:17" hidden="1" x14ac:dyDescent="0.25">
      <c r="A1943" s="114" t="s">
        <v>4727</v>
      </c>
      <c r="B1943" s="115" t="s">
        <v>7544</v>
      </c>
      <c r="C1943" s="116" t="s">
        <v>16</v>
      </c>
      <c r="D1943" s="116">
        <v>0</v>
      </c>
      <c r="E1943" s="136" t="s">
        <v>416</v>
      </c>
      <c r="F1943" s="137" t="str">
        <f t="shared" si="159"/>
        <v/>
      </c>
      <c r="G1943" s="138" t="e">
        <f>IF(A1943&lt;&gt;"",IF(AND(#REF!="Padrão",$H$4=#REF!),BDI!$B$17,IF(AND(#REF!="Padrão",$H$4=#REF!),BDI!#REF!,IF(AND(#REF!="Diferenciado",$H$4=#REF!),BDI!$E$17,IF(AND(#REF!="Diferenciado",$H$4=#REF!),BDI!#REF!,IF(#REF!="ZERO",0))))),"")</f>
        <v>#REF!</v>
      </c>
      <c r="H1943" s="139" t="str">
        <f t="shared" si="160"/>
        <v/>
      </c>
      <c r="I1943" s="137" t="str">
        <f t="shared" si="161"/>
        <v/>
      </c>
      <c r="J1943" s="117"/>
      <c r="K1943" s="116">
        <v>0</v>
      </c>
      <c r="M1943" s="136" t="s">
        <v>416</v>
      </c>
      <c r="N1943" t="e">
        <v>#REF!</v>
      </c>
      <c r="Q1943" t="s">
        <v>416</v>
      </c>
    </row>
    <row r="1944" spans="1:17" hidden="1" x14ac:dyDescent="0.25">
      <c r="A1944" s="114" t="s">
        <v>4728</v>
      </c>
      <c r="B1944" s="115" t="s">
        <v>7545</v>
      </c>
      <c r="C1944" s="116" t="s">
        <v>16</v>
      </c>
      <c r="D1944" s="116">
        <v>0</v>
      </c>
      <c r="E1944" s="136" t="s">
        <v>416</v>
      </c>
      <c r="F1944" s="137" t="str">
        <f t="shared" si="159"/>
        <v/>
      </c>
      <c r="G1944" s="138" t="e">
        <f>IF(A1944&lt;&gt;"",IF(AND(#REF!="Padrão",$H$4=#REF!),BDI!$B$17,IF(AND(#REF!="Padrão",$H$4=#REF!),BDI!#REF!,IF(AND(#REF!="Diferenciado",$H$4=#REF!),BDI!$E$17,IF(AND(#REF!="Diferenciado",$H$4=#REF!),BDI!#REF!,IF(#REF!="ZERO",0))))),"")</f>
        <v>#REF!</v>
      </c>
      <c r="H1944" s="139" t="str">
        <f t="shared" si="160"/>
        <v/>
      </c>
      <c r="I1944" s="137" t="str">
        <f t="shared" si="161"/>
        <v/>
      </c>
      <c r="J1944" s="117"/>
      <c r="K1944" s="116">
        <v>0</v>
      </c>
      <c r="M1944" s="136" t="s">
        <v>416</v>
      </c>
      <c r="N1944" t="e">
        <v>#REF!</v>
      </c>
      <c r="Q1944" t="s">
        <v>416</v>
      </c>
    </row>
    <row r="1945" spans="1:17" hidden="1" x14ac:dyDescent="0.25">
      <c r="A1945" s="114" t="s">
        <v>4729</v>
      </c>
      <c r="B1945" s="115" t="s">
        <v>3662</v>
      </c>
      <c r="C1945" s="116" t="s">
        <v>16</v>
      </c>
      <c r="D1945" s="116">
        <v>0</v>
      </c>
      <c r="E1945" s="136" t="s">
        <v>416</v>
      </c>
      <c r="F1945" s="137" t="str">
        <f t="shared" si="159"/>
        <v/>
      </c>
      <c r="G1945" s="138" t="e">
        <f>IF(A1945&lt;&gt;"",IF(AND(#REF!="Padrão",$H$4=#REF!),BDI!$B$17,IF(AND(#REF!="Padrão",$H$4=#REF!),BDI!#REF!,IF(AND(#REF!="Diferenciado",$H$4=#REF!),BDI!$E$17,IF(AND(#REF!="Diferenciado",$H$4=#REF!),BDI!#REF!,IF(#REF!="ZERO",0))))),"")</f>
        <v>#REF!</v>
      </c>
      <c r="H1945" s="139" t="str">
        <f t="shared" si="160"/>
        <v/>
      </c>
      <c r="I1945" s="137" t="str">
        <f t="shared" si="161"/>
        <v/>
      </c>
      <c r="J1945" s="117"/>
      <c r="K1945" s="116">
        <v>0</v>
      </c>
      <c r="M1945" s="136" t="s">
        <v>416</v>
      </c>
      <c r="N1945" t="e">
        <v>#REF!</v>
      </c>
      <c r="Q1945" t="s">
        <v>416</v>
      </c>
    </row>
    <row r="1946" spans="1:17" hidden="1" x14ac:dyDescent="0.25">
      <c r="A1946" s="114" t="s">
        <v>4730</v>
      </c>
      <c r="B1946" s="115" t="s">
        <v>7537</v>
      </c>
      <c r="C1946" s="116" t="s">
        <v>16</v>
      </c>
      <c r="D1946" s="116">
        <v>0</v>
      </c>
      <c r="E1946" s="136" t="s">
        <v>416</v>
      </c>
      <c r="F1946" s="137" t="str">
        <f t="shared" si="159"/>
        <v/>
      </c>
      <c r="G1946" s="138" t="e">
        <f>IF(A1946&lt;&gt;"",IF(AND(#REF!="Padrão",$H$4=#REF!),BDI!$B$17,IF(AND(#REF!="Padrão",$H$4=#REF!),BDI!#REF!,IF(AND(#REF!="Diferenciado",$H$4=#REF!),BDI!$E$17,IF(AND(#REF!="Diferenciado",$H$4=#REF!),BDI!#REF!,IF(#REF!="ZERO",0))))),"")</f>
        <v>#REF!</v>
      </c>
      <c r="H1946" s="139" t="str">
        <f t="shared" si="160"/>
        <v/>
      </c>
      <c r="I1946" s="137" t="str">
        <f t="shared" si="161"/>
        <v/>
      </c>
      <c r="J1946" s="117"/>
      <c r="K1946" s="116">
        <v>0</v>
      </c>
      <c r="M1946" s="136" t="s">
        <v>416</v>
      </c>
      <c r="N1946" t="e">
        <v>#REF!</v>
      </c>
      <c r="Q1946" t="s">
        <v>416</v>
      </c>
    </row>
    <row r="1947" spans="1:17" hidden="1" x14ac:dyDescent="0.25">
      <c r="A1947" s="114" t="s">
        <v>4731</v>
      </c>
      <c r="B1947" s="115" t="s">
        <v>7538</v>
      </c>
      <c r="C1947" s="116" t="s">
        <v>16</v>
      </c>
      <c r="D1947" s="116">
        <v>0</v>
      </c>
      <c r="E1947" s="136" t="s">
        <v>416</v>
      </c>
      <c r="F1947" s="137" t="str">
        <f t="shared" si="159"/>
        <v/>
      </c>
      <c r="G1947" s="138" t="e">
        <f>IF(A1947&lt;&gt;"",IF(AND(#REF!="Padrão",$H$4=#REF!),BDI!$B$17,IF(AND(#REF!="Padrão",$H$4=#REF!),BDI!#REF!,IF(AND(#REF!="Diferenciado",$H$4=#REF!),BDI!$E$17,IF(AND(#REF!="Diferenciado",$H$4=#REF!),BDI!#REF!,IF(#REF!="ZERO",0))))),"")</f>
        <v>#REF!</v>
      </c>
      <c r="H1947" s="139" t="str">
        <f t="shared" si="160"/>
        <v/>
      </c>
      <c r="I1947" s="137" t="str">
        <f t="shared" si="161"/>
        <v/>
      </c>
      <c r="J1947" s="117"/>
      <c r="K1947" s="116">
        <v>0</v>
      </c>
      <c r="M1947" s="136" t="s">
        <v>416</v>
      </c>
      <c r="N1947" t="e">
        <v>#REF!</v>
      </c>
      <c r="Q1947" t="s">
        <v>416</v>
      </c>
    </row>
    <row r="1948" spans="1:17" hidden="1" x14ac:dyDescent="0.25">
      <c r="A1948" s="114" t="s">
        <v>4732</v>
      </c>
      <c r="B1948" s="115" t="s">
        <v>7539</v>
      </c>
      <c r="C1948" s="116" t="s">
        <v>16</v>
      </c>
      <c r="D1948" s="116">
        <v>0</v>
      </c>
      <c r="E1948" s="136" t="s">
        <v>416</v>
      </c>
      <c r="F1948" s="137" t="str">
        <f t="shared" si="159"/>
        <v/>
      </c>
      <c r="G1948" s="138" t="e">
        <f>IF(A1948&lt;&gt;"",IF(AND(#REF!="Padrão",$H$4=#REF!),BDI!$B$17,IF(AND(#REF!="Padrão",$H$4=#REF!),BDI!#REF!,IF(AND(#REF!="Diferenciado",$H$4=#REF!),BDI!$E$17,IF(AND(#REF!="Diferenciado",$H$4=#REF!),BDI!#REF!,IF(#REF!="ZERO",0))))),"")</f>
        <v>#REF!</v>
      </c>
      <c r="H1948" s="139" t="str">
        <f t="shared" si="160"/>
        <v/>
      </c>
      <c r="I1948" s="137" t="str">
        <f t="shared" si="161"/>
        <v/>
      </c>
      <c r="J1948" s="117"/>
      <c r="K1948" s="116">
        <v>0</v>
      </c>
      <c r="M1948" s="136" t="s">
        <v>416</v>
      </c>
      <c r="N1948" t="e">
        <v>#REF!</v>
      </c>
      <c r="Q1948" t="s">
        <v>416</v>
      </c>
    </row>
    <row r="1949" spans="1:17" hidden="1" x14ac:dyDescent="0.25">
      <c r="A1949" s="114" t="s">
        <v>4733</v>
      </c>
      <c r="B1949" s="115" t="s">
        <v>7532</v>
      </c>
      <c r="C1949" s="116" t="s">
        <v>16</v>
      </c>
      <c r="D1949" s="116">
        <v>0</v>
      </c>
      <c r="E1949" s="136">
        <f ca="1">OFFSET(INDEX(Composições!A:J,MATCH(Orçamentária!A1949,Composições!A:A,0),8),2,0)</f>
        <v>483.02749999999997</v>
      </c>
      <c r="F1949" s="137">
        <f t="shared" ca="1" si="159"/>
        <v>0</v>
      </c>
      <c r="G1949" s="138" t="e">
        <f>IF(A1949&lt;&gt;"",IF(AND(#REF!="Padrão",$H$4=#REF!),BDI!$B$17,IF(AND(#REF!="Padrão",$H$4=#REF!),BDI!#REF!,IF(AND(#REF!="Diferenciado",$H$4=#REF!),BDI!$E$17,IF(AND(#REF!="Diferenciado",$H$4=#REF!),BDI!#REF!,IF(#REF!="ZERO",0))))),"")</f>
        <v>#REF!</v>
      </c>
      <c r="H1949" s="139" t="e">
        <f t="shared" ca="1" si="160"/>
        <v>#REF!</v>
      </c>
      <c r="I1949" s="137" t="e">
        <f t="shared" ca="1" si="161"/>
        <v>#REF!</v>
      </c>
      <c r="J1949" s="117"/>
      <c r="K1949" s="116">
        <v>0</v>
      </c>
      <c r="M1949" s="136" t="e">
        <f ca="1">OFFSET(INDEX([1]Composições!I:R,MATCH([1]Orçamentária!I1949,[1]Composições!I:I,0),8),2,0)</f>
        <v>#REF!</v>
      </c>
      <c r="N1949" t="e">
        <v>#REF!</v>
      </c>
      <c r="Q1949" t="e">
        <v>#REF!</v>
      </c>
    </row>
    <row r="1950" spans="1:17" hidden="1" x14ac:dyDescent="0.25">
      <c r="A1950" s="114" t="s">
        <v>4734</v>
      </c>
      <c r="B1950" s="115" t="s">
        <v>7533</v>
      </c>
      <c r="C1950" s="116" t="s">
        <v>16</v>
      </c>
      <c r="D1950" s="116">
        <v>0</v>
      </c>
      <c r="E1950" s="136" t="s">
        <v>416</v>
      </c>
      <c r="F1950" s="137" t="str">
        <f t="shared" si="159"/>
        <v/>
      </c>
      <c r="G1950" s="138" t="e">
        <f>IF(A1950&lt;&gt;"",IF(AND(#REF!="Padrão",$H$4=#REF!),BDI!$B$17,IF(AND(#REF!="Padrão",$H$4=#REF!),BDI!#REF!,IF(AND(#REF!="Diferenciado",$H$4=#REF!),BDI!$E$17,IF(AND(#REF!="Diferenciado",$H$4=#REF!),BDI!#REF!,IF(#REF!="ZERO",0))))),"")</f>
        <v>#REF!</v>
      </c>
      <c r="H1950" s="139" t="str">
        <f t="shared" si="160"/>
        <v/>
      </c>
      <c r="I1950" s="137" t="str">
        <f t="shared" si="161"/>
        <v/>
      </c>
      <c r="J1950" s="117"/>
      <c r="K1950" s="116">
        <v>0</v>
      </c>
      <c r="M1950" s="136" t="s">
        <v>416</v>
      </c>
      <c r="N1950" t="e">
        <v>#REF!</v>
      </c>
      <c r="Q1950" t="s">
        <v>416</v>
      </c>
    </row>
    <row r="1951" spans="1:17" hidden="1" x14ac:dyDescent="0.25">
      <c r="A1951" s="114" t="s">
        <v>4735</v>
      </c>
      <c r="B1951" s="115" t="s">
        <v>7534</v>
      </c>
      <c r="C1951" s="116" t="s">
        <v>16</v>
      </c>
      <c r="D1951" s="116">
        <v>0</v>
      </c>
      <c r="E1951" s="136">
        <f ca="1">OFFSET(INDEX(Composições!A:J,MATCH(Orçamentária!A1951,Composições!A:A,0),8),2,0)</f>
        <v>1874.8154999999999</v>
      </c>
      <c r="F1951" s="137">
        <f t="shared" ca="1" si="159"/>
        <v>0</v>
      </c>
      <c r="G1951" s="138" t="e">
        <f>IF(A1951&lt;&gt;"",IF(AND(#REF!="Padrão",$H$4=#REF!),BDI!$B$17,IF(AND(#REF!="Padrão",$H$4=#REF!),BDI!#REF!,IF(AND(#REF!="Diferenciado",$H$4=#REF!),BDI!$E$17,IF(AND(#REF!="Diferenciado",$H$4=#REF!),BDI!#REF!,IF(#REF!="ZERO",0))))),"")</f>
        <v>#REF!</v>
      </c>
      <c r="H1951" s="139" t="e">
        <f t="shared" ca="1" si="160"/>
        <v>#REF!</v>
      </c>
      <c r="I1951" s="137" t="e">
        <f t="shared" ca="1" si="161"/>
        <v>#REF!</v>
      </c>
      <c r="J1951" s="117"/>
      <c r="K1951" s="116">
        <v>0</v>
      </c>
      <c r="M1951" s="136" t="e">
        <f ca="1">OFFSET(INDEX([1]Composições!I:R,MATCH([1]Orçamentária!I1951,[1]Composições!I:I,0),8),2,0)</f>
        <v>#REF!</v>
      </c>
      <c r="N1951" t="e">
        <v>#REF!</v>
      </c>
      <c r="Q1951" t="e">
        <v>#REF!</v>
      </c>
    </row>
    <row r="1952" spans="1:17" hidden="1" x14ac:dyDescent="0.25">
      <c r="A1952" s="114" t="s">
        <v>4736</v>
      </c>
      <c r="B1952" s="115" t="s">
        <v>7535</v>
      </c>
      <c r="C1952" s="116" t="s">
        <v>16</v>
      </c>
      <c r="D1952" s="116">
        <v>0</v>
      </c>
      <c r="E1952" s="136" t="s">
        <v>416</v>
      </c>
      <c r="F1952" s="137" t="str">
        <f t="shared" si="159"/>
        <v/>
      </c>
      <c r="G1952" s="138" t="e">
        <f>IF(A1952&lt;&gt;"",IF(AND(#REF!="Padrão",$H$4=#REF!),BDI!$B$17,IF(AND(#REF!="Padrão",$H$4=#REF!),BDI!#REF!,IF(AND(#REF!="Diferenciado",$H$4=#REF!),BDI!$E$17,IF(AND(#REF!="Diferenciado",$H$4=#REF!),BDI!#REF!,IF(#REF!="ZERO",0))))),"")</f>
        <v>#REF!</v>
      </c>
      <c r="H1952" s="139" t="str">
        <f t="shared" si="160"/>
        <v/>
      </c>
      <c r="I1952" s="137" t="str">
        <f t="shared" si="161"/>
        <v/>
      </c>
      <c r="J1952" s="117"/>
      <c r="K1952" s="116">
        <v>0</v>
      </c>
      <c r="M1952" s="136" t="s">
        <v>416</v>
      </c>
      <c r="N1952" t="e">
        <v>#REF!</v>
      </c>
      <c r="Q1952" t="s">
        <v>416</v>
      </c>
    </row>
    <row r="1953" spans="1:17" hidden="1" x14ac:dyDescent="0.25">
      <c r="A1953" s="114" t="s">
        <v>4737</v>
      </c>
      <c r="B1953" s="115" t="s">
        <v>7536</v>
      </c>
      <c r="C1953" s="116" t="s">
        <v>16</v>
      </c>
      <c r="D1953" s="116">
        <v>0</v>
      </c>
      <c r="E1953" s="136">
        <f ca="1">OFFSET(INDEX(Composições!A:J,MATCH(Orçamentária!A1953,Composições!A:A,0),8),2,0)</f>
        <v>2207.61</v>
      </c>
      <c r="F1953" s="137">
        <f t="shared" ca="1" si="159"/>
        <v>0</v>
      </c>
      <c r="G1953" s="138" t="e">
        <f>IF(A1953&lt;&gt;"",IF(AND(#REF!="Padrão",$H$4=#REF!),BDI!$B$17,IF(AND(#REF!="Padrão",$H$4=#REF!),BDI!#REF!,IF(AND(#REF!="Diferenciado",$H$4=#REF!),BDI!$E$17,IF(AND(#REF!="Diferenciado",$H$4=#REF!),BDI!#REF!,IF(#REF!="ZERO",0))))),"")</f>
        <v>#REF!</v>
      </c>
      <c r="H1953" s="139" t="e">
        <f t="shared" ca="1" si="160"/>
        <v>#REF!</v>
      </c>
      <c r="I1953" s="137" t="e">
        <f t="shared" ca="1" si="161"/>
        <v>#REF!</v>
      </c>
      <c r="J1953" s="117"/>
      <c r="K1953" s="116">
        <v>0</v>
      </c>
      <c r="M1953" s="136" t="e">
        <f ca="1">OFFSET(INDEX([1]Composições!I:R,MATCH([1]Orçamentária!I1953,[1]Composições!I:I,0),8),2,0)</f>
        <v>#REF!</v>
      </c>
      <c r="N1953" t="e">
        <v>#REF!</v>
      </c>
      <c r="Q1953" t="e">
        <v>#REF!</v>
      </c>
    </row>
    <row r="1954" spans="1:17" hidden="1" x14ac:dyDescent="0.25">
      <c r="A1954" s="114" t="s">
        <v>4738</v>
      </c>
      <c r="B1954" s="115" t="s">
        <v>3663</v>
      </c>
      <c r="C1954" s="116" t="s">
        <v>16</v>
      </c>
      <c r="D1954" s="116">
        <v>0</v>
      </c>
      <c r="E1954" s="136">
        <f ca="1">OFFSET(INDEX(Composições!A:J,MATCH(Orçamentária!A1954,Composições!A:A,0),8),2,0)</f>
        <v>38.475000000000001</v>
      </c>
      <c r="F1954" s="137">
        <f t="shared" ca="1" si="159"/>
        <v>0</v>
      </c>
      <c r="G1954" s="138" t="e">
        <f>IF(A1954&lt;&gt;"",IF(AND(#REF!="Padrão",$H$4=#REF!),BDI!$B$17,IF(AND(#REF!="Padrão",$H$4=#REF!),BDI!#REF!,IF(AND(#REF!="Diferenciado",$H$4=#REF!),BDI!$E$17,IF(AND(#REF!="Diferenciado",$H$4=#REF!),BDI!#REF!,IF(#REF!="ZERO",0))))),"")</f>
        <v>#REF!</v>
      </c>
      <c r="H1954" s="139" t="e">
        <f t="shared" ca="1" si="160"/>
        <v>#REF!</v>
      </c>
      <c r="I1954" s="137" t="e">
        <f t="shared" ca="1" si="161"/>
        <v>#REF!</v>
      </c>
      <c r="J1954" s="117"/>
      <c r="K1954" s="116">
        <v>0</v>
      </c>
      <c r="M1954" s="136" t="e">
        <f ca="1">OFFSET(INDEX([1]Composições!I:R,MATCH([1]Orçamentária!I1954,[1]Composições!I:I,0),8),2,0)</f>
        <v>#REF!</v>
      </c>
      <c r="N1954" t="e">
        <v>#REF!</v>
      </c>
      <c r="Q1954" t="e">
        <v>#REF!</v>
      </c>
    </row>
    <row r="1955" spans="1:17" hidden="1" x14ac:dyDescent="0.25">
      <c r="A1955" s="114" t="s">
        <v>4739</v>
      </c>
      <c r="B1955" s="115" t="s">
        <v>3664</v>
      </c>
      <c r="C1955" s="116" t="s">
        <v>16</v>
      </c>
      <c r="D1955" s="116">
        <v>0</v>
      </c>
      <c r="E1955" s="136" t="s">
        <v>416</v>
      </c>
      <c r="F1955" s="137" t="str">
        <f t="shared" si="159"/>
        <v/>
      </c>
      <c r="G1955" s="138" t="e">
        <f>IF(A1955&lt;&gt;"",IF(AND(#REF!="Padrão",$H$4=#REF!),BDI!$B$17,IF(AND(#REF!="Padrão",$H$4=#REF!),BDI!#REF!,IF(AND(#REF!="Diferenciado",$H$4=#REF!),BDI!$E$17,IF(AND(#REF!="Diferenciado",$H$4=#REF!),BDI!#REF!,IF(#REF!="ZERO",0))))),"")</f>
        <v>#REF!</v>
      </c>
      <c r="H1955" s="139" t="str">
        <f t="shared" si="160"/>
        <v/>
      </c>
      <c r="I1955" s="137" t="str">
        <f t="shared" si="161"/>
        <v/>
      </c>
      <c r="J1955" s="117"/>
      <c r="K1955" s="116">
        <v>0</v>
      </c>
      <c r="M1955" s="136" t="s">
        <v>416</v>
      </c>
      <c r="N1955" t="e">
        <v>#REF!</v>
      </c>
      <c r="Q1955" t="s">
        <v>416</v>
      </c>
    </row>
    <row r="1956" spans="1:17" hidden="1" x14ac:dyDescent="0.25">
      <c r="A1956" s="114" t="s">
        <v>4740</v>
      </c>
      <c r="B1956" s="115" t="s">
        <v>3665</v>
      </c>
      <c r="C1956" s="116" t="s">
        <v>16</v>
      </c>
      <c r="D1956" s="116">
        <v>0</v>
      </c>
      <c r="E1956" s="136" t="s">
        <v>416</v>
      </c>
      <c r="F1956" s="137" t="str">
        <f t="shared" si="159"/>
        <v/>
      </c>
      <c r="G1956" s="138" t="e">
        <f>IF(A1956&lt;&gt;"",IF(AND(#REF!="Padrão",$H$4=#REF!),BDI!$B$17,IF(AND(#REF!="Padrão",$H$4=#REF!),BDI!#REF!,IF(AND(#REF!="Diferenciado",$H$4=#REF!),BDI!$E$17,IF(AND(#REF!="Diferenciado",$H$4=#REF!),BDI!#REF!,IF(#REF!="ZERO",0))))),"")</f>
        <v>#REF!</v>
      </c>
      <c r="H1956" s="139" t="str">
        <f t="shared" si="160"/>
        <v/>
      </c>
      <c r="I1956" s="137" t="str">
        <f t="shared" si="161"/>
        <v/>
      </c>
      <c r="J1956" s="117"/>
      <c r="K1956" s="116">
        <v>0</v>
      </c>
      <c r="M1956" s="136" t="s">
        <v>416</v>
      </c>
      <c r="N1956" t="e">
        <v>#REF!</v>
      </c>
      <c r="Q1956" t="s">
        <v>416</v>
      </c>
    </row>
    <row r="1957" spans="1:17" hidden="1" x14ac:dyDescent="0.25">
      <c r="A1957" s="114" t="s">
        <v>4741</v>
      </c>
      <c r="B1957" s="115" t="s">
        <v>3666</v>
      </c>
      <c r="C1957" s="116" t="s">
        <v>16</v>
      </c>
      <c r="D1957" s="116">
        <v>0</v>
      </c>
      <c r="E1957" s="136" t="s">
        <v>416</v>
      </c>
      <c r="F1957" s="137" t="str">
        <f t="shared" si="159"/>
        <v/>
      </c>
      <c r="G1957" s="138" t="e">
        <f>IF(A1957&lt;&gt;"",IF(AND(#REF!="Padrão",$H$4=#REF!),BDI!$B$17,IF(AND(#REF!="Padrão",$H$4=#REF!),BDI!#REF!,IF(AND(#REF!="Diferenciado",$H$4=#REF!),BDI!$E$17,IF(AND(#REF!="Diferenciado",$H$4=#REF!),BDI!#REF!,IF(#REF!="ZERO",0))))),"")</f>
        <v>#REF!</v>
      </c>
      <c r="H1957" s="139" t="str">
        <f t="shared" si="160"/>
        <v/>
      </c>
      <c r="I1957" s="137" t="str">
        <f t="shared" si="161"/>
        <v/>
      </c>
      <c r="J1957" s="117"/>
      <c r="K1957" s="116">
        <v>0</v>
      </c>
      <c r="M1957" s="136" t="s">
        <v>416</v>
      </c>
      <c r="N1957" t="e">
        <v>#REF!</v>
      </c>
      <c r="Q1957" t="s">
        <v>416</v>
      </c>
    </row>
    <row r="1958" spans="1:17" hidden="1" x14ac:dyDescent="0.25">
      <c r="A1958" s="114" t="s">
        <v>4742</v>
      </c>
      <c r="B1958" s="115" t="s">
        <v>3667</v>
      </c>
      <c r="C1958" s="116" t="s">
        <v>16</v>
      </c>
      <c r="D1958" s="116">
        <v>0</v>
      </c>
      <c r="E1958" s="136" t="s">
        <v>416</v>
      </c>
      <c r="F1958" s="137" t="str">
        <f t="shared" si="159"/>
        <v/>
      </c>
      <c r="G1958" s="138" t="e">
        <f>IF(A1958&lt;&gt;"",IF(AND(#REF!="Padrão",$H$4=#REF!),BDI!$B$17,IF(AND(#REF!="Padrão",$H$4=#REF!),BDI!#REF!,IF(AND(#REF!="Diferenciado",$H$4=#REF!),BDI!$E$17,IF(AND(#REF!="Diferenciado",$H$4=#REF!),BDI!#REF!,IF(#REF!="ZERO",0))))),"")</f>
        <v>#REF!</v>
      </c>
      <c r="H1958" s="139" t="str">
        <f t="shared" si="160"/>
        <v/>
      </c>
      <c r="I1958" s="137" t="str">
        <f t="shared" si="161"/>
        <v/>
      </c>
      <c r="J1958" s="117"/>
      <c r="K1958" s="116">
        <v>0</v>
      </c>
      <c r="M1958" s="136" t="s">
        <v>416</v>
      </c>
      <c r="N1958" t="e">
        <v>#REF!</v>
      </c>
      <c r="Q1958" t="s">
        <v>416</v>
      </c>
    </row>
    <row r="1959" spans="1:17" hidden="1" x14ac:dyDescent="0.25">
      <c r="A1959" s="114" t="s">
        <v>4743</v>
      </c>
      <c r="B1959" s="115" t="s">
        <v>3668</v>
      </c>
      <c r="C1959" s="116" t="s">
        <v>16</v>
      </c>
      <c r="D1959" s="116">
        <v>0</v>
      </c>
      <c r="E1959" s="136" t="s">
        <v>416</v>
      </c>
      <c r="F1959" s="137" t="str">
        <f t="shared" si="159"/>
        <v/>
      </c>
      <c r="G1959" s="138" t="e">
        <f>IF(A1959&lt;&gt;"",IF(AND(#REF!="Padrão",$H$4=#REF!),BDI!$B$17,IF(AND(#REF!="Padrão",$H$4=#REF!),BDI!#REF!,IF(AND(#REF!="Diferenciado",$H$4=#REF!),BDI!$E$17,IF(AND(#REF!="Diferenciado",$H$4=#REF!),BDI!#REF!,IF(#REF!="ZERO",0))))),"")</f>
        <v>#REF!</v>
      </c>
      <c r="H1959" s="139" t="str">
        <f t="shared" si="160"/>
        <v/>
      </c>
      <c r="I1959" s="137" t="str">
        <f t="shared" si="161"/>
        <v/>
      </c>
      <c r="J1959" s="117"/>
      <c r="K1959" s="116">
        <v>0</v>
      </c>
      <c r="M1959" s="136" t="s">
        <v>416</v>
      </c>
      <c r="N1959" t="e">
        <v>#REF!</v>
      </c>
      <c r="Q1959" t="s">
        <v>416</v>
      </c>
    </row>
    <row r="1960" spans="1:17" hidden="1" x14ac:dyDescent="0.25">
      <c r="A1960" s="114" t="s">
        <v>4744</v>
      </c>
      <c r="B1960" s="115" t="s">
        <v>3669</v>
      </c>
      <c r="C1960" s="116" t="s">
        <v>16</v>
      </c>
      <c r="D1960" s="116">
        <v>0</v>
      </c>
      <c r="E1960" s="136" t="s">
        <v>416</v>
      </c>
      <c r="F1960" s="137" t="str">
        <f t="shared" si="159"/>
        <v/>
      </c>
      <c r="G1960" s="138" t="e">
        <f>IF(A1960&lt;&gt;"",IF(AND(#REF!="Padrão",$H$4=#REF!),BDI!$B$17,IF(AND(#REF!="Padrão",$H$4=#REF!),BDI!#REF!,IF(AND(#REF!="Diferenciado",$H$4=#REF!),BDI!$E$17,IF(AND(#REF!="Diferenciado",$H$4=#REF!),BDI!#REF!,IF(#REF!="ZERO",0))))),"")</f>
        <v>#REF!</v>
      </c>
      <c r="H1960" s="139" t="str">
        <f t="shared" si="160"/>
        <v/>
      </c>
      <c r="I1960" s="137" t="str">
        <f t="shared" si="161"/>
        <v/>
      </c>
      <c r="J1960" s="117"/>
      <c r="K1960" s="116">
        <v>0</v>
      </c>
      <c r="M1960" s="136" t="s">
        <v>416</v>
      </c>
      <c r="N1960" t="e">
        <v>#REF!</v>
      </c>
      <c r="Q1960" t="s">
        <v>416</v>
      </c>
    </row>
    <row r="1961" spans="1:17" hidden="1" x14ac:dyDescent="0.25">
      <c r="A1961" s="114" t="s">
        <v>4745</v>
      </c>
      <c r="B1961" s="115" t="s">
        <v>3670</v>
      </c>
      <c r="C1961" s="116" t="s">
        <v>16</v>
      </c>
      <c r="D1961" s="116">
        <v>0</v>
      </c>
      <c r="E1961" s="136" t="s">
        <v>416</v>
      </c>
      <c r="F1961" s="137" t="str">
        <f t="shared" si="159"/>
        <v/>
      </c>
      <c r="G1961" s="138" t="e">
        <f>IF(A1961&lt;&gt;"",IF(AND(#REF!="Padrão",$H$4=#REF!),BDI!$B$17,IF(AND(#REF!="Padrão",$H$4=#REF!),BDI!#REF!,IF(AND(#REF!="Diferenciado",$H$4=#REF!),BDI!$E$17,IF(AND(#REF!="Diferenciado",$H$4=#REF!),BDI!#REF!,IF(#REF!="ZERO",0))))),"")</f>
        <v>#REF!</v>
      </c>
      <c r="H1961" s="139" t="str">
        <f t="shared" si="160"/>
        <v/>
      </c>
      <c r="I1961" s="137" t="str">
        <f t="shared" si="161"/>
        <v/>
      </c>
      <c r="J1961" s="117"/>
      <c r="K1961" s="116">
        <v>0</v>
      </c>
      <c r="M1961" s="136" t="s">
        <v>416</v>
      </c>
      <c r="N1961" t="e">
        <v>#REF!</v>
      </c>
      <c r="Q1961" t="s">
        <v>416</v>
      </c>
    </row>
    <row r="1962" spans="1:17" hidden="1" x14ac:dyDescent="0.25">
      <c r="A1962" s="114" t="s">
        <v>4746</v>
      </c>
      <c r="B1962" s="115" t="s">
        <v>3671</v>
      </c>
      <c r="C1962" s="116" t="s">
        <v>16</v>
      </c>
      <c r="D1962" s="116">
        <v>0</v>
      </c>
      <c r="E1962" s="136" t="s">
        <v>416</v>
      </c>
      <c r="F1962" s="137" t="str">
        <f t="shared" si="159"/>
        <v/>
      </c>
      <c r="G1962" s="138" t="e">
        <f>IF(A1962&lt;&gt;"",IF(AND(#REF!="Padrão",$H$4=#REF!),BDI!$B$17,IF(AND(#REF!="Padrão",$H$4=#REF!),BDI!#REF!,IF(AND(#REF!="Diferenciado",$H$4=#REF!),BDI!$E$17,IF(AND(#REF!="Diferenciado",$H$4=#REF!),BDI!#REF!,IF(#REF!="ZERO",0))))),"")</f>
        <v>#REF!</v>
      </c>
      <c r="H1962" s="139" t="str">
        <f t="shared" si="160"/>
        <v/>
      </c>
      <c r="I1962" s="137" t="str">
        <f t="shared" si="161"/>
        <v/>
      </c>
      <c r="J1962" s="117"/>
      <c r="K1962" s="116">
        <v>0</v>
      </c>
      <c r="M1962" s="136" t="s">
        <v>416</v>
      </c>
      <c r="N1962" t="e">
        <v>#REF!</v>
      </c>
      <c r="Q1962" t="s">
        <v>416</v>
      </c>
    </row>
    <row r="1963" spans="1:17" hidden="1" x14ac:dyDescent="0.25">
      <c r="A1963" s="114" t="s">
        <v>4747</v>
      </c>
      <c r="B1963" s="115" t="s">
        <v>3672</v>
      </c>
      <c r="C1963" s="116" t="s">
        <v>16</v>
      </c>
      <c r="D1963" s="116">
        <v>0</v>
      </c>
      <c r="E1963" s="136" t="s">
        <v>416</v>
      </c>
      <c r="F1963" s="137" t="str">
        <f t="shared" si="159"/>
        <v/>
      </c>
      <c r="G1963" s="138" t="e">
        <f>IF(A1963&lt;&gt;"",IF(AND(#REF!="Padrão",$H$4=#REF!),BDI!$B$17,IF(AND(#REF!="Padrão",$H$4=#REF!),BDI!#REF!,IF(AND(#REF!="Diferenciado",$H$4=#REF!),BDI!$E$17,IF(AND(#REF!="Diferenciado",$H$4=#REF!),BDI!#REF!,IF(#REF!="ZERO",0))))),"")</f>
        <v>#REF!</v>
      </c>
      <c r="H1963" s="139" t="str">
        <f t="shared" si="160"/>
        <v/>
      </c>
      <c r="I1963" s="137" t="str">
        <f t="shared" si="161"/>
        <v/>
      </c>
      <c r="J1963" s="117"/>
      <c r="K1963" s="116">
        <v>0</v>
      </c>
      <c r="M1963" s="136" t="s">
        <v>416</v>
      </c>
      <c r="N1963" t="e">
        <v>#REF!</v>
      </c>
      <c r="Q1963" t="s">
        <v>416</v>
      </c>
    </row>
    <row r="1964" spans="1:17" hidden="1" x14ac:dyDescent="0.25">
      <c r="A1964" s="114" t="s">
        <v>4748</v>
      </c>
      <c r="B1964" s="115" t="s">
        <v>3673</v>
      </c>
      <c r="C1964" s="116" t="s">
        <v>16</v>
      </c>
      <c r="D1964" s="116">
        <v>0</v>
      </c>
      <c r="E1964" s="136" t="s">
        <v>416</v>
      </c>
      <c r="F1964" s="137" t="str">
        <f t="shared" si="159"/>
        <v/>
      </c>
      <c r="G1964" s="138" t="e">
        <f>IF(A1964&lt;&gt;"",IF(AND(#REF!="Padrão",$H$4=#REF!),BDI!$B$17,IF(AND(#REF!="Padrão",$H$4=#REF!),BDI!#REF!,IF(AND(#REF!="Diferenciado",$H$4=#REF!),BDI!$E$17,IF(AND(#REF!="Diferenciado",$H$4=#REF!),BDI!#REF!,IF(#REF!="ZERO",0))))),"")</f>
        <v>#REF!</v>
      </c>
      <c r="H1964" s="139" t="str">
        <f t="shared" si="160"/>
        <v/>
      </c>
      <c r="I1964" s="137" t="str">
        <f t="shared" si="161"/>
        <v/>
      </c>
      <c r="J1964" s="117"/>
      <c r="K1964" s="116">
        <v>0</v>
      </c>
      <c r="M1964" s="136" t="s">
        <v>416</v>
      </c>
      <c r="N1964" t="e">
        <v>#REF!</v>
      </c>
      <c r="Q1964" t="s">
        <v>416</v>
      </c>
    </row>
    <row r="1965" spans="1:17" hidden="1" x14ac:dyDescent="0.25">
      <c r="A1965" s="114" t="s">
        <v>4749</v>
      </c>
      <c r="B1965" s="115" t="s">
        <v>3674</v>
      </c>
      <c r="C1965" s="116" t="s">
        <v>16</v>
      </c>
      <c r="D1965" s="116">
        <v>0</v>
      </c>
      <c r="E1965" s="136" t="s">
        <v>416</v>
      </c>
      <c r="F1965" s="137" t="str">
        <f t="shared" ref="F1965:F2028" si="162">IF(ISNUMBER(E1965),D1965*E1965,"")</f>
        <v/>
      </c>
      <c r="G1965" s="138" t="e">
        <f>IF(A1965&lt;&gt;"",IF(AND(#REF!="Padrão",$H$4=#REF!),BDI!$B$17,IF(AND(#REF!="Padrão",$H$4=#REF!),BDI!#REF!,IF(AND(#REF!="Diferenciado",$H$4=#REF!),BDI!$E$17,IF(AND(#REF!="Diferenciado",$H$4=#REF!),BDI!#REF!,IF(#REF!="ZERO",0))))),"")</f>
        <v>#REF!</v>
      </c>
      <c r="H1965" s="139" t="str">
        <f t="shared" ref="H1965:H2028" si="163">IF(ISNUMBER(E1965),ROUND(E1965*(1+G1965),2),"")</f>
        <v/>
      </c>
      <c r="I1965" s="137" t="str">
        <f t="shared" ref="I1965:I2028" si="164">IF(ISNUMBER(E1965),ROUND(H1965*D1965,2),"")</f>
        <v/>
      </c>
      <c r="J1965" s="117"/>
      <c r="K1965" s="116">
        <v>0</v>
      </c>
      <c r="M1965" s="136" t="s">
        <v>416</v>
      </c>
      <c r="N1965" t="e">
        <v>#REF!</v>
      </c>
      <c r="Q1965" t="s">
        <v>416</v>
      </c>
    </row>
    <row r="1966" spans="1:17" hidden="1" x14ac:dyDescent="0.25">
      <c r="A1966" s="114" t="s">
        <v>4750</v>
      </c>
      <c r="B1966" s="115" t="s">
        <v>3675</v>
      </c>
      <c r="C1966" s="116" t="s">
        <v>16</v>
      </c>
      <c r="D1966" s="116">
        <v>0</v>
      </c>
      <c r="E1966" s="136" t="s">
        <v>416</v>
      </c>
      <c r="F1966" s="137" t="str">
        <f t="shared" si="162"/>
        <v/>
      </c>
      <c r="G1966" s="138" t="e">
        <f>IF(A1966&lt;&gt;"",IF(AND(#REF!="Padrão",$H$4=#REF!),BDI!$B$17,IF(AND(#REF!="Padrão",$H$4=#REF!),BDI!#REF!,IF(AND(#REF!="Diferenciado",$H$4=#REF!),BDI!$E$17,IF(AND(#REF!="Diferenciado",$H$4=#REF!),BDI!#REF!,IF(#REF!="ZERO",0))))),"")</f>
        <v>#REF!</v>
      </c>
      <c r="H1966" s="139" t="str">
        <f t="shared" si="163"/>
        <v/>
      </c>
      <c r="I1966" s="137" t="str">
        <f t="shared" si="164"/>
        <v/>
      </c>
      <c r="J1966" s="117"/>
      <c r="K1966" s="116">
        <v>0</v>
      </c>
      <c r="M1966" s="136" t="s">
        <v>416</v>
      </c>
      <c r="N1966" t="e">
        <v>#REF!</v>
      </c>
      <c r="Q1966" t="s">
        <v>416</v>
      </c>
    </row>
    <row r="1967" spans="1:17" hidden="1" x14ac:dyDescent="0.25">
      <c r="A1967" s="114" t="s">
        <v>4751</v>
      </c>
      <c r="B1967" s="115" t="s">
        <v>3676</v>
      </c>
      <c r="C1967" s="116" t="s">
        <v>16</v>
      </c>
      <c r="D1967" s="116">
        <v>0</v>
      </c>
      <c r="E1967" s="136" t="s">
        <v>416</v>
      </c>
      <c r="F1967" s="137" t="str">
        <f t="shared" si="162"/>
        <v/>
      </c>
      <c r="G1967" s="138" t="e">
        <f>IF(A1967&lt;&gt;"",IF(AND(#REF!="Padrão",$H$4=#REF!),BDI!$B$17,IF(AND(#REF!="Padrão",$H$4=#REF!),BDI!#REF!,IF(AND(#REF!="Diferenciado",$H$4=#REF!),BDI!$E$17,IF(AND(#REF!="Diferenciado",$H$4=#REF!),BDI!#REF!,IF(#REF!="ZERO",0))))),"")</f>
        <v>#REF!</v>
      </c>
      <c r="H1967" s="139" t="str">
        <f t="shared" si="163"/>
        <v/>
      </c>
      <c r="I1967" s="137" t="str">
        <f t="shared" si="164"/>
        <v/>
      </c>
      <c r="J1967" s="117"/>
      <c r="K1967" s="116">
        <v>0</v>
      </c>
      <c r="M1967" s="136" t="s">
        <v>416</v>
      </c>
      <c r="N1967" t="e">
        <v>#REF!</v>
      </c>
      <c r="Q1967" t="s">
        <v>416</v>
      </c>
    </row>
    <row r="1968" spans="1:17" hidden="1" x14ac:dyDescent="0.25">
      <c r="A1968" s="114" t="s">
        <v>4752</v>
      </c>
      <c r="B1968" s="115" t="s">
        <v>3677</v>
      </c>
      <c r="C1968" s="116" t="s">
        <v>16</v>
      </c>
      <c r="D1968" s="116">
        <v>0</v>
      </c>
      <c r="E1968" s="136" t="s">
        <v>416</v>
      </c>
      <c r="F1968" s="137" t="str">
        <f t="shared" si="162"/>
        <v/>
      </c>
      <c r="G1968" s="138" t="e">
        <f>IF(A1968&lt;&gt;"",IF(AND(#REF!="Padrão",$H$4=#REF!),BDI!$B$17,IF(AND(#REF!="Padrão",$H$4=#REF!),BDI!#REF!,IF(AND(#REF!="Diferenciado",$H$4=#REF!),BDI!$E$17,IF(AND(#REF!="Diferenciado",$H$4=#REF!),BDI!#REF!,IF(#REF!="ZERO",0))))),"")</f>
        <v>#REF!</v>
      </c>
      <c r="H1968" s="139" t="str">
        <f t="shared" si="163"/>
        <v/>
      </c>
      <c r="I1968" s="137" t="str">
        <f t="shared" si="164"/>
        <v/>
      </c>
      <c r="J1968" s="117"/>
      <c r="K1968" s="116">
        <v>0</v>
      </c>
      <c r="M1968" s="136" t="s">
        <v>416</v>
      </c>
      <c r="N1968" t="e">
        <v>#REF!</v>
      </c>
      <c r="Q1968" t="s">
        <v>416</v>
      </c>
    </row>
    <row r="1969" spans="1:17" hidden="1" x14ac:dyDescent="0.25">
      <c r="A1969" s="114" t="s">
        <v>4753</v>
      </c>
      <c r="B1969" s="115" t="s">
        <v>3678</v>
      </c>
      <c r="C1969" s="116" t="s">
        <v>16</v>
      </c>
      <c r="D1969" s="116">
        <v>0</v>
      </c>
      <c r="E1969" s="136" t="s">
        <v>416</v>
      </c>
      <c r="F1969" s="137" t="str">
        <f t="shared" si="162"/>
        <v/>
      </c>
      <c r="G1969" s="138" t="e">
        <f>IF(A1969&lt;&gt;"",IF(AND(#REF!="Padrão",$H$4=#REF!),BDI!$B$17,IF(AND(#REF!="Padrão",$H$4=#REF!),BDI!#REF!,IF(AND(#REF!="Diferenciado",$H$4=#REF!),BDI!$E$17,IF(AND(#REF!="Diferenciado",$H$4=#REF!),BDI!#REF!,IF(#REF!="ZERO",0))))),"")</f>
        <v>#REF!</v>
      </c>
      <c r="H1969" s="139" t="str">
        <f t="shared" si="163"/>
        <v/>
      </c>
      <c r="I1969" s="137" t="str">
        <f t="shared" si="164"/>
        <v/>
      </c>
      <c r="J1969" s="117"/>
      <c r="K1969" s="116">
        <v>0</v>
      </c>
      <c r="M1969" s="136" t="s">
        <v>416</v>
      </c>
      <c r="N1969" t="e">
        <v>#REF!</v>
      </c>
      <c r="Q1969" t="s">
        <v>416</v>
      </c>
    </row>
    <row r="1970" spans="1:17" hidden="1" x14ac:dyDescent="0.25">
      <c r="A1970" s="114" t="s">
        <v>4754</v>
      </c>
      <c r="B1970" s="115" t="s">
        <v>3679</v>
      </c>
      <c r="C1970" s="116" t="s">
        <v>16</v>
      </c>
      <c r="D1970" s="116">
        <v>0</v>
      </c>
      <c r="E1970" s="136" t="s">
        <v>416</v>
      </c>
      <c r="F1970" s="137" t="str">
        <f t="shared" si="162"/>
        <v/>
      </c>
      <c r="G1970" s="138" t="e">
        <f>IF(A1970&lt;&gt;"",IF(AND(#REF!="Padrão",$H$4=#REF!),BDI!$B$17,IF(AND(#REF!="Padrão",$H$4=#REF!),BDI!#REF!,IF(AND(#REF!="Diferenciado",$H$4=#REF!),BDI!$E$17,IF(AND(#REF!="Diferenciado",$H$4=#REF!),BDI!#REF!,IF(#REF!="ZERO",0))))),"")</f>
        <v>#REF!</v>
      </c>
      <c r="H1970" s="139" t="str">
        <f t="shared" si="163"/>
        <v/>
      </c>
      <c r="I1970" s="137" t="str">
        <f t="shared" si="164"/>
        <v/>
      </c>
      <c r="J1970" s="117"/>
      <c r="K1970" s="116">
        <v>0</v>
      </c>
      <c r="M1970" s="136" t="s">
        <v>416</v>
      </c>
      <c r="N1970" t="e">
        <v>#REF!</v>
      </c>
      <c r="Q1970" t="s">
        <v>416</v>
      </c>
    </row>
    <row r="1971" spans="1:17" hidden="1" x14ac:dyDescent="0.25">
      <c r="A1971" s="114" t="s">
        <v>4755</v>
      </c>
      <c r="B1971" s="115" t="s">
        <v>3680</v>
      </c>
      <c r="C1971" s="116" t="s">
        <v>16</v>
      </c>
      <c r="D1971" s="116">
        <v>0</v>
      </c>
      <c r="E1971" s="136" t="s">
        <v>416</v>
      </c>
      <c r="F1971" s="137" t="str">
        <f t="shared" si="162"/>
        <v/>
      </c>
      <c r="G1971" s="138" t="e">
        <f>IF(A1971&lt;&gt;"",IF(AND(#REF!="Padrão",$H$4=#REF!),BDI!$B$17,IF(AND(#REF!="Padrão",$H$4=#REF!),BDI!#REF!,IF(AND(#REF!="Diferenciado",$H$4=#REF!),BDI!$E$17,IF(AND(#REF!="Diferenciado",$H$4=#REF!),BDI!#REF!,IF(#REF!="ZERO",0))))),"")</f>
        <v>#REF!</v>
      </c>
      <c r="H1971" s="139" t="str">
        <f t="shared" si="163"/>
        <v/>
      </c>
      <c r="I1971" s="137" t="str">
        <f t="shared" si="164"/>
        <v/>
      </c>
      <c r="J1971" s="117"/>
      <c r="K1971" s="116">
        <v>0</v>
      </c>
      <c r="M1971" s="136" t="s">
        <v>416</v>
      </c>
      <c r="N1971" t="e">
        <v>#REF!</v>
      </c>
      <c r="Q1971" t="s">
        <v>416</v>
      </c>
    </row>
    <row r="1972" spans="1:17" hidden="1" x14ac:dyDescent="0.25">
      <c r="A1972" s="114" t="s">
        <v>4756</v>
      </c>
      <c r="B1972" s="115" t="s">
        <v>3681</v>
      </c>
      <c r="C1972" s="116" t="s">
        <v>16</v>
      </c>
      <c r="D1972" s="116">
        <v>0</v>
      </c>
      <c r="E1972" s="136" t="s">
        <v>416</v>
      </c>
      <c r="F1972" s="137" t="str">
        <f t="shared" si="162"/>
        <v/>
      </c>
      <c r="G1972" s="138" t="e">
        <f>IF(A1972&lt;&gt;"",IF(AND(#REF!="Padrão",$H$4=#REF!),BDI!$B$17,IF(AND(#REF!="Padrão",$H$4=#REF!),BDI!#REF!,IF(AND(#REF!="Diferenciado",$H$4=#REF!),BDI!$E$17,IF(AND(#REF!="Diferenciado",$H$4=#REF!),BDI!#REF!,IF(#REF!="ZERO",0))))),"")</f>
        <v>#REF!</v>
      </c>
      <c r="H1972" s="139" t="str">
        <f t="shared" si="163"/>
        <v/>
      </c>
      <c r="I1972" s="137" t="str">
        <f t="shared" si="164"/>
        <v/>
      </c>
      <c r="J1972" s="117"/>
      <c r="K1972" s="116">
        <v>0</v>
      </c>
      <c r="M1972" s="136" t="s">
        <v>416</v>
      </c>
      <c r="N1972" t="e">
        <v>#REF!</v>
      </c>
      <c r="Q1972" t="s">
        <v>416</v>
      </c>
    </row>
    <row r="1973" spans="1:17" hidden="1" x14ac:dyDescent="0.25">
      <c r="A1973" s="114" t="s">
        <v>4757</v>
      </c>
      <c r="B1973" s="115" t="s">
        <v>3682</v>
      </c>
      <c r="C1973" s="116" t="s">
        <v>16</v>
      </c>
      <c r="D1973" s="116">
        <v>0</v>
      </c>
      <c r="E1973" s="136" t="s">
        <v>416</v>
      </c>
      <c r="F1973" s="137" t="str">
        <f t="shared" si="162"/>
        <v/>
      </c>
      <c r="G1973" s="138" t="e">
        <f>IF(A1973&lt;&gt;"",IF(AND(#REF!="Padrão",$H$4=#REF!),BDI!$B$17,IF(AND(#REF!="Padrão",$H$4=#REF!),BDI!#REF!,IF(AND(#REF!="Diferenciado",$H$4=#REF!),BDI!$E$17,IF(AND(#REF!="Diferenciado",$H$4=#REF!),BDI!#REF!,IF(#REF!="ZERO",0))))),"")</f>
        <v>#REF!</v>
      </c>
      <c r="H1973" s="139" t="str">
        <f t="shared" si="163"/>
        <v/>
      </c>
      <c r="I1973" s="137" t="str">
        <f t="shared" si="164"/>
        <v/>
      </c>
      <c r="J1973" s="117"/>
      <c r="K1973" s="116">
        <v>0</v>
      </c>
      <c r="M1973" s="136" t="s">
        <v>416</v>
      </c>
      <c r="N1973" t="e">
        <v>#REF!</v>
      </c>
      <c r="Q1973" t="s">
        <v>416</v>
      </c>
    </row>
    <row r="1974" spans="1:17" hidden="1" x14ac:dyDescent="0.25">
      <c r="A1974" s="114" t="s">
        <v>4758</v>
      </c>
      <c r="B1974" s="115" t="s">
        <v>3683</v>
      </c>
      <c r="C1974" s="116" t="s">
        <v>16</v>
      </c>
      <c r="D1974" s="116">
        <v>0</v>
      </c>
      <c r="E1974" s="136" t="s">
        <v>416</v>
      </c>
      <c r="F1974" s="137" t="str">
        <f t="shared" si="162"/>
        <v/>
      </c>
      <c r="G1974" s="138" t="e">
        <f>IF(A1974&lt;&gt;"",IF(AND(#REF!="Padrão",$H$4=#REF!),BDI!$B$17,IF(AND(#REF!="Padrão",$H$4=#REF!),BDI!#REF!,IF(AND(#REF!="Diferenciado",$H$4=#REF!),BDI!$E$17,IF(AND(#REF!="Diferenciado",$H$4=#REF!),BDI!#REF!,IF(#REF!="ZERO",0))))),"")</f>
        <v>#REF!</v>
      </c>
      <c r="H1974" s="139" t="str">
        <f t="shared" si="163"/>
        <v/>
      </c>
      <c r="I1974" s="137" t="str">
        <f t="shared" si="164"/>
        <v/>
      </c>
      <c r="J1974" s="117"/>
      <c r="K1974" s="116">
        <v>0</v>
      </c>
      <c r="M1974" s="136" t="s">
        <v>416</v>
      </c>
      <c r="N1974" t="e">
        <v>#REF!</v>
      </c>
      <c r="Q1974" t="s">
        <v>416</v>
      </c>
    </row>
    <row r="1975" spans="1:17" hidden="1" x14ac:dyDescent="0.25">
      <c r="A1975" s="114" t="s">
        <v>4759</v>
      </c>
      <c r="B1975" s="115" t="s">
        <v>3684</v>
      </c>
      <c r="C1975" s="116" t="s">
        <v>16</v>
      </c>
      <c r="D1975" s="116">
        <v>0</v>
      </c>
      <c r="E1975" s="136" t="s">
        <v>416</v>
      </c>
      <c r="F1975" s="137" t="str">
        <f t="shared" si="162"/>
        <v/>
      </c>
      <c r="G1975" s="138" t="e">
        <f>IF(A1975&lt;&gt;"",IF(AND(#REF!="Padrão",$H$4=#REF!),BDI!$B$17,IF(AND(#REF!="Padrão",$H$4=#REF!),BDI!#REF!,IF(AND(#REF!="Diferenciado",$H$4=#REF!),BDI!$E$17,IF(AND(#REF!="Diferenciado",$H$4=#REF!),BDI!#REF!,IF(#REF!="ZERO",0))))),"")</f>
        <v>#REF!</v>
      </c>
      <c r="H1975" s="139" t="str">
        <f t="shared" si="163"/>
        <v/>
      </c>
      <c r="I1975" s="137" t="str">
        <f t="shared" si="164"/>
        <v/>
      </c>
      <c r="J1975" s="117"/>
      <c r="K1975" s="116">
        <v>0</v>
      </c>
      <c r="M1975" s="136" t="s">
        <v>416</v>
      </c>
      <c r="N1975" t="e">
        <v>#REF!</v>
      </c>
      <c r="Q1975" t="s">
        <v>416</v>
      </c>
    </row>
    <row r="1976" spans="1:17" hidden="1" x14ac:dyDescent="0.25">
      <c r="A1976" s="114" t="s">
        <v>4760</v>
      </c>
      <c r="B1976" s="115" t="s">
        <v>3685</v>
      </c>
      <c r="C1976" s="116" t="s">
        <v>16</v>
      </c>
      <c r="D1976" s="116">
        <v>0</v>
      </c>
      <c r="E1976" s="136" t="s">
        <v>416</v>
      </c>
      <c r="F1976" s="137" t="str">
        <f t="shared" si="162"/>
        <v/>
      </c>
      <c r="G1976" s="138" t="e">
        <f>IF(A1976&lt;&gt;"",IF(AND(#REF!="Padrão",$H$4=#REF!),BDI!$B$17,IF(AND(#REF!="Padrão",$H$4=#REF!),BDI!#REF!,IF(AND(#REF!="Diferenciado",$H$4=#REF!),BDI!$E$17,IF(AND(#REF!="Diferenciado",$H$4=#REF!),BDI!#REF!,IF(#REF!="ZERO",0))))),"")</f>
        <v>#REF!</v>
      </c>
      <c r="H1976" s="139" t="str">
        <f t="shared" si="163"/>
        <v/>
      </c>
      <c r="I1976" s="137" t="str">
        <f t="shared" si="164"/>
        <v/>
      </c>
      <c r="J1976" s="117"/>
      <c r="K1976" s="116">
        <v>0</v>
      </c>
      <c r="M1976" s="136" t="s">
        <v>416</v>
      </c>
      <c r="N1976" t="e">
        <v>#REF!</v>
      </c>
      <c r="Q1976" t="s">
        <v>416</v>
      </c>
    </row>
    <row r="1977" spans="1:17" hidden="1" x14ac:dyDescent="0.25">
      <c r="A1977" s="114" t="s">
        <v>4761</v>
      </c>
      <c r="B1977" s="115" t="s">
        <v>7521</v>
      </c>
      <c r="C1977" s="116" t="s">
        <v>16</v>
      </c>
      <c r="D1977" s="116">
        <v>0</v>
      </c>
      <c r="E1977" s="136" t="s">
        <v>416</v>
      </c>
      <c r="F1977" s="137" t="str">
        <f t="shared" si="162"/>
        <v/>
      </c>
      <c r="G1977" s="138" t="e">
        <f>IF(A1977&lt;&gt;"",IF(AND(#REF!="Padrão",$H$4=#REF!),BDI!$B$17,IF(AND(#REF!="Padrão",$H$4=#REF!),BDI!#REF!,IF(AND(#REF!="Diferenciado",$H$4=#REF!),BDI!$E$17,IF(AND(#REF!="Diferenciado",$H$4=#REF!),BDI!#REF!,IF(#REF!="ZERO",0))))),"")</f>
        <v>#REF!</v>
      </c>
      <c r="H1977" s="139" t="str">
        <f t="shared" si="163"/>
        <v/>
      </c>
      <c r="I1977" s="137" t="str">
        <f t="shared" si="164"/>
        <v/>
      </c>
      <c r="J1977" s="117"/>
      <c r="K1977" s="116">
        <v>0</v>
      </c>
      <c r="M1977" s="136" t="s">
        <v>416</v>
      </c>
      <c r="N1977" t="e">
        <v>#REF!</v>
      </c>
      <c r="Q1977" t="s">
        <v>416</v>
      </c>
    </row>
    <row r="1978" spans="1:17" hidden="1" x14ac:dyDescent="0.25">
      <c r="A1978" s="114" t="s">
        <v>4762</v>
      </c>
      <c r="B1978" s="115" t="s">
        <v>7522</v>
      </c>
      <c r="C1978" s="116" t="s">
        <v>16</v>
      </c>
      <c r="D1978" s="116">
        <v>0</v>
      </c>
      <c r="E1978" s="136" t="s">
        <v>416</v>
      </c>
      <c r="F1978" s="137" t="str">
        <f t="shared" si="162"/>
        <v/>
      </c>
      <c r="G1978" s="138" t="e">
        <f>IF(A1978&lt;&gt;"",IF(AND(#REF!="Padrão",$H$4=#REF!),BDI!$B$17,IF(AND(#REF!="Padrão",$H$4=#REF!),BDI!#REF!,IF(AND(#REF!="Diferenciado",$H$4=#REF!),BDI!$E$17,IF(AND(#REF!="Diferenciado",$H$4=#REF!),BDI!#REF!,IF(#REF!="ZERO",0))))),"")</f>
        <v>#REF!</v>
      </c>
      <c r="H1978" s="139" t="str">
        <f t="shared" si="163"/>
        <v/>
      </c>
      <c r="I1978" s="137" t="str">
        <f t="shared" si="164"/>
        <v/>
      </c>
      <c r="J1978" s="117"/>
      <c r="K1978" s="116">
        <v>0</v>
      </c>
      <c r="M1978" s="136" t="s">
        <v>416</v>
      </c>
      <c r="N1978" t="e">
        <v>#REF!</v>
      </c>
      <c r="Q1978" t="s">
        <v>416</v>
      </c>
    </row>
    <row r="1979" spans="1:17" hidden="1" x14ac:dyDescent="0.25">
      <c r="A1979" s="114" t="s">
        <v>4763</v>
      </c>
      <c r="B1979" s="115" t="s">
        <v>7523</v>
      </c>
      <c r="C1979" s="116" t="s">
        <v>16</v>
      </c>
      <c r="D1979" s="116">
        <v>0</v>
      </c>
      <c r="E1979" s="136" t="s">
        <v>416</v>
      </c>
      <c r="F1979" s="137" t="str">
        <f t="shared" si="162"/>
        <v/>
      </c>
      <c r="G1979" s="138" t="e">
        <f>IF(A1979&lt;&gt;"",IF(AND(#REF!="Padrão",$H$4=#REF!),BDI!$B$17,IF(AND(#REF!="Padrão",$H$4=#REF!),BDI!#REF!,IF(AND(#REF!="Diferenciado",$H$4=#REF!),BDI!$E$17,IF(AND(#REF!="Diferenciado",$H$4=#REF!),BDI!#REF!,IF(#REF!="ZERO",0))))),"")</f>
        <v>#REF!</v>
      </c>
      <c r="H1979" s="139" t="str">
        <f t="shared" si="163"/>
        <v/>
      </c>
      <c r="I1979" s="137" t="str">
        <f t="shared" si="164"/>
        <v/>
      </c>
      <c r="J1979" s="117"/>
      <c r="K1979" s="116">
        <v>0</v>
      </c>
      <c r="M1979" s="136" t="s">
        <v>416</v>
      </c>
      <c r="N1979" t="e">
        <v>#REF!</v>
      </c>
      <c r="Q1979" t="s">
        <v>416</v>
      </c>
    </row>
    <row r="1980" spans="1:17" hidden="1" x14ac:dyDescent="0.25">
      <c r="A1980" s="114" t="s">
        <v>4764</v>
      </c>
      <c r="B1980" s="115" t="s">
        <v>7524</v>
      </c>
      <c r="C1980" s="116" t="s">
        <v>16</v>
      </c>
      <c r="D1980" s="116">
        <v>0</v>
      </c>
      <c r="E1980" s="136" t="s">
        <v>416</v>
      </c>
      <c r="F1980" s="137" t="str">
        <f t="shared" si="162"/>
        <v/>
      </c>
      <c r="G1980" s="138" t="e">
        <f>IF(A1980&lt;&gt;"",IF(AND(#REF!="Padrão",$H$4=#REF!),BDI!$B$17,IF(AND(#REF!="Padrão",$H$4=#REF!),BDI!#REF!,IF(AND(#REF!="Diferenciado",$H$4=#REF!),BDI!$E$17,IF(AND(#REF!="Diferenciado",$H$4=#REF!),BDI!#REF!,IF(#REF!="ZERO",0))))),"")</f>
        <v>#REF!</v>
      </c>
      <c r="H1980" s="139" t="str">
        <f t="shared" si="163"/>
        <v/>
      </c>
      <c r="I1980" s="137" t="str">
        <f t="shared" si="164"/>
        <v/>
      </c>
      <c r="J1980" s="117"/>
      <c r="K1980" s="116">
        <v>0</v>
      </c>
      <c r="M1980" s="136" t="s">
        <v>416</v>
      </c>
      <c r="N1980" t="e">
        <v>#REF!</v>
      </c>
      <c r="Q1980" t="s">
        <v>416</v>
      </c>
    </row>
    <row r="1981" spans="1:17" hidden="1" x14ac:dyDescent="0.25">
      <c r="A1981" s="114" t="s">
        <v>4765</v>
      </c>
      <c r="B1981" s="115" t="s">
        <v>7525</v>
      </c>
      <c r="C1981" s="116" t="s">
        <v>16</v>
      </c>
      <c r="D1981" s="116">
        <v>0</v>
      </c>
      <c r="E1981" s="136" t="s">
        <v>416</v>
      </c>
      <c r="F1981" s="137" t="str">
        <f t="shared" si="162"/>
        <v/>
      </c>
      <c r="G1981" s="138" t="e">
        <f>IF(A1981&lt;&gt;"",IF(AND(#REF!="Padrão",$H$4=#REF!),BDI!$B$17,IF(AND(#REF!="Padrão",$H$4=#REF!),BDI!#REF!,IF(AND(#REF!="Diferenciado",$H$4=#REF!),BDI!$E$17,IF(AND(#REF!="Diferenciado",$H$4=#REF!),BDI!#REF!,IF(#REF!="ZERO",0))))),"")</f>
        <v>#REF!</v>
      </c>
      <c r="H1981" s="139" t="str">
        <f t="shared" si="163"/>
        <v/>
      </c>
      <c r="I1981" s="137" t="str">
        <f t="shared" si="164"/>
        <v/>
      </c>
      <c r="J1981" s="117"/>
      <c r="K1981" s="116">
        <v>0</v>
      </c>
      <c r="M1981" s="136" t="s">
        <v>416</v>
      </c>
      <c r="N1981" t="e">
        <v>#REF!</v>
      </c>
      <c r="Q1981" t="s">
        <v>416</v>
      </c>
    </row>
    <row r="1982" spans="1:17" hidden="1" x14ac:dyDescent="0.25">
      <c r="A1982" s="114" t="s">
        <v>4766</v>
      </c>
      <c r="B1982" s="115" t="s">
        <v>7526</v>
      </c>
      <c r="C1982" s="116" t="s">
        <v>16</v>
      </c>
      <c r="D1982" s="116">
        <v>0</v>
      </c>
      <c r="E1982" s="136" t="s">
        <v>416</v>
      </c>
      <c r="F1982" s="137" t="str">
        <f t="shared" si="162"/>
        <v/>
      </c>
      <c r="G1982" s="138" t="e">
        <f>IF(A1982&lt;&gt;"",IF(AND(#REF!="Padrão",$H$4=#REF!),BDI!$B$17,IF(AND(#REF!="Padrão",$H$4=#REF!),BDI!#REF!,IF(AND(#REF!="Diferenciado",$H$4=#REF!),BDI!$E$17,IF(AND(#REF!="Diferenciado",$H$4=#REF!),BDI!#REF!,IF(#REF!="ZERO",0))))),"")</f>
        <v>#REF!</v>
      </c>
      <c r="H1982" s="139" t="str">
        <f t="shared" si="163"/>
        <v/>
      </c>
      <c r="I1982" s="137" t="str">
        <f t="shared" si="164"/>
        <v/>
      </c>
      <c r="J1982" s="117"/>
      <c r="K1982" s="116">
        <v>0</v>
      </c>
      <c r="M1982" s="136" t="s">
        <v>416</v>
      </c>
      <c r="N1982" t="e">
        <v>#REF!</v>
      </c>
      <c r="Q1982" t="s">
        <v>416</v>
      </c>
    </row>
    <row r="1983" spans="1:17" hidden="1" x14ac:dyDescent="0.25">
      <c r="A1983" s="114" t="s">
        <v>4767</v>
      </c>
      <c r="B1983" s="115" t="s">
        <v>7527</v>
      </c>
      <c r="C1983" s="116" t="s">
        <v>16</v>
      </c>
      <c r="D1983" s="116">
        <v>0</v>
      </c>
      <c r="E1983" s="136" t="s">
        <v>416</v>
      </c>
      <c r="F1983" s="137" t="str">
        <f t="shared" si="162"/>
        <v/>
      </c>
      <c r="G1983" s="138" t="e">
        <f>IF(A1983&lt;&gt;"",IF(AND(#REF!="Padrão",$H$4=#REF!),BDI!$B$17,IF(AND(#REF!="Padrão",$H$4=#REF!),BDI!#REF!,IF(AND(#REF!="Diferenciado",$H$4=#REF!),BDI!$E$17,IF(AND(#REF!="Diferenciado",$H$4=#REF!),BDI!#REF!,IF(#REF!="ZERO",0))))),"")</f>
        <v>#REF!</v>
      </c>
      <c r="H1983" s="139" t="str">
        <f t="shared" si="163"/>
        <v/>
      </c>
      <c r="I1983" s="137" t="str">
        <f t="shared" si="164"/>
        <v/>
      </c>
      <c r="J1983" s="117"/>
      <c r="K1983" s="116">
        <v>0</v>
      </c>
      <c r="M1983" s="136" t="s">
        <v>416</v>
      </c>
      <c r="N1983" t="e">
        <v>#REF!</v>
      </c>
      <c r="Q1983" t="s">
        <v>416</v>
      </c>
    </row>
    <row r="1984" spans="1:17" hidden="1" x14ac:dyDescent="0.25">
      <c r="A1984" s="114" t="s">
        <v>4768</v>
      </c>
      <c r="B1984" s="115" t="s">
        <v>7528</v>
      </c>
      <c r="C1984" s="116" t="s">
        <v>16</v>
      </c>
      <c r="D1984" s="116">
        <v>0</v>
      </c>
      <c r="E1984" s="136" t="s">
        <v>416</v>
      </c>
      <c r="F1984" s="137" t="str">
        <f t="shared" si="162"/>
        <v/>
      </c>
      <c r="G1984" s="138" t="e">
        <f>IF(A1984&lt;&gt;"",IF(AND(#REF!="Padrão",$H$4=#REF!),BDI!$B$17,IF(AND(#REF!="Padrão",$H$4=#REF!),BDI!#REF!,IF(AND(#REF!="Diferenciado",$H$4=#REF!),BDI!$E$17,IF(AND(#REF!="Diferenciado",$H$4=#REF!),BDI!#REF!,IF(#REF!="ZERO",0))))),"")</f>
        <v>#REF!</v>
      </c>
      <c r="H1984" s="139" t="str">
        <f t="shared" si="163"/>
        <v/>
      </c>
      <c r="I1984" s="137" t="str">
        <f t="shared" si="164"/>
        <v/>
      </c>
      <c r="J1984" s="117"/>
      <c r="K1984" s="116">
        <v>0</v>
      </c>
      <c r="M1984" s="136" t="s">
        <v>416</v>
      </c>
      <c r="N1984" t="e">
        <v>#REF!</v>
      </c>
      <c r="Q1984" t="s">
        <v>416</v>
      </c>
    </row>
    <row r="1985" spans="1:17" hidden="1" x14ac:dyDescent="0.25">
      <c r="A1985" s="114" t="s">
        <v>4769</v>
      </c>
      <c r="B1985" s="115" t="s">
        <v>7529</v>
      </c>
      <c r="C1985" s="116" t="s">
        <v>16</v>
      </c>
      <c r="D1985" s="116">
        <v>0</v>
      </c>
      <c r="E1985" s="136" t="s">
        <v>416</v>
      </c>
      <c r="F1985" s="137" t="str">
        <f t="shared" si="162"/>
        <v/>
      </c>
      <c r="G1985" s="138" t="e">
        <f>IF(A1985&lt;&gt;"",IF(AND(#REF!="Padrão",$H$4=#REF!),BDI!$B$17,IF(AND(#REF!="Padrão",$H$4=#REF!),BDI!#REF!,IF(AND(#REF!="Diferenciado",$H$4=#REF!),BDI!$E$17,IF(AND(#REF!="Diferenciado",$H$4=#REF!),BDI!#REF!,IF(#REF!="ZERO",0))))),"")</f>
        <v>#REF!</v>
      </c>
      <c r="H1985" s="139" t="str">
        <f t="shared" si="163"/>
        <v/>
      </c>
      <c r="I1985" s="137" t="str">
        <f t="shared" si="164"/>
        <v/>
      </c>
      <c r="J1985" s="117"/>
      <c r="K1985" s="116">
        <v>0</v>
      </c>
      <c r="M1985" s="136" t="s">
        <v>416</v>
      </c>
      <c r="N1985" t="e">
        <v>#REF!</v>
      </c>
      <c r="Q1985" t="s">
        <v>416</v>
      </c>
    </row>
    <row r="1986" spans="1:17" hidden="1" x14ac:dyDescent="0.25">
      <c r="A1986" s="114" t="s">
        <v>4770</v>
      </c>
      <c r="B1986" s="115" t="s">
        <v>7530</v>
      </c>
      <c r="C1986" s="116" t="s">
        <v>16</v>
      </c>
      <c r="D1986" s="116">
        <v>0</v>
      </c>
      <c r="E1986" s="136" t="s">
        <v>416</v>
      </c>
      <c r="F1986" s="137" t="str">
        <f t="shared" si="162"/>
        <v/>
      </c>
      <c r="G1986" s="138" t="e">
        <f>IF(A1986&lt;&gt;"",IF(AND(#REF!="Padrão",$H$4=#REF!),BDI!$B$17,IF(AND(#REF!="Padrão",$H$4=#REF!),BDI!#REF!,IF(AND(#REF!="Diferenciado",$H$4=#REF!),BDI!$E$17,IF(AND(#REF!="Diferenciado",$H$4=#REF!),BDI!#REF!,IF(#REF!="ZERO",0))))),"")</f>
        <v>#REF!</v>
      </c>
      <c r="H1986" s="139" t="str">
        <f t="shared" si="163"/>
        <v/>
      </c>
      <c r="I1986" s="137" t="str">
        <f t="shared" si="164"/>
        <v/>
      </c>
      <c r="J1986" s="117"/>
      <c r="K1986" s="116">
        <v>0</v>
      </c>
      <c r="M1986" s="136" t="s">
        <v>416</v>
      </c>
      <c r="N1986" t="e">
        <v>#REF!</v>
      </c>
      <c r="Q1986" t="s">
        <v>416</v>
      </c>
    </row>
    <row r="1987" spans="1:17" hidden="1" x14ac:dyDescent="0.25">
      <c r="A1987" s="114" t="s">
        <v>4771</v>
      </c>
      <c r="B1987" s="115" t="s">
        <v>7531</v>
      </c>
      <c r="C1987" s="116" t="s">
        <v>16</v>
      </c>
      <c r="D1987" s="116">
        <v>0</v>
      </c>
      <c r="E1987" s="136" t="s">
        <v>416</v>
      </c>
      <c r="F1987" s="137" t="str">
        <f t="shared" si="162"/>
        <v/>
      </c>
      <c r="G1987" s="138" t="e">
        <f>IF(A1987&lt;&gt;"",IF(AND(#REF!="Padrão",$H$4=#REF!),BDI!$B$17,IF(AND(#REF!="Padrão",$H$4=#REF!),BDI!#REF!,IF(AND(#REF!="Diferenciado",$H$4=#REF!),BDI!$E$17,IF(AND(#REF!="Diferenciado",$H$4=#REF!),BDI!#REF!,IF(#REF!="ZERO",0))))),"")</f>
        <v>#REF!</v>
      </c>
      <c r="H1987" s="139" t="str">
        <f t="shared" si="163"/>
        <v/>
      </c>
      <c r="I1987" s="137" t="str">
        <f t="shared" si="164"/>
        <v/>
      </c>
      <c r="J1987" s="117"/>
      <c r="K1987" s="116">
        <v>0</v>
      </c>
      <c r="M1987" s="136" t="s">
        <v>416</v>
      </c>
      <c r="N1987" t="e">
        <v>#REF!</v>
      </c>
      <c r="Q1987" t="s">
        <v>416</v>
      </c>
    </row>
    <row r="1988" spans="1:17" hidden="1" x14ac:dyDescent="0.25">
      <c r="A1988" s="114" t="s">
        <v>4772</v>
      </c>
      <c r="B1988" s="115" t="s">
        <v>3686</v>
      </c>
      <c r="C1988" s="116" t="s">
        <v>16</v>
      </c>
      <c r="D1988" s="116">
        <v>0</v>
      </c>
      <c r="E1988" s="136" t="s">
        <v>416</v>
      </c>
      <c r="F1988" s="137" t="str">
        <f t="shared" si="162"/>
        <v/>
      </c>
      <c r="G1988" s="138" t="e">
        <f>IF(A1988&lt;&gt;"",IF(AND(#REF!="Padrão",$H$4=#REF!),BDI!$B$17,IF(AND(#REF!="Padrão",$H$4=#REF!),BDI!#REF!,IF(AND(#REF!="Diferenciado",$H$4=#REF!),BDI!$E$17,IF(AND(#REF!="Diferenciado",$H$4=#REF!),BDI!#REF!,IF(#REF!="ZERO",0))))),"")</f>
        <v>#REF!</v>
      </c>
      <c r="H1988" s="139" t="str">
        <f t="shared" si="163"/>
        <v/>
      </c>
      <c r="I1988" s="137" t="str">
        <f t="shared" si="164"/>
        <v/>
      </c>
      <c r="J1988" s="117"/>
      <c r="K1988" s="116">
        <v>0</v>
      </c>
      <c r="M1988" s="136" t="s">
        <v>416</v>
      </c>
      <c r="N1988" t="e">
        <v>#REF!</v>
      </c>
      <c r="Q1988" t="s">
        <v>416</v>
      </c>
    </row>
    <row r="1989" spans="1:17" hidden="1" x14ac:dyDescent="0.25">
      <c r="A1989" s="114" t="s">
        <v>4773</v>
      </c>
      <c r="B1989" s="115" t="s">
        <v>3687</v>
      </c>
      <c r="C1989" s="116" t="s">
        <v>16</v>
      </c>
      <c r="D1989" s="116">
        <v>0</v>
      </c>
      <c r="E1989" s="136" t="s">
        <v>416</v>
      </c>
      <c r="F1989" s="137" t="str">
        <f t="shared" si="162"/>
        <v/>
      </c>
      <c r="G1989" s="138" t="e">
        <f>IF(A1989&lt;&gt;"",IF(AND(#REF!="Padrão",$H$4=#REF!),BDI!$B$17,IF(AND(#REF!="Padrão",$H$4=#REF!),BDI!#REF!,IF(AND(#REF!="Diferenciado",$H$4=#REF!),BDI!$E$17,IF(AND(#REF!="Diferenciado",$H$4=#REF!),BDI!#REF!,IF(#REF!="ZERO",0))))),"")</f>
        <v>#REF!</v>
      </c>
      <c r="H1989" s="139" t="str">
        <f t="shared" si="163"/>
        <v/>
      </c>
      <c r="I1989" s="137" t="str">
        <f t="shared" si="164"/>
        <v/>
      </c>
      <c r="J1989" s="117"/>
      <c r="K1989" s="116">
        <v>0</v>
      </c>
      <c r="M1989" s="136" t="s">
        <v>416</v>
      </c>
      <c r="N1989" t="e">
        <v>#REF!</v>
      </c>
      <c r="Q1989" t="s">
        <v>416</v>
      </c>
    </row>
    <row r="1990" spans="1:17" hidden="1" x14ac:dyDescent="0.25">
      <c r="A1990" s="114" t="s">
        <v>4774</v>
      </c>
      <c r="B1990" s="115" t="s">
        <v>3688</v>
      </c>
      <c r="C1990" s="116" t="s">
        <v>16</v>
      </c>
      <c r="D1990" s="116">
        <v>0</v>
      </c>
      <c r="E1990" s="136" t="s">
        <v>416</v>
      </c>
      <c r="F1990" s="137" t="str">
        <f t="shared" si="162"/>
        <v/>
      </c>
      <c r="G1990" s="138" t="e">
        <f>IF(A1990&lt;&gt;"",IF(AND(#REF!="Padrão",$H$4=#REF!),BDI!$B$17,IF(AND(#REF!="Padrão",$H$4=#REF!),BDI!#REF!,IF(AND(#REF!="Diferenciado",$H$4=#REF!),BDI!$E$17,IF(AND(#REF!="Diferenciado",$H$4=#REF!),BDI!#REF!,IF(#REF!="ZERO",0))))),"")</f>
        <v>#REF!</v>
      </c>
      <c r="H1990" s="139" t="str">
        <f t="shared" si="163"/>
        <v/>
      </c>
      <c r="I1990" s="137" t="str">
        <f t="shared" si="164"/>
        <v/>
      </c>
      <c r="J1990" s="117"/>
      <c r="K1990" s="116">
        <v>0</v>
      </c>
      <c r="M1990" s="136" t="s">
        <v>416</v>
      </c>
      <c r="N1990" t="e">
        <v>#REF!</v>
      </c>
      <c r="Q1990" t="s">
        <v>416</v>
      </c>
    </row>
    <row r="1991" spans="1:17" hidden="1" x14ac:dyDescent="0.25">
      <c r="A1991" s="114" t="s">
        <v>4775</v>
      </c>
      <c r="B1991" s="115" t="s">
        <v>7520</v>
      </c>
      <c r="C1991" s="116" t="s">
        <v>16</v>
      </c>
      <c r="D1991" s="116">
        <v>0</v>
      </c>
      <c r="E1991" s="136" t="s">
        <v>416</v>
      </c>
      <c r="F1991" s="137" t="str">
        <f t="shared" si="162"/>
        <v/>
      </c>
      <c r="G1991" s="138" t="e">
        <f>IF(A1991&lt;&gt;"",IF(AND(#REF!="Padrão",$H$4=#REF!),BDI!$B$17,IF(AND(#REF!="Padrão",$H$4=#REF!),BDI!#REF!,IF(AND(#REF!="Diferenciado",$H$4=#REF!),BDI!$E$17,IF(AND(#REF!="Diferenciado",$H$4=#REF!),BDI!#REF!,IF(#REF!="ZERO",0))))),"")</f>
        <v>#REF!</v>
      </c>
      <c r="H1991" s="139" t="str">
        <f t="shared" si="163"/>
        <v/>
      </c>
      <c r="I1991" s="137" t="str">
        <f t="shared" si="164"/>
        <v/>
      </c>
      <c r="J1991" s="117"/>
      <c r="K1991" s="116">
        <v>0</v>
      </c>
      <c r="M1991" s="136" t="s">
        <v>416</v>
      </c>
      <c r="N1991" t="e">
        <v>#REF!</v>
      </c>
      <c r="Q1991" t="s">
        <v>416</v>
      </c>
    </row>
    <row r="1992" spans="1:17" hidden="1" x14ac:dyDescent="0.25">
      <c r="A1992" s="114" t="s">
        <v>4776</v>
      </c>
      <c r="B1992" s="115" t="s">
        <v>7519</v>
      </c>
      <c r="C1992" s="116" t="s">
        <v>16</v>
      </c>
      <c r="D1992" s="116">
        <v>0</v>
      </c>
      <c r="E1992" s="136" t="s">
        <v>416</v>
      </c>
      <c r="F1992" s="137" t="str">
        <f t="shared" si="162"/>
        <v/>
      </c>
      <c r="G1992" s="138" t="e">
        <f>IF(A1992&lt;&gt;"",IF(AND(#REF!="Padrão",$H$4=#REF!),BDI!$B$17,IF(AND(#REF!="Padrão",$H$4=#REF!),BDI!#REF!,IF(AND(#REF!="Diferenciado",$H$4=#REF!),BDI!$E$17,IF(AND(#REF!="Diferenciado",$H$4=#REF!),BDI!#REF!,IF(#REF!="ZERO",0))))),"")</f>
        <v>#REF!</v>
      </c>
      <c r="H1992" s="139" t="str">
        <f t="shared" si="163"/>
        <v/>
      </c>
      <c r="I1992" s="137" t="str">
        <f t="shared" si="164"/>
        <v/>
      </c>
      <c r="J1992" s="117"/>
      <c r="K1992" s="116">
        <v>0</v>
      </c>
      <c r="M1992" s="136" t="s">
        <v>416</v>
      </c>
      <c r="N1992" t="e">
        <v>#REF!</v>
      </c>
      <c r="Q1992" t="s">
        <v>416</v>
      </c>
    </row>
    <row r="1993" spans="1:17" hidden="1" x14ac:dyDescent="0.25">
      <c r="A1993" s="114" t="s">
        <v>4777</v>
      </c>
      <c r="B1993" s="115" t="s">
        <v>7518</v>
      </c>
      <c r="C1993" s="116" t="s">
        <v>16</v>
      </c>
      <c r="D1993" s="116">
        <v>0</v>
      </c>
      <c r="E1993" s="136" t="s">
        <v>416</v>
      </c>
      <c r="F1993" s="137" t="str">
        <f t="shared" si="162"/>
        <v/>
      </c>
      <c r="G1993" s="138" t="e">
        <f>IF(A1993&lt;&gt;"",IF(AND(#REF!="Padrão",$H$4=#REF!),BDI!$B$17,IF(AND(#REF!="Padrão",$H$4=#REF!),BDI!#REF!,IF(AND(#REF!="Diferenciado",$H$4=#REF!),BDI!$E$17,IF(AND(#REF!="Diferenciado",$H$4=#REF!),BDI!#REF!,IF(#REF!="ZERO",0))))),"")</f>
        <v>#REF!</v>
      </c>
      <c r="H1993" s="139" t="str">
        <f t="shared" si="163"/>
        <v/>
      </c>
      <c r="I1993" s="137" t="str">
        <f t="shared" si="164"/>
        <v/>
      </c>
      <c r="J1993" s="117"/>
      <c r="K1993" s="116">
        <v>0</v>
      </c>
      <c r="M1993" s="136" t="s">
        <v>416</v>
      </c>
      <c r="N1993" t="e">
        <v>#REF!</v>
      </c>
      <c r="Q1993" t="s">
        <v>416</v>
      </c>
    </row>
    <row r="1994" spans="1:17" hidden="1" x14ac:dyDescent="0.25">
      <c r="A1994" s="114" t="s">
        <v>4778</v>
      </c>
      <c r="B1994" s="115" t="s">
        <v>7517</v>
      </c>
      <c r="C1994" s="116" t="s">
        <v>16</v>
      </c>
      <c r="D1994" s="116">
        <v>0</v>
      </c>
      <c r="E1994" s="136" t="s">
        <v>416</v>
      </c>
      <c r="F1994" s="137" t="str">
        <f t="shared" si="162"/>
        <v/>
      </c>
      <c r="G1994" s="138" t="e">
        <f>IF(A1994&lt;&gt;"",IF(AND(#REF!="Padrão",$H$4=#REF!),BDI!$B$17,IF(AND(#REF!="Padrão",$H$4=#REF!),BDI!#REF!,IF(AND(#REF!="Diferenciado",$H$4=#REF!),BDI!$E$17,IF(AND(#REF!="Diferenciado",$H$4=#REF!),BDI!#REF!,IF(#REF!="ZERO",0))))),"")</f>
        <v>#REF!</v>
      </c>
      <c r="H1994" s="139" t="str">
        <f t="shared" si="163"/>
        <v/>
      </c>
      <c r="I1994" s="137" t="str">
        <f t="shared" si="164"/>
        <v/>
      </c>
      <c r="J1994" s="117"/>
      <c r="K1994" s="116">
        <v>0</v>
      </c>
      <c r="M1994" s="136" t="s">
        <v>416</v>
      </c>
      <c r="N1994" t="e">
        <v>#REF!</v>
      </c>
      <c r="Q1994" t="s">
        <v>416</v>
      </c>
    </row>
    <row r="1995" spans="1:17" hidden="1" x14ac:dyDescent="0.25">
      <c r="A1995" s="114" t="s">
        <v>4779</v>
      </c>
      <c r="B1995" s="115" t="s">
        <v>7515</v>
      </c>
      <c r="C1995" s="116" t="s">
        <v>16</v>
      </c>
      <c r="D1995" s="116">
        <v>0</v>
      </c>
      <c r="E1995" s="136" t="s">
        <v>416</v>
      </c>
      <c r="F1995" s="137" t="str">
        <f t="shared" si="162"/>
        <v/>
      </c>
      <c r="G1995" s="138" t="e">
        <f>IF(A1995&lt;&gt;"",IF(AND(#REF!="Padrão",$H$4=#REF!),BDI!$B$17,IF(AND(#REF!="Padrão",$H$4=#REF!),BDI!#REF!,IF(AND(#REF!="Diferenciado",$H$4=#REF!),BDI!$E$17,IF(AND(#REF!="Diferenciado",$H$4=#REF!),BDI!#REF!,IF(#REF!="ZERO",0))))),"")</f>
        <v>#REF!</v>
      </c>
      <c r="H1995" s="139" t="str">
        <f t="shared" si="163"/>
        <v/>
      </c>
      <c r="I1995" s="137" t="str">
        <f t="shared" si="164"/>
        <v/>
      </c>
      <c r="J1995" s="117"/>
      <c r="K1995" s="116">
        <v>0</v>
      </c>
      <c r="M1995" s="136" t="s">
        <v>416</v>
      </c>
      <c r="N1995" t="e">
        <v>#REF!</v>
      </c>
      <c r="Q1995" t="s">
        <v>416</v>
      </c>
    </row>
    <row r="1996" spans="1:17" hidden="1" x14ac:dyDescent="0.25">
      <c r="A1996" s="114" t="s">
        <v>4780</v>
      </c>
      <c r="B1996" s="115" t="s">
        <v>7516</v>
      </c>
      <c r="C1996" s="116" t="s">
        <v>16</v>
      </c>
      <c r="D1996" s="116">
        <v>0</v>
      </c>
      <c r="E1996" s="136" t="s">
        <v>416</v>
      </c>
      <c r="F1996" s="137" t="str">
        <f t="shared" si="162"/>
        <v/>
      </c>
      <c r="G1996" s="138" t="e">
        <f>IF(A1996&lt;&gt;"",IF(AND(#REF!="Padrão",$H$4=#REF!),BDI!$B$17,IF(AND(#REF!="Padrão",$H$4=#REF!),BDI!#REF!,IF(AND(#REF!="Diferenciado",$H$4=#REF!),BDI!$E$17,IF(AND(#REF!="Diferenciado",$H$4=#REF!),BDI!#REF!,IF(#REF!="ZERO",0))))),"")</f>
        <v>#REF!</v>
      </c>
      <c r="H1996" s="139" t="str">
        <f t="shared" si="163"/>
        <v/>
      </c>
      <c r="I1996" s="137" t="str">
        <f t="shared" si="164"/>
        <v/>
      </c>
      <c r="J1996" s="117"/>
      <c r="K1996" s="116">
        <v>0</v>
      </c>
      <c r="M1996" s="136" t="s">
        <v>416</v>
      </c>
      <c r="N1996" t="e">
        <v>#REF!</v>
      </c>
      <c r="Q1996" t="s">
        <v>416</v>
      </c>
    </row>
    <row r="1997" spans="1:17" hidden="1" x14ac:dyDescent="0.25">
      <c r="A1997" s="114" t="s">
        <v>4781</v>
      </c>
      <c r="B1997" s="115" t="s">
        <v>7508</v>
      </c>
      <c r="C1997" s="116" t="s">
        <v>16</v>
      </c>
      <c r="D1997" s="116">
        <v>0</v>
      </c>
      <c r="E1997" s="136" t="s">
        <v>416</v>
      </c>
      <c r="F1997" s="137" t="str">
        <f t="shared" si="162"/>
        <v/>
      </c>
      <c r="G1997" s="138" t="e">
        <f>IF(A1997&lt;&gt;"",IF(AND(#REF!="Padrão",$H$4=#REF!),BDI!$B$17,IF(AND(#REF!="Padrão",$H$4=#REF!),BDI!#REF!,IF(AND(#REF!="Diferenciado",$H$4=#REF!),BDI!$E$17,IF(AND(#REF!="Diferenciado",$H$4=#REF!),BDI!#REF!,IF(#REF!="ZERO",0))))),"")</f>
        <v>#REF!</v>
      </c>
      <c r="H1997" s="139" t="str">
        <f t="shared" si="163"/>
        <v/>
      </c>
      <c r="I1997" s="137" t="str">
        <f t="shared" si="164"/>
        <v/>
      </c>
      <c r="J1997" s="117"/>
      <c r="K1997" s="116">
        <v>0</v>
      </c>
      <c r="M1997" s="136" t="s">
        <v>416</v>
      </c>
      <c r="N1997" t="e">
        <v>#REF!</v>
      </c>
      <c r="Q1997" t="s">
        <v>416</v>
      </c>
    </row>
    <row r="1998" spans="1:17" hidden="1" x14ac:dyDescent="0.25">
      <c r="A1998" s="114" t="s">
        <v>4782</v>
      </c>
      <c r="B1998" s="115" t="s">
        <v>7509</v>
      </c>
      <c r="C1998" s="116" t="s">
        <v>16</v>
      </c>
      <c r="D1998" s="116">
        <v>0</v>
      </c>
      <c r="E1998" s="136" t="s">
        <v>416</v>
      </c>
      <c r="F1998" s="137" t="str">
        <f t="shared" si="162"/>
        <v/>
      </c>
      <c r="G1998" s="138" t="e">
        <f>IF(A1998&lt;&gt;"",IF(AND(#REF!="Padrão",$H$4=#REF!),BDI!$B$17,IF(AND(#REF!="Padrão",$H$4=#REF!),BDI!#REF!,IF(AND(#REF!="Diferenciado",$H$4=#REF!),BDI!$E$17,IF(AND(#REF!="Diferenciado",$H$4=#REF!),BDI!#REF!,IF(#REF!="ZERO",0))))),"")</f>
        <v>#REF!</v>
      </c>
      <c r="H1998" s="139" t="str">
        <f t="shared" si="163"/>
        <v/>
      </c>
      <c r="I1998" s="137" t="str">
        <f t="shared" si="164"/>
        <v/>
      </c>
      <c r="J1998" s="117"/>
      <c r="K1998" s="116">
        <v>0</v>
      </c>
      <c r="M1998" s="136" t="s">
        <v>416</v>
      </c>
      <c r="N1998" t="e">
        <v>#REF!</v>
      </c>
      <c r="Q1998" t="s">
        <v>416</v>
      </c>
    </row>
    <row r="1999" spans="1:17" hidden="1" x14ac:dyDescent="0.25">
      <c r="A1999" s="114" t="s">
        <v>4783</v>
      </c>
      <c r="B1999" s="115" t="s">
        <v>7510</v>
      </c>
      <c r="C1999" s="116" t="s">
        <v>16</v>
      </c>
      <c r="D1999" s="116">
        <v>0</v>
      </c>
      <c r="E1999" s="136" t="s">
        <v>416</v>
      </c>
      <c r="F1999" s="137" t="str">
        <f t="shared" si="162"/>
        <v/>
      </c>
      <c r="G1999" s="138" t="e">
        <f>IF(A1999&lt;&gt;"",IF(AND(#REF!="Padrão",$H$4=#REF!),BDI!$B$17,IF(AND(#REF!="Padrão",$H$4=#REF!),BDI!#REF!,IF(AND(#REF!="Diferenciado",$H$4=#REF!),BDI!$E$17,IF(AND(#REF!="Diferenciado",$H$4=#REF!),BDI!#REF!,IF(#REF!="ZERO",0))))),"")</f>
        <v>#REF!</v>
      </c>
      <c r="H1999" s="139" t="str">
        <f t="shared" si="163"/>
        <v/>
      </c>
      <c r="I1999" s="137" t="str">
        <f t="shared" si="164"/>
        <v/>
      </c>
      <c r="J1999" s="117"/>
      <c r="K1999" s="116">
        <v>0</v>
      </c>
      <c r="M1999" s="136" t="s">
        <v>416</v>
      </c>
      <c r="N1999" t="e">
        <v>#REF!</v>
      </c>
      <c r="Q1999" t="s">
        <v>416</v>
      </c>
    </row>
    <row r="2000" spans="1:17" hidden="1" x14ac:dyDescent="0.25">
      <c r="A2000" s="114" t="s">
        <v>4784</v>
      </c>
      <c r="B2000" s="115" t="s">
        <v>7511</v>
      </c>
      <c r="C2000" s="116" t="s">
        <v>16</v>
      </c>
      <c r="D2000" s="116">
        <v>0</v>
      </c>
      <c r="E2000" s="136" t="s">
        <v>416</v>
      </c>
      <c r="F2000" s="137" t="str">
        <f t="shared" si="162"/>
        <v/>
      </c>
      <c r="G2000" s="138" t="e">
        <f>IF(A2000&lt;&gt;"",IF(AND(#REF!="Padrão",$H$4=#REF!),BDI!$B$17,IF(AND(#REF!="Padrão",$H$4=#REF!),BDI!#REF!,IF(AND(#REF!="Diferenciado",$H$4=#REF!),BDI!$E$17,IF(AND(#REF!="Diferenciado",$H$4=#REF!),BDI!#REF!,IF(#REF!="ZERO",0))))),"")</f>
        <v>#REF!</v>
      </c>
      <c r="H2000" s="139" t="str">
        <f t="shared" si="163"/>
        <v/>
      </c>
      <c r="I2000" s="137" t="str">
        <f t="shared" si="164"/>
        <v/>
      </c>
      <c r="J2000" s="117"/>
      <c r="K2000" s="116">
        <v>0</v>
      </c>
      <c r="M2000" s="136" t="s">
        <v>416</v>
      </c>
      <c r="N2000" t="e">
        <v>#REF!</v>
      </c>
      <c r="Q2000" t="s">
        <v>416</v>
      </c>
    </row>
    <row r="2001" spans="1:17" hidden="1" x14ac:dyDescent="0.25">
      <c r="A2001" s="114" t="s">
        <v>4785</v>
      </c>
      <c r="B2001" s="115" t="s">
        <v>7512</v>
      </c>
      <c r="C2001" s="116" t="s">
        <v>16</v>
      </c>
      <c r="D2001" s="116">
        <v>0</v>
      </c>
      <c r="E2001" s="136" t="s">
        <v>416</v>
      </c>
      <c r="F2001" s="137" t="str">
        <f t="shared" si="162"/>
        <v/>
      </c>
      <c r="G2001" s="138" t="e">
        <f>IF(A2001&lt;&gt;"",IF(AND(#REF!="Padrão",$H$4=#REF!),BDI!$B$17,IF(AND(#REF!="Padrão",$H$4=#REF!),BDI!#REF!,IF(AND(#REF!="Diferenciado",$H$4=#REF!),BDI!$E$17,IF(AND(#REF!="Diferenciado",$H$4=#REF!),BDI!#REF!,IF(#REF!="ZERO",0))))),"")</f>
        <v>#REF!</v>
      </c>
      <c r="H2001" s="139" t="str">
        <f t="shared" si="163"/>
        <v/>
      </c>
      <c r="I2001" s="137" t="str">
        <f t="shared" si="164"/>
        <v/>
      </c>
      <c r="J2001" s="117"/>
      <c r="K2001" s="116">
        <v>0</v>
      </c>
      <c r="M2001" s="136" t="s">
        <v>416</v>
      </c>
      <c r="N2001" t="e">
        <v>#REF!</v>
      </c>
      <c r="Q2001" t="s">
        <v>416</v>
      </c>
    </row>
    <row r="2002" spans="1:17" hidden="1" x14ac:dyDescent="0.25">
      <c r="A2002" s="114" t="s">
        <v>4786</v>
      </c>
      <c r="B2002" s="115" t="s">
        <v>7513</v>
      </c>
      <c r="C2002" s="116" t="s">
        <v>16</v>
      </c>
      <c r="D2002" s="116">
        <v>0</v>
      </c>
      <c r="E2002" s="136" t="s">
        <v>416</v>
      </c>
      <c r="F2002" s="137" t="str">
        <f t="shared" si="162"/>
        <v/>
      </c>
      <c r="G2002" s="138" t="e">
        <f>IF(A2002&lt;&gt;"",IF(AND(#REF!="Padrão",$H$4=#REF!),BDI!$B$17,IF(AND(#REF!="Padrão",$H$4=#REF!),BDI!#REF!,IF(AND(#REF!="Diferenciado",$H$4=#REF!),BDI!$E$17,IF(AND(#REF!="Diferenciado",$H$4=#REF!),BDI!#REF!,IF(#REF!="ZERO",0))))),"")</f>
        <v>#REF!</v>
      </c>
      <c r="H2002" s="139" t="str">
        <f t="shared" si="163"/>
        <v/>
      </c>
      <c r="I2002" s="137" t="str">
        <f t="shared" si="164"/>
        <v/>
      </c>
      <c r="J2002" s="117"/>
      <c r="K2002" s="116">
        <v>0</v>
      </c>
      <c r="M2002" s="136" t="s">
        <v>416</v>
      </c>
      <c r="N2002" t="e">
        <v>#REF!</v>
      </c>
      <c r="Q2002" t="s">
        <v>416</v>
      </c>
    </row>
    <row r="2003" spans="1:17" hidden="1" x14ac:dyDescent="0.25">
      <c r="A2003" s="114" t="s">
        <v>4787</v>
      </c>
      <c r="B2003" s="115" t="s">
        <v>7514</v>
      </c>
      <c r="C2003" s="116" t="s">
        <v>16</v>
      </c>
      <c r="D2003" s="116">
        <v>0</v>
      </c>
      <c r="E2003" s="136" t="s">
        <v>416</v>
      </c>
      <c r="F2003" s="137" t="str">
        <f t="shared" si="162"/>
        <v/>
      </c>
      <c r="G2003" s="138" t="e">
        <f>IF(A2003&lt;&gt;"",IF(AND(#REF!="Padrão",$H$4=#REF!),BDI!$B$17,IF(AND(#REF!="Padrão",$H$4=#REF!),BDI!#REF!,IF(AND(#REF!="Diferenciado",$H$4=#REF!),BDI!$E$17,IF(AND(#REF!="Diferenciado",$H$4=#REF!),BDI!#REF!,IF(#REF!="ZERO",0))))),"")</f>
        <v>#REF!</v>
      </c>
      <c r="H2003" s="139" t="str">
        <f t="shared" si="163"/>
        <v/>
      </c>
      <c r="I2003" s="137" t="str">
        <f t="shared" si="164"/>
        <v/>
      </c>
      <c r="J2003" s="117"/>
      <c r="K2003" s="116">
        <v>0</v>
      </c>
      <c r="M2003" s="136" t="s">
        <v>416</v>
      </c>
      <c r="N2003" t="e">
        <v>#REF!</v>
      </c>
      <c r="Q2003" t="s">
        <v>416</v>
      </c>
    </row>
    <row r="2004" spans="1:17" hidden="1" x14ac:dyDescent="0.25">
      <c r="A2004" s="114" t="s">
        <v>4788</v>
      </c>
      <c r="B2004" s="115" t="s">
        <v>3689</v>
      </c>
      <c r="C2004" s="116" t="s">
        <v>16</v>
      </c>
      <c r="D2004" s="116">
        <v>0</v>
      </c>
      <c r="E2004" s="136" t="s">
        <v>416</v>
      </c>
      <c r="F2004" s="137" t="str">
        <f t="shared" si="162"/>
        <v/>
      </c>
      <c r="G2004" s="138" t="e">
        <f>IF(A2004&lt;&gt;"",IF(AND(#REF!="Padrão",$H$4=#REF!),BDI!$B$17,IF(AND(#REF!="Padrão",$H$4=#REF!),BDI!#REF!,IF(AND(#REF!="Diferenciado",$H$4=#REF!),BDI!$E$17,IF(AND(#REF!="Diferenciado",$H$4=#REF!),BDI!#REF!,IF(#REF!="ZERO",0))))),"")</f>
        <v>#REF!</v>
      </c>
      <c r="H2004" s="139" t="str">
        <f t="shared" si="163"/>
        <v/>
      </c>
      <c r="I2004" s="137" t="str">
        <f t="shared" si="164"/>
        <v/>
      </c>
      <c r="J2004" s="117"/>
      <c r="K2004" s="116">
        <v>0</v>
      </c>
      <c r="M2004" s="136" t="s">
        <v>416</v>
      </c>
      <c r="N2004" t="e">
        <v>#REF!</v>
      </c>
      <c r="Q2004" t="s">
        <v>416</v>
      </c>
    </row>
    <row r="2005" spans="1:17" hidden="1" x14ac:dyDescent="0.25">
      <c r="A2005" s="114" t="s">
        <v>4789</v>
      </c>
      <c r="B2005" s="115" t="s">
        <v>3690</v>
      </c>
      <c r="C2005" s="116" t="s">
        <v>16</v>
      </c>
      <c r="D2005" s="116">
        <v>0</v>
      </c>
      <c r="E2005" s="136" t="s">
        <v>416</v>
      </c>
      <c r="F2005" s="137" t="str">
        <f t="shared" si="162"/>
        <v/>
      </c>
      <c r="G2005" s="138" t="e">
        <f>IF(A2005&lt;&gt;"",IF(AND(#REF!="Padrão",$H$4=#REF!),BDI!$B$17,IF(AND(#REF!="Padrão",$H$4=#REF!),BDI!#REF!,IF(AND(#REF!="Diferenciado",$H$4=#REF!),BDI!$E$17,IF(AND(#REF!="Diferenciado",$H$4=#REF!),BDI!#REF!,IF(#REF!="ZERO",0))))),"")</f>
        <v>#REF!</v>
      </c>
      <c r="H2005" s="139" t="str">
        <f t="shared" si="163"/>
        <v/>
      </c>
      <c r="I2005" s="137" t="str">
        <f t="shared" si="164"/>
        <v/>
      </c>
      <c r="J2005" s="117"/>
      <c r="K2005" s="116">
        <v>0</v>
      </c>
      <c r="M2005" s="136" t="s">
        <v>416</v>
      </c>
      <c r="N2005" t="e">
        <v>#REF!</v>
      </c>
      <c r="Q2005" t="s">
        <v>416</v>
      </c>
    </row>
    <row r="2006" spans="1:17" hidden="1" x14ac:dyDescent="0.25">
      <c r="A2006" s="114" t="s">
        <v>4790</v>
      </c>
      <c r="B2006" s="115" t="s">
        <v>3691</v>
      </c>
      <c r="C2006" s="116" t="s">
        <v>16</v>
      </c>
      <c r="D2006" s="116">
        <v>0</v>
      </c>
      <c r="E2006" s="136" t="s">
        <v>416</v>
      </c>
      <c r="F2006" s="137" t="str">
        <f t="shared" si="162"/>
        <v/>
      </c>
      <c r="G2006" s="138" t="e">
        <f>IF(A2006&lt;&gt;"",IF(AND(#REF!="Padrão",$H$4=#REF!),BDI!$B$17,IF(AND(#REF!="Padrão",$H$4=#REF!),BDI!#REF!,IF(AND(#REF!="Diferenciado",$H$4=#REF!),BDI!$E$17,IF(AND(#REF!="Diferenciado",$H$4=#REF!),BDI!#REF!,IF(#REF!="ZERO",0))))),"")</f>
        <v>#REF!</v>
      </c>
      <c r="H2006" s="139" t="str">
        <f t="shared" si="163"/>
        <v/>
      </c>
      <c r="I2006" s="137" t="str">
        <f t="shared" si="164"/>
        <v/>
      </c>
      <c r="J2006" s="117"/>
      <c r="K2006" s="116">
        <v>0</v>
      </c>
      <c r="M2006" s="136" t="s">
        <v>416</v>
      </c>
      <c r="N2006" t="e">
        <v>#REF!</v>
      </c>
      <c r="Q2006" t="s">
        <v>416</v>
      </c>
    </row>
    <row r="2007" spans="1:17" hidden="1" x14ac:dyDescent="0.25">
      <c r="A2007" s="114" t="s">
        <v>4791</v>
      </c>
      <c r="B2007" s="115" t="s">
        <v>3692</v>
      </c>
      <c r="C2007" s="116" t="s">
        <v>16</v>
      </c>
      <c r="D2007" s="116">
        <v>0</v>
      </c>
      <c r="E2007" s="136" t="s">
        <v>416</v>
      </c>
      <c r="F2007" s="137" t="str">
        <f t="shared" si="162"/>
        <v/>
      </c>
      <c r="G2007" s="138" t="e">
        <f>IF(A2007&lt;&gt;"",IF(AND(#REF!="Padrão",$H$4=#REF!),BDI!$B$17,IF(AND(#REF!="Padrão",$H$4=#REF!),BDI!#REF!,IF(AND(#REF!="Diferenciado",$H$4=#REF!),BDI!$E$17,IF(AND(#REF!="Diferenciado",$H$4=#REF!),BDI!#REF!,IF(#REF!="ZERO",0))))),"")</f>
        <v>#REF!</v>
      </c>
      <c r="H2007" s="139" t="str">
        <f t="shared" si="163"/>
        <v/>
      </c>
      <c r="I2007" s="137" t="str">
        <f t="shared" si="164"/>
        <v/>
      </c>
      <c r="J2007" s="117"/>
      <c r="K2007" s="116">
        <v>0</v>
      </c>
      <c r="M2007" s="136" t="s">
        <v>416</v>
      </c>
      <c r="N2007" t="e">
        <v>#REF!</v>
      </c>
      <c r="Q2007" t="s">
        <v>416</v>
      </c>
    </row>
    <row r="2008" spans="1:17" hidden="1" x14ac:dyDescent="0.25">
      <c r="A2008" s="114" t="s">
        <v>4792</v>
      </c>
      <c r="B2008" s="115" t="s">
        <v>3693</v>
      </c>
      <c r="C2008" s="116" t="s">
        <v>16</v>
      </c>
      <c r="D2008" s="116">
        <v>0</v>
      </c>
      <c r="E2008" s="136" t="s">
        <v>416</v>
      </c>
      <c r="F2008" s="137" t="str">
        <f t="shared" si="162"/>
        <v/>
      </c>
      <c r="G2008" s="138" t="e">
        <f>IF(A2008&lt;&gt;"",IF(AND(#REF!="Padrão",$H$4=#REF!),BDI!$B$17,IF(AND(#REF!="Padrão",$H$4=#REF!),BDI!#REF!,IF(AND(#REF!="Diferenciado",$H$4=#REF!),BDI!$E$17,IF(AND(#REF!="Diferenciado",$H$4=#REF!),BDI!#REF!,IF(#REF!="ZERO",0))))),"")</f>
        <v>#REF!</v>
      </c>
      <c r="H2008" s="139" t="str">
        <f t="shared" si="163"/>
        <v/>
      </c>
      <c r="I2008" s="137" t="str">
        <f t="shared" si="164"/>
        <v/>
      </c>
      <c r="J2008" s="117"/>
      <c r="K2008" s="116">
        <v>0</v>
      </c>
      <c r="M2008" s="136" t="s">
        <v>416</v>
      </c>
      <c r="N2008" t="e">
        <v>#REF!</v>
      </c>
      <c r="Q2008" t="s">
        <v>416</v>
      </c>
    </row>
    <row r="2009" spans="1:17" hidden="1" x14ac:dyDescent="0.25">
      <c r="A2009" s="114" t="s">
        <v>4793</v>
      </c>
      <c r="B2009" s="115" t="s">
        <v>7491</v>
      </c>
      <c r="C2009" s="116" t="s">
        <v>16</v>
      </c>
      <c r="D2009" s="116">
        <v>0</v>
      </c>
      <c r="E2009" s="136" t="s">
        <v>416</v>
      </c>
      <c r="F2009" s="137" t="str">
        <f t="shared" si="162"/>
        <v/>
      </c>
      <c r="G2009" s="138" t="e">
        <f>IF(A2009&lt;&gt;"",IF(AND(#REF!="Padrão",$H$4=#REF!),BDI!$B$17,IF(AND(#REF!="Padrão",$H$4=#REF!),BDI!#REF!,IF(AND(#REF!="Diferenciado",$H$4=#REF!),BDI!$E$17,IF(AND(#REF!="Diferenciado",$H$4=#REF!),BDI!#REF!,IF(#REF!="ZERO",0))))),"")</f>
        <v>#REF!</v>
      </c>
      <c r="H2009" s="139" t="str">
        <f t="shared" si="163"/>
        <v/>
      </c>
      <c r="I2009" s="137" t="str">
        <f t="shared" si="164"/>
        <v/>
      </c>
      <c r="J2009" s="117"/>
      <c r="K2009" s="116">
        <v>0</v>
      </c>
      <c r="M2009" s="136" t="s">
        <v>416</v>
      </c>
      <c r="N2009" t="e">
        <v>#REF!</v>
      </c>
      <c r="Q2009" t="s">
        <v>416</v>
      </c>
    </row>
    <row r="2010" spans="1:17" hidden="1" x14ac:dyDescent="0.25">
      <c r="A2010" s="114" t="s">
        <v>4794</v>
      </c>
      <c r="B2010" s="115" t="s">
        <v>3694</v>
      </c>
      <c r="C2010" s="116" t="s">
        <v>16</v>
      </c>
      <c r="D2010" s="116">
        <v>0</v>
      </c>
      <c r="E2010" s="136" t="s">
        <v>416</v>
      </c>
      <c r="F2010" s="137" t="str">
        <f t="shared" si="162"/>
        <v/>
      </c>
      <c r="G2010" s="138" t="e">
        <f>IF(A2010&lt;&gt;"",IF(AND(#REF!="Padrão",$H$4=#REF!),BDI!$B$17,IF(AND(#REF!="Padrão",$H$4=#REF!),BDI!#REF!,IF(AND(#REF!="Diferenciado",$H$4=#REF!),BDI!$E$17,IF(AND(#REF!="Diferenciado",$H$4=#REF!),BDI!#REF!,IF(#REF!="ZERO",0))))),"")</f>
        <v>#REF!</v>
      </c>
      <c r="H2010" s="139" t="str">
        <f t="shared" si="163"/>
        <v/>
      </c>
      <c r="I2010" s="137" t="str">
        <f t="shared" si="164"/>
        <v/>
      </c>
      <c r="J2010" s="117"/>
      <c r="K2010" s="116">
        <v>0</v>
      </c>
      <c r="M2010" s="136" t="s">
        <v>416</v>
      </c>
      <c r="N2010" t="e">
        <v>#REF!</v>
      </c>
      <c r="Q2010" t="s">
        <v>416</v>
      </c>
    </row>
    <row r="2011" spans="1:17" hidden="1" x14ac:dyDescent="0.25">
      <c r="A2011" s="114" t="s">
        <v>4795</v>
      </c>
      <c r="B2011" s="115" t="s">
        <v>3695</v>
      </c>
      <c r="C2011" s="116" t="s">
        <v>16</v>
      </c>
      <c r="D2011" s="116">
        <v>0</v>
      </c>
      <c r="E2011" s="136" t="s">
        <v>416</v>
      </c>
      <c r="F2011" s="137" t="str">
        <f t="shared" si="162"/>
        <v/>
      </c>
      <c r="G2011" s="138" t="e">
        <f>IF(A2011&lt;&gt;"",IF(AND(#REF!="Padrão",$H$4=#REF!),BDI!$B$17,IF(AND(#REF!="Padrão",$H$4=#REF!),BDI!#REF!,IF(AND(#REF!="Diferenciado",$H$4=#REF!),BDI!$E$17,IF(AND(#REF!="Diferenciado",$H$4=#REF!),BDI!#REF!,IF(#REF!="ZERO",0))))),"")</f>
        <v>#REF!</v>
      </c>
      <c r="H2011" s="139" t="str">
        <f t="shared" si="163"/>
        <v/>
      </c>
      <c r="I2011" s="137" t="str">
        <f t="shared" si="164"/>
        <v/>
      </c>
      <c r="J2011" s="117"/>
      <c r="K2011" s="116">
        <v>0</v>
      </c>
      <c r="M2011" s="136" t="s">
        <v>416</v>
      </c>
      <c r="N2011" t="e">
        <v>#REF!</v>
      </c>
      <c r="Q2011" t="s">
        <v>416</v>
      </c>
    </row>
    <row r="2012" spans="1:17" hidden="1" x14ac:dyDescent="0.25">
      <c r="A2012" s="114" t="s">
        <v>4796</v>
      </c>
      <c r="B2012" s="115" t="s">
        <v>7492</v>
      </c>
      <c r="C2012" s="116" t="s">
        <v>16</v>
      </c>
      <c r="D2012" s="116">
        <v>0</v>
      </c>
      <c r="E2012" s="136" t="s">
        <v>416</v>
      </c>
      <c r="F2012" s="137" t="str">
        <f t="shared" si="162"/>
        <v/>
      </c>
      <c r="G2012" s="138" t="e">
        <f>IF(A2012&lt;&gt;"",IF(AND(#REF!="Padrão",$H$4=#REF!),BDI!$B$17,IF(AND(#REF!="Padrão",$H$4=#REF!),BDI!#REF!,IF(AND(#REF!="Diferenciado",$H$4=#REF!),BDI!$E$17,IF(AND(#REF!="Diferenciado",$H$4=#REF!),BDI!#REF!,IF(#REF!="ZERO",0))))),"")</f>
        <v>#REF!</v>
      </c>
      <c r="H2012" s="139" t="str">
        <f t="shared" si="163"/>
        <v/>
      </c>
      <c r="I2012" s="137" t="str">
        <f t="shared" si="164"/>
        <v/>
      </c>
      <c r="J2012" s="117"/>
      <c r="K2012" s="116">
        <v>0</v>
      </c>
      <c r="M2012" s="136" t="s">
        <v>416</v>
      </c>
      <c r="N2012" t="e">
        <v>#REF!</v>
      </c>
      <c r="Q2012" t="s">
        <v>416</v>
      </c>
    </row>
    <row r="2013" spans="1:17" hidden="1" x14ac:dyDescent="0.25">
      <c r="A2013" s="114" t="s">
        <v>4797</v>
      </c>
      <c r="B2013" s="115" t="s">
        <v>7493</v>
      </c>
      <c r="C2013" s="116" t="s">
        <v>16</v>
      </c>
      <c r="D2013" s="116">
        <v>0</v>
      </c>
      <c r="E2013" s="136" t="s">
        <v>416</v>
      </c>
      <c r="F2013" s="137" t="str">
        <f t="shared" si="162"/>
        <v/>
      </c>
      <c r="G2013" s="138" t="e">
        <f>IF(A2013&lt;&gt;"",IF(AND(#REF!="Padrão",$H$4=#REF!),BDI!$B$17,IF(AND(#REF!="Padrão",$H$4=#REF!),BDI!#REF!,IF(AND(#REF!="Diferenciado",$H$4=#REF!),BDI!$E$17,IF(AND(#REF!="Diferenciado",$H$4=#REF!),BDI!#REF!,IF(#REF!="ZERO",0))))),"")</f>
        <v>#REF!</v>
      </c>
      <c r="H2013" s="139" t="str">
        <f t="shared" si="163"/>
        <v/>
      </c>
      <c r="I2013" s="137" t="str">
        <f t="shared" si="164"/>
        <v/>
      </c>
      <c r="J2013" s="117"/>
      <c r="K2013" s="116">
        <v>0</v>
      </c>
      <c r="M2013" s="136" t="s">
        <v>416</v>
      </c>
      <c r="N2013" t="e">
        <v>#REF!</v>
      </c>
      <c r="Q2013" t="s">
        <v>416</v>
      </c>
    </row>
    <row r="2014" spans="1:17" hidden="1" x14ac:dyDescent="0.25">
      <c r="A2014" s="114" t="s">
        <v>4798</v>
      </c>
      <c r="B2014" s="115" t="s">
        <v>7494</v>
      </c>
      <c r="C2014" s="116" t="s">
        <v>16</v>
      </c>
      <c r="D2014" s="116">
        <v>0</v>
      </c>
      <c r="E2014" s="136" t="s">
        <v>416</v>
      </c>
      <c r="F2014" s="137" t="str">
        <f t="shared" si="162"/>
        <v/>
      </c>
      <c r="G2014" s="138" t="e">
        <f>IF(A2014&lt;&gt;"",IF(AND(#REF!="Padrão",$H$4=#REF!),BDI!$B$17,IF(AND(#REF!="Padrão",$H$4=#REF!),BDI!#REF!,IF(AND(#REF!="Diferenciado",$H$4=#REF!),BDI!$E$17,IF(AND(#REF!="Diferenciado",$H$4=#REF!),BDI!#REF!,IF(#REF!="ZERO",0))))),"")</f>
        <v>#REF!</v>
      </c>
      <c r="H2014" s="139" t="str">
        <f t="shared" si="163"/>
        <v/>
      </c>
      <c r="I2014" s="137" t="str">
        <f t="shared" si="164"/>
        <v/>
      </c>
      <c r="J2014" s="117"/>
      <c r="K2014" s="116">
        <v>0</v>
      </c>
      <c r="M2014" s="136" t="s">
        <v>416</v>
      </c>
      <c r="N2014" t="e">
        <v>#REF!</v>
      </c>
      <c r="Q2014" t="s">
        <v>416</v>
      </c>
    </row>
    <row r="2015" spans="1:17" hidden="1" x14ac:dyDescent="0.25">
      <c r="A2015" s="114" t="s">
        <v>4799</v>
      </c>
      <c r="B2015" s="115" t="s">
        <v>7495</v>
      </c>
      <c r="C2015" s="116" t="s">
        <v>16</v>
      </c>
      <c r="D2015" s="116">
        <v>0</v>
      </c>
      <c r="E2015" s="136" t="s">
        <v>416</v>
      </c>
      <c r="F2015" s="137" t="str">
        <f t="shared" si="162"/>
        <v/>
      </c>
      <c r="G2015" s="138" t="e">
        <f>IF(A2015&lt;&gt;"",IF(AND(#REF!="Padrão",$H$4=#REF!),BDI!$B$17,IF(AND(#REF!="Padrão",$H$4=#REF!),BDI!#REF!,IF(AND(#REF!="Diferenciado",$H$4=#REF!),BDI!$E$17,IF(AND(#REF!="Diferenciado",$H$4=#REF!),BDI!#REF!,IF(#REF!="ZERO",0))))),"")</f>
        <v>#REF!</v>
      </c>
      <c r="H2015" s="139" t="str">
        <f t="shared" si="163"/>
        <v/>
      </c>
      <c r="I2015" s="137" t="str">
        <f t="shared" si="164"/>
        <v/>
      </c>
      <c r="J2015" s="117"/>
      <c r="K2015" s="116">
        <v>0</v>
      </c>
      <c r="M2015" s="136" t="s">
        <v>416</v>
      </c>
      <c r="N2015" t="e">
        <v>#REF!</v>
      </c>
      <c r="Q2015" t="s">
        <v>416</v>
      </c>
    </row>
    <row r="2016" spans="1:17" hidden="1" x14ac:dyDescent="0.25">
      <c r="A2016" s="114" t="s">
        <v>4800</v>
      </c>
      <c r="B2016" s="115" t="s">
        <v>7496</v>
      </c>
      <c r="C2016" s="116" t="s">
        <v>16</v>
      </c>
      <c r="D2016" s="116">
        <v>0</v>
      </c>
      <c r="E2016" s="136" t="s">
        <v>416</v>
      </c>
      <c r="F2016" s="137" t="str">
        <f t="shared" si="162"/>
        <v/>
      </c>
      <c r="G2016" s="138" t="e">
        <f>IF(A2016&lt;&gt;"",IF(AND(#REF!="Padrão",$H$4=#REF!),BDI!$B$17,IF(AND(#REF!="Padrão",$H$4=#REF!),BDI!#REF!,IF(AND(#REF!="Diferenciado",$H$4=#REF!),BDI!$E$17,IF(AND(#REF!="Diferenciado",$H$4=#REF!),BDI!#REF!,IF(#REF!="ZERO",0))))),"")</f>
        <v>#REF!</v>
      </c>
      <c r="H2016" s="139" t="str">
        <f t="shared" si="163"/>
        <v/>
      </c>
      <c r="I2016" s="137" t="str">
        <f t="shared" si="164"/>
        <v/>
      </c>
      <c r="J2016" s="117"/>
      <c r="K2016" s="116">
        <v>0</v>
      </c>
      <c r="M2016" s="136" t="s">
        <v>416</v>
      </c>
      <c r="N2016" t="e">
        <v>#REF!</v>
      </c>
      <c r="Q2016" t="s">
        <v>416</v>
      </c>
    </row>
    <row r="2017" spans="1:17" hidden="1" x14ac:dyDescent="0.25">
      <c r="A2017" s="114" t="s">
        <v>4801</v>
      </c>
      <c r="B2017" s="115" t="s">
        <v>7497</v>
      </c>
      <c r="C2017" s="116" t="s">
        <v>16</v>
      </c>
      <c r="D2017" s="116">
        <v>0</v>
      </c>
      <c r="E2017" s="136" t="s">
        <v>416</v>
      </c>
      <c r="F2017" s="137" t="str">
        <f t="shared" si="162"/>
        <v/>
      </c>
      <c r="G2017" s="138" t="e">
        <f>IF(A2017&lt;&gt;"",IF(AND(#REF!="Padrão",$H$4=#REF!),BDI!$B$17,IF(AND(#REF!="Padrão",$H$4=#REF!),BDI!#REF!,IF(AND(#REF!="Diferenciado",$H$4=#REF!),BDI!$E$17,IF(AND(#REF!="Diferenciado",$H$4=#REF!),BDI!#REF!,IF(#REF!="ZERO",0))))),"")</f>
        <v>#REF!</v>
      </c>
      <c r="H2017" s="139" t="str">
        <f t="shared" si="163"/>
        <v/>
      </c>
      <c r="I2017" s="137" t="str">
        <f t="shared" si="164"/>
        <v/>
      </c>
      <c r="J2017" s="117"/>
      <c r="K2017" s="116">
        <v>0</v>
      </c>
      <c r="M2017" s="136" t="s">
        <v>416</v>
      </c>
      <c r="N2017" t="e">
        <v>#REF!</v>
      </c>
      <c r="Q2017" t="s">
        <v>416</v>
      </c>
    </row>
    <row r="2018" spans="1:17" hidden="1" x14ac:dyDescent="0.25">
      <c r="A2018" s="114" t="s">
        <v>4802</v>
      </c>
      <c r="B2018" s="115" t="s">
        <v>7498</v>
      </c>
      <c r="C2018" s="116" t="s">
        <v>16</v>
      </c>
      <c r="D2018" s="116">
        <v>0</v>
      </c>
      <c r="E2018" s="136" t="s">
        <v>416</v>
      </c>
      <c r="F2018" s="137" t="str">
        <f t="shared" si="162"/>
        <v/>
      </c>
      <c r="G2018" s="138" t="e">
        <f>IF(A2018&lt;&gt;"",IF(AND(#REF!="Padrão",$H$4=#REF!),BDI!$B$17,IF(AND(#REF!="Padrão",$H$4=#REF!),BDI!#REF!,IF(AND(#REF!="Diferenciado",$H$4=#REF!),BDI!$E$17,IF(AND(#REF!="Diferenciado",$H$4=#REF!),BDI!#REF!,IF(#REF!="ZERO",0))))),"")</f>
        <v>#REF!</v>
      </c>
      <c r="H2018" s="139" t="str">
        <f t="shared" si="163"/>
        <v/>
      </c>
      <c r="I2018" s="137" t="str">
        <f t="shared" si="164"/>
        <v/>
      </c>
      <c r="J2018" s="117"/>
      <c r="K2018" s="116">
        <v>0</v>
      </c>
      <c r="M2018" s="136" t="s">
        <v>416</v>
      </c>
      <c r="N2018" t="e">
        <v>#REF!</v>
      </c>
      <c r="Q2018" t="s">
        <v>416</v>
      </c>
    </row>
    <row r="2019" spans="1:17" hidden="1" x14ac:dyDescent="0.25">
      <c r="A2019" s="114" t="s">
        <v>4803</v>
      </c>
      <c r="B2019" s="115" t="s">
        <v>7499</v>
      </c>
      <c r="C2019" s="116" t="s">
        <v>16</v>
      </c>
      <c r="D2019" s="116">
        <v>0</v>
      </c>
      <c r="E2019" s="136" t="s">
        <v>416</v>
      </c>
      <c r="F2019" s="137" t="str">
        <f t="shared" si="162"/>
        <v/>
      </c>
      <c r="G2019" s="138" t="e">
        <f>IF(A2019&lt;&gt;"",IF(AND(#REF!="Padrão",$H$4=#REF!),BDI!$B$17,IF(AND(#REF!="Padrão",$H$4=#REF!),BDI!#REF!,IF(AND(#REF!="Diferenciado",$H$4=#REF!),BDI!$E$17,IF(AND(#REF!="Diferenciado",$H$4=#REF!),BDI!#REF!,IF(#REF!="ZERO",0))))),"")</f>
        <v>#REF!</v>
      </c>
      <c r="H2019" s="139" t="str">
        <f t="shared" si="163"/>
        <v/>
      </c>
      <c r="I2019" s="137" t="str">
        <f t="shared" si="164"/>
        <v/>
      </c>
      <c r="J2019" s="117"/>
      <c r="K2019" s="116">
        <v>0</v>
      </c>
      <c r="M2019" s="136" t="s">
        <v>416</v>
      </c>
      <c r="N2019" t="e">
        <v>#REF!</v>
      </c>
      <c r="Q2019" t="s">
        <v>416</v>
      </c>
    </row>
    <row r="2020" spans="1:17" hidden="1" x14ac:dyDescent="0.25">
      <c r="A2020" s="114" t="s">
        <v>4804</v>
      </c>
      <c r="B2020" s="115" t="s">
        <v>7500</v>
      </c>
      <c r="C2020" s="116" t="s">
        <v>16</v>
      </c>
      <c r="D2020" s="116">
        <v>0</v>
      </c>
      <c r="E2020" s="136" t="s">
        <v>416</v>
      </c>
      <c r="F2020" s="137" t="str">
        <f t="shared" si="162"/>
        <v/>
      </c>
      <c r="G2020" s="138" t="e">
        <f>IF(A2020&lt;&gt;"",IF(AND(#REF!="Padrão",$H$4=#REF!),BDI!$B$17,IF(AND(#REF!="Padrão",$H$4=#REF!),BDI!#REF!,IF(AND(#REF!="Diferenciado",$H$4=#REF!),BDI!$E$17,IF(AND(#REF!="Diferenciado",$H$4=#REF!),BDI!#REF!,IF(#REF!="ZERO",0))))),"")</f>
        <v>#REF!</v>
      </c>
      <c r="H2020" s="139" t="str">
        <f t="shared" si="163"/>
        <v/>
      </c>
      <c r="I2020" s="137" t="str">
        <f t="shared" si="164"/>
        <v/>
      </c>
      <c r="J2020" s="117"/>
      <c r="K2020" s="116">
        <v>0</v>
      </c>
      <c r="M2020" s="136" t="s">
        <v>416</v>
      </c>
      <c r="N2020" t="e">
        <v>#REF!</v>
      </c>
      <c r="Q2020" t="s">
        <v>416</v>
      </c>
    </row>
    <row r="2021" spans="1:17" hidden="1" x14ac:dyDescent="0.25">
      <c r="A2021" s="114" t="s">
        <v>4805</v>
      </c>
      <c r="B2021" s="115" t="s">
        <v>7501</v>
      </c>
      <c r="C2021" s="116" t="s">
        <v>16</v>
      </c>
      <c r="D2021" s="116">
        <v>0</v>
      </c>
      <c r="E2021" s="136" t="s">
        <v>416</v>
      </c>
      <c r="F2021" s="137" t="str">
        <f t="shared" si="162"/>
        <v/>
      </c>
      <c r="G2021" s="138" t="e">
        <f>IF(A2021&lt;&gt;"",IF(AND(#REF!="Padrão",$H$4=#REF!),BDI!$B$17,IF(AND(#REF!="Padrão",$H$4=#REF!),BDI!#REF!,IF(AND(#REF!="Diferenciado",$H$4=#REF!),BDI!$E$17,IF(AND(#REF!="Diferenciado",$H$4=#REF!),BDI!#REF!,IF(#REF!="ZERO",0))))),"")</f>
        <v>#REF!</v>
      </c>
      <c r="H2021" s="139" t="str">
        <f t="shared" si="163"/>
        <v/>
      </c>
      <c r="I2021" s="137" t="str">
        <f t="shared" si="164"/>
        <v/>
      </c>
      <c r="J2021" s="117"/>
      <c r="K2021" s="116">
        <v>0</v>
      </c>
      <c r="M2021" s="136" t="s">
        <v>416</v>
      </c>
      <c r="N2021" t="e">
        <v>#REF!</v>
      </c>
      <c r="Q2021" t="s">
        <v>416</v>
      </c>
    </row>
    <row r="2022" spans="1:17" hidden="1" x14ac:dyDescent="0.25">
      <c r="A2022" s="114" t="s">
        <v>4806</v>
      </c>
      <c r="B2022" s="115" t="s">
        <v>7502</v>
      </c>
      <c r="C2022" s="116" t="s">
        <v>16</v>
      </c>
      <c r="D2022" s="116">
        <v>0</v>
      </c>
      <c r="E2022" s="136" t="s">
        <v>416</v>
      </c>
      <c r="F2022" s="137" t="str">
        <f t="shared" si="162"/>
        <v/>
      </c>
      <c r="G2022" s="138" t="e">
        <f>IF(A2022&lt;&gt;"",IF(AND(#REF!="Padrão",$H$4=#REF!),BDI!$B$17,IF(AND(#REF!="Padrão",$H$4=#REF!),BDI!#REF!,IF(AND(#REF!="Diferenciado",$H$4=#REF!),BDI!$E$17,IF(AND(#REF!="Diferenciado",$H$4=#REF!),BDI!#REF!,IF(#REF!="ZERO",0))))),"")</f>
        <v>#REF!</v>
      </c>
      <c r="H2022" s="139" t="str">
        <f t="shared" si="163"/>
        <v/>
      </c>
      <c r="I2022" s="137" t="str">
        <f t="shared" si="164"/>
        <v/>
      </c>
      <c r="J2022" s="117"/>
      <c r="K2022" s="116">
        <v>0</v>
      </c>
      <c r="M2022" s="136" t="s">
        <v>416</v>
      </c>
      <c r="N2022" t="e">
        <v>#REF!</v>
      </c>
      <c r="Q2022" t="s">
        <v>416</v>
      </c>
    </row>
    <row r="2023" spans="1:17" hidden="1" x14ac:dyDescent="0.25">
      <c r="A2023" s="114" t="s">
        <v>4807</v>
      </c>
      <c r="B2023" s="115" t="s">
        <v>7503</v>
      </c>
      <c r="C2023" s="116" t="s">
        <v>16</v>
      </c>
      <c r="D2023" s="116">
        <v>0</v>
      </c>
      <c r="E2023" s="136" t="s">
        <v>416</v>
      </c>
      <c r="F2023" s="137" t="str">
        <f t="shared" si="162"/>
        <v/>
      </c>
      <c r="G2023" s="138" t="e">
        <f>IF(A2023&lt;&gt;"",IF(AND(#REF!="Padrão",$H$4=#REF!),BDI!$B$17,IF(AND(#REF!="Padrão",$H$4=#REF!),BDI!#REF!,IF(AND(#REF!="Diferenciado",$H$4=#REF!),BDI!$E$17,IF(AND(#REF!="Diferenciado",$H$4=#REF!),BDI!#REF!,IF(#REF!="ZERO",0))))),"")</f>
        <v>#REF!</v>
      </c>
      <c r="H2023" s="139" t="str">
        <f t="shared" si="163"/>
        <v/>
      </c>
      <c r="I2023" s="137" t="str">
        <f t="shared" si="164"/>
        <v/>
      </c>
      <c r="J2023" s="117"/>
      <c r="K2023" s="116">
        <v>0</v>
      </c>
      <c r="M2023" s="136" t="s">
        <v>416</v>
      </c>
      <c r="N2023" t="e">
        <v>#REF!</v>
      </c>
      <c r="Q2023" t="s">
        <v>416</v>
      </c>
    </row>
    <row r="2024" spans="1:17" hidden="1" x14ac:dyDescent="0.25">
      <c r="A2024" s="114" t="s">
        <v>4808</v>
      </c>
      <c r="B2024" s="115" t="s">
        <v>7504</v>
      </c>
      <c r="C2024" s="116" t="s">
        <v>16</v>
      </c>
      <c r="D2024" s="116">
        <v>0</v>
      </c>
      <c r="E2024" s="136" t="s">
        <v>416</v>
      </c>
      <c r="F2024" s="137" t="str">
        <f t="shared" si="162"/>
        <v/>
      </c>
      <c r="G2024" s="138" t="e">
        <f>IF(A2024&lt;&gt;"",IF(AND(#REF!="Padrão",$H$4=#REF!),BDI!$B$17,IF(AND(#REF!="Padrão",$H$4=#REF!),BDI!#REF!,IF(AND(#REF!="Diferenciado",$H$4=#REF!),BDI!$E$17,IF(AND(#REF!="Diferenciado",$H$4=#REF!),BDI!#REF!,IF(#REF!="ZERO",0))))),"")</f>
        <v>#REF!</v>
      </c>
      <c r="H2024" s="139" t="str">
        <f t="shared" si="163"/>
        <v/>
      </c>
      <c r="I2024" s="137" t="str">
        <f t="shared" si="164"/>
        <v/>
      </c>
      <c r="J2024" s="117"/>
      <c r="K2024" s="116">
        <v>0</v>
      </c>
      <c r="M2024" s="136" t="s">
        <v>416</v>
      </c>
      <c r="N2024" t="e">
        <v>#REF!</v>
      </c>
      <c r="Q2024" t="s">
        <v>416</v>
      </c>
    </row>
    <row r="2025" spans="1:17" hidden="1" x14ac:dyDescent="0.25">
      <c r="A2025" s="114" t="s">
        <v>4809</v>
      </c>
      <c r="B2025" s="115" t="s">
        <v>7505</v>
      </c>
      <c r="C2025" s="116" t="s">
        <v>16</v>
      </c>
      <c r="D2025" s="116">
        <v>0</v>
      </c>
      <c r="E2025" s="136" t="s">
        <v>416</v>
      </c>
      <c r="F2025" s="137" t="str">
        <f t="shared" si="162"/>
        <v/>
      </c>
      <c r="G2025" s="138" t="e">
        <f>IF(A2025&lt;&gt;"",IF(AND(#REF!="Padrão",$H$4=#REF!),BDI!$B$17,IF(AND(#REF!="Padrão",$H$4=#REF!),BDI!#REF!,IF(AND(#REF!="Diferenciado",$H$4=#REF!),BDI!$E$17,IF(AND(#REF!="Diferenciado",$H$4=#REF!),BDI!#REF!,IF(#REF!="ZERO",0))))),"")</f>
        <v>#REF!</v>
      </c>
      <c r="H2025" s="139" t="str">
        <f t="shared" si="163"/>
        <v/>
      </c>
      <c r="I2025" s="137" t="str">
        <f t="shared" si="164"/>
        <v/>
      </c>
      <c r="J2025" s="117"/>
      <c r="K2025" s="116">
        <v>0</v>
      </c>
      <c r="M2025" s="136" t="s">
        <v>416</v>
      </c>
      <c r="N2025" t="e">
        <v>#REF!</v>
      </c>
      <c r="Q2025" t="s">
        <v>416</v>
      </c>
    </row>
    <row r="2026" spans="1:17" hidden="1" x14ac:dyDescent="0.25">
      <c r="A2026" s="114" t="s">
        <v>4810</v>
      </c>
      <c r="B2026" s="115" t="s">
        <v>7506</v>
      </c>
      <c r="C2026" s="116" t="s">
        <v>16</v>
      </c>
      <c r="D2026" s="116">
        <v>0</v>
      </c>
      <c r="E2026" s="136" t="s">
        <v>416</v>
      </c>
      <c r="F2026" s="137" t="str">
        <f t="shared" si="162"/>
        <v/>
      </c>
      <c r="G2026" s="138" t="e">
        <f>IF(A2026&lt;&gt;"",IF(AND(#REF!="Padrão",$H$4=#REF!),BDI!$B$17,IF(AND(#REF!="Padrão",$H$4=#REF!),BDI!#REF!,IF(AND(#REF!="Diferenciado",$H$4=#REF!),BDI!$E$17,IF(AND(#REF!="Diferenciado",$H$4=#REF!),BDI!#REF!,IF(#REF!="ZERO",0))))),"")</f>
        <v>#REF!</v>
      </c>
      <c r="H2026" s="139" t="str">
        <f t="shared" si="163"/>
        <v/>
      </c>
      <c r="I2026" s="137" t="str">
        <f t="shared" si="164"/>
        <v/>
      </c>
      <c r="J2026" s="117"/>
      <c r="K2026" s="116">
        <v>0</v>
      </c>
      <c r="M2026" s="136" t="s">
        <v>416</v>
      </c>
      <c r="N2026" t="e">
        <v>#REF!</v>
      </c>
      <c r="Q2026" t="s">
        <v>416</v>
      </c>
    </row>
    <row r="2027" spans="1:17" hidden="1" x14ac:dyDescent="0.25">
      <c r="A2027" s="114" t="s">
        <v>4811</v>
      </c>
      <c r="B2027" s="115" t="s">
        <v>7507</v>
      </c>
      <c r="C2027" s="116" t="s">
        <v>16</v>
      </c>
      <c r="D2027" s="116">
        <v>0</v>
      </c>
      <c r="E2027" s="136" t="s">
        <v>416</v>
      </c>
      <c r="F2027" s="137" t="str">
        <f t="shared" si="162"/>
        <v/>
      </c>
      <c r="G2027" s="138" t="e">
        <f>IF(A2027&lt;&gt;"",IF(AND(#REF!="Padrão",$H$4=#REF!),BDI!$B$17,IF(AND(#REF!="Padrão",$H$4=#REF!),BDI!#REF!,IF(AND(#REF!="Diferenciado",$H$4=#REF!),BDI!$E$17,IF(AND(#REF!="Diferenciado",$H$4=#REF!),BDI!#REF!,IF(#REF!="ZERO",0))))),"")</f>
        <v>#REF!</v>
      </c>
      <c r="H2027" s="139" t="str">
        <f t="shared" si="163"/>
        <v/>
      </c>
      <c r="I2027" s="137" t="str">
        <f t="shared" si="164"/>
        <v/>
      </c>
      <c r="J2027" s="117"/>
      <c r="K2027" s="116">
        <v>0</v>
      </c>
      <c r="M2027" s="136" t="s">
        <v>416</v>
      </c>
      <c r="N2027" t="e">
        <v>#REF!</v>
      </c>
      <c r="Q2027" t="s">
        <v>416</v>
      </c>
    </row>
    <row r="2028" spans="1:17" hidden="1" x14ac:dyDescent="0.25">
      <c r="A2028" s="114" t="s">
        <v>4812</v>
      </c>
      <c r="B2028" s="115" t="s">
        <v>3696</v>
      </c>
      <c r="C2028" s="116" t="s">
        <v>16</v>
      </c>
      <c r="D2028" s="116">
        <v>0</v>
      </c>
      <c r="E2028" s="136" t="s">
        <v>416</v>
      </c>
      <c r="F2028" s="137" t="str">
        <f t="shared" si="162"/>
        <v/>
      </c>
      <c r="G2028" s="138" t="e">
        <f>IF(A2028&lt;&gt;"",IF(AND(#REF!="Padrão",$H$4=#REF!),BDI!$B$17,IF(AND(#REF!="Padrão",$H$4=#REF!),BDI!#REF!,IF(AND(#REF!="Diferenciado",$H$4=#REF!),BDI!$E$17,IF(AND(#REF!="Diferenciado",$H$4=#REF!),BDI!#REF!,IF(#REF!="ZERO",0))))),"")</f>
        <v>#REF!</v>
      </c>
      <c r="H2028" s="139" t="str">
        <f t="shared" si="163"/>
        <v/>
      </c>
      <c r="I2028" s="137" t="str">
        <f t="shared" si="164"/>
        <v/>
      </c>
      <c r="J2028" s="117"/>
      <c r="K2028" s="116">
        <v>0</v>
      </c>
      <c r="M2028" s="136" t="s">
        <v>416</v>
      </c>
      <c r="N2028" t="e">
        <v>#REF!</v>
      </c>
      <c r="Q2028" t="s">
        <v>416</v>
      </c>
    </row>
    <row r="2029" spans="1:17" hidden="1" x14ac:dyDescent="0.25">
      <c r="A2029" s="114" t="s">
        <v>4813</v>
      </c>
      <c r="B2029" s="115" t="s">
        <v>3697</v>
      </c>
      <c r="C2029" s="116" t="s">
        <v>16</v>
      </c>
      <c r="D2029" s="116">
        <v>0</v>
      </c>
      <c r="E2029" s="136" t="s">
        <v>416</v>
      </c>
      <c r="F2029" s="137" t="str">
        <f t="shared" ref="F2029:F2092" si="165">IF(ISNUMBER(E2029),D2029*E2029,"")</f>
        <v/>
      </c>
      <c r="G2029" s="138" t="e">
        <f>IF(A2029&lt;&gt;"",IF(AND(#REF!="Padrão",$H$4=#REF!),BDI!$B$17,IF(AND(#REF!="Padrão",$H$4=#REF!),BDI!#REF!,IF(AND(#REF!="Diferenciado",$H$4=#REF!),BDI!$E$17,IF(AND(#REF!="Diferenciado",$H$4=#REF!),BDI!#REF!,IF(#REF!="ZERO",0))))),"")</f>
        <v>#REF!</v>
      </c>
      <c r="H2029" s="139" t="str">
        <f t="shared" ref="H2029:H2092" si="166">IF(ISNUMBER(E2029),ROUND(E2029*(1+G2029),2),"")</f>
        <v/>
      </c>
      <c r="I2029" s="137" t="str">
        <f t="shared" ref="I2029:I2092" si="167">IF(ISNUMBER(E2029),ROUND(H2029*D2029,2),"")</f>
        <v/>
      </c>
      <c r="J2029" s="117"/>
      <c r="K2029" s="116">
        <v>0</v>
      </c>
      <c r="M2029" s="136" t="s">
        <v>416</v>
      </c>
      <c r="N2029" t="e">
        <v>#REF!</v>
      </c>
      <c r="Q2029" t="s">
        <v>416</v>
      </c>
    </row>
    <row r="2030" spans="1:17" hidden="1" x14ac:dyDescent="0.25">
      <c r="A2030" s="114" t="s">
        <v>4814</v>
      </c>
      <c r="B2030" s="115" t="s">
        <v>3698</v>
      </c>
      <c r="C2030" s="116" t="s">
        <v>16</v>
      </c>
      <c r="D2030" s="116">
        <v>0</v>
      </c>
      <c r="E2030" s="136" t="s">
        <v>416</v>
      </c>
      <c r="F2030" s="137" t="str">
        <f t="shared" si="165"/>
        <v/>
      </c>
      <c r="G2030" s="138" t="e">
        <f>IF(A2030&lt;&gt;"",IF(AND(#REF!="Padrão",$H$4=#REF!),BDI!$B$17,IF(AND(#REF!="Padrão",$H$4=#REF!),BDI!#REF!,IF(AND(#REF!="Diferenciado",$H$4=#REF!),BDI!$E$17,IF(AND(#REF!="Diferenciado",$H$4=#REF!),BDI!#REF!,IF(#REF!="ZERO",0))))),"")</f>
        <v>#REF!</v>
      </c>
      <c r="H2030" s="139" t="str">
        <f t="shared" si="166"/>
        <v/>
      </c>
      <c r="I2030" s="137" t="str">
        <f t="shared" si="167"/>
        <v/>
      </c>
      <c r="J2030" s="117"/>
      <c r="K2030" s="116">
        <v>0</v>
      </c>
      <c r="M2030" s="136" t="s">
        <v>416</v>
      </c>
      <c r="N2030" t="e">
        <v>#REF!</v>
      </c>
      <c r="Q2030" t="s">
        <v>416</v>
      </c>
    </row>
    <row r="2031" spans="1:17" hidden="1" x14ac:dyDescent="0.25">
      <c r="A2031" s="114" t="s">
        <v>4815</v>
      </c>
      <c r="B2031" s="115" t="s">
        <v>3699</v>
      </c>
      <c r="C2031" s="116" t="s">
        <v>16</v>
      </c>
      <c r="D2031" s="116">
        <v>0</v>
      </c>
      <c r="E2031" s="136" t="s">
        <v>416</v>
      </c>
      <c r="F2031" s="137" t="str">
        <f t="shared" si="165"/>
        <v/>
      </c>
      <c r="G2031" s="138" t="e">
        <f>IF(A2031&lt;&gt;"",IF(AND(#REF!="Padrão",$H$4=#REF!),BDI!$B$17,IF(AND(#REF!="Padrão",$H$4=#REF!),BDI!#REF!,IF(AND(#REF!="Diferenciado",$H$4=#REF!),BDI!$E$17,IF(AND(#REF!="Diferenciado",$H$4=#REF!),BDI!#REF!,IF(#REF!="ZERO",0))))),"")</f>
        <v>#REF!</v>
      </c>
      <c r="H2031" s="139" t="str">
        <f t="shared" si="166"/>
        <v/>
      </c>
      <c r="I2031" s="137" t="str">
        <f t="shared" si="167"/>
        <v/>
      </c>
      <c r="J2031" s="117"/>
      <c r="K2031" s="116">
        <v>0</v>
      </c>
      <c r="M2031" s="136" t="s">
        <v>416</v>
      </c>
      <c r="N2031" t="e">
        <v>#REF!</v>
      </c>
      <c r="Q2031" t="s">
        <v>416</v>
      </c>
    </row>
    <row r="2032" spans="1:17" hidden="1" x14ac:dyDescent="0.25">
      <c r="A2032" s="114" t="s">
        <v>4816</v>
      </c>
      <c r="B2032" s="115" t="s">
        <v>3700</v>
      </c>
      <c r="C2032" s="116" t="s">
        <v>16</v>
      </c>
      <c r="D2032" s="116">
        <v>0</v>
      </c>
      <c r="E2032" s="136" t="s">
        <v>416</v>
      </c>
      <c r="F2032" s="137" t="str">
        <f t="shared" si="165"/>
        <v/>
      </c>
      <c r="G2032" s="138" t="e">
        <f>IF(A2032&lt;&gt;"",IF(AND(#REF!="Padrão",$H$4=#REF!),BDI!$B$17,IF(AND(#REF!="Padrão",$H$4=#REF!),BDI!#REF!,IF(AND(#REF!="Diferenciado",$H$4=#REF!),BDI!$E$17,IF(AND(#REF!="Diferenciado",$H$4=#REF!),BDI!#REF!,IF(#REF!="ZERO",0))))),"")</f>
        <v>#REF!</v>
      </c>
      <c r="H2032" s="139" t="str">
        <f t="shared" si="166"/>
        <v/>
      </c>
      <c r="I2032" s="137" t="str">
        <f t="shared" si="167"/>
        <v/>
      </c>
      <c r="J2032" s="117"/>
      <c r="K2032" s="116">
        <v>0</v>
      </c>
      <c r="M2032" s="136" t="s">
        <v>416</v>
      </c>
      <c r="N2032" t="e">
        <v>#REF!</v>
      </c>
      <c r="Q2032" t="s">
        <v>416</v>
      </c>
    </row>
    <row r="2033" spans="1:17" hidden="1" x14ac:dyDescent="0.25">
      <c r="A2033" s="114" t="s">
        <v>4817</v>
      </c>
      <c r="B2033" s="115" t="s">
        <v>3701</v>
      </c>
      <c r="C2033" s="116" t="s">
        <v>16</v>
      </c>
      <c r="D2033" s="116">
        <v>0</v>
      </c>
      <c r="E2033" s="136" t="s">
        <v>416</v>
      </c>
      <c r="F2033" s="137" t="str">
        <f t="shared" si="165"/>
        <v/>
      </c>
      <c r="G2033" s="138" t="e">
        <f>IF(A2033&lt;&gt;"",IF(AND(#REF!="Padrão",$H$4=#REF!),BDI!$B$17,IF(AND(#REF!="Padrão",$H$4=#REF!),BDI!#REF!,IF(AND(#REF!="Diferenciado",$H$4=#REF!),BDI!$E$17,IF(AND(#REF!="Diferenciado",$H$4=#REF!),BDI!#REF!,IF(#REF!="ZERO",0))))),"")</f>
        <v>#REF!</v>
      </c>
      <c r="H2033" s="139" t="str">
        <f t="shared" si="166"/>
        <v/>
      </c>
      <c r="I2033" s="137" t="str">
        <f t="shared" si="167"/>
        <v/>
      </c>
      <c r="J2033" s="117"/>
      <c r="K2033" s="116">
        <v>0</v>
      </c>
      <c r="M2033" s="136" t="s">
        <v>416</v>
      </c>
      <c r="N2033" t="e">
        <v>#REF!</v>
      </c>
      <c r="Q2033" t="s">
        <v>416</v>
      </c>
    </row>
    <row r="2034" spans="1:17" hidden="1" x14ac:dyDescent="0.25">
      <c r="A2034" s="114" t="s">
        <v>4818</v>
      </c>
      <c r="B2034" s="115" t="s">
        <v>3702</v>
      </c>
      <c r="C2034" s="116" t="s">
        <v>16</v>
      </c>
      <c r="D2034" s="116">
        <v>0</v>
      </c>
      <c r="E2034" s="136" t="s">
        <v>416</v>
      </c>
      <c r="F2034" s="137" t="str">
        <f t="shared" si="165"/>
        <v/>
      </c>
      <c r="G2034" s="138" t="e">
        <f>IF(A2034&lt;&gt;"",IF(AND(#REF!="Padrão",$H$4=#REF!),BDI!$B$17,IF(AND(#REF!="Padrão",$H$4=#REF!),BDI!#REF!,IF(AND(#REF!="Diferenciado",$H$4=#REF!),BDI!$E$17,IF(AND(#REF!="Diferenciado",$H$4=#REF!),BDI!#REF!,IF(#REF!="ZERO",0))))),"")</f>
        <v>#REF!</v>
      </c>
      <c r="H2034" s="139" t="str">
        <f t="shared" si="166"/>
        <v/>
      </c>
      <c r="I2034" s="137" t="str">
        <f t="shared" si="167"/>
        <v/>
      </c>
      <c r="J2034" s="117"/>
      <c r="K2034" s="116">
        <v>0</v>
      </c>
      <c r="M2034" s="136" t="s">
        <v>416</v>
      </c>
      <c r="N2034" t="e">
        <v>#REF!</v>
      </c>
      <c r="Q2034" t="s">
        <v>416</v>
      </c>
    </row>
    <row r="2035" spans="1:17" hidden="1" x14ac:dyDescent="0.25">
      <c r="A2035" s="114" t="s">
        <v>4819</v>
      </c>
      <c r="B2035" s="115" t="s">
        <v>3703</v>
      </c>
      <c r="C2035" s="116" t="s">
        <v>16</v>
      </c>
      <c r="D2035" s="116">
        <v>0</v>
      </c>
      <c r="E2035" s="136" t="s">
        <v>416</v>
      </c>
      <c r="F2035" s="137" t="str">
        <f t="shared" si="165"/>
        <v/>
      </c>
      <c r="G2035" s="138" t="e">
        <f>IF(A2035&lt;&gt;"",IF(AND(#REF!="Padrão",$H$4=#REF!),BDI!$B$17,IF(AND(#REF!="Padrão",$H$4=#REF!),BDI!#REF!,IF(AND(#REF!="Diferenciado",$H$4=#REF!),BDI!$E$17,IF(AND(#REF!="Diferenciado",$H$4=#REF!),BDI!#REF!,IF(#REF!="ZERO",0))))),"")</f>
        <v>#REF!</v>
      </c>
      <c r="H2035" s="139" t="str">
        <f t="shared" si="166"/>
        <v/>
      </c>
      <c r="I2035" s="137" t="str">
        <f t="shared" si="167"/>
        <v/>
      </c>
      <c r="J2035" s="117"/>
      <c r="K2035" s="116">
        <v>0</v>
      </c>
      <c r="M2035" s="136" t="s">
        <v>416</v>
      </c>
      <c r="N2035" t="e">
        <v>#REF!</v>
      </c>
      <c r="Q2035" t="s">
        <v>416</v>
      </c>
    </row>
    <row r="2036" spans="1:17" hidden="1" x14ac:dyDescent="0.25">
      <c r="A2036" s="114" t="s">
        <v>4820</v>
      </c>
      <c r="B2036" s="115" t="s">
        <v>3704</v>
      </c>
      <c r="C2036" s="116" t="s">
        <v>16</v>
      </c>
      <c r="D2036" s="116">
        <v>0</v>
      </c>
      <c r="E2036" s="136" t="s">
        <v>416</v>
      </c>
      <c r="F2036" s="137" t="str">
        <f t="shared" si="165"/>
        <v/>
      </c>
      <c r="G2036" s="138" t="e">
        <f>IF(A2036&lt;&gt;"",IF(AND(#REF!="Padrão",$H$4=#REF!),BDI!$B$17,IF(AND(#REF!="Padrão",$H$4=#REF!),BDI!#REF!,IF(AND(#REF!="Diferenciado",$H$4=#REF!),BDI!$E$17,IF(AND(#REF!="Diferenciado",$H$4=#REF!),BDI!#REF!,IF(#REF!="ZERO",0))))),"")</f>
        <v>#REF!</v>
      </c>
      <c r="H2036" s="139" t="str">
        <f t="shared" si="166"/>
        <v/>
      </c>
      <c r="I2036" s="137" t="str">
        <f t="shared" si="167"/>
        <v/>
      </c>
      <c r="J2036" s="117"/>
      <c r="K2036" s="116">
        <v>0</v>
      </c>
      <c r="M2036" s="136" t="s">
        <v>416</v>
      </c>
      <c r="N2036" t="e">
        <v>#REF!</v>
      </c>
      <c r="Q2036" t="s">
        <v>416</v>
      </c>
    </row>
    <row r="2037" spans="1:17" hidden="1" x14ac:dyDescent="0.25">
      <c r="A2037" s="114" t="s">
        <v>4821</v>
      </c>
      <c r="B2037" s="115" t="s">
        <v>3705</v>
      </c>
      <c r="C2037" s="116" t="s">
        <v>16</v>
      </c>
      <c r="D2037" s="116">
        <v>0</v>
      </c>
      <c r="E2037" s="136" t="s">
        <v>416</v>
      </c>
      <c r="F2037" s="137" t="str">
        <f t="shared" si="165"/>
        <v/>
      </c>
      <c r="G2037" s="138" t="e">
        <f>IF(A2037&lt;&gt;"",IF(AND(#REF!="Padrão",$H$4=#REF!),BDI!$B$17,IF(AND(#REF!="Padrão",$H$4=#REF!),BDI!#REF!,IF(AND(#REF!="Diferenciado",$H$4=#REF!),BDI!$E$17,IF(AND(#REF!="Diferenciado",$H$4=#REF!),BDI!#REF!,IF(#REF!="ZERO",0))))),"")</f>
        <v>#REF!</v>
      </c>
      <c r="H2037" s="139" t="str">
        <f t="shared" si="166"/>
        <v/>
      </c>
      <c r="I2037" s="137" t="str">
        <f t="shared" si="167"/>
        <v/>
      </c>
      <c r="J2037" s="117"/>
      <c r="K2037" s="116">
        <v>0</v>
      </c>
      <c r="M2037" s="136" t="s">
        <v>416</v>
      </c>
      <c r="N2037" t="e">
        <v>#REF!</v>
      </c>
      <c r="Q2037" t="s">
        <v>416</v>
      </c>
    </row>
    <row r="2038" spans="1:17" hidden="1" x14ac:dyDescent="0.25">
      <c r="A2038" s="114" t="s">
        <v>4822</v>
      </c>
      <c r="B2038" s="115" t="s">
        <v>3706</v>
      </c>
      <c r="C2038" s="116" t="s">
        <v>16</v>
      </c>
      <c r="D2038" s="116">
        <v>0</v>
      </c>
      <c r="E2038" s="136" t="s">
        <v>416</v>
      </c>
      <c r="F2038" s="137" t="str">
        <f t="shared" si="165"/>
        <v/>
      </c>
      <c r="G2038" s="138" t="e">
        <f>IF(A2038&lt;&gt;"",IF(AND(#REF!="Padrão",$H$4=#REF!),BDI!$B$17,IF(AND(#REF!="Padrão",$H$4=#REF!),BDI!#REF!,IF(AND(#REF!="Diferenciado",$H$4=#REF!),BDI!$E$17,IF(AND(#REF!="Diferenciado",$H$4=#REF!),BDI!#REF!,IF(#REF!="ZERO",0))))),"")</f>
        <v>#REF!</v>
      </c>
      <c r="H2038" s="139" t="str">
        <f t="shared" si="166"/>
        <v/>
      </c>
      <c r="I2038" s="137" t="str">
        <f t="shared" si="167"/>
        <v/>
      </c>
      <c r="J2038" s="117"/>
      <c r="K2038" s="116">
        <v>0</v>
      </c>
      <c r="M2038" s="136" t="s">
        <v>416</v>
      </c>
      <c r="N2038" t="e">
        <v>#REF!</v>
      </c>
      <c r="Q2038" t="s">
        <v>416</v>
      </c>
    </row>
    <row r="2039" spans="1:17" hidden="1" x14ac:dyDescent="0.25">
      <c r="A2039" s="114" t="s">
        <v>4823</v>
      </c>
      <c r="B2039" s="115" t="s">
        <v>3707</v>
      </c>
      <c r="C2039" s="116" t="s">
        <v>16</v>
      </c>
      <c r="D2039" s="116">
        <v>0</v>
      </c>
      <c r="E2039" s="136" t="s">
        <v>416</v>
      </c>
      <c r="F2039" s="137" t="str">
        <f t="shared" si="165"/>
        <v/>
      </c>
      <c r="G2039" s="138" t="e">
        <f>IF(A2039&lt;&gt;"",IF(AND(#REF!="Padrão",$H$4=#REF!),BDI!$B$17,IF(AND(#REF!="Padrão",$H$4=#REF!),BDI!#REF!,IF(AND(#REF!="Diferenciado",$H$4=#REF!),BDI!$E$17,IF(AND(#REF!="Diferenciado",$H$4=#REF!),BDI!#REF!,IF(#REF!="ZERO",0))))),"")</f>
        <v>#REF!</v>
      </c>
      <c r="H2039" s="139" t="str">
        <f t="shared" si="166"/>
        <v/>
      </c>
      <c r="I2039" s="137" t="str">
        <f t="shared" si="167"/>
        <v/>
      </c>
      <c r="J2039" s="117"/>
      <c r="K2039" s="116">
        <v>0</v>
      </c>
      <c r="M2039" s="136" t="s">
        <v>416</v>
      </c>
      <c r="N2039" t="e">
        <v>#REF!</v>
      </c>
      <c r="Q2039" t="s">
        <v>416</v>
      </c>
    </row>
    <row r="2040" spans="1:17" hidden="1" x14ac:dyDescent="0.25">
      <c r="A2040" s="114" t="s">
        <v>4824</v>
      </c>
      <c r="B2040" s="115" t="s">
        <v>3708</v>
      </c>
      <c r="C2040" s="116" t="s">
        <v>16</v>
      </c>
      <c r="D2040" s="116">
        <v>0</v>
      </c>
      <c r="E2040" s="136" t="s">
        <v>416</v>
      </c>
      <c r="F2040" s="137" t="str">
        <f t="shared" si="165"/>
        <v/>
      </c>
      <c r="G2040" s="138" t="e">
        <f>IF(A2040&lt;&gt;"",IF(AND(#REF!="Padrão",$H$4=#REF!),BDI!$B$17,IF(AND(#REF!="Padrão",$H$4=#REF!),BDI!#REF!,IF(AND(#REF!="Diferenciado",$H$4=#REF!),BDI!$E$17,IF(AND(#REF!="Diferenciado",$H$4=#REF!),BDI!#REF!,IF(#REF!="ZERO",0))))),"")</f>
        <v>#REF!</v>
      </c>
      <c r="H2040" s="139" t="str">
        <f t="shared" si="166"/>
        <v/>
      </c>
      <c r="I2040" s="137" t="str">
        <f t="shared" si="167"/>
        <v/>
      </c>
      <c r="J2040" s="117"/>
      <c r="K2040" s="116">
        <v>0</v>
      </c>
      <c r="M2040" s="136" t="s">
        <v>416</v>
      </c>
      <c r="N2040" t="e">
        <v>#REF!</v>
      </c>
      <c r="Q2040" t="s">
        <v>416</v>
      </c>
    </row>
    <row r="2041" spans="1:17" hidden="1" x14ac:dyDescent="0.25">
      <c r="A2041" s="114" t="s">
        <v>4825</v>
      </c>
      <c r="B2041" s="115" t="s">
        <v>3709</v>
      </c>
      <c r="C2041" s="116" t="s">
        <v>16</v>
      </c>
      <c r="D2041" s="116">
        <v>0</v>
      </c>
      <c r="E2041" s="136" t="s">
        <v>416</v>
      </c>
      <c r="F2041" s="137" t="str">
        <f t="shared" si="165"/>
        <v/>
      </c>
      <c r="G2041" s="138" t="e">
        <f>IF(A2041&lt;&gt;"",IF(AND(#REF!="Padrão",$H$4=#REF!),BDI!$B$17,IF(AND(#REF!="Padrão",$H$4=#REF!),BDI!#REF!,IF(AND(#REF!="Diferenciado",$H$4=#REF!),BDI!$E$17,IF(AND(#REF!="Diferenciado",$H$4=#REF!),BDI!#REF!,IF(#REF!="ZERO",0))))),"")</f>
        <v>#REF!</v>
      </c>
      <c r="H2041" s="139" t="str">
        <f t="shared" si="166"/>
        <v/>
      </c>
      <c r="I2041" s="137" t="str">
        <f t="shared" si="167"/>
        <v/>
      </c>
      <c r="J2041" s="117"/>
      <c r="K2041" s="116">
        <v>0</v>
      </c>
      <c r="M2041" s="136" t="s">
        <v>416</v>
      </c>
      <c r="N2041" t="e">
        <v>#REF!</v>
      </c>
      <c r="Q2041" t="s">
        <v>416</v>
      </c>
    </row>
    <row r="2042" spans="1:17" hidden="1" x14ac:dyDescent="0.25">
      <c r="A2042" s="114" t="s">
        <v>4826</v>
      </c>
      <c r="B2042" s="115" t="s">
        <v>3710</v>
      </c>
      <c r="C2042" s="116" t="s">
        <v>16</v>
      </c>
      <c r="D2042" s="116">
        <v>0</v>
      </c>
      <c r="E2042" s="136" t="s">
        <v>416</v>
      </c>
      <c r="F2042" s="137" t="str">
        <f t="shared" si="165"/>
        <v/>
      </c>
      <c r="G2042" s="138" t="e">
        <f>IF(A2042&lt;&gt;"",IF(AND(#REF!="Padrão",$H$4=#REF!),BDI!$B$17,IF(AND(#REF!="Padrão",$H$4=#REF!),BDI!#REF!,IF(AND(#REF!="Diferenciado",$H$4=#REF!),BDI!$E$17,IF(AND(#REF!="Diferenciado",$H$4=#REF!),BDI!#REF!,IF(#REF!="ZERO",0))))),"")</f>
        <v>#REF!</v>
      </c>
      <c r="H2042" s="139" t="str">
        <f t="shared" si="166"/>
        <v/>
      </c>
      <c r="I2042" s="137" t="str">
        <f t="shared" si="167"/>
        <v/>
      </c>
      <c r="J2042" s="117"/>
      <c r="K2042" s="116">
        <v>0</v>
      </c>
      <c r="M2042" s="136" t="s">
        <v>416</v>
      </c>
      <c r="N2042" t="e">
        <v>#REF!</v>
      </c>
      <c r="Q2042" t="s">
        <v>416</v>
      </c>
    </row>
    <row r="2043" spans="1:17" hidden="1" x14ac:dyDescent="0.25">
      <c r="A2043" s="114" t="s">
        <v>4827</v>
      </c>
      <c r="B2043" s="115" t="s">
        <v>7490</v>
      </c>
      <c r="C2043" s="116" t="s">
        <v>16</v>
      </c>
      <c r="D2043" s="116">
        <v>0</v>
      </c>
      <c r="E2043" s="136" t="s">
        <v>416</v>
      </c>
      <c r="F2043" s="137" t="str">
        <f t="shared" si="165"/>
        <v/>
      </c>
      <c r="G2043" s="138" t="e">
        <f>IF(A2043&lt;&gt;"",IF(AND(#REF!="Padrão",$H$4=#REF!),BDI!$B$17,IF(AND(#REF!="Padrão",$H$4=#REF!),BDI!#REF!,IF(AND(#REF!="Diferenciado",$H$4=#REF!),BDI!$E$17,IF(AND(#REF!="Diferenciado",$H$4=#REF!),BDI!#REF!,IF(#REF!="ZERO",0))))),"")</f>
        <v>#REF!</v>
      </c>
      <c r="H2043" s="139" t="str">
        <f t="shared" si="166"/>
        <v/>
      </c>
      <c r="I2043" s="137" t="str">
        <f t="shared" si="167"/>
        <v/>
      </c>
      <c r="J2043" s="117"/>
      <c r="K2043" s="116">
        <v>0</v>
      </c>
      <c r="M2043" s="136" t="s">
        <v>416</v>
      </c>
      <c r="N2043" t="e">
        <v>#REF!</v>
      </c>
      <c r="Q2043" t="s">
        <v>416</v>
      </c>
    </row>
    <row r="2044" spans="1:17" hidden="1" x14ac:dyDescent="0.25">
      <c r="A2044" s="114" t="s">
        <v>4828</v>
      </c>
      <c r="B2044" s="115" t="s">
        <v>7489</v>
      </c>
      <c r="C2044" s="116" t="s">
        <v>16</v>
      </c>
      <c r="D2044" s="116">
        <v>0</v>
      </c>
      <c r="E2044" s="136" t="s">
        <v>416</v>
      </c>
      <c r="F2044" s="137" t="str">
        <f t="shared" si="165"/>
        <v/>
      </c>
      <c r="G2044" s="138" t="e">
        <f>IF(A2044&lt;&gt;"",IF(AND(#REF!="Padrão",$H$4=#REF!),BDI!$B$17,IF(AND(#REF!="Padrão",$H$4=#REF!),BDI!#REF!,IF(AND(#REF!="Diferenciado",$H$4=#REF!),BDI!$E$17,IF(AND(#REF!="Diferenciado",$H$4=#REF!),BDI!#REF!,IF(#REF!="ZERO",0))))),"")</f>
        <v>#REF!</v>
      </c>
      <c r="H2044" s="139" t="str">
        <f t="shared" si="166"/>
        <v/>
      </c>
      <c r="I2044" s="137" t="str">
        <f t="shared" si="167"/>
        <v/>
      </c>
      <c r="J2044" s="117"/>
      <c r="K2044" s="116">
        <v>0</v>
      </c>
      <c r="M2044" s="136" t="s">
        <v>416</v>
      </c>
      <c r="N2044" t="e">
        <v>#REF!</v>
      </c>
      <c r="Q2044" t="s">
        <v>416</v>
      </c>
    </row>
    <row r="2045" spans="1:17" hidden="1" x14ac:dyDescent="0.25">
      <c r="A2045" s="114" t="s">
        <v>4829</v>
      </c>
      <c r="B2045" s="115" t="s">
        <v>7488</v>
      </c>
      <c r="C2045" s="116" t="s">
        <v>16</v>
      </c>
      <c r="D2045" s="116">
        <v>0</v>
      </c>
      <c r="E2045" s="136" t="s">
        <v>416</v>
      </c>
      <c r="F2045" s="137" t="str">
        <f t="shared" si="165"/>
        <v/>
      </c>
      <c r="G2045" s="138" t="e">
        <f>IF(A2045&lt;&gt;"",IF(AND(#REF!="Padrão",$H$4=#REF!),BDI!$B$17,IF(AND(#REF!="Padrão",$H$4=#REF!),BDI!#REF!,IF(AND(#REF!="Diferenciado",$H$4=#REF!),BDI!$E$17,IF(AND(#REF!="Diferenciado",$H$4=#REF!),BDI!#REF!,IF(#REF!="ZERO",0))))),"")</f>
        <v>#REF!</v>
      </c>
      <c r="H2045" s="139" t="str">
        <f t="shared" si="166"/>
        <v/>
      </c>
      <c r="I2045" s="137" t="str">
        <f t="shared" si="167"/>
        <v/>
      </c>
      <c r="J2045" s="117"/>
      <c r="K2045" s="116">
        <v>0</v>
      </c>
      <c r="M2045" s="136" t="s">
        <v>416</v>
      </c>
      <c r="N2045" t="e">
        <v>#REF!</v>
      </c>
      <c r="Q2045" t="s">
        <v>416</v>
      </c>
    </row>
    <row r="2046" spans="1:17" hidden="1" x14ac:dyDescent="0.25">
      <c r="A2046" s="114" t="s">
        <v>4830</v>
      </c>
      <c r="B2046" s="115" t="s">
        <v>7487</v>
      </c>
      <c r="C2046" s="116" t="s">
        <v>16</v>
      </c>
      <c r="D2046" s="116">
        <v>0</v>
      </c>
      <c r="E2046" s="136" t="s">
        <v>416</v>
      </c>
      <c r="F2046" s="137" t="str">
        <f t="shared" si="165"/>
        <v/>
      </c>
      <c r="G2046" s="138" t="e">
        <f>IF(A2046&lt;&gt;"",IF(AND(#REF!="Padrão",$H$4=#REF!),BDI!$B$17,IF(AND(#REF!="Padrão",$H$4=#REF!),BDI!#REF!,IF(AND(#REF!="Diferenciado",$H$4=#REF!),BDI!$E$17,IF(AND(#REF!="Diferenciado",$H$4=#REF!),BDI!#REF!,IF(#REF!="ZERO",0))))),"")</f>
        <v>#REF!</v>
      </c>
      <c r="H2046" s="139" t="str">
        <f t="shared" si="166"/>
        <v/>
      </c>
      <c r="I2046" s="137" t="str">
        <f t="shared" si="167"/>
        <v/>
      </c>
      <c r="J2046" s="117"/>
      <c r="K2046" s="116">
        <v>0</v>
      </c>
      <c r="M2046" s="136" t="s">
        <v>416</v>
      </c>
      <c r="N2046" t="e">
        <v>#REF!</v>
      </c>
      <c r="Q2046" t="s">
        <v>416</v>
      </c>
    </row>
    <row r="2047" spans="1:17" hidden="1" x14ac:dyDescent="0.25">
      <c r="A2047" s="114" t="s">
        <v>4831</v>
      </c>
      <c r="B2047" s="115" t="s">
        <v>7486</v>
      </c>
      <c r="C2047" s="116" t="s">
        <v>16</v>
      </c>
      <c r="D2047" s="116">
        <v>0</v>
      </c>
      <c r="E2047" s="136" t="s">
        <v>416</v>
      </c>
      <c r="F2047" s="137" t="str">
        <f t="shared" si="165"/>
        <v/>
      </c>
      <c r="G2047" s="138" t="e">
        <f>IF(A2047&lt;&gt;"",IF(AND(#REF!="Padrão",$H$4=#REF!),BDI!$B$17,IF(AND(#REF!="Padrão",$H$4=#REF!),BDI!#REF!,IF(AND(#REF!="Diferenciado",$H$4=#REF!),BDI!$E$17,IF(AND(#REF!="Diferenciado",$H$4=#REF!),BDI!#REF!,IF(#REF!="ZERO",0))))),"")</f>
        <v>#REF!</v>
      </c>
      <c r="H2047" s="139" t="str">
        <f t="shared" si="166"/>
        <v/>
      </c>
      <c r="I2047" s="137" t="str">
        <f t="shared" si="167"/>
        <v/>
      </c>
      <c r="J2047" s="117"/>
      <c r="K2047" s="116">
        <v>0</v>
      </c>
      <c r="M2047" s="136" t="s">
        <v>416</v>
      </c>
      <c r="N2047" t="e">
        <v>#REF!</v>
      </c>
      <c r="Q2047" t="s">
        <v>416</v>
      </c>
    </row>
    <row r="2048" spans="1:17" hidden="1" x14ac:dyDescent="0.25">
      <c r="A2048" s="114" t="s">
        <v>4832</v>
      </c>
      <c r="B2048" s="115" t="s">
        <v>3711</v>
      </c>
      <c r="C2048" s="116" t="s">
        <v>16</v>
      </c>
      <c r="D2048" s="116">
        <v>0</v>
      </c>
      <c r="E2048" s="136" t="s">
        <v>416</v>
      </c>
      <c r="F2048" s="137" t="str">
        <f t="shared" si="165"/>
        <v/>
      </c>
      <c r="G2048" s="138" t="e">
        <f>IF(A2048&lt;&gt;"",IF(AND(#REF!="Padrão",$H$4=#REF!),BDI!$B$17,IF(AND(#REF!="Padrão",$H$4=#REF!),BDI!#REF!,IF(AND(#REF!="Diferenciado",$H$4=#REF!),BDI!$E$17,IF(AND(#REF!="Diferenciado",$H$4=#REF!),BDI!#REF!,IF(#REF!="ZERO",0))))),"")</f>
        <v>#REF!</v>
      </c>
      <c r="H2048" s="139" t="str">
        <f t="shared" si="166"/>
        <v/>
      </c>
      <c r="I2048" s="137" t="str">
        <f t="shared" si="167"/>
        <v/>
      </c>
      <c r="J2048" s="117"/>
      <c r="K2048" s="116">
        <v>0</v>
      </c>
      <c r="M2048" s="136" t="s">
        <v>416</v>
      </c>
      <c r="N2048" t="e">
        <v>#REF!</v>
      </c>
      <c r="Q2048" t="s">
        <v>416</v>
      </c>
    </row>
    <row r="2049" spans="1:17" hidden="1" x14ac:dyDescent="0.25">
      <c r="A2049" s="114" t="s">
        <v>4833</v>
      </c>
      <c r="B2049" s="115" t="s">
        <v>3712</v>
      </c>
      <c r="C2049" s="116" t="s">
        <v>16</v>
      </c>
      <c r="D2049" s="116">
        <v>0</v>
      </c>
      <c r="E2049" s="136" t="s">
        <v>416</v>
      </c>
      <c r="F2049" s="137" t="str">
        <f t="shared" si="165"/>
        <v/>
      </c>
      <c r="G2049" s="138" t="e">
        <f>IF(A2049&lt;&gt;"",IF(AND(#REF!="Padrão",$H$4=#REF!),BDI!$B$17,IF(AND(#REF!="Padrão",$H$4=#REF!),BDI!#REF!,IF(AND(#REF!="Diferenciado",$H$4=#REF!),BDI!$E$17,IF(AND(#REF!="Diferenciado",$H$4=#REF!),BDI!#REF!,IF(#REF!="ZERO",0))))),"")</f>
        <v>#REF!</v>
      </c>
      <c r="H2049" s="139" t="str">
        <f t="shared" si="166"/>
        <v/>
      </c>
      <c r="I2049" s="137" t="str">
        <f t="shared" si="167"/>
        <v/>
      </c>
      <c r="J2049" s="117"/>
      <c r="K2049" s="116">
        <v>0</v>
      </c>
      <c r="M2049" s="136" t="s">
        <v>416</v>
      </c>
      <c r="N2049" t="e">
        <v>#REF!</v>
      </c>
      <c r="Q2049" t="s">
        <v>416</v>
      </c>
    </row>
    <row r="2050" spans="1:17" hidden="1" x14ac:dyDescent="0.25">
      <c r="A2050" s="114" t="s">
        <v>4834</v>
      </c>
      <c r="B2050" s="115" t="s">
        <v>3713</v>
      </c>
      <c r="C2050" s="116" t="s">
        <v>16</v>
      </c>
      <c r="D2050" s="116">
        <v>0</v>
      </c>
      <c r="E2050" s="136" t="s">
        <v>416</v>
      </c>
      <c r="F2050" s="137" t="str">
        <f t="shared" si="165"/>
        <v/>
      </c>
      <c r="G2050" s="138" t="e">
        <f>IF(A2050&lt;&gt;"",IF(AND(#REF!="Padrão",$H$4=#REF!),BDI!$B$17,IF(AND(#REF!="Padrão",$H$4=#REF!),BDI!#REF!,IF(AND(#REF!="Diferenciado",$H$4=#REF!),BDI!$E$17,IF(AND(#REF!="Diferenciado",$H$4=#REF!),BDI!#REF!,IF(#REF!="ZERO",0))))),"")</f>
        <v>#REF!</v>
      </c>
      <c r="H2050" s="139" t="str">
        <f t="shared" si="166"/>
        <v/>
      </c>
      <c r="I2050" s="137" t="str">
        <f t="shared" si="167"/>
        <v/>
      </c>
      <c r="J2050" s="117"/>
      <c r="K2050" s="116">
        <v>0</v>
      </c>
      <c r="M2050" s="136" t="s">
        <v>416</v>
      </c>
      <c r="N2050" t="e">
        <v>#REF!</v>
      </c>
      <c r="Q2050" t="s">
        <v>416</v>
      </c>
    </row>
    <row r="2051" spans="1:17" hidden="1" x14ac:dyDescent="0.25">
      <c r="A2051" s="114" t="s">
        <v>4835</v>
      </c>
      <c r="B2051" s="115" t="s">
        <v>3714</v>
      </c>
      <c r="C2051" s="116" t="s">
        <v>16</v>
      </c>
      <c r="D2051" s="116">
        <v>0</v>
      </c>
      <c r="E2051" s="136" t="s">
        <v>416</v>
      </c>
      <c r="F2051" s="137" t="str">
        <f t="shared" si="165"/>
        <v/>
      </c>
      <c r="G2051" s="138" t="e">
        <f>IF(A2051&lt;&gt;"",IF(AND(#REF!="Padrão",$H$4=#REF!),BDI!$B$17,IF(AND(#REF!="Padrão",$H$4=#REF!),BDI!#REF!,IF(AND(#REF!="Diferenciado",$H$4=#REF!),BDI!$E$17,IF(AND(#REF!="Diferenciado",$H$4=#REF!),BDI!#REF!,IF(#REF!="ZERO",0))))),"")</f>
        <v>#REF!</v>
      </c>
      <c r="H2051" s="139" t="str">
        <f t="shared" si="166"/>
        <v/>
      </c>
      <c r="I2051" s="137" t="str">
        <f t="shared" si="167"/>
        <v/>
      </c>
      <c r="J2051" s="117"/>
      <c r="K2051" s="116">
        <v>0</v>
      </c>
      <c r="M2051" s="136" t="s">
        <v>416</v>
      </c>
      <c r="N2051" t="e">
        <v>#REF!</v>
      </c>
      <c r="Q2051" t="s">
        <v>416</v>
      </c>
    </row>
    <row r="2052" spans="1:17" hidden="1" x14ac:dyDescent="0.25">
      <c r="A2052" s="114" t="s">
        <v>4836</v>
      </c>
      <c r="B2052" s="115" t="s">
        <v>7483</v>
      </c>
      <c r="C2052" s="116" t="s">
        <v>16</v>
      </c>
      <c r="D2052" s="116">
        <v>0</v>
      </c>
      <c r="E2052" s="136" t="s">
        <v>416</v>
      </c>
      <c r="F2052" s="137" t="str">
        <f t="shared" si="165"/>
        <v/>
      </c>
      <c r="G2052" s="138" t="e">
        <f>IF(A2052&lt;&gt;"",IF(AND(#REF!="Padrão",$H$4=#REF!),BDI!$B$17,IF(AND(#REF!="Padrão",$H$4=#REF!),BDI!#REF!,IF(AND(#REF!="Diferenciado",$H$4=#REF!),BDI!$E$17,IF(AND(#REF!="Diferenciado",$H$4=#REF!),BDI!#REF!,IF(#REF!="ZERO",0))))),"")</f>
        <v>#REF!</v>
      </c>
      <c r="H2052" s="139" t="str">
        <f t="shared" si="166"/>
        <v/>
      </c>
      <c r="I2052" s="137" t="str">
        <f t="shared" si="167"/>
        <v/>
      </c>
      <c r="J2052" s="117"/>
      <c r="K2052" s="116">
        <v>0</v>
      </c>
      <c r="M2052" s="136" t="s">
        <v>416</v>
      </c>
      <c r="N2052" t="e">
        <v>#REF!</v>
      </c>
      <c r="Q2052" t="s">
        <v>416</v>
      </c>
    </row>
    <row r="2053" spans="1:17" hidden="1" x14ac:dyDescent="0.25">
      <c r="A2053" s="114" t="s">
        <v>4837</v>
      </c>
      <c r="B2053" s="115" t="s">
        <v>7484</v>
      </c>
      <c r="C2053" s="116" t="s">
        <v>16</v>
      </c>
      <c r="D2053" s="116">
        <v>0</v>
      </c>
      <c r="E2053" s="136" t="s">
        <v>416</v>
      </c>
      <c r="F2053" s="137" t="str">
        <f t="shared" si="165"/>
        <v/>
      </c>
      <c r="G2053" s="138" t="e">
        <f>IF(A2053&lt;&gt;"",IF(AND(#REF!="Padrão",$H$4=#REF!),BDI!$B$17,IF(AND(#REF!="Padrão",$H$4=#REF!),BDI!#REF!,IF(AND(#REF!="Diferenciado",$H$4=#REF!),BDI!$E$17,IF(AND(#REF!="Diferenciado",$H$4=#REF!),BDI!#REF!,IF(#REF!="ZERO",0))))),"")</f>
        <v>#REF!</v>
      </c>
      <c r="H2053" s="139" t="str">
        <f t="shared" si="166"/>
        <v/>
      </c>
      <c r="I2053" s="137" t="str">
        <f t="shared" si="167"/>
        <v/>
      </c>
      <c r="J2053" s="117"/>
      <c r="K2053" s="116">
        <v>0</v>
      </c>
      <c r="M2053" s="136" t="s">
        <v>416</v>
      </c>
      <c r="N2053" t="e">
        <v>#REF!</v>
      </c>
      <c r="Q2053" t="s">
        <v>416</v>
      </c>
    </row>
    <row r="2054" spans="1:17" hidden="1" x14ac:dyDescent="0.25">
      <c r="A2054" s="114" t="s">
        <v>4838</v>
      </c>
      <c r="B2054" s="115" t="s">
        <v>7485</v>
      </c>
      <c r="C2054" s="116" t="s">
        <v>16</v>
      </c>
      <c r="D2054" s="116">
        <v>0</v>
      </c>
      <c r="E2054" s="136" t="s">
        <v>416</v>
      </c>
      <c r="F2054" s="137" t="str">
        <f t="shared" si="165"/>
        <v/>
      </c>
      <c r="G2054" s="138" t="e">
        <f>IF(A2054&lt;&gt;"",IF(AND(#REF!="Padrão",$H$4=#REF!),BDI!$B$17,IF(AND(#REF!="Padrão",$H$4=#REF!),BDI!#REF!,IF(AND(#REF!="Diferenciado",$H$4=#REF!),BDI!$E$17,IF(AND(#REF!="Diferenciado",$H$4=#REF!),BDI!#REF!,IF(#REF!="ZERO",0))))),"")</f>
        <v>#REF!</v>
      </c>
      <c r="H2054" s="139" t="str">
        <f t="shared" si="166"/>
        <v/>
      </c>
      <c r="I2054" s="137" t="str">
        <f t="shared" si="167"/>
        <v/>
      </c>
      <c r="J2054" s="117"/>
      <c r="K2054" s="116">
        <v>0</v>
      </c>
      <c r="M2054" s="136" t="s">
        <v>416</v>
      </c>
      <c r="N2054" t="e">
        <v>#REF!</v>
      </c>
      <c r="Q2054" t="s">
        <v>416</v>
      </c>
    </row>
    <row r="2055" spans="1:17" hidden="1" x14ac:dyDescent="0.25">
      <c r="A2055" s="114" t="s">
        <v>4839</v>
      </c>
      <c r="B2055" s="115" t="s">
        <v>7482</v>
      </c>
      <c r="C2055" s="116" t="s">
        <v>16</v>
      </c>
      <c r="D2055" s="116">
        <v>0</v>
      </c>
      <c r="E2055" s="136" t="s">
        <v>416</v>
      </c>
      <c r="F2055" s="137" t="str">
        <f t="shared" si="165"/>
        <v/>
      </c>
      <c r="G2055" s="138" t="e">
        <f>IF(A2055&lt;&gt;"",IF(AND(#REF!="Padrão",$H$4=#REF!),BDI!$B$17,IF(AND(#REF!="Padrão",$H$4=#REF!),BDI!#REF!,IF(AND(#REF!="Diferenciado",$H$4=#REF!),BDI!$E$17,IF(AND(#REF!="Diferenciado",$H$4=#REF!),BDI!#REF!,IF(#REF!="ZERO",0))))),"")</f>
        <v>#REF!</v>
      </c>
      <c r="H2055" s="139" t="str">
        <f t="shared" si="166"/>
        <v/>
      </c>
      <c r="I2055" s="137" t="str">
        <f t="shared" si="167"/>
        <v/>
      </c>
      <c r="J2055" s="117"/>
      <c r="K2055" s="116">
        <v>0</v>
      </c>
      <c r="M2055" s="136" t="s">
        <v>416</v>
      </c>
      <c r="N2055" t="e">
        <v>#REF!</v>
      </c>
      <c r="Q2055" t="s">
        <v>416</v>
      </c>
    </row>
    <row r="2056" spans="1:17" hidden="1" x14ac:dyDescent="0.25">
      <c r="A2056" s="114" t="s">
        <v>4840</v>
      </c>
      <c r="B2056" s="115" t="s">
        <v>3715</v>
      </c>
      <c r="C2056" s="116" t="s">
        <v>16</v>
      </c>
      <c r="D2056" s="116">
        <v>0</v>
      </c>
      <c r="E2056" s="136" t="s">
        <v>416</v>
      </c>
      <c r="F2056" s="137" t="str">
        <f t="shared" si="165"/>
        <v/>
      </c>
      <c r="G2056" s="138" t="e">
        <f>IF(A2056&lt;&gt;"",IF(AND(#REF!="Padrão",$H$4=#REF!),BDI!$B$17,IF(AND(#REF!="Padrão",$H$4=#REF!),BDI!#REF!,IF(AND(#REF!="Diferenciado",$H$4=#REF!),BDI!$E$17,IF(AND(#REF!="Diferenciado",$H$4=#REF!),BDI!#REF!,IF(#REF!="ZERO",0))))),"")</f>
        <v>#REF!</v>
      </c>
      <c r="H2056" s="139" t="str">
        <f t="shared" si="166"/>
        <v/>
      </c>
      <c r="I2056" s="137" t="str">
        <f t="shared" si="167"/>
        <v/>
      </c>
      <c r="J2056" s="117"/>
      <c r="K2056" s="116">
        <v>0</v>
      </c>
      <c r="M2056" s="136" t="s">
        <v>416</v>
      </c>
      <c r="N2056" t="e">
        <v>#REF!</v>
      </c>
      <c r="Q2056" t="s">
        <v>416</v>
      </c>
    </row>
    <row r="2057" spans="1:17" hidden="1" x14ac:dyDescent="0.25">
      <c r="A2057" s="114" t="s">
        <v>4841</v>
      </c>
      <c r="B2057" s="115" t="s">
        <v>3716</v>
      </c>
      <c r="C2057" s="116" t="s">
        <v>16</v>
      </c>
      <c r="D2057" s="116">
        <v>0</v>
      </c>
      <c r="E2057" s="136" t="s">
        <v>416</v>
      </c>
      <c r="F2057" s="137" t="str">
        <f t="shared" si="165"/>
        <v/>
      </c>
      <c r="G2057" s="138" t="e">
        <f>IF(A2057&lt;&gt;"",IF(AND(#REF!="Padrão",$H$4=#REF!),BDI!$B$17,IF(AND(#REF!="Padrão",$H$4=#REF!),BDI!#REF!,IF(AND(#REF!="Diferenciado",$H$4=#REF!),BDI!$E$17,IF(AND(#REF!="Diferenciado",$H$4=#REF!),BDI!#REF!,IF(#REF!="ZERO",0))))),"")</f>
        <v>#REF!</v>
      </c>
      <c r="H2057" s="139" t="str">
        <f t="shared" si="166"/>
        <v/>
      </c>
      <c r="I2057" s="137" t="str">
        <f t="shared" si="167"/>
        <v/>
      </c>
      <c r="J2057" s="117"/>
      <c r="K2057" s="116">
        <v>0</v>
      </c>
      <c r="M2057" s="136" t="s">
        <v>416</v>
      </c>
      <c r="N2057" t="e">
        <v>#REF!</v>
      </c>
      <c r="Q2057" t="s">
        <v>416</v>
      </c>
    </row>
    <row r="2058" spans="1:17" hidden="1" x14ac:dyDescent="0.25">
      <c r="A2058" s="114" t="s">
        <v>4842</v>
      </c>
      <c r="B2058" s="115" t="s">
        <v>3717</v>
      </c>
      <c r="C2058" s="116" t="s">
        <v>16</v>
      </c>
      <c r="D2058" s="116">
        <v>0</v>
      </c>
      <c r="E2058" s="136" t="s">
        <v>416</v>
      </c>
      <c r="F2058" s="137" t="str">
        <f t="shared" si="165"/>
        <v/>
      </c>
      <c r="G2058" s="138" t="e">
        <f>IF(A2058&lt;&gt;"",IF(AND(#REF!="Padrão",$H$4=#REF!),BDI!$B$17,IF(AND(#REF!="Padrão",$H$4=#REF!),BDI!#REF!,IF(AND(#REF!="Diferenciado",$H$4=#REF!),BDI!$E$17,IF(AND(#REF!="Diferenciado",$H$4=#REF!),BDI!#REF!,IF(#REF!="ZERO",0))))),"")</f>
        <v>#REF!</v>
      </c>
      <c r="H2058" s="139" t="str">
        <f t="shared" si="166"/>
        <v/>
      </c>
      <c r="I2058" s="137" t="str">
        <f t="shared" si="167"/>
        <v/>
      </c>
      <c r="J2058" s="117"/>
      <c r="K2058" s="116">
        <v>0</v>
      </c>
      <c r="M2058" s="136" t="s">
        <v>416</v>
      </c>
      <c r="N2058" t="e">
        <v>#REF!</v>
      </c>
      <c r="Q2058" t="s">
        <v>416</v>
      </c>
    </row>
    <row r="2059" spans="1:17" hidden="1" x14ac:dyDescent="0.25">
      <c r="A2059" s="114" t="s">
        <v>4843</v>
      </c>
      <c r="B2059" s="115" t="s">
        <v>3718</v>
      </c>
      <c r="C2059" s="116" t="s">
        <v>16</v>
      </c>
      <c r="D2059" s="116">
        <v>0</v>
      </c>
      <c r="E2059" s="136" t="s">
        <v>416</v>
      </c>
      <c r="F2059" s="137" t="str">
        <f t="shared" si="165"/>
        <v/>
      </c>
      <c r="G2059" s="138" t="e">
        <f>IF(A2059&lt;&gt;"",IF(AND(#REF!="Padrão",$H$4=#REF!),BDI!$B$17,IF(AND(#REF!="Padrão",$H$4=#REF!),BDI!#REF!,IF(AND(#REF!="Diferenciado",$H$4=#REF!),BDI!$E$17,IF(AND(#REF!="Diferenciado",$H$4=#REF!),BDI!#REF!,IF(#REF!="ZERO",0))))),"")</f>
        <v>#REF!</v>
      </c>
      <c r="H2059" s="139" t="str">
        <f t="shared" si="166"/>
        <v/>
      </c>
      <c r="I2059" s="137" t="str">
        <f t="shared" si="167"/>
        <v/>
      </c>
      <c r="J2059" s="117"/>
      <c r="K2059" s="116">
        <v>0</v>
      </c>
      <c r="M2059" s="136" t="s">
        <v>416</v>
      </c>
      <c r="N2059" t="e">
        <v>#REF!</v>
      </c>
      <c r="Q2059" t="s">
        <v>416</v>
      </c>
    </row>
    <row r="2060" spans="1:17" hidden="1" x14ac:dyDescent="0.25">
      <c r="A2060" s="114" t="s">
        <v>4844</v>
      </c>
      <c r="B2060" s="115" t="s">
        <v>3719</v>
      </c>
      <c r="C2060" s="116" t="s">
        <v>16</v>
      </c>
      <c r="D2060" s="116">
        <v>0</v>
      </c>
      <c r="E2060" s="136" t="s">
        <v>416</v>
      </c>
      <c r="F2060" s="137" t="str">
        <f t="shared" si="165"/>
        <v/>
      </c>
      <c r="G2060" s="138" t="e">
        <f>IF(A2060&lt;&gt;"",IF(AND(#REF!="Padrão",$H$4=#REF!),BDI!$B$17,IF(AND(#REF!="Padrão",$H$4=#REF!),BDI!#REF!,IF(AND(#REF!="Diferenciado",$H$4=#REF!),BDI!$E$17,IF(AND(#REF!="Diferenciado",$H$4=#REF!),BDI!#REF!,IF(#REF!="ZERO",0))))),"")</f>
        <v>#REF!</v>
      </c>
      <c r="H2060" s="139" t="str">
        <f t="shared" si="166"/>
        <v/>
      </c>
      <c r="I2060" s="137" t="str">
        <f t="shared" si="167"/>
        <v/>
      </c>
      <c r="J2060" s="117"/>
      <c r="K2060" s="116">
        <v>0</v>
      </c>
      <c r="M2060" s="136" t="s">
        <v>416</v>
      </c>
      <c r="N2060" t="e">
        <v>#REF!</v>
      </c>
      <c r="Q2060" t="s">
        <v>416</v>
      </c>
    </row>
    <row r="2061" spans="1:17" hidden="1" x14ac:dyDescent="0.25">
      <c r="A2061" s="114" t="s">
        <v>4845</v>
      </c>
      <c r="B2061" s="115" t="s">
        <v>7481</v>
      </c>
      <c r="C2061" s="116" t="s">
        <v>16</v>
      </c>
      <c r="D2061" s="116">
        <v>0</v>
      </c>
      <c r="E2061" s="136" t="s">
        <v>416</v>
      </c>
      <c r="F2061" s="137" t="str">
        <f t="shared" si="165"/>
        <v/>
      </c>
      <c r="G2061" s="138" t="e">
        <f>IF(A2061&lt;&gt;"",IF(AND(#REF!="Padrão",$H$4=#REF!),BDI!$B$17,IF(AND(#REF!="Padrão",$H$4=#REF!),BDI!#REF!,IF(AND(#REF!="Diferenciado",$H$4=#REF!),BDI!$E$17,IF(AND(#REF!="Diferenciado",$H$4=#REF!),BDI!#REF!,IF(#REF!="ZERO",0))))),"")</f>
        <v>#REF!</v>
      </c>
      <c r="H2061" s="139" t="str">
        <f t="shared" si="166"/>
        <v/>
      </c>
      <c r="I2061" s="137" t="str">
        <f t="shared" si="167"/>
        <v/>
      </c>
      <c r="J2061" s="117"/>
      <c r="K2061" s="116">
        <v>0</v>
      </c>
      <c r="M2061" s="136" t="s">
        <v>416</v>
      </c>
      <c r="N2061" t="e">
        <v>#REF!</v>
      </c>
      <c r="Q2061" t="s">
        <v>416</v>
      </c>
    </row>
    <row r="2062" spans="1:17" hidden="1" x14ac:dyDescent="0.25">
      <c r="A2062" s="114" t="s">
        <v>4846</v>
      </c>
      <c r="B2062" s="115" t="s">
        <v>3720</v>
      </c>
      <c r="C2062" s="116" t="s">
        <v>16</v>
      </c>
      <c r="D2062" s="116">
        <v>0</v>
      </c>
      <c r="E2062" s="136" t="s">
        <v>416</v>
      </c>
      <c r="F2062" s="137" t="str">
        <f t="shared" si="165"/>
        <v/>
      </c>
      <c r="G2062" s="138" t="e">
        <f>IF(A2062&lt;&gt;"",IF(AND(#REF!="Padrão",$H$4=#REF!),BDI!$B$17,IF(AND(#REF!="Padrão",$H$4=#REF!),BDI!#REF!,IF(AND(#REF!="Diferenciado",$H$4=#REF!),BDI!$E$17,IF(AND(#REF!="Diferenciado",$H$4=#REF!),BDI!#REF!,IF(#REF!="ZERO",0))))),"")</f>
        <v>#REF!</v>
      </c>
      <c r="H2062" s="139" t="str">
        <f t="shared" si="166"/>
        <v/>
      </c>
      <c r="I2062" s="137" t="str">
        <f t="shared" si="167"/>
        <v/>
      </c>
      <c r="J2062" s="117"/>
      <c r="K2062" s="116">
        <v>0</v>
      </c>
      <c r="M2062" s="136" t="s">
        <v>416</v>
      </c>
      <c r="N2062" t="e">
        <v>#REF!</v>
      </c>
      <c r="Q2062" t="s">
        <v>416</v>
      </c>
    </row>
    <row r="2063" spans="1:17" hidden="1" x14ac:dyDescent="0.25">
      <c r="A2063" s="114" t="s">
        <v>4847</v>
      </c>
      <c r="B2063" s="115" t="s">
        <v>3721</v>
      </c>
      <c r="C2063" s="116" t="s">
        <v>16</v>
      </c>
      <c r="D2063" s="116">
        <v>0</v>
      </c>
      <c r="E2063" s="136" t="s">
        <v>416</v>
      </c>
      <c r="F2063" s="137" t="str">
        <f t="shared" si="165"/>
        <v/>
      </c>
      <c r="G2063" s="138" t="e">
        <f>IF(A2063&lt;&gt;"",IF(AND(#REF!="Padrão",$H$4=#REF!),BDI!$B$17,IF(AND(#REF!="Padrão",$H$4=#REF!),BDI!#REF!,IF(AND(#REF!="Diferenciado",$H$4=#REF!),BDI!$E$17,IF(AND(#REF!="Diferenciado",$H$4=#REF!),BDI!#REF!,IF(#REF!="ZERO",0))))),"")</f>
        <v>#REF!</v>
      </c>
      <c r="H2063" s="139" t="str">
        <f t="shared" si="166"/>
        <v/>
      </c>
      <c r="I2063" s="137" t="str">
        <f t="shared" si="167"/>
        <v/>
      </c>
      <c r="J2063" s="117"/>
      <c r="K2063" s="116">
        <v>0</v>
      </c>
      <c r="M2063" s="136" t="s">
        <v>416</v>
      </c>
      <c r="N2063" t="e">
        <v>#REF!</v>
      </c>
      <c r="Q2063" t="s">
        <v>416</v>
      </c>
    </row>
    <row r="2064" spans="1:17" hidden="1" x14ac:dyDescent="0.25">
      <c r="A2064" s="114" t="s">
        <v>4848</v>
      </c>
      <c r="B2064" s="115" t="s">
        <v>3722</v>
      </c>
      <c r="C2064" s="116" t="s">
        <v>16</v>
      </c>
      <c r="D2064" s="116">
        <v>0</v>
      </c>
      <c r="E2064" s="136" t="s">
        <v>416</v>
      </c>
      <c r="F2064" s="137" t="str">
        <f t="shared" si="165"/>
        <v/>
      </c>
      <c r="G2064" s="138" t="e">
        <f>IF(A2064&lt;&gt;"",IF(AND(#REF!="Padrão",$H$4=#REF!),BDI!$B$17,IF(AND(#REF!="Padrão",$H$4=#REF!),BDI!#REF!,IF(AND(#REF!="Diferenciado",$H$4=#REF!),BDI!$E$17,IF(AND(#REF!="Diferenciado",$H$4=#REF!),BDI!#REF!,IF(#REF!="ZERO",0))))),"")</f>
        <v>#REF!</v>
      </c>
      <c r="H2064" s="139" t="str">
        <f t="shared" si="166"/>
        <v/>
      </c>
      <c r="I2064" s="137" t="str">
        <f t="shared" si="167"/>
        <v/>
      </c>
      <c r="J2064" s="117"/>
      <c r="K2064" s="116">
        <v>0</v>
      </c>
      <c r="M2064" s="136" t="s">
        <v>416</v>
      </c>
      <c r="N2064" t="e">
        <v>#REF!</v>
      </c>
      <c r="Q2064" t="s">
        <v>416</v>
      </c>
    </row>
    <row r="2065" spans="1:17" hidden="1" x14ac:dyDescent="0.25">
      <c r="A2065" s="114" t="s">
        <v>4849</v>
      </c>
      <c r="B2065" s="115" t="s">
        <v>3723</v>
      </c>
      <c r="C2065" s="116" t="s">
        <v>16</v>
      </c>
      <c r="D2065" s="116">
        <v>0</v>
      </c>
      <c r="E2065" s="136" t="s">
        <v>416</v>
      </c>
      <c r="F2065" s="137" t="str">
        <f t="shared" si="165"/>
        <v/>
      </c>
      <c r="G2065" s="138" t="e">
        <f>IF(A2065&lt;&gt;"",IF(AND(#REF!="Padrão",$H$4=#REF!),BDI!$B$17,IF(AND(#REF!="Padrão",$H$4=#REF!),BDI!#REF!,IF(AND(#REF!="Diferenciado",$H$4=#REF!),BDI!$E$17,IF(AND(#REF!="Diferenciado",$H$4=#REF!),BDI!#REF!,IF(#REF!="ZERO",0))))),"")</f>
        <v>#REF!</v>
      </c>
      <c r="H2065" s="139" t="str">
        <f t="shared" si="166"/>
        <v/>
      </c>
      <c r="I2065" s="137" t="str">
        <f t="shared" si="167"/>
        <v/>
      </c>
      <c r="J2065" s="117"/>
      <c r="K2065" s="116">
        <v>0</v>
      </c>
      <c r="M2065" s="136" t="s">
        <v>416</v>
      </c>
      <c r="N2065" t="e">
        <v>#REF!</v>
      </c>
      <c r="Q2065" t="s">
        <v>416</v>
      </c>
    </row>
    <row r="2066" spans="1:17" hidden="1" x14ac:dyDescent="0.25">
      <c r="A2066" s="114" t="s">
        <v>4850</v>
      </c>
      <c r="B2066" s="115" t="s">
        <v>3724</v>
      </c>
      <c r="C2066" s="116" t="s">
        <v>16</v>
      </c>
      <c r="D2066" s="116">
        <v>0</v>
      </c>
      <c r="E2066" s="136" t="s">
        <v>416</v>
      </c>
      <c r="F2066" s="137" t="str">
        <f t="shared" si="165"/>
        <v/>
      </c>
      <c r="G2066" s="138" t="e">
        <f>IF(A2066&lt;&gt;"",IF(AND(#REF!="Padrão",$H$4=#REF!),BDI!$B$17,IF(AND(#REF!="Padrão",$H$4=#REF!),BDI!#REF!,IF(AND(#REF!="Diferenciado",$H$4=#REF!),BDI!$E$17,IF(AND(#REF!="Diferenciado",$H$4=#REF!),BDI!#REF!,IF(#REF!="ZERO",0))))),"")</f>
        <v>#REF!</v>
      </c>
      <c r="H2066" s="139" t="str">
        <f t="shared" si="166"/>
        <v/>
      </c>
      <c r="I2066" s="137" t="str">
        <f t="shared" si="167"/>
        <v/>
      </c>
      <c r="J2066" s="117"/>
      <c r="K2066" s="116">
        <v>0</v>
      </c>
      <c r="M2066" s="136" t="s">
        <v>416</v>
      </c>
      <c r="N2066" t="e">
        <v>#REF!</v>
      </c>
      <c r="Q2066" t="s">
        <v>416</v>
      </c>
    </row>
    <row r="2067" spans="1:17" hidden="1" x14ac:dyDescent="0.25">
      <c r="A2067" s="114" t="s">
        <v>4851</v>
      </c>
      <c r="B2067" s="115" t="s">
        <v>3725</v>
      </c>
      <c r="C2067" s="116" t="s">
        <v>16</v>
      </c>
      <c r="D2067" s="116">
        <v>0</v>
      </c>
      <c r="E2067" s="136" t="s">
        <v>416</v>
      </c>
      <c r="F2067" s="137" t="str">
        <f t="shared" si="165"/>
        <v/>
      </c>
      <c r="G2067" s="138" t="e">
        <f>IF(A2067&lt;&gt;"",IF(AND(#REF!="Padrão",$H$4=#REF!),BDI!$B$17,IF(AND(#REF!="Padrão",$H$4=#REF!),BDI!#REF!,IF(AND(#REF!="Diferenciado",$H$4=#REF!),BDI!$E$17,IF(AND(#REF!="Diferenciado",$H$4=#REF!),BDI!#REF!,IF(#REF!="ZERO",0))))),"")</f>
        <v>#REF!</v>
      </c>
      <c r="H2067" s="139" t="str">
        <f t="shared" si="166"/>
        <v/>
      </c>
      <c r="I2067" s="137" t="str">
        <f t="shared" si="167"/>
        <v/>
      </c>
      <c r="J2067" s="117"/>
      <c r="K2067" s="116">
        <v>0</v>
      </c>
      <c r="M2067" s="136" t="s">
        <v>416</v>
      </c>
      <c r="N2067" t="e">
        <v>#REF!</v>
      </c>
      <c r="Q2067" t="s">
        <v>416</v>
      </c>
    </row>
    <row r="2068" spans="1:17" hidden="1" x14ac:dyDescent="0.25">
      <c r="A2068" s="114" t="s">
        <v>4852</v>
      </c>
      <c r="B2068" s="115" t="s">
        <v>3726</v>
      </c>
      <c r="C2068" s="116" t="s">
        <v>16</v>
      </c>
      <c r="D2068" s="116">
        <v>0</v>
      </c>
      <c r="E2068" s="136" t="s">
        <v>416</v>
      </c>
      <c r="F2068" s="137" t="str">
        <f t="shared" si="165"/>
        <v/>
      </c>
      <c r="G2068" s="138" t="e">
        <f>IF(A2068&lt;&gt;"",IF(AND(#REF!="Padrão",$H$4=#REF!),BDI!$B$17,IF(AND(#REF!="Padrão",$H$4=#REF!),BDI!#REF!,IF(AND(#REF!="Diferenciado",$H$4=#REF!),BDI!$E$17,IF(AND(#REF!="Diferenciado",$H$4=#REF!),BDI!#REF!,IF(#REF!="ZERO",0))))),"")</f>
        <v>#REF!</v>
      </c>
      <c r="H2068" s="139" t="str">
        <f t="shared" si="166"/>
        <v/>
      </c>
      <c r="I2068" s="137" t="str">
        <f t="shared" si="167"/>
        <v/>
      </c>
      <c r="J2068" s="117"/>
      <c r="K2068" s="116">
        <v>0</v>
      </c>
      <c r="M2068" s="136" t="s">
        <v>416</v>
      </c>
      <c r="N2068" t="e">
        <v>#REF!</v>
      </c>
      <c r="Q2068" t="s">
        <v>416</v>
      </c>
    </row>
    <row r="2069" spans="1:17" hidden="1" x14ac:dyDescent="0.25">
      <c r="A2069" s="114" t="s">
        <v>4853</v>
      </c>
      <c r="B2069" s="115" t="s">
        <v>3727</v>
      </c>
      <c r="C2069" s="116" t="s">
        <v>69</v>
      </c>
      <c r="D2069" s="116">
        <v>0</v>
      </c>
      <c r="E2069" s="136" t="s">
        <v>416</v>
      </c>
      <c r="F2069" s="137" t="str">
        <f t="shared" si="165"/>
        <v/>
      </c>
      <c r="G2069" s="138" t="e">
        <f>IF(A2069&lt;&gt;"",IF(AND(#REF!="Padrão",$H$4=#REF!),BDI!$B$17,IF(AND(#REF!="Padrão",$H$4=#REF!),BDI!#REF!,IF(AND(#REF!="Diferenciado",$H$4=#REF!),BDI!$E$17,IF(AND(#REF!="Diferenciado",$H$4=#REF!),BDI!#REF!,IF(#REF!="ZERO",0))))),"")</f>
        <v>#REF!</v>
      </c>
      <c r="H2069" s="139" t="str">
        <f t="shared" si="166"/>
        <v/>
      </c>
      <c r="I2069" s="137" t="str">
        <f t="shared" si="167"/>
        <v/>
      </c>
      <c r="J2069" s="117"/>
      <c r="K2069" s="116">
        <v>0</v>
      </c>
      <c r="M2069" s="136" t="s">
        <v>416</v>
      </c>
      <c r="N2069" t="e">
        <v>#REF!</v>
      </c>
      <c r="Q2069" t="s">
        <v>416</v>
      </c>
    </row>
    <row r="2070" spans="1:17" hidden="1" x14ac:dyDescent="0.25">
      <c r="A2070" s="114" t="s">
        <v>4854</v>
      </c>
      <c r="B2070" s="115" t="s">
        <v>3728</v>
      </c>
      <c r="C2070" s="116" t="s">
        <v>16</v>
      </c>
      <c r="D2070" s="116">
        <v>0</v>
      </c>
      <c r="E2070" s="136" t="s">
        <v>416</v>
      </c>
      <c r="F2070" s="137" t="str">
        <f t="shared" si="165"/>
        <v/>
      </c>
      <c r="G2070" s="138" t="e">
        <f>IF(A2070&lt;&gt;"",IF(AND(#REF!="Padrão",$H$4=#REF!),BDI!$B$17,IF(AND(#REF!="Padrão",$H$4=#REF!),BDI!#REF!,IF(AND(#REF!="Diferenciado",$H$4=#REF!),BDI!$E$17,IF(AND(#REF!="Diferenciado",$H$4=#REF!),BDI!#REF!,IF(#REF!="ZERO",0))))),"")</f>
        <v>#REF!</v>
      </c>
      <c r="H2070" s="139" t="str">
        <f t="shared" si="166"/>
        <v/>
      </c>
      <c r="I2070" s="137" t="str">
        <f t="shared" si="167"/>
        <v/>
      </c>
      <c r="J2070" s="117"/>
      <c r="K2070" s="116">
        <v>0</v>
      </c>
      <c r="M2070" s="136" t="s">
        <v>416</v>
      </c>
      <c r="N2070" t="e">
        <v>#REF!</v>
      </c>
      <c r="Q2070" t="s">
        <v>416</v>
      </c>
    </row>
    <row r="2071" spans="1:17" hidden="1" x14ac:dyDescent="0.25">
      <c r="A2071" s="114" t="s">
        <v>4855</v>
      </c>
      <c r="B2071" s="115" t="s">
        <v>3729</v>
      </c>
      <c r="C2071" s="116" t="s">
        <v>16</v>
      </c>
      <c r="D2071" s="116">
        <v>0</v>
      </c>
      <c r="E2071" s="136" t="s">
        <v>416</v>
      </c>
      <c r="F2071" s="137" t="str">
        <f t="shared" si="165"/>
        <v/>
      </c>
      <c r="G2071" s="138" t="e">
        <f>IF(A2071&lt;&gt;"",IF(AND(#REF!="Padrão",$H$4=#REF!),BDI!$B$17,IF(AND(#REF!="Padrão",$H$4=#REF!),BDI!#REF!,IF(AND(#REF!="Diferenciado",$H$4=#REF!),BDI!$E$17,IF(AND(#REF!="Diferenciado",$H$4=#REF!),BDI!#REF!,IF(#REF!="ZERO",0))))),"")</f>
        <v>#REF!</v>
      </c>
      <c r="H2071" s="139" t="str">
        <f t="shared" si="166"/>
        <v/>
      </c>
      <c r="I2071" s="137" t="str">
        <f t="shared" si="167"/>
        <v/>
      </c>
      <c r="J2071" s="117"/>
      <c r="K2071" s="116">
        <v>0</v>
      </c>
      <c r="M2071" s="136" t="s">
        <v>416</v>
      </c>
      <c r="N2071" t="e">
        <v>#REF!</v>
      </c>
      <c r="Q2071" t="s">
        <v>416</v>
      </c>
    </row>
    <row r="2072" spans="1:17" hidden="1" x14ac:dyDescent="0.25">
      <c r="A2072" s="114" t="s">
        <v>4856</v>
      </c>
      <c r="B2072" s="115" t="s">
        <v>3730</v>
      </c>
      <c r="C2072" s="116" t="s">
        <v>16</v>
      </c>
      <c r="D2072" s="116">
        <v>0</v>
      </c>
      <c r="E2072" s="136" t="s">
        <v>416</v>
      </c>
      <c r="F2072" s="137" t="str">
        <f t="shared" si="165"/>
        <v/>
      </c>
      <c r="G2072" s="138" t="e">
        <f>IF(A2072&lt;&gt;"",IF(AND(#REF!="Padrão",$H$4=#REF!),BDI!$B$17,IF(AND(#REF!="Padrão",$H$4=#REF!),BDI!#REF!,IF(AND(#REF!="Diferenciado",$H$4=#REF!),BDI!$E$17,IF(AND(#REF!="Diferenciado",$H$4=#REF!),BDI!#REF!,IF(#REF!="ZERO",0))))),"")</f>
        <v>#REF!</v>
      </c>
      <c r="H2072" s="139" t="str">
        <f t="shared" si="166"/>
        <v/>
      </c>
      <c r="I2072" s="137" t="str">
        <f t="shared" si="167"/>
        <v/>
      </c>
      <c r="J2072" s="117"/>
      <c r="K2072" s="116">
        <v>0</v>
      </c>
      <c r="M2072" s="136" t="s">
        <v>416</v>
      </c>
      <c r="N2072" t="e">
        <v>#REF!</v>
      </c>
      <c r="Q2072" t="s">
        <v>416</v>
      </c>
    </row>
    <row r="2073" spans="1:17" hidden="1" x14ac:dyDescent="0.25">
      <c r="A2073" s="114" t="s">
        <v>4857</v>
      </c>
      <c r="B2073" s="115" t="s">
        <v>3731</v>
      </c>
      <c r="C2073" s="116" t="s">
        <v>16</v>
      </c>
      <c r="D2073" s="116">
        <v>0</v>
      </c>
      <c r="E2073" s="136" t="s">
        <v>416</v>
      </c>
      <c r="F2073" s="137" t="str">
        <f t="shared" si="165"/>
        <v/>
      </c>
      <c r="G2073" s="138" t="e">
        <f>IF(A2073&lt;&gt;"",IF(AND(#REF!="Padrão",$H$4=#REF!),BDI!$B$17,IF(AND(#REF!="Padrão",$H$4=#REF!),BDI!#REF!,IF(AND(#REF!="Diferenciado",$H$4=#REF!),BDI!$E$17,IF(AND(#REF!="Diferenciado",$H$4=#REF!),BDI!#REF!,IF(#REF!="ZERO",0))))),"")</f>
        <v>#REF!</v>
      </c>
      <c r="H2073" s="139" t="str">
        <f t="shared" si="166"/>
        <v/>
      </c>
      <c r="I2073" s="137" t="str">
        <f t="shared" si="167"/>
        <v/>
      </c>
      <c r="J2073" s="117"/>
      <c r="K2073" s="116">
        <v>0</v>
      </c>
      <c r="M2073" s="136" t="s">
        <v>416</v>
      </c>
      <c r="N2073" t="e">
        <v>#REF!</v>
      </c>
      <c r="Q2073" t="s">
        <v>416</v>
      </c>
    </row>
    <row r="2074" spans="1:17" hidden="1" x14ac:dyDescent="0.25">
      <c r="A2074" s="114" t="s">
        <v>4858</v>
      </c>
      <c r="B2074" s="115" t="s">
        <v>3732</v>
      </c>
      <c r="C2074" s="116" t="s">
        <v>16</v>
      </c>
      <c r="D2074" s="116">
        <v>0</v>
      </c>
      <c r="E2074" s="136" t="s">
        <v>416</v>
      </c>
      <c r="F2074" s="137" t="str">
        <f t="shared" si="165"/>
        <v/>
      </c>
      <c r="G2074" s="138" t="e">
        <f>IF(A2074&lt;&gt;"",IF(AND(#REF!="Padrão",$H$4=#REF!),BDI!$B$17,IF(AND(#REF!="Padrão",$H$4=#REF!),BDI!#REF!,IF(AND(#REF!="Diferenciado",$H$4=#REF!),BDI!$E$17,IF(AND(#REF!="Diferenciado",$H$4=#REF!),BDI!#REF!,IF(#REF!="ZERO",0))))),"")</f>
        <v>#REF!</v>
      </c>
      <c r="H2074" s="139" t="str">
        <f t="shared" si="166"/>
        <v/>
      </c>
      <c r="I2074" s="137" t="str">
        <f t="shared" si="167"/>
        <v/>
      </c>
      <c r="J2074" s="117"/>
      <c r="K2074" s="116">
        <v>0</v>
      </c>
      <c r="M2074" s="136" t="s">
        <v>416</v>
      </c>
      <c r="N2074" t="e">
        <v>#REF!</v>
      </c>
      <c r="Q2074" t="s">
        <v>416</v>
      </c>
    </row>
    <row r="2075" spans="1:17" hidden="1" x14ac:dyDescent="0.25">
      <c r="A2075" s="114" t="s">
        <v>4859</v>
      </c>
      <c r="B2075" s="115" t="s">
        <v>3733</v>
      </c>
      <c r="C2075" s="116" t="s">
        <v>16</v>
      </c>
      <c r="D2075" s="116">
        <v>0</v>
      </c>
      <c r="E2075" s="136" t="s">
        <v>416</v>
      </c>
      <c r="F2075" s="137" t="str">
        <f t="shared" si="165"/>
        <v/>
      </c>
      <c r="G2075" s="138" t="e">
        <f>IF(A2075&lt;&gt;"",IF(AND(#REF!="Padrão",$H$4=#REF!),BDI!$B$17,IF(AND(#REF!="Padrão",$H$4=#REF!),BDI!#REF!,IF(AND(#REF!="Diferenciado",$H$4=#REF!),BDI!$E$17,IF(AND(#REF!="Diferenciado",$H$4=#REF!),BDI!#REF!,IF(#REF!="ZERO",0))))),"")</f>
        <v>#REF!</v>
      </c>
      <c r="H2075" s="139" t="str">
        <f t="shared" si="166"/>
        <v/>
      </c>
      <c r="I2075" s="137" t="str">
        <f t="shared" si="167"/>
        <v/>
      </c>
      <c r="J2075" s="117"/>
      <c r="K2075" s="116">
        <v>0</v>
      </c>
      <c r="M2075" s="136" t="s">
        <v>416</v>
      </c>
      <c r="N2075" t="e">
        <v>#REF!</v>
      </c>
      <c r="Q2075" t="s">
        <v>416</v>
      </c>
    </row>
    <row r="2076" spans="1:17" hidden="1" x14ac:dyDescent="0.25">
      <c r="A2076" s="114" t="s">
        <v>4860</v>
      </c>
      <c r="B2076" s="115" t="s">
        <v>3734</v>
      </c>
      <c r="C2076" s="116" t="s">
        <v>16</v>
      </c>
      <c r="D2076" s="116">
        <v>0</v>
      </c>
      <c r="E2076" s="136" t="s">
        <v>416</v>
      </c>
      <c r="F2076" s="137" t="str">
        <f t="shared" si="165"/>
        <v/>
      </c>
      <c r="G2076" s="138" t="e">
        <f>IF(A2076&lt;&gt;"",IF(AND(#REF!="Padrão",$H$4=#REF!),BDI!$B$17,IF(AND(#REF!="Padrão",$H$4=#REF!),BDI!#REF!,IF(AND(#REF!="Diferenciado",$H$4=#REF!),BDI!$E$17,IF(AND(#REF!="Diferenciado",$H$4=#REF!),BDI!#REF!,IF(#REF!="ZERO",0))))),"")</f>
        <v>#REF!</v>
      </c>
      <c r="H2076" s="139" t="str">
        <f t="shared" si="166"/>
        <v/>
      </c>
      <c r="I2076" s="137" t="str">
        <f t="shared" si="167"/>
        <v/>
      </c>
      <c r="J2076" s="117"/>
      <c r="K2076" s="116">
        <v>0</v>
      </c>
      <c r="M2076" s="136" t="s">
        <v>416</v>
      </c>
      <c r="N2076" t="e">
        <v>#REF!</v>
      </c>
      <c r="Q2076" t="s">
        <v>416</v>
      </c>
    </row>
    <row r="2077" spans="1:17" hidden="1" x14ac:dyDescent="0.25">
      <c r="A2077" s="114" t="s">
        <v>4861</v>
      </c>
      <c r="B2077" s="115" t="s">
        <v>3735</v>
      </c>
      <c r="C2077" s="116" t="s">
        <v>16</v>
      </c>
      <c r="D2077" s="116">
        <v>0</v>
      </c>
      <c r="E2077" s="136" t="s">
        <v>416</v>
      </c>
      <c r="F2077" s="137" t="str">
        <f t="shared" si="165"/>
        <v/>
      </c>
      <c r="G2077" s="138" t="e">
        <f>IF(A2077&lt;&gt;"",IF(AND(#REF!="Padrão",$H$4=#REF!),BDI!$B$17,IF(AND(#REF!="Padrão",$H$4=#REF!),BDI!#REF!,IF(AND(#REF!="Diferenciado",$H$4=#REF!),BDI!$E$17,IF(AND(#REF!="Diferenciado",$H$4=#REF!),BDI!#REF!,IF(#REF!="ZERO",0))))),"")</f>
        <v>#REF!</v>
      </c>
      <c r="H2077" s="139" t="str">
        <f t="shared" si="166"/>
        <v/>
      </c>
      <c r="I2077" s="137" t="str">
        <f t="shared" si="167"/>
        <v/>
      </c>
      <c r="J2077" s="117"/>
      <c r="K2077" s="116">
        <v>0</v>
      </c>
      <c r="M2077" s="136" t="s">
        <v>416</v>
      </c>
      <c r="N2077" t="e">
        <v>#REF!</v>
      </c>
      <c r="Q2077" t="s">
        <v>416</v>
      </c>
    </row>
    <row r="2078" spans="1:17" hidden="1" x14ac:dyDescent="0.25">
      <c r="A2078" s="114" t="s">
        <v>4862</v>
      </c>
      <c r="B2078" s="115" t="s">
        <v>3736</v>
      </c>
      <c r="C2078" s="116" t="s">
        <v>16</v>
      </c>
      <c r="D2078" s="116">
        <v>0</v>
      </c>
      <c r="E2078" s="136" t="s">
        <v>416</v>
      </c>
      <c r="F2078" s="137" t="str">
        <f t="shared" si="165"/>
        <v/>
      </c>
      <c r="G2078" s="138" t="e">
        <f>IF(A2078&lt;&gt;"",IF(AND(#REF!="Padrão",$H$4=#REF!),BDI!$B$17,IF(AND(#REF!="Padrão",$H$4=#REF!),BDI!#REF!,IF(AND(#REF!="Diferenciado",$H$4=#REF!),BDI!$E$17,IF(AND(#REF!="Diferenciado",$H$4=#REF!),BDI!#REF!,IF(#REF!="ZERO",0))))),"")</f>
        <v>#REF!</v>
      </c>
      <c r="H2078" s="139" t="str">
        <f t="shared" si="166"/>
        <v/>
      </c>
      <c r="I2078" s="137" t="str">
        <f t="shared" si="167"/>
        <v/>
      </c>
      <c r="J2078" s="117"/>
      <c r="K2078" s="116">
        <v>0</v>
      </c>
      <c r="M2078" s="136" t="s">
        <v>416</v>
      </c>
      <c r="N2078" t="e">
        <v>#REF!</v>
      </c>
      <c r="Q2078" t="s">
        <v>416</v>
      </c>
    </row>
    <row r="2079" spans="1:17" hidden="1" x14ac:dyDescent="0.25">
      <c r="A2079" s="114" t="s">
        <v>4863</v>
      </c>
      <c r="B2079" s="115" t="s">
        <v>3737</v>
      </c>
      <c r="C2079" s="116" t="s">
        <v>16</v>
      </c>
      <c r="D2079" s="116">
        <v>0</v>
      </c>
      <c r="E2079" s="136" t="s">
        <v>416</v>
      </c>
      <c r="F2079" s="137" t="str">
        <f t="shared" si="165"/>
        <v/>
      </c>
      <c r="G2079" s="138" t="e">
        <f>IF(A2079&lt;&gt;"",IF(AND(#REF!="Padrão",$H$4=#REF!),BDI!$B$17,IF(AND(#REF!="Padrão",$H$4=#REF!),BDI!#REF!,IF(AND(#REF!="Diferenciado",$H$4=#REF!),BDI!$E$17,IF(AND(#REF!="Diferenciado",$H$4=#REF!),BDI!#REF!,IF(#REF!="ZERO",0))))),"")</f>
        <v>#REF!</v>
      </c>
      <c r="H2079" s="139" t="str">
        <f t="shared" si="166"/>
        <v/>
      </c>
      <c r="I2079" s="137" t="str">
        <f t="shared" si="167"/>
        <v/>
      </c>
      <c r="J2079" s="117"/>
      <c r="K2079" s="116">
        <v>0</v>
      </c>
      <c r="M2079" s="136" t="s">
        <v>416</v>
      </c>
      <c r="N2079" t="e">
        <v>#REF!</v>
      </c>
      <c r="Q2079" t="s">
        <v>416</v>
      </c>
    </row>
    <row r="2080" spans="1:17" hidden="1" x14ac:dyDescent="0.25">
      <c r="A2080" s="114" t="s">
        <v>4864</v>
      </c>
      <c r="B2080" s="115" t="s">
        <v>3738</v>
      </c>
      <c r="C2080" s="116" t="s">
        <v>16</v>
      </c>
      <c r="D2080" s="116">
        <v>0</v>
      </c>
      <c r="E2080" s="136" t="s">
        <v>416</v>
      </c>
      <c r="F2080" s="137" t="str">
        <f t="shared" si="165"/>
        <v/>
      </c>
      <c r="G2080" s="138" t="e">
        <f>IF(A2080&lt;&gt;"",IF(AND(#REF!="Padrão",$H$4=#REF!),BDI!$B$17,IF(AND(#REF!="Padrão",$H$4=#REF!),BDI!#REF!,IF(AND(#REF!="Diferenciado",$H$4=#REF!),BDI!$E$17,IF(AND(#REF!="Diferenciado",$H$4=#REF!),BDI!#REF!,IF(#REF!="ZERO",0))))),"")</f>
        <v>#REF!</v>
      </c>
      <c r="H2080" s="139" t="str">
        <f t="shared" si="166"/>
        <v/>
      </c>
      <c r="I2080" s="137" t="str">
        <f t="shared" si="167"/>
        <v/>
      </c>
      <c r="J2080" s="117"/>
      <c r="K2080" s="116">
        <v>0</v>
      </c>
      <c r="M2080" s="136" t="s">
        <v>416</v>
      </c>
      <c r="N2080" t="e">
        <v>#REF!</v>
      </c>
      <c r="Q2080" t="s">
        <v>416</v>
      </c>
    </row>
    <row r="2081" spans="1:17" hidden="1" x14ac:dyDescent="0.25">
      <c r="A2081" s="114" t="s">
        <v>4865</v>
      </c>
      <c r="B2081" s="115" t="s">
        <v>3739</v>
      </c>
      <c r="C2081" s="116" t="s">
        <v>16</v>
      </c>
      <c r="D2081" s="116">
        <v>0</v>
      </c>
      <c r="E2081" s="136">
        <f ca="1">OFFSET(INDEX(Composições!A:J,MATCH(Orçamentária!A2081,Composições!A:A,0),8),2,0)</f>
        <v>1.216</v>
      </c>
      <c r="F2081" s="137">
        <f t="shared" ca="1" si="165"/>
        <v>0</v>
      </c>
      <c r="G2081" s="138" t="e">
        <f>IF(A2081&lt;&gt;"",IF(AND(#REF!="Padrão",$H$4=#REF!),BDI!$B$17,IF(AND(#REF!="Padrão",$H$4=#REF!),BDI!#REF!,IF(AND(#REF!="Diferenciado",$H$4=#REF!),BDI!$E$17,IF(AND(#REF!="Diferenciado",$H$4=#REF!),BDI!#REF!,IF(#REF!="ZERO",0))))),"")</f>
        <v>#REF!</v>
      </c>
      <c r="H2081" s="139" t="e">
        <f t="shared" ca="1" si="166"/>
        <v>#REF!</v>
      </c>
      <c r="I2081" s="137" t="e">
        <f t="shared" ca="1" si="167"/>
        <v>#REF!</v>
      </c>
      <c r="J2081" s="117"/>
      <c r="K2081" s="116">
        <v>0</v>
      </c>
      <c r="M2081" s="136" t="e">
        <f ca="1">OFFSET(INDEX([1]Composições!I:R,MATCH([1]Orçamentária!I2081,[1]Composições!I:I,0),8),2,0)</f>
        <v>#REF!</v>
      </c>
      <c r="N2081" t="e">
        <v>#REF!</v>
      </c>
      <c r="Q2081" t="e">
        <v>#REF!</v>
      </c>
    </row>
    <row r="2082" spans="1:17" hidden="1" x14ac:dyDescent="0.25">
      <c r="A2082" s="114" t="s">
        <v>4866</v>
      </c>
      <c r="B2082" s="115" t="s">
        <v>3740</v>
      </c>
      <c r="C2082" s="116" t="s">
        <v>16</v>
      </c>
      <c r="D2082" s="116">
        <v>0</v>
      </c>
      <c r="E2082" s="136" t="s">
        <v>416</v>
      </c>
      <c r="F2082" s="137" t="str">
        <f t="shared" si="165"/>
        <v/>
      </c>
      <c r="G2082" s="138" t="e">
        <f>IF(A2082&lt;&gt;"",IF(AND(#REF!="Padrão",$H$4=#REF!),BDI!$B$17,IF(AND(#REF!="Padrão",$H$4=#REF!),BDI!#REF!,IF(AND(#REF!="Diferenciado",$H$4=#REF!),BDI!$E$17,IF(AND(#REF!="Diferenciado",$H$4=#REF!),BDI!#REF!,IF(#REF!="ZERO",0))))),"")</f>
        <v>#REF!</v>
      </c>
      <c r="H2082" s="139" t="str">
        <f t="shared" si="166"/>
        <v/>
      </c>
      <c r="I2082" s="137" t="str">
        <f t="shared" si="167"/>
        <v/>
      </c>
      <c r="J2082" s="117"/>
      <c r="K2082" s="116">
        <v>0</v>
      </c>
      <c r="M2082" s="136" t="s">
        <v>416</v>
      </c>
      <c r="N2082" t="e">
        <v>#REF!</v>
      </c>
      <c r="Q2082" t="s">
        <v>416</v>
      </c>
    </row>
    <row r="2083" spans="1:17" hidden="1" x14ac:dyDescent="0.25">
      <c r="A2083" s="114" t="s">
        <v>4867</v>
      </c>
      <c r="B2083" s="115" t="s">
        <v>3741</v>
      </c>
      <c r="C2083" s="116" t="s">
        <v>16</v>
      </c>
      <c r="D2083" s="116">
        <v>0</v>
      </c>
      <c r="E2083" s="136" t="s">
        <v>416</v>
      </c>
      <c r="F2083" s="137" t="str">
        <f t="shared" si="165"/>
        <v/>
      </c>
      <c r="G2083" s="138" t="e">
        <f>IF(A2083&lt;&gt;"",IF(AND(#REF!="Padrão",$H$4=#REF!),BDI!$B$17,IF(AND(#REF!="Padrão",$H$4=#REF!),BDI!#REF!,IF(AND(#REF!="Diferenciado",$H$4=#REF!),BDI!$E$17,IF(AND(#REF!="Diferenciado",$H$4=#REF!),BDI!#REF!,IF(#REF!="ZERO",0))))),"")</f>
        <v>#REF!</v>
      </c>
      <c r="H2083" s="139" t="str">
        <f t="shared" si="166"/>
        <v/>
      </c>
      <c r="I2083" s="137" t="str">
        <f t="shared" si="167"/>
        <v/>
      </c>
      <c r="J2083" s="117"/>
      <c r="K2083" s="116">
        <v>0</v>
      </c>
      <c r="M2083" s="136" t="s">
        <v>416</v>
      </c>
      <c r="N2083" t="e">
        <v>#REF!</v>
      </c>
      <c r="Q2083" t="s">
        <v>416</v>
      </c>
    </row>
    <row r="2084" spans="1:17" hidden="1" x14ac:dyDescent="0.25">
      <c r="A2084" s="114" t="s">
        <v>4868</v>
      </c>
      <c r="B2084" s="115" t="s">
        <v>3742</v>
      </c>
      <c r="C2084" s="116" t="s">
        <v>69</v>
      </c>
      <c r="D2084" s="116">
        <v>0</v>
      </c>
      <c r="E2084" s="136" t="s">
        <v>416</v>
      </c>
      <c r="F2084" s="137" t="str">
        <f t="shared" si="165"/>
        <v/>
      </c>
      <c r="G2084" s="138" t="e">
        <f>IF(A2084&lt;&gt;"",IF(AND(#REF!="Padrão",$H$4=#REF!),BDI!$B$17,IF(AND(#REF!="Padrão",$H$4=#REF!),BDI!#REF!,IF(AND(#REF!="Diferenciado",$H$4=#REF!),BDI!$E$17,IF(AND(#REF!="Diferenciado",$H$4=#REF!),BDI!#REF!,IF(#REF!="ZERO",0))))),"")</f>
        <v>#REF!</v>
      </c>
      <c r="H2084" s="139" t="str">
        <f t="shared" si="166"/>
        <v/>
      </c>
      <c r="I2084" s="137" t="str">
        <f t="shared" si="167"/>
        <v/>
      </c>
      <c r="J2084" s="117"/>
      <c r="K2084" s="116">
        <v>0</v>
      </c>
      <c r="M2084" s="136" t="s">
        <v>416</v>
      </c>
      <c r="N2084" t="e">
        <v>#REF!</v>
      </c>
      <c r="Q2084" t="s">
        <v>416</v>
      </c>
    </row>
    <row r="2085" spans="1:17" hidden="1" x14ac:dyDescent="0.25">
      <c r="A2085" s="114" t="s">
        <v>4869</v>
      </c>
      <c r="B2085" s="115" t="s">
        <v>3743</v>
      </c>
      <c r="C2085" s="116" t="s">
        <v>69</v>
      </c>
      <c r="D2085" s="116">
        <v>0</v>
      </c>
      <c r="E2085" s="136" t="s">
        <v>416</v>
      </c>
      <c r="F2085" s="137" t="str">
        <f t="shared" si="165"/>
        <v/>
      </c>
      <c r="G2085" s="138" t="e">
        <f>IF(A2085&lt;&gt;"",IF(AND(#REF!="Padrão",$H$4=#REF!),BDI!$B$17,IF(AND(#REF!="Padrão",$H$4=#REF!),BDI!#REF!,IF(AND(#REF!="Diferenciado",$H$4=#REF!),BDI!$E$17,IF(AND(#REF!="Diferenciado",$H$4=#REF!),BDI!#REF!,IF(#REF!="ZERO",0))))),"")</f>
        <v>#REF!</v>
      </c>
      <c r="H2085" s="139" t="str">
        <f t="shared" si="166"/>
        <v/>
      </c>
      <c r="I2085" s="137" t="str">
        <f t="shared" si="167"/>
        <v/>
      </c>
      <c r="J2085" s="117"/>
      <c r="K2085" s="116">
        <v>0</v>
      </c>
      <c r="M2085" s="136" t="s">
        <v>416</v>
      </c>
      <c r="N2085" t="e">
        <v>#REF!</v>
      </c>
      <c r="Q2085" t="s">
        <v>416</v>
      </c>
    </row>
    <row r="2086" spans="1:17" hidden="1" x14ac:dyDescent="0.25">
      <c r="A2086" s="114" t="s">
        <v>4870</v>
      </c>
      <c r="B2086" s="115" t="s">
        <v>3744</v>
      </c>
      <c r="C2086" s="116" t="s">
        <v>69</v>
      </c>
      <c r="D2086" s="116">
        <v>0</v>
      </c>
      <c r="E2086" s="136" t="s">
        <v>416</v>
      </c>
      <c r="F2086" s="137" t="str">
        <f t="shared" si="165"/>
        <v/>
      </c>
      <c r="G2086" s="138" t="e">
        <f>IF(A2086&lt;&gt;"",IF(AND(#REF!="Padrão",$H$4=#REF!),BDI!$B$17,IF(AND(#REF!="Padrão",$H$4=#REF!),BDI!#REF!,IF(AND(#REF!="Diferenciado",$H$4=#REF!),BDI!$E$17,IF(AND(#REF!="Diferenciado",$H$4=#REF!),BDI!#REF!,IF(#REF!="ZERO",0))))),"")</f>
        <v>#REF!</v>
      </c>
      <c r="H2086" s="139" t="str">
        <f t="shared" si="166"/>
        <v/>
      </c>
      <c r="I2086" s="137" t="str">
        <f t="shared" si="167"/>
        <v/>
      </c>
      <c r="J2086" s="117"/>
      <c r="K2086" s="116">
        <v>0</v>
      </c>
      <c r="M2086" s="136" t="s">
        <v>416</v>
      </c>
      <c r="N2086" t="e">
        <v>#REF!</v>
      </c>
      <c r="Q2086" t="s">
        <v>416</v>
      </c>
    </row>
    <row r="2087" spans="1:17" hidden="1" x14ac:dyDescent="0.25">
      <c r="A2087" s="114" t="s">
        <v>4871</v>
      </c>
      <c r="B2087" s="115" t="s">
        <v>7477</v>
      </c>
      <c r="C2087" s="116" t="s">
        <v>16</v>
      </c>
      <c r="D2087" s="116">
        <v>0</v>
      </c>
      <c r="E2087" s="136">
        <f ca="1">OFFSET(INDEX(Composições!A:J,MATCH(Orçamentária!A2087,Composições!A:A,0),8),2,0)</f>
        <v>3.2395</v>
      </c>
      <c r="F2087" s="137">
        <f t="shared" ca="1" si="165"/>
        <v>0</v>
      </c>
      <c r="G2087" s="138" t="e">
        <f>IF(A2087&lt;&gt;"",IF(AND(#REF!="Padrão",$H$4=#REF!),BDI!$B$17,IF(AND(#REF!="Padrão",$H$4=#REF!),BDI!#REF!,IF(AND(#REF!="Diferenciado",$H$4=#REF!),BDI!$E$17,IF(AND(#REF!="Diferenciado",$H$4=#REF!),BDI!#REF!,IF(#REF!="ZERO",0))))),"")</f>
        <v>#REF!</v>
      </c>
      <c r="H2087" s="139" t="e">
        <f t="shared" ca="1" si="166"/>
        <v>#REF!</v>
      </c>
      <c r="I2087" s="137" t="e">
        <f t="shared" ca="1" si="167"/>
        <v>#REF!</v>
      </c>
      <c r="J2087" s="117"/>
      <c r="K2087" s="116">
        <v>0</v>
      </c>
      <c r="M2087" s="136" t="e">
        <f ca="1">OFFSET(INDEX([1]Composições!I:R,MATCH([1]Orçamentária!I2087,[1]Composições!I:I,0),8),2,0)</f>
        <v>#REF!</v>
      </c>
      <c r="N2087" t="e">
        <v>#REF!</v>
      </c>
      <c r="Q2087" t="e">
        <v>#REF!</v>
      </c>
    </row>
    <row r="2088" spans="1:17" hidden="1" x14ac:dyDescent="0.25">
      <c r="A2088" s="114" t="s">
        <v>4872</v>
      </c>
      <c r="B2088" s="115" t="s">
        <v>7478</v>
      </c>
      <c r="C2088" s="116" t="s">
        <v>16</v>
      </c>
      <c r="D2088" s="116">
        <v>0</v>
      </c>
      <c r="E2088" s="136">
        <f ca="1">OFFSET(INDEX(Composições!A:J,MATCH(Orçamentária!A2088,Composições!A:A,0),8),2,0)</f>
        <v>6.4409999999999998</v>
      </c>
      <c r="F2088" s="137">
        <f t="shared" ca="1" si="165"/>
        <v>0</v>
      </c>
      <c r="G2088" s="138" t="e">
        <f>IF(A2088&lt;&gt;"",IF(AND(#REF!="Padrão",$H$4=#REF!),BDI!$B$17,IF(AND(#REF!="Padrão",$H$4=#REF!),BDI!#REF!,IF(AND(#REF!="Diferenciado",$H$4=#REF!),BDI!$E$17,IF(AND(#REF!="Diferenciado",$H$4=#REF!),BDI!#REF!,IF(#REF!="ZERO",0))))),"")</f>
        <v>#REF!</v>
      </c>
      <c r="H2088" s="139" t="e">
        <f t="shared" ca="1" si="166"/>
        <v>#REF!</v>
      </c>
      <c r="I2088" s="137" t="e">
        <f t="shared" ca="1" si="167"/>
        <v>#REF!</v>
      </c>
      <c r="J2088" s="117"/>
      <c r="K2088" s="116">
        <v>0</v>
      </c>
      <c r="M2088" s="136" t="e">
        <f ca="1">OFFSET(INDEX([1]Composições!I:R,MATCH([1]Orçamentária!I2088,[1]Composições!I:I,0),8),2,0)</f>
        <v>#REF!</v>
      </c>
      <c r="N2088" t="e">
        <v>#REF!</v>
      </c>
      <c r="Q2088" t="e">
        <v>#REF!</v>
      </c>
    </row>
    <row r="2089" spans="1:17" hidden="1" x14ac:dyDescent="0.25">
      <c r="A2089" s="114" t="s">
        <v>4873</v>
      </c>
      <c r="B2089" s="115" t="s">
        <v>7479</v>
      </c>
      <c r="C2089" s="116" t="s">
        <v>16</v>
      </c>
      <c r="D2089" s="116">
        <v>0</v>
      </c>
      <c r="E2089" s="136" t="s">
        <v>416</v>
      </c>
      <c r="F2089" s="137" t="str">
        <f t="shared" si="165"/>
        <v/>
      </c>
      <c r="G2089" s="138" t="e">
        <f>IF(A2089&lt;&gt;"",IF(AND(#REF!="Padrão",$H$4=#REF!),BDI!$B$17,IF(AND(#REF!="Padrão",$H$4=#REF!),BDI!#REF!,IF(AND(#REF!="Diferenciado",$H$4=#REF!),BDI!$E$17,IF(AND(#REF!="Diferenciado",$H$4=#REF!),BDI!#REF!,IF(#REF!="ZERO",0))))),"")</f>
        <v>#REF!</v>
      </c>
      <c r="H2089" s="139" t="str">
        <f t="shared" si="166"/>
        <v/>
      </c>
      <c r="I2089" s="137" t="str">
        <f t="shared" si="167"/>
        <v/>
      </c>
      <c r="J2089" s="117"/>
      <c r="K2089" s="116">
        <v>0</v>
      </c>
      <c r="M2089" s="136" t="s">
        <v>416</v>
      </c>
      <c r="N2089" t="e">
        <v>#REF!</v>
      </c>
      <c r="Q2089" t="s">
        <v>416</v>
      </c>
    </row>
    <row r="2090" spans="1:17" hidden="1" x14ac:dyDescent="0.25">
      <c r="A2090" s="114" t="s">
        <v>4874</v>
      </c>
      <c r="B2090" s="115" t="s">
        <v>7480</v>
      </c>
      <c r="C2090" s="116" t="s">
        <v>16</v>
      </c>
      <c r="D2090" s="116">
        <v>0</v>
      </c>
      <c r="E2090" s="136" t="s">
        <v>416</v>
      </c>
      <c r="F2090" s="137" t="str">
        <f t="shared" si="165"/>
        <v/>
      </c>
      <c r="G2090" s="138" t="e">
        <f>IF(A2090&lt;&gt;"",IF(AND(#REF!="Padrão",$H$4=#REF!),BDI!$B$17,IF(AND(#REF!="Padrão",$H$4=#REF!),BDI!#REF!,IF(AND(#REF!="Diferenciado",$H$4=#REF!),BDI!$E$17,IF(AND(#REF!="Diferenciado",$H$4=#REF!),BDI!#REF!,IF(#REF!="ZERO",0))))),"")</f>
        <v>#REF!</v>
      </c>
      <c r="H2090" s="139" t="str">
        <f t="shared" si="166"/>
        <v/>
      </c>
      <c r="I2090" s="137" t="str">
        <f t="shared" si="167"/>
        <v/>
      </c>
      <c r="J2090" s="117"/>
      <c r="K2090" s="116">
        <v>0</v>
      </c>
      <c r="M2090" s="136" t="s">
        <v>416</v>
      </c>
      <c r="N2090" t="e">
        <v>#REF!</v>
      </c>
      <c r="Q2090" t="s">
        <v>416</v>
      </c>
    </row>
    <row r="2091" spans="1:17" hidden="1" x14ac:dyDescent="0.25">
      <c r="A2091" s="114" t="s">
        <v>4875</v>
      </c>
      <c r="B2091" s="115" t="s">
        <v>7469</v>
      </c>
      <c r="C2091" s="116" t="s">
        <v>16</v>
      </c>
      <c r="D2091" s="116">
        <v>0</v>
      </c>
      <c r="E2091" s="136" t="s">
        <v>416</v>
      </c>
      <c r="F2091" s="137" t="str">
        <f t="shared" si="165"/>
        <v/>
      </c>
      <c r="G2091" s="138" t="e">
        <f>IF(A2091&lt;&gt;"",IF(AND(#REF!="Padrão",$H$4=#REF!),BDI!$B$17,IF(AND(#REF!="Padrão",$H$4=#REF!),BDI!#REF!,IF(AND(#REF!="Diferenciado",$H$4=#REF!),BDI!$E$17,IF(AND(#REF!="Diferenciado",$H$4=#REF!),BDI!#REF!,IF(#REF!="ZERO",0))))),"")</f>
        <v>#REF!</v>
      </c>
      <c r="H2091" s="139" t="str">
        <f t="shared" si="166"/>
        <v/>
      </c>
      <c r="I2091" s="137" t="str">
        <f t="shared" si="167"/>
        <v/>
      </c>
      <c r="J2091" s="117"/>
      <c r="K2091" s="116">
        <v>0</v>
      </c>
      <c r="M2091" s="136" t="s">
        <v>416</v>
      </c>
      <c r="N2091" t="e">
        <v>#REF!</v>
      </c>
      <c r="Q2091" t="s">
        <v>416</v>
      </c>
    </row>
    <row r="2092" spans="1:17" hidden="1" x14ac:dyDescent="0.25">
      <c r="A2092" s="114" t="s">
        <v>4876</v>
      </c>
      <c r="B2092" s="115" t="s">
        <v>7470</v>
      </c>
      <c r="C2092" s="116" t="s">
        <v>16</v>
      </c>
      <c r="D2092" s="116">
        <v>0</v>
      </c>
      <c r="E2092" s="136" t="s">
        <v>416</v>
      </c>
      <c r="F2092" s="137" t="str">
        <f t="shared" si="165"/>
        <v/>
      </c>
      <c r="G2092" s="138" t="e">
        <f>IF(A2092&lt;&gt;"",IF(AND(#REF!="Padrão",$H$4=#REF!),BDI!$B$17,IF(AND(#REF!="Padrão",$H$4=#REF!),BDI!#REF!,IF(AND(#REF!="Diferenciado",$H$4=#REF!),BDI!$E$17,IF(AND(#REF!="Diferenciado",$H$4=#REF!),BDI!#REF!,IF(#REF!="ZERO",0))))),"")</f>
        <v>#REF!</v>
      </c>
      <c r="H2092" s="139" t="str">
        <f t="shared" si="166"/>
        <v/>
      </c>
      <c r="I2092" s="137" t="str">
        <f t="shared" si="167"/>
        <v/>
      </c>
      <c r="J2092" s="117"/>
      <c r="K2092" s="116">
        <v>0</v>
      </c>
      <c r="M2092" s="136" t="s">
        <v>416</v>
      </c>
      <c r="N2092" t="e">
        <v>#REF!</v>
      </c>
      <c r="Q2092" t="s">
        <v>416</v>
      </c>
    </row>
    <row r="2093" spans="1:17" hidden="1" x14ac:dyDescent="0.25">
      <c r="A2093" s="114" t="s">
        <v>4877</v>
      </c>
      <c r="B2093" s="115" t="s">
        <v>7471</v>
      </c>
      <c r="C2093" s="116" t="s">
        <v>16</v>
      </c>
      <c r="D2093" s="116">
        <v>0</v>
      </c>
      <c r="E2093" s="136" t="s">
        <v>416</v>
      </c>
      <c r="F2093" s="137" t="str">
        <f t="shared" ref="F2093:F2156" si="168">IF(ISNUMBER(E2093),D2093*E2093,"")</f>
        <v/>
      </c>
      <c r="G2093" s="138" t="e">
        <f>IF(A2093&lt;&gt;"",IF(AND(#REF!="Padrão",$H$4=#REF!),BDI!$B$17,IF(AND(#REF!="Padrão",$H$4=#REF!),BDI!#REF!,IF(AND(#REF!="Diferenciado",$H$4=#REF!),BDI!$E$17,IF(AND(#REF!="Diferenciado",$H$4=#REF!),BDI!#REF!,IF(#REF!="ZERO",0))))),"")</f>
        <v>#REF!</v>
      </c>
      <c r="H2093" s="139" t="str">
        <f t="shared" ref="H2093:H2156" si="169">IF(ISNUMBER(E2093),ROUND(E2093*(1+G2093),2),"")</f>
        <v/>
      </c>
      <c r="I2093" s="137" t="str">
        <f t="shared" ref="I2093:I2156" si="170">IF(ISNUMBER(E2093),ROUND(H2093*D2093,2),"")</f>
        <v/>
      </c>
      <c r="J2093" s="117"/>
      <c r="K2093" s="116">
        <v>0</v>
      </c>
      <c r="M2093" s="136" t="s">
        <v>416</v>
      </c>
      <c r="N2093" t="e">
        <v>#REF!</v>
      </c>
      <c r="Q2093" t="s">
        <v>416</v>
      </c>
    </row>
    <row r="2094" spans="1:17" hidden="1" x14ac:dyDescent="0.25">
      <c r="A2094" s="114" t="s">
        <v>4878</v>
      </c>
      <c r="B2094" s="115" t="s">
        <v>7472</v>
      </c>
      <c r="C2094" s="116" t="s">
        <v>16</v>
      </c>
      <c r="D2094" s="116">
        <v>0</v>
      </c>
      <c r="E2094" s="136" t="s">
        <v>416</v>
      </c>
      <c r="F2094" s="137" t="str">
        <f t="shared" si="168"/>
        <v/>
      </c>
      <c r="G2094" s="138" t="e">
        <f>IF(A2094&lt;&gt;"",IF(AND(#REF!="Padrão",$H$4=#REF!),BDI!$B$17,IF(AND(#REF!="Padrão",$H$4=#REF!),BDI!#REF!,IF(AND(#REF!="Diferenciado",$H$4=#REF!),BDI!$E$17,IF(AND(#REF!="Diferenciado",$H$4=#REF!),BDI!#REF!,IF(#REF!="ZERO",0))))),"")</f>
        <v>#REF!</v>
      </c>
      <c r="H2094" s="139" t="str">
        <f t="shared" si="169"/>
        <v/>
      </c>
      <c r="I2094" s="137" t="str">
        <f t="shared" si="170"/>
        <v/>
      </c>
      <c r="J2094" s="117"/>
      <c r="K2094" s="116">
        <v>0</v>
      </c>
      <c r="M2094" s="136" t="s">
        <v>416</v>
      </c>
      <c r="N2094" t="e">
        <v>#REF!</v>
      </c>
      <c r="Q2094" t="s">
        <v>416</v>
      </c>
    </row>
    <row r="2095" spans="1:17" hidden="1" x14ac:dyDescent="0.25">
      <c r="A2095" s="114" t="s">
        <v>4879</v>
      </c>
      <c r="B2095" s="115" t="s">
        <v>7473</v>
      </c>
      <c r="C2095" s="116" t="s">
        <v>16</v>
      </c>
      <c r="D2095" s="116">
        <v>0</v>
      </c>
      <c r="E2095" s="136" t="s">
        <v>416</v>
      </c>
      <c r="F2095" s="137" t="str">
        <f t="shared" si="168"/>
        <v/>
      </c>
      <c r="G2095" s="138" t="e">
        <f>IF(A2095&lt;&gt;"",IF(AND(#REF!="Padrão",$H$4=#REF!),BDI!$B$17,IF(AND(#REF!="Padrão",$H$4=#REF!),BDI!#REF!,IF(AND(#REF!="Diferenciado",$H$4=#REF!),BDI!$E$17,IF(AND(#REF!="Diferenciado",$H$4=#REF!),BDI!#REF!,IF(#REF!="ZERO",0))))),"")</f>
        <v>#REF!</v>
      </c>
      <c r="H2095" s="139" t="str">
        <f t="shared" si="169"/>
        <v/>
      </c>
      <c r="I2095" s="137" t="str">
        <f t="shared" si="170"/>
        <v/>
      </c>
      <c r="J2095" s="117"/>
      <c r="K2095" s="116">
        <v>0</v>
      </c>
      <c r="M2095" s="136" t="s">
        <v>416</v>
      </c>
      <c r="N2095" t="e">
        <v>#REF!</v>
      </c>
      <c r="Q2095" t="s">
        <v>416</v>
      </c>
    </row>
    <row r="2096" spans="1:17" hidden="1" x14ac:dyDescent="0.25">
      <c r="A2096" s="114" t="s">
        <v>4880</v>
      </c>
      <c r="B2096" s="115" t="s">
        <v>7474</v>
      </c>
      <c r="C2096" s="116" t="s">
        <v>16</v>
      </c>
      <c r="D2096" s="116">
        <v>0</v>
      </c>
      <c r="E2096" s="136">
        <f ca="1">OFFSET(INDEX(Composições!A:J,MATCH(Orçamentária!A2096,Composições!A:A,0),8),2,0)</f>
        <v>0</v>
      </c>
      <c r="F2096" s="137">
        <f t="shared" ca="1" si="168"/>
        <v>0</v>
      </c>
      <c r="G2096" s="138" t="e">
        <f>IF(A2096&lt;&gt;"",IF(AND(#REF!="Padrão",$H$4=#REF!),BDI!$B$17,IF(AND(#REF!="Padrão",$H$4=#REF!),BDI!#REF!,IF(AND(#REF!="Diferenciado",$H$4=#REF!),BDI!$E$17,IF(AND(#REF!="Diferenciado",$H$4=#REF!),BDI!#REF!,IF(#REF!="ZERO",0))))),"")</f>
        <v>#REF!</v>
      </c>
      <c r="H2096" s="139" t="e">
        <f t="shared" ca="1" si="169"/>
        <v>#REF!</v>
      </c>
      <c r="I2096" s="137" t="e">
        <f t="shared" ca="1" si="170"/>
        <v>#REF!</v>
      </c>
      <c r="J2096" s="117"/>
      <c r="K2096" s="116">
        <v>0</v>
      </c>
      <c r="M2096" s="136" t="e">
        <f ca="1">OFFSET(INDEX([1]Composições!I:R,MATCH([1]Orçamentária!I2096,[1]Composições!I:I,0),8),2,0)</f>
        <v>#REF!</v>
      </c>
      <c r="N2096" t="e">
        <v>#REF!</v>
      </c>
      <c r="Q2096" t="e">
        <v>#REF!</v>
      </c>
    </row>
    <row r="2097" spans="1:17" hidden="1" x14ac:dyDescent="0.25">
      <c r="A2097" s="114" t="s">
        <v>4881</v>
      </c>
      <c r="B2097" s="115" t="s">
        <v>7475</v>
      </c>
      <c r="C2097" s="116" t="s">
        <v>16</v>
      </c>
      <c r="D2097" s="116">
        <v>0</v>
      </c>
      <c r="E2097" s="136" t="s">
        <v>416</v>
      </c>
      <c r="F2097" s="137" t="str">
        <f t="shared" si="168"/>
        <v/>
      </c>
      <c r="G2097" s="138" t="e">
        <f>IF(A2097&lt;&gt;"",IF(AND(#REF!="Padrão",$H$4=#REF!),BDI!$B$17,IF(AND(#REF!="Padrão",$H$4=#REF!),BDI!#REF!,IF(AND(#REF!="Diferenciado",$H$4=#REF!),BDI!$E$17,IF(AND(#REF!="Diferenciado",$H$4=#REF!),BDI!#REF!,IF(#REF!="ZERO",0))))),"")</f>
        <v>#REF!</v>
      </c>
      <c r="H2097" s="139" t="str">
        <f t="shared" si="169"/>
        <v/>
      </c>
      <c r="I2097" s="137" t="str">
        <f t="shared" si="170"/>
        <v/>
      </c>
      <c r="J2097" s="117"/>
      <c r="K2097" s="116">
        <v>0</v>
      </c>
      <c r="M2097" s="136" t="s">
        <v>416</v>
      </c>
      <c r="N2097" t="e">
        <v>#REF!</v>
      </c>
      <c r="Q2097" t="s">
        <v>416</v>
      </c>
    </row>
    <row r="2098" spans="1:17" hidden="1" x14ac:dyDescent="0.25">
      <c r="A2098" s="114" t="s">
        <v>4882</v>
      </c>
      <c r="B2098" s="115" t="s">
        <v>7476</v>
      </c>
      <c r="C2098" s="116" t="s">
        <v>16</v>
      </c>
      <c r="D2098" s="116">
        <v>0</v>
      </c>
      <c r="E2098" s="136" t="s">
        <v>416</v>
      </c>
      <c r="F2098" s="137" t="str">
        <f t="shared" si="168"/>
        <v/>
      </c>
      <c r="G2098" s="138" t="e">
        <f>IF(A2098&lt;&gt;"",IF(AND(#REF!="Padrão",$H$4=#REF!),BDI!$B$17,IF(AND(#REF!="Padrão",$H$4=#REF!),BDI!#REF!,IF(AND(#REF!="Diferenciado",$H$4=#REF!),BDI!$E$17,IF(AND(#REF!="Diferenciado",$H$4=#REF!),BDI!#REF!,IF(#REF!="ZERO",0))))),"")</f>
        <v>#REF!</v>
      </c>
      <c r="H2098" s="139" t="str">
        <f t="shared" si="169"/>
        <v/>
      </c>
      <c r="I2098" s="137" t="str">
        <f t="shared" si="170"/>
        <v/>
      </c>
      <c r="J2098" s="117"/>
      <c r="K2098" s="116">
        <v>0</v>
      </c>
      <c r="M2098" s="136" t="s">
        <v>416</v>
      </c>
      <c r="N2098" t="e">
        <v>#REF!</v>
      </c>
      <c r="Q2098" t="s">
        <v>416</v>
      </c>
    </row>
    <row r="2099" spans="1:17" hidden="1" x14ac:dyDescent="0.25">
      <c r="A2099" s="114" t="s">
        <v>4883</v>
      </c>
      <c r="B2099" s="115" t="s">
        <v>3745</v>
      </c>
      <c r="C2099" s="116" t="s">
        <v>16</v>
      </c>
      <c r="D2099" s="116">
        <v>0</v>
      </c>
      <c r="E2099" s="136">
        <f ca="1">OFFSET(INDEX(Composições!A:J,MATCH(Orçamentária!A2099,Composições!A:A,0),8),2,0)</f>
        <v>4.7404999999999999</v>
      </c>
      <c r="F2099" s="137">
        <f t="shared" ca="1" si="168"/>
        <v>0</v>
      </c>
      <c r="G2099" s="138" t="e">
        <f>IF(A2099&lt;&gt;"",IF(AND(#REF!="Padrão",$H$4=#REF!),BDI!$B$17,IF(AND(#REF!="Padrão",$H$4=#REF!),BDI!#REF!,IF(AND(#REF!="Diferenciado",$H$4=#REF!),BDI!$E$17,IF(AND(#REF!="Diferenciado",$H$4=#REF!),BDI!#REF!,IF(#REF!="ZERO",0))))),"")</f>
        <v>#REF!</v>
      </c>
      <c r="H2099" s="139" t="e">
        <f t="shared" ca="1" si="169"/>
        <v>#REF!</v>
      </c>
      <c r="I2099" s="137" t="e">
        <f t="shared" ca="1" si="170"/>
        <v>#REF!</v>
      </c>
      <c r="J2099" s="117"/>
      <c r="K2099" s="116">
        <v>0</v>
      </c>
      <c r="M2099" s="136" t="e">
        <f ca="1">OFFSET(INDEX([1]Composições!I:R,MATCH([1]Orçamentária!I2099,[1]Composições!I:I,0),8),2,0)</f>
        <v>#REF!</v>
      </c>
      <c r="N2099" t="e">
        <v>#REF!</v>
      </c>
      <c r="Q2099" t="e">
        <v>#REF!</v>
      </c>
    </row>
    <row r="2100" spans="1:17" hidden="1" x14ac:dyDescent="0.25">
      <c r="A2100" s="114" t="s">
        <v>4884</v>
      </c>
      <c r="B2100" s="115" t="s">
        <v>3746</v>
      </c>
      <c r="C2100" s="116" t="s">
        <v>16</v>
      </c>
      <c r="D2100" s="116">
        <v>0</v>
      </c>
      <c r="E2100" s="136">
        <f ca="1">OFFSET(INDEX(Composições!A:J,MATCH(Orçamentária!A2100,Composições!A:A,0),8),2,0)</f>
        <v>0</v>
      </c>
      <c r="F2100" s="137">
        <f t="shared" ca="1" si="168"/>
        <v>0</v>
      </c>
      <c r="G2100" s="138" t="e">
        <f>IF(A2100&lt;&gt;"",IF(AND(#REF!="Padrão",$H$4=#REF!),BDI!$B$17,IF(AND(#REF!="Padrão",$H$4=#REF!),BDI!#REF!,IF(AND(#REF!="Diferenciado",$H$4=#REF!),BDI!$E$17,IF(AND(#REF!="Diferenciado",$H$4=#REF!),BDI!#REF!,IF(#REF!="ZERO",0))))),"")</f>
        <v>#REF!</v>
      </c>
      <c r="H2100" s="139" t="e">
        <f t="shared" ca="1" si="169"/>
        <v>#REF!</v>
      </c>
      <c r="I2100" s="137" t="e">
        <f t="shared" ca="1" si="170"/>
        <v>#REF!</v>
      </c>
      <c r="J2100" s="117"/>
      <c r="K2100" s="116">
        <v>0</v>
      </c>
      <c r="M2100" s="136" t="e">
        <f ca="1">OFFSET(INDEX([1]Composições!I:R,MATCH([1]Orçamentária!I2100,[1]Composições!I:I,0),8),2,0)</f>
        <v>#REF!</v>
      </c>
      <c r="N2100" t="e">
        <v>#REF!</v>
      </c>
      <c r="Q2100" t="e">
        <v>#REF!</v>
      </c>
    </row>
    <row r="2101" spans="1:17" hidden="1" x14ac:dyDescent="0.25">
      <c r="A2101" s="114" t="s">
        <v>4885</v>
      </c>
      <c r="B2101" s="115" t="s">
        <v>5606</v>
      </c>
      <c r="C2101" s="116" t="s">
        <v>16</v>
      </c>
      <c r="D2101" s="116">
        <v>0</v>
      </c>
      <c r="E2101" s="136" t="s">
        <v>416</v>
      </c>
      <c r="F2101" s="137" t="str">
        <f t="shared" si="168"/>
        <v/>
      </c>
      <c r="G2101" s="138" t="e">
        <f>IF(A2101&lt;&gt;"",IF(AND(#REF!="Padrão",$H$4=#REF!),BDI!$B$17,IF(AND(#REF!="Padrão",$H$4=#REF!),BDI!#REF!,IF(AND(#REF!="Diferenciado",$H$4=#REF!),BDI!$E$17,IF(AND(#REF!="Diferenciado",$H$4=#REF!),BDI!#REF!,IF(#REF!="ZERO",0))))),"")</f>
        <v>#REF!</v>
      </c>
      <c r="H2101" s="139" t="str">
        <f t="shared" si="169"/>
        <v/>
      </c>
      <c r="I2101" s="137" t="str">
        <f t="shared" si="170"/>
        <v/>
      </c>
      <c r="J2101" s="117"/>
      <c r="K2101" s="116">
        <v>0</v>
      </c>
      <c r="M2101" s="136" t="s">
        <v>416</v>
      </c>
      <c r="N2101" t="e">
        <v>#REF!</v>
      </c>
      <c r="Q2101" t="s">
        <v>416</v>
      </c>
    </row>
    <row r="2102" spans="1:17" hidden="1" x14ac:dyDescent="0.25">
      <c r="A2102" s="114" t="s">
        <v>4886</v>
      </c>
      <c r="B2102" s="115" t="s">
        <v>3747</v>
      </c>
      <c r="C2102" s="116" t="s">
        <v>16</v>
      </c>
      <c r="D2102" s="116">
        <v>0</v>
      </c>
      <c r="E2102" s="136" t="s">
        <v>416</v>
      </c>
      <c r="F2102" s="137" t="str">
        <f t="shared" si="168"/>
        <v/>
      </c>
      <c r="G2102" s="138" t="e">
        <f>IF(A2102&lt;&gt;"",IF(AND(#REF!="Padrão",$H$4=#REF!),BDI!$B$17,IF(AND(#REF!="Padrão",$H$4=#REF!),BDI!#REF!,IF(AND(#REF!="Diferenciado",$H$4=#REF!),BDI!$E$17,IF(AND(#REF!="Diferenciado",$H$4=#REF!),BDI!#REF!,IF(#REF!="ZERO",0))))),"")</f>
        <v>#REF!</v>
      </c>
      <c r="H2102" s="139" t="str">
        <f t="shared" si="169"/>
        <v/>
      </c>
      <c r="I2102" s="137" t="str">
        <f t="shared" si="170"/>
        <v/>
      </c>
      <c r="J2102" s="117"/>
      <c r="K2102" s="116">
        <v>0</v>
      </c>
      <c r="M2102" s="136" t="s">
        <v>416</v>
      </c>
      <c r="N2102" t="e">
        <v>#REF!</v>
      </c>
      <c r="Q2102" t="s">
        <v>416</v>
      </c>
    </row>
    <row r="2103" spans="1:17" hidden="1" x14ac:dyDescent="0.25">
      <c r="A2103" s="114" t="s">
        <v>4887</v>
      </c>
      <c r="B2103" s="115" t="s">
        <v>7464</v>
      </c>
      <c r="C2103" s="116" t="s">
        <v>16</v>
      </c>
      <c r="D2103" s="116">
        <v>0</v>
      </c>
      <c r="E2103" s="136" t="s">
        <v>416</v>
      </c>
      <c r="F2103" s="137" t="str">
        <f t="shared" si="168"/>
        <v/>
      </c>
      <c r="G2103" s="138" t="e">
        <f>IF(A2103&lt;&gt;"",IF(AND(#REF!="Padrão",$H$4=#REF!),BDI!$B$17,IF(AND(#REF!="Padrão",$H$4=#REF!),BDI!#REF!,IF(AND(#REF!="Diferenciado",$H$4=#REF!),BDI!$E$17,IF(AND(#REF!="Diferenciado",$H$4=#REF!),BDI!#REF!,IF(#REF!="ZERO",0))))),"")</f>
        <v>#REF!</v>
      </c>
      <c r="H2103" s="139" t="str">
        <f t="shared" si="169"/>
        <v/>
      </c>
      <c r="I2103" s="137" t="str">
        <f t="shared" si="170"/>
        <v/>
      </c>
      <c r="J2103" s="117"/>
      <c r="K2103" s="116">
        <v>0</v>
      </c>
      <c r="M2103" s="136" t="s">
        <v>416</v>
      </c>
      <c r="N2103" t="e">
        <v>#REF!</v>
      </c>
      <c r="Q2103" t="s">
        <v>416</v>
      </c>
    </row>
    <row r="2104" spans="1:17" hidden="1" x14ac:dyDescent="0.25">
      <c r="A2104" s="114" t="s">
        <v>4888</v>
      </c>
      <c r="B2104" s="115" t="s">
        <v>7465</v>
      </c>
      <c r="C2104" s="116" t="s">
        <v>16</v>
      </c>
      <c r="D2104" s="116">
        <v>0</v>
      </c>
      <c r="E2104" s="136">
        <f ca="1">OFFSET(INDEX(Composições!A:J,MATCH(Orçamentária!A2104,Composições!A:A,0),8),2,0)</f>
        <v>23.75</v>
      </c>
      <c r="F2104" s="137">
        <f t="shared" ca="1" si="168"/>
        <v>0</v>
      </c>
      <c r="G2104" s="138" t="e">
        <f>IF(A2104&lt;&gt;"",IF(AND(#REF!="Padrão",$H$4=#REF!),BDI!$B$17,IF(AND(#REF!="Padrão",$H$4=#REF!),BDI!#REF!,IF(AND(#REF!="Diferenciado",$H$4=#REF!),BDI!$E$17,IF(AND(#REF!="Diferenciado",$H$4=#REF!),BDI!#REF!,IF(#REF!="ZERO",0))))),"")</f>
        <v>#REF!</v>
      </c>
      <c r="H2104" s="139" t="e">
        <f t="shared" ca="1" si="169"/>
        <v>#REF!</v>
      </c>
      <c r="I2104" s="137" t="e">
        <f t="shared" ca="1" si="170"/>
        <v>#REF!</v>
      </c>
      <c r="J2104" s="117"/>
      <c r="K2104" s="116">
        <v>0</v>
      </c>
      <c r="M2104" s="136" t="e">
        <f ca="1">OFFSET(INDEX([1]Composições!I:R,MATCH([1]Orçamentária!I2104,[1]Composições!I:I,0),8),2,0)</f>
        <v>#REF!</v>
      </c>
      <c r="N2104" t="e">
        <v>#REF!</v>
      </c>
      <c r="Q2104" t="e">
        <v>#REF!</v>
      </c>
    </row>
    <row r="2105" spans="1:17" hidden="1" x14ac:dyDescent="0.25">
      <c r="A2105" s="114" t="s">
        <v>4889</v>
      </c>
      <c r="B2105" s="115" t="s">
        <v>7466</v>
      </c>
      <c r="C2105" s="116" t="s">
        <v>16</v>
      </c>
      <c r="D2105" s="116">
        <v>0</v>
      </c>
      <c r="E2105" s="136" t="s">
        <v>416</v>
      </c>
      <c r="F2105" s="137" t="str">
        <f t="shared" si="168"/>
        <v/>
      </c>
      <c r="G2105" s="138" t="e">
        <f>IF(A2105&lt;&gt;"",IF(AND(#REF!="Padrão",$H$4=#REF!),BDI!$B$17,IF(AND(#REF!="Padrão",$H$4=#REF!),BDI!#REF!,IF(AND(#REF!="Diferenciado",$H$4=#REF!),BDI!$E$17,IF(AND(#REF!="Diferenciado",$H$4=#REF!),BDI!#REF!,IF(#REF!="ZERO",0))))),"")</f>
        <v>#REF!</v>
      </c>
      <c r="H2105" s="139" t="str">
        <f t="shared" si="169"/>
        <v/>
      </c>
      <c r="I2105" s="137" t="str">
        <f t="shared" si="170"/>
        <v/>
      </c>
      <c r="J2105" s="117"/>
      <c r="K2105" s="116">
        <v>0</v>
      </c>
      <c r="M2105" s="136" t="s">
        <v>416</v>
      </c>
      <c r="N2105" t="e">
        <v>#REF!</v>
      </c>
      <c r="Q2105" t="s">
        <v>416</v>
      </c>
    </row>
    <row r="2106" spans="1:17" hidden="1" x14ac:dyDescent="0.25">
      <c r="A2106" s="114" t="s">
        <v>4890</v>
      </c>
      <c r="B2106" s="115" t="s">
        <v>7467</v>
      </c>
      <c r="C2106" s="116" t="s">
        <v>16</v>
      </c>
      <c r="D2106" s="116">
        <v>0</v>
      </c>
      <c r="E2106" s="136" t="s">
        <v>416</v>
      </c>
      <c r="F2106" s="137" t="str">
        <f t="shared" si="168"/>
        <v/>
      </c>
      <c r="G2106" s="138" t="e">
        <f>IF(A2106&lt;&gt;"",IF(AND(#REF!="Padrão",$H$4=#REF!),BDI!$B$17,IF(AND(#REF!="Padrão",$H$4=#REF!),BDI!#REF!,IF(AND(#REF!="Diferenciado",$H$4=#REF!),BDI!$E$17,IF(AND(#REF!="Diferenciado",$H$4=#REF!),BDI!#REF!,IF(#REF!="ZERO",0))))),"")</f>
        <v>#REF!</v>
      </c>
      <c r="H2106" s="139" t="str">
        <f t="shared" si="169"/>
        <v/>
      </c>
      <c r="I2106" s="137" t="str">
        <f t="shared" si="170"/>
        <v/>
      </c>
      <c r="J2106" s="117"/>
      <c r="K2106" s="116">
        <v>0</v>
      </c>
      <c r="M2106" s="136" t="s">
        <v>416</v>
      </c>
      <c r="N2106" t="e">
        <v>#REF!</v>
      </c>
      <c r="Q2106" t="s">
        <v>416</v>
      </c>
    </row>
    <row r="2107" spans="1:17" hidden="1" x14ac:dyDescent="0.25">
      <c r="A2107" s="114" t="s">
        <v>4891</v>
      </c>
      <c r="B2107" s="115" t="s">
        <v>7468</v>
      </c>
      <c r="C2107" s="116" t="s">
        <v>16</v>
      </c>
      <c r="D2107" s="116">
        <v>0</v>
      </c>
      <c r="E2107" s="136" t="s">
        <v>416</v>
      </c>
      <c r="F2107" s="137" t="str">
        <f t="shared" si="168"/>
        <v/>
      </c>
      <c r="G2107" s="138" t="e">
        <f>IF(A2107&lt;&gt;"",IF(AND(#REF!="Padrão",$H$4=#REF!),BDI!$B$17,IF(AND(#REF!="Padrão",$H$4=#REF!),BDI!#REF!,IF(AND(#REF!="Diferenciado",$H$4=#REF!),BDI!$E$17,IF(AND(#REF!="Diferenciado",$H$4=#REF!),BDI!#REF!,IF(#REF!="ZERO",0))))),"")</f>
        <v>#REF!</v>
      </c>
      <c r="H2107" s="139" t="str">
        <f t="shared" si="169"/>
        <v/>
      </c>
      <c r="I2107" s="137" t="str">
        <f t="shared" si="170"/>
        <v/>
      </c>
      <c r="J2107" s="117"/>
      <c r="K2107" s="116">
        <v>0</v>
      </c>
      <c r="M2107" s="136" t="s">
        <v>416</v>
      </c>
      <c r="N2107" t="e">
        <v>#REF!</v>
      </c>
      <c r="Q2107" t="s">
        <v>416</v>
      </c>
    </row>
    <row r="2108" spans="1:17" hidden="1" x14ac:dyDescent="0.25">
      <c r="A2108" s="114" t="s">
        <v>4892</v>
      </c>
      <c r="B2108" s="115" t="s">
        <v>7462</v>
      </c>
      <c r="C2108" s="116" t="s">
        <v>16</v>
      </c>
      <c r="D2108" s="116">
        <v>0</v>
      </c>
      <c r="E2108" s="136" t="s">
        <v>416</v>
      </c>
      <c r="F2108" s="137" t="str">
        <f t="shared" si="168"/>
        <v/>
      </c>
      <c r="G2108" s="138" t="e">
        <f>IF(A2108&lt;&gt;"",IF(AND(#REF!="Padrão",$H$4=#REF!),BDI!$B$17,IF(AND(#REF!="Padrão",$H$4=#REF!),BDI!#REF!,IF(AND(#REF!="Diferenciado",$H$4=#REF!),BDI!$E$17,IF(AND(#REF!="Diferenciado",$H$4=#REF!),BDI!#REF!,IF(#REF!="ZERO",0))))),"")</f>
        <v>#REF!</v>
      </c>
      <c r="H2108" s="139" t="str">
        <f t="shared" si="169"/>
        <v/>
      </c>
      <c r="I2108" s="137" t="str">
        <f t="shared" si="170"/>
        <v/>
      </c>
      <c r="J2108" s="117"/>
      <c r="K2108" s="116">
        <v>0</v>
      </c>
      <c r="M2108" s="136" t="s">
        <v>416</v>
      </c>
      <c r="N2108" t="e">
        <v>#REF!</v>
      </c>
      <c r="Q2108" t="s">
        <v>416</v>
      </c>
    </row>
    <row r="2109" spans="1:17" hidden="1" x14ac:dyDescent="0.25">
      <c r="A2109" s="114" t="s">
        <v>4893</v>
      </c>
      <c r="B2109" s="115" t="s">
        <v>7463</v>
      </c>
      <c r="C2109" s="116" t="s">
        <v>16</v>
      </c>
      <c r="D2109" s="116">
        <v>0</v>
      </c>
      <c r="E2109" s="136" t="s">
        <v>416</v>
      </c>
      <c r="F2109" s="137" t="str">
        <f t="shared" si="168"/>
        <v/>
      </c>
      <c r="G2109" s="138" t="e">
        <f>IF(A2109&lt;&gt;"",IF(AND(#REF!="Padrão",$H$4=#REF!),BDI!$B$17,IF(AND(#REF!="Padrão",$H$4=#REF!),BDI!#REF!,IF(AND(#REF!="Diferenciado",$H$4=#REF!),BDI!$E$17,IF(AND(#REF!="Diferenciado",$H$4=#REF!),BDI!#REF!,IF(#REF!="ZERO",0))))),"")</f>
        <v>#REF!</v>
      </c>
      <c r="H2109" s="139" t="str">
        <f t="shared" si="169"/>
        <v/>
      </c>
      <c r="I2109" s="137" t="str">
        <f t="shared" si="170"/>
        <v/>
      </c>
      <c r="J2109" s="117"/>
      <c r="K2109" s="116">
        <v>0</v>
      </c>
      <c r="M2109" s="136" t="s">
        <v>416</v>
      </c>
      <c r="N2109" t="e">
        <v>#REF!</v>
      </c>
      <c r="Q2109" t="s">
        <v>416</v>
      </c>
    </row>
    <row r="2110" spans="1:17" hidden="1" x14ac:dyDescent="0.25">
      <c r="A2110" s="114" t="s">
        <v>4894</v>
      </c>
      <c r="B2110" s="115" t="s">
        <v>3748</v>
      </c>
      <c r="C2110" s="116" t="s">
        <v>4171</v>
      </c>
      <c r="D2110" s="116">
        <v>0</v>
      </c>
      <c r="E2110" s="136" t="s">
        <v>416</v>
      </c>
      <c r="F2110" s="137" t="str">
        <f t="shared" si="168"/>
        <v/>
      </c>
      <c r="G2110" s="138" t="e">
        <f>IF(A2110&lt;&gt;"",IF(AND(#REF!="Padrão",$H$4=#REF!),BDI!$B$17,IF(AND(#REF!="Padrão",$H$4=#REF!),BDI!#REF!,IF(AND(#REF!="Diferenciado",$H$4=#REF!),BDI!$E$17,IF(AND(#REF!="Diferenciado",$H$4=#REF!),BDI!#REF!,IF(#REF!="ZERO",0))))),"")</f>
        <v>#REF!</v>
      </c>
      <c r="H2110" s="139" t="str">
        <f t="shared" si="169"/>
        <v/>
      </c>
      <c r="I2110" s="137" t="str">
        <f t="shared" si="170"/>
        <v/>
      </c>
      <c r="J2110" s="117"/>
      <c r="K2110" s="116">
        <v>0</v>
      </c>
      <c r="M2110" s="136" t="s">
        <v>416</v>
      </c>
      <c r="N2110" t="e">
        <v>#REF!</v>
      </c>
      <c r="Q2110" t="s">
        <v>416</v>
      </c>
    </row>
    <row r="2111" spans="1:17" hidden="1" x14ac:dyDescent="0.25">
      <c r="A2111" s="114" t="s">
        <v>4895</v>
      </c>
      <c r="B2111" s="115" t="s">
        <v>3749</v>
      </c>
      <c r="C2111" s="116" t="s">
        <v>4171</v>
      </c>
      <c r="D2111" s="116">
        <v>0</v>
      </c>
      <c r="E2111" s="136" t="s">
        <v>416</v>
      </c>
      <c r="F2111" s="137" t="str">
        <f t="shared" si="168"/>
        <v/>
      </c>
      <c r="G2111" s="138" t="e">
        <f>IF(A2111&lt;&gt;"",IF(AND(#REF!="Padrão",$H$4=#REF!),BDI!$B$17,IF(AND(#REF!="Padrão",$H$4=#REF!),BDI!#REF!,IF(AND(#REF!="Diferenciado",$H$4=#REF!),BDI!$E$17,IF(AND(#REF!="Diferenciado",$H$4=#REF!),BDI!#REF!,IF(#REF!="ZERO",0))))),"")</f>
        <v>#REF!</v>
      </c>
      <c r="H2111" s="139" t="str">
        <f t="shared" si="169"/>
        <v/>
      </c>
      <c r="I2111" s="137" t="str">
        <f t="shared" si="170"/>
        <v/>
      </c>
      <c r="J2111" s="117"/>
      <c r="K2111" s="116">
        <v>0</v>
      </c>
      <c r="M2111" s="136" t="s">
        <v>416</v>
      </c>
      <c r="N2111" t="e">
        <v>#REF!</v>
      </c>
      <c r="Q2111" t="s">
        <v>416</v>
      </c>
    </row>
    <row r="2112" spans="1:17" hidden="1" x14ac:dyDescent="0.25">
      <c r="A2112" s="114" t="s">
        <v>4896</v>
      </c>
      <c r="B2112" s="115" t="s">
        <v>3750</v>
      </c>
      <c r="C2112" s="116" t="s">
        <v>4171</v>
      </c>
      <c r="D2112" s="116">
        <v>0</v>
      </c>
      <c r="E2112" s="136" t="s">
        <v>416</v>
      </c>
      <c r="F2112" s="137" t="str">
        <f t="shared" si="168"/>
        <v/>
      </c>
      <c r="G2112" s="138" t="e">
        <f>IF(A2112&lt;&gt;"",IF(AND(#REF!="Padrão",$H$4=#REF!),BDI!$B$17,IF(AND(#REF!="Padrão",$H$4=#REF!),BDI!#REF!,IF(AND(#REF!="Diferenciado",$H$4=#REF!),BDI!$E$17,IF(AND(#REF!="Diferenciado",$H$4=#REF!),BDI!#REF!,IF(#REF!="ZERO",0))))),"")</f>
        <v>#REF!</v>
      </c>
      <c r="H2112" s="139" t="str">
        <f t="shared" si="169"/>
        <v/>
      </c>
      <c r="I2112" s="137" t="str">
        <f t="shared" si="170"/>
        <v/>
      </c>
      <c r="J2112" s="117"/>
      <c r="K2112" s="116">
        <v>0</v>
      </c>
      <c r="M2112" s="136" t="s">
        <v>416</v>
      </c>
      <c r="N2112" t="e">
        <v>#REF!</v>
      </c>
      <c r="Q2112" t="s">
        <v>416</v>
      </c>
    </row>
    <row r="2113" spans="1:17" hidden="1" x14ac:dyDescent="0.25">
      <c r="A2113" s="114" t="s">
        <v>4897</v>
      </c>
      <c r="B2113" s="115" t="s">
        <v>3751</v>
      </c>
      <c r="C2113" s="116" t="s">
        <v>4171</v>
      </c>
      <c r="D2113" s="116">
        <v>0</v>
      </c>
      <c r="E2113" s="136" t="s">
        <v>416</v>
      </c>
      <c r="F2113" s="137" t="str">
        <f t="shared" si="168"/>
        <v/>
      </c>
      <c r="G2113" s="138" t="e">
        <f>IF(A2113&lt;&gt;"",IF(AND(#REF!="Padrão",$H$4=#REF!),BDI!$B$17,IF(AND(#REF!="Padrão",$H$4=#REF!),BDI!#REF!,IF(AND(#REF!="Diferenciado",$H$4=#REF!),BDI!$E$17,IF(AND(#REF!="Diferenciado",$H$4=#REF!),BDI!#REF!,IF(#REF!="ZERO",0))))),"")</f>
        <v>#REF!</v>
      </c>
      <c r="H2113" s="139" t="str">
        <f t="shared" si="169"/>
        <v/>
      </c>
      <c r="I2113" s="137" t="str">
        <f t="shared" si="170"/>
        <v/>
      </c>
      <c r="J2113" s="117"/>
      <c r="K2113" s="116">
        <v>0</v>
      </c>
      <c r="M2113" s="136" t="s">
        <v>416</v>
      </c>
      <c r="N2113" t="e">
        <v>#REF!</v>
      </c>
      <c r="Q2113" t="s">
        <v>416</v>
      </c>
    </row>
    <row r="2114" spans="1:17" hidden="1" x14ac:dyDescent="0.25">
      <c r="A2114" s="114" t="s">
        <v>4898</v>
      </c>
      <c r="B2114" s="115" t="s">
        <v>3752</v>
      </c>
      <c r="C2114" s="116" t="s">
        <v>16</v>
      </c>
      <c r="D2114" s="116">
        <v>0</v>
      </c>
      <c r="E2114" s="136" t="s">
        <v>416</v>
      </c>
      <c r="F2114" s="137" t="str">
        <f t="shared" si="168"/>
        <v/>
      </c>
      <c r="G2114" s="138" t="e">
        <f>IF(A2114&lt;&gt;"",IF(AND(#REF!="Padrão",$H$4=#REF!),BDI!$B$17,IF(AND(#REF!="Padrão",$H$4=#REF!),BDI!#REF!,IF(AND(#REF!="Diferenciado",$H$4=#REF!),BDI!$E$17,IF(AND(#REF!="Diferenciado",$H$4=#REF!),BDI!#REF!,IF(#REF!="ZERO",0))))),"")</f>
        <v>#REF!</v>
      </c>
      <c r="H2114" s="139" t="str">
        <f t="shared" si="169"/>
        <v/>
      </c>
      <c r="I2114" s="137" t="str">
        <f t="shared" si="170"/>
        <v/>
      </c>
      <c r="J2114" s="117"/>
      <c r="K2114" s="116">
        <v>0</v>
      </c>
      <c r="M2114" s="136" t="s">
        <v>416</v>
      </c>
      <c r="N2114" t="e">
        <v>#REF!</v>
      </c>
      <c r="Q2114" t="s">
        <v>416</v>
      </c>
    </row>
    <row r="2115" spans="1:17" hidden="1" x14ac:dyDescent="0.25">
      <c r="A2115" s="114" t="s">
        <v>4899</v>
      </c>
      <c r="B2115" s="115" t="s">
        <v>3753</v>
      </c>
      <c r="C2115" s="116" t="s">
        <v>16</v>
      </c>
      <c r="D2115" s="116">
        <v>0</v>
      </c>
      <c r="E2115" s="136" t="s">
        <v>416</v>
      </c>
      <c r="F2115" s="137" t="str">
        <f t="shared" si="168"/>
        <v/>
      </c>
      <c r="G2115" s="138" t="e">
        <f>IF(A2115&lt;&gt;"",IF(AND(#REF!="Padrão",$H$4=#REF!),BDI!$B$17,IF(AND(#REF!="Padrão",$H$4=#REF!),BDI!#REF!,IF(AND(#REF!="Diferenciado",$H$4=#REF!),BDI!$E$17,IF(AND(#REF!="Diferenciado",$H$4=#REF!),BDI!#REF!,IF(#REF!="ZERO",0))))),"")</f>
        <v>#REF!</v>
      </c>
      <c r="H2115" s="139" t="str">
        <f t="shared" si="169"/>
        <v/>
      </c>
      <c r="I2115" s="137" t="str">
        <f t="shared" si="170"/>
        <v/>
      </c>
      <c r="J2115" s="117"/>
      <c r="K2115" s="116">
        <v>0</v>
      </c>
      <c r="M2115" s="136" t="s">
        <v>416</v>
      </c>
      <c r="N2115" t="e">
        <v>#REF!</v>
      </c>
      <c r="Q2115" t="s">
        <v>416</v>
      </c>
    </row>
    <row r="2116" spans="1:17" hidden="1" x14ac:dyDescent="0.25">
      <c r="A2116" s="114" t="s">
        <v>4900</v>
      </c>
      <c r="B2116" s="115" t="s">
        <v>3754</v>
      </c>
      <c r="C2116" s="116" t="s">
        <v>16</v>
      </c>
      <c r="D2116" s="116">
        <v>0</v>
      </c>
      <c r="E2116" s="136" t="s">
        <v>416</v>
      </c>
      <c r="F2116" s="137" t="str">
        <f t="shared" si="168"/>
        <v/>
      </c>
      <c r="G2116" s="138" t="e">
        <f>IF(A2116&lt;&gt;"",IF(AND(#REF!="Padrão",$H$4=#REF!),BDI!$B$17,IF(AND(#REF!="Padrão",$H$4=#REF!),BDI!#REF!,IF(AND(#REF!="Diferenciado",$H$4=#REF!),BDI!$E$17,IF(AND(#REF!="Diferenciado",$H$4=#REF!),BDI!#REF!,IF(#REF!="ZERO",0))))),"")</f>
        <v>#REF!</v>
      </c>
      <c r="H2116" s="139" t="str">
        <f t="shared" si="169"/>
        <v/>
      </c>
      <c r="I2116" s="137" t="str">
        <f t="shared" si="170"/>
        <v/>
      </c>
      <c r="J2116" s="117"/>
      <c r="K2116" s="116">
        <v>0</v>
      </c>
      <c r="M2116" s="136" t="s">
        <v>416</v>
      </c>
      <c r="N2116" t="e">
        <v>#REF!</v>
      </c>
      <c r="Q2116" t="s">
        <v>416</v>
      </c>
    </row>
    <row r="2117" spans="1:17" hidden="1" x14ac:dyDescent="0.25">
      <c r="A2117" s="114" t="s">
        <v>4901</v>
      </c>
      <c r="B2117" s="115" t="s">
        <v>3755</v>
      </c>
      <c r="C2117" s="116" t="s">
        <v>16</v>
      </c>
      <c r="D2117" s="116">
        <v>0</v>
      </c>
      <c r="E2117" s="136" t="s">
        <v>416</v>
      </c>
      <c r="F2117" s="137" t="str">
        <f t="shared" si="168"/>
        <v/>
      </c>
      <c r="G2117" s="138" t="e">
        <f>IF(A2117&lt;&gt;"",IF(AND(#REF!="Padrão",$H$4=#REF!),BDI!$B$17,IF(AND(#REF!="Padrão",$H$4=#REF!),BDI!#REF!,IF(AND(#REF!="Diferenciado",$H$4=#REF!),BDI!$E$17,IF(AND(#REF!="Diferenciado",$H$4=#REF!),BDI!#REF!,IF(#REF!="ZERO",0))))),"")</f>
        <v>#REF!</v>
      </c>
      <c r="H2117" s="139" t="str">
        <f t="shared" si="169"/>
        <v/>
      </c>
      <c r="I2117" s="137" t="str">
        <f t="shared" si="170"/>
        <v/>
      </c>
      <c r="J2117" s="117"/>
      <c r="K2117" s="116">
        <v>0</v>
      </c>
      <c r="M2117" s="136" t="s">
        <v>416</v>
      </c>
      <c r="N2117" t="e">
        <v>#REF!</v>
      </c>
      <c r="Q2117" t="s">
        <v>416</v>
      </c>
    </row>
    <row r="2118" spans="1:17" hidden="1" x14ac:dyDescent="0.25">
      <c r="A2118" s="114" t="s">
        <v>4902</v>
      </c>
      <c r="B2118" s="115" t="s">
        <v>5607</v>
      </c>
      <c r="C2118" s="116" t="s">
        <v>16</v>
      </c>
      <c r="D2118" s="116">
        <v>0</v>
      </c>
      <c r="E2118" s="136" t="s">
        <v>416</v>
      </c>
      <c r="F2118" s="137" t="str">
        <f t="shared" si="168"/>
        <v/>
      </c>
      <c r="G2118" s="138" t="e">
        <f>IF(A2118&lt;&gt;"",IF(AND(#REF!="Padrão",$H$4=#REF!),BDI!$B$17,IF(AND(#REF!="Padrão",$H$4=#REF!),BDI!#REF!,IF(AND(#REF!="Diferenciado",$H$4=#REF!),BDI!$E$17,IF(AND(#REF!="Diferenciado",$H$4=#REF!),BDI!#REF!,IF(#REF!="ZERO",0))))),"")</f>
        <v>#REF!</v>
      </c>
      <c r="H2118" s="139" t="str">
        <f t="shared" si="169"/>
        <v/>
      </c>
      <c r="I2118" s="137" t="str">
        <f t="shared" si="170"/>
        <v/>
      </c>
      <c r="J2118" s="117"/>
      <c r="K2118" s="116">
        <v>0</v>
      </c>
      <c r="M2118" s="136" t="s">
        <v>416</v>
      </c>
      <c r="N2118" t="e">
        <v>#REF!</v>
      </c>
      <c r="Q2118" t="s">
        <v>416</v>
      </c>
    </row>
    <row r="2119" spans="1:17" hidden="1" x14ac:dyDescent="0.25">
      <c r="A2119" s="114" t="s">
        <v>4903</v>
      </c>
      <c r="B2119" s="115" t="s">
        <v>7458</v>
      </c>
      <c r="C2119" s="116" t="s">
        <v>16</v>
      </c>
      <c r="D2119" s="116">
        <v>0</v>
      </c>
      <c r="E2119" s="136" t="s">
        <v>416</v>
      </c>
      <c r="F2119" s="137" t="str">
        <f t="shared" si="168"/>
        <v/>
      </c>
      <c r="G2119" s="138" t="e">
        <f>IF(A2119&lt;&gt;"",IF(AND(#REF!="Padrão",$H$4=#REF!),BDI!$B$17,IF(AND(#REF!="Padrão",$H$4=#REF!),BDI!#REF!,IF(AND(#REF!="Diferenciado",$H$4=#REF!),BDI!$E$17,IF(AND(#REF!="Diferenciado",$H$4=#REF!),BDI!#REF!,IF(#REF!="ZERO",0))))),"")</f>
        <v>#REF!</v>
      </c>
      <c r="H2119" s="139" t="str">
        <f t="shared" si="169"/>
        <v/>
      </c>
      <c r="I2119" s="137" t="str">
        <f t="shared" si="170"/>
        <v/>
      </c>
      <c r="J2119" s="117"/>
      <c r="K2119" s="116">
        <v>0</v>
      </c>
      <c r="M2119" s="136" t="s">
        <v>416</v>
      </c>
      <c r="N2119" t="e">
        <v>#REF!</v>
      </c>
      <c r="Q2119" t="s">
        <v>416</v>
      </c>
    </row>
    <row r="2120" spans="1:17" hidden="1" x14ac:dyDescent="0.25">
      <c r="A2120" s="114" t="s">
        <v>4904</v>
      </c>
      <c r="B2120" s="115" t="s">
        <v>7459</v>
      </c>
      <c r="C2120" s="116" t="s">
        <v>16</v>
      </c>
      <c r="D2120" s="116">
        <v>0</v>
      </c>
      <c r="E2120" s="136" t="s">
        <v>416</v>
      </c>
      <c r="F2120" s="137" t="str">
        <f t="shared" si="168"/>
        <v/>
      </c>
      <c r="G2120" s="138" t="e">
        <f>IF(A2120&lt;&gt;"",IF(AND(#REF!="Padrão",$H$4=#REF!),BDI!$B$17,IF(AND(#REF!="Padrão",$H$4=#REF!),BDI!#REF!,IF(AND(#REF!="Diferenciado",$H$4=#REF!),BDI!$E$17,IF(AND(#REF!="Diferenciado",$H$4=#REF!),BDI!#REF!,IF(#REF!="ZERO",0))))),"")</f>
        <v>#REF!</v>
      </c>
      <c r="H2120" s="139" t="str">
        <f t="shared" si="169"/>
        <v/>
      </c>
      <c r="I2120" s="137" t="str">
        <f t="shared" si="170"/>
        <v/>
      </c>
      <c r="J2120" s="117"/>
      <c r="K2120" s="116">
        <v>0</v>
      </c>
      <c r="M2120" s="136" t="s">
        <v>416</v>
      </c>
      <c r="N2120" t="e">
        <v>#REF!</v>
      </c>
      <c r="Q2120" t="s">
        <v>416</v>
      </c>
    </row>
    <row r="2121" spans="1:17" hidden="1" x14ac:dyDescent="0.25">
      <c r="A2121" s="114" t="s">
        <v>4905</v>
      </c>
      <c r="B2121" s="115" t="s">
        <v>7460</v>
      </c>
      <c r="C2121" s="116" t="s">
        <v>16</v>
      </c>
      <c r="D2121" s="116">
        <v>0</v>
      </c>
      <c r="E2121" s="136" t="s">
        <v>416</v>
      </c>
      <c r="F2121" s="137" t="str">
        <f t="shared" si="168"/>
        <v/>
      </c>
      <c r="G2121" s="138" t="e">
        <f>IF(A2121&lt;&gt;"",IF(AND(#REF!="Padrão",$H$4=#REF!),BDI!$B$17,IF(AND(#REF!="Padrão",$H$4=#REF!),BDI!#REF!,IF(AND(#REF!="Diferenciado",$H$4=#REF!),BDI!$E$17,IF(AND(#REF!="Diferenciado",$H$4=#REF!),BDI!#REF!,IF(#REF!="ZERO",0))))),"")</f>
        <v>#REF!</v>
      </c>
      <c r="H2121" s="139" t="str">
        <f t="shared" si="169"/>
        <v/>
      </c>
      <c r="I2121" s="137" t="str">
        <f t="shared" si="170"/>
        <v/>
      </c>
      <c r="J2121" s="117"/>
      <c r="K2121" s="116">
        <v>0</v>
      </c>
      <c r="M2121" s="136" t="s">
        <v>416</v>
      </c>
      <c r="N2121" t="e">
        <v>#REF!</v>
      </c>
      <c r="Q2121" t="s">
        <v>416</v>
      </c>
    </row>
    <row r="2122" spans="1:17" hidden="1" x14ac:dyDescent="0.25">
      <c r="A2122" s="114" t="s">
        <v>4906</v>
      </c>
      <c r="B2122" s="115" t="s">
        <v>7461</v>
      </c>
      <c r="C2122" s="116" t="s">
        <v>16</v>
      </c>
      <c r="D2122" s="116">
        <v>0</v>
      </c>
      <c r="E2122" s="136" t="s">
        <v>416</v>
      </c>
      <c r="F2122" s="137" t="str">
        <f t="shared" si="168"/>
        <v/>
      </c>
      <c r="G2122" s="138" t="e">
        <f>IF(A2122&lt;&gt;"",IF(AND(#REF!="Padrão",$H$4=#REF!),BDI!$B$17,IF(AND(#REF!="Padrão",$H$4=#REF!),BDI!#REF!,IF(AND(#REF!="Diferenciado",$H$4=#REF!),BDI!$E$17,IF(AND(#REF!="Diferenciado",$H$4=#REF!),BDI!#REF!,IF(#REF!="ZERO",0))))),"")</f>
        <v>#REF!</v>
      </c>
      <c r="H2122" s="139" t="str">
        <f t="shared" si="169"/>
        <v/>
      </c>
      <c r="I2122" s="137" t="str">
        <f t="shared" si="170"/>
        <v/>
      </c>
      <c r="J2122" s="117"/>
      <c r="K2122" s="116">
        <v>0</v>
      </c>
      <c r="M2122" s="136" t="s">
        <v>416</v>
      </c>
      <c r="N2122" t="e">
        <v>#REF!</v>
      </c>
      <c r="Q2122" t="s">
        <v>416</v>
      </c>
    </row>
    <row r="2123" spans="1:17" hidden="1" x14ac:dyDescent="0.25">
      <c r="A2123" s="114" t="s">
        <v>4907</v>
      </c>
      <c r="B2123" s="115" t="s">
        <v>5608</v>
      </c>
      <c r="C2123" s="116" t="s">
        <v>16</v>
      </c>
      <c r="D2123" s="116">
        <v>0</v>
      </c>
      <c r="E2123" s="136" t="s">
        <v>416</v>
      </c>
      <c r="F2123" s="137" t="str">
        <f t="shared" si="168"/>
        <v/>
      </c>
      <c r="G2123" s="138" t="e">
        <f>IF(A2123&lt;&gt;"",IF(AND(#REF!="Padrão",$H$4=#REF!),BDI!$B$17,IF(AND(#REF!="Padrão",$H$4=#REF!),BDI!#REF!,IF(AND(#REF!="Diferenciado",$H$4=#REF!),BDI!$E$17,IF(AND(#REF!="Diferenciado",$H$4=#REF!),BDI!#REF!,IF(#REF!="ZERO",0))))),"")</f>
        <v>#REF!</v>
      </c>
      <c r="H2123" s="139" t="str">
        <f t="shared" si="169"/>
        <v/>
      </c>
      <c r="I2123" s="137" t="str">
        <f t="shared" si="170"/>
        <v/>
      </c>
      <c r="J2123" s="117"/>
      <c r="K2123" s="116">
        <v>0</v>
      </c>
      <c r="M2123" s="136" t="s">
        <v>416</v>
      </c>
      <c r="N2123" t="e">
        <v>#REF!</v>
      </c>
      <c r="Q2123" t="s">
        <v>416</v>
      </c>
    </row>
    <row r="2124" spans="1:17" hidden="1" x14ac:dyDescent="0.25">
      <c r="A2124" s="114" t="s">
        <v>4908</v>
      </c>
      <c r="B2124" s="115" t="s">
        <v>5609</v>
      </c>
      <c r="C2124" s="116" t="s">
        <v>16</v>
      </c>
      <c r="D2124" s="116">
        <v>0</v>
      </c>
      <c r="E2124" s="136" t="s">
        <v>416</v>
      </c>
      <c r="F2124" s="137" t="str">
        <f t="shared" si="168"/>
        <v/>
      </c>
      <c r="G2124" s="138" t="e">
        <f>IF(A2124&lt;&gt;"",IF(AND(#REF!="Padrão",$H$4=#REF!),BDI!$B$17,IF(AND(#REF!="Padrão",$H$4=#REF!),BDI!#REF!,IF(AND(#REF!="Diferenciado",$H$4=#REF!),BDI!$E$17,IF(AND(#REF!="Diferenciado",$H$4=#REF!),BDI!#REF!,IF(#REF!="ZERO",0))))),"")</f>
        <v>#REF!</v>
      </c>
      <c r="H2124" s="139" t="str">
        <f t="shared" si="169"/>
        <v/>
      </c>
      <c r="I2124" s="137" t="str">
        <f t="shared" si="170"/>
        <v/>
      </c>
      <c r="J2124" s="117"/>
      <c r="K2124" s="116">
        <v>0</v>
      </c>
      <c r="M2124" s="136" t="s">
        <v>416</v>
      </c>
      <c r="N2124" t="e">
        <v>#REF!</v>
      </c>
      <c r="Q2124" t="s">
        <v>416</v>
      </c>
    </row>
    <row r="2125" spans="1:17" hidden="1" x14ac:dyDescent="0.25">
      <c r="A2125" s="114" t="s">
        <v>4909</v>
      </c>
      <c r="B2125" s="115" t="s">
        <v>5610</v>
      </c>
      <c r="C2125" s="116" t="s">
        <v>16</v>
      </c>
      <c r="D2125" s="116">
        <v>0</v>
      </c>
      <c r="E2125" s="136" t="s">
        <v>416</v>
      </c>
      <c r="F2125" s="137" t="str">
        <f t="shared" si="168"/>
        <v/>
      </c>
      <c r="G2125" s="138" t="e">
        <f>IF(A2125&lt;&gt;"",IF(AND(#REF!="Padrão",$H$4=#REF!),BDI!$B$17,IF(AND(#REF!="Padrão",$H$4=#REF!),BDI!#REF!,IF(AND(#REF!="Diferenciado",$H$4=#REF!),BDI!$E$17,IF(AND(#REF!="Diferenciado",$H$4=#REF!),BDI!#REF!,IF(#REF!="ZERO",0))))),"")</f>
        <v>#REF!</v>
      </c>
      <c r="H2125" s="139" t="str">
        <f t="shared" si="169"/>
        <v/>
      </c>
      <c r="I2125" s="137" t="str">
        <f t="shared" si="170"/>
        <v/>
      </c>
      <c r="J2125" s="117"/>
      <c r="K2125" s="116">
        <v>0</v>
      </c>
      <c r="M2125" s="136" t="s">
        <v>416</v>
      </c>
      <c r="N2125" t="e">
        <v>#REF!</v>
      </c>
      <c r="Q2125" t="s">
        <v>416</v>
      </c>
    </row>
    <row r="2126" spans="1:17" hidden="1" x14ac:dyDescent="0.25">
      <c r="A2126" s="114" t="s">
        <v>4910</v>
      </c>
      <c r="B2126" s="115" t="s">
        <v>5611</v>
      </c>
      <c r="C2126" s="116" t="s">
        <v>16</v>
      </c>
      <c r="D2126" s="116">
        <v>0</v>
      </c>
      <c r="E2126" s="136" t="s">
        <v>416</v>
      </c>
      <c r="F2126" s="137" t="str">
        <f t="shared" si="168"/>
        <v/>
      </c>
      <c r="G2126" s="138" t="e">
        <f>IF(A2126&lt;&gt;"",IF(AND(#REF!="Padrão",$H$4=#REF!),BDI!$B$17,IF(AND(#REF!="Padrão",$H$4=#REF!),BDI!#REF!,IF(AND(#REF!="Diferenciado",$H$4=#REF!),BDI!$E$17,IF(AND(#REF!="Diferenciado",$H$4=#REF!),BDI!#REF!,IF(#REF!="ZERO",0))))),"")</f>
        <v>#REF!</v>
      </c>
      <c r="H2126" s="139" t="str">
        <f t="shared" si="169"/>
        <v/>
      </c>
      <c r="I2126" s="137" t="str">
        <f t="shared" si="170"/>
        <v/>
      </c>
      <c r="J2126" s="117"/>
      <c r="K2126" s="116">
        <v>0</v>
      </c>
      <c r="M2126" s="136" t="s">
        <v>416</v>
      </c>
      <c r="N2126" t="e">
        <v>#REF!</v>
      </c>
      <c r="Q2126" t="s">
        <v>416</v>
      </c>
    </row>
    <row r="2127" spans="1:17" hidden="1" x14ac:dyDescent="0.25">
      <c r="A2127" s="114" t="s">
        <v>4911</v>
      </c>
      <c r="B2127" s="115" t="s">
        <v>5612</v>
      </c>
      <c r="C2127" s="116" t="s">
        <v>16</v>
      </c>
      <c r="D2127" s="116">
        <v>0</v>
      </c>
      <c r="E2127" s="136" t="s">
        <v>416</v>
      </c>
      <c r="F2127" s="137" t="str">
        <f t="shared" si="168"/>
        <v/>
      </c>
      <c r="G2127" s="138" t="e">
        <f>IF(A2127&lt;&gt;"",IF(AND(#REF!="Padrão",$H$4=#REF!),BDI!$B$17,IF(AND(#REF!="Padrão",$H$4=#REF!),BDI!#REF!,IF(AND(#REF!="Diferenciado",$H$4=#REF!),BDI!$E$17,IF(AND(#REF!="Diferenciado",$H$4=#REF!),BDI!#REF!,IF(#REF!="ZERO",0))))),"")</f>
        <v>#REF!</v>
      </c>
      <c r="H2127" s="139" t="str">
        <f t="shared" si="169"/>
        <v/>
      </c>
      <c r="I2127" s="137" t="str">
        <f t="shared" si="170"/>
        <v/>
      </c>
      <c r="J2127" s="117"/>
      <c r="K2127" s="116">
        <v>0</v>
      </c>
      <c r="M2127" s="136" t="s">
        <v>416</v>
      </c>
      <c r="N2127" t="e">
        <v>#REF!</v>
      </c>
      <c r="Q2127" t="s">
        <v>416</v>
      </c>
    </row>
    <row r="2128" spans="1:17" hidden="1" x14ac:dyDescent="0.25">
      <c r="A2128" s="114" t="s">
        <v>4912</v>
      </c>
      <c r="B2128" s="115" t="s">
        <v>5613</v>
      </c>
      <c r="C2128" s="116" t="s">
        <v>16</v>
      </c>
      <c r="D2128" s="116">
        <v>0</v>
      </c>
      <c r="E2128" s="136" t="s">
        <v>416</v>
      </c>
      <c r="F2128" s="137" t="str">
        <f t="shared" si="168"/>
        <v/>
      </c>
      <c r="G2128" s="138" t="e">
        <f>IF(A2128&lt;&gt;"",IF(AND(#REF!="Padrão",$H$4=#REF!),BDI!$B$17,IF(AND(#REF!="Padrão",$H$4=#REF!),BDI!#REF!,IF(AND(#REF!="Diferenciado",$H$4=#REF!),BDI!$E$17,IF(AND(#REF!="Diferenciado",$H$4=#REF!),BDI!#REF!,IF(#REF!="ZERO",0))))),"")</f>
        <v>#REF!</v>
      </c>
      <c r="H2128" s="139" t="str">
        <f t="shared" si="169"/>
        <v/>
      </c>
      <c r="I2128" s="137" t="str">
        <f t="shared" si="170"/>
        <v/>
      </c>
      <c r="J2128" s="117"/>
      <c r="K2128" s="116">
        <v>0</v>
      </c>
      <c r="M2128" s="136" t="s">
        <v>416</v>
      </c>
      <c r="N2128" t="e">
        <v>#REF!</v>
      </c>
      <c r="Q2128" t="s">
        <v>416</v>
      </c>
    </row>
    <row r="2129" spans="1:17" hidden="1" x14ac:dyDescent="0.25">
      <c r="A2129" s="114" t="s">
        <v>4913</v>
      </c>
      <c r="B2129" s="115" t="s">
        <v>3756</v>
      </c>
      <c r="C2129" s="116" t="s">
        <v>16</v>
      </c>
      <c r="D2129" s="116">
        <v>0</v>
      </c>
      <c r="E2129" s="136" t="s">
        <v>416</v>
      </c>
      <c r="F2129" s="137" t="str">
        <f t="shared" si="168"/>
        <v/>
      </c>
      <c r="G2129" s="138" t="e">
        <f>IF(A2129&lt;&gt;"",IF(AND(#REF!="Padrão",$H$4=#REF!),BDI!$B$17,IF(AND(#REF!="Padrão",$H$4=#REF!),BDI!#REF!,IF(AND(#REF!="Diferenciado",$H$4=#REF!),BDI!$E$17,IF(AND(#REF!="Diferenciado",$H$4=#REF!),BDI!#REF!,IF(#REF!="ZERO",0))))),"")</f>
        <v>#REF!</v>
      </c>
      <c r="H2129" s="139" t="str">
        <f t="shared" si="169"/>
        <v/>
      </c>
      <c r="I2129" s="137" t="str">
        <f t="shared" si="170"/>
        <v/>
      </c>
      <c r="J2129" s="117"/>
      <c r="K2129" s="116">
        <v>0</v>
      </c>
      <c r="M2129" s="136" t="s">
        <v>416</v>
      </c>
      <c r="N2129" t="e">
        <v>#REF!</v>
      </c>
      <c r="Q2129" t="s">
        <v>416</v>
      </c>
    </row>
    <row r="2130" spans="1:17" hidden="1" x14ac:dyDescent="0.25">
      <c r="A2130" s="114" t="s">
        <v>4914</v>
      </c>
      <c r="B2130" s="115" t="s">
        <v>3757</v>
      </c>
      <c r="C2130" s="116" t="s">
        <v>16</v>
      </c>
      <c r="D2130" s="116">
        <v>0</v>
      </c>
      <c r="E2130" s="136" t="s">
        <v>416</v>
      </c>
      <c r="F2130" s="137" t="str">
        <f t="shared" si="168"/>
        <v/>
      </c>
      <c r="G2130" s="138" t="e">
        <f>IF(A2130&lt;&gt;"",IF(AND(#REF!="Padrão",$H$4=#REF!),BDI!$B$17,IF(AND(#REF!="Padrão",$H$4=#REF!),BDI!#REF!,IF(AND(#REF!="Diferenciado",$H$4=#REF!),BDI!$E$17,IF(AND(#REF!="Diferenciado",$H$4=#REF!),BDI!#REF!,IF(#REF!="ZERO",0))))),"")</f>
        <v>#REF!</v>
      </c>
      <c r="H2130" s="139" t="str">
        <f t="shared" si="169"/>
        <v/>
      </c>
      <c r="I2130" s="137" t="str">
        <f t="shared" si="170"/>
        <v/>
      </c>
      <c r="J2130" s="117"/>
      <c r="K2130" s="116">
        <v>0</v>
      </c>
      <c r="M2130" s="136" t="s">
        <v>416</v>
      </c>
      <c r="N2130" t="e">
        <v>#REF!</v>
      </c>
      <c r="Q2130" t="s">
        <v>416</v>
      </c>
    </row>
    <row r="2131" spans="1:17" hidden="1" x14ac:dyDescent="0.25">
      <c r="A2131" s="114" t="s">
        <v>4915</v>
      </c>
      <c r="B2131" s="115" t="s">
        <v>3758</v>
      </c>
      <c r="C2131" s="116" t="s">
        <v>16</v>
      </c>
      <c r="D2131" s="116">
        <v>0</v>
      </c>
      <c r="E2131" s="136" t="s">
        <v>416</v>
      </c>
      <c r="F2131" s="137" t="str">
        <f t="shared" si="168"/>
        <v/>
      </c>
      <c r="G2131" s="138" t="e">
        <f>IF(A2131&lt;&gt;"",IF(AND(#REF!="Padrão",$H$4=#REF!),BDI!$B$17,IF(AND(#REF!="Padrão",$H$4=#REF!),BDI!#REF!,IF(AND(#REF!="Diferenciado",$H$4=#REF!),BDI!$E$17,IF(AND(#REF!="Diferenciado",$H$4=#REF!),BDI!#REF!,IF(#REF!="ZERO",0))))),"")</f>
        <v>#REF!</v>
      </c>
      <c r="H2131" s="139" t="str">
        <f t="shared" si="169"/>
        <v/>
      </c>
      <c r="I2131" s="137" t="str">
        <f t="shared" si="170"/>
        <v/>
      </c>
      <c r="J2131" s="117"/>
      <c r="K2131" s="116">
        <v>0</v>
      </c>
      <c r="M2131" s="136" t="s">
        <v>416</v>
      </c>
      <c r="N2131" t="e">
        <v>#REF!</v>
      </c>
      <c r="Q2131" t="s">
        <v>416</v>
      </c>
    </row>
    <row r="2132" spans="1:17" hidden="1" x14ac:dyDescent="0.25">
      <c r="A2132" s="114" t="s">
        <v>4916</v>
      </c>
      <c r="B2132" s="115" t="s">
        <v>3759</v>
      </c>
      <c r="C2132" s="116" t="s">
        <v>16</v>
      </c>
      <c r="D2132" s="116">
        <v>0</v>
      </c>
      <c r="E2132" s="136" t="s">
        <v>416</v>
      </c>
      <c r="F2132" s="137" t="str">
        <f t="shared" si="168"/>
        <v/>
      </c>
      <c r="G2132" s="138" t="e">
        <f>IF(A2132&lt;&gt;"",IF(AND(#REF!="Padrão",$H$4=#REF!),BDI!$B$17,IF(AND(#REF!="Padrão",$H$4=#REF!),BDI!#REF!,IF(AND(#REF!="Diferenciado",$H$4=#REF!),BDI!$E$17,IF(AND(#REF!="Diferenciado",$H$4=#REF!),BDI!#REF!,IF(#REF!="ZERO",0))))),"")</f>
        <v>#REF!</v>
      </c>
      <c r="H2132" s="139" t="str">
        <f t="shared" si="169"/>
        <v/>
      </c>
      <c r="I2132" s="137" t="str">
        <f t="shared" si="170"/>
        <v/>
      </c>
      <c r="J2132" s="117"/>
      <c r="K2132" s="116">
        <v>0</v>
      </c>
      <c r="M2132" s="136" t="s">
        <v>416</v>
      </c>
      <c r="N2132" t="e">
        <v>#REF!</v>
      </c>
      <c r="Q2132" t="s">
        <v>416</v>
      </c>
    </row>
    <row r="2133" spans="1:17" hidden="1" x14ac:dyDescent="0.25">
      <c r="A2133" s="114" t="s">
        <v>4917</v>
      </c>
      <c r="B2133" s="115" t="s">
        <v>5614</v>
      </c>
      <c r="C2133" s="116" t="s">
        <v>16</v>
      </c>
      <c r="D2133" s="116">
        <v>0</v>
      </c>
      <c r="E2133" s="136" t="s">
        <v>416</v>
      </c>
      <c r="F2133" s="137" t="str">
        <f t="shared" si="168"/>
        <v/>
      </c>
      <c r="G2133" s="138" t="e">
        <f>IF(A2133&lt;&gt;"",IF(AND(#REF!="Padrão",$H$4=#REF!),BDI!$B$17,IF(AND(#REF!="Padrão",$H$4=#REF!),BDI!#REF!,IF(AND(#REF!="Diferenciado",$H$4=#REF!),BDI!$E$17,IF(AND(#REF!="Diferenciado",$H$4=#REF!),BDI!#REF!,IF(#REF!="ZERO",0))))),"")</f>
        <v>#REF!</v>
      </c>
      <c r="H2133" s="139" t="str">
        <f t="shared" si="169"/>
        <v/>
      </c>
      <c r="I2133" s="137" t="str">
        <f t="shared" si="170"/>
        <v/>
      </c>
      <c r="J2133" s="117"/>
      <c r="K2133" s="116">
        <v>0</v>
      </c>
      <c r="M2133" s="136" t="s">
        <v>416</v>
      </c>
      <c r="N2133" t="e">
        <v>#REF!</v>
      </c>
      <c r="Q2133" t="s">
        <v>416</v>
      </c>
    </row>
    <row r="2134" spans="1:17" hidden="1" x14ac:dyDescent="0.25">
      <c r="A2134" s="114" t="s">
        <v>4918</v>
      </c>
      <c r="B2134" s="115" t="s">
        <v>3760</v>
      </c>
      <c r="C2134" s="116" t="s">
        <v>16</v>
      </c>
      <c r="D2134" s="116">
        <v>0</v>
      </c>
      <c r="E2134" s="136" t="s">
        <v>416</v>
      </c>
      <c r="F2134" s="137" t="str">
        <f t="shared" si="168"/>
        <v/>
      </c>
      <c r="G2134" s="138" t="e">
        <f>IF(A2134&lt;&gt;"",IF(AND(#REF!="Padrão",$H$4=#REF!),BDI!$B$17,IF(AND(#REF!="Padrão",$H$4=#REF!),BDI!#REF!,IF(AND(#REF!="Diferenciado",$H$4=#REF!),BDI!$E$17,IF(AND(#REF!="Diferenciado",$H$4=#REF!),BDI!#REF!,IF(#REF!="ZERO",0))))),"")</f>
        <v>#REF!</v>
      </c>
      <c r="H2134" s="139" t="str">
        <f t="shared" si="169"/>
        <v/>
      </c>
      <c r="I2134" s="137" t="str">
        <f t="shared" si="170"/>
        <v/>
      </c>
      <c r="J2134" s="117"/>
      <c r="K2134" s="116">
        <v>0</v>
      </c>
      <c r="M2134" s="136" t="s">
        <v>416</v>
      </c>
      <c r="N2134" t="e">
        <v>#REF!</v>
      </c>
      <c r="Q2134" t="s">
        <v>416</v>
      </c>
    </row>
    <row r="2135" spans="1:17" hidden="1" x14ac:dyDescent="0.25">
      <c r="A2135" s="114" t="s">
        <v>4919</v>
      </c>
      <c r="B2135" s="115" t="s">
        <v>3761</v>
      </c>
      <c r="C2135" s="116" t="s">
        <v>16</v>
      </c>
      <c r="D2135" s="116">
        <v>0</v>
      </c>
      <c r="E2135" s="136" t="s">
        <v>416</v>
      </c>
      <c r="F2135" s="137" t="str">
        <f t="shared" si="168"/>
        <v/>
      </c>
      <c r="G2135" s="138" t="e">
        <f>IF(A2135&lt;&gt;"",IF(AND(#REF!="Padrão",$H$4=#REF!),BDI!$B$17,IF(AND(#REF!="Padrão",$H$4=#REF!),BDI!#REF!,IF(AND(#REF!="Diferenciado",$H$4=#REF!),BDI!$E$17,IF(AND(#REF!="Diferenciado",$H$4=#REF!),BDI!#REF!,IF(#REF!="ZERO",0))))),"")</f>
        <v>#REF!</v>
      </c>
      <c r="H2135" s="139" t="str">
        <f t="shared" si="169"/>
        <v/>
      </c>
      <c r="I2135" s="137" t="str">
        <f t="shared" si="170"/>
        <v/>
      </c>
      <c r="J2135" s="117"/>
      <c r="K2135" s="116">
        <v>0</v>
      </c>
      <c r="M2135" s="136" t="s">
        <v>416</v>
      </c>
      <c r="N2135" t="e">
        <v>#REF!</v>
      </c>
      <c r="Q2135" t="s">
        <v>416</v>
      </c>
    </row>
    <row r="2136" spans="1:17" hidden="1" x14ac:dyDescent="0.25">
      <c r="A2136" s="114" t="s">
        <v>4920</v>
      </c>
      <c r="B2136" s="115" t="s">
        <v>3762</v>
      </c>
      <c r="C2136" s="116" t="s">
        <v>16</v>
      </c>
      <c r="D2136" s="116">
        <v>0</v>
      </c>
      <c r="E2136" s="136" t="s">
        <v>416</v>
      </c>
      <c r="F2136" s="137" t="str">
        <f t="shared" si="168"/>
        <v/>
      </c>
      <c r="G2136" s="138" t="e">
        <f>IF(A2136&lt;&gt;"",IF(AND(#REF!="Padrão",$H$4=#REF!),BDI!$B$17,IF(AND(#REF!="Padrão",$H$4=#REF!),BDI!#REF!,IF(AND(#REF!="Diferenciado",$H$4=#REF!),BDI!$E$17,IF(AND(#REF!="Diferenciado",$H$4=#REF!),BDI!#REF!,IF(#REF!="ZERO",0))))),"")</f>
        <v>#REF!</v>
      </c>
      <c r="H2136" s="139" t="str">
        <f t="shared" si="169"/>
        <v/>
      </c>
      <c r="I2136" s="137" t="str">
        <f t="shared" si="170"/>
        <v/>
      </c>
      <c r="J2136" s="117"/>
      <c r="K2136" s="116">
        <v>0</v>
      </c>
      <c r="M2136" s="136" t="s">
        <v>416</v>
      </c>
      <c r="N2136" t="e">
        <v>#REF!</v>
      </c>
      <c r="Q2136" t="s">
        <v>416</v>
      </c>
    </row>
    <row r="2137" spans="1:17" hidden="1" x14ac:dyDescent="0.25">
      <c r="A2137" s="114" t="s">
        <v>4921</v>
      </c>
      <c r="B2137" s="115" t="s">
        <v>3763</v>
      </c>
      <c r="C2137" s="116" t="s">
        <v>16</v>
      </c>
      <c r="D2137" s="116">
        <v>0</v>
      </c>
      <c r="E2137" s="136" t="s">
        <v>416</v>
      </c>
      <c r="F2137" s="137" t="str">
        <f t="shared" si="168"/>
        <v/>
      </c>
      <c r="G2137" s="138" t="e">
        <f>IF(A2137&lt;&gt;"",IF(AND(#REF!="Padrão",$H$4=#REF!),BDI!$B$17,IF(AND(#REF!="Padrão",$H$4=#REF!),BDI!#REF!,IF(AND(#REF!="Diferenciado",$H$4=#REF!),BDI!$E$17,IF(AND(#REF!="Diferenciado",$H$4=#REF!),BDI!#REF!,IF(#REF!="ZERO",0))))),"")</f>
        <v>#REF!</v>
      </c>
      <c r="H2137" s="139" t="str">
        <f t="shared" si="169"/>
        <v/>
      </c>
      <c r="I2137" s="137" t="str">
        <f t="shared" si="170"/>
        <v/>
      </c>
      <c r="J2137" s="117"/>
      <c r="K2137" s="116">
        <v>0</v>
      </c>
      <c r="M2137" s="136" t="s">
        <v>416</v>
      </c>
      <c r="N2137" t="e">
        <v>#REF!</v>
      </c>
      <c r="Q2137" t="s">
        <v>416</v>
      </c>
    </row>
    <row r="2138" spans="1:17" hidden="1" x14ac:dyDescent="0.25">
      <c r="A2138" s="114" t="s">
        <v>4922</v>
      </c>
      <c r="B2138" s="115" t="s">
        <v>7454</v>
      </c>
      <c r="C2138" s="116" t="s">
        <v>16</v>
      </c>
      <c r="D2138" s="116">
        <v>0</v>
      </c>
      <c r="E2138" s="136" t="s">
        <v>416</v>
      </c>
      <c r="F2138" s="137" t="str">
        <f t="shared" si="168"/>
        <v/>
      </c>
      <c r="G2138" s="138" t="e">
        <f>IF(A2138&lt;&gt;"",IF(AND(#REF!="Padrão",$H$4=#REF!),BDI!$B$17,IF(AND(#REF!="Padrão",$H$4=#REF!),BDI!#REF!,IF(AND(#REF!="Diferenciado",$H$4=#REF!),BDI!$E$17,IF(AND(#REF!="Diferenciado",$H$4=#REF!),BDI!#REF!,IF(#REF!="ZERO",0))))),"")</f>
        <v>#REF!</v>
      </c>
      <c r="H2138" s="139" t="str">
        <f t="shared" si="169"/>
        <v/>
      </c>
      <c r="I2138" s="137" t="str">
        <f t="shared" si="170"/>
        <v/>
      </c>
      <c r="J2138" s="117"/>
      <c r="K2138" s="116">
        <v>0</v>
      </c>
      <c r="M2138" s="136" t="s">
        <v>416</v>
      </c>
      <c r="N2138" t="e">
        <v>#REF!</v>
      </c>
      <c r="Q2138" t="s">
        <v>416</v>
      </c>
    </row>
    <row r="2139" spans="1:17" hidden="1" x14ac:dyDescent="0.25">
      <c r="A2139" s="114" t="s">
        <v>4923</v>
      </c>
      <c r="B2139" s="115" t="s">
        <v>7455</v>
      </c>
      <c r="C2139" s="116" t="s">
        <v>16</v>
      </c>
      <c r="D2139" s="116">
        <v>0</v>
      </c>
      <c r="E2139" s="136" t="s">
        <v>416</v>
      </c>
      <c r="F2139" s="137" t="str">
        <f t="shared" si="168"/>
        <v/>
      </c>
      <c r="G2139" s="138" t="e">
        <f>IF(A2139&lt;&gt;"",IF(AND(#REF!="Padrão",$H$4=#REF!),BDI!$B$17,IF(AND(#REF!="Padrão",$H$4=#REF!),BDI!#REF!,IF(AND(#REF!="Diferenciado",$H$4=#REF!),BDI!$E$17,IF(AND(#REF!="Diferenciado",$H$4=#REF!),BDI!#REF!,IF(#REF!="ZERO",0))))),"")</f>
        <v>#REF!</v>
      </c>
      <c r="H2139" s="139" t="str">
        <f t="shared" si="169"/>
        <v/>
      </c>
      <c r="I2139" s="137" t="str">
        <f t="shared" si="170"/>
        <v/>
      </c>
      <c r="J2139" s="117"/>
      <c r="K2139" s="116">
        <v>0</v>
      </c>
      <c r="M2139" s="136" t="s">
        <v>416</v>
      </c>
      <c r="N2139" t="e">
        <v>#REF!</v>
      </c>
      <c r="Q2139" t="s">
        <v>416</v>
      </c>
    </row>
    <row r="2140" spans="1:17" hidden="1" x14ac:dyDescent="0.25">
      <c r="A2140" s="114" t="s">
        <v>4924</v>
      </c>
      <c r="B2140" s="115" t="s">
        <v>7456</v>
      </c>
      <c r="C2140" s="116" t="s">
        <v>16</v>
      </c>
      <c r="D2140" s="116">
        <v>0</v>
      </c>
      <c r="E2140" s="136" t="s">
        <v>416</v>
      </c>
      <c r="F2140" s="137" t="str">
        <f t="shared" si="168"/>
        <v/>
      </c>
      <c r="G2140" s="138" t="e">
        <f>IF(A2140&lt;&gt;"",IF(AND(#REF!="Padrão",$H$4=#REF!),BDI!$B$17,IF(AND(#REF!="Padrão",$H$4=#REF!),BDI!#REF!,IF(AND(#REF!="Diferenciado",$H$4=#REF!),BDI!$E$17,IF(AND(#REF!="Diferenciado",$H$4=#REF!),BDI!#REF!,IF(#REF!="ZERO",0))))),"")</f>
        <v>#REF!</v>
      </c>
      <c r="H2140" s="139" t="str">
        <f t="shared" si="169"/>
        <v/>
      </c>
      <c r="I2140" s="137" t="str">
        <f t="shared" si="170"/>
        <v/>
      </c>
      <c r="J2140" s="117"/>
      <c r="K2140" s="116">
        <v>0</v>
      </c>
      <c r="M2140" s="136" t="s">
        <v>416</v>
      </c>
      <c r="N2140" t="e">
        <v>#REF!</v>
      </c>
      <c r="Q2140" t="s">
        <v>416</v>
      </c>
    </row>
    <row r="2141" spans="1:17" hidden="1" x14ac:dyDescent="0.25">
      <c r="A2141" s="114" t="s">
        <v>4925</v>
      </c>
      <c r="B2141" s="115" t="s">
        <v>7457</v>
      </c>
      <c r="C2141" s="116" t="s">
        <v>16</v>
      </c>
      <c r="D2141" s="116">
        <v>0</v>
      </c>
      <c r="E2141" s="136" t="s">
        <v>416</v>
      </c>
      <c r="F2141" s="137" t="str">
        <f t="shared" si="168"/>
        <v/>
      </c>
      <c r="G2141" s="138" t="e">
        <f>IF(A2141&lt;&gt;"",IF(AND(#REF!="Padrão",$H$4=#REF!),BDI!$B$17,IF(AND(#REF!="Padrão",$H$4=#REF!),BDI!#REF!,IF(AND(#REF!="Diferenciado",$H$4=#REF!),BDI!$E$17,IF(AND(#REF!="Diferenciado",$H$4=#REF!),BDI!#REF!,IF(#REF!="ZERO",0))))),"")</f>
        <v>#REF!</v>
      </c>
      <c r="H2141" s="139" t="str">
        <f t="shared" si="169"/>
        <v/>
      </c>
      <c r="I2141" s="137" t="str">
        <f t="shared" si="170"/>
        <v/>
      </c>
      <c r="J2141" s="117"/>
      <c r="K2141" s="116">
        <v>0</v>
      </c>
      <c r="M2141" s="136" t="s">
        <v>416</v>
      </c>
      <c r="N2141" t="e">
        <v>#REF!</v>
      </c>
      <c r="Q2141" t="s">
        <v>416</v>
      </c>
    </row>
    <row r="2142" spans="1:17" hidden="1" x14ac:dyDescent="0.25">
      <c r="A2142" s="114" t="s">
        <v>4926</v>
      </c>
      <c r="B2142" s="115" t="s">
        <v>3764</v>
      </c>
      <c r="C2142" s="116" t="s">
        <v>16</v>
      </c>
      <c r="D2142" s="116">
        <v>0</v>
      </c>
      <c r="E2142" s="136" t="s">
        <v>416</v>
      </c>
      <c r="F2142" s="137" t="str">
        <f t="shared" si="168"/>
        <v/>
      </c>
      <c r="G2142" s="138" t="e">
        <f>IF(A2142&lt;&gt;"",IF(AND(#REF!="Padrão",$H$4=#REF!),BDI!$B$17,IF(AND(#REF!="Padrão",$H$4=#REF!),BDI!#REF!,IF(AND(#REF!="Diferenciado",$H$4=#REF!),BDI!$E$17,IF(AND(#REF!="Diferenciado",$H$4=#REF!),BDI!#REF!,IF(#REF!="ZERO",0))))),"")</f>
        <v>#REF!</v>
      </c>
      <c r="H2142" s="139" t="str">
        <f t="shared" si="169"/>
        <v/>
      </c>
      <c r="I2142" s="137" t="str">
        <f t="shared" si="170"/>
        <v/>
      </c>
      <c r="J2142" s="117"/>
      <c r="K2142" s="116">
        <v>0</v>
      </c>
      <c r="M2142" s="136" t="s">
        <v>416</v>
      </c>
      <c r="N2142" t="e">
        <v>#REF!</v>
      </c>
      <c r="Q2142" t="s">
        <v>416</v>
      </c>
    </row>
    <row r="2143" spans="1:17" hidden="1" x14ac:dyDescent="0.25">
      <c r="A2143" s="114" t="s">
        <v>4927</v>
      </c>
      <c r="B2143" s="115" t="s">
        <v>3765</v>
      </c>
      <c r="C2143" s="116" t="s">
        <v>16</v>
      </c>
      <c r="D2143" s="116">
        <v>0</v>
      </c>
      <c r="E2143" s="136" t="s">
        <v>416</v>
      </c>
      <c r="F2143" s="137" t="str">
        <f t="shared" si="168"/>
        <v/>
      </c>
      <c r="G2143" s="138" t="e">
        <f>IF(A2143&lt;&gt;"",IF(AND(#REF!="Padrão",$H$4=#REF!),BDI!$B$17,IF(AND(#REF!="Padrão",$H$4=#REF!),BDI!#REF!,IF(AND(#REF!="Diferenciado",$H$4=#REF!),BDI!$E$17,IF(AND(#REF!="Diferenciado",$H$4=#REF!),BDI!#REF!,IF(#REF!="ZERO",0))))),"")</f>
        <v>#REF!</v>
      </c>
      <c r="H2143" s="139" t="str">
        <f t="shared" si="169"/>
        <v/>
      </c>
      <c r="I2143" s="137" t="str">
        <f t="shared" si="170"/>
        <v/>
      </c>
      <c r="J2143" s="117"/>
      <c r="K2143" s="116">
        <v>0</v>
      </c>
      <c r="M2143" s="136" t="s">
        <v>416</v>
      </c>
      <c r="N2143" t="e">
        <v>#REF!</v>
      </c>
      <c r="Q2143" t="s">
        <v>416</v>
      </c>
    </row>
    <row r="2144" spans="1:17" hidden="1" x14ac:dyDescent="0.25">
      <c r="A2144" s="114" t="s">
        <v>4928</v>
      </c>
      <c r="B2144" s="115" t="s">
        <v>7451</v>
      </c>
      <c r="C2144" s="116" t="s">
        <v>69</v>
      </c>
      <c r="D2144" s="116">
        <v>0</v>
      </c>
      <c r="E2144" s="136" t="s">
        <v>416</v>
      </c>
      <c r="F2144" s="137" t="str">
        <f t="shared" si="168"/>
        <v/>
      </c>
      <c r="G2144" s="138" t="e">
        <f>IF(A2144&lt;&gt;"",IF(AND(#REF!="Padrão",$H$4=#REF!),BDI!$B$17,IF(AND(#REF!="Padrão",$H$4=#REF!),BDI!#REF!,IF(AND(#REF!="Diferenciado",$H$4=#REF!),BDI!$E$17,IF(AND(#REF!="Diferenciado",$H$4=#REF!),BDI!#REF!,IF(#REF!="ZERO",0))))),"")</f>
        <v>#REF!</v>
      </c>
      <c r="H2144" s="139" t="str">
        <f t="shared" si="169"/>
        <v/>
      </c>
      <c r="I2144" s="137" t="str">
        <f t="shared" si="170"/>
        <v/>
      </c>
      <c r="J2144" s="117"/>
      <c r="K2144" s="116">
        <v>0</v>
      </c>
      <c r="M2144" s="136" t="s">
        <v>416</v>
      </c>
      <c r="N2144" t="e">
        <v>#REF!</v>
      </c>
      <c r="Q2144" t="s">
        <v>416</v>
      </c>
    </row>
    <row r="2145" spans="1:17" hidden="1" x14ac:dyDescent="0.25">
      <c r="A2145" s="114" t="s">
        <v>4929</v>
      </c>
      <c r="B2145" s="115" t="s">
        <v>7452</v>
      </c>
      <c r="C2145" s="116" t="s">
        <v>69</v>
      </c>
      <c r="D2145" s="116">
        <v>0</v>
      </c>
      <c r="E2145" s="136" t="s">
        <v>416</v>
      </c>
      <c r="F2145" s="137" t="str">
        <f t="shared" si="168"/>
        <v/>
      </c>
      <c r="G2145" s="138" t="e">
        <f>IF(A2145&lt;&gt;"",IF(AND(#REF!="Padrão",$H$4=#REF!),BDI!$B$17,IF(AND(#REF!="Padrão",$H$4=#REF!),BDI!#REF!,IF(AND(#REF!="Diferenciado",$H$4=#REF!),BDI!$E$17,IF(AND(#REF!="Diferenciado",$H$4=#REF!),BDI!#REF!,IF(#REF!="ZERO",0))))),"")</f>
        <v>#REF!</v>
      </c>
      <c r="H2145" s="139" t="str">
        <f t="shared" si="169"/>
        <v/>
      </c>
      <c r="I2145" s="137" t="str">
        <f t="shared" si="170"/>
        <v/>
      </c>
      <c r="J2145" s="117"/>
      <c r="K2145" s="116">
        <v>0</v>
      </c>
      <c r="M2145" s="136" t="s">
        <v>416</v>
      </c>
      <c r="N2145" t="e">
        <v>#REF!</v>
      </c>
      <c r="Q2145" t="s">
        <v>416</v>
      </c>
    </row>
    <row r="2146" spans="1:17" hidden="1" x14ac:dyDescent="0.25">
      <c r="A2146" s="114" t="s">
        <v>4930</v>
      </c>
      <c r="B2146" s="115" t="s">
        <v>7453</v>
      </c>
      <c r="C2146" s="116" t="s">
        <v>69</v>
      </c>
      <c r="D2146" s="116">
        <v>0</v>
      </c>
      <c r="E2146" s="136" t="s">
        <v>416</v>
      </c>
      <c r="F2146" s="137" t="str">
        <f t="shared" si="168"/>
        <v/>
      </c>
      <c r="G2146" s="138" t="e">
        <f>IF(A2146&lt;&gt;"",IF(AND(#REF!="Padrão",$H$4=#REF!),BDI!$B$17,IF(AND(#REF!="Padrão",$H$4=#REF!),BDI!#REF!,IF(AND(#REF!="Diferenciado",$H$4=#REF!),BDI!$E$17,IF(AND(#REF!="Diferenciado",$H$4=#REF!),BDI!#REF!,IF(#REF!="ZERO",0))))),"")</f>
        <v>#REF!</v>
      </c>
      <c r="H2146" s="139" t="str">
        <f t="shared" si="169"/>
        <v/>
      </c>
      <c r="I2146" s="137" t="str">
        <f t="shared" si="170"/>
        <v/>
      </c>
      <c r="J2146" s="117"/>
      <c r="K2146" s="116">
        <v>0</v>
      </c>
      <c r="M2146" s="136" t="s">
        <v>416</v>
      </c>
      <c r="N2146" t="e">
        <v>#REF!</v>
      </c>
      <c r="Q2146" t="s">
        <v>416</v>
      </c>
    </row>
    <row r="2147" spans="1:17" hidden="1" x14ac:dyDescent="0.25">
      <c r="A2147" s="114" t="s">
        <v>4931</v>
      </c>
      <c r="B2147" s="115" t="s">
        <v>7442</v>
      </c>
      <c r="C2147" s="116" t="s">
        <v>16</v>
      </c>
      <c r="D2147" s="116">
        <v>0</v>
      </c>
      <c r="E2147" s="136" t="s">
        <v>416</v>
      </c>
      <c r="F2147" s="137" t="str">
        <f t="shared" si="168"/>
        <v/>
      </c>
      <c r="G2147" s="138" t="e">
        <f>IF(A2147&lt;&gt;"",IF(AND(#REF!="Padrão",$H$4=#REF!),BDI!$B$17,IF(AND(#REF!="Padrão",$H$4=#REF!),BDI!#REF!,IF(AND(#REF!="Diferenciado",$H$4=#REF!),BDI!$E$17,IF(AND(#REF!="Diferenciado",$H$4=#REF!),BDI!#REF!,IF(#REF!="ZERO",0))))),"")</f>
        <v>#REF!</v>
      </c>
      <c r="H2147" s="139" t="str">
        <f t="shared" si="169"/>
        <v/>
      </c>
      <c r="I2147" s="137" t="str">
        <f t="shared" si="170"/>
        <v/>
      </c>
      <c r="J2147" s="117"/>
      <c r="K2147" s="116">
        <v>0</v>
      </c>
      <c r="M2147" s="136" t="s">
        <v>416</v>
      </c>
      <c r="N2147" t="e">
        <v>#REF!</v>
      </c>
      <c r="Q2147" t="s">
        <v>416</v>
      </c>
    </row>
    <row r="2148" spans="1:17" hidden="1" x14ac:dyDescent="0.25">
      <c r="A2148" s="114" t="s">
        <v>4932</v>
      </c>
      <c r="B2148" s="115" t="s">
        <v>7443</v>
      </c>
      <c r="C2148" s="116" t="s">
        <v>16</v>
      </c>
      <c r="D2148" s="116">
        <v>0</v>
      </c>
      <c r="E2148" s="136" t="s">
        <v>416</v>
      </c>
      <c r="F2148" s="137" t="str">
        <f t="shared" si="168"/>
        <v/>
      </c>
      <c r="G2148" s="138" t="e">
        <f>IF(A2148&lt;&gt;"",IF(AND(#REF!="Padrão",$H$4=#REF!),BDI!$B$17,IF(AND(#REF!="Padrão",$H$4=#REF!),BDI!#REF!,IF(AND(#REF!="Diferenciado",$H$4=#REF!),BDI!$E$17,IF(AND(#REF!="Diferenciado",$H$4=#REF!),BDI!#REF!,IF(#REF!="ZERO",0))))),"")</f>
        <v>#REF!</v>
      </c>
      <c r="H2148" s="139" t="str">
        <f t="shared" si="169"/>
        <v/>
      </c>
      <c r="I2148" s="137" t="str">
        <f t="shared" si="170"/>
        <v/>
      </c>
      <c r="J2148" s="117"/>
      <c r="K2148" s="116">
        <v>0</v>
      </c>
      <c r="M2148" s="136" t="s">
        <v>416</v>
      </c>
      <c r="N2148" t="e">
        <v>#REF!</v>
      </c>
      <c r="Q2148" t="s">
        <v>416</v>
      </c>
    </row>
    <row r="2149" spans="1:17" hidden="1" x14ac:dyDescent="0.25">
      <c r="A2149" s="114" t="s">
        <v>4933</v>
      </c>
      <c r="B2149" s="115" t="s">
        <v>7444</v>
      </c>
      <c r="C2149" s="116" t="s">
        <v>16</v>
      </c>
      <c r="D2149" s="116">
        <v>0</v>
      </c>
      <c r="E2149" s="136" t="s">
        <v>416</v>
      </c>
      <c r="F2149" s="137" t="str">
        <f t="shared" si="168"/>
        <v/>
      </c>
      <c r="G2149" s="138" t="e">
        <f>IF(A2149&lt;&gt;"",IF(AND(#REF!="Padrão",$H$4=#REF!),BDI!$B$17,IF(AND(#REF!="Padrão",$H$4=#REF!),BDI!#REF!,IF(AND(#REF!="Diferenciado",$H$4=#REF!),BDI!$E$17,IF(AND(#REF!="Diferenciado",$H$4=#REF!),BDI!#REF!,IF(#REF!="ZERO",0))))),"")</f>
        <v>#REF!</v>
      </c>
      <c r="H2149" s="139" t="str">
        <f t="shared" si="169"/>
        <v/>
      </c>
      <c r="I2149" s="137" t="str">
        <f t="shared" si="170"/>
        <v/>
      </c>
      <c r="J2149" s="117"/>
      <c r="K2149" s="116">
        <v>0</v>
      </c>
      <c r="M2149" s="136" t="s">
        <v>416</v>
      </c>
      <c r="N2149" t="e">
        <v>#REF!</v>
      </c>
      <c r="Q2149" t="s">
        <v>416</v>
      </c>
    </row>
    <row r="2150" spans="1:17" hidden="1" x14ac:dyDescent="0.25">
      <c r="A2150" s="114" t="s">
        <v>4934</v>
      </c>
      <c r="B2150" s="115" t="s">
        <v>7445</v>
      </c>
      <c r="C2150" s="116" t="s">
        <v>16</v>
      </c>
      <c r="D2150" s="116">
        <v>0</v>
      </c>
      <c r="E2150" s="136" t="s">
        <v>416</v>
      </c>
      <c r="F2150" s="137" t="str">
        <f t="shared" si="168"/>
        <v/>
      </c>
      <c r="G2150" s="138" t="e">
        <f>IF(A2150&lt;&gt;"",IF(AND(#REF!="Padrão",$H$4=#REF!),BDI!$B$17,IF(AND(#REF!="Padrão",$H$4=#REF!),BDI!#REF!,IF(AND(#REF!="Diferenciado",$H$4=#REF!),BDI!$E$17,IF(AND(#REF!="Diferenciado",$H$4=#REF!),BDI!#REF!,IF(#REF!="ZERO",0))))),"")</f>
        <v>#REF!</v>
      </c>
      <c r="H2150" s="139" t="str">
        <f t="shared" si="169"/>
        <v/>
      </c>
      <c r="I2150" s="137" t="str">
        <f t="shared" si="170"/>
        <v/>
      </c>
      <c r="J2150" s="117"/>
      <c r="K2150" s="116">
        <v>0</v>
      </c>
      <c r="M2150" s="136" t="s">
        <v>416</v>
      </c>
      <c r="N2150" t="e">
        <v>#REF!</v>
      </c>
      <c r="Q2150" t="s">
        <v>416</v>
      </c>
    </row>
    <row r="2151" spans="1:17" hidden="1" x14ac:dyDescent="0.25">
      <c r="A2151" s="114" t="s">
        <v>4935</v>
      </c>
      <c r="B2151" s="115" t="s">
        <v>7446</v>
      </c>
      <c r="C2151" s="116" t="s">
        <v>16</v>
      </c>
      <c r="D2151" s="116">
        <v>0</v>
      </c>
      <c r="E2151" s="136" t="s">
        <v>416</v>
      </c>
      <c r="F2151" s="137" t="str">
        <f t="shared" si="168"/>
        <v/>
      </c>
      <c r="G2151" s="138" t="e">
        <f>IF(A2151&lt;&gt;"",IF(AND(#REF!="Padrão",$H$4=#REF!),BDI!$B$17,IF(AND(#REF!="Padrão",$H$4=#REF!),BDI!#REF!,IF(AND(#REF!="Diferenciado",$H$4=#REF!),BDI!$E$17,IF(AND(#REF!="Diferenciado",$H$4=#REF!),BDI!#REF!,IF(#REF!="ZERO",0))))),"")</f>
        <v>#REF!</v>
      </c>
      <c r="H2151" s="139" t="str">
        <f t="shared" si="169"/>
        <v/>
      </c>
      <c r="I2151" s="137" t="str">
        <f t="shared" si="170"/>
        <v/>
      </c>
      <c r="J2151" s="117"/>
      <c r="K2151" s="116">
        <v>0</v>
      </c>
      <c r="M2151" s="136" t="s">
        <v>416</v>
      </c>
      <c r="N2151" t="e">
        <v>#REF!</v>
      </c>
      <c r="Q2151" t="s">
        <v>416</v>
      </c>
    </row>
    <row r="2152" spans="1:17" hidden="1" x14ac:dyDescent="0.25">
      <c r="A2152" s="114" t="s">
        <v>4936</v>
      </c>
      <c r="B2152" s="115" t="s">
        <v>7447</v>
      </c>
      <c r="C2152" s="116" t="s">
        <v>16</v>
      </c>
      <c r="D2152" s="116">
        <v>0</v>
      </c>
      <c r="E2152" s="136" t="s">
        <v>416</v>
      </c>
      <c r="F2152" s="137" t="str">
        <f t="shared" si="168"/>
        <v/>
      </c>
      <c r="G2152" s="138" t="e">
        <f>IF(A2152&lt;&gt;"",IF(AND(#REF!="Padrão",$H$4=#REF!),BDI!$B$17,IF(AND(#REF!="Padrão",$H$4=#REF!),BDI!#REF!,IF(AND(#REF!="Diferenciado",$H$4=#REF!),BDI!$E$17,IF(AND(#REF!="Diferenciado",$H$4=#REF!),BDI!#REF!,IF(#REF!="ZERO",0))))),"")</f>
        <v>#REF!</v>
      </c>
      <c r="H2152" s="139" t="str">
        <f t="shared" si="169"/>
        <v/>
      </c>
      <c r="I2152" s="137" t="str">
        <f t="shared" si="170"/>
        <v/>
      </c>
      <c r="J2152" s="117"/>
      <c r="K2152" s="116">
        <v>0</v>
      </c>
      <c r="M2152" s="136" t="s">
        <v>416</v>
      </c>
      <c r="N2152" t="e">
        <v>#REF!</v>
      </c>
      <c r="Q2152" t="s">
        <v>416</v>
      </c>
    </row>
    <row r="2153" spans="1:17" hidden="1" x14ac:dyDescent="0.25">
      <c r="A2153" s="114" t="s">
        <v>4937</v>
      </c>
      <c r="B2153" s="115" t="s">
        <v>7448</v>
      </c>
      <c r="C2153" s="116" t="s">
        <v>16</v>
      </c>
      <c r="D2153" s="116">
        <v>0</v>
      </c>
      <c r="E2153" s="136" t="s">
        <v>416</v>
      </c>
      <c r="F2153" s="137" t="str">
        <f t="shared" si="168"/>
        <v/>
      </c>
      <c r="G2153" s="138" t="e">
        <f>IF(A2153&lt;&gt;"",IF(AND(#REF!="Padrão",$H$4=#REF!),BDI!$B$17,IF(AND(#REF!="Padrão",$H$4=#REF!),BDI!#REF!,IF(AND(#REF!="Diferenciado",$H$4=#REF!),BDI!$E$17,IF(AND(#REF!="Diferenciado",$H$4=#REF!),BDI!#REF!,IF(#REF!="ZERO",0))))),"")</f>
        <v>#REF!</v>
      </c>
      <c r="H2153" s="139" t="str">
        <f t="shared" si="169"/>
        <v/>
      </c>
      <c r="I2153" s="137" t="str">
        <f t="shared" si="170"/>
        <v/>
      </c>
      <c r="J2153" s="117"/>
      <c r="K2153" s="116">
        <v>0</v>
      </c>
      <c r="M2153" s="136" t="s">
        <v>416</v>
      </c>
      <c r="N2153" t="e">
        <v>#REF!</v>
      </c>
      <c r="Q2153" t="s">
        <v>416</v>
      </c>
    </row>
    <row r="2154" spans="1:17" hidden="1" x14ac:dyDescent="0.25">
      <c r="A2154" s="114" t="s">
        <v>4938</v>
      </c>
      <c r="B2154" s="115" t="s">
        <v>7449</v>
      </c>
      <c r="C2154" s="116" t="s">
        <v>16</v>
      </c>
      <c r="D2154" s="116">
        <v>0</v>
      </c>
      <c r="E2154" s="136" t="s">
        <v>416</v>
      </c>
      <c r="F2154" s="137" t="str">
        <f t="shared" si="168"/>
        <v/>
      </c>
      <c r="G2154" s="138" t="e">
        <f>IF(A2154&lt;&gt;"",IF(AND(#REF!="Padrão",$H$4=#REF!),BDI!$B$17,IF(AND(#REF!="Padrão",$H$4=#REF!),BDI!#REF!,IF(AND(#REF!="Diferenciado",$H$4=#REF!),BDI!$E$17,IF(AND(#REF!="Diferenciado",$H$4=#REF!),BDI!#REF!,IF(#REF!="ZERO",0))))),"")</f>
        <v>#REF!</v>
      </c>
      <c r="H2154" s="139" t="str">
        <f t="shared" si="169"/>
        <v/>
      </c>
      <c r="I2154" s="137" t="str">
        <f t="shared" si="170"/>
        <v/>
      </c>
      <c r="J2154" s="117"/>
      <c r="K2154" s="116">
        <v>0</v>
      </c>
      <c r="M2154" s="136" t="s">
        <v>416</v>
      </c>
      <c r="N2154" t="e">
        <v>#REF!</v>
      </c>
      <c r="Q2154" t="s">
        <v>416</v>
      </c>
    </row>
    <row r="2155" spans="1:17" hidden="1" x14ac:dyDescent="0.25">
      <c r="A2155" s="114" t="s">
        <v>4939</v>
      </c>
      <c r="B2155" s="115" t="s">
        <v>7450</v>
      </c>
      <c r="C2155" s="116" t="s">
        <v>16</v>
      </c>
      <c r="D2155" s="116">
        <v>0</v>
      </c>
      <c r="E2155" s="136" t="s">
        <v>416</v>
      </c>
      <c r="F2155" s="137" t="str">
        <f t="shared" si="168"/>
        <v/>
      </c>
      <c r="G2155" s="138" t="e">
        <f>IF(A2155&lt;&gt;"",IF(AND(#REF!="Padrão",$H$4=#REF!),BDI!$B$17,IF(AND(#REF!="Padrão",$H$4=#REF!),BDI!#REF!,IF(AND(#REF!="Diferenciado",$H$4=#REF!),BDI!$E$17,IF(AND(#REF!="Diferenciado",$H$4=#REF!),BDI!#REF!,IF(#REF!="ZERO",0))))),"")</f>
        <v>#REF!</v>
      </c>
      <c r="H2155" s="139" t="str">
        <f t="shared" si="169"/>
        <v/>
      </c>
      <c r="I2155" s="137" t="str">
        <f t="shared" si="170"/>
        <v/>
      </c>
      <c r="J2155" s="117"/>
      <c r="K2155" s="116">
        <v>0</v>
      </c>
      <c r="M2155" s="136" t="s">
        <v>416</v>
      </c>
      <c r="N2155" t="e">
        <v>#REF!</v>
      </c>
      <c r="Q2155" t="s">
        <v>416</v>
      </c>
    </row>
    <row r="2156" spans="1:17" hidden="1" x14ac:dyDescent="0.25">
      <c r="A2156" s="114" t="s">
        <v>4940</v>
      </c>
      <c r="B2156" s="115" t="s">
        <v>3766</v>
      </c>
      <c r="C2156" s="116" t="s">
        <v>16</v>
      </c>
      <c r="D2156" s="116">
        <v>0</v>
      </c>
      <c r="E2156" s="136" t="s">
        <v>416</v>
      </c>
      <c r="F2156" s="137" t="str">
        <f t="shared" si="168"/>
        <v/>
      </c>
      <c r="G2156" s="138" t="e">
        <f>IF(A2156&lt;&gt;"",IF(AND(#REF!="Padrão",$H$4=#REF!),BDI!$B$17,IF(AND(#REF!="Padrão",$H$4=#REF!),BDI!#REF!,IF(AND(#REF!="Diferenciado",$H$4=#REF!),BDI!$E$17,IF(AND(#REF!="Diferenciado",$H$4=#REF!),BDI!#REF!,IF(#REF!="ZERO",0))))),"")</f>
        <v>#REF!</v>
      </c>
      <c r="H2156" s="139" t="str">
        <f t="shared" si="169"/>
        <v/>
      </c>
      <c r="I2156" s="137" t="str">
        <f t="shared" si="170"/>
        <v/>
      </c>
      <c r="J2156" s="117"/>
      <c r="K2156" s="116">
        <v>0</v>
      </c>
      <c r="M2156" s="136" t="s">
        <v>416</v>
      </c>
      <c r="N2156" t="e">
        <v>#REF!</v>
      </c>
      <c r="Q2156" t="s">
        <v>416</v>
      </c>
    </row>
    <row r="2157" spans="1:17" hidden="1" x14ac:dyDescent="0.25">
      <c r="A2157" s="114" t="s">
        <v>4941</v>
      </c>
      <c r="B2157" s="115" t="s">
        <v>3767</v>
      </c>
      <c r="C2157" s="116" t="s">
        <v>16</v>
      </c>
      <c r="D2157" s="116">
        <v>0</v>
      </c>
      <c r="E2157" s="136" t="s">
        <v>416</v>
      </c>
      <c r="F2157" s="137" t="str">
        <f t="shared" ref="F2157:F2220" si="171">IF(ISNUMBER(E2157),D2157*E2157,"")</f>
        <v/>
      </c>
      <c r="G2157" s="138" t="e">
        <f>IF(A2157&lt;&gt;"",IF(AND(#REF!="Padrão",$H$4=#REF!),BDI!$B$17,IF(AND(#REF!="Padrão",$H$4=#REF!),BDI!#REF!,IF(AND(#REF!="Diferenciado",$H$4=#REF!),BDI!$E$17,IF(AND(#REF!="Diferenciado",$H$4=#REF!),BDI!#REF!,IF(#REF!="ZERO",0))))),"")</f>
        <v>#REF!</v>
      </c>
      <c r="H2157" s="139" t="str">
        <f t="shared" ref="H2157:H2220" si="172">IF(ISNUMBER(E2157),ROUND(E2157*(1+G2157),2),"")</f>
        <v/>
      </c>
      <c r="I2157" s="137" t="str">
        <f t="shared" ref="I2157:I2220" si="173">IF(ISNUMBER(E2157),ROUND(H2157*D2157,2),"")</f>
        <v/>
      </c>
      <c r="J2157" s="117"/>
      <c r="K2157" s="116">
        <v>0</v>
      </c>
      <c r="M2157" s="136" t="s">
        <v>416</v>
      </c>
      <c r="N2157" t="e">
        <v>#REF!</v>
      </c>
      <c r="Q2157" t="s">
        <v>416</v>
      </c>
    </row>
    <row r="2158" spans="1:17" hidden="1" x14ac:dyDescent="0.25">
      <c r="A2158" s="114" t="s">
        <v>4942</v>
      </c>
      <c r="B2158" s="115" t="s">
        <v>3768</v>
      </c>
      <c r="C2158" s="116" t="s">
        <v>16</v>
      </c>
      <c r="D2158" s="116">
        <v>0</v>
      </c>
      <c r="E2158" s="136" t="s">
        <v>416</v>
      </c>
      <c r="F2158" s="137" t="str">
        <f t="shared" si="171"/>
        <v/>
      </c>
      <c r="G2158" s="138" t="e">
        <f>IF(A2158&lt;&gt;"",IF(AND(#REF!="Padrão",$H$4=#REF!),BDI!$B$17,IF(AND(#REF!="Padrão",$H$4=#REF!),BDI!#REF!,IF(AND(#REF!="Diferenciado",$H$4=#REF!),BDI!$E$17,IF(AND(#REF!="Diferenciado",$H$4=#REF!),BDI!#REF!,IF(#REF!="ZERO",0))))),"")</f>
        <v>#REF!</v>
      </c>
      <c r="H2158" s="139" t="str">
        <f t="shared" si="172"/>
        <v/>
      </c>
      <c r="I2158" s="137" t="str">
        <f t="shared" si="173"/>
        <v/>
      </c>
      <c r="J2158" s="117"/>
      <c r="K2158" s="116">
        <v>0</v>
      </c>
      <c r="M2158" s="136" t="s">
        <v>416</v>
      </c>
      <c r="N2158" t="e">
        <v>#REF!</v>
      </c>
      <c r="Q2158" t="s">
        <v>416</v>
      </c>
    </row>
    <row r="2159" spans="1:17" hidden="1" x14ac:dyDescent="0.25">
      <c r="A2159" s="114" t="s">
        <v>4943</v>
      </c>
      <c r="B2159" s="115" t="s">
        <v>3769</v>
      </c>
      <c r="C2159" s="116" t="s">
        <v>16</v>
      </c>
      <c r="D2159" s="116">
        <v>0</v>
      </c>
      <c r="E2159" s="136" t="s">
        <v>416</v>
      </c>
      <c r="F2159" s="137" t="str">
        <f t="shared" si="171"/>
        <v/>
      </c>
      <c r="G2159" s="138" t="e">
        <f>IF(A2159&lt;&gt;"",IF(AND(#REF!="Padrão",$H$4=#REF!),BDI!$B$17,IF(AND(#REF!="Padrão",$H$4=#REF!),BDI!#REF!,IF(AND(#REF!="Diferenciado",$H$4=#REF!),BDI!$E$17,IF(AND(#REF!="Diferenciado",$H$4=#REF!),BDI!#REF!,IF(#REF!="ZERO",0))))),"")</f>
        <v>#REF!</v>
      </c>
      <c r="H2159" s="139" t="str">
        <f t="shared" si="172"/>
        <v/>
      </c>
      <c r="I2159" s="137" t="str">
        <f t="shared" si="173"/>
        <v/>
      </c>
      <c r="J2159" s="117"/>
      <c r="K2159" s="116">
        <v>0</v>
      </c>
      <c r="M2159" s="136" t="s">
        <v>416</v>
      </c>
      <c r="N2159" t="e">
        <v>#REF!</v>
      </c>
      <c r="Q2159" t="s">
        <v>416</v>
      </c>
    </row>
    <row r="2160" spans="1:17" hidden="1" x14ac:dyDescent="0.25">
      <c r="A2160" s="114" t="s">
        <v>4944</v>
      </c>
      <c r="B2160" s="115" t="s">
        <v>3770</v>
      </c>
      <c r="C2160" s="116" t="s">
        <v>16</v>
      </c>
      <c r="D2160" s="116">
        <v>0</v>
      </c>
      <c r="E2160" s="136" t="s">
        <v>416</v>
      </c>
      <c r="F2160" s="137" t="str">
        <f t="shared" si="171"/>
        <v/>
      </c>
      <c r="G2160" s="138" t="e">
        <f>IF(A2160&lt;&gt;"",IF(AND(#REF!="Padrão",$H$4=#REF!),BDI!$B$17,IF(AND(#REF!="Padrão",$H$4=#REF!),BDI!#REF!,IF(AND(#REF!="Diferenciado",$H$4=#REF!),BDI!$E$17,IF(AND(#REF!="Diferenciado",$H$4=#REF!),BDI!#REF!,IF(#REF!="ZERO",0))))),"")</f>
        <v>#REF!</v>
      </c>
      <c r="H2160" s="139" t="str">
        <f t="shared" si="172"/>
        <v/>
      </c>
      <c r="I2160" s="137" t="str">
        <f t="shared" si="173"/>
        <v/>
      </c>
      <c r="J2160" s="117"/>
      <c r="K2160" s="116">
        <v>0</v>
      </c>
      <c r="M2160" s="136" t="s">
        <v>416</v>
      </c>
      <c r="N2160" t="e">
        <v>#REF!</v>
      </c>
      <c r="Q2160" t="s">
        <v>416</v>
      </c>
    </row>
    <row r="2161" spans="1:17" hidden="1" x14ac:dyDescent="0.25">
      <c r="A2161" s="114" t="s">
        <v>4945</v>
      </c>
      <c r="B2161" s="115" t="s">
        <v>3771</v>
      </c>
      <c r="C2161" s="116" t="s">
        <v>16</v>
      </c>
      <c r="D2161" s="116">
        <v>0</v>
      </c>
      <c r="E2161" s="136" t="s">
        <v>416</v>
      </c>
      <c r="F2161" s="137" t="str">
        <f t="shared" si="171"/>
        <v/>
      </c>
      <c r="G2161" s="138" t="e">
        <f>IF(A2161&lt;&gt;"",IF(AND(#REF!="Padrão",$H$4=#REF!),BDI!$B$17,IF(AND(#REF!="Padrão",$H$4=#REF!),BDI!#REF!,IF(AND(#REF!="Diferenciado",$H$4=#REF!),BDI!$E$17,IF(AND(#REF!="Diferenciado",$H$4=#REF!),BDI!#REF!,IF(#REF!="ZERO",0))))),"")</f>
        <v>#REF!</v>
      </c>
      <c r="H2161" s="139" t="str">
        <f t="shared" si="172"/>
        <v/>
      </c>
      <c r="I2161" s="137" t="str">
        <f t="shared" si="173"/>
        <v/>
      </c>
      <c r="J2161" s="117"/>
      <c r="K2161" s="116">
        <v>0</v>
      </c>
      <c r="M2161" s="136" t="s">
        <v>416</v>
      </c>
      <c r="N2161" t="e">
        <v>#REF!</v>
      </c>
      <c r="Q2161" t="s">
        <v>416</v>
      </c>
    </row>
    <row r="2162" spans="1:17" hidden="1" x14ac:dyDescent="0.25">
      <c r="A2162" s="114" t="s">
        <v>4946</v>
      </c>
      <c r="B2162" s="115" t="s">
        <v>3772</v>
      </c>
      <c r="C2162" s="116" t="s">
        <v>16</v>
      </c>
      <c r="D2162" s="116">
        <v>0</v>
      </c>
      <c r="E2162" s="136" t="s">
        <v>416</v>
      </c>
      <c r="F2162" s="137" t="str">
        <f t="shared" si="171"/>
        <v/>
      </c>
      <c r="G2162" s="138" t="e">
        <f>IF(A2162&lt;&gt;"",IF(AND(#REF!="Padrão",$H$4=#REF!),BDI!$B$17,IF(AND(#REF!="Padrão",$H$4=#REF!),BDI!#REF!,IF(AND(#REF!="Diferenciado",$H$4=#REF!),BDI!$E$17,IF(AND(#REF!="Diferenciado",$H$4=#REF!),BDI!#REF!,IF(#REF!="ZERO",0))))),"")</f>
        <v>#REF!</v>
      </c>
      <c r="H2162" s="139" t="str">
        <f t="shared" si="172"/>
        <v/>
      </c>
      <c r="I2162" s="137" t="str">
        <f t="shared" si="173"/>
        <v/>
      </c>
      <c r="J2162" s="117"/>
      <c r="K2162" s="116">
        <v>0</v>
      </c>
      <c r="M2162" s="136" t="s">
        <v>416</v>
      </c>
      <c r="N2162" t="e">
        <v>#REF!</v>
      </c>
      <c r="Q2162" t="s">
        <v>416</v>
      </c>
    </row>
    <row r="2163" spans="1:17" hidden="1" x14ac:dyDescent="0.25">
      <c r="A2163" s="114" t="s">
        <v>4947</v>
      </c>
      <c r="B2163" s="115" t="s">
        <v>3773</v>
      </c>
      <c r="C2163" s="116" t="s">
        <v>16</v>
      </c>
      <c r="D2163" s="116">
        <v>0</v>
      </c>
      <c r="E2163" s="136" t="s">
        <v>416</v>
      </c>
      <c r="F2163" s="137" t="str">
        <f t="shared" si="171"/>
        <v/>
      </c>
      <c r="G2163" s="138" t="e">
        <f>IF(A2163&lt;&gt;"",IF(AND(#REF!="Padrão",$H$4=#REF!),BDI!$B$17,IF(AND(#REF!="Padrão",$H$4=#REF!),BDI!#REF!,IF(AND(#REF!="Diferenciado",$H$4=#REF!),BDI!$E$17,IF(AND(#REF!="Diferenciado",$H$4=#REF!),BDI!#REF!,IF(#REF!="ZERO",0))))),"")</f>
        <v>#REF!</v>
      </c>
      <c r="H2163" s="139" t="str">
        <f t="shared" si="172"/>
        <v/>
      </c>
      <c r="I2163" s="137" t="str">
        <f t="shared" si="173"/>
        <v/>
      </c>
      <c r="J2163" s="117"/>
      <c r="K2163" s="116">
        <v>0</v>
      </c>
      <c r="M2163" s="136" t="s">
        <v>416</v>
      </c>
      <c r="N2163" t="e">
        <v>#REF!</v>
      </c>
      <c r="Q2163" t="s">
        <v>416</v>
      </c>
    </row>
    <row r="2164" spans="1:17" hidden="1" x14ac:dyDescent="0.25">
      <c r="A2164" s="114" t="s">
        <v>4948</v>
      </c>
      <c r="B2164" s="115" t="s">
        <v>3774</v>
      </c>
      <c r="C2164" s="116" t="s">
        <v>16</v>
      </c>
      <c r="D2164" s="116">
        <v>0</v>
      </c>
      <c r="E2164" s="136" t="s">
        <v>416</v>
      </c>
      <c r="F2164" s="137" t="str">
        <f t="shared" si="171"/>
        <v/>
      </c>
      <c r="G2164" s="138" t="e">
        <f>IF(A2164&lt;&gt;"",IF(AND(#REF!="Padrão",$H$4=#REF!),BDI!$B$17,IF(AND(#REF!="Padrão",$H$4=#REF!),BDI!#REF!,IF(AND(#REF!="Diferenciado",$H$4=#REF!),BDI!$E$17,IF(AND(#REF!="Diferenciado",$H$4=#REF!),BDI!#REF!,IF(#REF!="ZERO",0))))),"")</f>
        <v>#REF!</v>
      </c>
      <c r="H2164" s="139" t="str">
        <f t="shared" si="172"/>
        <v/>
      </c>
      <c r="I2164" s="137" t="str">
        <f t="shared" si="173"/>
        <v/>
      </c>
      <c r="J2164" s="117"/>
      <c r="K2164" s="116">
        <v>0</v>
      </c>
      <c r="M2164" s="136" t="s">
        <v>416</v>
      </c>
      <c r="N2164" t="e">
        <v>#REF!</v>
      </c>
      <c r="Q2164" t="s">
        <v>416</v>
      </c>
    </row>
    <row r="2165" spans="1:17" hidden="1" x14ac:dyDescent="0.25">
      <c r="A2165" s="114" t="s">
        <v>4949</v>
      </c>
      <c r="B2165" s="115" t="s">
        <v>3775</v>
      </c>
      <c r="C2165" s="116" t="s">
        <v>69</v>
      </c>
      <c r="D2165" s="116">
        <v>0</v>
      </c>
      <c r="E2165" s="136" t="s">
        <v>416</v>
      </c>
      <c r="F2165" s="137" t="str">
        <f t="shared" si="171"/>
        <v/>
      </c>
      <c r="G2165" s="138" t="e">
        <f>IF(A2165&lt;&gt;"",IF(AND(#REF!="Padrão",$H$4=#REF!),BDI!$B$17,IF(AND(#REF!="Padrão",$H$4=#REF!),BDI!#REF!,IF(AND(#REF!="Diferenciado",$H$4=#REF!),BDI!$E$17,IF(AND(#REF!="Diferenciado",$H$4=#REF!),BDI!#REF!,IF(#REF!="ZERO",0))))),"")</f>
        <v>#REF!</v>
      </c>
      <c r="H2165" s="139" t="str">
        <f t="shared" si="172"/>
        <v/>
      </c>
      <c r="I2165" s="137" t="str">
        <f t="shared" si="173"/>
        <v/>
      </c>
      <c r="J2165" s="117"/>
      <c r="K2165" s="116">
        <v>0</v>
      </c>
      <c r="M2165" s="136" t="s">
        <v>416</v>
      </c>
      <c r="N2165" t="e">
        <v>#REF!</v>
      </c>
      <c r="Q2165" t="s">
        <v>416</v>
      </c>
    </row>
    <row r="2166" spans="1:17" hidden="1" x14ac:dyDescent="0.25">
      <c r="A2166" s="114" t="s">
        <v>4950</v>
      </c>
      <c r="B2166" s="115" t="s">
        <v>3776</v>
      </c>
      <c r="C2166" s="116" t="s">
        <v>16</v>
      </c>
      <c r="D2166" s="116">
        <v>0</v>
      </c>
      <c r="E2166" s="136" t="s">
        <v>416</v>
      </c>
      <c r="F2166" s="137" t="str">
        <f t="shared" si="171"/>
        <v/>
      </c>
      <c r="G2166" s="138" t="e">
        <f>IF(A2166&lt;&gt;"",IF(AND(#REF!="Padrão",$H$4=#REF!),BDI!$B$17,IF(AND(#REF!="Padrão",$H$4=#REF!),BDI!#REF!,IF(AND(#REF!="Diferenciado",$H$4=#REF!),BDI!$E$17,IF(AND(#REF!="Diferenciado",$H$4=#REF!),BDI!#REF!,IF(#REF!="ZERO",0))))),"")</f>
        <v>#REF!</v>
      </c>
      <c r="H2166" s="139" t="str">
        <f t="shared" si="172"/>
        <v/>
      </c>
      <c r="I2166" s="137" t="str">
        <f t="shared" si="173"/>
        <v/>
      </c>
      <c r="J2166" s="117"/>
      <c r="K2166" s="116">
        <v>0</v>
      </c>
      <c r="M2166" s="136" t="s">
        <v>416</v>
      </c>
      <c r="N2166" t="e">
        <v>#REF!</v>
      </c>
      <c r="Q2166" t="s">
        <v>416</v>
      </c>
    </row>
    <row r="2167" spans="1:17" hidden="1" x14ac:dyDescent="0.25">
      <c r="A2167" s="114" t="s">
        <v>4951</v>
      </c>
      <c r="B2167" s="115" t="s">
        <v>3777</v>
      </c>
      <c r="C2167" s="116" t="s">
        <v>16</v>
      </c>
      <c r="D2167" s="116">
        <v>0</v>
      </c>
      <c r="E2167" s="136" t="s">
        <v>416</v>
      </c>
      <c r="F2167" s="137" t="str">
        <f t="shared" si="171"/>
        <v/>
      </c>
      <c r="G2167" s="138" t="e">
        <f>IF(A2167&lt;&gt;"",IF(AND(#REF!="Padrão",$H$4=#REF!),BDI!$B$17,IF(AND(#REF!="Padrão",$H$4=#REF!),BDI!#REF!,IF(AND(#REF!="Diferenciado",$H$4=#REF!),BDI!$E$17,IF(AND(#REF!="Diferenciado",$H$4=#REF!),BDI!#REF!,IF(#REF!="ZERO",0))))),"")</f>
        <v>#REF!</v>
      </c>
      <c r="H2167" s="139" t="str">
        <f t="shared" si="172"/>
        <v/>
      </c>
      <c r="I2167" s="137" t="str">
        <f t="shared" si="173"/>
        <v/>
      </c>
      <c r="J2167" s="117"/>
      <c r="K2167" s="116">
        <v>0</v>
      </c>
      <c r="M2167" s="136" t="s">
        <v>416</v>
      </c>
      <c r="N2167" t="e">
        <v>#REF!</v>
      </c>
      <c r="Q2167" t="s">
        <v>416</v>
      </c>
    </row>
    <row r="2168" spans="1:17" hidden="1" x14ac:dyDescent="0.25">
      <c r="A2168" s="114" t="s">
        <v>4952</v>
      </c>
      <c r="B2168" s="115" t="s">
        <v>3778</v>
      </c>
      <c r="C2168" s="116" t="s">
        <v>16</v>
      </c>
      <c r="D2168" s="116">
        <v>0</v>
      </c>
      <c r="E2168" s="136" t="s">
        <v>416</v>
      </c>
      <c r="F2168" s="137" t="str">
        <f t="shared" si="171"/>
        <v/>
      </c>
      <c r="G2168" s="138" t="e">
        <f>IF(A2168&lt;&gt;"",IF(AND(#REF!="Padrão",$H$4=#REF!),BDI!$B$17,IF(AND(#REF!="Padrão",$H$4=#REF!),BDI!#REF!,IF(AND(#REF!="Diferenciado",$H$4=#REF!),BDI!$E$17,IF(AND(#REF!="Diferenciado",$H$4=#REF!),BDI!#REF!,IF(#REF!="ZERO",0))))),"")</f>
        <v>#REF!</v>
      </c>
      <c r="H2168" s="139" t="str">
        <f t="shared" si="172"/>
        <v/>
      </c>
      <c r="I2168" s="137" t="str">
        <f t="shared" si="173"/>
        <v/>
      </c>
      <c r="J2168" s="117"/>
      <c r="K2168" s="116">
        <v>0</v>
      </c>
      <c r="M2168" s="136" t="s">
        <v>416</v>
      </c>
      <c r="N2168" t="e">
        <v>#REF!</v>
      </c>
      <c r="Q2168" t="s">
        <v>416</v>
      </c>
    </row>
    <row r="2169" spans="1:17" hidden="1" x14ac:dyDescent="0.25">
      <c r="A2169" s="114" t="s">
        <v>4953</v>
      </c>
      <c r="B2169" s="115" t="s">
        <v>3779</v>
      </c>
      <c r="C2169" s="116" t="s">
        <v>16</v>
      </c>
      <c r="D2169" s="116">
        <v>0</v>
      </c>
      <c r="E2169" s="136" t="s">
        <v>416</v>
      </c>
      <c r="F2169" s="137" t="str">
        <f t="shared" si="171"/>
        <v/>
      </c>
      <c r="G2169" s="138" t="e">
        <f>IF(A2169&lt;&gt;"",IF(AND(#REF!="Padrão",$H$4=#REF!),BDI!$B$17,IF(AND(#REF!="Padrão",$H$4=#REF!),BDI!#REF!,IF(AND(#REF!="Diferenciado",$H$4=#REF!),BDI!$E$17,IF(AND(#REF!="Diferenciado",$H$4=#REF!),BDI!#REF!,IF(#REF!="ZERO",0))))),"")</f>
        <v>#REF!</v>
      </c>
      <c r="H2169" s="139" t="str">
        <f t="shared" si="172"/>
        <v/>
      </c>
      <c r="I2169" s="137" t="str">
        <f t="shared" si="173"/>
        <v/>
      </c>
      <c r="J2169" s="117"/>
      <c r="K2169" s="116">
        <v>0</v>
      </c>
      <c r="M2169" s="136" t="s">
        <v>416</v>
      </c>
      <c r="N2169" t="e">
        <v>#REF!</v>
      </c>
      <c r="Q2169" t="s">
        <v>416</v>
      </c>
    </row>
    <row r="2170" spans="1:17" hidden="1" x14ac:dyDescent="0.25">
      <c r="A2170" s="114" t="s">
        <v>4954</v>
      </c>
      <c r="B2170" s="115" t="s">
        <v>3780</v>
      </c>
      <c r="C2170" s="116" t="s">
        <v>16</v>
      </c>
      <c r="D2170" s="116">
        <v>0</v>
      </c>
      <c r="E2170" s="136" t="s">
        <v>416</v>
      </c>
      <c r="F2170" s="137" t="str">
        <f t="shared" si="171"/>
        <v/>
      </c>
      <c r="G2170" s="138" t="e">
        <f>IF(A2170&lt;&gt;"",IF(AND(#REF!="Padrão",$H$4=#REF!),BDI!$B$17,IF(AND(#REF!="Padrão",$H$4=#REF!),BDI!#REF!,IF(AND(#REF!="Diferenciado",$H$4=#REF!),BDI!$E$17,IF(AND(#REF!="Diferenciado",$H$4=#REF!),BDI!#REF!,IF(#REF!="ZERO",0))))),"")</f>
        <v>#REF!</v>
      </c>
      <c r="H2170" s="139" t="str">
        <f t="shared" si="172"/>
        <v/>
      </c>
      <c r="I2170" s="137" t="str">
        <f t="shared" si="173"/>
        <v/>
      </c>
      <c r="J2170" s="117"/>
      <c r="K2170" s="116">
        <v>0</v>
      </c>
      <c r="M2170" s="136" t="s">
        <v>416</v>
      </c>
      <c r="N2170" t="e">
        <v>#REF!</v>
      </c>
      <c r="Q2170" t="s">
        <v>416</v>
      </c>
    </row>
    <row r="2171" spans="1:17" hidden="1" x14ac:dyDescent="0.25">
      <c r="A2171" s="114" t="s">
        <v>4955</v>
      </c>
      <c r="B2171" s="115" t="s">
        <v>3781</v>
      </c>
      <c r="C2171" s="116" t="s">
        <v>16</v>
      </c>
      <c r="D2171" s="116">
        <v>0</v>
      </c>
      <c r="E2171" s="136" t="s">
        <v>416</v>
      </c>
      <c r="F2171" s="137" t="str">
        <f t="shared" si="171"/>
        <v/>
      </c>
      <c r="G2171" s="138" t="e">
        <f>IF(A2171&lt;&gt;"",IF(AND(#REF!="Padrão",$H$4=#REF!),BDI!$B$17,IF(AND(#REF!="Padrão",$H$4=#REF!),BDI!#REF!,IF(AND(#REF!="Diferenciado",$H$4=#REF!),BDI!$E$17,IF(AND(#REF!="Diferenciado",$H$4=#REF!),BDI!#REF!,IF(#REF!="ZERO",0))))),"")</f>
        <v>#REF!</v>
      </c>
      <c r="H2171" s="139" t="str">
        <f t="shared" si="172"/>
        <v/>
      </c>
      <c r="I2171" s="137" t="str">
        <f t="shared" si="173"/>
        <v/>
      </c>
      <c r="J2171" s="117"/>
      <c r="K2171" s="116">
        <v>0</v>
      </c>
      <c r="M2171" s="136" t="s">
        <v>416</v>
      </c>
      <c r="N2171" t="e">
        <v>#REF!</v>
      </c>
      <c r="Q2171" t="s">
        <v>416</v>
      </c>
    </row>
    <row r="2172" spans="1:17" hidden="1" x14ac:dyDescent="0.25">
      <c r="A2172" s="114" t="s">
        <v>4956</v>
      </c>
      <c r="B2172" s="115" t="s">
        <v>3782</v>
      </c>
      <c r="C2172" s="116" t="s">
        <v>16</v>
      </c>
      <c r="D2172" s="116">
        <v>0</v>
      </c>
      <c r="E2172" s="136" t="s">
        <v>416</v>
      </c>
      <c r="F2172" s="137" t="str">
        <f t="shared" si="171"/>
        <v/>
      </c>
      <c r="G2172" s="138" t="e">
        <f>IF(A2172&lt;&gt;"",IF(AND(#REF!="Padrão",$H$4=#REF!),BDI!$B$17,IF(AND(#REF!="Padrão",$H$4=#REF!),BDI!#REF!,IF(AND(#REF!="Diferenciado",$H$4=#REF!),BDI!$E$17,IF(AND(#REF!="Diferenciado",$H$4=#REF!),BDI!#REF!,IF(#REF!="ZERO",0))))),"")</f>
        <v>#REF!</v>
      </c>
      <c r="H2172" s="139" t="str">
        <f t="shared" si="172"/>
        <v/>
      </c>
      <c r="I2172" s="137" t="str">
        <f t="shared" si="173"/>
        <v/>
      </c>
      <c r="J2172" s="117"/>
      <c r="K2172" s="116">
        <v>0</v>
      </c>
      <c r="M2172" s="136" t="s">
        <v>416</v>
      </c>
      <c r="N2172" t="e">
        <v>#REF!</v>
      </c>
      <c r="Q2172" t="s">
        <v>416</v>
      </c>
    </row>
    <row r="2173" spans="1:17" hidden="1" x14ac:dyDescent="0.25">
      <c r="A2173" s="114" t="s">
        <v>4957</v>
      </c>
      <c r="B2173" s="115" t="s">
        <v>3783</v>
      </c>
      <c r="C2173" s="116" t="s">
        <v>16</v>
      </c>
      <c r="D2173" s="116">
        <v>0</v>
      </c>
      <c r="E2173" s="136" t="s">
        <v>416</v>
      </c>
      <c r="F2173" s="137" t="str">
        <f t="shared" si="171"/>
        <v/>
      </c>
      <c r="G2173" s="138" t="e">
        <f>IF(A2173&lt;&gt;"",IF(AND(#REF!="Padrão",$H$4=#REF!),BDI!$B$17,IF(AND(#REF!="Padrão",$H$4=#REF!),BDI!#REF!,IF(AND(#REF!="Diferenciado",$H$4=#REF!),BDI!$E$17,IF(AND(#REF!="Diferenciado",$H$4=#REF!),BDI!#REF!,IF(#REF!="ZERO",0))))),"")</f>
        <v>#REF!</v>
      </c>
      <c r="H2173" s="139" t="str">
        <f t="shared" si="172"/>
        <v/>
      </c>
      <c r="I2173" s="137" t="str">
        <f t="shared" si="173"/>
        <v/>
      </c>
      <c r="J2173" s="117"/>
      <c r="K2173" s="116">
        <v>0</v>
      </c>
      <c r="M2173" s="136" t="s">
        <v>416</v>
      </c>
      <c r="N2173" t="e">
        <v>#REF!</v>
      </c>
      <c r="Q2173" t="s">
        <v>416</v>
      </c>
    </row>
    <row r="2174" spans="1:17" hidden="1" x14ac:dyDescent="0.25">
      <c r="A2174" s="114" t="s">
        <v>4958</v>
      </c>
      <c r="B2174" s="115" t="s">
        <v>3784</v>
      </c>
      <c r="C2174" s="116" t="s">
        <v>16</v>
      </c>
      <c r="D2174" s="116">
        <v>0</v>
      </c>
      <c r="E2174" s="136" t="s">
        <v>416</v>
      </c>
      <c r="F2174" s="137" t="str">
        <f t="shared" si="171"/>
        <v/>
      </c>
      <c r="G2174" s="138" t="e">
        <f>IF(A2174&lt;&gt;"",IF(AND(#REF!="Padrão",$H$4=#REF!),BDI!$B$17,IF(AND(#REF!="Padrão",$H$4=#REF!),BDI!#REF!,IF(AND(#REF!="Diferenciado",$H$4=#REF!),BDI!$E$17,IF(AND(#REF!="Diferenciado",$H$4=#REF!),BDI!#REF!,IF(#REF!="ZERO",0))))),"")</f>
        <v>#REF!</v>
      </c>
      <c r="H2174" s="139" t="str">
        <f t="shared" si="172"/>
        <v/>
      </c>
      <c r="I2174" s="137" t="str">
        <f t="shared" si="173"/>
        <v/>
      </c>
      <c r="J2174" s="117"/>
      <c r="K2174" s="116">
        <v>0</v>
      </c>
      <c r="M2174" s="136" t="s">
        <v>416</v>
      </c>
      <c r="N2174" t="e">
        <v>#REF!</v>
      </c>
      <c r="Q2174" t="s">
        <v>416</v>
      </c>
    </row>
    <row r="2175" spans="1:17" hidden="1" x14ac:dyDescent="0.25">
      <c r="A2175" s="114" t="s">
        <v>4959</v>
      </c>
      <c r="B2175" s="115" t="s">
        <v>3785</v>
      </c>
      <c r="C2175" s="116" t="s">
        <v>16</v>
      </c>
      <c r="D2175" s="116">
        <v>0</v>
      </c>
      <c r="E2175" s="136" t="s">
        <v>416</v>
      </c>
      <c r="F2175" s="137" t="str">
        <f t="shared" si="171"/>
        <v/>
      </c>
      <c r="G2175" s="138" t="e">
        <f>IF(A2175&lt;&gt;"",IF(AND(#REF!="Padrão",$H$4=#REF!),BDI!$B$17,IF(AND(#REF!="Padrão",$H$4=#REF!),BDI!#REF!,IF(AND(#REF!="Diferenciado",$H$4=#REF!),BDI!$E$17,IF(AND(#REF!="Diferenciado",$H$4=#REF!),BDI!#REF!,IF(#REF!="ZERO",0))))),"")</f>
        <v>#REF!</v>
      </c>
      <c r="H2175" s="139" t="str">
        <f t="shared" si="172"/>
        <v/>
      </c>
      <c r="I2175" s="137" t="str">
        <f t="shared" si="173"/>
        <v/>
      </c>
      <c r="J2175" s="117"/>
      <c r="K2175" s="116">
        <v>0</v>
      </c>
      <c r="M2175" s="136" t="s">
        <v>416</v>
      </c>
      <c r="N2175" t="e">
        <v>#REF!</v>
      </c>
      <c r="Q2175" t="s">
        <v>416</v>
      </c>
    </row>
    <row r="2176" spans="1:17" hidden="1" x14ac:dyDescent="0.25">
      <c r="A2176" s="114" t="s">
        <v>4960</v>
      </c>
      <c r="B2176" s="115" t="s">
        <v>3786</v>
      </c>
      <c r="C2176" s="116" t="s">
        <v>16</v>
      </c>
      <c r="D2176" s="116">
        <v>0</v>
      </c>
      <c r="E2176" s="136" t="s">
        <v>416</v>
      </c>
      <c r="F2176" s="137" t="str">
        <f t="shared" si="171"/>
        <v/>
      </c>
      <c r="G2176" s="138" t="e">
        <f>IF(A2176&lt;&gt;"",IF(AND(#REF!="Padrão",$H$4=#REF!),BDI!$B$17,IF(AND(#REF!="Padrão",$H$4=#REF!),BDI!#REF!,IF(AND(#REF!="Diferenciado",$H$4=#REF!),BDI!$E$17,IF(AND(#REF!="Diferenciado",$H$4=#REF!),BDI!#REF!,IF(#REF!="ZERO",0))))),"")</f>
        <v>#REF!</v>
      </c>
      <c r="H2176" s="139" t="str">
        <f t="shared" si="172"/>
        <v/>
      </c>
      <c r="I2176" s="137" t="str">
        <f t="shared" si="173"/>
        <v/>
      </c>
      <c r="J2176" s="117"/>
      <c r="K2176" s="116">
        <v>0</v>
      </c>
      <c r="M2176" s="136" t="s">
        <v>416</v>
      </c>
      <c r="N2176" t="e">
        <v>#REF!</v>
      </c>
      <c r="Q2176" t="s">
        <v>416</v>
      </c>
    </row>
    <row r="2177" spans="1:17" hidden="1" x14ac:dyDescent="0.25">
      <c r="A2177" s="114" t="s">
        <v>4961</v>
      </c>
      <c r="B2177" s="115" t="s">
        <v>3787</v>
      </c>
      <c r="C2177" s="116" t="s">
        <v>16</v>
      </c>
      <c r="D2177" s="116">
        <v>0</v>
      </c>
      <c r="E2177" s="136" t="s">
        <v>416</v>
      </c>
      <c r="F2177" s="137" t="str">
        <f t="shared" si="171"/>
        <v/>
      </c>
      <c r="G2177" s="138" t="e">
        <f>IF(A2177&lt;&gt;"",IF(AND(#REF!="Padrão",$H$4=#REF!),BDI!$B$17,IF(AND(#REF!="Padrão",$H$4=#REF!),BDI!#REF!,IF(AND(#REF!="Diferenciado",$H$4=#REF!),BDI!$E$17,IF(AND(#REF!="Diferenciado",$H$4=#REF!),BDI!#REF!,IF(#REF!="ZERO",0))))),"")</f>
        <v>#REF!</v>
      </c>
      <c r="H2177" s="139" t="str">
        <f t="shared" si="172"/>
        <v/>
      </c>
      <c r="I2177" s="137" t="str">
        <f t="shared" si="173"/>
        <v/>
      </c>
      <c r="J2177" s="117"/>
      <c r="K2177" s="116">
        <v>0</v>
      </c>
      <c r="M2177" s="136" t="s">
        <v>416</v>
      </c>
      <c r="N2177" t="e">
        <v>#REF!</v>
      </c>
      <c r="Q2177" t="s">
        <v>416</v>
      </c>
    </row>
    <row r="2178" spans="1:17" hidden="1" x14ac:dyDescent="0.25">
      <c r="A2178" s="114" t="s">
        <v>4962</v>
      </c>
      <c r="B2178" s="115" t="s">
        <v>3788</v>
      </c>
      <c r="C2178" s="116" t="s">
        <v>16</v>
      </c>
      <c r="D2178" s="116">
        <v>0</v>
      </c>
      <c r="E2178" s="136" t="s">
        <v>416</v>
      </c>
      <c r="F2178" s="137" t="str">
        <f t="shared" si="171"/>
        <v/>
      </c>
      <c r="G2178" s="138" t="e">
        <f>IF(A2178&lt;&gt;"",IF(AND(#REF!="Padrão",$H$4=#REF!),BDI!$B$17,IF(AND(#REF!="Padrão",$H$4=#REF!),BDI!#REF!,IF(AND(#REF!="Diferenciado",$H$4=#REF!),BDI!$E$17,IF(AND(#REF!="Diferenciado",$H$4=#REF!),BDI!#REF!,IF(#REF!="ZERO",0))))),"")</f>
        <v>#REF!</v>
      </c>
      <c r="H2178" s="139" t="str">
        <f t="shared" si="172"/>
        <v/>
      </c>
      <c r="I2178" s="137" t="str">
        <f t="shared" si="173"/>
        <v/>
      </c>
      <c r="J2178" s="117"/>
      <c r="K2178" s="116">
        <v>0</v>
      </c>
      <c r="M2178" s="136" t="s">
        <v>416</v>
      </c>
      <c r="N2178" t="e">
        <v>#REF!</v>
      </c>
      <c r="Q2178" t="s">
        <v>416</v>
      </c>
    </row>
    <row r="2179" spans="1:17" hidden="1" x14ac:dyDescent="0.25">
      <c r="A2179" s="114" t="s">
        <v>4963</v>
      </c>
      <c r="B2179" s="115" t="s">
        <v>7440</v>
      </c>
      <c r="C2179" s="116" t="s">
        <v>16</v>
      </c>
      <c r="D2179" s="116">
        <v>0</v>
      </c>
      <c r="E2179" s="136" t="s">
        <v>416</v>
      </c>
      <c r="F2179" s="137" t="str">
        <f t="shared" si="171"/>
        <v/>
      </c>
      <c r="G2179" s="138" t="e">
        <f>IF(A2179&lt;&gt;"",IF(AND(#REF!="Padrão",$H$4=#REF!),BDI!$B$17,IF(AND(#REF!="Padrão",$H$4=#REF!),BDI!#REF!,IF(AND(#REF!="Diferenciado",$H$4=#REF!),BDI!$E$17,IF(AND(#REF!="Diferenciado",$H$4=#REF!),BDI!#REF!,IF(#REF!="ZERO",0))))),"")</f>
        <v>#REF!</v>
      </c>
      <c r="H2179" s="139" t="str">
        <f t="shared" si="172"/>
        <v/>
      </c>
      <c r="I2179" s="137" t="str">
        <f t="shared" si="173"/>
        <v/>
      </c>
      <c r="J2179" s="117"/>
      <c r="K2179" s="116">
        <v>0</v>
      </c>
      <c r="M2179" s="136" t="s">
        <v>416</v>
      </c>
      <c r="N2179" t="e">
        <v>#REF!</v>
      </c>
      <c r="Q2179" t="s">
        <v>416</v>
      </c>
    </row>
    <row r="2180" spans="1:17" hidden="1" x14ac:dyDescent="0.25">
      <c r="A2180" s="114" t="s">
        <v>4964</v>
      </c>
      <c r="B2180" s="115" t="s">
        <v>7441</v>
      </c>
      <c r="C2180" s="116" t="s">
        <v>16</v>
      </c>
      <c r="D2180" s="116">
        <v>0</v>
      </c>
      <c r="E2180" s="136" t="s">
        <v>416</v>
      </c>
      <c r="F2180" s="137" t="str">
        <f t="shared" si="171"/>
        <v/>
      </c>
      <c r="G2180" s="138" t="e">
        <f>IF(A2180&lt;&gt;"",IF(AND(#REF!="Padrão",$H$4=#REF!),BDI!$B$17,IF(AND(#REF!="Padrão",$H$4=#REF!),BDI!#REF!,IF(AND(#REF!="Diferenciado",$H$4=#REF!),BDI!$E$17,IF(AND(#REF!="Diferenciado",$H$4=#REF!),BDI!#REF!,IF(#REF!="ZERO",0))))),"")</f>
        <v>#REF!</v>
      </c>
      <c r="H2180" s="139" t="str">
        <f t="shared" si="172"/>
        <v/>
      </c>
      <c r="I2180" s="137" t="str">
        <f t="shared" si="173"/>
        <v/>
      </c>
      <c r="J2180" s="117"/>
      <c r="K2180" s="116">
        <v>0</v>
      </c>
      <c r="M2180" s="136" t="s">
        <v>416</v>
      </c>
      <c r="N2180" t="e">
        <v>#REF!</v>
      </c>
      <c r="Q2180" t="s">
        <v>416</v>
      </c>
    </row>
    <row r="2181" spans="1:17" hidden="1" x14ac:dyDescent="0.25">
      <c r="A2181" s="114" t="s">
        <v>4965</v>
      </c>
      <c r="B2181" s="115" t="s">
        <v>3789</v>
      </c>
      <c r="C2181" s="116" t="s">
        <v>16</v>
      </c>
      <c r="D2181" s="116">
        <v>0</v>
      </c>
      <c r="E2181" s="136" t="s">
        <v>416</v>
      </c>
      <c r="F2181" s="137" t="str">
        <f t="shared" si="171"/>
        <v/>
      </c>
      <c r="G2181" s="138" t="e">
        <f>IF(A2181&lt;&gt;"",IF(AND(#REF!="Padrão",$H$4=#REF!),BDI!$B$17,IF(AND(#REF!="Padrão",$H$4=#REF!),BDI!#REF!,IF(AND(#REF!="Diferenciado",$H$4=#REF!),BDI!$E$17,IF(AND(#REF!="Diferenciado",$H$4=#REF!),BDI!#REF!,IF(#REF!="ZERO",0))))),"")</f>
        <v>#REF!</v>
      </c>
      <c r="H2181" s="139" t="str">
        <f t="shared" si="172"/>
        <v/>
      </c>
      <c r="I2181" s="137" t="str">
        <f t="shared" si="173"/>
        <v/>
      </c>
      <c r="J2181" s="117"/>
      <c r="K2181" s="116">
        <v>0</v>
      </c>
      <c r="M2181" s="136" t="s">
        <v>416</v>
      </c>
      <c r="N2181" t="e">
        <v>#REF!</v>
      </c>
      <c r="Q2181" t="s">
        <v>416</v>
      </c>
    </row>
    <row r="2182" spans="1:17" hidden="1" x14ac:dyDescent="0.25">
      <c r="A2182" s="114" t="s">
        <v>4966</v>
      </c>
      <c r="B2182" s="115" t="s">
        <v>3790</v>
      </c>
      <c r="C2182" s="116" t="s">
        <v>16</v>
      </c>
      <c r="D2182" s="116">
        <v>0</v>
      </c>
      <c r="E2182" s="136" t="s">
        <v>416</v>
      </c>
      <c r="F2182" s="137" t="str">
        <f t="shared" si="171"/>
        <v/>
      </c>
      <c r="G2182" s="138" t="e">
        <f>IF(A2182&lt;&gt;"",IF(AND(#REF!="Padrão",$H$4=#REF!),BDI!$B$17,IF(AND(#REF!="Padrão",$H$4=#REF!),BDI!#REF!,IF(AND(#REF!="Diferenciado",$H$4=#REF!),BDI!$E$17,IF(AND(#REF!="Diferenciado",$H$4=#REF!),BDI!#REF!,IF(#REF!="ZERO",0))))),"")</f>
        <v>#REF!</v>
      </c>
      <c r="H2182" s="139" t="str">
        <f t="shared" si="172"/>
        <v/>
      </c>
      <c r="I2182" s="137" t="str">
        <f t="shared" si="173"/>
        <v/>
      </c>
      <c r="J2182" s="117"/>
      <c r="K2182" s="116">
        <v>0</v>
      </c>
      <c r="M2182" s="136" t="s">
        <v>416</v>
      </c>
      <c r="N2182" t="e">
        <v>#REF!</v>
      </c>
      <c r="Q2182" t="s">
        <v>416</v>
      </c>
    </row>
    <row r="2183" spans="1:17" hidden="1" x14ac:dyDescent="0.25">
      <c r="A2183" s="114" t="s">
        <v>4967</v>
      </c>
      <c r="B2183" s="115" t="s">
        <v>3791</v>
      </c>
      <c r="C2183" s="116" t="s">
        <v>16</v>
      </c>
      <c r="D2183" s="116">
        <v>0</v>
      </c>
      <c r="E2183" s="136" t="s">
        <v>416</v>
      </c>
      <c r="F2183" s="137" t="str">
        <f t="shared" si="171"/>
        <v/>
      </c>
      <c r="G2183" s="138" t="e">
        <f>IF(A2183&lt;&gt;"",IF(AND(#REF!="Padrão",$H$4=#REF!),BDI!$B$17,IF(AND(#REF!="Padrão",$H$4=#REF!),BDI!#REF!,IF(AND(#REF!="Diferenciado",$H$4=#REF!),BDI!$E$17,IF(AND(#REF!="Diferenciado",$H$4=#REF!),BDI!#REF!,IF(#REF!="ZERO",0))))),"")</f>
        <v>#REF!</v>
      </c>
      <c r="H2183" s="139" t="str">
        <f t="shared" si="172"/>
        <v/>
      </c>
      <c r="I2183" s="137" t="str">
        <f t="shared" si="173"/>
        <v/>
      </c>
      <c r="J2183" s="117"/>
      <c r="K2183" s="116">
        <v>0</v>
      </c>
      <c r="M2183" s="136" t="s">
        <v>416</v>
      </c>
      <c r="N2183" t="e">
        <v>#REF!</v>
      </c>
      <c r="Q2183" t="s">
        <v>416</v>
      </c>
    </row>
    <row r="2184" spans="1:17" hidden="1" x14ac:dyDescent="0.25">
      <c r="A2184" s="114" t="s">
        <v>4968</v>
      </c>
      <c r="B2184" s="115" t="s">
        <v>3792</v>
      </c>
      <c r="C2184" s="116" t="s">
        <v>16</v>
      </c>
      <c r="D2184" s="116">
        <v>0</v>
      </c>
      <c r="E2184" s="136" t="s">
        <v>416</v>
      </c>
      <c r="F2184" s="137" t="str">
        <f t="shared" si="171"/>
        <v/>
      </c>
      <c r="G2184" s="138" t="e">
        <f>IF(A2184&lt;&gt;"",IF(AND(#REF!="Padrão",$H$4=#REF!),BDI!$B$17,IF(AND(#REF!="Padrão",$H$4=#REF!),BDI!#REF!,IF(AND(#REF!="Diferenciado",$H$4=#REF!),BDI!$E$17,IF(AND(#REF!="Diferenciado",$H$4=#REF!),BDI!#REF!,IF(#REF!="ZERO",0))))),"")</f>
        <v>#REF!</v>
      </c>
      <c r="H2184" s="139" t="str">
        <f t="shared" si="172"/>
        <v/>
      </c>
      <c r="I2184" s="137" t="str">
        <f t="shared" si="173"/>
        <v/>
      </c>
      <c r="J2184" s="117"/>
      <c r="K2184" s="116">
        <v>0</v>
      </c>
      <c r="M2184" s="136" t="s">
        <v>416</v>
      </c>
      <c r="N2184" t="e">
        <v>#REF!</v>
      </c>
      <c r="Q2184" t="s">
        <v>416</v>
      </c>
    </row>
    <row r="2185" spans="1:17" hidden="1" x14ac:dyDescent="0.25">
      <c r="A2185" s="114" t="s">
        <v>4969</v>
      </c>
      <c r="B2185" s="115" t="s">
        <v>3793</v>
      </c>
      <c r="C2185" s="116" t="s">
        <v>16</v>
      </c>
      <c r="D2185" s="116">
        <v>0</v>
      </c>
      <c r="E2185" s="136" t="s">
        <v>416</v>
      </c>
      <c r="F2185" s="137" t="str">
        <f t="shared" si="171"/>
        <v/>
      </c>
      <c r="G2185" s="138" t="e">
        <f>IF(A2185&lt;&gt;"",IF(AND(#REF!="Padrão",$H$4=#REF!),BDI!$B$17,IF(AND(#REF!="Padrão",$H$4=#REF!),BDI!#REF!,IF(AND(#REF!="Diferenciado",$H$4=#REF!),BDI!$E$17,IF(AND(#REF!="Diferenciado",$H$4=#REF!),BDI!#REF!,IF(#REF!="ZERO",0))))),"")</f>
        <v>#REF!</v>
      </c>
      <c r="H2185" s="139" t="str">
        <f t="shared" si="172"/>
        <v/>
      </c>
      <c r="I2185" s="137" t="str">
        <f t="shared" si="173"/>
        <v/>
      </c>
      <c r="J2185" s="117"/>
      <c r="K2185" s="116">
        <v>0</v>
      </c>
      <c r="M2185" s="136" t="s">
        <v>416</v>
      </c>
      <c r="N2185" t="e">
        <v>#REF!</v>
      </c>
      <c r="Q2185" t="s">
        <v>416</v>
      </c>
    </row>
    <row r="2186" spans="1:17" hidden="1" x14ac:dyDescent="0.25">
      <c r="A2186" s="114" t="s">
        <v>4970</v>
      </c>
      <c r="B2186" s="115" t="s">
        <v>3794</v>
      </c>
      <c r="C2186" s="116" t="s">
        <v>16</v>
      </c>
      <c r="D2186" s="116">
        <v>0</v>
      </c>
      <c r="E2186" s="136" t="s">
        <v>416</v>
      </c>
      <c r="F2186" s="137" t="str">
        <f t="shared" si="171"/>
        <v/>
      </c>
      <c r="G2186" s="138" t="e">
        <f>IF(A2186&lt;&gt;"",IF(AND(#REF!="Padrão",$H$4=#REF!),BDI!$B$17,IF(AND(#REF!="Padrão",$H$4=#REF!),BDI!#REF!,IF(AND(#REF!="Diferenciado",$H$4=#REF!),BDI!$E$17,IF(AND(#REF!="Diferenciado",$H$4=#REF!),BDI!#REF!,IF(#REF!="ZERO",0))))),"")</f>
        <v>#REF!</v>
      </c>
      <c r="H2186" s="139" t="str">
        <f t="shared" si="172"/>
        <v/>
      </c>
      <c r="I2186" s="137" t="str">
        <f t="shared" si="173"/>
        <v/>
      </c>
      <c r="J2186" s="117"/>
      <c r="K2186" s="116">
        <v>0</v>
      </c>
      <c r="M2186" s="136" t="s">
        <v>416</v>
      </c>
      <c r="N2186" t="e">
        <v>#REF!</v>
      </c>
      <c r="Q2186" t="s">
        <v>416</v>
      </c>
    </row>
    <row r="2187" spans="1:17" hidden="1" x14ac:dyDescent="0.25">
      <c r="A2187" s="114" t="s">
        <v>4971</v>
      </c>
      <c r="B2187" s="115" t="s">
        <v>3795</v>
      </c>
      <c r="C2187" s="116" t="s">
        <v>16</v>
      </c>
      <c r="D2187" s="116">
        <v>0</v>
      </c>
      <c r="E2187" s="136" t="s">
        <v>416</v>
      </c>
      <c r="F2187" s="137" t="str">
        <f t="shared" si="171"/>
        <v/>
      </c>
      <c r="G2187" s="138" t="e">
        <f>IF(A2187&lt;&gt;"",IF(AND(#REF!="Padrão",$H$4=#REF!),BDI!$B$17,IF(AND(#REF!="Padrão",$H$4=#REF!),BDI!#REF!,IF(AND(#REF!="Diferenciado",$H$4=#REF!),BDI!$E$17,IF(AND(#REF!="Diferenciado",$H$4=#REF!),BDI!#REF!,IF(#REF!="ZERO",0))))),"")</f>
        <v>#REF!</v>
      </c>
      <c r="H2187" s="139" t="str">
        <f t="shared" si="172"/>
        <v/>
      </c>
      <c r="I2187" s="137" t="str">
        <f t="shared" si="173"/>
        <v/>
      </c>
      <c r="J2187" s="117"/>
      <c r="K2187" s="116">
        <v>0</v>
      </c>
      <c r="M2187" s="136" t="s">
        <v>416</v>
      </c>
      <c r="N2187" t="e">
        <v>#REF!</v>
      </c>
      <c r="Q2187" t="s">
        <v>416</v>
      </c>
    </row>
    <row r="2188" spans="1:17" hidden="1" x14ac:dyDescent="0.25">
      <c r="A2188" s="114" t="s">
        <v>4972</v>
      </c>
      <c r="B2188" s="115" t="s">
        <v>3796</v>
      </c>
      <c r="C2188" s="116" t="s">
        <v>69</v>
      </c>
      <c r="D2188" s="116">
        <v>0</v>
      </c>
      <c r="E2188" s="136" t="s">
        <v>416</v>
      </c>
      <c r="F2188" s="137" t="str">
        <f t="shared" si="171"/>
        <v/>
      </c>
      <c r="G2188" s="138" t="e">
        <f>IF(A2188&lt;&gt;"",IF(AND(#REF!="Padrão",$H$4=#REF!),BDI!$B$17,IF(AND(#REF!="Padrão",$H$4=#REF!),BDI!#REF!,IF(AND(#REF!="Diferenciado",$H$4=#REF!),BDI!$E$17,IF(AND(#REF!="Diferenciado",$H$4=#REF!),BDI!#REF!,IF(#REF!="ZERO",0))))),"")</f>
        <v>#REF!</v>
      </c>
      <c r="H2188" s="139" t="str">
        <f t="shared" si="172"/>
        <v/>
      </c>
      <c r="I2188" s="137" t="str">
        <f t="shared" si="173"/>
        <v/>
      </c>
      <c r="J2188" s="117"/>
      <c r="K2188" s="116">
        <v>0</v>
      </c>
      <c r="M2188" s="136" t="s">
        <v>416</v>
      </c>
      <c r="N2188" t="e">
        <v>#REF!</v>
      </c>
      <c r="Q2188" t="s">
        <v>416</v>
      </c>
    </row>
    <row r="2189" spans="1:17" hidden="1" x14ac:dyDescent="0.25">
      <c r="A2189" s="114" t="s">
        <v>4973</v>
      </c>
      <c r="B2189" s="115" t="s">
        <v>3797</v>
      </c>
      <c r="C2189" s="116" t="s">
        <v>16</v>
      </c>
      <c r="D2189" s="116">
        <v>0</v>
      </c>
      <c r="E2189" s="136" t="s">
        <v>416</v>
      </c>
      <c r="F2189" s="137" t="str">
        <f t="shared" si="171"/>
        <v/>
      </c>
      <c r="G2189" s="138" t="e">
        <f>IF(A2189&lt;&gt;"",IF(AND(#REF!="Padrão",$H$4=#REF!),BDI!$B$17,IF(AND(#REF!="Padrão",$H$4=#REF!),BDI!#REF!,IF(AND(#REF!="Diferenciado",$H$4=#REF!),BDI!$E$17,IF(AND(#REF!="Diferenciado",$H$4=#REF!),BDI!#REF!,IF(#REF!="ZERO",0))))),"")</f>
        <v>#REF!</v>
      </c>
      <c r="H2189" s="139" t="str">
        <f t="shared" si="172"/>
        <v/>
      </c>
      <c r="I2189" s="137" t="str">
        <f t="shared" si="173"/>
        <v/>
      </c>
      <c r="J2189" s="117"/>
      <c r="K2189" s="116">
        <v>0</v>
      </c>
      <c r="M2189" s="136" t="s">
        <v>416</v>
      </c>
      <c r="N2189" t="e">
        <v>#REF!</v>
      </c>
      <c r="Q2189" t="s">
        <v>416</v>
      </c>
    </row>
    <row r="2190" spans="1:17" hidden="1" x14ac:dyDescent="0.25">
      <c r="A2190" s="114" t="s">
        <v>4974</v>
      </c>
      <c r="B2190" s="115" t="s">
        <v>3798</v>
      </c>
      <c r="C2190" s="116" t="s">
        <v>16</v>
      </c>
      <c r="D2190" s="116">
        <v>0</v>
      </c>
      <c r="E2190" s="136" t="s">
        <v>416</v>
      </c>
      <c r="F2190" s="137" t="str">
        <f t="shared" si="171"/>
        <v/>
      </c>
      <c r="G2190" s="138" t="e">
        <f>IF(A2190&lt;&gt;"",IF(AND(#REF!="Padrão",$H$4=#REF!),BDI!$B$17,IF(AND(#REF!="Padrão",$H$4=#REF!),BDI!#REF!,IF(AND(#REF!="Diferenciado",$H$4=#REF!),BDI!$E$17,IF(AND(#REF!="Diferenciado",$H$4=#REF!),BDI!#REF!,IF(#REF!="ZERO",0))))),"")</f>
        <v>#REF!</v>
      </c>
      <c r="H2190" s="139" t="str">
        <f t="shared" si="172"/>
        <v/>
      </c>
      <c r="I2190" s="137" t="str">
        <f t="shared" si="173"/>
        <v/>
      </c>
      <c r="J2190" s="117"/>
      <c r="K2190" s="116">
        <v>0</v>
      </c>
      <c r="M2190" s="136" t="s">
        <v>416</v>
      </c>
      <c r="N2190" t="e">
        <v>#REF!</v>
      </c>
      <c r="Q2190" t="s">
        <v>416</v>
      </c>
    </row>
    <row r="2191" spans="1:17" hidden="1" x14ac:dyDescent="0.25">
      <c r="A2191" s="114" t="s">
        <v>4975</v>
      </c>
      <c r="B2191" s="115" t="s">
        <v>3799</v>
      </c>
      <c r="C2191" s="116" t="s">
        <v>16</v>
      </c>
      <c r="D2191" s="116">
        <v>0</v>
      </c>
      <c r="E2191" s="136" t="s">
        <v>416</v>
      </c>
      <c r="F2191" s="137" t="str">
        <f t="shared" si="171"/>
        <v/>
      </c>
      <c r="G2191" s="138" t="e">
        <f>IF(A2191&lt;&gt;"",IF(AND(#REF!="Padrão",$H$4=#REF!),BDI!$B$17,IF(AND(#REF!="Padrão",$H$4=#REF!),BDI!#REF!,IF(AND(#REF!="Diferenciado",$H$4=#REF!),BDI!$E$17,IF(AND(#REF!="Diferenciado",$H$4=#REF!),BDI!#REF!,IF(#REF!="ZERO",0))))),"")</f>
        <v>#REF!</v>
      </c>
      <c r="H2191" s="139" t="str">
        <f t="shared" si="172"/>
        <v/>
      </c>
      <c r="I2191" s="137" t="str">
        <f t="shared" si="173"/>
        <v/>
      </c>
      <c r="J2191" s="117"/>
      <c r="K2191" s="116">
        <v>0</v>
      </c>
      <c r="M2191" s="136" t="s">
        <v>416</v>
      </c>
      <c r="N2191" t="e">
        <v>#REF!</v>
      </c>
      <c r="Q2191" t="s">
        <v>416</v>
      </c>
    </row>
    <row r="2192" spans="1:17" hidden="1" x14ac:dyDescent="0.25">
      <c r="A2192" s="114" t="s">
        <v>4976</v>
      </c>
      <c r="B2192" s="115" t="s">
        <v>3800</v>
      </c>
      <c r="C2192" s="116" t="s">
        <v>16</v>
      </c>
      <c r="D2192" s="116">
        <v>0</v>
      </c>
      <c r="E2192" s="136" t="s">
        <v>416</v>
      </c>
      <c r="F2192" s="137" t="str">
        <f t="shared" si="171"/>
        <v/>
      </c>
      <c r="G2192" s="138" t="e">
        <f>IF(A2192&lt;&gt;"",IF(AND(#REF!="Padrão",$H$4=#REF!),BDI!$B$17,IF(AND(#REF!="Padrão",$H$4=#REF!),BDI!#REF!,IF(AND(#REF!="Diferenciado",$H$4=#REF!),BDI!$E$17,IF(AND(#REF!="Diferenciado",$H$4=#REF!),BDI!#REF!,IF(#REF!="ZERO",0))))),"")</f>
        <v>#REF!</v>
      </c>
      <c r="H2192" s="139" t="str">
        <f t="shared" si="172"/>
        <v/>
      </c>
      <c r="I2192" s="137" t="str">
        <f t="shared" si="173"/>
        <v/>
      </c>
      <c r="J2192" s="117"/>
      <c r="K2192" s="116">
        <v>0</v>
      </c>
      <c r="M2192" s="136" t="s">
        <v>416</v>
      </c>
      <c r="N2192" t="e">
        <v>#REF!</v>
      </c>
      <c r="Q2192" t="s">
        <v>416</v>
      </c>
    </row>
    <row r="2193" spans="1:17" hidden="1" x14ac:dyDescent="0.25">
      <c r="A2193" s="114" t="s">
        <v>4977</v>
      </c>
      <c r="B2193" s="115" t="s">
        <v>3801</v>
      </c>
      <c r="C2193" s="116" t="s">
        <v>16</v>
      </c>
      <c r="D2193" s="116">
        <v>0</v>
      </c>
      <c r="E2193" s="136" t="s">
        <v>416</v>
      </c>
      <c r="F2193" s="137" t="str">
        <f t="shared" si="171"/>
        <v/>
      </c>
      <c r="G2193" s="138" t="e">
        <f>IF(A2193&lt;&gt;"",IF(AND(#REF!="Padrão",$H$4=#REF!),BDI!$B$17,IF(AND(#REF!="Padrão",$H$4=#REF!),BDI!#REF!,IF(AND(#REF!="Diferenciado",$H$4=#REF!),BDI!$E$17,IF(AND(#REF!="Diferenciado",$H$4=#REF!),BDI!#REF!,IF(#REF!="ZERO",0))))),"")</f>
        <v>#REF!</v>
      </c>
      <c r="H2193" s="139" t="str">
        <f t="shared" si="172"/>
        <v/>
      </c>
      <c r="I2193" s="137" t="str">
        <f t="shared" si="173"/>
        <v/>
      </c>
      <c r="J2193" s="117"/>
      <c r="K2193" s="116">
        <v>0</v>
      </c>
      <c r="M2193" s="136" t="s">
        <v>416</v>
      </c>
      <c r="N2193" t="e">
        <v>#REF!</v>
      </c>
      <c r="Q2193" t="s">
        <v>416</v>
      </c>
    </row>
    <row r="2194" spans="1:17" hidden="1" x14ac:dyDescent="0.25">
      <c r="A2194" s="114" t="s">
        <v>4978</v>
      </c>
      <c r="B2194" s="115" t="s">
        <v>3802</v>
      </c>
      <c r="C2194" s="116" t="s">
        <v>16</v>
      </c>
      <c r="D2194" s="116">
        <v>0</v>
      </c>
      <c r="E2194" s="136" t="s">
        <v>416</v>
      </c>
      <c r="F2194" s="137" t="str">
        <f t="shared" si="171"/>
        <v/>
      </c>
      <c r="G2194" s="138" t="e">
        <f>IF(A2194&lt;&gt;"",IF(AND(#REF!="Padrão",$H$4=#REF!),BDI!$B$17,IF(AND(#REF!="Padrão",$H$4=#REF!),BDI!#REF!,IF(AND(#REF!="Diferenciado",$H$4=#REF!),BDI!$E$17,IF(AND(#REF!="Diferenciado",$H$4=#REF!),BDI!#REF!,IF(#REF!="ZERO",0))))),"")</f>
        <v>#REF!</v>
      </c>
      <c r="H2194" s="139" t="str">
        <f t="shared" si="172"/>
        <v/>
      </c>
      <c r="I2194" s="137" t="str">
        <f t="shared" si="173"/>
        <v/>
      </c>
      <c r="J2194" s="117"/>
      <c r="K2194" s="116">
        <v>0</v>
      </c>
      <c r="M2194" s="136" t="s">
        <v>416</v>
      </c>
      <c r="N2194" t="e">
        <v>#REF!</v>
      </c>
      <c r="Q2194" t="s">
        <v>416</v>
      </c>
    </row>
    <row r="2195" spans="1:17" hidden="1" x14ac:dyDescent="0.25">
      <c r="A2195" s="114" t="s">
        <v>4979</v>
      </c>
      <c r="B2195" s="115" t="s">
        <v>3803</v>
      </c>
      <c r="C2195" s="116" t="s">
        <v>16</v>
      </c>
      <c r="D2195" s="116">
        <v>0</v>
      </c>
      <c r="E2195" s="136" t="s">
        <v>416</v>
      </c>
      <c r="F2195" s="137" t="str">
        <f t="shared" si="171"/>
        <v/>
      </c>
      <c r="G2195" s="138" t="e">
        <f>IF(A2195&lt;&gt;"",IF(AND(#REF!="Padrão",$H$4=#REF!),BDI!$B$17,IF(AND(#REF!="Padrão",$H$4=#REF!),BDI!#REF!,IF(AND(#REF!="Diferenciado",$H$4=#REF!),BDI!$E$17,IF(AND(#REF!="Diferenciado",$H$4=#REF!),BDI!#REF!,IF(#REF!="ZERO",0))))),"")</f>
        <v>#REF!</v>
      </c>
      <c r="H2195" s="139" t="str">
        <f t="shared" si="172"/>
        <v/>
      </c>
      <c r="I2195" s="137" t="str">
        <f t="shared" si="173"/>
        <v/>
      </c>
      <c r="J2195" s="117"/>
      <c r="K2195" s="116">
        <v>0</v>
      </c>
      <c r="M2195" s="136" t="s">
        <v>416</v>
      </c>
      <c r="N2195" t="e">
        <v>#REF!</v>
      </c>
      <c r="Q2195" t="s">
        <v>416</v>
      </c>
    </row>
    <row r="2196" spans="1:17" hidden="1" x14ac:dyDescent="0.25">
      <c r="A2196" s="114" t="s">
        <v>4980</v>
      </c>
      <c r="B2196" s="115" t="s">
        <v>3804</v>
      </c>
      <c r="C2196" s="116" t="s">
        <v>16</v>
      </c>
      <c r="D2196" s="116">
        <v>0</v>
      </c>
      <c r="E2196" s="136" t="s">
        <v>416</v>
      </c>
      <c r="F2196" s="137" t="str">
        <f t="shared" si="171"/>
        <v/>
      </c>
      <c r="G2196" s="138" t="e">
        <f>IF(A2196&lt;&gt;"",IF(AND(#REF!="Padrão",$H$4=#REF!),BDI!$B$17,IF(AND(#REF!="Padrão",$H$4=#REF!),BDI!#REF!,IF(AND(#REF!="Diferenciado",$H$4=#REF!),BDI!$E$17,IF(AND(#REF!="Diferenciado",$H$4=#REF!),BDI!#REF!,IF(#REF!="ZERO",0))))),"")</f>
        <v>#REF!</v>
      </c>
      <c r="H2196" s="139" t="str">
        <f t="shared" si="172"/>
        <v/>
      </c>
      <c r="I2196" s="137" t="str">
        <f t="shared" si="173"/>
        <v/>
      </c>
      <c r="J2196" s="117"/>
      <c r="K2196" s="116">
        <v>0</v>
      </c>
      <c r="M2196" s="136" t="s">
        <v>416</v>
      </c>
      <c r="N2196" t="e">
        <v>#REF!</v>
      </c>
      <c r="Q2196" t="s">
        <v>416</v>
      </c>
    </row>
    <row r="2197" spans="1:17" hidden="1" x14ac:dyDescent="0.25">
      <c r="A2197" s="114" t="s">
        <v>4981</v>
      </c>
      <c r="B2197" s="115" t="s">
        <v>3805</v>
      </c>
      <c r="C2197" s="116" t="s">
        <v>16</v>
      </c>
      <c r="D2197" s="116">
        <v>0</v>
      </c>
      <c r="E2197" s="136" t="s">
        <v>416</v>
      </c>
      <c r="F2197" s="137" t="str">
        <f t="shared" si="171"/>
        <v/>
      </c>
      <c r="G2197" s="138" t="e">
        <f>IF(A2197&lt;&gt;"",IF(AND(#REF!="Padrão",$H$4=#REF!),BDI!$B$17,IF(AND(#REF!="Padrão",$H$4=#REF!),BDI!#REF!,IF(AND(#REF!="Diferenciado",$H$4=#REF!),BDI!$E$17,IF(AND(#REF!="Diferenciado",$H$4=#REF!),BDI!#REF!,IF(#REF!="ZERO",0))))),"")</f>
        <v>#REF!</v>
      </c>
      <c r="H2197" s="139" t="str">
        <f t="shared" si="172"/>
        <v/>
      </c>
      <c r="I2197" s="137" t="str">
        <f t="shared" si="173"/>
        <v/>
      </c>
      <c r="J2197" s="117"/>
      <c r="K2197" s="116">
        <v>0</v>
      </c>
      <c r="M2197" s="136" t="s">
        <v>416</v>
      </c>
      <c r="N2197" t="e">
        <v>#REF!</v>
      </c>
      <c r="Q2197" t="s">
        <v>416</v>
      </c>
    </row>
    <row r="2198" spans="1:17" hidden="1" x14ac:dyDescent="0.25">
      <c r="A2198" s="114" t="s">
        <v>4982</v>
      </c>
      <c r="B2198" s="115" t="s">
        <v>7417</v>
      </c>
      <c r="C2198" s="116" t="s">
        <v>16</v>
      </c>
      <c r="D2198" s="116">
        <v>0</v>
      </c>
      <c r="E2198" s="136" t="s">
        <v>416</v>
      </c>
      <c r="F2198" s="137" t="str">
        <f t="shared" si="171"/>
        <v/>
      </c>
      <c r="G2198" s="138" t="e">
        <f>IF(A2198&lt;&gt;"",IF(AND(#REF!="Padrão",$H$4=#REF!),BDI!$B$17,IF(AND(#REF!="Padrão",$H$4=#REF!),BDI!#REF!,IF(AND(#REF!="Diferenciado",$H$4=#REF!),BDI!$E$17,IF(AND(#REF!="Diferenciado",$H$4=#REF!),BDI!#REF!,IF(#REF!="ZERO",0))))),"")</f>
        <v>#REF!</v>
      </c>
      <c r="H2198" s="139" t="str">
        <f t="shared" si="172"/>
        <v/>
      </c>
      <c r="I2198" s="137" t="str">
        <f t="shared" si="173"/>
        <v/>
      </c>
      <c r="J2198" s="117"/>
      <c r="K2198" s="116">
        <v>0</v>
      </c>
      <c r="M2198" s="136" t="s">
        <v>416</v>
      </c>
      <c r="N2198" t="e">
        <v>#REF!</v>
      </c>
      <c r="Q2198" t="s">
        <v>416</v>
      </c>
    </row>
    <row r="2199" spans="1:17" hidden="1" x14ac:dyDescent="0.25">
      <c r="A2199" s="114" t="s">
        <v>4983</v>
      </c>
      <c r="B2199" s="115" t="s">
        <v>7418</v>
      </c>
      <c r="C2199" s="116" t="s">
        <v>16</v>
      </c>
      <c r="D2199" s="116">
        <v>0</v>
      </c>
      <c r="E2199" s="136" t="s">
        <v>416</v>
      </c>
      <c r="F2199" s="137" t="str">
        <f t="shared" si="171"/>
        <v/>
      </c>
      <c r="G2199" s="138" t="e">
        <f>IF(A2199&lt;&gt;"",IF(AND(#REF!="Padrão",$H$4=#REF!),BDI!$B$17,IF(AND(#REF!="Padrão",$H$4=#REF!),BDI!#REF!,IF(AND(#REF!="Diferenciado",$H$4=#REF!),BDI!$E$17,IF(AND(#REF!="Diferenciado",$H$4=#REF!),BDI!#REF!,IF(#REF!="ZERO",0))))),"")</f>
        <v>#REF!</v>
      </c>
      <c r="H2199" s="139" t="str">
        <f t="shared" si="172"/>
        <v/>
      </c>
      <c r="I2199" s="137" t="str">
        <f t="shared" si="173"/>
        <v/>
      </c>
      <c r="J2199" s="117"/>
      <c r="K2199" s="116">
        <v>0</v>
      </c>
      <c r="M2199" s="136" t="s">
        <v>416</v>
      </c>
      <c r="N2199" t="e">
        <v>#REF!</v>
      </c>
      <c r="Q2199" t="s">
        <v>416</v>
      </c>
    </row>
    <row r="2200" spans="1:17" hidden="1" x14ac:dyDescent="0.25">
      <c r="A2200" s="114" t="s">
        <v>4984</v>
      </c>
      <c r="B2200" s="115" t="s">
        <v>7419</v>
      </c>
      <c r="C2200" s="116" t="s">
        <v>16</v>
      </c>
      <c r="D2200" s="116">
        <v>0</v>
      </c>
      <c r="E2200" s="136" t="s">
        <v>416</v>
      </c>
      <c r="F2200" s="137" t="str">
        <f t="shared" si="171"/>
        <v/>
      </c>
      <c r="G2200" s="138" t="e">
        <f>IF(A2200&lt;&gt;"",IF(AND(#REF!="Padrão",$H$4=#REF!),BDI!$B$17,IF(AND(#REF!="Padrão",$H$4=#REF!),BDI!#REF!,IF(AND(#REF!="Diferenciado",$H$4=#REF!),BDI!$E$17,IF(AND(#REF!="Diferenciado",$H$4=#REF!),BDI!#REF!,IF(#REF!="ZERO",0))))),"")</f>
        <v>#REF!</v>
      </c>
      <c r="H2200" s="139" t="str">
        <f t="shared" si="172"/>
        <v/>
      </c>
      <c r="I2200" s="137" t="str">
        <f t="shared" si="173"/>
        <v/>
      </c>
      <c r="J2200" s="117"/>
      <c r="K2200" s="116">
        <v>0</v>
      </c>
      <c r="M2200" s="136" t="s">
        <v>416</v>
      </c>
      <c r="N2200" t="e">
        <v>#REF!</v>
      </c>
      <c r="Q2200" t="s">
        <v>416</v>
      </c>
    </row>
    <row r="2201" spans="1:17" hidden="1" x14ac:dyDescent="0.25">
      <c r="A2201" s="114" t="s">
        <v>4985</v>
      </c>
      <c r="B2201" s="115" t="s">
        <v>7420</v>
      </c>
      <c r="C2201" s="116" t="s">
        <v>16</v>
      </c>
      <c r="D2201" s="116">
        <v>0</v>
      </c>
      <c r="E2201" s="136" t="s">
        <v>416</v>
      </c>
      <c r="F2201" s="137" t="str">
        <f t="shared" si="171"/>
        <v/>
      </c>
      <c r="G2201" s="138" t="e">
        <f>IF(A2201&lt;&gt;"",IF(AND(#REF!="Padrão",$H$4=#REF!),BDI!$B$17,IF(AND(#REF!="Padrão",$H$4=#REF!),BDI!#REF!,IF(AND(#REF!="Diferenciado",$H$4=#REF!),BDI!$E$17,IF(AND(#REF!="Diferenciado",$H$4=#REF!),BDI!#REF!,IF(#REF!="ZERO",0))))),"")</f>
        <v>#REF!</v>
      </c>
      <c r="H2201" s="139" t="str">
        <f t="shared" si="172"/>
        <v/>
      </c>
      <c r="I2201" s="137" t="str">
        <f t="shared" si="173"/>
        <v/>
      </c>
      <c r="J2201" s="117"/>
      <c r="K2201" s="116">
        <v>0</v>
      </c>
      <c r="M2201" s="136" t="s">
        <v>416</v>
      </c>
      <c r="N2201" t="e">
        <v>#REF!</v>
      </c>
      <c r="Q2201" t="s">
        <v>416</v>
      </c>
    </row>
    <row r="2202" spans="1:17" hidden="1" x14ac:dyDescent="0.25">
      <c r="A2202" s="114" t="s">
        <v>4986</v>
      </c>
      <c r="B2202" s="115" t="s">
        <v>7421</v>
      </c>
      <c r="C2202" s="116" t="s">
        <v>16</v>
      </c>
      <c r="D2202" s="116">
        <v>0</v>
      </c>
      <c r="E2202" s="136" t="s">
        <v>416</v>
      </c>
      <c r="F2202" s="137" t="str">
        <f t="shared" si="171"/>
        <v/>
      </c>
      <c r="G2202" s="138" t="e">
        <f>IF(A2202&lt;&gt;"",IF(AND(#REF!="Padrão",$H$4=#REF!),BDI!$B$17,IF(AND(#REF!="Padrão",$H$4=#REF!),BDI!#REF!,IF(AND(#REF!="Diferenciado",$H$4=#REF!),BDI!$E$17,IF(AND(#REF!="Diferenciado",$H$4=#REF!),BDI!#REF!,IF(#REF!="ZERO",0))))),"")</f>
        <v>#REF!</v>
      </c>
      <c r="H2202" s="139" t="str">
        <f t="shared" si="172"/>
        <v/>
      </c>
      <c r="I2202" s="137" t="str">
        <f t="shared" si="173"/>
        <v/>
      </c>
      <c r="J2202" s="117"/>
      <c r="K2202" s="116">
        <v>0</v>
      </c>
      <c r="M2202" s="136" t="s">
        <v>416</v>
      </c>
      <c r="N2202" t="e">
        <v>#REF!</v>
      </c>
      <c r="Q2202" t="s">
        <v>416</v>
      </c>
    </row>
    <row r="2203" spans="1:17" hidden="1" x14ac:dyDescent="0.25">
      <c r="A2203" s="114" t="s">
        <v>4987</v>
      </c>
      <c r="B2203" s="115" t="s">
        <v>7422</v>
      </c>
      <c r="C2203" s="116" t="s">
        <v>16</v>
      </c>
      <c r="D2203" s="116">
        <v>0</v>
      </c>
      <c r="E2203" s="136" t="s">
        <v>416</v>
      </c>
      <c r="F2203" s="137" t="str">
        <f t="shared" si="171"/>
        <v/>
      </c>
      <c r="G2203" s="138" t="e">
        <f>IF(A2203&lt;&gt;"",IF(AND(#REF!="Padrão",$H$4=#REF!),BDI!$B$17,IF(AND(#REF!="Padrão",$H$4=#REF!),BDI!#REF!,IF(AND(#REF!="Diferenciado",$H$4=#REF!),BDI!$E$17,IF(AND(#REF!="Diferenciado",$H$4=#REF!),BDI!#REF!,IF(#REF!="ZERO",0))))),"")</f>
        <v>#REF!</v>
      </c>
      <c r="H2203" s="139" t="str">
        <f t="shared" si="172"/>
        <v/>
      </c>
      <c r="I2203" s="137" t="str">
        <f t="shared" si="173"/>
        <v/>
      </c>
      <c r="J2203" s="117"/>
      <c r="K2203" s="116">
        <v>0</v>
      </c>
      <c r="M2203" s="136" t="s">
        <v>416</v>
      </c>
      <c r="N2203" t="e">
        <v>#REF!</v>
      </c>
      <c r="Q2203" t="s">
        <v>416</v>
      </c>
    </row>
    <row r="2204" spans="1:17" hidden="1" x14ac:dyDescent="0.25">
      <c r="A2204" s="114" t="s">
        <v>4988</v>
      </c>
      <c r="B2204" s="115" t="s">
        <v>7423</v>
      </c>
      <c r="C2204" s="116" t="s">
        <v>16</v>
      </c>
      <c r="D2204" s="116">
        <v>0</v>
      </c>
      <c r="E2204" s="136" t="s">
        <v>416</v>
      </c>
      <c r="F2204" s="137" t="str">
        <f t="shared" si="171"/>
        <v/>
      </c>
      <c r="G2204" s="138" t="e">
        <f>IF(A2204&lt;&gt;"",IF(AND(#REF!="Padrão",$H$4=#REF!),BDI!$B$17,IF(AND(#REF!="Padrão",$H$4=#REF!),BDI!#REF!,IF(AND(#REF!="Diferenciado",$H$4=#REF!),BDI!$E$17,IF(AND(#REF!="Diferenciado",$H$4=#REF!),BDI!#REF!,IF(#REF!="ZERO",0))))),"")</f>
        <v>#REF!</v>
      </c>
      <c r="H2204" s="139" t="str">
        <f t="shared" si="172"/>
        <v/>
      </c>
      <c r="I2204" s="137" t="str">
        <f t="shared" si="173"/>
        <v/>
      </c>
      <c r="J2204" s="117"/>
      <c r="K2204" s="116">
        <v>0</v>
      </c>
      <c r="M2204" s="136" t="s">
        <v>416</v>
      </c>
      <c r="N2204" t="e">
        <v>#REF!</v>
      </c>
      <c r="Q2204" t="s">
        <v>416</v>
      </c>
    </row>
    <row r="2205" spans="1:17" hidden="1" x14ac:dyDescent="0.25">
      <c r="A2205" s="114" t="s">
        <v>4989</v>
      </c>
      <c r="B2205" s="115" t="s">
        <v>7424</v>
      </c>
      <c r="C2205" s="116" t="s">
        <v>16</v>
      </c>
      <c r="D2205" s="116">
        <v>0</v>
      </c>
      <c r="E2205" s="136" t="s">
        <v>416</v>
      </c>
      <c r="F2205" s="137" t="str">
        <f t="shared" si="171"/>
        <v/>
      </c>
      <c r="G2205" s="138" t="e">
        <f>IF(A2205&lt;&gt;"",IF(AND(#REF!="Padrão",$H$4=#REF!),BDI!$B$17,IF(AND(#REF!="Padrão",$H$4=#REF!),BDI!#REF!,IF(AND(#REF!="Diferenciado",$H$4=#REF!),BDI!$E$17,IF(AND(#REF!="Diferenciado",$H$4=#REF!),BDI!#REF!,IF(#REF!="ZERO",0))))),"")</f>
        <v>#REF!</v>
      </c>
      <c r="H2205" s="139" t="str">
        <f t="shared" si="172"/>
        <v/>
      </c>
      <c r="I2205" s="137" t="str">
        <f t="shared" si="173"/>
        <v/>
      </c>
      <c r="J2205" s="117"/>
      <c r="K2205" s="116">
        <v>0</v>
      </c>
      <c r="M2205" s="136" t="s">
        <v>416</v>
      </c>
      <c r="N2205" t="e">
        <v>#REF!</v>
      </c>
      <c r="Q2205" t="s">
        <v>416</v>
      </c>
    </row>
    <row r="2206" spans="1:17" hidden="1" x14ac:dyDescent="0.25">
      <c r="A2206" s="114" t="s">
        <v>4990</v>
      </c>
      <c r="B2206" s="115" t="s">
        <v>7425</v>
      </c>
      <c r="C2206" s="116" t="s">
        <v>16</v>
      </c>
      <c r="D2206" s="116">
        <v>0</v>
      </c>
      <c r="E2206" s="136" t="s">
        <v>416</v>
      </c>
      <c r="F2206" s="137" t="str">
        <f t="shared" si="171"/>
        <v/>
      </c>
      <c r="G2206" s="138" t="e">
        <f>IF(A2206&lt;&gt;"",IF(AND(#REF!="Padrão",$H$4=#REF!),BDI!$B$17,IF(AND(#REF!="Padrão",$H$4=#REF!),BDI!#REF!,IF(AND(#REF!="Diferenciado",$H$4=#REF!),BDI!$E$17,IF(AND(#REF!="Diferenciado",$H$4=#REF!),BDI!#REF!,IF(#REF!="ZERO",0))))),"")</f>
        <v>#REF!</v>
      </c>
      <c r="H2206" s="139" t="str">
        <f t="shared" si="172"/>
        <v/>
      </c>
      <c r="I2206" s="137" t="str">
        <f t="shared" si="173"/>
        <v/>
      </c>
      <c r="J2206" s="117"/>
      <c r="K2206" s="116">
        <v>0</v>
      </c>
      <c r="M2206" s="136" t="s">
        <v>416</v>
      </c>
      <c r="N2206" t="e">
        <v>#REF!</v>
      </c>
      <c r="Q2206" t="s">
        <v>416</v>
      </c>
    </row>
    <row r="2207" spans="1:17" hidden="1" x14ac:dyDescent="0.25">
      <c r="A2207" s="114" t="s">
        <v>4991</v>
      </c>
      <c r="B2207" s="115" t="s">
        <v>7426</v>
      </c>
      <c r="C2207" s="116" t="s">
        <v>16</v>
      </c>
      <c r="D2207" s="116">
        <v>0</v>
      </c>
      <c r="E2207" s="136" t="s">
        <v>416</v>
      </c>
      <c r="F2207" s="137" t="str">
        <f t="shared" si="171"/>
        <v/>
      </c>
      <c r="G2207" s="138" t="e">
        <f>IF(A2207&lt;&gt;"",IF(AND(#REF!="Padrão",$H$4=#REF!),BDI!$B$17,IF(AND(#REF!="Padrão",$H$4=#REF!),BDI!#REF!,IF(AND(#REF!="Diferenciado",$H$4=#REF!),BDI!$E$17,IF(AND(#REF!="Diferenciado",$H$4=#REF!),BDI!#REF!,IF(#REF!="ZERO",0))))),"")</f>
        <v>#REF!</v>
      </c>
      <c r="H2207" s="139" t="str">
        <f t="shared" si="172"/>
        <v/>
      </c>
      <c r="I2207" s="137" t="str">
        <f t="shared" si="173"/>
        <v/>
      </c>
      <c r="J2207" s="117"/>
      <c r="K2207" s="116">
        <v>0</v>
      </c>
      <c r="M2207" s="136" t="s">
        <v>416</v>
      </c>
      <c r="N2207" t="e">
        <v>#REF!</v>
      </c>
      <c r="Q2207" t="s">
        <v>416</v>
      </c>
    </row>
    <row r="2208" spans="1:17" hidden="1" x14ac:dyDescent="0.25">
      <c r="A2208" s="114" t="s">
        <v>4992</v>
      </c>
      <c r="B2208" s="115" t="s">
        <v>7427</v>
      </c>
      <c r="C2208" s="116" t="s">
        <v>16</v>
      </c>
      <c r="D2208" s="116">
        <v>0</v>
      </c>
      <c r="E2208" s="136" t="s">
        <v>416</v>
      </c>
      <c r="F2208" s="137" t="str">
        <f t="shared" si="171"/>
        <v/>
      </c>
      <c r="G2208" s="138" t="e">
        <f>IF(A2208&lt;&gt;"",IF(AND(#REF!="Padrão",$H$4=#REF!),BDI!$B$17,IF(AND(#REF!="Padrão",$H$4=#REF!),BDI!#REF!,IF(AND(#REF!="Diferenciado",$H$4=#REF!),BDI!$E$17,IF(AND(#REF!="Diferenciado",$H$4=#REF!),BDI!#REF!,IF(#REF!="ZERO",0))))),"")</f>
        <v>#REF!</v>
      </c>
      <c r="H2208" s="139" t="str">
        <f t="shared" si="172"/>
        <v/>
      </c>
      <c r="I2208" s="137" t="str">
        <f t="shared" si="173"/>
        <v/>
      </c>
      <c r="J2208" s="117"/>
      <c r="K2208" s="116">
        <v>0</v>
      </c>
      <c r="M2208" s="136" t="s">
        <v>416</v>
      </c>
      <c r="N2208" t="e">
        <v>#REF!</v>
      </c>
      <c r="Q2208" t="s">
        <v>416</v>
      </c>
    </row>
    <row r="2209" spans="1:17" hidden="1" x14ac:dyDescent="0.25">
      <c r="A2209" s="114" t="s">
        <v>4993</v>
      </c>
      <c r="B2209" s="115" t="s">
        <v>7428</v>
      </c>
      <c r="C2209" s="116" t="s">
        <v>16</v>
      </c>
      <c r="D2209" s="116">
        <v>0</v>
      </c>
      <c r="E2209" s="136" t="s">
        <v>416</v>
      </c>
      <c r="F2209" s="137" t="str">
        <f t="shared" si="171"/>
        <v/>
      </c>
      <c r="G2209" s="138" t="e">
        <f>IF(A2209&lt;&gt;"",IF(AND(#REF!="Padrão",$H$4=#REF!),BDI!$B$17,IF(AND(#REF!="Padrão",$H$4=#REF!),BDI!#REF!,IF(AND(#REF!="Diferenciado",$H$4=#REF!),BDI!$E$17,IF(AND(#REF!="Diferenciado",$H$4=#REF!),BDI!#REF!,IF(#REF!="ZERO",0))))),"")</f>
        <v>#REF!</v>
      </c>
      <c r="H2209" s="139" t="str">
        <f t="shared" si="172"/>
        <v/>
      </c>
      <c r="I2209" s="137" t="str">
        <f t="shared" si="173"/>
        <v/>
      </c>
      <c r="J2209" s="117"/>
      <c r="K2209" s="116">
        <v>0</v>
      </c>
      <c r="M2209" s="136" t="s">
        <v>416</v>
      </c>
      <c r="N2209" t="e">
        <v>#REF!</v>
      </c>
      <c r="Q2209" t="s">
        <v>416</v>
      </c>
    </row>
    <row r="2210" spans="1:17" hidden="1" x14ac:dyDescent="0.25">
      <c r="A2210" s="114" t="s">
        <v>4994</v>
      </c>
      <c r="B2210" s="115" t="s">
        <v>7429</v>
      </c>
      <c r="C2210" s="116" t="s">
        <v>16</v>
      </c>
      <c r="D2210" s="116">
        <v>0</v>
      </c>
      <c r="E2210" s="136" t="s">
        <v>416</v>
      </c>
      <c r="F2210" s="137" t="str">
        <f t="shared" si="171"/>
        <v/>
      </c>
      <c r="G2210" s="138" t="e">
        <f>IF(A2210&lt;&gt;"",IF(AND(#REF!="Padrão",$H$4=#REF!),BDI!$B$17,IF(AND(#REF!="Padrão",$H$4=#REF!),BDI!#REF!,IF(AND(#REF!="Diferenciado",$H$4=#REF!),BDI!$E$17,IF(AND(#REF!="Diferenciado",$H$4=#REF!),BDI!#REF!,IF(#REF!="ZERO",0))))),"")</f>
        <v>#REF!</v>
      </c>
      <c r="H2210" s="139" t="str">
        <f t="shared" si="172"/>
        <v/>
      </c>
      <c r="I2210" s="137" t="str">
        <f t="shared" si="173"/>
        <v/>
      </c>
      <c r="J2210" s="117"/>
      <c r="K2210" s="116">
        <v>0</v>
      </c>
      <c r="M2210" s="136" t="s">
        <v>416</v>
      </c>
      <c r="N2210" t="e">
        <v>#REF!</v>
      </c>
      <c r="Q2210" t="s">
        <v>416</v>
      </c>
    </row>
    <row r="2211" spans="1:17" hidden="1" x14ac:dyDescent="0.25">
      <c r="A2211" s="114" t="s">
        <v>4995</v>
      </c>
      <c r="B2211" s="115" t="s">
        <v>7430</v>
      </c>
      <c r="C2211" s="116" t="s">
        <v>16</v>
      </c>
      <c r="D2211" s="116">
        <v>0</v>
      </c>
      <c r="E2211" s="136" t="s">
        <v>416</v>
      </c>
      <c r="F2211" s="137" t="str">
        <f t="shared" si="171"/>
        <v/>
      </c>
      <c r="G2211" s="138" t="e">
        <f>IF(A2211&lt;&gt;"",IF(AND(#REF!="Padrão",$H$4=#REF!),BDI!$B$17,IF(AND(#REF!="Padrão",$H$4=#REF!),BDI!#REF!,IF(AND(#REF!="Diferenciado",$H$4=#REF!),BDI!$E$17,IF(AND(#REF!="Diferenciado",$H$4=#REF!),BDI!#REF!,IF(#REF!="ZERO",0))))),"")</f>
        <v>#REF!</v>
      </c>
      <c r="H2211" s="139" t="str">
        <f t="shared" si="172"/>
        <v/>
      </c>
      <c r="I2211" s="137" t="str">
        <f t="shared" si="173"/>
        <v/>
      </c>
      <c r="J2211" s="117"/>
      <c r="K2211" s="116">
        <v>0</v>
      </c>
      <c r="M2211" s="136" t="s">
        <v>416</v>
      </c>
      <c r="N2211" t="e">
        <v>#REF!</v>
      </c>
      <c r="Q2211" t="s">
        <v>416</v>
      </c>
    </row>
    <row r="2212" spans="1:17" hidden="1" x14ac:dyDescent="0.25">
      <c r="A2212" s="114" t="s">
        <v>4996</v>
      </c>
      <c r="B2212" s="115" t="s">
        <v>7431</v>
      </c>
      <c r="C2212" s="116" t="s">
        <v>16</v>
      </c>
      <c r="D2212" s="116">
        <v>0</v>
      </c>
      <c r="E2212" s="136" t="s">
        <v>416</v>
      </c>
      <c r="F2212" s="137" t="str">
        <f t="shared" si="171"/>
        <v/>
      </c>
      <c r="G2212" s="138" t="e">
        <f>IF(A2212&lt;&gt;"",IF(AND(#REF!="Padrão",$H$4=#REF!),BDI!$B$17,IF(AND(#REF!="Padrão",$H$4=#REF!),BDI!#REF!,IF(AND(#REF!="Diferenciado",$H$4=#REF!),BDI!$E$17,IF(AND(#REF!="Diferenciado",$H$4=#REF!),BDI!#REF!,IF(#REF!="ZERO",0))))),"")</f>
        <v>#REF!</v>
      </c>
      <c r="H2212" s="139" t="str">
        <f t="shared" si="172"/>
        <v/>
      </c>
      <c r="I2212" s="137" t="str">
        <f t="shared" si="173"/>
        <v/>
      </c>
      <c r="J2212" s="117"/>
      <c r="K2212" s="116">
        <v>0</v>
      </c>
      <c r="M2212" s="136" t="s">
        <v>416</v>
      </c>
      <c r="N2212" t="e">
        <v>#REF!</v>
      </c>
      <c r="Q2212" t="s">
        <v>416</v>
      </c>
    </row>
    <row r="2213" spans="1:17" hidden="1" x14ac:dyDescent="0.25">
      <c r="A2213" s="114" t="s">
        <v>4997</v>
      </c>
      <c r="B2213" s="115" t="s">
        <v>7432</v>
      </c>
      <c r="C2213" s="116" t="s">
        <v>16</v>
      </c>
      <c r="D2213" s="116">
        <v>0</v>
      </c>
      <c r="E2213" s="136" t="s">
        <v>416</v>
      </c>
      <c r="F2213" s="137" t="str">
        <f t="shared" si="171"/>
        <v/>
      </c>
      <c r="G2213" s="138" t="e">
        <f>IF(A2213&lt;&gt;"",IF(AND(#REF!="Padrão",$H$4=#REF!),BDI!$B$17,IF(AND(#REF!="Padrão",$H$4=#REF!),BDI!#REF!,IF(AND(#REF!="Diferenciado",$H$4=#REF!),BDI!$E$17,IF(AND(#REF!="Diferenciado",$H$4=#REF!),BDI!#REF!,IF(#REF!="ZERO",0))))),"")</f>
        <v>#REF!</v>
      </c>
      <c r="H2213" s="139" t="str">
        <f t="shared" si="172"/>
        <v/>
      </c>
      <c r="I2213" s="137" t="str">
        <f t="shared" si="173"/>
        <v/>
      </c>
      <c r="J2213" s="117"/>
      <c r="K2213" s="116">
        <v>0</v>
      </c>
      <c r="M2213" s="136" t="s">
        <v>416</v>
      </c>
      <c r="N2213" t="e">
        <v>#REF!</v>
      </c>
      <c r="Q2213" t="s">
        <v>416</v>
      </c>
    </row>
    <row r="2214" spans="1:17" hidden="1" x14ac:dyDescent="0.25">
      <c r="A2214" s="114" t="s">
        <v>4998</v>
      </c>
      <c r="B2214" s="115" t="s">
        <v>7433</v>
      </c>
      <c r="C2214" s="116" t="s">
        <v>16</v>
      </c>
      <c r="D2214" s="116">
        <v>0</v>
      </c>
      <c r="E2214" s="136" t="s">
        <v>416</v>
      </c>
      <c r="F2214" s="137" t="str">
        <f t="shared" si="171"/>
        <v/>
      </c>
      <c r="G2214" s="138" t="e">
        <f>IF(A2214&lt;&gt;"",IF(AND(#REF!="Padrão",$H$4=#REF!),BDI!$B$17,IF(AND(#REF!="Padrão",$H$4=#REF!),BDI!#REF!,IF(AND(#REF!="Diferenciado",$H$4=#REF!),BDI!$E$17,IF(AND(#REF!="Diferenciado",$H$4=#REF!),BDI!#REF!,IF(#REF!="ZERO",0))))),"")</f>
        <v>#REF!</v>
      </c>
      <c r="H2214" s="139" t="str">
        <f t="shared" si="172"/>
        <v/>
      </c>
      <c r="I2214" s="137" t="str">
        <f t="shared" si="173"/>
        <v/>
      </c>
      <c r="J2214" s="117"/>
      <c r="K2214" s="116">
        <v>0</v>
      </c>
      <c r="M2214" s="136" t="s">
        <v>416</v>
      </c>
      <c r="N2214" t="e">
        <v>#REF!</v>
      </c>
      <c r="Q2214" t="s">
        <v>416</v>
      </c>
    </row>
    <row r="2215" spans="1:17" hidden="1" x14ac:dyDescent="0.25">
      <c r="A2215" s="114" t="s">
        <v>4999</v>
      </c>
      <c r="B2215" s="115" t="s">
        <v>7434</v>
      </c>
      <c r="C2215" s="116" t="s">
        <v>16</v>
      </c>
      <c r="D2215" s="116">
        <v>0</v>
      </c>
      <c r="E2215" s="136" t="s">
        <v>416</v>
      </c>
      <c r="F2215" s="137" t="str">
        <f t="shared" si="171"/>
        <v/>
      </c>
      <c r="G2215" s="138" t="e">
        <f>IF(A2215&lt;&gt;"",IF(AND(#REF!="Padrão",$H$4=#REF!),BDI!$B$17,IF(AND(#REF!="Padrão",$H$4=#REF!),BDI!#REF!,IF(AND(#REF!="Diferenciado",$H$4=#REF!),BDI!$E$17,IF(AND(#REF!="Diferenciado",$H$4=#REF!),BDI!#REF!,IF(#REF!="ZERO",0))))),"")</f>
        <v>#REF!</v>
      </c>
      <c r="H2215" s="139" t="str">
        <f t="shared" si="172"/>
        <v/>
      </c>
      <c r="I2215" s="137" t="str">
        <f t="shared" si="173"/>
        <v/>
      </c>
      <c r="J2215" s="117"/>
      <c r="K2215" s="116">
        <v>0</v>
      </c>
      <c r="M2215" s="136" t="s">
        <v>416</v>
      </c>
      <c r="N2215" t="e">
        <v>#REF!</v>
      </c>
      <c r="Q2215" t="s">
        <v>416</v>
      </c>
    </row>
    <row r="2216" spans="1:17" hidden="1" x14ac:dyDescent="0.25">
      <c r="A2216" s="114" t="s">
        <v>5000</v>
      </c>
      <c r="B2216" s="115" t="s">
        <v>7435</v>
      </c>
      <c r="C2216" s="116" t="s">
        <v>16</v>
      </c>
      <c r="D2216" s="116">
        <v>0</v>
      </c>
      <c r="E2216" s="136" t="s">
        <v>416</v>
      </c>
      <c r="F2216" s="137" t="str">
        <f t="shared" si="171"/>
        <v/>
      </c>
      <c r="G2216" s="138" t="e">
        <f>IF(A2216&lt;&gt;"",IF(AND(#REF!="Padrão",$H$4=#REF!),BDI!$B$17,IF(AND(#REF!="Padrão",$H$4=#REF!),BDI!#REF!,IF(AND(#REF!="Diferenciado",$H$4=#REF!),BDI!$E$17,IF(AND(#REF!="Diferenciado",$H$4=#REF!),BDI!#REF!,IF(#REF!="ZERO",0))))),"")</f>
        <v>#REF!</v>
      </c>
      <c r="H2216" s="139" t="str">
        <f t="shared" si="172"/>
        <v/>
      </c>
      <c r="I2216" s="137" t="str">
        <f t="shared" si="173"/>
        <v/>
      </c>
      <c r="J2216" s="117"/>
      <c r="K2216" s="116">
        <v>0</v>
      </c>
      <c r="M2216" s="136" t="s">
        <v>416</v>
      </c>
      <c r="N2216" t="e">
        <v>#REF!</v>
      </c>
      <c r="Q2216" t="s">
        <v>416</v>
      </c>
    </row>
    <row r="2217" spans="1:17" hidden="1" x14ac:dyDescent="0.25">
      <c r="A2217" s="114" t="s">
        <v>5001</v>
      </c>
      <c r="B2217" s="115" t="s">
        <v>3806</v>
      </c>
      <c r="C2217" s="116" t="s">
        <v>16</v>
      </c>
      <c r="D2217" s="116">
        <v>0</v>
      </c>
      <c r="E2217" s="136">
        <f ca="1">OFFSET(INDEX(Composições!A:J,MATCH(Orçamentária!A2217,Composições!A:A,0),8),2,0)</f>
        <v>193.54349999999999</v>
      </c>
      <c r="F2217" s="137">
        <f t="shared" ca="1" si="171"/>
        <v>0</v>
      </c>
      <c r="G2217" s="138" t="e">
        <f>IF(A2217&lt;&gt;"",IF(AND(#REF!="Padrão",$H$4=#REF!),BDI!$B$17,IF(AND(#REF!="Padrão",$H$4=#REF!),BDI!#REF!,IF(AND(#REF!="Diferenciado",$H$4=#REF!),BDI!$E$17,IF(AND(#REF!="Diferenciado",$H$4=#REF!),BDI!#REF!,IF(#REF!="ZERO",0))))),"")</f>
        <v>#REF!</v>
      </c>
      <c r="H2217" s="139" t="e">
        <f t="shared" ca="1" si="172"/>
        <v>#REF!</v>
      </c>
      <c r="I2217" s="137" t="e">
        <f t="shared" ca="1" si="173"/>
        <v>#REF!</v>
      </c>
      <c r="J2217" s="117"/>
      <c r="K2217" s="116">
        <v>0</v>
      </c>
      <c r="M2217" s="136" t="e">
        <f ca="1">OFFSET(INDEX([1]Composições!I:R,MATCH([1]Orçamentária!I2217,[1]Composições!I:I,0),8),2,0)</f>
        <v>#REF!</v>
      </c>
      <c r="N2217" t="e">
        <v>#REF!</v>
      </c>
      <c r="Q2217" t="e">
        <v>#REF!</v>
      </c>
    </row>
    <row r="2218" spans="1:17" hidden="1" x14ac:dyDescent="0.25">
      <c r="A2218" s="114" t="s">
        <v>5002</v>
      </c>
      <c r="B2218" s="115" t="s">
        <v>3807</v>
      </c>
      <c r="C2218" s="116" t="s">
        <v>16</v>
      </c>
      <c r="D2218" s="116">
        <v>0</v>
      </c>
      <c r="E2218" s="136">
        <f ca="1">OFFSET(INDEX(Composições!A:J,MATCH(Orçamentária!A2218,Composições!A:A,0),8),2,0)</f>
        <v>358.58699999999999</v>
      </c>
      <c r="F2218" s="137">
        <f t="shared" ca="1" si="171"/>
        <v>0</v>
      </c>
      <c r="G2218" s="138" t="e">
        <f>IF(A2218&lt;&gt;"",IF(AND(#REF!="Padrão",$H$4=#REF!),BDI!$B$17,IF(AND(#REF!="Padrão",$H$4=#REF!),BDI!#REF!,IF(AND(#REF!="Diferenciado",$H$4=#REF!),BDI!$E$17,IF(AND(#REF!="Diferenciado",$H$4=#REF!),BDI!#REF!,IF(#REF!="ZERO",0))))),"")</f>
        <v>#REF!</v>
      </c>
      <c r="H2218" s="139" t="e">
        <f t="shared" ca="1" si="172"/>
        <v>#REF!</v>
      </c>
      <c r="I2218" s="137" t="e">
        <f t="shared" ca="1" si="173"/>
        <v>#REF!</v>
      </c>
      <c r="J2218" s="117"/>
      <c r="K2218" s="116">
        <v>0</v>
      </c>
      <c r="M2218" s="136" t="e">
        <f ca="1">OFFSET(INDEX([1]Composições!I:R,MATCH([1]Orçamentária!I2218,[1]Composições!I:I,0),8),2,0)</f>
        <v>#REF!</v>
      </c>
      <c r="N2218" t="e">
        <v>#REF!</v>
      </c>
      <c r="Q2218" t="e">
        <v>#REF!</v>
      </c>
    </row>
    <row r="2219" spans="1:17" hidden="1" x14ac:dyDescent="0.25">
      <c r="A2219" s="114" t="s">
        <v>5003</v>
      </c>
      <c r="B2219" s="115" t="s">
        <v>3808</v>
      </c>
      <c r="C2219" s="116" t="s">
        <v>16</v>
      </c>
      <c r="D2219" s="116">
        <v>0</v>
      </c>
      <c r="E2219" s="136">
        <f ca="1">OFFSET(INDEX(Composições!A:J,MATCH(Orçamentária!A2219,Composições!A:A,0),8),2,0)</f>
        <v>777.14749999999992</v>
      </c>
      <c r="F2219" s="137">
        <f t="shared" ca="1" si="171"/>
        <v>0</v>
      </c>
      <c r="G2219" s="138" t="e">
        <f>IF(A2219&lt;&gt;"",IF(AND(#REF!="Padrão",$H$4=#REF!),BDI!$B$17,IF(AND(#REF!="Padrão",$H$4=#REF!),BDI!#REF!,IF(AND(#REF!="Diferenciado",$H$4=#REF!),BDI!$E$17,IF(AND(#REF!="Diferenciado",$H$4=#REF!),BDI!#REF!,IF(#REF!="ZERO",0))))),"")</f>
        <v>#REF!</v>
      </c>
      <c r="H2219" s="139" t="e">
        <f t="shared" ca="1" si="172"/>
        <v>#REF!</v>
      </c>
      <c r="I2219" s="137" t="e">
        <f t="shared" ca="1" si="173"/>
        <v>#REF!</v>
      </c>
      <c r="J2219" s="117"/>
      <c r="K2219" s="116">
        <v>0</v>
      </c>
      <c r="M2219" s="136" t="e">
        <f ca="1">OFFSET(INDEX([1]Composições!I:R,MATCH([1]Orçamentária!I2219,[1]Composições!I:I,0),8),2,0)</f>
        <v>#REF!</v>
      </c>
      <c r="N2219" t="e">
        <v>#REF!</v>
      </c>
      <c r="Q2219" t="e">
        <v>#REF!</v>
      </c>
    </row>
    <row r="2220" spans="1:17" hidden="1" x14ac:dyDescent="0.25">
      <c r="A2220" s="114" t="s">
        <v>5004</v>
      </c>
      <c r="B2220" s="115" t="s">
        <v>7436</v>
      </c>
      <c r="C2220" s="116" t="s">
        <v>16</v>
      </c>
      <c r="D2220" s="116">
        <v>0</v>
      </c>
      <c r="E2220" s="136" t="s">
        <v>416</v>
      </c>
      <c r="F2220" s="137" t="str">
        <f t="shared" si="171"/>
        <v/>
      </c>
      <c r="G2220" s="138" t="e">
        <f>IF(A2220&lt;&gt;"",IF(AND(#REF!="Padrão",$H$4=#REF!),BDI!$B$17,IF(AND(#REF!="Padrão",$H$4=#REF!),BDI!#REF!,IF(AND(#REF!="Diferenciado",$H$4=#REF!),BDI!$E$17,IF(AND(#REF!="Diferenciado",$H$4=#REF!),BDI!#REF!,IF(#REF!="ZERO",0))))),"")</f>
        <v>#REF!</v>
      </c>
      <c r="H2220" s="139" t="str">
        <f t="shared" si="172"/>
        <v/>
      </c>
      <c r="I2220" s="137" t="str">
        <f t="shared" si="173"/>
        <v/>
      </c>
      <c r="J2220" s="117"/>
      <c r="K2220" s="116">
        <v>0</v>
      </c>
      <c r="M2220" s="136" t="s">
        <v>416</v>
      </c>
      <c r="N2220" t="e">
        <v>#REF!</v>
      </c>
      <c r="Q2220" t="s">
        <v>416</v>
      </c>
    </row>
    <row r="2221" spans="1:17" hidden="1" x14ac:dyDescent="0.25">
      <c r="A2221" s="114" t="s">
        <v>5005</v>
      </c>
      <c r="B2221" s="115" t="s">
        <v>7437</v>
      </c>
      <c r="C2221" s="116" t="s">
        <v>16</v>
      </c>
      <c r="D2221" s="116">
        <v>0</v>
      </c>
      <c r="E2221" s="136" t="s">
        <v>416</v>
      </c>
      <c r="F2221" s="137" t="str">
        <f t="shared" ref="F2221:F2284" si="174">IF(ISNUMBER(E2221),D2221*E2221,"")</f>
        <v/>
      </c>
      <c r="G2221" s="138" t="e">
        <f>IF(A2221&lt;&gt;"",IF(AND(#REF!="Padrão",$H$4=#REF!),BDI!$B$17,IF(AND(#REF!="Padrão",$H$4=#REF!),BDI!#REF!,IF(AND(#REF!="Diferenciado",$H$4=#REF!),BDI!$E$17,IF(AND(#REF!="Diferenciado",$H$4=#REF!),BDI!#REF!,IF(#REF!="ZERO",0))))),"")</f>
        <v>#REF!</v>
      </c>
      <c r="H2221" s="139" t="str">
        <f t="shared" ref="H2221:H2284" si="175">IF(ISNUMBER(E2221),ROUND(E2221*(1+G2221),2),"")</f>
        <v/>
      </c>
      <c r="I2221" s="137" t="str">
        <f t="shared" ref="I2221:I2284" si="176">IF(ISNUMBER(E2221),ROUND(H2221*D2221,2),"")</f>
        <v/>
      </c>
      <c r="J2221" s="117"/>
      <c r="K2221" s="116">
        <v>0</v>
      </c>
      <c r="M2221" s="136" t="s">
        <v>416</v>
      </c>
      <c r="N2221" t="e">
        <v>#REF!</v>
      </c>
      <c r="Q2221" t="s">
        <v>416</v>
      </c>
    </row>
    <row r="2222" spans="1:17" hidden="1" x14ac:dyDescent="0.25">
      <c r="A2222" s="114" t="s">
        <v>5006</v>
      </c>
      <c r="B2222" s="115" t="s">
        <v>7438</v>
      </c>
      <c r="C2222" s="116" t="s">
        <v>16</v>
      </c>
      <c r="D2222" s="116">
        <v>0</v>
      </c>
      <c r="E2222" s="136" t="s">
        <v>416</v>
      </c>
      <c r="F2222" s="137" t="str">
        <f t="shared" si="174"/>
        <v/>
      </c>
      <c r="G2222" s="138" t="e">
        <f>IF(A2222&lt;&gt;"",IF(AND(#REF!="Padrão",$H$4=#REF!),BDI!$B$17,IF(AND(#REF!="Padrão",$H$4=#REF!),BDI!#REF!,IF(AND(#REF!="Diferenciado",$H$4=#REF!),BDI!$E$17,IF(AND(#REF!="Diferenciado",$H$4=#REF!),BDI!#REF!,IF(#REF!="ZERO",0))))),"")</f>
        <v>#REF!</v>
      </c>
      <c r="H2222" s="139" t="str">
        <f t="shared" si="175"/>
        <v/>
      </c>
      <c r="I2222" s="137" t="str">
        <f t="shared" si="176"/>
        <v/>
      </c>
      <c r="J2222" s="117"/>
      <c r="K2222" s="116">
        <v>0</v>
      </c>
      <c r="M2222" s="136" t="s">
        <v>416</v>
      </c>
      <c r="N2222" t="e">
        <v>#REF!</v>
      </c>
      <c r="Q2222" t="s">
        <v>416</v>
      </c>
    </row>
    <row r="2223" spans="1:17" hidden="1" x14ac:dyDescent="0.25">
      <c r="A2223" s="114" t="s">
        <v>5007</v>
      </c>
      <c r="B2223" s="115" t="s">
        <v>7439</v>
      </c>
      <c r="C2223" s="116" t="s">
        <v>16</v>
      </c>
      <c r="D2223" s="116">
        <v>0</v>
      </c>
      <c r="E2223" s="136" t="s">
        <v>416</v>
      </c>
      <c r="F2223" s="137" t="str">
        <f t="shared" si="174"/>
        <v/>
      </c>
      <c r="G2223" s="138" t="e">
        <f>IF(A2223&lt;&gt;"",IF(AND(#REF!="Padrão",$H$4=#REF!),BDI!$B$17,IF(AND(#REF!="Padrão",$H$4=#REF!),BDI!#REF!,IF(AND(#REF!="Diferenciado",$H$4=#REF!),BDI!$E$17,IF(AND(#REF!="Diferenciado",$H$4=#REF!),BDI!#REF!,IF(#REF!="ZERO",0))))),"")</f>
        <v>#REF!</v>
      </c>
      <c r="H2223" s="139" t="str">
        <f t="shared" si="175"/>
        <v/>
      </c>
      <c r="I2223" s="137" t="str">
        <f t="shared" si="176"/>
        <v/>
      </c>
      <c r="J2223" s="117"/>
      <c r="K2223" s="116">
        <v>0</v>
      </c>
      <c r="M2223" s="136" t="s">
        <v>416</v>
      </c>
      <c r="N2223" t="e">
        <v>#REF!</v>
      </c>
      <c r="Q2223" t="s">
        <v>416</v>
      </c>
    </row>
    <row r="2224" spans="1:17" hidden="1" x14ac:dyDescent="0.25">
      <c r="A2224" s="114" t="s">
        <v>5008</v>
      </c>
      <c r="B2224" s="115" t="s">
        <v>3809</v>
      </c>
      <c r="C2224" s="116" t="s">
        <v>16</v>
      </c>
      <c r="D2224" s="116">
        <v>0</v>
      </c>
      <c r="E2224" s="136" t="s">
        <v>416</v>
      </c>
      <c r="F2224" s="137" t="str">
        <f t="shared" si="174"/>
        <v/>
      </c>
      <c r="G2224" s="138" t="e">
        <f>IF(A2224&lt;&gt;"",IF(AND(#REF!="Padrão",$H$4=#REF!),BDI!$B$17,IF(AND(#REF!="Padrão",$H$4=#REF!),BDI!#REF!,IF(AND(#REF!="Diferenciado",$H$4=#REF!),BDI!$E$17,IF(AND(#REF!="Diferenciado",$H$4=#REF!),BDI!#REF!,IF(#REF!="ZERO",0))))),"")</f>
        <v>#REF!</v>
      </c>
      <c r="H2224" s="139" t="str">
        <f t="shared" si="175"/>
        <v/>
      </c>
      <c r="I2224" s="137" t="str">
        <f t="shared" si="176"/>
        <v/>
      </c>
      <c r="J2224" s="117"/>
      <c r="K2224" s="116">
        <v>0</v>
      </c>
      <c r="M2224" s="136" t="s">
        <v>416</v>
      </c>
      <c r="N2224" t="e">
        <v>#REF!</v>
      </c>
      <c r="Q2224" t="s">
        <v>416</v>
      </c>
    </row>
    <row r="2225" spans="1:17" hidden="1" x14ac:dyDescent="0.25">
      <c r="A2225" s="114" t="s">
        <v>5009</v>
      </c>
      <c r="B2225" s="115" t="s">
        <v>3810</v>
      </c>
      <c r="C2225" s="116" t="s">
        <v>16</v>
      </c>
      <c r="D2225" s="116">
        <v>0</v>
      </c>
      <c r="E2225" s="136" t="s">
        <v>416</v>
      </c>
      <c r="F2225" s="137" t="str">
        <f t="shared" si="174"/>
        <v/>
      </c>
      <c r="G2225" s="138" t="e">
        <f>IF(A2225&lt;&gt;"",IF(AND(#REF!="Padrão",$H$4=#REF!),BDI!$B$17,IF(AND(#REF!="Padrão",$H$4=#REF!),BDI!#REF!,IF(AND(#REF!="Diferenciado",$H$4=#REF!),BDI!$E$17,IF(AND(#REF!="Diferenciado",$H$4=#REF!),BDI!#REF!,IF(#REF!="ZERO",0))))),"")</f>
        <v>#REF!</v>
      </c>
      <c r="H2225" s="139" t="str">
        <f t="shared" si="175"/>
        <v/>
      </c>
      <c r="I2225" s="137" t="str">
        <f t="shared" si="176"/>
        <v/>
      </c>
      <c r="J2225" s="117"/>
      <c r="K2225" s="116">
        <v>0</v>
      </c>
      <c r="M2225" s="136" t="s">
        <v>416</v>
      </c>
      <c r="N2225" t="e">
        <v>#REF!</v>
      </c>
      <c r="Q2225" t="s">
        <v>416</v>
      </c>
    </row>
    <row r="2226" spans="1:17" hidden="1" x14ac:dyDescent="0.25">
      <c r="A2226" s="114" t="s">
        <v>5010</v>
      </c>
      <c r="B2226" s="115" t="s">
        <v>3811</v>
      </c>
      <c r="C2226" s="116" t="s">
        <v>16</v>
      </c>
      <c r="D2226" s="116">
        <v>0</v>
      </c>
      <c r="E2226" s="136" t="s">
        <v>416</v>
      </c>
      <c r="F2226" s="137" t="str">
        <f t="shared" si="174"/>
        <v/>
      </c>
      <c r="G2226" s="138" t="e">
        <f>IF(A2226&lt;&gt;"",IF(AND(#REF!="Padrão",$H$4=#REF!),BDI!$B$17,IF(AND(#REF!="Padrão",$H$4=#REF!),BDI!#REF!,IF(AND(#REF!="Diferenciado",$H$4=#REF!),BDI!$E$17,IF(AND(#REF!="Diferenciado",$H$4=#REF!),BDI!#REF!,IF(#REF!="ZERO",0))))),"")</f>
        <v>#REF!</v>
      </c>
      <c r="H2226" s="139" t="str">
        <f t="shared" si="175"/>
        <v/>
      </c>
      <c r="I2226" s="137" t="str">
        <f t="shared" si="176"/>
        <v/>
      </c>
      <c r="J2226" s="117"/>
      <c r="K2226" s="116">
        <v>0</v>
      </c>
      <c r="M2226" s="136" t="s">
        <v>416</v>
      </c>
      <c r="N2226" t="e">
        <v>#REF!</v>
      </c>
      <c r="Q2226" t="s">
        <v>416</v>
      </c>
    </row>
    <row r="2227" spans="1:17" hidden="1" x14ac:dyDescent="0.25">
      <c r="A2227" s="114" t="s">
        <v>5011</v>
      </c>
      <c r="B2227" s="115" t="s">
        <v>3812</v>
      </c>
      <c r="C2227" s="116" t="s">
        <v>16</v>
      </c>
      <c r="D2227" s="116">
        <v>0</v>
      </c>
      <c r="E2227" s="136" t="s">
        <v>416</v>
      </c>
      <c r="F2227" s="137" t="str">
        <f t="shared" si="174"/>
        <v/>
      </c>
      <c r="G2227" s="138" t="e">
        <f>IF(A2227&lt;&gt;"",IF(AND(#REF!="Padrão",$H$4=#REF!),BDI!$B$17,IF(AND(#REF!="Padrão",$H$4=#REF!),BDI!#REF!,IF(AND(#REF!="Diferenciado",$H$4=#REF!),BDI!$E$17,IF(AND(#REF!="Diferenciado",$H$4=#REF!),BDI!#REF!,IF(#REF!="ZERO",0))))),"")</f>
        <v>#REF!</v>
      </c>
      <c r="H2227" s="139" t="str">
        <f t="shared" si="175"/>
        <v/>
      </c>
      <c r="I2227" s="137" t="str">
        <f t="shared" si="176"/>
        <v/>
      </c>
      <c r="J2227" s="117"/>
      <c r="K2227" s="116">
        <v>0</v>
      </c>
      <c r="M2227" s="136" t="s">
        <v>416</v>
      </c>
      <c r="N2227" t="e">
        <v>#REF!</v>
      </c>
      <c r="Q2227" t="s">
        <v>416</v>
      </c>
    </row>
    <row r="2228" spans="1:17" hidden="1" x14ac:dyDescent="0.25">
      <c r="A2228" s="114" t="s">
        <v>5012</v>
      </c>
      <c r="B2228" s="115" t="s">
        <v>3813</v>
      </c>
      <c r="C2228" s="116" t="s">
        <v>16</v>
      </c>
      <c r="D2228" s="116">
        <v>0</v>
      </c>
      <c r="E2228" s="136" t="s">
        <v>416</v>
      </c>
      <c r="F2228" s="137" t="str">
        <f t="shared" si="174"/>
        <v/>
      </c>
      <c r="G2228" s="138" t="e">
        <f>IF(A2228&lt;&gt;"",IF(AND(#REF!="Padrão",$H$4=#REF!),BDI!$B$17,IF(AND(#REF!="Padrão",$H$4=#REF!),BDI!#REF!,IF(AND(#REF!="Diferenciado",$H$4=#REF!),BDI!$E$17,IF(AND(#REF!="Diferenciado",$H$4=#REF!),BDI!#REF!,IF(#REF!="ZERO",0))))),"")</f>
        <v>#REF!</v>
      </c>
      <c r="H2228" s="139" t="str">
        <f t="shared" si="175"/>
        <v/>
      </c>
      <c r="I2228" s="137" t="str">
        <f t="shared" si="176"/>
        <v/>
      </c>
      <c r="J2228" s="117"/>
      <c r="K2228" s="116">
        <v>0</v>
      </c>
      <c r="M2228" s="136" t="s">
        <v>416</v>
      </c>
      <c r="N2228" t="e">
        <v>#REF!</v>
      </c>
      <c r="Q2228" t="s">
        <v>416</v>
      </c>
    </row>
    <row r="2229" spans="1:17" hidden="1" x14ac:dyDescent="0.25">
      <c r="A2229" s="114" t="s">
        <v>5013</v>
      </c>
      <c r="B2229" s="115" t="s">
        <v>3814</v>
      </c>
      <c r="C2229" s="116" t="s">
        <v>16</v>
      </c>
      <c r="D2229" s="116">
        <v>0</v>
      </c>
      <c r="E2229" s="136" t="s">
        <v>416</v>
      </c>
      <c r="F2229" s="137" t="str">
        <f t="shared" si="174"/>
        <v/>
      </c>
      <c r="G2229" s="138" t="e">
        <f>IF(A2229&lt;&gt;"",IF(AND(#REF!="Padrão",$H$4=#REF!),BDI!$B$17,IF(AND(#REF!="Padrão",$H$4=#REF!),BDI!#REF!,IF(AND(#REF!="Diferenciado",$H$4=#REF!),BDI!$E$17,IF(AND(#REF!="Diferenciado",$H$4=#REF!),BDI!#REF!,IF(#REF!="ZERO",0))))),"")</f>
        <v>#REF!</v>
      </c>
      <c r="H2229" s="139" t="str">
        <f t="shared" si="175"/>
        <v/>
      </c>
      <c r="I2229" s="137" t="str">
        <f t="shared" si="176"/>
        <v/>
      </c>
      <c r="J2229" s="117"/>
      <c r="K2229" s="116">
        <v>0</v>
      </c>
      <c r="M2229" s="136" t="s">
        <v>416</v>
      </c>
      <c r="N2229" t="e">
        <v>#REF!</v>
      </c>
      <c r="Q2229" t="s">
        <v>416</v>
      </c>
    </row>
    <row r="2230" spans="1:17" hidden="1" x14ac:dyDescent="0.25">
      <c r="A2230" s="114" t="s">
        <v>5014</v>
      </c>
      <c r="B2230" s="115" t="s">
        <v>3815</v>
      </c>
      <c r="C2230" s="116" t="s">
        <v>16</v>
      </c>
      <c r="D2230" s="116">
        <v>0</v>
      </c>
      <c r="E2230" s="136" t="s">
        <v>416</v>
      </c>
      <c r="F2230" s="137" t="str">
        <f t="shared" si="174"/>
        <v/>
      </c>
      <c r="G2230" s="138" t="e">
        <f>IF(A2230&lt;&gt;"",IF(AND(#REF!="Padrão",$H$4=#REF!),BDI!$B$17,IF(AND(#REF!="Padrão",$H$4=#REF!),BDI!#REF!,IF(AND(#REF!="Diferenciado",$H$4=#REF!),BDI!$E$17,IF(AND(#REF!="Diferenciado",$H$4=#REF!),BDI!#REF!,IF(#REF!="ZERO",0))))),"")</f>
        <v>#REF!</v>
      </c>
      <c r="H2230" s="139" t="str">
        <f t="shared" si="175"/>
        <v/>
      </c>
      <c r="I2230" s="137" t="str">
        <f t="shared" si="176"/>
        <v/>
      </c>
      <c r="J2230" s="117"/>
      <c r="K2230" s="116">
        <v>0</v>
      </c>
      <c r="M2230" s="136" t="s">
        <v>416</v>
      </c>
      <c r="N2230" t="e">
        <v>#REF!</v>
      </c>
      <c r="Q2230" t="s">
        <v>416</v>
      </c>
    </row>
    <row r="2231" spans="1:17" hidden="1" x14ac:dyDescent="0.25">
      <c r="A2231" s="114" t="s">
        <v>5015</v>
      </c>
      <c r="B2231" s="115" t="s">
        <v>3816</v>
      </c>
      <c r="C2231" s="116" t="s">
        <v>16</v>
      </c>
      <c r="D2231" s="116">
        <v>0</v>
      </c>
      <c r="E2231" s="136" t="s">
        <v>416</v>
      </c>
      <c r="F2231" s="137" t="str">
        <f t="shared" si="174"/>
        <v/>
      </c>
      <c r="G2231" s="138" t="e">
        <f>IF(A2231&lt;&gt;"",IF(AND(#REF!="Padrão",$H$4=#REF!),BDI!$B$17,IF(AND(#REF!="Padrão",$H$4=#REF!),BDI!#REF!,IF(AND(#REF!="Diferenciado",$H$4=#REF!),BDI!$E$17,IF(AND(#REF!="Diferenciado",$H$4=#REF!),BDI!#REF!,IF(#REF!="ZERO",0))))),"")</f>
        <v>#REF!</v>
      </c>
      <c r="H2231" s="139" t="str">
        <f t="shared" si="175"/>
        <v/>
      </c>
      <c r="I2231" s="137" t="str">
        <f t="shared" si="176"/>
        <v/>
      </c>
      <c r="J2231" s="117"/>
      <c r="K2231" s="116">
        <v>0</v>
      </c>
      <c r="M2231" s="136" t="s">
        <v>416</v>
      </c>
      <c r="N2231" t="e">
        <v>#REF!</v>
      </c>
      <c r="Q2231" t="s">
        <v>416</v>
      </c>
    </row>
    <row r="2232" spans="1:17" hidden="1" x14ac:dyDescent="0.25">
      <c r="A2232" s="114" t="s">
        <v>5016</v>
      </c>
      <c r="B2232" s="115" t="s">
        <v>3817</v>
      </c>
      <c r="C2232" s="116" t="s">
        <v>16</v>
      </c>
      <c r="D2232" s="116">
        <v>0</v>
      </c>
      <c r="E2232" s="136" t="s">
        <v>416</v>
      </c>
      <c r="F2232" s="137" t="str">
        <f t="shared" si="174"/>
        <v/>
      </c>
      <c r="G2232" s="138" t="e">
        <f>IF(A2232&lt;&gt;"",IF(AND(#REF!="Padrão",$H$4=#REF!),BDI!$B$17,IF(AND(#REF!="Padrão",$H$4=#REF!),BDI!#REF!,IF(AND(#REF!="Diferenciado",$H$4=#REF!),BDI!$E$17,IF(AND(#REF!="Diferenciado",$H$4=#REF!),BDI!#REF!,IF(#REF!="ZERO",0))))),"")</f>
        <v>#REF!</v>
      </c>
      <c r="H2232" s="139" t="str">
        <f t="shared" si="175"/>
        <v/>
      </c>
      <c r="I2232" s="137" t="str">
        <f t="shared" si="176"/>
        <v/>
      </c>
      <c r="J2232" s="117"/>
      <c r="K2232" s="116">
        <v>0</v>
      </c>
      <c r="M2232" s="136" t="s">
        <v>416</v>
      </c>
      <c r="N2232" t="e">
        <v>#REF!</v>
      </c>
      <c r="Q2232" t="s">
        <v>416</v>
      </c>
    </row>
    <row r="2233" spans="1:17" hidden="1" x14ac:dyDescent="0.25">
      <c r="A2233" s="114" t="s">
        <v>5017</v>
      </c>
      <c r="B2233" s="115" t="s">
        <v>3818</v>
      </c>
      <c r="C2233" s="116" t="s">
        <v>16</v>
      </c>
      <c r="D2233" s="116">
        <v>0</v>
      </c>
      <c r="E2233" s="136" t="s">
        <v>416</v>
      </c>
      <c r="F2233" s="137" t="str">
        <f t="shared" si="174"/>
        <v/>
      </c>
      <c r="G2233" s="138" t="e">
        <f>IF(A2233&lt;&gt;"",IF(AND(#REF!="Padrão",$H$4=#REF!),BDI!$B$17,IF(AND(#REF!="Padrão",$H$4=#REF!),BDI!#REF!,IF(AND(#REF!="Diferenciado",$H$4=#REF!),BDI!$E$17,IF(AND(#REF!="Diferenciado",$H$4=#REF!),BDI!#REF!,IF(#REF!="ZERO",0))))),"")</f>
        <v>#REF!</v>
      </c>
      <c r="H2233" s="139" t="str">
        <f t="shared" si="175"/>
        <v/>
      </c>
      <c r="I2233" s="137" t="str">
        <f t="shared" si="176"/>
        <v/>
      </c>
      <c r="J2233" s="117"/>
      <c r="K2233" s="116">
        <v>0</v>
      </c>
      <c r="M2233" s="136" t="s">
        <v>416</v>
      </c>
      <c r="N2233" t="e">
        <v>#REF!</v>
      </c>
      <c r="Q2233" t="s">
        <v>416</v>
      </c>
    </row>
    <row r="2234" spans="1:17" hidden="1" x14ac:dyDescent="0.25">
      <c r="A2234" s="114" t="s">
        <v>5018</v>
      </c>
      <c r="B2234" s="115" t="s">
        <v>3819</v>
      </c>
      <c r="C2234" s="116" t="s">
        <v>16</v>
      </c>
      <c r="D2234" s="116">
        <v>0</v>
      </c>
      <c r="E2234" s="136" t="s">
        <v>416</v>
      </c>
      <c r="F2234" s="137" t="str">
        <f t="shared" si="174"/>
        <v/>
      </c>
      <c r="G2234" s="138" t="e">
        <f>IF(A2234&lt;&gt;"",IF(AND(#REF!="Padrão",$H$4=#REF!),BDI!$B$17,IF(AND(#REF!="Padrão",$H$4=#REF!),BDI!#REF!,IF(AND(#REF!="Diferenciado",$H$4=#REF!),BDI!$E$17,IF(AND(#REF!="Diferenciado",$H$4=#REF!),BDI!#REF!,IF(#REF!="ZERO",0))))),"")</f>
        <v>#REF!</v>
      </c>
      <c r="H2234" s="139" t="str">
        <f t="shared" si="175"/>
        <v/>
      </c>
      <c r="I2234" s="137" t="str">
        <f t="shared" si="176"/>
        <v/>
      </c>
      <c r="J2234" s="117"/>
      <c r="K2234" s="116">
        <v>0</v>
      </c>
      <c r="M2234" s="136" t="s">
        <v>416</v>
      </c>
      <c r="N2234" t="e">
        <v>#REF!</v>
      </c>
      <c r="Q2234" t="s">
        <v>416</v>
      </c>
    </row>
    <row r="2235" spans="1:17" hidden="1" x14ac:dyDescent="0.25">
      <c r="A2235" s="114" t="s">
        <v>5019</v>
      </c>
      <c r="B2235" s="115" t="s">
        <v>3820</v>
      </c>
      <c r="C2235" s="116" t="s">
        <v>16</v>
      </c>
      <c r="D2235" s="116">
        <v>0</v>
      </c>
      <c r="E2235" s="136" t="s">
        <v>416</v>
      </c>
      <c r="F2235" s="137" t="str">
        <f t="shared" si="174"/>
        <v/>
      </c>
      <c r="G2235" s="138" t="e">
        <f>IF(A2235&lt;&gt;"",IF(AND(#REF!="Padrão",$H$4=#REF!),BDI!$B$17,IF(AND(#REF!="Padrão",$H$4=#REF!),BDI!#REF!,IF(AND(#REF!="Diferenciado",$H$4=#REF!),BDI!$E$17,IF(AND(#REF!="Diferenciado",$H$4=#REF!),BDI!#REF!,IF(#REF!="ZERO",0))))),"")</f>
        <v>#REF!</v>
      </c>
      <c r="H2235" s="139" t="str">
        <f t="shared" si="175"/>
        <v/>
      </c>
      <c r="I2235" s="137" t="str">
        <f t="shared" si="176"/>
        <v/>
      </c>
      <c r="J2235" s="117"/>
      <c r="K2235" s="116">
        <v>0</v>
      </c>
      <c r="M2235" s="136" t="s">
        <v>416</v>
      </c>
      <c r="N2235" t="e">
        <v>#REF!</v>
      </c>
      <c r="Q2235" t="s">
        <v>416</v>
      </c>
    </row>
    <row r="2236" spans="1:17" hidden="1" x14ac:dyDescent="0.25">
      <c r="A2236" s="114" t="s">
        <v>5020</v>
      </c>
      <c r="B2236" s="115" t="s">
        <v>3821</v>
      </c>
      <c r="C2236" s="116" t="s">
        <v>16</v>
      </c>
      <c r="D2236" s="116">
        <v>0</v>
      </c>
      <c r="E2236" s="136" t="s">
        <v>416</v>
      </c>
      <c r="F2236" s="137" t="str">
        <f t="shared" si="174"/>
        <v/>
      </c>
      <c r="G2236" s="138" t="e">
        <f>IF(A2236&lt;&gt;"",IF(AND(#REF!="Padrão",$H$4=#REF!),BDI!$B$17,IF(AND(#REF!="Padrão",$H$4=#REF!),BDI!#REF!,IF(AND(#REF!="Diferenciado",$H$4=#REF!),BDI!$E$17,IF(AND(#REF!="Diferenciado",$H$4=#REF!),BDI!#REF!,IF(#REF!="ZERO",0))))),"")</f>
        <v>#REF!</v>
      </c>
      <c r="H2236" s="139" t="str">
        <f t="shared" si="175"/>
        <v/>
      </c>
      <c r="I2236" s="137" t="str">
        <f t="shared" si="176"/>
        <v/>
      </c>
      <c r="J2236" s="117"/>
      <c r="K2236" s="116">
        <v>0</v>
      </c>
      <c r="M2236" s="136" t="s">
        <v>416</v>
      </c>
      <c r="N2236" t="e">
        <v>#REF!</v>
      </c>
      <c r="Q2236" t="s">
        <v>416</v>
      </c>
    </row>
    <row r="2237" spans="1:17" hidden="1" x14ac:dyDescent="0.25">
      <c r="A2237" s="114" t="s">
        <v>5021</v>
      </c>
      <c r="B2237" s="115" t="s">
        <v>3822</v>
      </c>
      <c r="C2237" s="116" t="s">
        <v>16</v>
      </c>
      <c r="D2237" s="116">
        <v>0</v>
      </c>
      <c r="E2237" s="136" t="s">
        <v>416</v>
      </c>
      <c r="F2237" s="137" t="str">
        <f t="shared" si="174"/>
        <v/>
      </c>
      <c r="G2237" s="138" t="e">
        <f>IF(A2237&lt;&gt;"",IF(AND(#REF!="Padrão",$H$4=#REF!),BDI!$B$17,IF(AND(#REF!="Padrão",$H$4=#REF!),BDI!#REF!,IF(AND(#REF!="Diferenciado",$H$4=#REF!),BDI!$E$17,IF(AND(#REF!="Diferenciado",$H$4=#REF!),BDI!#REF!,IF(#REF!="ZERO",0))))),"")</f>
        <v>#REF!</v>
      </c>
      <c r="H2237" s="139" t="str">
        <f t="shared" si="175"/>
        <v/>
      </c>
      <c r="I2237" s="137" t="str">
        <f t="shared" si="176"/>
        <v/>
      </c>
      <c r="J2237" s="117"/>
      <c r="K2237" s="116">
        <v>0</v>
      </c>
      <c r="M2237" s="136" t="s">
        <v>416</v>
      </c>
      <c r="N2237" t="e">
        <v>#REF!</v>
      </c>
      <c r="Q2237" t="s">
        <v>416</v>
      </c>
    </row>
    <row r="2238" spans="1:17" hidden="1" x14ac:dyDescent="0.25">
      <c r="A2238" s="114" t="s">
        <v>5022</v>
      </c>
      <c r="B2238" s="115" t="s">
        <v>3823</v>
      </c>
      <c r="C2238" s="116" t="s">
        <v>16</v>
      </c>
      <c r="D2238" s="116">
        <v>0</v>
      </c>
      <c r="E2238" s="136" t="s">
        <v>416</v>
      </c>
      <c r="F2238" s="137" t="str">
        <f t="shared" si="174"/>
        <v/>
      </c>
      <c r="G2238" s="138" t="e">
        <f>IF(A2238&lt;&gt;"",IF(AND(#REF!="Padrão",$H$4=#REF!),BDI!$B$17,IF(AND(#REF!="Padrão",$H$4=#REF!),BDI!#REF!,IF(AND(#REF!="Diferenciado",$H$4=#REF!),BDI!$E$17,IF(AND(#REF!="Diferenciado",$H$4=#REF!),BDI!#REF!,IF(#REF!="ZERO",0))))),"")</f>
        <v>#REF!</v>
      </c>
      <c r="H2238" s="139" t="str">
        <f t="shared" si="175"/>
        <v/>
      </c>
      <c r="I2238" s="137" t="str">
        <f t="shared" si="176"/>
        <v/>
      </c>
      <c r="J2238" s="117"/>
      <c r="K2238" s="116">
        <v>0</v>
      </c>
      <c r="M2238" s="136" t="s">
        <v>416</v>
      </c>
      <c r="N2238" t="e">
        <v>#REF!</v>
      </c>
      <c r="Q2238" t="s">
        <v>416</v>
      </c>
    </row>
    <row r="2239" spans="1:17" hidden="1" x14ac:dyDescent="0.25">
      <c r="A2239" s="114" t="s">
        <v>5023</v>
      </c>
      <c r="B2239" s="115" t="s">
        <v>3824</v>
      </c>
      <c r="C2239" s="116" t="s">
        <v>16</v>
      </c>
      <c r="D2239" s="116">
        <v>0</v>
      </c>
      <c r="E2239" s="136" t="s">
        <v>416</v>
      </c>
      <c r="F2239" s="137" t="str">
        <f t="shared" si="174"/>
        <v/>
      </c>
      <c r="G2239" s="138" t="e">
        <f>IF(A2239&lt;&gt;"",IF(AND(#REF!="Padrão",$H$4=#REF!),BDI!$B$17,IF(AND(#REF!="Padrão",$H$4=#REF!),BDI!#REF!,IF(AND(#REF!="Diferenciado",$H$4=#REF!),BDI!$E$17,IF(AND(#REF!="Diferenciado",$H$4=#REF!),BDI!#REF!,IF(#REF!="ZERO",0))))),"")</f>
        <v>#REF!</v>
      </c>
      <c r="H2239" s="139" t="str">
        <f t="shared" si="175"/>
        <v/>
      </c>
      <c r="I2239" s="137" t="str">
        <f t="shared" si="176"/>
        <v/>
      </c>
      <c r="J2239" s="117"/>
      <c r="K2239" s="116">
        <v>0</v>
      </c>
      <c r="M2239" s="136" t="s">
        <v>416</v>
      </c>
      <c r="N2239" t="e">
        <v>#REF!</v>
      </c>
      <c r="Q2239" t="s">
        <v>416</v>
      </c>
    </row>
    <row r="2240" spans="1:17" hidden="1" x14ac:dyDescent="0.25">
      <c r="A2240" s="114" t="s">
        <v>5024</v>
      </c>
      <c r="B2240" s="115" t="s">
        <v>3825</v>
      </c>
      <c r="C2240" s="116" t="s">
        <v>16</v>
      </c>
      <c r="D2240" s="116">
        <v>0</v>
      </c>
      <c r="E2240" s="136" t="s">
        <v>416</v>
      </c>
      <c r="F2240" s="137" t="str">
        <f t="shared" si="174"/>
        <v/>
      </c>
      <c r="G2240" s="138" t="e">
        <f>IF(A2240&lt;&gt;"",IF(AND(#REF!="Padrão",$H$4=#REF!),BDI!$B$17,IF(AND(#REF!="Padrão",$H$4=#REF!),BDI!#REF!,IF(AND(#REF!="Diferenciado",$H$4=#REF!),BDI!$E$17,IF(AND(#REF!="Diferenciado",$H$4=#REF!),BDI!#REF!,IF(#REF!="ZERO",0))))),"")</f>
        <v>#REF!</v>
      </c>
      <c r="H2240" s="139" t="str">
        <f t="shared" si="175"/>
        <v/>
      </c>
      <c r="I2240" s="137" t="str">
        <f t="shared" si="176"/>
        <v/>
      </c>
      <c r="J2240" s="117"/>
      <c r="K2240" s="116">
        <v>0</v>
      </c>
      <c r="M2240" s="136" t="s">
        <v>416</v>
      </c>
      <c r="N2240" t="e">
        <v>#REF!</v>
      </c>
      <c r="Q2240" t="s">
        <v>416</v>
      </c>
    </row>
    <row r="2241" spans="1:17" hidden="1" x14ac:dyDescent="0.25">
      <c r="A2241" s="114" t="s">
        <v>5025</v>
      </c>
      <c r="B2241" s="115" t="s">
        <v>3826</v>
      </c>
      <c r="C2241" s="116" t="s">
        <v>16</v>
      </c>
      <c r="D2241" s="116">
        <v>0</v>
      </c>
      <c r="E2241" s="136" t="s">
        <v>416</v>
      </c>
      <c r="F2241" s="137" t="str">
        <f t="shared" si="174"/>
        <v/>
      </c>
      <c r="G2241" s="138" t="e">
        <f>IF(A2241&lt;&gt;"",IF(AND(#REF!="Padrão",$H$4=#REF!),BDI!$B$17,IF(AND(#REF!="Padrão",$H$4=#REF!),BDI!#REF!,IF(AND(#REF!="Diferenciado",$H$4=#REF!),BDI!$E$17,IF(AND(#REF!="Diferenciado",$H$4=#REF!),BDI!#REF!,IF(#REF!="ZERO",0))))),"")</f>
        <v>#REF!</v>
      </c>
      <c r="H2241" s="139" t="str">
        <f t="shared" si="175"/>
        <v/>
      </c>
      <c r="I2241" s="137" t="str">
        <f t="shared" si="176"/>
        <v/>
      </c>
      <c r="J2241" s="117"/>
      <c r="K2241" s="116">
        <v>0</v>
      </c>
      <c r="M2241" s="136" t="s">
        <v>416</v>
      </c>
      <c r="N2241" t="e">
        <v>#REF!</v>
      </c>
      <c r="Q2241" t="s">
        <v>416</v>
      </c>
    </row>
    <row r="2242" spans="1:17" hidden="1" x14ac:dyDescent="0.25">
      <c r="A2242" s="114" t="s">
        <v>5026</v>
      </c>
      <c r="B2242" s="115" t="s">
        <v>3827</v>
      </c>
      <c r="C2242" s="116" t="s">
        <v>16</v>
      </c>
      <c r="D2242" s="116">
        <v>0</v>
      </c>
      <c r="E2242" s="136" t="s">
        <v>416</v>
      </c>
      <c r="F2242" s="137" t="str">
        <f t="shared" si="174"/>
        <v/>
      </c>
      <c r="G2242" s="138" t="e">
        <f>IF(A2242&lt;&gt;"",IF(AND(#REF!="Padrão",$H$4=#REF!),BDI!$B$17,IF(AND(#REF!="Padrão",$H$4=#REF!),BDI!#REF!,IF(AND(#REF!="Diferenciado",$H$4=#REF!),BDI!$E$17,IF(AND(#REF!="Diferenciado",$H$4=#REF!),BDI!#REF!,IF(#REF!="ZERO",0))))),"")</f>
        <v>#REF!</v>
      </c>
      <c r="H2242" s="139" t="str">
        <f t="shared" si="175"/>
        <v/>
      </c>
      <c r="I2242" s="137" t="str">
        <f t="shared" si="176"/>
        <v/>
      </c>
      <c r="J2242" s="117"/>
      <c r="K2242" s="116">
        <v>0</v>
      </c>
      <c r="M2242" s="136" t="s">
        <v>416</v>
      </c>
      <c r="N2242" t="e">
        <v>#REF!</v>
      </c>
      <c r="Q2242" t="s">
        <v>416</v>
      </c>
    </row>
    <row r="2243" spans="1:17" hidden="1" x14ac:dyDescent="0.25">
      <c r="A2243" s="114" t="s">
        <v>5027</v>
      </c>
      <c r="B2243" s="115" t="s">
        <v>3828</v>
      </c>
      <c r="C2243" s="116" t="s">
        <v>16</v>
      </c>
      <c r="D2243" s="116">
        <v>0</v>
      </c>
      <c r="E2243" s="136" t="s">
        <v>416</v>
      </c>
      <c r="F2243" s="137" t="str">
        <f t="shared" si="174"/>
        <v/>
      </c>
      <c r="G2243" s="138" t="e">
        <f>IF(A2243&lt;&gt;"",IF(AND(#REF!="Padrão",$H$4=#REF!),BDI!$B$17,IF(AND(#REF!="Padrão",$H$4=#REF!),BDI!#REF!,IF(AND(#REF!="Diferenciado",$H$4=#REF!),BDI!$E$17,IF(AND(#REF!="Diferenciado",$H$4=#REF!),BDI!#REF!,IF(#REF!="ZERO",0))))),"")</f>
        <v>#REF!</v>
      </c>
      <c r="H2243" s="139" t="str">
        <f t="shared" si="175"/>
        <v/>
      </c>
      <c r="I2243" s="137" t="str">
        <f t="shared" si="176"/>
        <v/>
      </c>
      <c r="J2243" s="117"/>
      <c r="K2243" s="116">
        <v>0</v>
      </c>
      <c r="M2243" s="136" t="s">
        <v>416</v>
      </c>
      <c r="N2243" t="e">
        <v>#REF!</v>
      </c>
      <c r="Q2243" t="s">
        <v>416</v>
      </c>
    </row>
    <row r="2244" spans="1:17" hidden="1" x14ac:dyDescent="0.25">
      <c r="A2244" s="114" t="s">
        <v>5028</v>
      </c>
      <c r="B2244" s="115" t="s">
        <v>3829</v>
      </c>
      <c r="C2244" s="116" t="s">
        <v>16</v>
      </c>
      <c r="D2244" s="116">
        <v>0</v>
      </c>
      <c r="E2244" s="136" t="s">
        <v>416</v>
      </c>
      <c r="F2244" s="137" t="str">
        <f t="shared" si="174"/>
        <v/>
      </c>
      <c r="G2244" s="138" t="e">
        <f>IF(A2244&lt;&gt;"",IF(AND(#REF!="Padrão",$H$4=#REF!),BDI!$B$17,IF(AND(#REF!="Padrão",$H$4=#REF!),BDI!#REF!,IF(AND(#REF!="Diferenciado",$H$4=#REF!),BDI!$E$17,IF(AND(#REF!="Diferenciado",$H$4=#REF!),BDI!#REF!,IF(#REF!="ZERO",0))))),"")</f>
        <v>#REF!</v>
      </c>
      <c r="H2244" s="139" t="str">
        <f t="shared" si="175"/>
        <v/>
      </c>
      <c r="I2244" s="137" t="str">
        <f t="shared" si="176"/>
        <v/>
      </c>
      <c r="J2244" s="117"/>
      <c r="K2244" s="116">
        <v>0</v>
      </c>
      <c r="M2244" s="136" t="s">
        <v>416</v>
      </c>
      <c r="N2244" t="e">
        <v>#REF!</v>
      </c>
      <c r="Q2244" t="s">
        <v>416</v>
      </c>
    </row>
    <row r="2245" spans="1:17" hidden="1" x14ac:dyDescent="0.25">
      <c r="A2245" s="114" t="s">
        <v>5029</v>
      </c>
      <c r="B2245" s="115" t="s">
        <v>3830</v>
      </c>
      <c r="C2245" s="116" t="s">
        <v>16</v>
      </c>
      <c r="D2245" s="116">
        <v>0</v>
      </c>
      <c r="E2245" s="136" t="s">
        <v>416</v>
      </c>
      <c r="F2245" s="137" t="str">
        <f t="shared" si="174"/>
        <v/>
      </c>
      <c r="G2245" s="138" t="e">
        <f>IF(A2245&lt;&gt;"",IF(AND(#REF!="Padrão",$H$4=#REF!),BDI!$B$17,IF(AND(#REF!="Padrão",$H$4=#REF!),BDI!#REF!,IF(AND(#REF!="Diferenciado",$H$4=#REF!),BDI!$E$17,IF(AND(#REF!="Diferenciado",$H$4=#REF!),BDI!#REF!,IF(#REF!="ZERO",0))))),"")</f>
        <v>#REF!</v>
      </c>
      <c r="H2245" s="139" t="str">
        <f t="shared" si="175"/>
        <v/>
      </c>
      <c r="I2245" s="137" t="str">
        <f t="shared" si="176"/>
        <v/>
      </c>
      <c r="J2245" s="117"/>
      <c r="K2245" s="116">
        <v>0</v>
      </c>
      <c r="M2245" s="136" t="s">
        <v>416</v>
      </c>
      <c r="N2245" t="e">
        <v>#REF!</v>
      </c>
      <c r="Q2245" t="s">
        <v>416</v>
      </c>
    </row>
    <row r="2246" spans="1:17" hidden="1" x14ac:dyDescent="0.25">
      <c r="A2246" s="114" t="s">
        <v>5030</v>
      </c>
      <c r="B2246" s="115" t="s">
        <v>3831</v>
      </c>
      <c r="C2246" s="116" t="s">
        <v>16</v>
      </c>
      <c r="D2246" s="116">
        <v>0</v>
      </c>
      <c r="E2246" s="136" t="s">
        <v>416</v>
      </c>
      <c r="F2246" s="137" t="str">
        <f t="shared" si="174"/>
        <v/>
      </c>
      <c r="G2246" s="138" t="e">
        <f>IF(A2246&lt;&gt;"",IF(AND(#REF!="Padrão",$H$4=#REF!),BDI!$B$17,IF(AND(#REF!="Padrão",$H$4=#REF!),BDI!#REF!,IF(AND(#REF!="Diferenciado",$H$4=#REF!),BDI!$E$17,IF(AND(#REF!="Diferenciado",$H$4=#REF!),BDI!#REF!,IF(#REF!="ZERO",0))))),"")</f>
        <v>#REF!</v>
      </c>
      <c r="H2246" s="139" t="str">
        <f t="shared" si="175"/>
        <v/>
      </c>
      <c r="I2246" s="137" t="str">
        <f t="shared" si="176"/>
        <v/>
      </c>
      <c r="J2246" s="117"/>
      <c r="K2246" s="116">
        <v>0</v>
      </c>
      <c r="M2246" s="136" t="s">
        <v>416</v>
      </c>
      <c r="N2246" t="e">
        <v>#REF!</v>
      </c>
      <c r="Q2246" t="s">
        <v>416</v>
      </c>
    </row>
    <row r="2247" spans="1:17" hidden="1" x14ac:dyDescent="0.25">
      <c r="A2247" s="114" t="s">
        <v>5031</v>
      </c>
      <c r="B2247" s="115" t="s">
        <v>3832</v>
      </c>
      <c r="C2247" s="116" t="s">
        <v>70</v>
      </c>
      <c r="D2247" s="116">
        <v>0</v>
      </c>
      <c r="E2247" s="136" t="s">
        <v>416</v>
      </c>
      <c r="F2247" s="137" t="str">
        <f t="shared" si="174"/>
        <v/>
      </c>
      <c r="G2247" s="138" t="e">
        <f>IF(A2247&lt;&gt;"",IF(AND(#REF!="Padrão",$H$4=#REF!),BDI!$B$17,IF(AND(#REF!="Padrão",$H$4=#REF!),BDI!#REF!,IF(AND(#REF!="Diferenciado",$H$4=#REF!),BDI!$E$17,IF(AND(#REF!="Diferenciado",$H$4=#REF!),BDI!#REF!,IF(#REF!="ZERO",0))))),"")</f>
        <v>#REF!</v>
      </c>
      <c r="H2247" s="139" t="str">
        <f t="shared" si="175"/>
        <v/>
      </c>
      <c r="I2247" s="137" t="str">
        <f t="shared" si="176"/>
        <v/>
      </c>
      <c r="J2247" s="117"/>
      <c r="K2247" s="116">
        <v>0</v>
      </c>
      <c r="M2247" s="136" t="s">
        <v>416</v>
      </c>
      <c r="N2247" t="e">
        <v>#REF!</v>
      </c>
      <c r="Q2247" t="s">
        <v>416</v>
      </c>
    </row>
    <row r="2248" spans="1:17" hidden="1" x14ac:dyDescent="0.25">
      <c r="A2248" s="114" t="s">
        <v>5032</v>
      </c>
      <c r="B2248" s="115" t="s">
        <v>3833</v>
      </c>
      <c r="C2248" s="116" t="s">
        <v>70</v>
      </c>
      <c r="D2248" s="116">
        <v>0</v>
      </c>
      <c r="E2248" s="136" t="s">
        <v>416</v>
      </c>
      <c r="F2248" s="137" t="str">
        <f t="shared" si="174"/>
        <v/>
      </c>
      <c r="G2248" s="138" t="e">
        <f>IF(A2248&lt;&gt;"",IF(AND(#REF!="Padrão",$H$4=#REF!),BDI!$B$17,IF(AND(#REF!="Padrão",$H$4=#REF!),BDI!#REF!,IF(AND(#REF!="Diferenciado",$H$4=#REF!),BDI!$E$17,IF(AND(#REF!="Diferenciado",$H$4=#REF!),BDI!#REF!,IF(#REF!="ZERO",0))))),"")</f>
        <v>#REF!</v>
      </c>
      <c r="H2248" s="139" t="str">
        <f t="shared" si="175"/>
        <v/>
      </c>
      <c r="I2248" s="137" t="str">
        <f t="shared" si="176"/>
        <v/>
      </c>
      <c r="J2248" s="117"/>
      <c r="K2248" s="116">
        <v>0</v>
      </c>
      <c r="M2248" s="136" t="s">
        <v>416</v>
      </c>
      <c r="N2248" t="e">
        <v>#REF!</v>
      </c>
      <c r="Q2248" t="s">
        <v>416</v>
      </c>
    </row>
    <row r="2249" spans="1:17" hidden="1" x14ac:dyDescent="0.25">
      <c r="A2249" s="114" t="s">
        <v>5033</v>
      </c>
      <c r="B2249" s="115" t="s">
        <v>3834</v>
      </c>
      <c r="C2249" s="116" t="s">
        <v>16</v>
      </c>
      <c r="D2249" s="116">
        <v>0</v>
      </c>
      <c r="E2249" s="136" t="s">
        <v>416</v>
      </c>
      <c r="F2249" s="137" t="str">
        <f t="shared" si="174"/>
        <v/>
      </c>
      <c r="G2249" s="138" t="e">
        <f>IF(A2249&lt;&gt;"",IF(AND(#REF!="Padrão",$H$4=#REF!),BDI!$B$17,IF(AND(#REF!="Padrão",$H$4=#REF!),BDI!#REF!,IF(AND(#REF!="Diferenciado",$H$4=#REF!),BDI!$E$17,IF(AND(#REF!="Diferenciado",$H$4=#REF!),BDI!#REF!,IF(#REF!="ZERO",0))))),"")</f>
        <v>#REF!</v>
      </c>
      <c r="H2249" s="139" t="str">
        <f t="shared" si="175"/>
        <v/>
      </c>
      <c r="I2249" s="137" t="str">
        <f t="shared" si="176"/>
        <v/>
      </c>
      <c r="J2249" s="117"/>
      <c r="K2249" s="116">
        <v>0</v>
      </c>
      <c r="M2249" s="136" t="s">
        <v>416</v>
      </c>
      <c r="N2249" t="e">
        <v>#REF!</v>
      </c>
      <c r="Q2249" t="s">
        <v>416</v>
      </c>
    </row>
    <row r="2250" spans="1:17" hidden="1" x14ac:dyDescent="0.25">
      <c r="A2250" s="114" t="s">
        <v>5034</v>
      </c>
      <c r="B2250" s="115" t="s">
        <v>3835</v>
      </c>
      <c r="C2250" s="116" t="s">
        <v>16</v>
      </c>
      <c r="D2250" s="116">
        <v>0</v>
      </c>
      <c r="E2250" s="136" t="s">
        <v>416</v>
      </c>
      <c r="F2250" s="137" t="str">
        <f t="shared" si="174"/>
        <v/>
      </c>
      <c r="G2250" s="138" t="e">
        <f>IF(A2250&lt;&gt;"",IF(AND(#REF!="Padrão",$H$4=#REF!),BDI!$B$17,IF(AND(#REF!="Padrão",$H$4=#REF!),BDI!#REF!,IF(AND(#REF!="Diferenciado",$H$4=#REF!),BDI!$E$17,IF(AND(#REF!="Diferenciado",$H$4=#REF!),BDI!#REF!,IF(#REF!="ZERO",0))))),"")</f>
        <v>#REF!</v>
      </c>
      <c r="H2250" s="139" t="str">
        <f t="shared" si="175"/>
        <v/>
      </c>
      <c r="I2250" s="137" t="str">
        <f t="shared" si="176"/>
        <v/>
      </c>
      <c r="J2250" s="117"/>
      <c r="K2250" s="116">
        <v>0</v>
      </c>
      <c r="M2250" s="136" t="s">
        <v>416</v>
      </c>
      <c r="N2250" t="e">
        <v>#REF!</v>
      </c>
      <c r="Q2250" t="s">
        <v>416</v>
      </c>
    </row>
    <row r="2251" spans="1:17" hidden="1" x14ac:dyDescent="0.25">
      <c r="A2251" s="114" t="s">
        <v>5035</v>
      </c>
      <c r="B2251" s="115" t="s">
        <v>3836</v>
      </c>
      <c r="C2251" s="116" t="s">
        <v>16</v>
      </c>
      <c r="D2251" s="116">
        <v>0</v>
      </c>
      <c r="E2251" s="136" t="s">
        <v>416</v>
      </c>
      <c r="F2251" s="137" t="str">
        <f t="shared" si="174"/>
        <v/>
      </c>
      <c r="G2251" s="138" t="e">
        <f>IF(A2251&lt;&gt;"",IF(AND(#REF!="Padrão",$H$4=#REF!),BDI!$B$17,IF(AND(#REF!="Padrão",$H$4=#REF!),BDI!#REF!,IF(AND(#REF!="Diferenciado",$H$4=#REF!),BDI!$E$17,IF(AND(#REF!="Diferenciado",$H$4=#REF!),BDI!#REF!,IF(#REF!="ZERO",0))))),"")</f>
        <v>#REF!</v>
      </c>
      <c r="H2251" s="139" t="str">
        <f t="shared" si="175"/>
        <v/>
      </c>
      <c r="I2251" s="137" t="str">
        <f t="shared" si="176"/>
        <v/>
      </c>
      <c r="J2251" s="117"/>
      <c r="K2251" s="116">
        <v>0</v>
      </c>
      <c r="M2251" s="136" t="s">
        <v>416</v>
      </c>
      <c r="N2251" t="e">
        <v>#REF!</v>
      </c>
      <c r="Q2251" t="s">
        <v>416</v>
      </c>
    </row>
    <row r="2252" spans="1:17" hidden="1" x14ac:dyDescent="0.25">
      <c r="A2252" s="114" t="s">
        <v>5036</v>
      </c>
      <c r="B2252" s="115" t="s">
        <v>3837</v>
      </c>
      <c r="C2252" s="116" t="s">
        <v>16</v>
      </c>
      <c r="D2252" s="116">
        <v>0</v>
      </c>
      <c r="E2252" s="136" t="s">
        <v>416</v>
      </c>
      <c r="F2252" s="137" t="str">
        <f t="shared" si="174"/>
        <v/>
      </c>
      <c r="G2252" s="138" t="e">
        <f>IF(A2252&lt;&gt;"",IF(AND(#REF!="Padrão",$H$4=#REF!),BDI!$B$17,IF(AND(#REF!="Padrão",$H$4=#REF!),BDI!#REF!,IF(AND(#REF!="Diferenciado",$H$4=#REF!),BDI!$E$17,IF(AND(#REF!="Diferenciado",$H$4=#REF!),BDI!#REF!,IF(#REF!="ZERO",0))))),"")</f>
        <v>#REF!</v>
      </c>
      <c r="H2252" s="139" t="str">
        <f t="shared" si="175"/>
        <v/>
      </c>
      <c r="I2252" s="137" t="str">
        <f t="shared" si="176"/>
        <v/>
      </c>
      <c r="J2252" s="117"/>
      <c r="K2252" s="116">
        <v>0</v>
      </c>
      <c r="M2252" s="136" t="s">
        <v>416</v>
      </c>
      <c r="N2252" t="e">
        <v>#REF!</v>
      </c>
      <c r="Q2252" t="s">
        <v>416</v>
      </c>
    </row>
    <row r="2253" spans="1:17" hidden="1" x14ac:dyDescent="0.25">
      <c r="A2253" s="114" t="s">
        <v>5037</v>
      </c>
      <c r="B2253" s="115" t="s">
        <v>3838</v>
      </c>
      <c r="C2253" s="116" t="s">
        <v>16</v>
      </c>
      <c r="D2253" s="116">
        <v>0</v>
      </c>
      <c r="E2253" s="136" t="s">
        <v>416</v>
      </c>
      <c r="F2253" s="137" t="str">
        <f t="shared" si="174"/>
        <v/>
      </c>
      <c r="G2253" s="138" t="e">
        <f>IF(A2253&lt;&gt;"",IF(AND(#REF!="Padrão",$H$4=#REF!),BDI!$B$17,IF(AND(#REF!="Padrão",$H$4=#REF!),BDI!#REF!,IF(AND(#REF!="Diferenciado",$H$4=#REF!),BDI!$E$17,IF(AND(#REF!="Diferenciado",$H$4=#REF!),BDI!#REF!,IF(#REF!="ZERO",0))))),"")</f>
        <v>#REF!</v>
      </c>
      <c r="H2253" s="139" t="str">
        <f t="shared" si="175"/>
        <v/>
      </c>
      <c r="I2253" s="137" t="str">
        <f t="shared" si="176"/>
        <v/>
      </c>
      <c r="J2253" s="117"/>
      <c r="K2253" s="116">
        <v>0</v>
      </c>
      <c r="M2253" s="136" t="s">
        <v>416</v>
      </c>
      <c r="N2253" t="e">
        <v>#REF!</v>
      </c>
      <c r="Q2253" t="s">
        <v>416</v>
      </c>
    </row>
    <row r="2254" spans="1:17" hidden="1" x14ac:dyDescent="0.25">
      <c r="A2254" s="114" t="s">
        <v>5038</v>
      </c>
      <c r="B2254" s="115" t="s">
        <v>3839</v>
      </c>
      <c r="C2254" s="116" t="s">
        <v>16</v>
      </c>
      <c r="D2254" s="116">
        <v>0</v>
      </c>
      <c r="E2254" s="136" t="s">
        <v>416</v>
      </c>
      <c r="F2254" s="137" t="str">
        <f t="shared" si="174"/>
        <v/>
      </c>
      <c r="G2254" s="138" t="e">
        <f>IF(A2254&lt;&gt;"",IF(AND(#REF!="Padrão",$H$4=#REF!),BDI!$B$17,IF(AND(#REF!="Padrão",$H$4=#REF!),BDI!#REF!,IF(AND(#REF!="Diferenciado",$H$4=#REF!),BDI!$E$17,IF(AND(#REF!="Diferenciado",$H$4=#REF!),BDI!#REF!,IF(#REF!="ZERO",0))))),"")</f>
        <v>#REF!</v>
      </c>
      <c r="H2254" s="139" t="str">
        <f t="shared" si="175"/>
        <v/>
      </c>
      <c r="I2254" s="137" t="str">
        <f t="shared" si="176"/>
        <v/>
      </c>
      <c r="J2254" s="117"/>
      <c r="K2254" s="116">
        <v>0</v>
      </c>
      <c r="M2254" s="136" t="s">
        <v>416</v>
      </c>
      <c r="N2254" t="e">
        <v>#REF!</v>
      </c>
      <c r="Q2254" t="s">
        <v>416</v>
      </c>
    </row>
    <row r="2255" spans="1:17" hidden="1" x14ac:dyDescent="0.25">
      <c r="A2255" s="114" t="s">
        <v>5039</v>
      </c>
      <c r="B2255" s="115" t="s">
        <v>3840</v>
      </c>
      <c r="C2255" s="116" t="s">
        <v>16</v>
      </c>
      <c r="D2255" s="116">
        <v>0</v>
      </c>
      <c r="E2255" s="136">
        <f ca="1">OFFSET(INDEX(Composições!A:J,MATCH(Orçamentária!A2255,Composições!A:A,0),8),2,0)</f>
        <v>68.523499999999999</v>
      </c>
      <c r="F2255" s="137">
        <f t="shared" ca="1" si="174"/>
        <v>0</v>
      </c>
      <c r="G2255" s="138" t="e">
        <f>IF(A2255&lt;&gt;"",IF(AND(#REF!="Padrão",$H$4=#REF!),BDI!$B$17,IF(AND(#REF!="Padrão",$H$4=#REF!),BDI!#REF!,IF(AND(#REF!="Diferenciado",$H$4=#REF!),BDI!$E$17,IF(AND(#REF!="Diferenciado",$H$4=#REF!),BDI!#REF!,IF(#REF!="ZERO",0))))),"")</f>
        <v>#REF!</v>
      </c>
      <c r="H2255" s="139" t="e">
        <f t="shared" ca="1" si="175"/>
        <v>#REF!</v>
      </c>
      <c r="I2255" s="137" t="e">
        <f t="shared" ca="1" si="176"/>
        <v>#REF!</v>
      </c>
      <c r="J2255" s="117"/>
      <c r="K2255" s="116">
        <v>0</v>
      </c>
      <c r="M2255" s="136" t="e">
        <f ca="1">OFFSET(INDEX([1]Composições!I:R,MATCH([1]Orçamentária!I2255,[1]Composições!I:I,0),8),2,0)</f>
        <v>#REF!</v>
      </c>
      <c r="N2255" t="e">
        <v>#REF!</v>
      </c>
      <c r="Q2255" t="e">
        <v>#REF!</v>
      </c>
    </row>
    <row r="2256" spans="1:17" hidden="1" x14ac:dyDescent="0.25">
      <c r="A2256" s="114" t="s">
        <v>5040</v>
      </c>
      <c r="B2256" s="115" t="s">
        <v>3841</v>
      </c>
      <c r="C2256" s="116" t="s">
        <v>16</v>
      </c>
      <c r="D2256" s="116">
        <v>0</v>
      </c>
      <c r="E2256" s="136" t="s">
        <v>416</v>
      </c>
      <c r="F2256" s="137" t="str">
        <f t="shared" si="174"/>
        <v/>
      </c>
      <c r="G2256" s="138" t="e">
        <f>IF(A2256&lt;&gt;"",IF(AND(#REF!="Padrão",$H$4=#REF!),BDI!$B$17,IF(AND(#REF!="Padrão",$H$4=#REF!),BDI!#REF!,IF(AND(#REF!="Diferenciado",$H$4=#REF!),BDI!$E$17,IF(AND(#REF!="Diferenciado",$H$4=#REF!),BDI!#REF!,IF(#REF!="ZERO",0))))),"")</f>
        <v>#REF!</v>
      </c>
      <c r="H2256" s="139" t="str">
        <f t="shared" si="175"/>
        <v/>
      </c>
      <c r="I2256" s="137" t="str">
        <f t="shared" si="176"/>
        <v/>
      </c>
      <c r="J2256" s="117"/>
      <c r="K2256" s="116">
        <v>0</v>
      </c>
      <c r="M2256" s="136" t="s">
        <v>416</v>
      </c>
      <c r="N2256" t="e">
        <v>#REF!</v>
      </c>
      <c r="Q2256" t="s">
        <v>416</v>
      </c>
    </row>
    <row r="2257" spans="1:17" hidden="1" x14ac:dyDescent="0.25">
      <c r="A2257" s="114" t="s">
        <v>5041</v>
      </c>
      <c r="B2257" s="115" t="s">
        <v>3842</v>
      </c>
      <c r="C2257" s="116" t="s">
        <v>16</v>
      </c>
      <c r="D2257" s="116">
        <v>0</v>
      </c>
      <c r="E2257" s="136" t="s">
        <v>416</v>
      </c>
      <c r="F2257" s="137" t="str">
        <f t="shared" si="174"/>
        <v/>
      </c>
      <c r="G2257" s="138" t="e">
        <f>IF(A2257&lt;&gt;"",IF(AND(#REF!="Padrão",$H$4=#REF!),BDI!$B$17,IF(AND(#REF!="Padrão",$H$4=#REF!),BDI!#REF!,IF(AND(#REF!="Diferenciado",$H$4=#REF!),BDI!$E$17,IF(AND(#REF!="Diferenciado",$H$4=#REF!),BDI!#REF!,IF(#REF!="ZERO",0))))),"")</f>
        <v>#REF!</v>
      </c>
      <c r="H2257" s="139" t="str">
        <f t="shared" si="175"/>
        <v/>
      </c>
      <c r="I2257" s="137" t="str">
        <f t="shared" si="176"/>
        <v/>
      </c>
      <c r="J2257" s="117"/>
      <c r="K2257" s="116">
        <v>0</v>
      </c>
      <c r="M2257" s="136" t="s">
        <v>416</v>
      </c>
      <c r="N2257" t="e">
        <v>#REF!</v>
      </c>
      <c r="Q2257" t="s">
        <v>416</v>
      </c>
    </row>
    <row r="2258" spans="1:17" hidden="1" x14ac:dyDescent="0.25">
      <c r="A2258" s="114" t="s">
        <v>5042</v>
      </c>
      <c r="B2258" s="115" t="s">
        <v>3843</v>
      </c>
      <c r="C2258" s="116" t="s">
        <v>16</v>
      </c>
      <c r="D2258" s="116">
        <v>0</v>
      </c>
      <c r="E2258" s="136" t="s">
        <v>416</v>
      </c>
      <c r="F2258" s="137" t="str">
        <f t="shared" si="174"/>
        <v/>
      </c>
      <c r="G2258" s="138" t="e">
        <f>IF(A2258&lt;&gt;"",IF(AND(#REF!="Padrão",$H$4=#REF!),BDI!$B$17,IF(AND(#REF!="Padrão",$H$4=#REF!),BDI!#REF!,IF(AND(#REF!="Diferenciado",$H$4=#REF!),BDI!$E$17,IF(AND(#REF!="Diferenciado",$H$4=#REF!),BDI!#REF!,IF(#REF!="ZERO",0))))),"")</f>
        <v>#REF!</v>
      </c>
      <c r="H2258" s="139" t="str">
        <f t="shared" si="175"/>
        <v/>
      </c>
      <c r="I2258" s="137" t="str">
        <f t="shared" si="176"/>
        <v/>
      </c>
      <c r="J2258" s="117"/>
      <c r="K2258" s="116">
        <v>0</v>
      </c>
      <c r="M2258" s="136" t="s">
        <v>416</v>
      </c>
      <c r="N2258" t="e">
        <v>#REF!</v>
      </c>
      <c r="Q2258" t="s">
        <v>416</v>
      </c>
    </row>
    <row r="2259" spans="1:17" hidden="1" x14ac:dyDescent="0.25">
      <c r="A2259" s="114" t="s">
        <v>5043</v>
      </c>
      <c r="B2259" s="115" t="s">
        <v>3844</v>
      </c>
      <c r="C2259" s="116" t="s">
        <v>16</v>
      </c>
      <c r="D2259" s="116">
        <v>0</v>
      </c>
      <c r="E2259" s="136" t="s">
        <v>416</v>
      </c>
      <c r="F2259" s="137" t="str">
        <f t="shared" si="174"/>
        <v/>
      </c>
      <c r="G2259" s="138" t="e">
        <f>IF(A2259&lt;&gt;"",IF(AND(#REF!="Padrão",$H$4=#REF!),BDI!$B$17,IF(AND(#REF!="Padrão",$H$4=#REF!),BDI!#REF!,IF(AND(#REF!="Diferenciado",$H$4=#REF!),BDI!$E$17,IF(AND(#REF!="Diferenciado",$H$4=#REF!),BDI!#REF!,IF(#REF!="ZERO",0))))),"")</f>
        <v>#REF!</v>
      </c>
      <c r="H2259" s="139" t="str">
        <f t="shared" si="175"/>
        <v/>
      </c>
      <c r="I2259" s="137" t="str">
        <f t="shared" si="176"/>
        <v/>
      </c>
      <c r="J2259" s="117"/>
      <c r="K2259" s="116">
        <v>0</v>
      </c>
      <c r="M2259" s="136" t="s">
        <v>416</v>
      </c>
      <c r="N2259" t="e">
        <v>#REF!</v>
      </c>
      <c r="Q2259" t="s">
        <v>416</v>
      </c>
    </row>
    <row r="2260" spans="1:17" hidden="1" x14ac:dyDescent="0.25">
      <c r="A2260" s="114" t="s">
        <v>5044</v>
      </c>
      <c r="B2260" s="115" t="s">
        <v>3845</v>
      </c>
      <c r="C2260" s="116" t="s">
        <v>16</v>
      </c>
      <c r="D2260" s="116">
        <v>0</v>
      </c>
      <c r="E2260" s="136" t="s">
        <v>416</v>
      </c>
      <c r="F2260" s="137" t="str">
        <f t="shared" si="174"/>
        <v/>
      </c>
      <c r="G2260" s="138" t="e">
        <f>IF(A2260&lt;&gt;"",IF(AND(#REF!="Padrão",$H$4=#REF!),BDI!$B$17,IF(AND(#REF!="Padrão",$H$4=#REF!),BDI!#REF!,IF(AND(#REF!="Diferenciado",$H$4=#REF!),BDI!$E$17,IF(AND(#REF!="Diferenciado",$H$4=#REF!),BDI!#REF!,IF(#REF!="ZERO",0))))),"")</f>
        <v>#REF!</v>
      </c>
      <c r="H2260" s="139" t="str">
        <f t="shared" si="175"/>
        <v/>
      </c>
      <c r="I2260" s="137" t="str">
        <f t="shared" si="176"/>
        <v/>
      </c>
      <c r="J2260" s="117"/>
      <c r="K2260" s="116">
        <v>0</v>
      </c>
      <c r="M2260" s="136" t="s">
        <v>416</v>
      </c>
      <c r="N2260" t="e">
        <v>#REF!</v>
      </c>
      <c r="Q2260" t="s">
        <v>416</v>
      </c>
    </row>
    <row r="2261" spans="1:17" hidden="1" x14ac:dyDescent="0.25">
      <c r="A2261" s="114" t="s">
        <v>5045</v>
      </c>
      <c r="B2261" s="115" t="s">
        <v>3846</v>
      </c>
      <c r="C2261" s="116" t="s">
        <v>16</v>
      </c>
      <c r="D2261" s="116">
        <v>0</v>
      </c>
      <c r="E2261" s="136" t="s">
        <v>416</v>
      </c>
      <c r="F2261" s="137" t="str">
        <f t="shared" si="174"/>
        <v/>
      </c>
      <c r="G2261" s="138" t="e">
        <f>IF(A2261&lt;&gt;"",IF(AND(#REF!="Padrão",$H$4=#REF!),BDI!$B$17,IF(AND(#REF!="Padrão",$H$4=#REF!),BDI!#REF!,IF(AND(#REF!="Diferenciado",$H$4=#REF!),BDI!$E$17,IF(AND(#REF!="Diferenciado",$H$4=#REF!),BDI!#REF!,IF(#REF!="ZERO",0))))),"")</f>
        <v>#REF!</v>
      </c>
      <c r="H2261" s="139" t="str">
        <f t="shared" si="175"/>
        <v/>
      </c>
      <c r="I2261" s="137" t="str">
        <f t="shared" si="176"/>
        <v/>
      </c>
      <c r="J2261" s="117"/>
      <c r="K2261" s="116">
        <v>0</v>
      </c>
      <c r="M2261" s="136" t="s">
        <v>416</v>
      </c>
      <c r="N2261" t="e">
        <v>#REF!</v>
      </c>
      <c r="Q2261" t="s">
        <v>416</v>
      </c>
    </row>
    <row r="2262" spans="1:17" hidden="1" x14ac:dyDescent="0.25">
      <c r="A2262" s="114" t="s">
        <v>5046</v>
      </c>
      <c r="B2262" s="115" t="s">
        <v>3847</v>
      </c>
      <c r="C2262" s="116" t="s">
        <v>16</v>
      </c>
      <c r="D2262" s="116">
        <v>0</v>
      </c>
      <c r="E2262" s="136" t="s">
        <v>416</v>
      </c>
      <c r="F2262" s="137" t="str">
        <f t="shared" si="174"/>
        <v/>
      </c>
      <c r="G2262" s="138" t="e">
        <f>IF(A2262&lt;&gt;"",IF(AND(#REF!="Padrão",$H$4=#REF!),BDI!$B$17,IF(AND(#REF!="Padrão",$H$4=#REF!),BDI!#REF!,IF(AND(#REF!="Diferenciado",$H$4=#REF!),BDI!$E$17,IF(AND(#REF!="Diferenciado",$H$4=#REF!),BDI!#REF!,IF(#REF!="ZERO",0))))),"")</f>
        <v>#REF!</v>
      </c>
      <c r="H2262" s="139" t="str">
        <f t="shared" si="175"/>
        <v/>
      </c>
      <c r="I2262" s="137" t="str">
        <f t="shared" si="176"/>
        <v/>
      </c>
      <c r="J2262" s="117"/>
      <c r="K2262" s="116">
        <v>0</v>
      </c>
      <c r="M2262" s="136" t="s">
        <v>416</v>
      </c>
      <c r="N2262" t="e">
        <v>#REF!</v>
      </c>
      <c r="Q2262" t="s">
        <v>416</v>
      </c>
    </row>
    <row r="2263" spans="1:17" hidden="1" x14ac:dyDescent="0.25">
      <c r="A2263" s="114" t="s">
        <v>5047</v>
      </c>
      <c r="B2263" s="115" t="s">
        <v>3848</v>
      </c>
      <c r="C2263" s="116" t="s">
        <v>16</v>
      </c>
      <c r="D2263" s="116">
        <v>0</v>
      </c>
      <c r="E2263" s="136" t="s">
        <v>416</v>
      </c>
      <c r="F2263" s="137" t="str">
        <f t="shared" si="174"/>
        <v/>
      </c>
      <c r="G2263" s="138" t="e">
        <f>IF(A2263&lt;&gt;"",IF(AND(#REF!="Padrão",$H$4=#REF!),BDI!$B$17,IF(AND(#REF!="Padrão",$H$4=#REF!),BDI!#REF!,IF(AND(#REF!="Diferenciado",$H$4=#REF!),BDI!$E$17,IF(AND(#REF!="Diferenciado",$H$4=#REF!),BDI!#REF!,IF(#REF!="ZERO",0))))),"")</f>
        <v>#REF!</v>
      </c>
      <c r="H2263" s="139" t="str">
        <f t="shared" si="175"/>
        <v/>
      </c>
      <c r="I2263" s="137" t="str">
        <f t="shared" si="176"/>
        <v/>
      </c>
      <c r="J2263" s="117"/>
      <c r="K2263" s="116">
        <v>0</v>
      </c>
      <c r="M2263" s="136" t="s">
        <v>416</v>
      </c>
      <c r="N2263" t="e">
        <v>#REF!</v>
      </c>
      <c r="Q2263" t="s">
        <v>416</v>
      </c>
    </row>
    <row r="2264" spans="1:17" hidden="1" x14ac:dyDescent="0.25">
      <c r="A2264" s="114" t="s">
        <v>5048</v>
      </c>
      <c r="B2264" s="115" t="s">
        <v>3849</v>
      </c>
      <c r="C2264" s="116" t="s">
        <v>16</v>
      </c>
      <c r="D2264" s="116">
        <v>0</v>
      </c>
      <c r="E2264" s="136" t="s">
        <v>416</v>
      </c>
      <c r="F2264" s="137" t="str">
        <f t="shared" si="174"/>
        <v/>
      </c>
      <c r="G2264" s="138" t="e">
        <f>IF(A2264&lt;&gt;"",IF(AND(#REF!="Padrão",$H$4=#REF!),BDI!$B$17,IF(AND(#REF!="Padrão",$H$4=#REF!),BDI!#REF!,IF(AND(#REF!="Diferenciado",$H$4=#REF!),BDI!$E$17,IF(AND(#REF!="Diferenciado",$H$4=#REF!),BDI!#REF!,IF(#REF!="ZERO",0))))),"")</f>
        <v>#REF!</v>
      </c>
      <c r="H2264" s="139" t="str">
        <f t="shared" si="175"/>
        <v/>
      </c>
      <c r="I2264" s="137" t="str">
        <f t="shared" si="176"/>
        <v/>
      </c>
      <c r="J2264" s="117"/>
      <c r="K2264" s="116">
        <v>0</v>
      </c>
      <c r="M2264" s="136" t="s">
        <v>416</v>
      </c>
      <c r="N2264" t="e">
        <v>#REF!</v>
      </c>
      <c r="Q2264" t="s">
        <v>416</v>
      </c>
    </row>
    <row r="2265" spans="1:17" hidden="1" x14ac:dyDescent="0.25">
      <c r="A2265" s="114" t="s">
        <v>5049</v>
      </c>
      <c r="B2265" s="115" t="s">
        <v>3850</v>
      </c>
      <c r="C2265" s="116" t="s">
        <v>16</v>
      </c>
      <c r="D2265" s="116">
        <v>0</v>
      </c>
      <c r="E2265" s="136" t="s">
        <v>416</v>
      </c>
      <c r="F2265" s="137" t="str">
        <f t="shared" si="174"/>
        <v/>
      </c>
      <c r="G2265" s="138" t="e">
        <f>IF(A2265&lt;&gt;"",IF(AND(#REF!="Padrão",$H$4=#REF!),BDI!$B$17,IF(AND(#REF!="Padrão",$H$4=#REF!),BDI!#REF!,IF(AND(#REF!="Diferenciado",$H$4=#REF!),BDI!$E$17,IF(AND(#REF!="Diferenciado",$H$4=#REF!),BDI!#REF!,IF(#REF!="ZERO",0))))),"")</f>
        <v>#REF!</v>
      </c>
      <c r="H2265" s="139" t="str">
        <f t="shared" si="175"/>
        <v/>
      </c>
      <c r="I2265" s="137" t="str">
        <f t="shared" si="176"/>
        <v/>
      </c>
      <c r="J2265" s="117"/>
      <c r="K2265" s="116">
        <v>0</v>
      </c>
      <c r="M2265" s="136" t="s">
        <v>416</v>
      </c>
      <c r="N2265" t="e">
        <v>#REF!</v>
      </c>
      <c r="Q2265" t="s">
        <v>416</v>
      </c>
    </row>
    <row r="2266" spans="1:17" hidden="1" x14ac:dyDescent="0.25">
      <c r="A2266" s="114" t="s">
        <v>5050</v>
      </c>
      <c r="B2266" s="115" t="s">
        <v>3851</v>
      </c>
      <c r="C2266" s="116" t="s">
        <v>16</v>
      </c>
      <c r="D2266" s="116">
        <v>0</v>
      </c>
      <c r="E2266" s="136" t="s">
        <v>416</v>
      </c>
      <c r="F2266" s="137" t="str">
        <f t="shared" si="174"/>
        <v/>
      </c>
      <c r="G2266" s="138" t="e">
        <f>IF(A2266&lt;&gt;"",IF(AND(#REF!="Padrão",$H$4=#REF!),BDI!$B$17,IF(AND(#REF!="Padrão",$H$4=#REF!),BDI!#REF!,IF(AND(#REF!="Diferenciado",$H$4=#REF!),BDI!$E$17,IF(AND(#REF!="Diferenciado",$H$4=#REF!),BDI!#REF!,IF(#REF!="ZERO",0))))),"")</f>
        <v>#REF!</v>
      </c>
      <c r="H2266" s="139" t="str">
        <f t="shared" si="175"/>
        <v/>
      </c>
      <c r="I2266" s="137" t="str">
        <f t="shared" si="176"/>
        <v/>
      </c>
      <c r="J2266" s="117"/>
      <c r="K2266" s="116">
        <v>0</v>
      </c>
      <c r="M2266" s="136" t="s">
        <v>416</v>
      </c>
      <c r="N2266" t="e">
        <v>#REF!</v>
      </c>
      <c r="Q2266" t="s">
        <v>416</v>
      </c>
    </row>
    <row r="2267" spans="1:17" hidden="1" x14ac:dyDescent="0.25">
      <c r="A2267" s="114" t="s">
        <v>5051</v>
      </c>
      <c r="B2267" s="115" t="s">
        <v>3852</v>
      </c>
      <c r="C2267" s="116" t="s">
        <v>16</v>
      </c>
      <c r="D2267" s="116">
        <v>0</v>
      </c>
      <c r="E2267" s="136" t="s">
        <v>416</v>
      </c>
      <c r="F2267" s="137" t="str">
        <f t="shared" si="174"/>
        <v/>
      </c>
      <c r="G2267" s="138" t="e">
        <f>IF(A2267&lt;&gt;"",IF(AND(#REF!="Padrão",$H$4=#REF!),BDI!$B$17,IF(AND(#REF!="Padrão",$H$4=#REF!),BDI!#REF!,IF(AND(#REF!="Diferenciado",$H$4=#REF!),BDI!$E$17,IF(AND(#REF!="Diferenciado",$H$4=#REF!),BDI!#REF!,IF(#REF!="ZERO",0))))),"")</f>
        <v>#REF!</v>
      </c>
      <c r="H2267" s="139" t="str">
        <f t="shared" si="175"/>
        <v/>
      </c>
      <c r="I2267" s="137" t="str">
        <f t="shared" si="176"/>
        <v/>
      </c>
      <c r="J2267" s="117"/>
      <c r="K2267" s="116">
        <v>0</v>
      </c>
      <c r="M2267" s="136" t="s">
        <v>416</v>
      </c>
      <c r="N2267" t="e">
        <v>#REF!</v>
      </c>
      <c r="Q2267" t="s">
        <v>416</v>
      </c>
    </row>
    <row r="2268" spans="1:17" hidden="1" x14ac:dyDescent="0.25">
      <c r="A2268" s="114" t="s">
        <v>5052</v>
      </c>
      <c r="B2268" s="115" t="s">
        <v>3853</v>
      </c>
      <c r="C2268" s="116" t="s">
        <v>16</v>
      </c>
      <c r="D2268" s="116">
        <v>0</v>
      </c>
      <c r="E2268" s="136" t="s">
        <v>416</v>
      </c>
      <c r="F2268" s="137" t="str">
        <f t="shared" si="174"/>
        <v/>
      </c>
      <c r="G2268" s="138" t="e">
        <f>IF(A2268&lt;&gt;"",IF(AND(#REF!="Padrão",$H$4=#REF!),BDI!$B$17,IF(AND(#REF!="Padrão",$H$4=#REF!),BDI!#REF!,IF(AND(#REF!="Diferenciado",$H$4=#REF!),BDI!$E$17,IF(AND(#REF!="Diferenciado",$H$4=#REF!),BDI!#REF!,IF(#REF!="ZERO",0))))),"")</f>
        <v>#REF!</v>
      </c>
      <c r="H2268" s="139" t="str">
        <f t="shared" si="175"/>
        <v/>
      </c>
      <c r="I2268" s="137" t="str">
        <f t="shared" si="176"/>
        <v/>
      </c>
      <c r="J2268" s="117"/>
      <c r="K2268" s="116">
        <v>0</v>
      </c>
      <c r="M2268" s="136" t="s">
        <v>416</v>
      </c>
      <c r="N2268" t="e">
        <v>#REF!</v>
      </c>
      <c r="Q2268" t="s">
        <v>416</v>
      </c>
    </row>
    <row r="2269" spans="1:17" hidden="1" x14ac:dyDescent="0.25">
      <c r="A2269" s="114" t="s">
        <v>5053</v>
      </c>
      <c r="B2269" s="115" t="s">
        <v>3854</v>
      </c>
      <c r="C2269" s="116" t="s">
        <v>16</v>
      </c>
      <c r="D2269" s="116">
        <v>0</v>
      </c>
      <c r="E2269" s="136" t="s">
        <v>416</v>
      </c>
      <c r="F2269" s="137" t="str">
        <f t="shared" si="174"/>
        <v/>
      </c>
      <c r="G2269" s="138" t="e">
        <f>IF(A2269&lt;&gt;"",IF(AND(#REF!="Padrão",$H$4=#REF!),BDI!$B$17,IF(AND(#REF!="Padrão",$H$4=#REF!),BDI!#REF!,IF(AND(#REF!="Diferenciado",$H$4=#REF!),BDI!$E$17,IF(AND(#REF!="Diferenciado",$H$4=#REF!),BDI!#REF!,IF(#REF!="ZERO",0))))),"")</f>
        <v>#REF!</v>
      </c>
      <c r="H2269" s="139" t="str">
        <f t="shared" si="175"/>
        <v/>
      </c>
      <c r="I2269" s="137" t="str">
        <f t="shared" si="176"/>
        <v/>
      </c>
      <c r="J2269" s="117"/>
      <c r="K2269" s="116">
        <v>0</v>
      </c>
      <c r="M2269" s="136" t="s">
        <v>416</v>
      </c>
      <c r="N2269" t="e">
        <v>#REF!</v>
      </c>
      <c r="Q2269" t="s">
        <v>416</v>
      </c>
    </row>
    <row r="2270" spans="1:17" hidden="1" x14ac:dyDescent="0.25">
      <c r="A2270" s="114" t="s">
        <v>5054</v>
      </c>
      <c r="B2270" s="115" t="s">
        <v>3855</v>
      </c>
      <c r="C2270" s="116" t="s">
        <v>16</v>
      </c>
      <c r="D2270" s="116">
        <v>0</v>
      </c>
      <c r="E2270" s="136" t="s">
        <v>416</v>
      </c>
      <c r="F2270" s="137" t="str">
        <f t="shared" si="174"/>
        <v/>
      </c>
      <c r="G2270" s="138" t="e">
        <f>IF(A2270&lt;&gt;"",IF(AND(#REF!="Padrão",$H$4=#REF!),BDI!$B$17,IF(AND(#REF!="Padrão",$H$4=#REF!),BDI!#REF!,IF(AND(#REF!="Diferenciado",$H$4=#REF!),BDI!$E$17,IF(AND(#REF!="Diferenciado",$H$4=#REF!),BDI!#REF!,IF(#REF!="ZERO",0))))),"")</f>
        <v>#REF!</v>
      </c>
      <c r="H2270" s="139" t="str">
        <f t="shared" si="175"/>
        <v/>
      </c>
      <c r="I2270" s="137" t="str">
        <f t="shared" si="176"/>
        <v/>
      </c>
      <c r="J2270" s="117"/>
      <c r="K2270" s="116">
        <v>0</v>
      </c>
      <c r="M2270" s="136" t="s">
        <v>416</v>
      </c>
      <c r="N2270" t="e">
        <v>#REF!</v>
      </c>
      <c r="Q2270" t="s">
        <v>416</v>
      </c>
    </row>
    <row r="2271" spans="1:17" hidden="1" x14ac:dyDescent="0.25">
      <c r="A2271" s="114" t="s">
        <v>5055</v>
      </c>
      <c r="B2271" s="115" t="s">
        <v>3856</v>
      </c>
      <c r="C2271" s="116" t="s">
        <v>16</v>
      </c>
      <c r="D2271" s="116">
        <v>0</v>
      </c>
      <c r="E2271" s="136" t="s">
        <v>416</v>
      </c>
      <c r="F2271" s="137" t="str">
        <f t="shared" si="174"/>
        <v/>
      </c>
      <c r="G2271" s="138" t="e">
        <f>IF(A2271&lt;&gt;"",IF(AND(#REF!="Padrão",$H$4=#REF!),BDI!$B$17,IF(AND(#REF!="Padrão",$H$4=#REF!),BDI!#REF!,IF(AND(#REF!="Diferenciado",$H$4=#REF!),BDI!$E$17,IF(AND(#REF!="Diferenciado",$H$4=#REF!),BDI!#REF!,IF(#REF!="ZERO",0))))),"")</f>
        <v>#REF!</v>
      </c>
      <c r="H2271" s="139" t="str">
        <f t="shared" si="175"/>
        <v/>
      </c>
      <c r="I2271" s="137" t="str">
        <f t="shared" si="176"/>
        <v/>
      </c>
      <c r="J2271" s="117"/>
      <c r="K2271" s="116">
        <v>0</v>
      </c>
      <c r="M2271" s="136" t="s">
        <v>416</v>
      </c>
      <c r="N2271" t="e">
        <v>#REF!</v>
      </c>
      <c r="Q2271" t="s">
        <v>416</v>
      </c>
    </row>
    <row r="2272" spans="1:17" hidden="1" x14ac:dyDescent="0.25">
      <c r="A2272" s="114" t="s">
        <v>5056</v>
      </c>
      <c r="B2272" s="115" t="s">
        <v>3857</v>
      </c>
      <c r="C2272" s="116" t="s">
        <v>16</v>
      </c>
      <c r="D2272" s="116">
        <v>0</v>
      </c>
      <c r="E2272" s="136" t="s">
        <v>416</v>
      </c>
      <c r="F2272" s="137" t="str">
        <f t="shared" si="174"/>
        <v/>
      </c>
      <c r="G2272" s="138" t="e">
        <f>IF(A2272&lt;&gt;"",IF(AND(#REF!="Padrão",$H$4=#REF!),BDI!$B$17,IF(AND(#REF!="Padrão",$H$4=#REF!),BDI!#REF!,IF(AND(#REF!="Diferenciado",$H$4=#REF!),BDI!$E$17,IF(AND(#REF!="Diferenciado",$H$4=#REF!),BDI!#REF!,IF(#REF!="ZERO",0))))),"")</f>
        <v>#REF!</v>
      </c>
      <c r="H2272" s="139" t="str">
        <f t="shared" si="175"/>
        <v/>
      </c>
      <c r="I2272" s="137" t="str">
        <f t="shared" si="176"/>
        <v/>
      </c>
      <c r="J2272" s="117"/>
      <c r="K2272" s="116">
        <v>0</v>
      </c>
      <c r="M2272" s="136" t="s">
        <v>416</v>
      </c>
      <c r="N2272" t="e">
        <v>#REF!</v>
      </c>
      <c r="Q2272" t="s">
        <v>416</v>
      </c>
    </row>
    <row r="2273" spans="1:17" hidden="1" x14ac:dyDescent="0.25">
      <c r="A2273" s="114" t="s">
        <v>5057</v>
      </c>
      <c r="B2273" s="115" t="s">
        <v>3858</v>
      </c>
      <c r="C2273" s="116" t="s">
        <v>16</v>
      </c>
      <c r="D2273" s="116">
        <v>0</v>
      </c>
      <c r="E2273" s="136" t="s">
        <v>416</v>
      </c>
      <c r="F2273" s="137" t="str">
        <f t="shared" si="174"/>
        <v/>
      </c>
      <c r="G2273" s="138" t="e">
        <f>IF(A2273&lt;&gt;"",IF(AND(#REF!="Padrão",$H$4=#REF!),BDI!$B$17,IF(AND(#REF!="Padrão",$H$4=#REF!),BDI!#REF!,IF(AND(#REF!="Diferenciado",$H$4=#REF!),BDI!$E$17,IF(AND(#REF!="Diferenciado",$H$4=#REF!),BDI!#REF!,IF(#REF!="ZERO",0))))),"")</f>
        <v>#REF!</v>
      </c>
      <c r="H2273" s="139" t="str">
        <f t="shared" si="175"/>
        <v/>
      </c>
      <c r="I2273" s="137" t="str">
        <f t="shared" si="176"/>
        <v/>
      </c>
      <c r="J2273" s="117"/>
      <c r="K2273" s="116">
        <v>0</v>
      </c>
      <c r="M2273" s="136" t="s">
        <v>416</v>
      </c>
      <c r="N2273" t="e">
        <v>#REF!</v>
      </c>
      <c r="Q2273" t="s">
        <v>416</v>
      </c>
    </row>
    <row r="2274" spans="1:17" hidden="1" x14ac:dyDescent="0.25">
      <c r="A2274" s="114" t="s">
        <v>5058</v>
      </c>
      <c r="B2274" s="115" t="s">
        <v>3859</v>
      </c>
      <c r="C2274" s="116" t="s">
        <v>16</v>
      </c>
      <c r="D2274" s="116">
        <v>0</v>
      </c>
      <c r="E2274" s="136" t="s">
        <v>416</v>
      </c>
      <c r="F2274" s="137" t="str">
        <f t="shared" si="174"/>
        <v/>
      </c>
      <c r="G2274" s="138" t="e">
        <f>IF(A2274&lt;&gt;"",IF(AND(#REF!="Padrão",$H$4=#REF!),BDI!$B$17,IF(AND(#REF!="Padrão",$H$4=#REF!),BDI!#REF!,IF(AND(#REF!="Diferenciado",$H$4=#REF!),BDI!$E$17,IF(AND(#REF!="Diferenciado",$H$4=#REF!),BDI!#REF!,IF(#REF!="ZERO",0))))),"")</f>
        <v>#REF!</v>
      </c>
      <c r="H2274" s="139" t="str">
        <f t="shared" si="175"/>
        <v/>
      </c>
      <c r="I2274" s="137" t="str">
        <f t="shared" si="176"/>
        <v/>
      </c>
      <c r="J2274" s="117"/>
      <c r="K2274" s="116">
        <v>0</v>
      </c>
      <c r="M2274" s="136" t="s">
        <v>416</v>
      </c>
      <c r="N2274" t="e">
        <v>#REF!</v>
      </c>
      <c r="Q2274" t="s">
        <v>416</v>
      </c>
    </row>
    <row r="2275" spans="1:17" hidden="1" x14ac:dyDescent="0.25">
      <c r="A2275" s="114" t="s">
        <v>5059</v>
      </c>
      <c r="B2275" s="115" t="s">
        <v>3860</v>
      </c>
      <c r="C2275" s="116" t="s">
        <v>16</v>
      </c>
      <c r="D2275" s="116">
        <v>0</v>
      </c>
      <c r="E2275" s="136" t="s">
        <v>416</v>
      </c>
      <c r="F2275" s="137" t="str">
        <f t="shared" si="174"/>
        <v/>
      </c>
      <c r="G2275" s="138" t="e">
        <f>IF(A2275&lt;&gt;"",IF(AND(#REF!="Padrão",$H$4=#REF!),BDI!$B$17,IF(AND(#REF!="Padrão",$H$4=#REF!),BDI!#REF!,IF(AND(#REF!="Diferenciado",$H$4=#REF!),BDI!$E$17,IF(AND(#REF!="Diferenciado",$H$4=#REF!),BDI!#REF!,IF(#REF!="ZERO",0))))),"")</f>
        <v>#REF!</v>
      </c>
      <c r="H2275" s="139" t="str">
        <f t="shared" si="175"/>
        <v/>
      </c>
      <c r="I2275" s="137" t="str">
        <f t="shared" si="176"/>
        <v/>
      </c>
      <c r="J2275" s="117"/>
      <c r="K2275" s="116">
        <v>0</v>
      </c>
      <c r="M2275" s="136" t="s">
        <v>416</v>
      </c>
      <c r="N2275" t="e">
        <v>#REF!</v>
      </c>
      <c r="Q2275" t="s">
        <v>416</v>
      </c>
    </row>
    <row r="2276" spans="1:17" hidden="1" x14ac:dyDescent="0.25">
      <c r="A2276" s="114" t="s">
        <v>5060</v>
      </c>
      <c r="B2276" s="115" t="s">
        <v>3861</v>
      </c>
      <c r="C2276" s="116" t="s">
        <v>16</v>
      </c>
      <c r="D2276" s="116">
        <v>0</v>
      </c>
      <c r="E2276" s="136" t="s">
        <v>416</v>
      </c>
      <c r="F2276" s="137" t="str">
        <f t="shared" si="174"/>
        <v/>
      </c>
      <c r="G2276" s="138" t="e">
        <f>IF(A2276&lt;&gt;"",IF(AND(#REF!="Padrão",$H$4=#REF!),BDI!$B$17,IF(AND(#REF!="Padrão",$H$4=#REF!),BDI!#REF!,IF(AND(#REF!="Diferenciado",$H$4=#REF!),BDI!$E$17,IF(AND(#REF!="Diferenciado",$H$4=#REF!),BDI!#REF!,IF(#REF!="ZERO",0))))),"")</f>
        <v>#REF!</v>
      </c>
      <c r="H2276" s="139" t="str">
        <f t="shared" si="175"/>
        <v/>
      </c>
      <c r="I2276" s="137" t="str">
        <f t="shared" si="176"/>
        <v/>
      </c>
      <c r="J2276" s="117"/>
      <c r="K2276" s="116">
        <v>0</v>
      </c>
      <c r="M2276" s="136" t="s">
        <v>416</v>
      </c>
      <c r="N2276" t="e">
        <v>#REF!</v>
      </c>
      <c r="Q2276" t="s">
        <v>416</v>
      </c>
    </row>
    <row r="2277" spans="1:17" hidden="1" x14ac:dyDescent="0.25">
      <c r="A2277" s="114" t="s">
        <v>5061</v>
      </c>
      <c r="B2277" s="115" t="s">
        <v>3862</v>
      </c>
      <c r="C2277" s="116" t="s">
        <v>16</v>
      </c>
      <c r="D2277" s="116">
        <v>0</v>
      </c>
      <c r="E2277" s="136" t="s">
        <v>416</v>
      </c>
      <c r="F2277" s="137" t="str">
        <f t="shared" si="174"/>
        <v/>
      </c>
      <c r="G2277" s="138" t="e">
        <f>IF(A2277&lt;&gt;"",IF(AND(#REF!="Padrão",$H$4=#REF!),BDI!$B$17,IF(AND(#REF!="Padrão",$H$4=#REF!),BDI!#REF!,IF(AND(#REF!="Diferenciado",$H$4=#REF!),BDI!$E$17,IF(AND(#REF!="Diferenciado",$H$4=#REF!),BDI!#REF!,IF(#REF!="ZERO",0))))),"")</f>
        <v>#REF!</v>
      </c>
      <c r="H2277" s="139" t="str">
        <f t="shared" si="175"/>
        <v/>
      </c>
      <c r="I2277" s="137" t="str">
        <f t="shared" si="176"/>
        <v/>
      </c>
      <c r="J2277" s="117"/>
      <c r="K2277" s="116">
        <v>0</v>
      </c>
      <c r="M2277" s="136" t="s">
        <v>416</v>
      </c>
      <c r="N2277" t="e">
        <v>#REF!</v>
      </c>
      <c r="Q2277" t="s">
        <v>416</v>
      </c>
    </row>
    <row r="2278" spans="1:17" hidden="1" x14ac:dyDescent="0.25">
      <c r="A2278" s="114" t="s">
        <v>5062</v>
      </c>
      <c r="B2278" s="115" t="s">
        <v>3863</v>
      </c>
      <c r="C2278" s="116" t="s">
        <v>16</v>
      </c>
      <c r="D2278" s="116">
        <v>0</v>
      </c>
      <c r="E2278" s="136" t="s">
        <v>416</v>
      </c>
      <c r="F2278" s="137" t="str">
        <f t="shared" si="174"/>
        <v/>
      </c>
      <c r="G2278" s="138" t="e">
        <f>IF(A2278&lt;&gt;"",IF(AND(#REF!="Padrão",$H$4=#REF!),BDI!$B$17,IF(AND(#REF!="Padrão",$H$4=#REF!),BDI!#REF!,IF(AND(#REF!="Diferenciado",$H$4=#REF!),BDI!$E$17,IF(AND(#REF!="Diferenciado",$H$4=#REF!),BDI!#REF!,IF(#REF!="ZERO",0))))),"")</f>
        <v>#REF!</v>
      </c>
      <c r="H2278" s="139" t="str">
        <f t="shared" si="175"/>
        <v/>
      </c>
      <c r="I2278" s="137" t="str">
        <f t="shared" si="176"/>
        <v/>
      </c>
      <c r="J2278" s="117"/>
      <c r="K2278" s="116">
        <v>0</v>
      </c>
      <c r="M2278" s="136" t="s">
        <v>416</v>
      </c>
      <c r="N2278" t="e">
        <v>#REF!</v>
      </c>
      <c r="Q2278" t="s">
        <v>416</v>
      </c>
    </row>
    <row r="2279" spans="1:17" hidden="1" x14ac:dyDescent="0.25">
      <c r="A2279" s="114" t="s">
        <v>5063</v>
      </c>
      <c r="B2279" s="115" t="s">
        <v>3864</v>
      </c>
      <c r="C2279" s="116" t="s">
        <v>16</v>
      </c>
      <c r="D2279" s="116">
        <v>0</v>
      </c>
      <c r="E2279" s="136" t="s">
        <v>416</v>
      </c>
      <c r="F2279" s="137" t="str">
        <f t="shared" si="174"/>
        <v/>
      </c>
      <c r="G2279" s="138" t="e">
        <f>IF(A2279&lt;&gt;"",IF(AND(#REF!="Padrão",$H$4=#REF!),BDI!$B$17,IF(AND(#REF!="Padrão",$H$4=#REF!),BDI!#REF!,IF(AND(#REF!="Diferenciado",$H$4=#REF!),BDI!$E$17,IF(AND(#REF!="Diferenciado",$H$4=#REF!),BDI!#REF!,IF(#REF!="ZERO",0))))),"")</f>
        <v>#REF!</v>
      </c>
      <c r="H2279" s="139" t="str">
        <f t="shared" si="175"/>
        <v/>
      </c>
      <c r="I2279" s="137" t="str">
        <f t="shared" si="176"/>
        <v/>
      </c>
      <c r="J2279" s="117"/>
      <c r="K2279" s="116">
        <v>0</v>
      </c>
      <c r="M2279" s="136" t="s">
        <v>416</v>
      </c>
      <c r="N2279" t="e">
        <v>#REF!</v>
      </c>
      <c r="Q2279" t="s">
        <v>416</v>
      </c>
    </row>
    <row r="2280" spans="1:17" hidden="1" x14ac:dyDescent="0.25">
      <c r="A2280" s="114" t="s">
        <v>5064</v>
      </c>
      <c r="B2280" s="115" t="s">
        <v>3865</v>
      </c>
      <c r="C2280" s="116" t="s">
        <v>16</v>
      </c>
      <c r="D2280" s="116">
        <v>0</v>
      </c>
      <c r="E2280" s="136" t="s">
        <v>416</v>
      </c>
      <c r="F2280" s="137" t="str">
        <f t="shared" si="174"/>
        <v/>
      </c>
      <c r="G2280" s="138" t="e">
        <f>IF(A2280&lt;&gt;"",IF(AND(#REF!="Padrão",$H$4=#REF!),BDI!$B$17,IF(AND(#REF!="Padrão",$H$4=#REF!),BDI!#REF!,IF(AND(#REF!="Diferenciado",$H$4=#REF!),BDI!$E$17,IF(AND(#REF!="Diferenciado",$H$4=#REF!),BDI!#REF!,IF(#REF!="ZERO",0))))),"")</f>
        <v>#REF!</v>
      </c>
      <c r="H2280" s="139" t="str">
        <f t="shared" si="175"/>
        <v/>
      </c>
      <c r="I2280" s="137" t="str">
        <f t="shared" si="176"/>
        <v/>
      </c>
      <c r="J2280" s="117"/>
      <c r="K2280" s="116">
        <v>0</v>
      </c>
      <c r="M2280" s="136" t="s">
        <v>416</v>
      </c>
      <c r="N2280" t="e">
        <v>#REF!</v>
      </c>
      <c r="Q2280" t="s">
        <v>416</v>
      </c>
    </row>
    <row r="2281" spans="1:17" hidden="1" x14ac:dyDescent="0.25">
      <c r="A2281" s="114" t="s">
        <v>5065</v>
      </c>
      <c r="B2281" s="115" t="s">
        <v>3866</v>
      </c>
      <c r="C2281" s="116" t="s">
        <v>16</v>
      </c>
      <c r="D2281" s="116">
        <v>0</v>
      </c>
      <c r="E2281" s="136" t="s">
        <v>416</v>
      </c>
      <c r="F2281" s="137" t="str">
        <f t="shared" si="174"/>
        <v/>
      </c>
      <c r="G2281" s="138" t="e">
        <f>IF(A2281&lt;&gt;"",IF(AND(#REF!="Padrão",$H$4=#REF!),BDI!$B$17,IF(AND(#REF!="Padrão",$H$4=#REF!),BDI!#REF!,IF(AND(#REF!="Diferenciado",$H$4=#REF!),BDI!$E$17,IF(AND(#REF!="Diferenciado",$H$4=#REF!),BDI!#REF!,IF(#REF!="ZERO",0))))),"")</f>
        <v>#REF!</v>
      </c>
      <c r="H2281" s="139" t="str">
        <f t="shared" si="175"/>
        <v/>
      </c>
      <c r="I2281" s="137" t="str">
        <f t="shared" si="176"/>
        <v/>
      </c>
      <c r="J2281" s="117"/>
      <c r="K2281" s="116">
        <v>0</v>
      </c>
      <c r="M2281" s="136" t="s">
        <v>416</v>
      </c>
      <c r="N2281" t="e">
        <v>#REF!</v>
      </c>
      <c r="Q2281" t="s">
        <v>416</v>
      </c>
    </row>
    <row r="2282" spans="1:17" hidden="1" x14ac:dyDescent="0.25">
      <c r="A2282" s="114" t="s">
        <v>5066</v>
      </c>
      <c r="B2282" s="115" t="s">
        <v>3867</v>
      </c>
      <c r="C2282" s="116" t="s">
        <v>16</v>
      </c>
      <c r="D2282" s="116">
        <v>0</v>
      </c>
      <c r="E2282" s="136" t="s">
        <v>416</v>
      </c>
      <c r="F2282" s="137" t="str">
        <f t="shared" si="174"/>
        <v/>
      </c>
      <c r="G2282" s="138" t="e">
        <f>IF(A2282&lt;&gt;"",IF(AND(#REF!="Padrão",$H$4=#REF!),BDI!$B$17,IF(AND(#REF!="Padrão",$H$4=#REF!),BDI!#REF!,IF(AND(#REF!="Diferenciado",$H$4=#REF!),BDI!$E$17,IF(AND(#REF!="Diferenciado",$H$4=#REF!),BDI!#REF!,IF(#REF!="ZERO",0))))),"")</f>
        <v>#REF!</v>
      </c>
      <c r="H2282" s="139" t="str">
        <f t="shared" si="175"/>
        <v/>
      </c>
      <c r="I2282" s="137" t="str">
        <f t="shared" si="176"/>
        <v/>
      </c>
      <c r="J2282" s="117"/>
      <c r="K2282" s="116">
        <v>0</v>
      </c>
      <c r="M2282" s="136" t="s">
        <v>416</v>
      </c>
      <c r="N2282" t="e">
        <v>#REF!</v>
      </c>
      <c r="Q2282" t="s">
        <v>416</v>
      </c>
    </row>
    <row r="2283" spans="1:17" hidden="1" x14ac:dyDescent="0.25">
      <c r="A2283" s="114" t="s">
        <v>5067</v>
      </c>
      <c r="B2283" s="115" t="s">
        <v>3868</v>
      </c>
      <c r="C2283" s="116" t="s">
        <v>16</v>
      </c>
      <c r="D2283" s="116">
        <v>0</v>
      </c>
      <c r="E2283" s="136" t="s">
        <v>416</v>
      </c>
      <c r="F2283" s="137" t="str">
        <f t="shared" si="174"/>
        <v/>
      </c>
      <c r="G2283" s="138" t="e">
        <f>IF(A2283&lt;&gt;"",IF(AND(#REF!="Padrão",$H$4=#REF!),BDI!$B$17,IF(AND(#REF!="Padrão",$H$4=#REF!),BDI!#REF!,IF(AND(#REF!="Diferenciado",$H$4=#REF!),BDI!$E$17,IF(AND(#REF!="Diferenciado",$H$4=#REF!),BDI!#REF!,IF(#REF!="ZERO",0))))),"")</f>
        <v>#REF!</v>
      </c>
      <c r="H2283" s="139" t="str">
        <f t="shared" si="175"/>
        <v/>
      </c>
      <c r="I2283" s="137" t="str">
        <f t="shared" si="176"/>
        <v/>
      </c>
      <c r="J2283" s="117"/>
      <c r="K2283" s="116">
        <v>0</v>
      </c>
      <c r="M2283" s="136" t="s">
        <v>416</v>
      </c>
      <c r="N2283" t="e">
        <v>#REF!</v>
      </c>
      <c r="Q2283" t="s">
        <v>416</v>
      </c>
    </row>
    <row r="2284" spans="1:17" hidden="1" x14ac:dyDescent="0.25">
      <c r="A2284" s="114" t="s">
        <v>5068</v>
      </c>
      <c r="B2284" s="115" t="s">
        <v>3869</v>
      </c>
      <c r="C2284" s="116" t="s">
        <v>5416</v>
      </c>
      <c r="D2284" s="116">
        <v>0</v>
      </c>
      <c r="E2284" s="136" t="s">
        <v>416</v>
      </c>
      <c r="F2284" s="137" t="str">
        <f t="shared" si="174"/>
        <v/>
      </c>
      <c r="G2284" s="138" t="e">
        <f>IF(A2284&lt;&gt;"",IF(AND(#REF!="Padrão",$H$4=#REF!),BDI!$B$17,IF(AND(#REF!="Padrão",$H$4=#REF!),BDI!#REF!,IF(AND(#REF!="Diferenciado",$H$4=#REF!),BDI!$E$17,IF(AND(#REF!="Diferenciado",$H$4=#REF!),BDI!#REF!,IF(#REF!="ZERO",0))))),"")</f>
        <v>#REF!</v>
      </c>
      <c r="H2284" s="139" t="str">
        <f t="shared" si="175"/>
        <v/>
      </c>
      <c r="I2284" s="137" t="str">
        <f t="shared" si="176"/>
        <v/>
      </c>
      <c r="J2284" s="117"/>
      <c r="K2284" s="116">
        <v>0</v>
      </c>
      <c r="M2284" s="136" t="s">
        <v>416</v>
      </c>
      <c r="N2284" t="e">
        <v>#REF!</v>
      </c>
      <c r="Q2284" t="s">
        <v>416</v>
      </c>
    </row>
    <row r="2285" spans="1:17" hidden="1" x14ac:dyDescent="0.25">
      <c r="A2285" s="114" t="s">
        <v>5069</v>
      </c>
      <c r="B2285" s="115" t="s">
        <v>7413</v>
      </c>
      <c r="C2285" s="116" t="s">
        <v>16</v>
      </c>
      <c r="D2285" s="116">
        <v>0</v>
      </c>
      <c r="E2285" s="136" t="s">
        <v>416</v>
      </c>
      <c r="F2285" s="137" t="str">
        <f t="shared" ref="F2285:F2348" si="177">IF(ISNUMBER(E2285),D2285*E2285,"")</f>
        <v/>
      </c>
      <c r="G2285" s="138" t="e">
        <f>IF(A2285&lt;&gt;"",IF(AND(#REF!="Padrão",$H$4=#REF!),BDI!$B$17,IF(AND(#REF!="Padrão",$H$4=#REF!),BDI!#REF!,IF(AND(#REF!="Diferenciado",$H$4=#REF!),BDI!$E$17,IF(AND(#REF!="Diferenciado",$H$4=#REF!),BDI!#REF!,IF(#REF!="ZERO",0))))),"")</f>
        <v>#REF!</v>
      </c>
      <c r="H2285" s="139" t="str">
        <f t="shared" ref="H2285:H2348" si="178">IF(ISNUMBER(E2285),ROUND(E2285*(1+G2285),2),"")</f>
        <v/>
      </c>
      <c r="I2285" s="137" t="str">
        <f t="shared" ref="I2285:I2348" si="179">IF(ISNUMBER(E2285),ROUND(H2285*D2285,2),"")</f>
        <v/>
      </c>
      <c r="J2285" s="117"/>
      <c r="K2285" s="116">
        <v>0</v>
      </c>
      <c r="M2285" s="136" t="s">
        <v>416</v>
      </c>
      <c r="N2285" t="e">
        <v>#REF!</v>
      </c>
      <c r="Q2285" t="s">
        <v>416</v>
      </c>
    </row>
    <row r="2286" spans="1:17" hidden="1" x14ac:dyDescent="0.25">
      <c r="A2286" s="114" t="s">
        <v>5070</v>
      </c>
      <c r="B2286" s="115" t="s">
        <v>7414</v>
      </c>
      <c r="C2286" s="116" t="s">
        <v>16</v>
      </c>
      <c r="D2286" s="116">
        <v>0</v>
      </c>
      <c r="E2286" s="136" t="s">
        <v>416</v>
      </c>
      <c r="F2286" s="137" t="str">
        <f t="shared" si="177"/>
        <v/>
      </c>
      <c r="G2286" s="138" t="e">
        <f>IF(A2286&lt;&gt;"",IF(AND(#REF!="Padrão",$H$4=#REF!),BDI!$B$17,IF(AND(#REF!="Padrão",$H$4=#REF!),BDI!#REF!,IF(AND(#REF!="Diferenciado",$H$4=#REF!),BDI!$E$17,IF(AND(#REF!="Diferenciado",$H$4=#REF!),BDI!#REF!,IF(#REF!="ZERO",0))))),"")</f>
        <v>#REF!</v>
      </c>
      <c r="H2286" s="139" t="str">
        <f t="shared" si="178"/>
        <v/>
      </c>
      <c r="I2286" s="137" t="str">
        <f t="shared" si="179"/>
        <v/>
      </c>
      <c r="J2286" s="117"/>
      <c r="K2286" s="116">
        <v>0</v>
      </c>
      <c r="M2286" s="136" t="s">
        <v>416</v>
      </c>
      <c r="N2286" t="e">
        <v>#REF!</v>
      </c>
      <c r="Q2286" t="s">
        <v>416</v>
      </c>
    </row>
    <row r="2287" spans="1:17" hidden="1" x14ac:dyDescent="0.25">
      <c r="A2287" s="114" t="s">
        <v>5071</v>
      </c>
      <c r="B2287" s="115" t="s">
        <v>7415</v>
      </c>
      <c r="C2287" s="116" t="s">
        <v>16</v>
      </c>
      <c r="D2287" s="116">
        <v>0</v>
      </c>
      <c r="E2287" s="136" t="s">
        <v>416</v>
      </c>
      <c r="F2287" s="137" t="str">
        <f t="shared" si="177"/>
        <v/>
      </c>
      <c r="G2287" s="138" t="e">
        <f>IF(A2287&lt;&gt;"",IF(AND(#REF!="Padrão",$H$4=#REF!),BDI!$B$17,IF(AND(#REF!="Padrão",$H$4=#REF!),BDI!#REF!,IF(AND(#REF!="Diferenciado",$H$4=#REF!),BDI!$E$17,IF(AND(#REF!="Diferenciado",$H$4=#REF!),BDI!#REF!,IF(#REF!="ZERO",0))))),"")</f>
        <v>#REF!</v>
      </c>
      <c r="H2287" s="139" t="str">
        <f t="shared" si="178"/>
        <v/>
      </c>
      <c r="I2287" s="137" t="str">
        <f t="shared" si="179"/>
        <v/>
      </c>
      <c r="J2287" s="117"/>
      <c r="K2287" s="116">
        <v>0</v>
      </c>
      <c r="M2287" s="136" t="s">
        <v>416</v>
      </c>
      <c r="N2287" t="e">
        <v>#REF!</v>
      </c>
      <c r="Q2287" t="s">
        <v>416</v>
      </c>
    </row>
    <row r="2288" spans="1:17" hidden="1" x14ac:dyDescent="0.25">
      <c r="A2288" s="114" t="s">
        <v>5072</v>
      </c>
      <c r="B2288" s="115" t="s">
        <v>7416</v>
      </c>
      <c r="C2288" s="116" t="s">
        <v>16</v>
      </c>
      <c r="D2288" s="116">
        <v>0</v>
      </c>
      <c r="E2288" s="136" t="s">
        <v>416</v>
      </c>
      <c r="F2288" s="137" t="str">
        <f t="shared" si="177"/>
        <v/>
      </c>
      <c r="G2288" s="138" t="e">
        <f>IF(A2288&lt;&gt;"",IF(AND(#REF!="Padrão",$H$4=#REF!),BDI!$B$17,IF(AND(#REF!="Padrão",$H$4=#REF!),BDI!#REF!,IF(AND(#REF!="Diferenciado",$H$4=#REF!),BDI!$E$17,IF(AND(#REF!="Diferenciado",$H$4=#REF!),BDI!#REF!,IF(#REF!="ZERO",0))))),"")</f>
        <v>#REF!</v>
      </c>
      <c r="H2288" s="139" t="str">
        <f t="shared" si="178"/>
        <v/>
      </c>
      <c r="I2288" s="137" t="str">
        <f t="shared" si="179"/>
        <v/>
      </c>
      <c r="J2288" s="117"/>
      <c r="K2288" s="116">
        <v>0</v>
      </c>
      <c r="M2288" s="136" t="s">
        <v>416</v>
      </c>
      <c r="N2288" t="e">
        <v>#REF!</v>
      </c>
      <c r="Q2288" t="s">
        <v>416</v>
      </c>
    </row>
    <row r="2289" spans="1:17" hidden="1" x14ac:dyDescent="0.25">
      <c r="A2289" s="114" t="s">
        <v>5073</v>
      </c>
      <c r="B2289" s="115" t="s">
        <v>3870</v>
      </c>
      <c r="C2289" s="116" t="s">
        <v>16</v>
      </c>
      <c r="D2289" s="116">
        <v>0</v>
      </c>
      <c r="E2289" s="136" t="s">
        <v>416</v>
      </c>
      <c r="F2289" s="137" t="str">
        <f t="shared" si="177"/>
        <v/>
      </c>
      <c r="G2289" s="138" t="e">
        <f>IF(A2289&lt;&gt;"",IF(AND(#REF!="Padrão",$H$4=#REF!),BDI!$B$17,IF(AND(#REF!="Padrão",$H$4=#REF!),BDI!#REF!,IF(AND(#REF!="Diferenciado",$H$4=#REF!),BDI!$E$17,IF(AND(#REF!="Diferenciado",$H$4=#REF!),BDI!#REF!,IF(#REF!="ZERO",0))))),"")</f>
        <v>#REF!</v>
      </c>
      <c r="H2289" s="139" t="str">
        <f t="shared" si="178"/>
        <v/>
      </c>
      <c r="I2289" s="137" t="str">
        <f t="shared" si="179"/>
        <v/>
      </c>
      <c r="J2289" s="117"/>
      <c r="K2289" s="116">
        <v>0</v>
      </c>
      <c r="M2289" s="136" t="s">
        <v>416</v>
      </c>
      <c r="N2289" t="e">
        <v>#REF!</v>
      </c>
      <c r="Q2289" t="s">
        <v>416</v>
      </c>
    </row>
    <row r="2290" spans="1:17" hidden="1" x14ac:dyDescent="0.25">
      <c r="A2290" s="114" t="s">
        <v>5074</v>
      </c>
      <c r="B2290" s="115" t="s">
        <v>3871</v>
      </c>
      <c r="C2290" s="116" t="s">
        <v>16</v>
      </c>
      <c r="D2290" s="116">
        <v>0</v>
      </c>
      <c r="E2290" s="136">
        <f ca="1">OFFSET(INDEX(Composições!A:J,MATCH(Orçamentária!A2290,Composições!A:A,0),8),2,0)</f>
        <v>54.406500000000001</v>
      </c>
      <c r="F2290" s="137">
        <f t="shared" ca="1" si="177"/>
        <v>0</v>
      </c>
      <c r="G2290" s="138" t="e">
        <f>IF(A2290&lt;&gt;"",IF(AND(#REF!="Padrão",$H$4=#REF!),BDI!$B$17,IF(AND(#REF!="Padrão",$H$4=#REF!),BDI!#REF!,IF(AND(#REF!="Diferenciado",$H$4=#REF!),BDI!$E$17,IF(AND(#REF!="Diferenciado",$H$4=#REF!),BDI!#REF!,IF(#REF!="ZERO",0))))),"")</f>
        <v>#REF!</v>
      </c>
      <c r="H2290" s="139" t="e">
        <f t="shared" ca="1" si="178"/>
        <v>#REF!</v>
      </c>
      <c r="I2290" s="137" t="e">
        <f t="shared" ca="1" si="179"/>
        <v>#REF!</v>
      </c>
      <c r="J2290" s="117"/>
      <c r="K2290" s="116">
        <v>0</v>
      </c>
      <c r="M2290" s="136" t="e">
        <f ca="1">OFFSET(INDEX([1]Composições!I:R,MATCH([1]Orçamentária!I2290,[1]Composições!I:I,0),8),2,0)</f>
        <v>#REF!</v>
      </c>
      <c r="N2290" t="e">
        <v>#REF!</v>
      </c>
      <c r="Q2290" t="e">
        <v>#REF!</v>
      </c>
    </row>
    <row r="2291" spans="1:17" hidden="1" x14ac:dyDescent="0.25">
      <c r="A2291" s="114" t="s">
        <v>5075</v>
      </c>
      <c r="B2291" s="115" t="s">
        <v>3872</v>
      </c>
      <c r="C2291" s="116" t="s">
        <v>16</v>
      </c>
      <c r="D2291" s="116">
        <v>0</v>
      </c>
      <c r="E2291" s="136" t="s">
        <v>416</v>
      </c>
      <c r="F2291" s="137" t="str">
        <f t="shared" si="177"/>
        <v/>
      </c>
      <c r="G2291" s="138" t="e">
        <f>IF(A2291&lt;&gt;"",IF(AND(#REF!="Padrão",$H$4=#REF!),BDI!$B$17,IF(AND(#REF!="Padrão",$H$4=#REF!),BDI!#REF!,IF(AND(#REF!="Diferenciado",$H$4=#REF!),BDI!$E$17,IF(AND(#REF!="Diferenciado",$H$4=#REF!),BDI!#REF!,IF(#REF!="ZERO",0))))),"")</f>
        <v>#REF!</v>
      </c>
      <c r="H2291" s="139" t="str">
        <f t="shared" si="178"/>
        <v/>
      </c>
      <c r="I2291" s="137" t="str">
        <f t="shared" si="179"/>
        <v/>
      </c>
      <c r="J2291" s="117"/>
      <c r="K2291" s="116">
        <v>0</v>
      </c>
      <c r="M2291" s="136" t="s">
        <v>416</v>
      </c>
      <c r="N2291" t="e">
        <v>#REF!</v>
      </c>
      <c r="Q2291" t="s">
        <v>416</v>
      </c>
    </row>
    <row r="2292" spans="1:17" hidden="1" x14ac:dyDescent="0.25">
      <c r="A2292" s="114" t="s">
        <v>5076</v>
      </c>
      <c r="B2292" s="115" t="s">
        <v>3873</v>
      </c>
      <c r="C2292" s="116" t="s">
        <v>16</v>
      </c>
      <c r="D2292" s="116">
        <v>0</v>
      </c>
      <c r="E2292" s="136" t="s">
        <v>416</v>
      </c>
      <c r="F2292" s="137" t="str">
        <f t="shared" si="177"/>
        <v/>
      </c>
      <c r="G2292" s="138" t="e">
        <f>IF(A2292&lt;&gt;"",IF(AND(#REF!="Padrão",$H$4=#REF!),BDI!$B$17,IF(AND(#REF!="Padrão",$H$4=#REF!),BDI!#REF!,IF(AND(#REF!="Diferenciado",$H$4=#REF!),BDI!$E$17,IF(AND(#REF!="Diferenciado",$H$4=#REF!),BDI!#REF!,IF(#REF!="ZERO",0))))),"")</f>
        <v>#REF!</v>
      </c>
      <c r="H2292" s="139" t="str">
        <f t="shared" si="178"/>
        <v/>
      </c>
      <c r="I2292" s="137" t="str">
        <f t="shared" si="179"/>
        <v/>
      </c>
      <c r="J2292" s="117"/>
      <c r="K2292" s="116">
        <v>0</v>
      </c>
      <c r="M2292" s="136" t="s">
        <v>416</v>
      </c>
      <c r="N2292" t="e">
        <v>#REF!</v>
      </c>
      <c r="Q2292" t="s">
        <v>416</v>
      </c>
    </row>
    <row r="2293" spans="1:17" hidden="1" x14ac:dyDescent="0.25">
      <c r="A2293" s="114" t="s">
        <v>5077</v>
      </c>
      <c r="B2293" s="115" t="s">
        <v>3874</v>
      </c>
      <c r="C2293" s="116" t="s">
        <v>16</v>
      </c>
      <c r="D2293" s="116">
        <v>0</v>
      </c>
      <c r="E2293" s="136" t="s">
        <v>416</v>
      </c>
      <c r="F2293" s="137" t="str">
        <f t="shared" si="177"/>
        <v/>
      </c>
      <c r="G2293" s="138" t="e">
        <f>IF(A2293&lt;&gt;"",IF(AND(#REF!="Padrão",$H$4=#REF!),BDI!$B$17,IF(AND(#REF!="Padrão",$H$4=#REF!),BDI!#REF!,IF(AND(#REF!="Diferenciado",$H$4=#REF!),BDI!$E$17,IF(AND(#REF!="Diferenciado",$H$4=#REF!),BDI!#REF!,IF(#REF!="ZERO",0))))),"")</f>
        <v>#REF!</v>
      </c>
      <c r="H2293" s="139" t="str">
        <f t="shared" si="178"/>
        <v/>
      </c>
      <c r="I2293" s="137" t="str">
        <f t="shared" si="179"/>
        <v/>
      </c>
      <c r="J2293" s="117"/>
      <c r="K2293" s="116">
        <v>0</v>
      </c>
      <c r="M2293" s="136" t="s">
        <v>416</v>
      </c>
      <c r="N2293" t="e">
        <v>#REF!</v>
      </c>
      <c r="Q2293" t="s">
        <v>416</v>
      </c>
    </row>
    <row r="2294" spans="1:17" hidden="1" x14ac:dyDescent="0.25">
      <c r="A2294" s="114" t="s">
        <v>5078</v>
      </c>
      <c r="B2294" s="115" t="s">
        <v>3875</v>
      </c>
      <c r="C2294" s="116" t="s">
        <v>69</v>
      </c>
      <c r="D2294" s="116">
        <v>0</v>
      </c>
      <c r="E2294" s="136" t="s">
        <v>416</v>
      </c>
      <c r="F2294" s="137" t="str">
        <f t="shared" si="177"/>
        <v/>
      </c>
      <c r="G2294" s="138" t="e">
        <f>IF(A2294&lt;&gt;"",IF(AND(#REF!="Padrão",$H$4=#REF!),BDI!$B$17,IF(AND(#REF!="Padrão",$H$4=#REF!),BDI!#REF!,IF(AND(#REF!="Diferenciado",$H$4=#REF!),BDI!$E$17,IF(AND(#REF!="Diferenciado",$H$4=#REF!),BDI!#REF!,IF(#REF!="ZERO",0))))),"")</f>
        <v>#REF!</v>
      </c>
      <c r="H2294" s="139" t="str">
        <f t="shared" si="178"/>
        <v/>
      </c>
      <c r="I2294" s="137" t="str">
        <f t="shared" si="179"/>
        <v/>
      </c>
      <c r="J2294" s="117"/>
      <c r="K2294" s="116">
        <v>0</v>
      </c>
      <c r="M2294" s="136" t="s">
        <v>416</v>
      </c>
      <c r="N2294" t="e">
        <v>#REF!</v>
      </c>
      <c r="Q2294" t="s">
        <v>416</v>
      </c>
    </row>
    <row r="2295" spans="1:17" hidden="1" x14ac:dyDescent="0.25">
      <c r="A2295" s="114" t="s">
        <v>5079</v>
      </c>
      <c r="B2295" s="115" t="s">
        <v>3876</v>
      </c>
      <c r="C2295" s="116" t="s">
        <v>16</v>
      </c>
      <c r="D2295" s="116">
        <v>0</v>
      </c>
      <c r="E2295" s="136">
        <f ca="1">OFFSET(INDEX(Composições!A:J,MATCH(Orçamentária!A2295,Composições!A:A,0),8),2,0)</f>
        <v>118.05649999999999</v>
      </c>
      <c r="F2295" s="137">
        <f t="shared" ca="1" si="177"/>
        <v>0</v>
      </c>
      <c r="G2295" s="138" t="e">
        <f>IF(A2295&lt;&gt;"",IF(AND(#REF!="Padrão",$H$4=#REF!),BDI!$B$17,IF(AND(#REF!="Padrão",$H$4=#REF!),BDI!#REF!,IF(AND(#REF!="Diferenciado",$H$4=#REF!),BDI!$E$17,IF(AND(#REF!="Diferenciado",$H$4=#REF!),BDI!#REF!,IF(#REF!="ZERO",0))))),"")</f>
        <v>#REF!</v>
      </c>
      <c r="H2295" s="139" t="e">
        <f t="shared" ca="1" si="178"/>
        <v>#REF!</v>
      </c>
      <c r="I2295" s="137" t="e">
        <f t="shared" ca="1" si="179"/>
        <v>#REF!</v>
      </c>
      <c r="J2295" s="117"/>
      <c r="K2295" s="116">
        <v>0</v>
      </c>
      <c r="M2295" s="136" t="e">
        <f ca="1">OFFSET(INDEX([1]Composições!I:R,MATCH([1]Orçamentária!I2295,[1]Composições!I:I,0),8),2,0)</f>
        <v>#REF!</v>
      </c>
      <c r="N2295" t="e">
        <v>#REF!</v>
      </c>
      <c r="Q2295" t="e">
        <v>#REF!</v>
      </c>
    </row>
    <row r="2296" spans="1:17" hidden="1" x14ac:dyDescent="0.25">
      <c r="A2296" s="114" t="s">
        <v>5080</v>
      </c>
      <c r="B2296" s="115" t="s">
        <v>3877</v>
      </c>
      <c r="C2296" s="116" t="s">
        <v>16</v>
      </c>
      <c r="D2296" s="116">
        <v>0</v>
      </c>
      <c r="E2296" s="136" t="s">
        <v>416</v>
      </c>
      <c r="F2296" s="137" t="str">
        <f t="shared" si="177"/>
        <v/>
      </c>
      <c r="G2296" s="138" t="e">
        <f>IF(A2296&lt;&gt;"",IF(AND(#REF!="Padrão",$H$4=#REF!),BDI!$B$17,IF(AND(#REF!="Padrão",$H$4=#REF!),BDI!#REF!,IF(AND(#REF!="Diferenciado",$H$4=#REF!),BDI!$E$17,IF(AND(#REF!="Diferenciado",$H$4=#REF!),BDI!#REF!,IF(#REF!="ZERO",0))))),"")</f>
        <v>#REF!</v>
      </c>
      <c r="H2296" s="139" t="str">
        <f t="shared" si="178"/>
        <v/>
      </c>
      <c r="I2296" s="137" t="str">
        <f t="shared" si="179"/>
        <v/>
      </c>
      <c r="J2296" s="117"/>
      <c r="K2296" s="116">
        <v>0</v>
      </c>
      <c r="M2296" s="136" t="s">
        <v>416</v>
      </c>
      <c r="N2296" t="e">
        <v>#REF!</v>
      </c>
      <c r="Q2296" t="s">
        <v>416</v>
      </c>
    </row>
    <row r="2297" spans="1:17" hidden="1" x14ac:dyDescent="0.25">
      <c r="A2297" s="114" t="s">
        <v>5081</v>
      </c>
      <c r="B2297" s="115" t="s">
        <v>3878</v>
      </c>
      <c r="C2297" s="116" t="s">
        <v>16</v>
      </c>
      <c r="D2297" s="116">
        <v>0</v>
      </c>
      <c r="E2297" s="136" t="s">
        <v>416</v>
      </c>
      <c r="F2297" s="137" t="str">
        <f t="shared" si="177"/>
        <v/>
      </c>
      <c r="G2297" s="138" t="e">
        <f>IF(A2297&lt;&gt;"",IF(AND(#REF!="Padrão",$H$4=#REF!),BDI!$B$17,IF(AND(#REF!="Padrão",$H$4=#REF!),BDI!#REF!,IF(AND(#REF!="Diferenciado",$H$4=#REF!),BDI!$E$17,IF(AND(#REF!="Diferenciado",$H$4=#REF!),BDI!#REF!,IF(#REF!="ZERO",0))))),"")</f>
        <v>#REF!</v>
      </c>
      <c r="H2297" s="139" t="str">
        <f t="shared" si="178"/>
        <v/>
      </c>
      <c r="I2297" s="137" t="str">
        <f t="shared" si="179"/>
        <v/>
      </c>
      <c r="J2297" s="117"/>
      <c r="K2297" s="116">
        <v>0</v>
      </c>
      <c r="M2297" s="136" t="s">
        <v>416</v>
      </c>
      <c r="N2297" t="e">
        <v>#REF!</v>
      </c>
      <c r="Q2297" t="s">
        <v>416</v>
      </c>
    </row>
    <row r="2298" spans="1:17" hidden="1" x14ac:dyDescent="0.25">
      <c r="A2298" s="114" t="s">
        <v>5082</v>
      </c>
      <c r="B2298" s="115" t="s">
        <v>7406</v>
      </c>
      <c r="C2298" s="116" t="s">
        <v>16</v>
      </c>
      <c r="D2298" s="116">
        <v>0</v>
      </c>
      <c r="E2298" s="136" t="s">
        <v>416</v>
      </c>
      <c r="F2298" s="137" t="str">
        <f t="shared" si="177"/>
        <v/>
      </c>
      <c r="G2298" s="138" t="e">
        <f>IF(A2298&lt;&gt;"",IF(AND(#REF!="Padrão",$H$4=#REF!),BDI!$B$17,IF(AND(#REF!="Padrão",$H$4=#REF!),BDI!#REF!,IF(AND(#REF!="Diferenciado",$H$4=#REF!),BDI!$E$17,IF(AND(#REF!="Diferenciado",$H$4=#REF!),BDI!#REF!,IF(#REF!="ZERO",0))))),"")</f>
        <v>#REF!</v>
      </c>
      <c r="H2298" s="139" t="str">
        <f t="shared" si="178"/>
        <v/>
      </c>
      <c r="I2298" s="137" t="str">
        <f t="shared" si="179"/>
        <v/>
      </c>
      <c r="J2298" s="117"/>
      <c r="K2298" s="116">
        <v>0</v>
      </c>
      <c r="M2298" s="136" t="s">
        <v>416</v>
      </c>
      <c r="N2298" t="e">
        <v>#REF!</v>
      </c>
      <c r="Q2298" t="s">
        <v>416</v>
      </c>
    </row>
    <row r="2299" spans="1:17" hidden="1" x14ac:dyDescent="0.25">
      <c r="A2299" s="114" t="s">
        <v>5083</v>
      </c>
      <c r="B2299" s="115" t="s">
        <v>7407</v>
      </c>
      <c r="C2299" s="116" t="s">
        <v>16</v>
      </c>
      <c r="D2299" s="116">
        <v>0</v>
      </c>
      <c r="E2299" s="136">
        <f ca="1">OFFSET(INDEX(Composições!A:J,MATCH(Orçamentária!A2299,Composições!A:A,0),8),2,0)</f>
        <v>168.86249999999998</v>
      </c>
      <c r="F2299" s="137">
        <f t="shared" ca="1" si="177"/>
        <v>0</v>
      </c>
      <c r="G2299" s="138" t="e">
        <f>IF(A2299&lt;&gt;"",IF(AND(#REF!="Padrão",$H$4=#REF!),BDI!$B$17,IF(AND(#REF!="Padrão",$H$4=#REF!),BDI!#REF!,IF(AND(#REF!="Diferenciado",$H$4=#REF!),BDI!$E$17,IF(AND(#REF!="Diferenciado",$H$4=#REF!),BDI!#REF!,IF(#REF!="ZERO",0))))),"")</f>
        <v>#REF!</v>
      </c>
      <c r="H2299" s="139" t="e">
        <f t="shared" ca="1" si="178"/>
        <v>#REF!</v>
      </c>
      <c r="I2299" s="137" t="e">
        <f t="shared" ca="1" si="179"/>
        <v>#REF!</v>
      </c>
      <c r="J2299" s="117"/>
      <c r="K2299" s="116">
        <v>0</v>
      </c>
      <c r="M2299" s="136" t="e">
        <f ca="1">OFFSET(INDEX([1]Composições!I:R,MATCH([1]Orçamentária!I2299,[1]Composições!I:I,0),8),2,0)</f>
        <v>#REF!</v>
      </c>
      <c r="N2299" t="e">
        <v>#REF!</v>
      </c>
      <c r="Q2299" t="e">
        <v>#REF!</v>
      </c>
    </row>
    <row r="2300" spans="1:17" hidden="1" x14ac:dyDescent="0.25">
      <c r="A2300" s="114" t="s">
        <v>5084</v>
      </c>
      <c r="B2300" s="115" t="s">
        <v>7408</v>
      </c>
      <c r="C2300" s="116" t="s">
        <v>16</v>
      </c>
      <c r="D2300" s="116">
        <v>0</v>
      </c>
      <c r="E2300" s="136" t="s">
        <v>416</v>
      </c>
      <c r="F2300" s="137" t="str">
        <f t="shared" si="177"/>
        <v/>
      </c>
      <c r="G2300" s="138" t="e">
        <f>IF(A2300&lt;&gt;"",IF(AND(#REF!="Padrão",$H$4=#REF!),BDI!$B$17,IF(AND(#REF!="Padrão",$H$4=#REF!),BDI!#REF!,IF(AND(#REF!="Diferenciado",$H$4=#REF!),BDI!$E$17,IF(AND(#REF!="Diferenciado",$H$4=#REF!),BDI!#REF!,IF(#REF!="ZERO",0))))),"")</f>
        <v>#REF!</v>
      </c>
      <c r="H2300" s="139" t="str">
        <f t="shared" si="178"/>
        <v/>
      </c>
      <c r="I2300" s="137" t="str">
        <f t="shared" si="179"/>
        <v/>
      </c>
      <c r="J2300" s="117"/>
      <c r="K2300" s="116">
        <v>0</v>
      </c>
      <c r="M2300" s="136" t="s">
        <v>416</v>
      </c>
      <c r="N2300" t="e">
        <v>#REF!</v>
      </c>
      <c r="Q2300" t="s">
        <v>416</v>
      </c>
    </row>
    <row r="2301" spans="1:17" hidden="1" x14ac:dyDescent="0.25">
      <c r="A2301" s="114" t="s">
        <v>5085</v>
      </c>
      <c r="B2301" s="115" t="s">
        <v>7409</v>
      </c>
      <c r="C2301" s="116" t="s">
        <v>16</v>
      </c>
      <c r="D2301" s="116">
        <v>0</v>
      </c>
      <c r="E2301" s="136" t="s">
        <v>416</v>
      </c>
      <c r="F2301" s="137" t="str">
        <f t="shared" si="177"/>
        <v/>
      </c>
      <c r="G2301" s="138" t="e">
        <f>IF(A2301&lt;&gt;"",IF(AND(#REF!="Padrão",$H$4=#REF!),BDI!$B$17,IF(AND(#REF!="Padrão",$H$4=#REF!),BDI!#REF!,IF(AND(#REF!="Diferenciado",$H$4=#REF!),BDI!$E$17,IF(AND(#REF!="Diferenciado",$H$4=#REF!),BDI!#REF!,IF(#REF!="ZERO",0))))),"")</f>
        <v>#REF!</v>
      </c>
      <c r="H2301" s="139" t="str">
        <f t="shared" si="178"/>
        <v/>
      </c>
      <c r="I2301" s="137" t="str">
        <f t="shared" si="179"/>
        <v/>
      </c>
      <c r="J2301" s="117"/>
      <c r="K2301" s="116">
        <v>0</v>
      </c>
      <c r="M2301" s="136" t="s">
        <v>416</v>
      </c>
      <c r="N2301" t="e">
        <v>#REF!</v>
      </c>
      <c r="Q2301" t="s">
        <v>416</v>
      </c>
    </row>
    <row r="2302" spans="1:17" hidden="1" x14ac:dyDescent="0.25">
      <c r="A2302" s="114" t="s">
        <v>5086</v>
      </c>
      <c r="B2302" s="115" t="s">
        <v>3879</v>
      </c>
      <c r="C2302" s="116" t="s">
        <v>16</v>
      </c>
      <c r="D2302" s="116">
        <v>0</v>
      </c>
      <c r="E2302" s="136" t="s">
        <v>416</v>
      </c>
      <c r="F2302" s="137" t="str">
        <f t="shared" si="177"/>
        <v/>
      </c>
      <c r="G2302" s="138" t="e">
        <f>IF(A2302&lt;&gt;"",IF(AND(#REF!="Padrão",$H$4=#REF!),BDI!$B$17,IF(AND(#REF!="Padrão",$H$4=#REF!),BDI!#REF!,IF(AND(#REF!="Diferenciado",$H$4=#REF!),BDI!$E$17,IF(AND(#REF!="Diferenciado",$H$4=#REF!),BDI!#REF!,IF(#REF!="ZERO",0))))),"")</f>
        <v>#REF!</v>
      </c>
      <c r="H2302" s="139" t="str">
        <f t="shared" si="178"/>
        <v/>
      </c>
      <c r="I2302" s="137" t="str">
        <f t="shared" si="179"/>
        <v/>
      </c>
      <c r="J2302" s="117"/>
      <c r="K2302" s="116">
        <v>0</v>
      </c>
      <c r="M2302" s="136" t="s">
        <v>416</v>
      </c>
      <c r="N2302" t="e">
        <v>#REF!</v>
      </c>
      <c r="Q2302" t="s">
        <v>416</v>
      </c>
    </row>
    <row r="2303" spans="1:17" hidden="1" x14ac:dyDescent="0.25">
      <c r="A2303" s="114" t="s">
        <v>5087</v>
      </c>
      <c r="B2303" s="115" t="s">
        <v>7410</v>
      </c>
      <c r="C2303" s="116" t="s">
        <v>16</v>
      </c>
      <c r="D2303" s="116">
        <v>0</v>
      </c>
      <c r="E2303" s="136" t="s">
        <v>416</v>
      </c>
      <c r="F2303" s="137" t="str">
        <f t="shared" si="177"/>
        <v/>
      </c>
      <c r="G2303" s="138" t="e">
        <f>IF(A2303&lt;&gt;"",IF(AND(#REF!="Padrão",$H$4=#REF!),BDI!$B$17,IF(AND(#REF!="Padrão",$H$4=#REF!),BDI!#REF!,IF(AND(#REF!="Diferenciado",$H$4=#REF!),BDI!$E$17,IF(AND(#REF!="Diferenciado",$H$4=#REF!),BDI!#REF!,IF(#REF!="ZERO",0))))),"")</f>
        <v>#REF!</v>
      </c>
      <c r="H2303" s="139" t="str">
        <f t="shared" si="178"/>
        <v/>
      </c>
      <c r="I2303" s="137" t="str">
        <f t="shared" si="179"/>
        <v/>
      </c>
      <c r="J2303" s="117"/>
      <c r="K2303" s="116">
        <v>0</v>
      </c>
      <c r="M2303" s="136" t="s">
        <v>416</v>
      </c>
      <c r="N2303" t="e">
        <v>#REF!</v>
      </c>
      <c r="Q2303" t="s">
        <v>416</v>
      </c>
    </row>
    <row r="2304" spans="1:17" hidden="1" x14ac:dyDescent="0.25">
      <c r="A2304" s="114" t="s">
        <v>5088</v>
      </c>
      <c r="B2304" s="115" t="s">
        <v>7411</v>
      </c>
      <c r="C2304" s="116" t="s">
        <v>16</v>
      </c>
      <c r="D2304" s="116">
        <v>0</v>
      </c>
      <c r="E2304" s="136" t="s">
        <v>416</v>
      </c>
      <c r="F2304" s="137" t="str">
        <f t="shared" si="177"/>
        <v/>
      </c>
      <c r="G2304" s="138" t="e">
        <f>IF(A2304&lt;&gt;"",IF(AND(#REF!="Padrão",$H$4=#REF!),BDI!$B$17,IF(AND(#REF!="Padrão",$H$4=#REF!),BDI!#REF!,IF(AND(#REF!="Diferenciado",$H$4=#REF!),BDI!$E$17,IF(AND(#REF!="Diferenciado",$H$4=#REF!),BDI!#REF!,IF(#REF!="ZERO",0))))),"")</f>
        <v>#REF!</v>
      </c>
      <c r="H2304" s="139" t="str">
        <f t="shared" si="178"/>
        <v/>
      </c>
      <c r="I2304" s="137" t="str">
        <f t="shared" si="179"/>
        <v/>
      </c>
      <c r="J2304" s="117"/>
      <c r="K2304" s="116">
        <v>0</v>
      </c>
      <c r="M2304" s="136" t="s">
        <v>416</v>
      </c>
      <c r="N2304" t="e">
        <v>#REF!</v>
      </c>
      <c r="Q2304" t="s">
        <v>416</v>
      </c>
    </row>
    <row r="2305" spans="1:17" hidden="1" x14ac:dyDescent="0.25">
      <c r="A2305" s="114" t="s">
        <v>5089</v>
      </c>
      <c r="B2305" s="115" t="s">
        <v>7412</v>
      </c>
      <c r="C2305" s="116" t="s">
        <v>16</v>
      </c>
      <c r="D2305" s="116">
        <v>0</v>
      </c>
      <c r="E2305" s="136" t="s">
        <v>416</v>
      </c>
      <c r="F2305" s="137" t="str">
        <f t="shared" si="177"/>
        <v/>
      </c>
      <c r="G2305" s="138" t="e">
        <f>IF(A2305&lt;&gt;"",IF(AND(#REF!="Padrão",$H$4=#REF!),BDI!$B$17,IF(AND(#REF!="Padrão",$H$4=#REF!),BDI!#REF!,IF(AND(#REF!="Diferenciado",$H$4=#REF!),BDI!$E$17,IF(AND(#REF!="Diferenciado",$H$4=#REF!),BDI!#REF!,IF(#REF!="ZERO",0))))),"")</f>
        <v>#REF!</v>
      </c>
      <c r="H2305" s="139" t="str">
        <f t="shared" si="178"/>
        <v/>
      </c>
      <c r="I2305" s="137" t="str">
        <f t="shared" si="179"/>
        <v/>
      </c>
      <c r="J2305" s="117"/>
      <c r="K2305" s="116">
        <v>0</v>
      </c>
      <c r="M2305" s="136" t="s">
        <v>416</v>
      </c>
      <c r="N2305" t="e">
        <v>#REF!</v>
      </c>
      <c r="Q2305" t="s">
        <v>416</v>
      </c>
    </row>
    <row r="2306" spans="1:17" hidden="1" x14ac:dyDescent="0.25">
      <c r="A2306" s="114" t="s">
        <v>5090</v>
      </c>
      <c r="B2306" s="115" t="s">
        <v>3880</v>
      </c>
      <c r="C2306" s="116" t="s">
        <v>16</v>
      </c>
      <c r="D2306" s="116">
        <v>0</v>
      </c>
      <c r="E2306" s="136" t="s">
        <v>416</v>
      </c>
      <c r="F2306" s="137" t="str">
        <f t="shared" si="177"/>
        <v/>
      </c>
      <c r="G2306" s="138" t="e">
        <f>IF(A2306&lt;&gt;"",IF(AND(#REF!="Padrão",$H$4=#REF!),BDI!$B$17,IF(AND(#REF!="Padrão",$H$4=#REF!),BDI!#REF!,IF(AND(#REF!="Diferenciado",$H$4=#REF!),BDI!$E$17,IF(AND(#REF!="Diferenciado",$H$4=#REF!),BDI!#REF!,IF(#REF!="ZERO",0))))),"")</f>
        <v>#REF!</v>
      </c>
      <c r="H2306" s="139" t="str">
        <f t="shared" si="178"/>
        <v/>
      </c>
      <c r="I2306" s="137" t="str">
        <f t="shared" si="179"/>
        <v/>
      </c>
      <c r="J2306" s="117"/>
      <c r="K2306" s="116">
        <v>0</v>
      </c>
      <c r="M2306" s="136" t="s">
        <v>416</v>
      </c>
      <c r="N2306" t="e">
        <v>#REF!</v>
      </c>
      <c r="Q2306" t="s">
        <v>416</v>
      </c>
    </row>
    <row r="2307" spans="1:17" hidden="1" x14ac:dyDescent="0.25">
      <c r="A2307" s="114" t="s">
        <v>5091</v>
      </c>
      <c r="B2307" s="115" t="s">
        <v>3881</v>
      </c>
      <c r="C2307" s="116" t="s">
        <v>16</v>
      </c>
      <c r="D2307" s="116">
        <v>0</v>
      </c>
      <c r="E2307" s="136" t="s">
        <v>416</v>
      </c>
      <c r="F2307" s="137" t="str">
        <f t="shared" si="177"/>
        <v/>
      </c>
      <c r="G2307" s="138" t="e">
        <f>IF(A2307&lt;&gt;"",IF(AND(#REF!="Padrão",$H$4=#REF!),BDI!$B$17,IF(AND(#REF!="Padrão",$H$4=#REF!),BDI!#REF!,IF(AND(#REF!="Diferenciado",$H$4=#REF!),BDI!$E$17,IF(AND(#REF!="Diferenciado",$H$4=#REF!),BDI!#REF!,IF(#REF!="ZERO",0))))),"")</f>
        <v>#REF!</v>
      </c>
      <c r="H2307" s="139" t="str">
        <f t="shared" si="178"/>
        <v/>
      </c>
      <c r="I2307" s="137" t="str">
        <f t="shared" si="179"/>
        <v/>
      </c>
      <c r="J2307" s="117"/>
      <c r="K2307" s="116">
        <v>0</v>
      </c>
      <c r="M2307" s="136" t="s">
        <v>416</v>
      </c>
      <c r="N2307" t="e">
        <v>#REF!</v>
      </c>
      <c r="Q2307" t="s">
        <v>416</v>
      </c>
    </row>
    <row r="2308" spans="1:17" hidden="1" x14ac:dyDescent="0.25">
      <c r="A2308" s="114" t="s">
        <v>5092</v>
      </c>
      <c r="B2308" s="115" t="s">
        <v>3882</v>
      </c>
      <c r="C2308" s="116" t="s">
        <v>16</v>
      </c>
      <c r="D2308" s="116">
        <v>0</v>
      </c>
      <c r="E2308" s="136" t="s">
        <v>416</v>
      </c>
      <c r="F2308" s="137" t="str">
        <f t="shared" si="177"/>
        <v/>
      </c>
      <c r="G2308" s="138" t="e">
        <f>IF(A2308&lt;&gt;"",IF(AND(#REF!="Padrão",$H$4=#REF!),BDI!$B$17,IF(AND(#REF!="Padrão",$H$4=#REF!),BDI!#REF!,IF(AND(#REF!="Diferenciado",$H$4=#REF!),BDI!$E$17,IF(AND(#REF!="Diferenciado",$H$4=#REF!),BDI!#REF!,IF(#REF!="ZERO",0))))),"")</f>
        <v>#REF!</v>
      </c>
      <c r="H2308" s="139" t="str">
        <f t="shared" si="178"/>
        <v/>
      </c>
      <c r="I2308" s="137" t="str">
        <f t="shared" si="179"/>
        <v/>
      </c>
      <c r="J2308" s="117"/>
      <c r="K2308" s="116">
        <v>0</v>
      </c>
      <c r="M2308" s="136" t="s">
        <v>416</v>
      </c>
      <c r="N2308" t="e">
        <v>#REF!</v>
      </c>
      <c r="Q2308" t="s">
        <v>416</v>
      </c>
    </row>
    <row r="2309" spans="1:17" hidden="1" x14ac:dyDescent="0.25">
      <c r="A2309" s="114" t="s">
        <v>5093</v>
      </c>
      <c r="B2309" s="115" t="s">
        <v>3883</v>
      </c>
      <c r="C2309" s="116" t="s">
        <v>16</v>
      </c>
      <c r="D2309" s="116">
        <v>0</v>
      </c>
      <c r="E2309" s="136" t="s">
        <v>416</v>
      </c>
      <c r="F2309" s="137" t="str">
        <f t="shared" si="177"/>
        <v/>
      </c>
      <c r="G2309" s="138" t="e">
        <f>IF(A2309&lt;&gt;"",IF(AND(#REF!="Padrão",$H$4=#REF!),BDI!$B$17,IF(AND(#REF!="Padrão",$H$4=#REF!),BDI!#REF!,IF(AND(#REF!="Diferenciado",$H$4=#REF!),BDI!$E$17,IF(AND(#REF!="Diferenciado",$H$4=#REF!),BDI!#REF!,IF(#REF!="ZERO",0))))),"")</f>
        <v>#REF!</v>
      </c>
      <c r="H2309" s="139" t="str">
        <f t="shared" si="178"/>
        <v/>
      </c>
      <c r="I2309" s="137" t="str">
        <f t="shared" si="179"/>
        <v/>
      </c>
      <c r="J2309" s="117"/>
      <c r="K2309" s="116">
        <v>0</v>
      </c>
      <c r="M2309" s="136" t="s">
        <v>416</v>
      </c>
      <c r="N2309" t="e">
        <v>#REF!</v>
      </c>
      <c r="Q2309" t="s">
        <v>416</v>
      </c>
    </row>
    <row r="2310" spans="1:17" hidden="1" x14ac:dyDescent="0.25">
      <c r="A2310" s="114" t="s">
        <v>5094</v>
      </c>
      <c r="B2310" s="115" t="s">
        <v>3884</v>
      </c>
      <c r="C2310" s="116" t="s">
        <v>16</v>
      </c>
      <c r="D2310" s="116">
        <v>0</v>
      </c>
      <c r="E2310" s="136" t="s">
        <v>416</v>
      </c>
      <c r="F2310" s="137" t="str">
        <f t="shared" si="177"/>
        <v/>
      </c>
      <c r="G2310" s="138" t="e">
        <f>IF(A2310&lt;&gt;"",IF(AND(#REF!="Padrão",$H$4=#REF!),BDI!$B$17,IF(AND(#REF!="Padrão",$H$4=#REF!),BDI!#REF!,IF(AND(#REF!="Diferenciado",$H$4=#REF!),BDI!$E$17,IF(AND(#REF!="Diferenciado",$H$4=#REF!),BDI!#REF!,IF(#REF!="ZERO",0))))),"")</f>
        <v>#REF!</v>
      </c>
      <c r="H2310" s="139" t="str">
        <f t="shared" si="178"/>
        <v/>
      </c>
      <c r="I2310" s="137" t="str">
        <f t="shared" si="179"/>
        <v/>
      </c>
      <c r="J2310" s="117"/>
      <c r="K2310" s="116">
        <v>0</v>
      </c>
      <c r="M2310" s="136" t="s">
        <v>416</v>
      </c>
      <c r="N2310" t="e">
        <v>#REF!</v>
      </c>
      <c r="Q2310" t="s">
        <v>416</v>
      </c>
    </row>
    <row r="2311" spans="1:17" hidden="1" x14ac:dyDescent="0.25">
      <c r="A2311" s="114" t="s">
        <v>5095</v>
      </c>
      <c r="B2311" s="115" t="s">
        <v>3885</v>
      </c>
      <c r="C2311" s="116" t="s">
        <v>16</v>
      </c>
      <c r="D2311" s="116">
        <v>0</v>
      </c>
      <c r="E2311" s="136" t="s">
        <v>416</v>
      </c>
      <c r="F2311" s="137" t="str">
        <f t="shared" si="177"/>
        <v/>
      </c>
      <c r="G2311" s="138" t="e">
        <f>IF(A2311&lt;&gt;"",IF(AND(#REF!="Padrão",$H$4=#REF!),BDI!$B$17,IF(AND(#REF!="Padrão",$H$4=#REF!),BDI!#REF!,IF(AND(#REF!="Diferenciado",$H$4=#REF!),BDI!$E$17,IF(AND(#REF!="Diferenciado",$H$4=#REF!),BDI!#REF!,IF(#REF!="ZERO",0))))),"")</f>
        <v>#REF!</v>
      </c>
      <c r="H2311" s="139" t="str">
        <f t="shared" si="178"/>
        <v/>
      </c>
      <c r="I2311" s="137" t="str">
        <f t="shared" si="179"/>
        <v/>
      </c>
      <c r="J2311" s="117"/>
      <c r="K2311" s="116">
        <v>0</v>
      </c>
      <c r="M2311" s="136" t="s">
        <v>416</v>
      </c>
      <c r="N2311" t="e">
        <v>#REF!</v>
      </c>
      <c r="Q2311" t="s">
        <v>416</v>
      </c>
    </row>
    <row r="2312" spans="1:17" hidden="1" x14ac:dyDescent="0.25">
      <c r="A2312" s="114" t="s">
        <v>5096</v>
      </c>
      <c r="B2312" s="115" t="s">
        <v>3886</v>
      </c>
      <c r="C2312" s="116" t="s">
        <v>16</v>
      </c>
      <c r="D2312" s="116">
        <v>0</v>
      </c>
      <c r="E2312" s="136" t="s">
        <v>416</v>
      </c>
      <c r="F2312" s="137" t="str">
        <f t="shared" si="177"/>
        <v/>
      </c>
      <c r="G2312" s="138" t="e">
        <f>IF(A2312&lt;&gt;"",IF(AND(#REF!="Padrão",$H$4=#REF!),BDI!$B$17,IF(AND(#REF!="Padrão",$H$4=#REF!),BDI!#REF!,IF(AND(#REF!="Diferenciado",$H$4=#REF!),BDI!$E$17,IF(AND(#REF!="Diferenciado",$H$4=#REF!),BDI!#REF!,IF(#REF!="ZERO",0))))),"")</f>
        <v>#REF!</v>
      </c>
      <c r="H2312" s="139" t="str">
        <f t="shared" si="178"/>
        <v/>
      </c>
      <c r="I2312" s="137" t="str">
        <f t="shared" si="179"/>
        <v/>
      </c>
      <c r="J2312" s="117"/>
      <c r="K2312" s="116">
        <v>0</v>
      </c>
      <c r="M2312" s="136" t="s">
        <v>416</v>
      </c>
      <c r="N2312" t="e">
        <v>#REF!</v>
      </c>
      <c r="Q2312" t="s">
        <v>416</v>
      </c>
    </row>
    <row r="2313" spans="1:17" hidden="1" x14ac:dyDescent="0.25">
      <c r="A2313" s="114" t="s">
        <v>5097</v>
      </c>
      <c r="B2313" s="115" t="s">
        <v>3887</v>
      </c>
      <c r="C2313" s="116" t="s">
        <v>16</v>
      </c>
      <c r="D2313" s="116">
        <v>0</v>
      </c>
      <c r="E2313" s="136" t="s">
        <v>416</v>
      </c>
      <c r="F2313" s="137" t="str">
        <f t="shared" si="177"/>
        <v/>
      </c>
      <c r="G2313" s="138" t="e">
        <f>IF(A2313&lt;&gt;"",IF(AND(#REF!="Padrão",$H$4=#REF!),BDI!$B$17,IF(AND(#REF!="Padrão",$H$4=#REF!),BDI!#REF!,IF(AND(#REF!="Diferenciado",$H$4=#REF!),BDI!$E$17,IF(AND(#REF!="Diferenciado",$H$4=#REF!),BDI!#REF!,IF(#REF!="ZERO",0))))),"")</f>
        <v>#REF!</v>
      </c>
      <c r="H2313" s="139" t="str">
        <f t="shared" si="178"/>
        <v/>
      </c>
      <c r="I2313" s="137" t="str">
        <f t="shared" si="179"/>
        <v/>
      </c>
      <c r="J2313" s="117"/>
      <c r="K2313" s="116">
        <v>0</v>
      </c>
      <c r="M2313" s="136" t="s">
        <v>416</v>
      </c>
      <c r="N2313" t="e">
        <v>#REF!</v>
      </c>
      <c r="Q2313" t="s">
        <v>416</v>
      </c>
    </row>
    <row r="2314" spans="1:17" hidden="1" x14ac:dyDescent="0.25">
      <c r="A2314" s="114" t="s">
        <v>5098</v>
      </c>
      <c r="B2314" s="115" t="s">
        <v>3888</v>
      </c>
      <c r="C2314" s="116" t="s">
        <v>16</v>
      </c>
      <c r="D2314" s="116">
        <v>0</v>
      </c>
      <c r="E2314" s="136" t="s">
        <v>416</v>
      </c>
      <c r="F2314" s="137" t="str">
        <f t="shared" si="177"/>
        <v/>
      </c>
      <c r="G2314" s="138" t="e">
        <f>IF(A2314&lt;&gt;"",IF(AND(#REF!="Padrão",$H$4=#REF!),BDI!$B$17,IF(AND(#REF!="Padrão",$H$4=#REF!),BDI!#REF!,IF(AND(#REF!="Diferenciado",$H$4=#REF!),BDI!$E$17,IF(AND(#REF!="Diferenciado",$H$4=#REF!),BDI!#REF!,IF(#REF!="ZERO",0))))),"")</f>
        <v>#REF!</v>
      </c>
      <c r="H2314" s="139" t="str">
        <f t="shared" si="178"/>
        <v/>
      </c>
      <c r="I2314" s="137" t="str">
        <f t="shared" si="179"/>
        <v/>
      </c>
      <c r="J2314" s="117"/>
      <c r="K2314" s="116">
        <v>0</v>
      </c>
      <c r="M2314" s="136" t="s">
        <v>416</v>
      </c>
      <c r="N2314" t="e">
        <v>#REF!</v>
      </c>
      <c r="Q2314" t="s">
        <v>416</v>
      </c>
    </row>
    <row r="2315" spans="1:17" hidden="1" x14ac:dyDescent="0.25">
      <c r="A2315" s="114" t="s">
        <v>5099</v>
      </c>
      <c r="B2315" s="115" t="s">
        <v>3889</v>
      </c>
      <c r="C2315" s="116" t="s">
        <v>4171</v>
      </c>
      <c r="D2315" s="116">
        <v>0</v>
      </c>
      <c r="E2315" s="136">
        <f ca="1">OFFSET(INDEX(Composições!A:J,MATCH(Orçamentária!A2315,Composições!A:A,0),8),2,0)</f>
        <v>52.259499999999996</v>
      </c>
      <c r="F2315" s="137">
        <f t="shared" ca="1" si="177"/>
        <v>0</v>
      </c>
      <c r="G2315" s="138" t="e">
        <f>IF(A2315&lt;&gt;"",IF(AND(#REF!="Padrão",$H$4=#REF!),BDI!$B$17,IF(AND(#REF!="Padrão",$H$4=#REF!),BDI!#REF!,IF(AND(#REF!="Diferenciado",$H$4=#REF!),BDI!$E$17,IF(AND(#REF!="Diferenciado",$H$4=#REF!),BDI!#REF!,IF(#REF!="ZERO",0))))),"")</f>
        <v>#REF!</v>
      </c>
      <c r="H2315" s="139" t="e">
        <f t="shared" ca="1" si="178"/>
        <v>#REF!</v>
      </c>
      <c r="I2315" s="137" t="e">
        <f t="shared" ca="1" si="179"/>
        <v>#REF!</v>
      </c>
      <c r="J2315" s="117"/>
      <c r="K2315" s="116">
        <v>0</v>
      </c>
      <c r="M2315" s="136" t="e">
        <f ca="1">OFFSET(INDEX([1]Composições!I:R,MATCH([1]Orçamentária!I2315,[1]Composições!I:I,0),8),2,0)</f>
        <v>#REF!</v>
      </c>
      <c r="N2315" t="e">
        <v>#REF!</v>
      </c>
      <c r="Q2315" t="e">
        <v>#REF!</v>
      </c>
    </row>
    <row r="2316" spans="1:17" hidden="1" x14ac:dyDescent="0.25">
      <c r="A2316" s="114" t="s">
        <v>5100</v>
      </c>
      <c r="B2316" s="115" t="s">
        <v>3890</v>
      </c>
      <c r="C2316" s="116" t="s">
        <v>16</v>
      </c>
      <c r="D2316" s="116">
        <v>0</v>
      </c>
      <c r="E2316" s="136" t="s">
        <v>416</v>
      </c>
      <c r="F2316" s="137" t="str">
        <f t="shared" si="177"/>
        <v/>
      </c>
      <c r="G2316" s="138" t="e">
        <f>IF(A2316&lt;&gt;"",IF(AND(#REF!="Padrão",$H$4=#REF!),BDI!$B$17,IF(AND(#REF!="Padrão",$H$4=#REF!),BDI!#REF!,IF(AND(#REF!="Diferenciado",$H$4=#REF!),BDI!$E$17,IF(AND(#REF!="Diferenciado",$H$4=#REF!),BDI!#REF!,IF(#REF!="ZERO",0))))),"")</f>
        <v>#REF!</v>
      </c>
      <c r="H2316" s="139" t="str">
        <f t="shared" si="178"/>
        <v/>
      </c>
      <c r="I2316" s="137" t="str">
        <f t="shared" si="179"/>
        <v/>
      </c>
      <c r="J2316" s="117"/>
      <c r="K2316" s="116">
        <v>0</v>
      </c>
      <c r="M2316" s="136" t="s">
        <v>416</v>
      </c>
      <c r="N2316" t="e">
        <v>#REF!</v>
      </c>
      <c r="Q2316" t="s">
        <v>416</v>
      </c>
    </row>
    <row r="2317" spans="1:17" hidden="1" x14ac:dyDescent="0.25">
      <c r="A2317" s="114" t="s">
        <v>5101</v>
      </c>
      <c r="B2317" s="115" t="s">
        <v>3891</v>
      </c>
      <c r="C2317" s="116" t="s">
        <v>16</v>
      </c>
      <c r="D2317" s="116">
        <v>0</v>
      </c>
      <c r="E2317" s="136" t="s">
        <v>416</v>
      </c>
      <c r="F2317" s="137" t="str">
        <f t="shared" si="177"/>
        <v/>
      </c>
      <c r="G2317" s="138" t="e">
        <f>IF(A2317&lt;&gt;"",IF(AND(#REF!="Padrão",$H$4=#REF!),BDI!$B$17,IF(AND(#REF!="Padrão",$H$4=#REF!),BDI!#REF!,IF(AND(#REF!="Diferenciado",$H$4=#REF!),BDI!$E$17,IF(AND(#REF!="Diferenciado",$H$4=#REF!),BDI!#REF!,IF(#REF!="ZERO",0))))),"")</f>
        <v>#REF!</v>
      </c>
      <c r="H2317" s="139" t="str">
        <f t="shared" si="178"/>
        <v/>
      </c>
      <c r="I2317" s="137" t="str">
        <f t="shared" si="179"/>
        <v/>
      </c>
      <c r="J2317" s="117"/>
      <c r="K2317" s="116">
        <v>0</v>
      </c>
      <c r="M2317" s="136" t="s">
        <v>416</v>
      </c>
      <c r="N2317" t="e">
        <v>#REF!</v>
      </c>
      <c r="Q2317" t="s">
        <v>416</v>
      </c>
    </row>
    <row r="2318" spans="1:17" hidden="1" x14ac:dyDescent="0.25">
      <c r="A2318" s="114" t="s">
        <v>5102</v>
      </c>
      <c r="B2318" s="115" t="s">
        <v>3892</v>
      </c>
      <c r="C2318" s="116" t="s">
        <v>16</v>
      </c>
      <c r="D2318" s="116">
        <v>0</v>
      </c>
      <c r="E2318" s="136" t="s">
        <v>416</v>
      </c>
      <c r="F2318" s="137" t="str">
        <f t="shared" si="177"/>
        <v/>
      </c>
      <c r="G2318" s="138" t="e">
        <f>IF(A2318&lt;&gt;"",IF(AND(#REF!="Padrão",$H$4=#REF!),BDI!$B$17,IF(AND(#REF!="Padrão",$H$4=#REF!),BDI!#REF!,IF(AND(#REF!="Diferenciado",$H$4=#REF!),BDI!$E$17,IF(AND(#REF!="Diferenciado",$H$4=#REF!),BDI!#REF!,IF(#REF!="ZERO",0))))),"")</f>
        <v>#REF!</v>
      </c>
      <c r="H2318" s="139" t="str">
        <f t="shared" si="178"/>
        <v/>
      </c>
      <c r="I2318" s="137" t="str">
        <f t="shared" si="179"/>
        <v/>
      </c>
      <c r="J2318" s="117"/>
      <c r="K2318" s="116">
        <v>0</v>
      </c>
      <c r="M2318" s="136" t="s">
        <v>416</v>
      </c>
      <c r="N2318" t="e">
        <v>#REF!</v>
      </c>
      <c r="Q2318" t="s">
        <v>416</v>
      </c>
    </row>
    <row r="2319" spans="1:17" hidden="1" x14ac:dyDescent="0.25">
      <c r="A2319" s="114" t="s">
        <v>5103</v>
      </c>
      <c r="B2319" s="115" t="s">
        <v>3893</v>
      </c>
      <c r="C2319" s="116" t="s">
        <v>16</v>
      </c>
      <c r="D2319" s="116">
        <v>0</v>
      </c>
      <c r="E2319" s="136" t="s">
        <v>416</v>
      </c>
      <c r="F2319" s="137" t="str">
        <f t="shared" si="177"/>
        <v/>
      </c>
      <c r="G2319" s="138" t="e">
        <f>IF(A2319&lt;&gt;"",IF(AND(#REF!="Padrão",$H$4=#REF!),BDI!$B$17,IF(AND(#REF!="Padrão",$H$4=#REF!),BDI!#REF!,IF(AND(#REF!="Diferenciado",$H$4=#REF!),BDI!$E$17,IF(AND(#REF!="Diferenciado",$H$4=#REF!),BDI!#REF!,IF(#REF!="ZERO",0))))),"")</f>
        <v>#REF!</v>
      </c>
      <c r="H2319" s="139" t="str">
        <f t="shared" si="178"/>
        <v/>
      </c>
      <c r="I2319" s="137" t="str">
        <f t="shared" si="179"/>
        <v/>
      </c>
      <c r="J2319" s="117"/>
      <c r="K2319" s="116">
        <v>0</v>
      </c>
      <c r="M2319" s="136" t="s">
        <v>416</v>
      </c>
      <c r="N2319" t="e">
        <v>#REF!</v>
      </c>
      <c r="Q2319" t="s">
        <v>416</v>
      </c>
    </row>
    <row r="2320" spans="1:17" hidden="1" x14ac:dyDescent="0.25">
      <c r="A2320" s="114" t="s">
        <v>5104</v>
      </c>
      <c r="B2320" s="115" t="s">
        <v>3894</v>
      </c>
      <c r="C2320" s="116" t="s">
        <v>16</v>
      </c>
      <c r="D2320" s="116">
        <v>0</v>
      </c>
      <c r="E2320" s="136" t="s">
        <v>416</v>
      </c>
      <c r="F2320" s="137" t="str">
        <f t="shared" si="177"/>
        <v/>
      </c>
      <c r="G2320" s="138" t="e">
        <f>IF(A2320&lt;&gt;"",IF(AND(#REF!="Padrão",$H$4=#REF!),BDI!$B$17,IF(AND(#REF!="Padrão",$H$4=#REF!),BDI!#REF!,IF(AND(#REF!="Diferenciado",$H$4=#REF!),BDI!$E$17,IF(AND(#REF!="Diferenciado",$H$4=#REF!),BDI!#REF!,IF(#REF!="ZERO",0))))),"")</f>
        <v>#REF!</v>
      </c>
      <c r="H2320" s="139" t="str">
        <f t="shared" si="178"/>
        <v/>
      </c>
      <c r="I2320" s="137" t="str">
        <f t="shared" si="179"/>
        <v/>
      </c>
      <c r="J2320" s="117"/>
      <c r="K2320" s="116">
        <v>0</v>
      </c>
      <c r="M2320" s="136" t="s">
        <v>416</v>
      </c>
      <c r="N2320" t="e">
        <v>#REF!</v>
      </c>
      <c r="Q2320" t="s">
        <v>416</v>
      </c>
    </row>
    <row r="2321" spans="1:17" hidden="1" x14ac:dyDescent="0.25">
      <c r="A2321" s="114" t="s">
        <v>5105</v>
      </c>
      <c r="B2321" s="115" t="s">
        <v>3895</v>
      </c>
      <c r="C2321" s="116" t="s">
        <v>16</v>
      </c>
      <c r="D2321" s="116">
        <v>0</v>
      </c>
      <c r="E2321" s="136" t="s">
        <v>416</v>
      </c>
      <c r="F2321" s="137" t="str">
        <f t="shared" si="177"/>
        <v/>
      </c>
      <c r="G2321" s="138" t="e">
        <f>IF(A2321&lt;&gt;"",IF(AND(#REF!="Padrão",$H$4=#REF!),BDI!$B$17,IF(AND(#REF!="Padrão",$H$4=#REF!),BDI!#REF!,IF(AND(#REF!="Diferenciado",$H$4=#REF!),BDI!$E$17,IF(AND(#REF!="Diferenciado",$H$4=#REF!),BDI!#REF!,IF(#REF!="ZERO",0))))),"")</f>
        <v>#REF!</v>
      </c>
      <c r="H2321" s="139" t="str">
        <f t="shared" si="178"/>
        <v/>
      </c>
      <c r="I2321" s="137" t="str">
        <f t="shared" si="179"/>
        <v/>
      </c>
      <c r="J2321" s="117"/>
      <c r="K2321" s="116">
        <v>0</v>
      </c>
      <c r="M2321" s="136" t="s">
        <v>416</v>
      </c>
      <c r="N2321" t="e">
        <v>#REF!</v>
      </c>
      <c r="Q2321" t="s">
        <v>416</v>
      </c>
    </row>
    <row r="2322" spans="1:17" hidden="1" x14ac:dyDescent="0.25">
      <c r="A2322" s="114" t="s">
        <v>5106</v>
      </c>
      <c r="B2322" s="115" t="s">
        <v>3896</v>
      </c>
      <c r="C2322" s="116" t="s">
        <v>16</v>
      </c>
      <c r="D2322" s="116">
        <v>0</v>
      </c>
      <c r="E2322" s="136" t="s">
        <v>416</v>
      </c>
      <c r="F2322" s="137" t="str">
        <f t="shared" si="177"/>
        <v/>
      </c>
      <c r="G2322" s="138" t="e">
        <f>IF(A2322&lt;&gt;"",IF(AND(#REF!="Padrão",$H$4=#REF!),BDI!$B$17,IF(AND(#REF!="Padrão",$H$4=#REF!),BDI!#REF!,IF(AND(#REF!="Diferenciado",$H$4=#REF!),BDI!$E$17,IF(AND(#REF!="Diferenciado",$H$4=#REF!),BDI!#REF!,IF(#REF!="ZERO",0))))),"")</f>
        <v>#REF!</v>
      </c>
      <c r="H2322" s="139" t="str">
        <f t="shared" si="178"/>
        <v/>
      </c>
      <c r="I2322" s="137" t="str">
        <f t="shared" si="179"/>
        <v/>
      </c>
      <c r="J2322" s="117"/>
      <c r="K2322" s="116">
        <v>0</v>
      </c>
      <c r="M2322" s="136" t="s">
        <v>416</v>
      </c>
      <c r="N2322" t="e">
        <v>#REF!</v>
      </c>
      <c r="Q2322" t="s">
        <v>416</v>
      </c>
    </row>
    <row r="2323" spans="1:17" hidden="1" x14ac:dyDescent="0.25">
      <c r="A2323" s="114" t="s">
        <v>5107</v>
      </c>
      <c r="B2323" s="115" t="s">
        <v>3897</v>
      </c>
      <c r="C2323" s="116" t="s">
        <v>16</v>
      </c>
      <c r="D2323" s="116">
        <v>0</v>
      </c>
      <c r="E2323" s="136" t="s">
        <v>416</v>
      </c>
      <c r="F2323" s="137" t="str">
        <f t="shared" si="177"/>
        <v/>
      </c>
      <c r="G2323" s="138" t="e">
        <f>IF(A2323&lt;&gt;"",IF(AND(#REF!="Padrão",$H$4=#REF!),BDI!$B$17,IF(AND(#REF!="Padrão",$H$4=#REF!),BDI!#REF!,IF(AND(#REF!="Diferenciado",$H$4=#REF!),BDI!$E$17,IF(AND(#REF!="Diferenciado",$H$4=#REF!),BDI!#REF!,IF(#REF!="ZERO",0))))),"")</f>
        <v>#REF!</v>
      </c>
      <c r="H2323" s="139" t="str">
        <f t="shared" si="178"/>
        <v/>
      </c>
      <c r="I2323" s="137" t="str">
        <f t="shared" si="179"/>
        <v/>
      </c>
      <c r="J2323" s="117"/>
      <c r="K2323" s="116">
        <v>0</v>
      </c>
      <c r="M2323" s="136" t="s">
        <v>416</v>
      </c>
      <c r="N2323" t="e">
        <v>#REF!</v>
      </c>
      <c r="Q2323" t="s">
        <v>416</v>
      </c>
    </row>
    <row r="2324" spans="1:17" hidden="1" x14ac:dyDescent="0.25">
      <c r="A2324" s="114" t="s">
        <v>5108</v>
      </c>
      <c r="B2324" s="115" t="s">
        <v>3898</v>
      </c>
      <c r="C2324" s="116" t="s">
        <v>16</v>
      </c>
      <c r="D2324" s="116">
        <v>0</v>
      </c>
      <c r="E2324" s="136" t="s">
        <v>416</v>
      </c>
      <c r="F2324" s="137" t="str">
        <f t="shared" si="177"/>
        <v/>
      </c>
      <c r="G2324" s="138" t="e">
        <f>IF(A2324&lt;&gt;"",IF(AND(#REF!="Padrão",$H$4=#REF!),BDI!$B$17,IF(AND(#REF!="Padrão",$H$4=#REF!),BDI!#REF!,IF(AND(#REF!="Diferenciado",$H$4=#REF!),BDI!$E$17,IF(AND(#REF!="Diferenciado",$H$4=#REF!),BDI!#REF!,IF(#REF!="ZERO",0))))),"")</f>
        <v>#REF!</v>
      </c>
      <c r="H2324" s="139" t="str">
        <f t="shared" si="178"/>
        <v/>
      </c>
      <c r="I2324" s="137" t="str">
        <f t="shared" si="179"/>
        <v/>
      </c>
      <c r="J2324" s="117"/>
      <c r="K2324" s="116">
        <v>0</v>
      </c>
      <c r="M2324" s="136" t="s">
        <v>416</v>
      </c>
      <c r="N2324" t="e">
        <v>#REF!</v>
      </c>
      <c r="Q2324" t="s">
        <v>416</v>
      </c>
    </row>
    <row r="2325" spans="1:17" hidden="1" x14ac:dyDescent="0.25">
      <c r="A2325" s="114" t="s">
        <v>5109</v>
      </c>
      <c r="B2325" s="115" t="s">
        <v>3899</v>
      </c>
      <c r="C2325" s="116" t="s">
        <v>69</v>
      </c>
      <c r="D2325" s="116">
        <v>0</v>
      </c>
      <c r="E2325" s="136" t="s">
        <v>416</v>
      </c>
      <c r="F2325" s="137" t="str">
        <f t="shared" si="177"/>
        <v/>
      </c>
      <c r="G2325" s="138" t="e">
        <f>IF(A2325&lt;&gt;"",IF(AND(#REF!="Padrão",$H$4=#REF!),BDI!$B$17,IF(AND(#REF!="Padrão",$H$4=#REF!),BDI!#REF!,IF(AND(#REF!="Diferenciado",$H$4=#REF!),BDI!$E$17,IF(AND(#REF!="Diferenciado",$H$4=#REF!),BDI!#REF!,IF(#REF!="ZERO",0))))),"")</f>
        <v>#REF!</v>
      </c>
      <c r="H2325" s="139" t="str">
        <f t="shared" si="178"/>
        <v/>
      </c>
      <c r="I2325" s="137" t="str">
        <f t="shared" si="179"/>
        <v/>
      </c>
      <c r="J2325" s="117"/>
      <c r="K2325" s="116">
        <v>0</v>
      </c>
      <c r="M2325" s="136" t="s">
        <v>416</v>
      </c>
      <c r="N2325" t="e">
        <v>#REF!</v>
      </c>
      <c r="Q2325" t="s">
        <v>416</v>
      </c>
    </row>
    <row r="2326" spans="1:17" hidden="1" x14ac:dyDescent="0.25">
      <c r="A2326" s="114" t="s">
        <v>5110</v>
      </c>
      <c r="B2326" s="115" t="s">
        <v>3900</v>
      </c>
      <c r="C2326" s="116" t="s">
        <v>16</v>
      </c>
      <c r="D2326" s="116">
        <v>0</v>
      </c>
      <c r="E2326" s="136" t="s">
        <v>416</v>
      </c>
      <c r="F2326" s="137" t="str">
        <f t="shared" si="177"/>
        <v/>
      </c>
      <c r="G2326" s="138" t="e">
        <f>IF(A2326&lt;&gt;"",IF(AND(#REF!="Padrão",$H$4=#REF!),BDI!$B$17,IF(AND(#REF!="Padrão",$H$4=#REF!),BDI!#REF!,IF(AND(#REF!="Diferenciado",$H$4=#REF!),BDI!$E$17,IF(AND(#REF!="Diferenciado",$H$4=#REF!),BDI!#REF!,IF(#REF!="ZERO",0))))),"")</f>
        <v>#REF!</v>
      </c>
      <c r="H2326" s="139" t="str">
        <f t="shared" si="178"/>
        <v/>
      </c>
      <c r="I2326" s="137" t="str">
        <f t="shared" si="179"/>
        <v/>
      </c>
      <c r="J2326" s="117"/>
      <c r="K2326" s="116">
        <v>0</v>
      </c>
      <c r="M2326" s="136" t="s">
        <v>416</v>
      </c>
      <c r="N2326" t="e">
        <v>#REF!</v>
      </c>
      <c r="Q2326" t="s">
        <v>416</v>
      </c>
    </row>
    <row r="2327" spans="1:17" hidden="1" x14ac:dyDescent="0.25">
      <c r="A2327" s="114" t="s">
        <v>5111</v>
      </c>
      <c r="B2327" s="115" t="s">
        <v>3901</v>
      </c>
      <c r="C2327" s="116" t="s">
        <v>16</v>
      </c>
      <c r="D2327" s="116">
        <v>0</v>
      </c>
      <c r="E2327" s="136" t="s">
        <v>416</v>
      </c>
      <c r="F2327" s="137" t="str">
        <f t="shared" si="177"/>
        <v/>
      </c>
      <c r="G2327" s="138" t="e">
        <f>IF(A2327&lt;&gt;"",IF(AND(#REF!="Padrão",$H$4=#REF!),BDI!$B$17,IF(AND(#REF!="Padrão",$H$4=#REF!),BDI!#REF!,IF(AND(#REF!="Diferenciado",$H$4=#REF!),BDI!$E$17,IF(AND(#REF!="Diferenciado",$H$4=#REF!),BDI!#REF!,IF(#REF!="ZERO",0))))),"")</f>
        <v>#REF!</v>
      </c>
      <c r="H2327" s="139" t="str">
        <f t="shared" si="178"/>
        <v/>
      </c>
      <c r="I2327" s="137" t="str">
        <f t="shared" si="179"/>
        <v/>
      </c>
      <c r="J2327" s="117"/>
      <c r="K2327" s="116">
        <v>0</v>
      </c>
      <c r="M2327" s="136" t="s">
        <v>416</v>
      </c>
      <c r="N2327" t="e">
        <v>#REF!</v>
      </c>
      <c r="Q2327" t="s">
        <v>416</v>
      </c>
    </row>
    <row r="2328" spans="1:17" hidden="1" x14ac:dyDescent="0.25">
      <c r="A2328" s="114" t="s">
        <v>5112</v>
      </c>
      <c r="B2328" s="115" t="s">
        <v>3902</v>
      </c>
      <c r="C2328" s="116" t="s">
        <v>16</v>
      </c>
      <c r="D2328" s="116">
        <v>0</v>
      </c>
      <c r="E2328" s="136" t="s">
        <v>416</v>
      </c>
      <c r="F2328" s="137" t="str">
        <f t="shared" si="177"/>
        <v/>
      </c>
      <c r="G2328" s="138" t="e">
        <f>IF(A2328&lt;&gt;"",IF(AND(#REF!="Padrão",$H$4=#REF!),BDI!$B$17,IF(AND(#REF!="Padrão",$H$4=#REF!),BDI!#REF!,IF(AND(#REF!="Diferenciado",$H$4=#REF!),BDI!$E$17,IF(AND(#REF!="Diferenciado",$H$4=#REF!),BDI!#REF!,IF(#REF!="ZERO",0))))),"")</f>
        <v>#REF!</v>
      </c>
      <c r="H2328" s="139" t="str">
        <f t="shared" si="178"/>
        <v/>
      </c>
      <c r="I2328" s="137" t="str">
        <f t="shared" si="179"/>
        <v/>
      </c>
      <c r="J2328" s="117"/>
      <c r="K2328" s="116">
        <v>0</v>
      </c>
      <c r="M2328" s="136" t="s">
        <v>416</v>
      </c>
      <c r="N2328" t="e">
        <v>#REF!</v>
      </c>
      <c r="Q2328" t="s">
        <v>416</v>
      </c>
    </row>
    <row r="2329" spans="1:17" hidden="1" x14ac:dyDescent="0.25">
      <c r="A2329" s="114" t="s">
        <v>5113</v>
      </c>
      <c r="B2329" s="115" t="s">
        <v>3903</v>
      </c>
      <c r="C2329" s="116" t="s">
        <v>16</v>
      </c>
      <c r="D2329" s="116">
        <v>0</v>
      </c>
      <c r="E2329" s="136" t="s">
        <v>416</v>
      </c>
      <c r="F2329" s="137" t="str">
        <f t="shared" si="177"/>
        <v/>
      </c>
      <c r="G2329" s="138" t="e">
        <f>IF(A2329&lt;&gt;"",IF(AND(#REF!="Padrão",$H$4=#REF!),BDI!$B$17,IF(AND(#REF!="Padrão",$H$4=#REF!),BDI!#REF!,IF(AND(#REF!="Diferenciado",$H$4=#REF!),BDI!$E$17,IF(AND(#REF!="Diferenciado",$H$4=#REF!),BDI!#REF!,IF(#REF!="ZERO",0))))),"")</f>
        <v>#REF!</v>
      </c>
      <c r="H2329" s="139" t="str">
        <f t="shared" si="178"/>
        <v/>
      </c>
      <c r="I2329" s="137" t="str">
        <f t="shared" si="179"/>
        <v/>
      </c>
      <c r="J2329" s="117"/>
      <c r="K2329" s="116">
        <v>0</v>
      </c>
      <c r="M2329" s="136" t="s">
        <v>416</v>
      </c>
      <c r="N2329" t="e">
        <v>#REF!</v>
      </c>
      <c r="Q2329" t="s">
        <v>416</v>
      </c>
    </row>
    <row r="2330" spans="1:17" hidden="1" x14ac:dyDescent="0.25">
      <c r="A2330" s="114" t="s">
        <v>5114</v>
      </c>
      <c r="B2330" s="115" t="s">
        <v>3904</v>
      </c>
      <c r="C2330" s="116" t="s">
        <v>16</v>
      </c>
      <c r="D2330" s="116">
        <v>0</v>
      </c>
      <c r="E2330" s="136" t="s">
        <v>416</v>
      </c>
      <c r="F2330" s="137" t="str">
        <f t="shared" si="177"/>
        <v/>
      </c>
      <c r="G2330" s="138" t="e">
        <f>IF(A2330&lt;&gt;"",IF(AND(#REF!="Padrão",$H$4=#REF!),BDI!$B$17,IF(AND(#REF!="Padrão",$H$4=#REF!),BDI!#REF!,IF(AND(#REF!="Diferenciado",$H$4=#REF!),BDI!$E$17,IF(AND(#REF!="Diferenciado",$H$4=#REF!),BDI!#REF!,IF(#REF!="ZERO",0))))),"")</f>
        <v>#REF!</v>
      </c>
      <c r="H2330" s="139" t="str">
        <f t="shared" si="178"/>
        <v/>
      </c>
      <c r="I2330" s="137" t="str">
        <f t="shared" si="179"/>
        <v/>
      </c>
      <c r="J2330" s="117"/>
      <c r="K2330" s="116">
        <v>0</v>
      </c>
      <c r="M2330" s="136" t="s">
        <v>416</v>
      </c>
      <c r="N2330" t="e">
        <v>#REF!</v>
      </c>
      <c r="Q2330" t="s">
        <v>416</v>
      </c>
    </row>
    <row r="2331" spans="1:17" hidden="1" x14ac:dyDescent="0.25">
      <c r="A2331" s="114" t="s">
        <v>5115</v>
      </c>
      <c r="B2331" s="115" t="s">
        <v>3905</v>
      </c>
      <c r="C2331" s="116" t="s">
        <v>16</v>
      </c>
      <c r="D2331" s="116">
        <v>0</v>
      </c>
      <c r="E2331" s="136" t="s">
        <v>416</v>
      </c>
      <c r="F2331" s="137" t="str">
        <f t="shared" si="177"/>
        <v/>
      </c>
      <c r="G2331" s="138" t="e">
        <f>IF(A2331&lt;&gt;"",IF(AND(#REF!="Padrão",$H$4=#REF!),BDI!$B$17,IF(AND(#REF!="Padrão",$H$4=#REF!),BDI!#REF!,IF(AND(#REF!="Diferenciado",$H$4=#REF!),BDI!$E$17,IF(AND(#REF!="Diferenciado",$H$4=#REF!),BDI!#REF!,IF(#REF!="ZERO",0))))),"")</f>
        <v>#REF!</v>
      </c>
      <c r="H2331" s="139" t="str">
        <f t="shared" si="178"/>
        <v/>
      </c>
      <c r="I2331" s="137" t="str">
        <f t="shared" si="179"/>
        <v/>
      </c>
      <c r="J2331" s="117"/>
      <c r="K2331" s="116">
        <v>0</v>
      </c>
      <c r="M2331" s="136" t="s">
        <v>416</v>
      </c>
      <c r="N2331" t="e">
        <v>#REF!</v>
      </c>
      <c r="Q2331" t="s">
        <v>416</v>
      </c>
    </row>
    <row r="2332" spans="1:17" hidden="1" x14ac:dyDescent="0.25">
      <c r="A2332" s="114" t="s">
        <v>5116</v>
      </c>
      <c r="B2332" s="115" t="s">
        <v>3906</v>
      </c>
      <c r="C2332" s="116" t="s">
        <v>16</v>
      </c>
      <c r="D2332" s="116">
        <v>0</v>
      </c>
      <c r="E2332" s="136" t="s">
        <v>416</v>
      </c>
      <c r="F2332" s="137" t="str">
        <f t="shared" si="177"/>
        <v/>
      </c>
      <c r="G2332" s="138" t="e">
        <f>IF(A2332&lt;&gt;"",IF(AND(#REF!="Padrão",$H$4=#REF!),BDI!$B$17,IF(AND(#REF!="Padrão",$H$4=#REF!),BDI!#REF!,IF(AND(#REF!="Diferenciado",$H$4=#REF!),BDI!$E$17,IF(AND(#REF!="Diferenciado",$H$4=#REF!),BDI!#REF!,IF(#REF!="ZERO",0))))),"")</f>
        <v>#REF!</v>
      </c>
      <c r="H2332" s="139" t="str">
        <f t="shared" si="178"/>
        <v/>
      </c>
      <c r="I2332" s="137" t="str">
        <f t="shared" si="179"/>
        <v/>
      </c>
      <c r="J2332" s="117"/>
      <c r="K2332" s="116">
        <v>0</v>
      </c>
      <c r="M2332" s="136" t="s">
        <v>416</v>
      </c>
      <c r="N2332" t="e">
        <v>#REF!</v>
      </c>
      <c r="Q2332" t="s">
        <v>416</v>
      </c>
    </row>
    <row r="2333" spans="1:17" hidden="1" x14ac:dyDescent="0.25">
      <c r="A2333" s="114" t="s">
        <v>5117</v>
      </c>
      <c r="B2333" s="115" t="s">
        <v>3907</v>
      </c>
      <c r="C2333" s="116" t="s">
        <v>16</v>
      </c>
      <c r="D2333" s="116">
        <v>0</v>
      </c>
      <c r="E2333" s="136">
        <f ca="1">OFFSET(INDEX(Composições!A:J,MATCH(Orçamentária!A2333,Composições!A:A,0),8),2,0)</f>
        <v>736.80100000000004</v>
      </c>
      <c r="F2333" s="137">
        <f t="shared" ca="1" si="177"/>
        <v>0</v>
      </c>
      <c r="G2333" s="138" t="e">
        <f>IF(A2333&lt;&gt;"",IF(AND(#REF!="Padrão",$H$4=#REF!),BDI!$B$17,IF(AND(#REF!="Padrão",$H$4=#REF!),BDI!#REF!,IF(AND(#REF!="Diferenciado",$H$4=#REF!),BDI!$E$17,IF(AND(#REF!="Diferenciado",$H$4=#REF!),BDI!#REF!,IF(#REF!="ZERO",0))))),"")</f>
        <v>#REF!</v>
      </c>
      <c r="H2333" s="139" t="e">
        <f t="shared" ca="1" si="178"/>
        <v>#REF!</v>
      </c>
      <c r="I2333" s="137" t="e">
        <f t="shared" ca="1" si="179"/>
        <v>#REF!</v>
      </c>
      <c r="J2333" s="117"/>
      <c r="K2333" s="116">
        <v>0</v>
      </c>
      <c r="M2333" s="136" t="e">
        <f ca="1">OFFSET(INDEX([1]Composições!I:R,MATCH([1]Orçamentária!I2333,[1]Composições!I:I,0),8),2,0)</f>
        <v>#REF!</v>
      </c>
      <c r="N2333" t="e">
        <v>#REF!</v>
      </c>
      <c r="Q2333" t="e">
        <v>#REF!</v>
      </c>
    </row>
    <row r="2334" spans="1:17" hidden="1" x14ac:dyDescent="0.25">
      <c r="A2334" s="114" t="s">
        <v>5118</v>
      </c>
      <c r="B2334" s="115" t="s">
        <v>3908</v>
      </c>
      <c r="C2334" s="116" t="s">
        <v>16</v>
      </c>
      <c r="D2334" s="116">
        <v>0</v>
      </c>
      <c r="E2334" s="136">
        <f ca="1">OFFSET(INDEX(Composições!A:J,MATCH(Orçamentária!A2334,Composições!A:A,0),8),2,0)</f>
        <v>601.29300000000001</v>
      </c>
      <c r="F2334" s="137">
        <f t="shared" ca="1" si="177"/>
        <v>0</v>
      </c>
      <c r="G2334" s="138" t="e">
        <f>IF(A2334&lt;&gt;"",IF(AND(#REF!="Padrão",$H$4=#REF!),BDI!$B$17,IF(AND(#REF!="Padrão",$H$4=#REF!),BDI!#REF!,IF(AND(#REF!="Diferenciado",$H$4=#REF!),BDI!$E$17,IF(AND(#REF!="Diferenciado",$H$4=#REF!),BDI!#REF!,IF(#REF!="ZERO",0))))),"")</f>
        <v>#REF!</v>
      </c>
      <c r="H2334" s="139" t="e">
        <f t="shared" ca="1" si="178"/>
        <v>#REF!</v>
      </c>
      <c r="I2334" s="137" t="e">
        <f t="shared" ca="1" si="179"/>
        <v>#REF!</v>
      </c>
      <c r="J2334" s="117"/>
      <c r="K2334" s="116">
        <v>0</v>
      </c>
      <c r="M2334" s="136" t="e">
        <f ca="1">OFFSET(INDEX([1]Composições!I:R,MATCH([1]Orçamentária!I2334,[1]Composições!I:I,0),8),2,0)</f>
        <v>#REF!</v>
      </c>
      <c r="N2334" t="e">
        <v>#REF!</v>
      </c>
      <c r="Q2334" t="e">
        <v>#REF!</v>
      </c>
    </row>
    <row r="2335" spans="1:17" hidden="1" x14ac:dyDescent="0.25">
      <c r="A2335" s="114" t="s">
        <v>5119</v>
      </c>
      <c r="B2335" s="115" t="s">
        <v>3909</v>
      </c>
      <c r="C2335" s="116" t="s">
        <v>16</v>
      </c>
      <c r="D2335" s="116">
        <v>0</v>
      </c>
      <c r="E2335" s="136">
        <f ca="1">OFFSET(INDEX(Composições!A:J,MATCH(Orçamentária!A2335,Composições!A:A,0),8),2,0)</f>
        <v>307.42</v>
      </c>
      <c r="F2335" s="137">
        <f t="shared" ca="1" si="177"/>
        <v>0</v>
      </c>
      <c r="G2335" s="138" t="e">
        <f>IF(A2335&lt;&gt;"",IF(AND(#REF!="Padrão",$H$4=#REF!),BDI!$B$17,IF(AND(#REF!="Padrão",$H$4=#REF!),BDI!#REF!,IF(AND(#REF!="Diferenciado",$H$4=#REF!),BDI!$E$17,IF(AND(#REF!="Diferenciado",$H$4=#REF!),BDI!#REF!,IF(#REF!="ZERO",0))))),"")</f>
        <v>#REF!</v>
      </c>
      <c r="H2335" s="139" t="e">
        <f t="shared" ca="1" si="178"/>
        <v>#REF!</v>
      </c>
      <c r="I2335" s="137" t="e">
        <f t="shared" ca="1" si="179"/>
        <v>#REF!</v>
      </c>
      <c r="J2335" s="117"/>
      <c r="K2335" s="116">
        <v>0</v>
      </c>
      <c r="M2335" s="136" t="e">
        <f ca="1">OFFSET(INDEX([1]Composições!I:R,MATCH([1]Orçamentária!I2335,[1]Composições!I:I,0),8),2,0)</f>
        <v>#REF!</v>
      </c>
      <c r="N2335" t="e">
        <v>#REF!</v>
      </c>
      <c r="Q2335" t="e">
        <v>#REF!</v>
      </c>
    </row>
    <row r="2336" spans="1:17" hidden="1" x14ac:dyDescent="0.25">
      <c r="A2336" s="114" t="s">
        <v>5120</v>
      </c>
      <c r="B2336" s="115" t="s">
        <v>3910</v>
      </c>
      <c r="C2336" s="116" t="s">
        <v>16</v>
      </c>
      <c r="D2336" s="116">
        <v>0</v>
      </c>
      <c r="E2336" s="136" t="s">
        <v>416</v>
      </c>
      <c r="F2336" s="137" t="str">
        <f t="shared" si="177"/>
        <v/>
      </c>
      <c r="G2336" s="138" t="e">
        <f>IF(A2336&lt;&gt;"",IF(AND(#REF!="Padrão",$H$4=#REF!),BDI!$B$17,IF(AND(#REF!="Padrão",$H$4=#REF!),BDI!#REF!,IF(AND(#REF!="Diferenciado",$H$4=#REF!),BDI!$E$17,IF(AND(#REF!="Diferenciado",$H$4=#REF!),BDI!#REF!,IF(#REF!="ZERO",0))))),"")</f>
        <v>#REF!</v>
      </c>
      <c r="H2336" s="139" t="str">
        <f t="shared" si="178"/>
        <v/>
      </c>
      <c r="I2336" s="137" t="str">
        <f t="shared" si="179"/>
        <v/>
      </c>
      <c r="J2336" s="117"/>
      <c r="K2336" s="116">
        <v>0</v>
      </c>
      <c r="M2336" s="136" t="s">
        <v>416</v>
      </c>
      <c r="N2336" t="e">
        <v>#REF!</v>
      </c>
      <c r="Q2336" t="s">
        <v>416</v>
      </c>
    </row>
    <row r="2337" spans="1:17" hidden="1" x14ac:dyDescent="0.25">
      <c r="A2337" s="114" t="s">
        <v>5121</v>
      </c>
      <c r="B2337" s="115" t="s">
        <v>3911</v>
      </c>
      <c r="C2337" s="116" t="s">
        <v>16</v>
      </c>
      <c r="D2337" s="116">
        <v>0</v>
      </c>
      <c r="E2337" s="136" t="s">
        <v>416</v>
      </c>
      <c r="F2337" s="137" t="str">
        <f t="shared" si="177"/>
        <v/>
      </c>
      <c r="G2337" s="138" t="e">
        <f>IF(A2337&lt;&gt;"",IF(AND(#REF!="Padrão",$H$4=#REF!),BDI!$B$17,IF(AND(#REF!="Padrão",$H$4=#REF!),BDI!#REF!,IF(AND(#REF!="Diferenciado",$H$4=#REF!),BDI!$E$17,IF(AND(#REF!="Diferenciado",$H$4=#REF!),BDI!#REF!,IF(#REF!="ZERO",0))))),"")</f>
        <v>#REF!</v>
      </c>
      <c r="H2337" s="139" t="str">
        <f t="shared" si="178"/>
        <v/>
      </c>
      <c r="I2337" s="137" t="str">
        <f t="shared" si="179"/>
        <v/>
      </c>
      <c r="J2337" s="117"/>
      <c r="K2337" s="116">
        <v>0</v>
      </c>
      <c r="M2337" s="136" t="s">
        <v>416</v>
      </c>
      <c r="N2337" t="e">
        <v>#REF!</v>
      </c>
      <c r="Q2337" t="s">
        <v>416</v>
      </c>
    </row>
    <row r="2338" spans="1:17" hidden="1" x14ac:dyDescent="0.25">
      <c r="A2338" s="114" t="s">
        <v>5122</v>
      </c>
      <c r="B2338" s="115" t="s">
        <v>3912</v>
      </c>
      <c r="C2338" s="116" t="s">
        <v>16</v>
      </c>
      <c r="D2338" s="116">
        <v>0</v>
      </c>
      <c r="E2338" s="136" t="s">
        <v>416</v>
      </c>
      <c r="F2338" s="137" t="str">
        <f t="shared" si="177"/>
        <v/>
      </c>
      <c r="G2338" s="138" t="e">
        <f>IF(A2338&lt;&gt;"",IF(AND(#REF!="Padrão",$H$4=#REF!),BDI!$B$17,IF(AND(#REF!="Padrão",$H$4=#REF!),BDI!#REF!,IF(AND(#REF!="Diferenciado",$H$4=#REF!),BDI!$E$17,IF(AND(#REF!="Diferenciado",$H$4=#REF!),BDI!#REF!,IF(#REF!="ZERO",0))))),"")</f>
        <v>#REF!</v>
      </c>
      <c r="H2338" s="139" t="str">
        <f t="shared" si="178"/>
        <v/>
      </c>
      <c r="I2338" s="137" t="str">
        <f t="shared" si="179"/>
        <v/>
      </c>
      <c r="J2338" s="117"/>
      <c r="K2338" s="116">
        <v>0</v>
      </c>
      <c r="M2338" s="136" t="s">
        <v>416</v>
      </c>
      <c r="N2338" t="e">
        <v>#REF!</v>
      </c>
      <c r="Q2338" t="s">
        <v>416</v>
      </c>
    </row>
    <row r="2339" spans="1:17" hidden="1" x14ac:dyDescent="0.25">
      <c r="A2339" s="114" t="s">
        <v>5123</v>
      </c>
      <c r="B2339" s="115" t="s">
        <v>3913</v>
      </c>
      <c r="C2339" s="116" t="s">
        <v>16</v>
      </c>
      <c r="D2339" s="116">
        <v>0</v>
      </c>
      <c r="E2339" s="136" t="s">
        <v>416</v>
      </c>
      <c r="F2339" s="137" t="str">
        <f t="shared" si="177"/>
        <v/>
      </c>
      <c r="G2339" s="138" t="e">
        <f>IF(A2339&lt;&gt;"",IF(AND(#REF!="Padrão",$H$4=#REF!),BDI!$B$17,IF(AND(#REF!="Padrão",$H$4=#REF!),BDI!#REF!,IF(AND(#REF!="Diferenciado",$H$4=#REF!),BDI!$E$17,IF(AND(#REF!="Diferenciado",$H$4=#REF!),BDI!#REF!,IF(#REF!="ZERO",0))))),"")</f>
        <v>#REF!</v>
      </c>
      <c r="H2339" s="139" t="str">
        <f t="shared" si="178"/>
        <v/>
      </c>
      <c r="I2339" s="137" t="str">
        <f t="shared" si="179"/>
        <v/>
      </c>
      <c r="J2339" s="117"/>
      <c r="K2339" s="116">
        <v>0</v>
      </c>
      <c r="M2339" s="136" t="s">
        <v>416</v>
      </c>
      <c r="N2339" t="e">
        <v>#REF!</v>
      </c>
      <c r="Q2339" t="s">
        <v>416</v>
      </c>
    </row>
    <row r="2340" spans="1:17" hidden="1" x14ac:dyDescent="0.25">
      <c r="A2340" s="114" t="s">
        <v>5124</v>
      </c>
      <c r="B2340" s="115" t="s">
        <v>3914</v>
      </c>
      <c r="C2340" s="116" t="s">
        <v>16</v>
      </c>
      <c r="D2340" s="116">
        <v>0</v>
      </c>
      <c r="E2340" s="136" t="s">
        <v>416</v>
      </c>
      <c r="F2340" s="137" t="str">
        <f t="shared" si="177"/>
        <v/>
      </c>
      <c r="G2340" s="138" t="e">
        <f>IF(A2340&lt;&gt;"",IF(AND(#REF!="Padrão",$H$4=#REF!),BDI!$B$17,IF(AND(#REF!="Padrão",$H$4=#REF!),BDI!#REF!,IF(AND(#REF!="Diferenciado",$H$4=#REF!),BDI!$E$17,IF(AND(#REF!="Diferenciado",$H$4=#REF!),BDI!#REF!,IF(#REF!="ZERO",0))))),"")</f>
        <v>#REF!</v>
      </c>
      <c r="H2340" s="139" t="str">
        <f t="shared" si="178"/>
        <v/>
      </c>
      <c r="I2340" s="137" t="str">
        <f t="shared" si="179"/>
        <v/>
      </c>
      <c r="J2340" s="117"/>
      <c r="K2340" s="116">
        <v>0</v>
      </c>
      <c r="M2340" s="136" t="s">
        <v>416</v>
      </c>
      <c r="N2340" t="e">
        <v>#REF!</v>
      </c>
      <c r="Q2340" t="s">
        <v>416</v>
      </c>
    </row>
    <row r="2341" spans="1:17" hidden="1" x14ac:dyDescent="0.25">
      <c r="A2341" s="114" t="s">
        <v>5125</v>
      </c>
      <c r="B2341" s="115" t="s">
        <v>3915</v>
      </c>
      <c r="C2341" s="116" t="s">
        <v>16</v>
      </c>
      <c r="D2341" s="116">
        <v>0</v>
      </c>
      <c r="E2341" s="136" t="s">
        <v>416</v>
      </c>
      <c r="F2341" s="137" t="str">
        <f t="shared" si="177"/>
        <v/>
      </c>
      <c r="G2341" s="138" t="e">
        <f>IF(A2341&lt;&gt;"",IF(AND(#REF!="Padrão",$H$4=#REF!),BDI!$B$17,IF(AND(#REF!="Padrão",$H$4=#REF!),BDI!#REF!,IF(AND(#REF!="Diferenciado",$H$4=#REF!),BDI!$E$17,IF(AND(#REF!="Diferenciado",$H$4=#REF!),BDI!#REF!,IF(#REF!="ZERO",0))))),"")</f>
        <v>#REF!</v>
      </c>
      <c r="H2341" s="139" t="str">
        <f t="shared" si="178"/>
        <v/>
      </c>
      <c r="I2341" s="137" t="str">
        <f t="shared" si="179"/>
        <v/>
      </c>
      <c r="J2341" s="117"/>
      <c r="K2341" s="116">
        <v>0</v>
      </c>
      <c r="M2341" s="136" t="s">
        <v>416</v>
      </c>
      <c r="N2341" t="e">
        <v>#REF!</v>
      </c>
      <c r="Q2341" t="s">
        <v>416</v>
      </c>
    </row>
    <row r="2342" spans="1:17" hidden="1" x14ac:dyDescent="0.25">
      <c r="A2342" s="114" t="s">
        <v>5126</v>
      </c>
      <c r="B2342" s="115" t="s">
        <v>3916</v>
      </c>
      <c r="C2342" s="116" t="s">
        <v>16</v>
      </c>
      <c r="D2342" s="116">
        <v>0</v>
      </c>
      <c r="E2342" s="136" t="s">
        <v>416</v>
      </c>
      <c r="F2342" s="137" t="str">
        <f t="shared" si="177"/>
        <v/>
      </c>
      <c r="G2342" s="138" t="e">
        <f>IF(A2342&lt;&gt;"",IF(AND(#REF!="Padrão",$H$4=#REF!),BDI!$B$17,IF(AND(#REF!="Padrão",$H$4=#REF!),BDI!#REF!,IF(AND(#REF!="Diferenciado",$H$4=#REF!),BDI!$E$17,IF(AND(#REF!="Diferenciado",$H$4=#REF!),BDI!#REF!,IF(#REF!="ZERO",0))))),"")</f>
        <v>#REF!</v>
      </c>
      <c r="H2342" s="139" t="str">
        <f t="shared" si="178"/>
        <v/>
      </c>
      <c r="I2342" s="137" t="str">
        <f t="shared" si="179"/>
        <v/>
      </c>
      <c r="J2342" s="117"/>
      <c r="K2342" s="116">
        <v>0</v>
      </c>
      <c r="M2342" s="136" t="s">
        <v>416</v>
      </c>
      <c r="N2342" t="e">
        <v>#REF!</v>
      </c>
      <c r="Q2342" t="s">
        <v>416</v>
      </c>
    </row>
    <row r="2343" spans="1:17" hidden="1" x14ac:dyDescent="0.25">
      <c r="A2343" s="114" t="s">
        <v>5127</v>
      </c>
      <c r="B2343" s="115" t="s">
        <v>3917</v>
      </c>
      <c r="C2343" s="116" t="s">
        <v>16</v>
      </c>
      <c r="D2343" s="116">
        <v>0</v>
      </c>
      <c r="E2343" s="136" t="s">
        <v>416</v>
      </c>
      <c r="F2343" s="137" t="str">
        <f t="shared" si="177"/>
        <v/>
      </c>
      <c r="G2343" s="138" t="e">
        <f>IF(A2343&lt;&gt;"",IF(AND(#REF!="Padrão",$H$4=#REF!),BDI!$B$17,IF(AND(#REF!="Padrão",$H$4=#REF!),BDI!#REF!,IF(AND(#REF!="Diferenciado",$H$4=#REF!),BDI!$E$17,IF(AND(#REF!="Diferenciado",$H$4=#REF!),BDI!#REF!,IF(#REF!="ZERO",0))))),"")</f>
        <v>#REF!</v>
      </c>
      <c r="H2343" s="139" t="str">
        <f t="shared" si="178"/>
        <v/>
      </c>
      <c r="I2343" s="137" t="str">
        <f t="shared" si="179"/>
        <v/>
      </c>
      <c r="J2343" s="117"/>
      <c r="K2343" s="116">
        <v>0</v>
      </c>
      <c r="M2343" s="136" t="s">
        <v>416</v>
      </c>
      <c r="N2343" t="e">
        <v>#REF!</v>
      </c>
      <c r="Q2343" t="s">
        <v>416</v>
      </c>
    </row>
    <row r="2344" spans="1:17" hidden="1" x14ac:dyDescent="0.25">
      <c r="A2344" s="114" t="s">
        <v>5128</v>
      </c>
      <c r="B2344" s="115" t="s">
        <v>3918</v>
      </c>
      <c r="C2344" s="116" t="s">
        <v>16</v>
      </c>
      <c r="D2344" s="116">
        <v>0</v>
      </c>
      <c r="E2344" s="136" t="s">
        <v>416</v>
      </c>
      <c r="F2344" s="137" t="str">
        <f t="shared" si="177"/>
        <v/>
      </c>
      <c r="G2344" s="138" t="e">
        <f>IF(A2344&lt;&gt;"",IF(AND(#REF!="Padrão",$H$4=#REF!),BDI!$B$17,IF(AND(#REF!="Padrão",$H$4=#REF!),BDI!#REF!,IF(AND(#REF!="Diferenciado",$H$4=#REF!),BDI!$E$17,IF(AND(#REF!="Diferenciado",$H$4=#REF!),BDI!#REF!,IF(#REF!="ZERO",0))))),"")</f>
        <v>#REF!</v>
      </c>
      <c r="H2344" s="139" t="str">
        <f t="shared" si="178"/>
        <v/>
      </c>
      <c r="I2344" s="137" t="str">
        <f t="shared" si="179"/>
        <v/>
      </c>
      <c r="J2344" s="117"/>
      <c r="K2344" s="116">
        <v>0</v>
      </c>
      <c r="M2344" s="136" t="s">
        <v>416</v>
      </c>
      <c r="N2344" t="e">
        <v>#REF!</v>
      </c>
      <c r="Q2344" t="s">
        <v>416</v>
      </c>
    </row>
    <row r="2345" spans="1:17" hidden="1" x14ac:dyDescent="0.25">
      <c r="A2345" s="114" t="s">
        <v>5129</v>
      </c>
      <c r="B2345" s="115" t="s">
        <v>3919</v>
      </c>
      <c r="C2345" s="116" t="s">
        <v>16</v>
      </c>
      <c r="D2345" s="116">
        <v>0</v>
      </c>
      <c r="E2345" s="136" t="s">
        <v>416</v>
      </c>
      <c r="F2345" s="137" t="str">
        <f t="shared" si="177"/>
        <v/>
      </c>
      <c r="G2345" s="138" t="e">
        <f>IF(A2345&lt;&gt;"",IF(AND(#REF!="Padrão",$H$4=#REF!),BDI!$B$17,IF(AND(#REF!="Padrão",$H$4=#REF!),BDI!#REF!,IF(AND(#REF!="Diferenciado",$H$4=#REF!),BDI!$E$17,IF(AND(#REF!="Diferenciado",$H$4=#REF!),BDI!#REF!,IF(#REF!="ZERO",0))))),"")</f>
        <v>#REF!</v>
      </c>
      <c r="H2345" s="139" t="str">
        <f t="shared" si="178"/>
        <v/>
      </c>
      <c r="I2345" s="137" t="str">
        <f t="shared" si="179"/>
        <v/>
      </c>
      <c r="J2345" s="117"/>
      <c r="K2345" s="116">
        <v>0</v>
      </c>
      <c r="M2345" s="136" t="s">
        <v>416</v>
      </c>
      <c r="N2345" t="e">
        <v>#REF!</v>
      </c>
      <c r="Q2345" t="s">
        <v>416</v>
      </c>
    </row>
    <row r="2346" spans="1:17" hidden="1" x14ac:dyDescent="0.25">
      <c r="A2346" s="114" t="s">
        <v>5130</v>
      </c>
      <c r="B2346" s="115" t="s">
        <v>3920</v>
      </c>
      <c r="C2346" s="116" t="s">
        <v>16</v>
      </c>
      <c r="D2346" s="116">
        <v>0</v>
      </c>
      <c r="E2346" s="136" t="s">
        <v>416</v>
      </c>
      <c r="F2346" s="137" t="str">
        <f t="shared" si="177"/>
        <v/>
      </c>
      <c r="G2346" s="138" t="e">
        <f>IF(A2346&lt;&gt;"",IF(AND(#REF!="Padrão",$H$4=#REF!),BDI!$B$17,IF(AND(#REF!="Padrão",$H$4=#REF!),BDI!#REF!,IF(AND(#REF!="Diferenciado",$H$4=#REF!),BDI!$E$17,IF(AND(#REF!="Diferenciado",$H$4=#REF!),BDI!#REF!,IF(#REF!="ZERO",0))))),"")</f>
        <v>#REF!</v>
      </c>
      <c r="H2346" s="139" t="str">
        <f t="shared" si="178"/>
        <v/>
      </c>
      <c r="I2346" s="137" t="str">
        <f t="shared" si="179"/>
        <v/>
      </c>
      <c r="J2346" s="117"/>
      <c r="K2346" s="116">
        <v>0</v>
      </c>
      <c r="M2346" s="136" t="s">
        <v>416</v>
      </c>
      <c r="N2346" t="e">
        <v>#REF!</v>
      </c>
      <c r="Q2346" t="s">
        <v>416</v>
      </c>
    </row>
    <row r="2347" spans="1:17" hidden="1" x14ac:dyDescent="0.25">
      <c r="A2347" s="114" t="s">
        <v>5131</v>
      </c>
      <c r="B2347" s="115" t="s">
        <v>3921</v>
      </c>
      <c r="C2347" s="116" t="s">
        <v>16</v>
      </c>
      <c r="D2347" s="116">
        <v>0</v>
      </c>
      <c r="E2347" s="136" t="s">
        <v>416</v>
      </c>
      <c r="F2347" s="137" t="str">
        <f t="shared" si="177"/>
        <v/>
      </c>
      <c r="G2347" s="138" t="e">
        <f>IF(A2347&lt;&gt;"",IF(AND(#REF!="Padrão",$H$4=#REF!),BDI!$B$17,IF(AND(#REF!="Padrão",$H$4=#REF!),BDI!#REF!,IF(AND(#REF!="Diferenciado",$H$4=#REF!),BDI!$E$17,IF(AND(#REF!="Diferenciado",$H$4=#REF!),BDI!#REF!,IF(#REF!="ZERO",0))))),"")</f>
        <v>#REF!</v>
      </c>
      <c r="H2347" s="139" t="str">
        <f t="shared" si="178"/>
        <v/>
      </c>
      <c r="I2347" s="137" t="str">
        <f t="shared" si="179"/>
        <v/>
      </c>
      <c r="J2347" s="117"/>
      <c r="K2347" s="116">
        <v>0</v>
      </c>
      <c r="M2347" s="136" t="s">
        <v>416</v>
      </c>
      <c r="N2347" t="e">
        <v>#REF!</v>
      </c>
      <c r="Q2347" t="s">
        <v>416</v>
      </c>
    </row>
    <row r="2348" spans="1:17" hidden="1" x14ac:dyDescent="0.25">
      <c r="A2348" s="114" t="s">
        <v>5132</v>
      </c>
      <c r="B2348" s="115" t="s">
        <v>3922</v>
      </c>
      <c r="C2348" s="116" t="s">
        <v>16</v>
      </c>
      <c r="D2348" s="116">
        <v>0</v>
      </c>
      <c r="E2348" s="136" t="s">
        <v>416</v>
      </c>
      <c r="F2348" s="137" t="str">
        <f t="shared" si="177"/>
        <v/>
      </c>
      <c r="G2348" s="138" t="e">
        <f>IF(A2348&lt;&gt;"",IF(AND(#REF!="Padrão",$H$4=#REF!),BDI!$B$17,IF(AND(#REF!="Padrão",$H$4=#REF!),BDI!#REF!,IF(AND(#REF!="Diferenciado",$H$4=#REF!),BDI!$E$17,IF(AND(#REF!="Diferenciado",$H$4=#REF!),BDI!#REF!,IF(#REF!="ZERO",0))))),"")</f>
        <v>#REF!</v>
      </c>
      <c r="H2348" s="139" t="str">
        <f t="shared" si="178"/>
        <v/>
      </c>
      <c r="I2348" s="137" t="str">
        <f t="shared" si="179"/>
        <v/>
      </c>
      <c r="J2348" s="117"/>
      <c r="K2348" s="116">
        <v>0</v>
      </c>
      <c r="M2348" s="136" t="s">
        <v>416</v>
      </c>
      <c r="N2348" t="e">
        <v>#REF!</v>
      </c>
      <c r="Q2348" t="s">
        <v>416</v>
      </c>
    </row>
    <row r="2349" spans="1:17" hidden="1" x14ac:dyDescent="0.25">
      <c r="A2349" s="114" t="s">
        <v>5133</v>
      </c>
      <c r="B2349" s="115" t="s">
        <v>3923</v>
      </c>
      <c r="C2349" s="116" t="s">
        <v>16</v>
      </c>
      <c r="D2349" s="116">
        <v>0</v>
      </c>
      <c r="E2349" s="136" t="s">
        <v>416</v>
      </c>
      <c r="F2349" s="137" t="str">
        <f t="shared" ref="F2349:F2412" si="180">IF(ISNUMBER(E2349),D2349*E2349,"")</f>
        <v/>
      </c>
      <c r="G2349" s="138" t="e">
        <f>IF(A2349&lt;&gt;"",IF(AND(#REF!="Padrão",$H$4=#REF!),BDI!$B$17,IF(AND(#REF!="Padrão",$H$4=#REF!),BDI!#REF!,IF(AND(#REF!="Diferenciado",$H$4=#REF!),BDI!$E$17,IF(AND(#REF!="Diferenciado",$H$4=#REF!),BDI!#REF!,IF(#REF!="ZERO",0))))),"")</f>
        <v>#REF!</v>
      </c>
      <c r="H2349" s="139" t="str">
        <f t="shared" ref="H2349:H2412" si="181">IF(ISNUMBER(E2349),ROUND(E2349*(1+G2349),2),"")</f>
        <v/>
      </c>
      <c r="I2349" s="137" t="str">
        <f t="shared" ref="I2349:I2412" si="182">IF(ISNUMBER(E2349),ROUND(H2349*D2349,2),"")</f>
        <v/>
      </c>
      <c r="J2349" s="117"/>
      <c r="K2349" s="116">
        <v>0</v>
      </c>
      <c r="M2349" s="136" t="s">
        <v>416</v>
      </c>
      <c r="N2349" t="e">
        <v>#REF!</v>
      </c>
      <c r="Q2349" t="s">
        <v>416</v>
      </c>
    </row>
    <row r="2350" spans="1:17" hidden="1" x14ac:dyDescent="0.25">
      <c r="A2350" s="114" t="s">
        <v>5134</v>
      </c>
      <c r="B2350" s="115" t="s">
        <v>3924</v>
      </c>
      <c r="C2350" s="116" t="s">
        <v>16</v>
      </c>
      <c r="D2350" s="116">
        <v>0</v>
      </c>
      <c r="E2350" s="136" t="s">
        <v>416</v>
      </c>
      <c r="F2350" s="137" t="str">
        <f t="shared" si="180"/>
        <v/>
      </c>
      <c r="G2350" s="138" t="e">
        <f>IF(A2350&lt;&gt;"",IF(AND(#REF!="Padrão",$H$4=#REF!),BDI!$B$17,IF(AND(#REF!="Padrão",$H$4=#REF!),BDI!#REF!,IF(AND(#REF!="Diferenciado",$H$4=#REF!),BDI!$E$17,IF(AND(#REF!="Diferenciado",$H$4=#REF!),BDI!#REF!,IF(#REF!="ZERO",0))))),"")</f>
        <v>#REF!</v>
      </c>
      <c r="H2350" s="139" t="str">
        <f t="shared" si="181"/>
        <v/>
      </c>
      <c r="I2350" s="137" t="str">
        <f t="shared" si="182"/>
        <v/>
      </c>
      <c r="J2350" s="117"/>
      <c r="K2350" s="116">
        <v>0</v>
      </c>
      <c r="M2350" s="136" t="s">
        <v>416</v>
      </c>
      <c r="N2350" t="e">
        <v>#REF!</v>
      </c>
      <c r="Q2350" t="s">
        <v>416</v>
      </c>
    </row>
    <row r="2351" spans="1:17" hidden="1" x14ac:dyDescent="0.25">
      <c r="A2351" s="114" t="s">
        <v>5135</v>
      </c>
      <c r="B2351" s="115" t="s">
        <v>3925</v>
      </c>
      <c r="C2351" s="116" t="s">
        <v>16</v>
      </c>
      <c r="D2351" s="116">
        <v>0</v>
      </c>
      <c r="E2351" s="136" t="s">
        <v>416</v>
      </c>
      <c r="F2351" s="137" t="str">
        <f t="shared" si="180"/>
        <v/>
      </c>
      <c r="G2351" s="138" t="e">
        <f>IF(A2351&lt;&gt;"",IF(AND(#REF!="Padrão",$H$4=#REF!),BDI!$B$17,IF(AND(#REF!="Padrão",$H$4=#REF!),BDI!#REF!,IF(AND(#REF!="Diferenciado",$H$4=#REF!),BDI!$E$17,IF(AND(#REF!="Diferenciado",$H$4=#REF!),BDI!#REF!,IF(#REF!="ZERO",0))))),"")</f>
        <v>#REF!</v>
      </c>
      <c r="H2351" s="139" t="str">
        <f t="shared" si="181"/>
        <v/>
      </c>
      <c r="I2351" s="137" t="str">
        <f t="shared" si="182"/>
        <v/>
      </c>
      <c r="J2351" s="117"/>
      <c r="K2351" s="116">
        <v>0</v>
      </c>
      <c r="M2351" s="136" t="s">
        <v>416</v>
      </c>
      <c r="N2351" t="e">
        <v>#REF!</v>
      </c>
      <c r="Q2351" t="s">
        <v>416</v>
      </c>
    </row>
    <row r="2352" spans="1:17" hidden="1" x14ac:dyDescent="0.25">
      <c r="A2352" s="114" t="s">
        <v>5136</v>
      </c>
      <c r="B2352" s="115" t="s">
        <v>3926</v>
      </c>
      <c r="C2352" s="116" t="s">
        <v>16</v>
      </c>
      <c r="D2352" s="116">
        <v>0</v>
      </c>
      <c r="E2352" s="136" t="s">
        <v>416</v>
      </c>
      <c r="F2352" s="137" t="str">
        <f t="shared" si="180"/>
        <v/>
      </c>
      <c r="G2352" s="138" t="e">
        <f>IF(A2352&lt;&gt;"",IF(AND(#REF!="Padrão",$H$4=#REF!),BDI!$B$17,IF(AND(#REF!="Padrão",$H$4=#REF!),BDI!#REF!,IF(AND(#REF!="Diferenciado",$H$4=#REF!),BDI!$E$17,IF(AND(#REF!="Diferenciado",$H$4=#REF!),BDI!#REF!,IF(#REF!="ZERO",0))))),"")</f>
        <v>#REF!</v>
      </c>
      <c r="H2352" s="139" t="str">
        <f t="shared" si="181"/>
        <v/>
      </c>
      <c r="I2352" s="137" t="str">
        <f t="shared" si="182"/>
        <v/>
      </c>
      <c r="J2352" s="117"/>
      <c r="K2352" s="116">
        <v>0</v>
      </c>
      <c r="M2352" s="136" t="s">
        <v>416</v>
      </c>
      <c r="N2352" t="e">
        <v>#REF!</v>
      </c>
      <c r="Q2352" t="s">
        <v>416</v>
      </c>
    </row>
    <row r="2353" spans="1:17" hidden="1" x14ac:dyDescent="0.25">
      <c r="A2353" s="114" t="s">
        <v>5137</v>
      </c>
      <c r="B2353" s="115" t="s">
        <v>3927</v>
      </c>
      <c r="C2353" s="116" t="s">
        <v>16</v>
      </c>
      <c r="D2353" s="116">
        <v>0</v>
      </c>
      <c r="E2353" s="136" t="s">
        <v>416</v>
      </c>
      <c r="F2353" s="137" t="str">
        <f t="shared" si="180"/>
        <v/>
      </c>
      <c r="G2353" s="138" t="e">
        <f>IF(A2353&lt;&gt;"",IF(AND(#REF!="Padrão",$H$4=#REF!),BDI!$B$17,IF(AND(#REF!="Padrão",$H$4=#REF!),BDI!#REF!,IF(AND(#REF!="Diferenciado",$H$4=#REF!),BDI!$E$17,IF(AND(#REF!="Diferenciado",$H$4=#REF!),BDI!#REF!,IF(#REF!="ZERO",0))))),"")</f>
        <v>#REF!</v>
      </c>
      <c r="H2353" s="139" t="str">
        <f t="shared" si="181"/>
        <v/>
      </c>
      <c r="I2353" s="137" t="str">
        <f t="shared" si="182"/>
        <v/>
      </c>
      <c r="J2353" s="117"/>
      <c r="K2353" s="116">
        <v>0</v>
      </c>
      <c r="M2353" s="136" t="s">
        <v>416</v>
      </c>
      <c r="N2353" t="e">
        <v>#REF!</v>
      </c>
      <c r="Q2353" t="s">
        <v>416</v>
      </c>
    </row>
    <row r="2354" spans="1:17" hidden="1" x14ac:dyDescent="0.25">
      <c r="A2354" s="114" t="s">
        <v>5138</v>
      </c>
      <c r="B2354" s="115" t="s">
        <v>3928</v>
      </c>
      <c r="C2354" s="116" t="s">
        <v>16</v>
      </c>
      <c r="D2354" s="116">
        <v>0</v>
      </c>
      <c r="E2354" s="136" t="s">
        <v>416</v>
      </c>
      <c r="F2354" s="137" t="str">
        <f t="shared" si="180"/>
        <v/>
      </c>
      <c r="G2354" s="138" t="e">
        <f>IF(A2354&lt;&gt;"",IF(AND(#REF!="Padrão",$H$4=#REF!),BDI!$B$17,IF(AND(#REF!="Padrão",$H$4=#REF!),BDI!#REF!,IF(AND(#REF!="Diferenciado",$H$4=#REF!),BDI!$E$17,IF(AND(#REF!="Diferenciado",$H$4=#REF!),BDI!#REF!,IF(#REF!="ZERO",0))))),"")</f>
        <v>#REF!</v>
      </c>
      <c r="H2354" s="139" t="str">
        <f t="shared" si="181"/>
        <v/>
      </c>
      <c r="I2354" s="137" t="str">
        <f t="shared" si="182"/>
        <v/>
      </c>
      <c r="J2354" s="117"/>
      <c r="K2354" s="116">
        <v>0</v>
      </c>
      <c r="M2354" s="136" t="s">
        <v>416</v>
      </c>
      <c r="N2354" t="e">
        <v>#REF!</v>
      </c>
      <c r="Q2354" t="s">
        <v>416</v>
      </c>
    </row>
    <row r="2355" spans="1:17" hidden="1" x14ac:dyDescent="0.25">
      <c r="A2355" s="114" t="s">
        <v>5139</v>
      </c>
      <c r="B2355" s="115" t="s">
        <v>3929</v>
      </c>
      <c r="C2355" s="116" t="s">
        <v>16</v>
      </c>
      <c r="D2355" s="116">
        <v>0</v>
      </c>
      <c r="E2355" s="136" t="s">
        <v>416</v>
      </c>
      <c r="F2355" s="137" t="str">
        <f t="shared" si="180"/>
        <v/>
      </c>
      <c r="G2355" s="138" t="e">
        <f>IF(A2355&lt;&gt;"",IF(AND(#REF!="Padrão",$H$4=#REF!),BDI!$B$17,IF(AND(#REF!="Padrão",$H$4=#REF!),BDI!#REF!,IF(AND(#REF!="Diferenciado",$H$4=#REF!),BDI!$E$17,IF(AND(#REF!="Diferenciado",$H$4=#REF!),BDI!#REF!,IF(#REF!="ZERO",0))))),"")</f>
        <v>#REF!</v>
      </c>
      <c r="H2355" s="139" t="str">
        <f t="shared" si="181"/>
        <v/>
      </c>
      <c r="I2355" s="137" t="str">
        <f t="shared" si="182"/>
        <v/>
      </c>
      <c r="J2355" s="117"/>
      <c r="K2355" s="116">
        <v>0</v>
      </c>
      <c r="M2355" s="136" t="s">
        <v>416</v>
      </c>
      <c r="N2355" t="e">
        <v>#REF!</v>
      </c>
      <c r="Q2355" t="s">
        <v>416</v>
      </c>
    </row>
    <row r="2356" spans="1:17" hidden="1" x14ac:dyDescent="0.25">
      <c r="A2356" s="114" t="s">
        <v>5140</v>
      </c>
      <c r="B2356" s="115" t="s">
        <v>3930</v>
      </c>
      <c r="C2356" s="116" t="s">
        <v>16</v>
      </c>
      <c r="D2356" s="116">
        <v>0</v>
      </c>
      <c r="E2356" s="136" t="s">
        <v>416</v>
      </c>
      <c r="F2356" s="137" t="str">
        <f t="shared" si="180"/>
        <v/>
      </c>
      <c r="G2356" s="138" t="e">
        <f>IF(A2356&lt;&gt;"",IF(AND(#REF!="Padrão",$H$4=#REF!),BDI!$B$17,IF(AND(#REF!="Padrão",$H$4=#REF!),BDI!#REF!,IF(AND(#REF!="Diferenciado",$H$4=#REF!),BDI!$E$17,IF(AND(#REF!="Diferenciado",$H$4=#REF!),BDI!#REF!,IF(#REF!="ZERO",0))))),"")</f>
        <v>#REF!</v>
      </c>
      <c r="H2356" s="139" t="str">
        <f t="shared" si="181"/>
        <v/>
      </c>
      <c r="I2356" s="137" t="str">
        <f t="shared" si="182"/>
        <v/>
      </c>
      <c r="J2356" s="117"/>
      <c r="K2356" s="116">
        <v>0</v>
      </c>
      <c r="M2356" s="136" t="s">
        <v>416</v>
      </c>
      <c r="N2356" t="e">
        <v>#REF!</v>
      </c>
      <c r="Q2356" t="s">
        <v>416</v>
      </c>
    </row>
    <row r="2357" spans="1:17" hidden="1" x14ac:dyDescent="0.25">
      <c r="A2357" s="114" t="s">
        <v>5141</v>
      </c>
      <c r="B2357" s="115" t="s">
        <v>3931</v>
      </c>
      <c r="C2357" s="116" t="s">
        <v>16</v>
      </c>
      <c r="D2357" s="116">
        <v>0</v>
      </c>
      <c r="E2357" s="136" t="s">
        <v>416</v>
      </c>
      <c r="F2357" s="137" t="str">
        <f t="shared" si="180"/>
        <v/>
      </c>
      <c r="G2357" s="138" t="e">
        <f>IF(A2357&lt;&gt;"",IF(AND(#REF!="Padrão",$H$4=#REF!),BDI!$B$17,IF(AND(#REF!="Padrão",$H$4=#REF!),BDI!#REF!,IF(AND(#REF!="Diferenciado",$H$4=#REF!),BDI!$E$17,IF(AND(#REF!="Diferenciado",$H$4=#REF!),BDI!#REF!,IF(#REF!="ZERO",0))))),"")</f>
        <v>#REF!</v>
      </c>
      <c r="H2357" s="139" t="str">
        <f t="shared" si="181"/>
        <v/>
      </c>
      <c r="I2357" s="137" t="str">
        <f t="shared" si="182"/>
        <v/>
      </c>
      <c r="J2357" s="117"/>
      <c r="K2357" s="116">
        <v>0</v>
      </c>
      <c r="M2357" s="136" t="s">
        <v>416</v>
      </c>
      <c r="N2357" t="e">
        <v>#REF!</v>
      </c>
      <c r="Q2357" t="s">
        <v>416</v>
      </c>
    </row>
    <row r="2358" spans="1:17" hidden="1" x14ac:dyDescent="0.25">
      <c r="A2358" s="114" t="s">
        <v>5142</v>
      </c>
      <c r="B2358" s="115" t="s">
        <v>3932</v>
      </c>
      <c r="C2358" s="116" t="s">
        <v>16</v>
      </c>
      <c r="D2358" s="116">
        <v>0</v>
      </c>
      <c r="E2358" s="136" t="s">
        <v>416</v>
      </c>
      <c r="F2358" s="137" t="str">
        <f t="shared" si="180"/>
        <v/>
      </c>
      <c r="G2358" s="138" t="e">
        <f>IF(A2358&lt;&gt;"",IF(AND(#REF!="Padrão",$H$4=#REF!),BDI!$B$17,IF(AND(#REF!="Padrão",$H$4=#REF!),BDI!#REF!,IF(AND(#REF!="Diferenciado",$H$4=#REF!),BDI!$E$17,IF(AND(#REF!="Diferenciado",$H$4=#REF!),BDI!#REF!,IF(#REF!="ZERO",0))))),"")</f>
        <v>#REF!</v>
      </c>
      <c r="H2358" s="139" t="str">
        <f t="shared" si="181"/>
        <v/>
      </c>
      <c r="I2358" s="137" t="str">
        <f t="shared" si="182"/>
        <v/>
      </c>
      <c r="J2358" s="117"/>
      <c r="K2358" s="116">
        <v>0</v>
      </c>
      <c r="M2358" s="136" t="s">
        <v>416</v>
      </c>
      <c r="N2358" t="e">
        <v>#REF!</v>
      </c>
      <c r="Q2358" t="s">
        <v>416</v>
      </c>
    </row>
    <row r="2359" spans="1:17" hidden="1" x14ac:dyDescent="0.25">
      <c r="A2359" s="114" t="s">
        <v>5143</v>
      </c>
      <c r="B2359" s="115" t="s">
        <v>3933</v>
      </c>
      <c r="C2359" s="116" t="s">
        <v>16</v>
      </c>
      <c r="D2359" s="116">
        <v>0</v>
      </c>
      <c r="E2359" s="136" t="s">
        <v>416</v>
      </c>
      <c r="F2359" s="137" t="str">
        <f t="shared" si="180"/>
        <v/>
      </c>
      <c r="G2359" s="138" t="e">
        <f>IF(A2359&lt;&gt;"",IF(AND(#REF!="Padrão",$H$4=#REF!),BDI!$B$17,IF(AND(#REF!="Padrão",$H$4=#REF!),BDI!#REF!,IF(AND(#REF!="Diferenciado",$H$4=#REF!),BDI!$E$17,IF(AND(#REF!="Diferenciado",$H$4=#REF!),BDI!#REF!,IF(#REF!="ZERO",0))))),"")</f>
        <v>#REF!</v>
      </c>
      <c r="H2359" s="139" t="str">
        <f t="shared" si="181"/>
        <v/>
      </c>
      <c r="I2359" s="137" t="str">
        <f t="shared" si="182"/>
        <v/>
      </c>
      <c r="J2359" s="117"/>
      <c r="K2359" s="116">
        <v>0</v>
      </c>
      <c r="M2359" s="136" t="s">
        <v>416</v>
      </c>
      <c r="N2359" t="e">
        <v>#REF!</v>
      </c>
      <c r="Q2359" t="s">
        <v>416</v>
      </c>
    </row>
    <row r="2360" spans="1:17" hidden="1" x14ac:dyDescent="0.25">
      <c r="A2360" s="114" t="s">
        <v>5144</v>
      </c>
      <c r="B2360" s="115" t="s">
        <v>3934</v>
      </c>
      <c r="C2360" s="116" t="s">
        <v>16</v>
      </c>
      <c r="D2360" s="116">
        <v>0</v>
      </c>
      <c r="E2360" s="136" t="s">
        <v>416</v>
      </c>
      <c r="F2360" s="137" t="str">
        <f t="shared" si="180"/>
        <v/>
      </c>
      <c r="G2360" s="138" t="e">
        <f>IF(A2360&lt;&gt;"",IF(AND(#REF!="Padrão",$H$4=#REF!),BDI!$B$17,IF(AND(#REF!="Padrão",$H$4=#REF!),BDI!#REF!,IF(AND(#REF!="Diferenciado",$H$4=#REF!),BDI!$E$17,IF(AND(#REF!="Diferenciado",$H$4=#REF!),BDI!#REF!,IF(#REF!="ZERO",0))))),"")</f>
        <v>#REF!</v>
      </c>
      <c r="H2360" s="139" t="str">
        <f t="shared" si="181"/>
        <v/>
      </c>
      <c r="I2360" s="137" t="str">
        <f t="shared" si="182"/>
        <v/>
      </c>
      <c r="J2360" s="117"/>
      <c r="K2360" s="116">
        <v>0</v>
      </c>
      <c r="M2360" s="136" t="s">
        <v>416</v>
      </c>
      <c r="N2360" t="e">
        <v>#REF!</v>
      </c>
      <c r="Q2360" t="s">
        <v>416</v>
      </c>
    </row>
    <row r="2361" spans="1:17" hidden="1" x14ac:dyDescent="0.25">
      <c r="A2361" s="114" t="s">
        <v>5145</v>
      </c>
      <c r="B2361" s="115" t="s">
        <v>3935</v>
      </c>
      <c r="C2361" s="116" t="s">
        <v>16</v>
      </c>
      <c r="D2361" s="116">
        <v>0</v>
      </c>
      <c r="E2361" s="136" t="s">
        <v>416</v>
      </c>
      <c r="F2361" s="137" t="str">
        <f t="shared" si="180"/>
        <v/>
      </c>
      <c r="G2361" s="138" t="e">
        <f>IF(A2361&lt;&gt;"",IF(AND(#REF!="Padrão",$H$4=#REF!),BDI!$B$17,IF(AND(#REF!="Padrão",$H$4=#REF!),BDI!#REF!,IF(AND(#REF!="Diferenciado",$H$4=#REF!),BDI!$E$17,IF(AND(#REF!="Diferenciado",$H$4=#REF!),BDI!#REF!,IF(#REF!="ZERO",0))))),"")</f>
        <v>#REF!</v>
      </c>
      <c r="H2361" s="139" t="str">
        <f t="shared" si="181"/>
        <v/>
      </c>
      <c r="I2361" s="137" t="str">
        <f t="shared" si="182"/>
        <v/>
      </c>
      <c r="J2361" s="117"/>
      <c r="K2361" s="116">
        <v>0</v>
      </c>
      <c r="M2361" s="136" t="s">
        <v>416</v>
      </c>
      <c r="N2361" t="e">
        <v>#REF!</v>
      </c>
      <c r="Q2361" t="s">
        <v>416</v>
      </c>
    </row>
    <row r="2362" spans="1:17" hidden="1" x14ac:dyDescent="0.25">
      <c r="A2362" s="114" t="s">
        <v>5146</v>
      </c>
      <c r="B2362" s="115" t="s">
        <v>3936</v>
      </c>
      <c r="C2362" s="116" t="s">
        <v>16</v>
      </c>
      <c r="D2362" s="116">
        <v>0</v>
      </c>
      <c r="E2362" s="136" t="s">
        <v>416</v>
      </c>
      <c r="F2362" s="137" t="str">
        <f t="shared" si="180"/>
        <v/>
      </c>
      <c r="G2362" s="138" t="e">
        <f>IF(A2362&lt;&gt;"",IF(AND(#REF!="Padrão",$H$4=#REF!),BDI!$B$17,IF(AND(#REF!="Padrão",$H$4=#REF!),BDI!#REF!,IF(AND(#REF!="Diferenciado",$H$4=#REF!),BDI!$E$17,IF(AND(#REF!="Diferenciado",$H$4=#REF!),BDI!#REF!,IF(#REF!="ZERO",0))))),"")</f>
        <v>#REF!</v>
      </c>
      <c r="H2362" s="139" t="str">
        <f t="shared" si="181"/>
        <v/>
      </c>
      <c r="I2362" s="137" t="str">
        <f t="shared" si="182"/>
        <v/>
      </c>
      <c r="J2362" s="117"/>
      <c r="K2362" s="116">
        <v>0</v>
      </c>
      <c r="M2362" s="136" t="s">
        <v>416</v>
      </c>
      <c r="N2362" t="e">
        <v>#REF!</v>
      </c>
      <c r="Q2362" t="s">
        <v>416</v>
      </c>
    </row>
    <row r="2363" spans="1:17" hidden="1" x14ac:dyDescent="0.25">
      <c r="A2363" s="114" t="s">
        <v>5147</v>
      </c>
      <c r="B2363" s="115" t="s">
        <v>3937</v>
      </c>
      <c r="C2363" s="116" t="s">
        <v>16</v>
      </c>
      <c r="D2363" s="116">
        <v>0</v>
      </c>
      <c r="E2363" s="136" t="s">
        <v>416</v>
      </c>
      <c r="F2363" s="137" t="str">
        <f t="shared" si="180"/>
        <v/>
      </c>
      <c r="G2363" s="138" t="e">
        <f>IF(A2363&lt;&gt;"",IF(AND(#REF!="Padrão",$H$4=#REF!),BDI!$B$17,IF(AND(#REF!="Padrão",$H$4=#REF!),BDI!#REF!,IF(AND(#REF!="Diferenciado",$H$4=#REF!),BDI!$E$17,IF(AND(#REF!="Diferenciado",$H$4=#REF!),BDI!#REF!,IF(#REF!="ZERO",0))))),"")</f>
        <v>#REF!</v>
      </c>
      <c r="H2363" s="139" t="str">
        <f t="shared" si="181"/>
        <v/>
      </c>
      <c r="I2363" s="137" t="str">
        <f t="shared" si="182"/>
        <v/>
      </c>
      <c r="J2363" s="117"/>
      <c r="K2363" s="116">
        <v>0</v>
      </c>
      <c r="M2363" s="136" t="s">
        <v>416</v>
      </c>
      <c r="N2363" t="e">
        <v>#REF!</v>
      </c>
      <c r="Q2363" t="s">
        <v>416</v>
      </c>
    </row>
    <row r="2364" spans="1:17" hidden="1" x14ac:dyDescent="0.25">
      <c r="A2364" s="114" t="s">
        <v>5148</v>
      </c>
      <c r="B2364" s="115" t="s">
        <v>3938</v>
      </c>
      <c r="C2364" s="116" t="s">
        <v>16</v>
      </c>
      <c r="D2364" s="116">
        <v>0</v>
      </c>
      <c r="E2364" s="136" t="s">
        <v>416</v>
      </c>
      <c r="F2364" s="137" t="str">
        <f t="shared" si="180"/>
        <v/>
      </c>
      <c r="G2364" s="138" t="e">
        <f>IF(A2364&lt;&gt;"",IF(AND(#REF!="Padrão",$H$4=#REF!),BDI!$B$17,IF(AND(#REF!="Padrão",$H$4=#REF!),BDI!#REF!,IF(AND(#REF!="Diferenciado",$H$4=#REF!),BDI!$E$17,IF(AND(#REF!="Diferenciado",$H$4=#REF!),BDI!#REF!,IF(#REF!="ZERO",0))))),"")</f>
        <v>#REF!</v>
      </c>
      <c r="H2364" s="139" t="str">
        <f t="shared" si="181"/>
        <v/>
      </c>
      <c r="I2364" s="137" t="str">
        <f t="shared" si="182"/>
        <v/>
      </c>
      <c r="J2364" s="117"/>
      <c r="K2364" s="116">
        <v>0</v>
      </c>
      <c r="M2364" s="136" t="s">
        <v>416</v>
      </c>
      <c r="N2364" t="e">
        <v>#REF!</v>
      </c>
      <c r="Q2364" t="s">
        <v>416</v>
      </c>
    </row>
    <row r="2365" spans="1:17" hidden="1" x14ac:dyDescent="0.25">
      <c r="A2365" s="114" t="s">
        <v>5149</v>
      </c>
      <c r="B2365" s="115" t="s">
        <v>3939</v>
      </c>
      <c r="C2365" s="116" t="s">
        <v>16</v>
      </c>
      <c r="D2365" s="116">
        <v>0</v>
      </c>
      <c r="E2365" s="136" t="s">
        <v>416</v>
      </c>
      <c r="F2365" s="137" t="str">
        <f t="shared" si="180"/>
        <v/>
      </c>
      <c r="G2365" s="138" t="e">
        <f>IF(A2365&lt;&gt;"",IF(AND(#REF!="Padrão",$H$4=#REF!),BDI!$B$17,IF(AND(#REF!="Padrão",$H$4=#REF!),BDI!#REF!,IF(AND(#REF!="Diferenciado",$H$4=#REF!),BDI!$E$17,IF(AND(#REF!="Diferenciado",$H$4=#REF!),BDI!#REF!,IF(#REF!="ZERO",0))))),"")</f>
        <v>#REF!</v>
      </c>
      <c r="H2365" s="139" t="str">
        <f t="shared" si="181"/>
        <v/>
      </c>
      <c r="I2365" s="137" t="str">
        <f t="shared" si="182"/>
        <v/>
      </c>
      <c r="J2365" s="117"/>
      <c r="K2365" s="116">
        <v>0</v>
      </c>
      <c r="M2365" s="136" t="s">
        <v>416</v>
      </c>
      <c r="N2365" t="e">
        <v>#REF!</v>
      </c>
      <c r="Q2365" t="s">
        <v>416</v>
      </c>
    </row>
    <row r="2366" spans="1:17" hidden="1" x14ac:dyDescent="0.25">
      <c r="A2366" s="114" t="s">
        <v>5150</v>
      </c>
      <c r="B2366" s="115" t="s">
        <v>3940</v>
      </c>
      <c r="C2366" s="116" t="s">
        <v>16</v>
      </c>
      <c r="D2366" s="116">
        <v>0</v>
      </c>
      <c r="E2366" s="136" t="s">
        <v>416</v>
      </c>
      <c r="F2366" s="137" t="str">
        <f t="shared" si="180"/>
        <v/>
      </c>
      <c r="G2366" s="138" t="e">
        <f>IF(A2366&lt;&gt;"",IF(AND(#REF!="Padrão",$H$4=#REF!),BDI!$B$17,IF(AND(#REF!="Padrão",$H$4=#REF!),BDI!#REF!,IF(AND(#REF!="Diferenciado",$H$4=#REF!),BDI!$E$17,IF(AND(#REF!="Diferenciado",$H$4=#REF!),BDI!#REF!,IF(#REF!="ZERO",0))))),"")</f>
        <v>#REF!</v>
      </c>
      <c r="H2366" s="139" t="str">
        <f t="shared" si="181"/>
        <v/>
      </c>
      <c r="I2366" s="137" t="str">
        <f t="shared" si="182"/>
        <v/>
      </c>
      <c r="J2366" s="117"/>
      <c r="K2366" s="116">
        <v>0</v>
      </c>
      <c r="M2366" s="136" t="s">
        <v>416</v>
      </c>
      <c r="N2366" t="e">
        <v>#REF!</v>
      </c>
      <c r="Q2366" t="s">
        <v>416</v>
      </c>
    </row>
    <row r="2367" spans="1:17" hidden="1" x14ac:dyDescent="0.25">
      <c r="A2367" s="114" t="s">
        <v>5151</v>
      </c>
      <c r="B2367" s="115" t="s">
        <v>3941</v>
      </c>
      <c r="C2367" s="116" t="s">
        <v>16</v>
      </c>
      <c r="D2367" s="116">
        <v>0</v>
      </c>
      <c r="E2367" s="136" t="s">
        <v>416</v>
      </c>
      <c r="F2367" s="137" t="str">
        <f t="shared" si="180"/>
        <v/>
      </c>
      <c r="G2367" s="138" t="e">
        <f>IF(A2367&lt;&gt;"",IF(AND(#REF!="Padrão",$H$4=#REF!),BDI!$B$17,IF(AND(#REF!="Padrão",$H$4=#REF!),BDI!#REF!,IF(AND(#REF!="Diferenciado",$H$4=#REF!),BDI!$E$17,IF(AND(#REF!="Diferenciado",$H$4=#REF!),BDI!#REF!,IF(#REF!="ZERO",0))))),"")</f>
        <v>#REF!</v>
      </c>
      <c r="H2367" s="139" t="str">
        <f t="shared" si="181"/>
        <v/>
      </c>
      <c r="I2367" s="137" t="str">
        <f t="shared" si="182"/>
        <v/>
      </c>
      <c r="J2367" s="117"/>
      <c r="K2367" s="116">
        <v>0</v>
      </c>
      <c r="M2367" s="136" t="s">
        <v>416</v>
      </c>
      <c r="N2367" t="e">
        <v>#REF!</v>
      </c>
      <c r="Q2367" t="s">
        <v>416</v>
      </c>
    </row>
    <row r="2368" spans="1:17" hidden="1" x14ac:dyDescent="0.25">
      <c r="A2368" s="114" t="s">
        <v>5152</v>
      </c>
      <c r="B2368" s="115" t="s">
        <v>7405</v>
      </c>
      <c r="C2368" s="116" t="s">
        <v>70</v>
      </c>
      <c r="D2368" s="116">
        <v>0</v>
      </c>
      <c r="E2368" s="136">
        <f ca="1">OFFSET(INDEX(Composições!A:J,MATCH(Orçamentária!A2368,Composições!A:A,0),8),2,0)</f>
        <v>562.13017751479288</v>
      </c>
      <c r="F2368" s="137">
        <f t="shared" ca="1" si="180"/>
        <v>0</v>
      </c>
      <c r="G2368" s="138" t="e">
        <f>IF(A2368&lt;&gt;"",IF(AND(#REF!="Padrão",$H$4=#REF!),BDI!$B$17,IF(AND(#REF!="Padrão",$H$4=#REF!),BDI!#REF!,IF(AND(#REF!="Diferenciado",$H$4=#REF!),BDI!$E$17,IF(AND(#REF!="Diferenciado",$H$4=#REF!),BDI!#REF!,IF(#REF!="ZERO",0))))),"")</f>
        <v>#REF!</v>
      </c>
      <c r="H2368" s="139" t="e">
        <f t="shared" ca="1" si="181"/>
        <v>#REF!</v>
      </c>
      <c r="I2368" s="137" t="e">
        <f t="shared" ca="1" si="182"/>
        <v>#REF!</v>
      </c>
      <c r="J2368" s="117"/>
      <c r="K2368" s="116">
        <v>0</v>
      </c>
      <c r="M2368" s="136" t="e">
        <f ca="1">OFFSET(INDEX([1]Composições!I:R,MATCH([1]Orçamentária!I2368,[1]Composições!I:I,0),8),2,0)</f>
        <v>#REF!</v>
      </c>
      <c r="N2368" t="e">
        <v>#REF!</v>
      </c>
      <c r="Q2368" t="e">
        <v>#REF!</v>
      </c>
    </row>
    <row r="2369" spans="1:17" hidden="1" x14ac:dyDescent="0.25">
      <c r="A2369" s="114" t="s">
        <v>5153</v>
      </c>
      <c r="B2369" s="115" t="s">
        <v>3942</v>
      </c>
      <c r="C2369" s="116" t="s">
        <v>16</v>
      </c>
      <c r="D2369" s="116">
        <v>0</v>
      </c>
      <c r="E2369" s="136" t="s">
        <v>416</v>
      </c>
      <c r="F2369" s="137" t="str">
        <f t="shared" si="180"/>
        <v/>
      </c>
      <c r="G2369" s="138" t="e">
        <f>IF(A2369&lt;&gt;"",IF(AND(#REF!="Padrão",$H$4=#REF!),BDI!$B$17,IF(AND(#REF!="Padrão",$H$4=#REF!),BDI!#REF!,IF(AND(#REF!="Diferenciado",$H$4=#REF!),BDI!$E$17,IF(AND(#REF!="Diferenciado",$H$4=#REF!),BDI!#REF!,IF(#REF!="ZERO",0))))),"")</f>
        <v>#REF!</v>
      </c>
      <c r="H2369" s="139" t="str">
        <f t="shared" si="181"/>
        <v/>
      </c>
      <c r="I2369" s="137" t="str">
        <f t="shared" si="182"/>
        <v/>
      </c>
      <c r="J2369" s="117"/>
      <c r="K2369" s="116">
        <v>0</v>
      </c>
      <c r="M2369" s="136" t="s">
        <v>416</v>
      </c>
      <c r="N2369" t="e">
        <v>#REF!</v>
      </c>
      <c r="Q2369" t="s">
        <v>416</v>
      </c>
    </row>
    <row r="2370" spans="1:17" hidden="1" x14ac:dyDescent="0.25">
      <c r="A2370" s="114" t="s">
        <v>5154</v>
      </c>
      <c r="B2370" s="115" t="s">
        <v>7402</v>
      </c>
      <c r="C2370" s="116" t="s">
        <v>16</v>
      </c>
      <c r="D2370" s="116">
        <v>0</v>
      </c>
      <c r="E2370" s="136" t="s">
        <v>416</v>
      </c>
      <c r="F2370" s="137" t="str">
        <f t="shared" si="180"/>
        <v/>
      </c>
      <c r="G2370" s="138" t="e">
        <f>IF(A2370&lt;&gt;"",IF(AND(#REF!="Padrão",$H$4=#REF!),BDI!$B$17,IF(AND(#REF!="Padrão",$H$4=#REF!),BDI!#REF!,IF(AND(#REF!="Diferenciado",$H$4=#REF!),BDI!$E$17,IF(AND(#REF!="Diferenciado",$H$4=#REF!),BDI!#REF!,IF(#REF!="ZERO",0))))),"")</f>
        <v>#REF!</v>
      </c>
      <c r="H2370" s="139" t="str">
        <f t="shared" si="181"/>
        <v/>
      </c>
      <c r="I2370" s="137" t="str">
        <f t="shared" si="182"/>
        <v/>
      </c>
      <c r="J2370" s="117"/>
      <c r="K2370" s="116">
        <v>0</v>
      </c>
      <c r="M2370" s="136" t="s">
        <v>416</v>
      </c>
      <c r="N2370" t="e">
        <v>#REF!</v>
      </c>
      <c r="Q2370" t="s">
        <v>416</v>
      </c>
    </row>
    <row r="2371" spans="1:17" hidden="1" x14ac:dyDescent="0.25">
      <c r="A2371" s="114" t="s">
        <v>5155</v>
      </c>
      <c r="B2371" s="115" t="s">
        <v>7403</v>
      </c>
      <c r="C2371" s="116" t="s">
        <v>16</v>
      </c>
      <c r="D2371" s="116">
        <v>0</v>
      </c>
      <c r="E2371" s="136" t="s">
        <v>416</v>
      </c>
      <c r="F2371" s="137" t="str">
        <f t="shared" si="180"/>
        <v/>
      </c>
      <c r="G2371" s="138" t="e">
        <f>IF(A2371&lt;&gt;"",IF(AND(#REF!="Padrão",$H$4=#REF!),BDI!$B$17,IF(AND(#REF!="Padrão",$H$4=#REF!),BDI!#REF!,IF(AND(#REF!="Diferenciado",$H$4=#REF!),BDI!$E$17,IF(AND(#REF!="Diferenciado",$H$4=#REF!),BDI!#REF!,IF(#REF!="ZERO",0))))),"")</f>
        <v>#REF!</v>
      </c>
      <c r="H2371" s="139" t="str">
        <f t="shared" si="181"/>
        <v/>
      </c>
      <c r="I2371" s="137" t="str">
        <f t="shared" si="182"/>
        <v/>
      </c>
      <c r="J2371" s="117"/>
      <c r="K2371" s="116">
        <v>0</v>
      </c>
      <c r="M2371" s="136" t="s">
        <v>416</v>
      </c>
      <c r="N2371" t="e">
        <v>#REF!</v>
      </c>
      <c r="Q2371" t="s">
        <v>416</v>
      </c>
    </row>
    <row r="2372" spans="1:17" hidden="1" x14ac:dyDescent="0.25">
      <c r="A2372" s="114" t="s">
        <v>5156</v>
      </c>
      <c r="B2372" s="115" t="s">
        <v>7404</v>
      </c>
      <c r="C2372" s="116" t="s">
        <v>16</v>
      </c>
      <c r="D2372" s="116">
        <v>0</v>
      </c>
      <c r="E2372" s="136" t="s">
        <v>416</v>
      </c>
      <c r="F2372" s="137" t="str">
        <f t="shared" si="180"/>
        <v/>
      </c>
      <c r="G2372" s="138" t="e">
        <f>IF(A2372&lt;&gt;"",IF(AND(#REF!="Padrão",$H$4=#REF!),BDI!$B$17,IF(AND(#REF!="Padrão",$H$4=#REF!),BDI!#REF!,IF(AND(#REF!="Diferenciado",$H$4=#REF!),BDI!$E$17,IF(AND(#REF!="Diferenciado",$H$4=#REF!),BDI!#REF!,IF(#REF!="ZERO",0))))),"")</f>
        <v>#REF!</v>
      </c>
      <c r="H2372" s="139" t="str">
        <f t="shared" si="181"/>
        <v/>
      </c>
      <c r="I2372" s="137" t="str">
        <f t="shared" si="182"/>
        <v/>
      </c>
      <c r="J2372" s="117"/>
      <c r="K2372" s="116">
        <v>0</v>
      </c>
      <c r="M2372" s="136" t="s">
        <v>416</v>
      </c>
      <c r="N2372" t="e">
        <v>#REF!</v>
      </c>
      <c r="Q2372" t="s">
        <v>416</v>
      </c>
    </row>
    <row r="2373" spans="1:17" hidden="1" x14ac:dyDescent="0.25">
      <c r="A2373" s="114" t="s">
        <v>5157</v>
      </c>
      <c r="B2373" s="115" t="s">
        <v>3943</v>
      </c>
      <c r="C2373" s="116" t="s">
        <v>16</v>
      </c>
      <c r="D2373" s="116">
        <v>0</v>
      </c>
      <c r="E2373" s="136" t="s">
        <v>416</v>
      </c>
      <c r="F2373" s="137" t="str">
        <f t="shared" si="180"/>
        <v/>
      </c>
      <c r="G2373" s="138" t="e">
        <f>IF(A2373&lt;&gt;"",IF(AND(#REF!="Padrão",$H$4=#REF!),BDI!$B$17,IF(AND(#REF!="Padrão",$H$4=#REF!),BDI!#REF!,IF(AND(#REF!="Diferenciado",$H$4=#REF!),BDI!$E$17,IF(AND(#REF!="Diferenciado",$H$4=#REF!),BDI!#REF!,IF(#REF!="ZERO",0))))),"")</f>
        <v>#REF!</v>
      </c>
      <c r="H2373" s="139" t="str">
        <f t="shared" si="181"/>
        <v/>
      </c>
      <c r="I2373" s="137" t="str">
        <f t="shared" si="182"/>
        <v/>
      </c>
      <c r="J2373" s="117"/>
      <c r="K2373" s="116">
        <v>0</v>
      </c>
      <c r="M2373" s="136" t="s">
        <v>416</v>
      </c>
      <c r="N2373" t="e">
        <v>#REF!</v>
      </c>
      <c r="Q2373" t="s">
        <v>416</v>
      </c>
    </row>
    <row r="2374" spans="1:17" hidden="1" x14ac:dyDescent="0.25">
      <c r="A2374" s="114" t="s">
        <v>5158</v>
      </c>
      <c r="B2374" s="115" t="s">
        <v>3944</v>
      </c>
      <c r="C2374" s="116" t="s">
        <v>16</v>
      </c>
      <c r="D2374" s="116">
        <v>0</v>
      </c>
      <c r="E2374" s="136" t="s">
        <v>416</v>
      </c>
      <c r="F2374" s="137" t="str">
        <f t="shared" si="180"/>
        <v/>
      </c>
      <c r="G2374" s="138" t="e">
        <f>IF(A2374&lt;&gt;"",IF(AND(#REF!="Padrão",$H$4=#REF!),BDI!$B$17,IF(AND(#REF!="Padrão",$H$4=#REF!),BDI!#REF!,IF(AND(#REF!="Diferenciado",$H$4=#REF!),BDI!$E$17,IF(AND(#REF!="Diferenciado",$H$4=#REF!),BDI!#REF!,IF(#REF!="ZERO",0))))),"")</f>
        <v>#REF!</v>
      </c>
      <c r="H2374" s="139" t="str">
        <f t="shared" si="181"/>
        <v/>
      </c>
      <c r="I2374" s="137" t="str">
        <f t="shared" si="182"/>
        <v/>
      </c>
      <c r="J2374" s="117"/>
      <c r="K2374" s="116">
        <v>0</v>
      </c>
      <c r="M2374" s="136" t="s">
        <v>416</v>
      </c>
      <c r="N2374" t="e">
        <v>#REF!</v>
      </c>
      <c r="Q2374" t="s">
        <v>416</v>
      </c>
    </row>
    <row r="2375" spans="1:17" hidden="1" x14ac:dyDescent="0.25">
      <c r="A2375" s="114" t="s">
        <v>5159</v>
      </c>
      <c r="B2375" s="115" t="s">
        <v>3945</v>
      </c>
      <c r="C2375" s="116" t="s">
        <v>16</v>
      </c>
      <c r="D2375" s="116">
        <v>0</v>
      </c>
      <c r="E2375" s="136" t="s">
        <v>416</v>
      </c>
      <c r="F2375" s="137" t="str">
        <f t="shared" si="180"/>
        <v/>
      </c>
      <c r="G2375" s="138" t="e">
        <f>IF(A2375&lt;&gt;"",IF(AND(#REF!="Padrão",$H$4=#REF!),BDI!$B$17,IF(AND(#REF!="Padrão",$H$4=#REF!),BDI!#REF!,IF(AND(#REF!="Diferenciado",$H$4=#REF!),BDI!$E$17,IF(AND(#REF!="Diferenciado",$H$4=#REF!),BDI!#REF!,IF(#REF!="ZERO",0))))),"")</f>
        <v>#REF!</v>
      </c>
      <c r="H2375" s="139" t="str">
        <f t="shared" si="181"/>
        <v/>
      </c>
      <c r="I2375" s="137" t="str">
        <f t="shared" si="182"/>
        <v/>
      </c>
      <c r="J2375" s="117"/>
      <c r="K2375" s="116">
        <v>0</v>
      </c>
      <c r="M2375" s="136" t="s">
        <v>416</v>
      </c>
      <c r="N2375" t="e">
        <v>#REF!</v>
      </c>
      <c r="Q2375" t="s">
        <v>416</v>
      </c>
    </row>
    <row r="2376" spans="1:17" hidden="1" x14ac:dyDescent="0.25">
      <c r="A2376" s="114" t="s">
        <v>5160</v>
      </c>
      <c r="B2376" s="115" t="s">
        <v>3946</v>
      </c>
      <c r="C2376" s="116" t="s">
        <v>16</v>
      </c>
      <c r="D2376" s="116">
        <v>0</v>
      </c>
      <c r="E2376" s="136" t="s">
        <v>416</v>
      </c>
      <c r="F2376" s="137" t="str">
        <f t="shared" si="180"/>
        <v/>
      </c>
      <c r="G2376" s="138" t="e">
        <f>IF(A2376&lt;&gt;"",IF(AND(#REF!="Padrão",$H$4=#REF!),BDI!$B$17,IF(AND(#REF!="Padrão",$H$4=#REF!),BDI!#REF!,IF(AND(#REF!="Diferenciado",$H$4=#REF!),BDI!$E$17,IF(AND(#REF!="Diferenciado",$H$4=#REF!),BDI!#REF!,IF(#REF!="ZERO",0))))),"")</f>
        <v>#REF!</v>
      </c>
      <c r="H2376" s="139" t="str">
        <f t="shared" si="181"/>
        <v/>
      </c>
      <c r="I2376" s="137" t="str">
        <f t="shared" si="182"/>
        <v/>
      </c>
      <c r="J2376" s="117"/>
      <c r="K2376" s="116">
        <v>0</v>
      </c>
      <c r="M2376" s="136" t="s">
        <v>416</v>
      </c>
      <c r="N2376" t="e">
        <v>#REF!</v>
      </c>
      <c r="Q2376" t="s">
        <v>416</v>
      </c>
    </row>
    <row r="2377" spans="1:17" hidden="1" x14ac:dyDescent="0.25">
      <c r="A2377" s="114" t="s">
        <v>5161</v>
      </c>
      <c r="B2377" s="115" t="s">
        <v>3947</v>
      </c>
      <c r="C2377" s="116" t="s">
        <v>28</v>
      </c>
      <c r="D2377" s="116">
        <v>0</v>
      </c>
      <c r="E2377" s="136" t="s">
        <v>416</v>
      </c>
      <c r="F2377" s="137" t="str">
        <f t="shared" si="180"/>
        <v/>
      </c>
      <c r="G2377" s="138" t="e">
        <f>IF(A2377&lt;&gt;"",IF(AND(#REF!="Padrão",$H$4=#REF!),BDI!$B$17,IF(AND(#REF!="Padrão",$H$4=#REF!),BDI!#REF!,IF(AND(#REF!="Diferenciado",$H$4=#REF!),BDI!$E$17,IF(AND(#REF!="Diferenciado",$H$4=#REF!),BDI!#REF!,IF(#REF!="ZERO",0))))),"")</f>
        <v>#REF!</v>
      </c>
      <c r="H2377" s="139" t="str">
        <f t="shared" si="181"/>
        <v/>
      </c>
      <c r="I2377" s="137" t="str">
        <f t="shared" si="182"/>
        <v/>
      </c>
      <c r="J2377" s="117"/>
      <c r="K2377" s="116">
        <v>0</v>
      </c>
      <c r="M2377" s="136" t="s">
        <v>416</v>
      </c>
      <c r="N2377" t="e">
        <v>#REF!</v>
      </c>
      <c r="Q2377" t="s">
        <v>416</v>
      </c>
    </row>
    <row r="2378" spans="1:17" hidden="1" x14ac:dyDescent="0.25">
      <c r="A2378" s="114" t="s">
        <v>5162</v>
      </c>
      <c r="B2378" s="115" t="s">
        <v>3948</v>
      </c>
      <c r="C2378" s="116" t="s">
        <v>2373</v>
      </c>
      <c r="D2378" s="116">
        <v>0</v>
      </c>
      <c r="E2378" s="136" t="s">
        <v>416</v>
      </c>
      <c r="F2378" s="137" t="str">
        <f t="shared" si="180"/>
        <v/>
      </c>
      <c r="G2378" s="138" t="e">
        <f>IF(A2378&lt;&gt;"",IF(AND(#REF!="Padrão",$H$4=#REF!),BDI!$B$17,IF(AND(#REF!="Padrão",$H$4=#REF!),BDI!#REF!,IF(AND(#REF!="Diferenciado",$H$4=#REF!),BDI!$E$17,IF(AND(#REF!="Diferenciado",$H$4=#REF!),BDI!#REF!,IF(#REF!="ZERO",0))))),"")</f>
        <v>#REF!</v>
      </c>
      <c r="H2378" s="139" t="str">
        <f t="shared" si="181"/>
        <v/>
      </c>
      <c r="I2378" s="137" t="str">
        <f t="shared" si="182"/>
        <v/>
      </c>
      <c r="J2378" s="117"/>
      <c r="K2378" s="116">
        <v>0</v>
      </c>
      <c r="M2378" s="136" t="s">
        <v>416</v>
      </c>
      <c r="N2378" t="e">
        <v>#REF!</v>
      </c>
      <c r="Q2378" t="s">
        <v>416</v>
      </c>
    </row>
    <row r="2379" spans="1:17" hidden="1" x14ac:dyDescent="0.25">
      <c r="A2379" s="114" t="s">
        <v>5163</v>
      </c>
      <c r="B2379" s="115" t="s">
        <v>3949</v>
      </c>
      <c r="C2379" s="116" t="s">
        <v>2373</v>
      </c>
      <c r="D2379" s="116">
        <v>0</v>
      </c>
      <c r="E2379" s="136" t="s">
        <v>416</v>
      </c>
      <c r="F2379" s="137" t="str">
        <f t="shared" si="180"/>
        <v/>
      </c>
      <c r="G2379" s="138" t="e">
        <f>IF(A2379&lt;&gt;"",IF(AND(#REF!="Padrão",$H$4=#REF!),BDI!$B$17,IF(AND(#REF!="Padrão",$H$4=#REF!),BDI!#REF!,IF(AND(#REF!="Diferenciado",$H$4=#REF!),BDI!$E$17,IF(AND(#REF!="Diferenciado",$H$4=#REF!),BDI!#REF!,IF(#REF!="ZERO",0))))),"")</f>
        <v>#REF!</v>
      </c>
      <c r="H2379" s="139" t="str">
        <f t="shared" si="181"/>
        <v/>
      </c>
      <c r="I2379" s="137" t="str">
        <f t="shared" si="182"/>
        <v/>
      </c>
      <c r="J2379" s="117"/>
      <c r="K2379" s="116">
        <v>0</v>
      </c>
      <c r="M2379" s="136" t="s">
        <v>416</v>
      </c>
      <c r="N2379" t="e">
        <v>#REF!</v>
      </c>
      <c r="Q2379" t="s">
        <v>416</v>
      </c>
    </row>
    <row r="2380" spans="1:17" hidden="1" x14ac:dyDescent="0.25">
      <c r="A2380" s="114" t="s">
        <v>5164</v>
      </c>
      <c r="B2380" s="115" t="s">
        <v>3950</v>
      </c>
      <c r="C2380" s="116" t="s">
        <v>2373</v>
      </c>
      <c r="D2380" s="116">
        <v>0</v>
      </c>
      <c r="E2380" s="136" t="s">
        <v>416</v>
      </c>
      <c r="F2380" s="137" t="str">
        <f t="shared" si="180"/>
        <v/>
      </c>
      <c r="G2380" s="138" t="e">
        <f>IF(A2380&lt;&gt;"",IF(AND(#REF!="Padrão",$H$4=#REF!),BDI!$B$17,IF(AND(#REF!="Padrão",$H$4=#REF!),BDI!#REF!,IF(AND(#REF!="Diferenciado",$H$4=#REF!),BDI!$E$17,IF(AND(#REF!="Diferenciado",$H$4=#REF!),BDI!#REF!,IF(#REF!="ZERO",0))))),"")</f>
        <v>#REF!</v>
      </c>
      <c r="H2380" s="139" t="str">
        <f t="shared" si="181"/>
        <v/>
      </c>
      <c r="I2380" s="137" t="str">
        <f t="shared" si="182"/>
        <v/>
      </c>
      <c r="J2380" s="117"/>
      <c r="K2380" s="116">
        <v>0</v>
      </c>
      <c r="M2380" s="136" t="s">
        <v>416</v>
      </c>
      <c r="N2380" t="e">
        <v>#REF!</v>
      </c>
      <c r="Q2380" t="s">
        <v>416</v>
      </c>
    </row>
    <row r="2381" spans="1:17" hidden="1" x14ac:dyDescent="0.25">
      <c r="A2381" s="114" t="s">
        <v>5165</v>
      </c>
      <c r="B2381" s="115" t="s">
        <v>3951</v>
      </c>
      <c r="C2381" s="116" t="s">
        <v>2373</v>
      </c>
      <c r="D2381" s="116">
        <v>0</v>
      </c>
      <c r="E2381" s="136" t="s">
        <v>416</v>
      </c>
      <c r="F2381" s="137" t="str">
        <f t="shared" si="180"/>
        <v/>
      </c>
      <c r="G2381" s="138" t="e">
        <f>IF(A2381&lt;&gt;"",IF(AND(#REF!="Padrão",$H$4=#REF!),BDI!$B$17,IF(AND(#REF!="Padrão",$H$4=#REF!),BDI!#REF!,IF(AND(#REF!="Diferenciado",$H$4=#REF!),BDI!$E$17,IF(AND(#REF!="Diferenciado",$H$4=#REF!),BDI!#REF!,IF(#REF!="ZERO",0))))),"")</f>
        <v>#REF!</v>
      </c>
      <c r="H2381" s="139" t="str">
        <f t="shared" si="181"/>
        <v/>
      </c>
      <c r="I2381" s="137" t="str">
        <f t="shared" si="182"/>
        <v/>
      </c>
      <c r="J2381" s="117"/>
      <c r="K2381" s="116">
        <v>0</v>
      </c>
      <c r="M2381" s="136" t="s">
        <v>416</v>
      </c>
      <c r="N2381" t="e">
        <v>#REF!</v>
      </c>
      <c r="Q2381" t="s">
        <v>416</v>
      </c>
    </row>
    <row r="2382" spans="1:17" hidden="1" x14ac:dyDescent="0.25">
      <c r="A2382" s="114" t="s">
        <v>5166</v>
      </c>
      <c r="B2382" s="115" t="s">
        <v>3952</v>
      </c>
      <c r="C2382" s="116" t="s">
        <v>2373</v>
      </c>
      <c r="D2382" s="116">
        <v>0</v>
      </c>
      <c r="E2382" s="136" t="s">
        <v>416</v>
      </c>
      <c r="F2382" s="137" t="str">
        <f t="shared" si="180"/>
        <v/>
      </c>
      <c r="G2382" s="138" t="e">
        <f>IF(A2382&lt;&gt;"",IF(AND(#REF!="Padrão",$H$4=#REF!),BDI!$B$17,IF(AND(#REF!="Padrão",$H$4=#REF!),BDI!#REF!,IF(AND(#REF!="Diferenciado",$H$4=#REF!),BDI!$E$17,IF(AND(#REF!="Diferenciado",$H$4=#REF!),BDI!#REF!,IF(#REF!="ZERO",0))))),"")</f>
        <v>#REF!</v>
      </c>
      <c r="H2382" s="139" t="str">
        <f t="shared" si="181"/>
        <v/>
      </c>
      <c r="I2382" s="137" t="str">
        <f t="shared" si="182"/>
        <v/>
      </c>
      <c r="J2382" s="117"/>
      <c r="K2382" s="116">
        <v>0</v>
      </c>
      <c r="M2382" s="136" t="s">
        <v>416</v>
      </c>
      <c r="N2382" t="e">
        <v>#REF!</v>
      </c>
      <c r="Q2382" t="s">
        <v>416</v>
      </c>
    </row>
    <row r="2383" spans="1:17" hidden="1" x14ac:dyDescent="0.25">
      <c r="A2383" s="114" t="s">
        <v>5167</v>
      </c>
      <c r="B2383" s="115" t="s">
        <v>3953</v>
      </c>
      <c r="C2383" s="116" t="s">
        <v>11</v>
      </c>
      <c r="D2383" s="116">
        <v>0</v>
      </c>
      <c r="E2383" s="136" t="s">
        <v>416</v>
      </c>
      <c r="F2383" s="137" t="str">
        <f t="shared" si="180"/>
        <v/>
      </c>
      <c r="G2383" s="138" t="e">
        <f>IF(A2383&lt;&gt;"",IF(AND(#REF!="Padrão",$H$4=#REF!),BDI!$B$17,IF(AND(#REF!="Padrão",$H$4=#REF!),BDI!#REF!,IF(AND(#REF!="Diferenciado",$H$4=#REF!),BDI!$E$17,IF(AND(#REF!="Diferenciado",$H$4=#REF!),BDI!#REF!,IF(#REF!="ZERO",0))))),"")</f>
        <v>#REF!</v>
      </c>
      <c r="H2383" s="139" t="str">
        <f t="shared" si="181"/>
        <v/>
      </c>
      <c r="I2383" s="137" t="str">
        <f t="shared" si="182"/>
        <v/>
      </c>
      <c r="J2383" s="117"/>
      <c r="K2383" s="116">
        <v>0</v>
      </c>
      <c r="M2383" s="136" t="s">
        <v>416</v>
      </c>
      <c r="N2383" t="e">
        <v>#REF!</v>
      </c>
      <c r="Q2383" t="s">
        <v>416</v>
      </c>
    </row>
    <row r="2384" spans="1:17" hidden="1" x14ac:dyDescent="0.25">
      <c r="A2384" s="114" t="s">
        <v>5168</v>
      </c>
      <c r="B2384" s="115" t="s">
        <v>3954</v>
      </c>
      <c r="C2384" s="116" t="s">
        <v>16</v>
      </c>
      <c r="D2384" s="116">
        <v>0</v>
      </c>
      <c r="E2384" s="136">
        <f ca="1">OFFSET(INDEX(Composições!A:J,MATCH(Orçamentária!A2384,Composições!A:A,0),8),2,0)</f>
        <v>3.84484</v>
      </c>
      <c r="F2384" s="137">
        <f t="shared" ca="1" si="180"/>
        <v>0</v>
      </c>
      <c r="G2384" s="138" t="e">
        <f>IF(A2384&lt;&gt;"",IF(AND(#REF!="Padrão",$H$4=#REF!),BDI!$B$17,IF(AND(#REF!="Padrão",$H$4=#REF!),BDI!#REF!,IF(AND(#REF!="Diferenciado",$H$4=#REF!),BDI!$E$17,IF(AND(#REF!="Diferenciado",$H$4=#REF!),BDI!#REF!,IF(#REF!="ZERO",0))))),"")</f>
        <v>#REF!</v>
      </c>
      <c r="H2384" s="139" t="e">
        <f t="shared" ca="1" si="181"/>
        <v>#REF!</v>
      </c>
      <c r="I2384" s="137" t="e">
        <f t="shared" ca="1" si="182"/>
        <v>#REF!</v>
      </c>
      <c r="J2384" s="117"/>
      <c r="K2384" s="116">
        <v>0</v>
      </c>
      <c r="M2384" s="136" t="e">
        <f ca="1">OFFSET(INDEX([1]Composições!I:R,MATCH([1]Orçamentária!I2384,[1]Composições!I:I,0),8),2,0)</f>
        <v>#REF!</v>
      </c>
      <c r="N2384" t="e">
        <v>#REF!</v>
      </c>
      <c r="Q2384" t="e">
        <v>#REF!</v>
      </c>
    </row>
    <row r="2385" spans="1:17" hidden="1" x14ac:dyDescent="0.25">
      <c r="A2385" s="114" t="s">
        <v>5169</v>
      </c>
      <c r="B2385" s="115" t="s">
        <v>3955</v>
      </c>
      <c r="C2385" s="116" t="s">
        <v>16</v>
      </c>
      <c r="D2385" s="116">
        <v>0</v>
      </c>
      <c r="E2385" s="136" t="s">
        <v>416</v>
      </c>
      <c r="F2385" s="137" t="str">
        <f t="shared" si="180"/>
        <v/>
      </c>
      <c r="G2385" s="138" t="e">
        <f>IF(A2385&lt;&gt;"",IF(AND(#REF!="Padrão",$H$4=#REF!),BDI!$B$17,IF(AND(#REF!="Padrão",$H$4=#REF!),BDI!#REF!,IF(AND(#REF!="Diferenciado",$H$4=#REF!),BDI!$E$17,IF(AND(#REF!="Diferenciado",$H$4=#REF!),BDI!#REF!,IF(#REF!="ZERO",0))))),"")</f>
        <v>#REF!</v>
      </c>
      <c r="H2385" s="139" t="str">
        <f t="shared" si="181"/>
        <v/>
      </c>
      <c r="I2385" s="137" t="str">
        <f t="shared" si="182"/>
        <v/>
      </c>
      <c r="J2385" s="117"/>
      <c r="K2385" s="116">
        <v>0</v>
      </c>
      <c r="M2385" s="136" t="s">
        <v>416</v>
      </c>
      <c r="N2385" t="e">
        <v>#REF!</v>
      </c>
      <c r="Q2385" t="s">
        <v>416</v>
      </c>
    </row>
    <row r="2386" spans="1:17" hidden="1" x14ac:dyDescent="0.25">
      <c r="A2386" s="114" t="s">
        <v>5170</v>
      </c>
      <c r="B2386" s="115" t="s">
        <v>3956</v>
      </c>
      <c r="C2386" s="116" t="s">
        <v>16</v>
      </c>
      <c r="D2386" s="116">
        <v>0</v>
      </c>
      <c r="E2386" s="136" t="s">
        <v>416</v>
      </c>
      <c r="F2386" s="137" t="str">
        <f t="shared" si="180"/>
        <v/>
      </c>
      <c r="G2386" s="138" t="e">
        <f>IF(A2386&lt;&gt;"",IF(AND(#REF!="Padrão",$H$4=#REF!),BDI!$B$17,IF(AND(#REF!="Padrão",$H$4=#REF!),BDI!#REF!,IF(AND(#REF!="Diferenciado",$H$4=#REF!),BDI!$E$17,IF(AND(#REF!="Diferenciado",$H$4=#REF!),BDI!#REF!,IF(#REF!="ZERO",0))))),"")</f>
        <v>#REF!</v>
      </c>
      <c r="H2386" s="139" t="str">
        <f t="shared" si="181"/>
        <v/>
      </c>
      <c r="I2386" s="137" t="str">
        <f t="shared" si="182"/>
        <v/>
      </c>
      <c r="J2386" s="117"/>
      <c r="K2386" s="116">
        <v>0</v>
      </c>
      <c r="M2386" s="136" t="s">
        <v>416</v>
      </c>
      <c r="N2386" t="e">
        <v>#REF!</v>
      </c>
      <c r="Q2386" t="s">
        <v>416</v>
      </c>
    </row>
    <row r="2387" spans="1:17" hidden="1" x14ac:dyDescent="0.25">
      <c r="A2387" s="114" t="s">
        <v>5171</v>
      </c>
      <c r="B2387" s="115" t="s">
        <v>3957</v>
      </c>
      <c r="C2387" s="116" t="s">
        <v>16</v>
      </c>
      <c r="D2387" s="116">
        <v>0</v>
      </c>
      <c r="E2387" s="136" t="s">
        <v>416</v>
      </c>
      <c r="F2387" s="137" t="str">
        <f t="shared" si="180"/>
        <v/>
      </c>
      <c r="G2387" s="138" t="e">
        <f>IF(A2387&lt;&gt;"",IF(AND(#REF!="Padrão",$H$4=#REF!),BDI!$B$17,IF(AND(#REF!="Padrão",$H$4=#REF!),BDI!#REF!,IF(AND(#REF!="Diferenciado",$H$4=#REF!),BDI!$E$17,IF(AND(#REF!="Diferenciado",$H$4=#REF!),BDI!#REF!,IF(#REF!="ZERO",0))))),"")</f>
        <v>#REF!</v>
      </c>
      <c r="H2387" s="139" t="str">
        <f t="shared" si="181"/>
        <v/>
      </c>
      <c r="I2387" s="137" t="str">
        <f t="shared" si="182"/>
        <v/>
      </c>
      <c r="J2387" s="117"/>
      <c r="K2387" s="116">
        <v>0</v>
      </c>
      <c r="M2387" s="136" t="s">
        <v>416</v>
      </c>
      <c r="N2387" t="e">
        <v>#REF!</v>
      </c>
      <c r="Q2387" t="s">
        <v>416</v>
      </c>
    </row>
    <row r="2388" spans="1:17" hidden="1" x14ac:dyDescent="0.25">
      <c r="A2388" s="114" t="s">
        <v>5172</v>
      </c>
      <c r="B2388" s="115" t="s">
        <v>3958</v>
      </c>
      <c r="C2388" s="116" t="s">
        <v>16</v>
      </c>
      <c r="D2388" s="116">
        <v>0</v>
      </c>
      <c r="E2388" s="136" t="s">
        <v>416</v>
      </c>
      <c r="F2388" s="137" t="str">
        <f t="shared" si="180"/>
        <v/>
      </c>
      <c r="G2388" s="138" t="e">
        <f>IF(A2388&lt;&gt;"",IF(AND(#REF!="Padrão",$H$4=#REF!),BDI!$B$17,IF(AND(#REF!="Padrão",$H$4=#REF!),BDI!#REF!,IF(AND(#REF!="Diferenciado",$H$4=#REF!),BDI!$E$17,IF(AND(#REF!="Diferenciado",$H$4=#REF!),BDI!#REF!,IF(#REF!="ZERO",0))))),"")</f>
        <v>#REF!</v>
      </c>
      <c r="H2388" s="139" t="str">
        <f t="shared" si="181"/>
        <v/>
      </c>
      <c r="I2388" s="137" t="str">
        <f t="shared" si="182"/>
        <v/>
      </c>
      <c r="J2388" s="117"/>
      <c r="K2388" s="116">
        <v>0</v>
      </c>
      <c r="M2388" s="136" t="s">
        <v>416</v>
      </c>
      <c r="N2388" t="e">
        <v>#REF!</v>
      </c>
      <c r="Q2388" t="s">
        <v>416</v>
      </c>
    </row>
    <row r="2389" spans="1:17" hidden="1" x14ac:dyDescent="0.25">
      <c r="A2389" s="114" t="s">
        <v>5173</v>
      </c>
      <c r="B2389" s="115" t="s">
        <v>3959</v>
      </c>
      <c r="C2389" s="116" t="s">
        <v>16</v>
      </c>
      <c r="D2389" s="116">
        <v>0</v>
      </c>
      <c r="E2389" s="136" t="s">
        <v>416</v>
      </c>
      <c r="F2389" s="137" t="str">
        <f t="shared" si="180"/>
        <v/>
      </c>
      <c r="G2389" s="138" t="e">
        <f>IF(A2389&lt;&gt;"",IF(AND(#REF!="Padrão",$H$4=#REF!),BDI!$B$17,IF(AND(#REF!="Padrão",$H$4=#REF!),BDI!#REF!,IF(AND(#REF!="Diferenciado",$H$4=#REF!),BDI!$E$17,IF(AND(#REF!="Diferenciado",$H$4=#REF!),BDI!#REF!,IF(#REF!="ZERO",0))))),"")</f>
        <v>#REF!</v>
      </c>
      <c r="H2389" s="139" t="str">
        <f t="shared" si="181"/>
        <v/>
      </c>
      <c r="I2389" s="137" t="str">
        <f t="shared" si="182"/>
        <v/>
      </c>
      <c r="J2389" s="117"/>
      <c r="K2389" s="116">
        <v>0</v>
      </c>
      <c r="M2389" s="136" t="s">
        <v>416</v>
      </c>
      <c r="N2389" t="e">
        <v>#REF!</v>
      </c>
      <c r="Q2389" t="s">
        <v>416</v>
      </c>
    </row>
    <row r="2390" spans="1:17" hidden="1" x14ac:dyDescent="0.25">
      <c r="A2390" s="114" t="s">
        <v>5174</v>
      </c>
      <c r="B2390" s="115" t="s">
        <v>3960</v>
      </c>
      <c r="C2390" s="116" t="s">
        <v>16</v>
      </c>
      <c r="D2390" s="116">
        <v>0</v>
      </c>
      <c r="E2390" s="136" t="s">
        <v>416</v>
      </c>
      <c r="F2390" s="137" t="str">
        <f t="shared" si="180"/>
        <v/>
      </c>
      <c r="G2390" s="138" t="e">
        <f>IF(A2390&lt;&gt;"",IF(AND(#REF!="Padrão",$H$4=#REF!),BDI!$B$17,IF(AND(#REF!="Padrão",$H$4=#REF!),BDI!#REF!,IF(AND(#REF!="Diferenciado",$H$4=#REF!),BDI!$E$17,IF(AND(#REF!="Diferenciado",$H$4=#REF!),BDI!#REF!,IF(#REF!="ZERO",0))))),"")</f>
        <v>#REF!</v>
      </c>
      <c r="H2390" s="139" t="str">
        <f t="shared" si="181"/>
        <v/>
      </c>
      <c r="I2390" s="137" t="str">
        <f t="shared" si="182"/>
        <v/>
      </c>
      <c r="J2390" s="117"/>
      <c r="K2390" s="116">
        <v>0</v>
      </c>
      <c r="M2390" s="136" t="s">
        <v>416</v>
      </c>
      <c r="N2390" t="e">
        <v>#REF!</v>
      </c>
      <c r="Q2390" t="s">
        <v>416</v>
      </c>
    </row>
    <row r="2391" spans="1:17" hidden="1" x14ac:dyDescent="0.25">
      <c r="A2391" s="114" t="s">
        <v>5175</v>
      </c>
      <c r="B2391" s="115" t="s">
        <v>3961</v>
      </c>
      <c r="C2391" s="116" t="s">
        <v>16</v>
      </c>
      <c r="D2391" s="116">
        <v>0</v>
      </c>
      <c r="E2391" s="136" t="s">
        <v>416</v>
      </c>
      <c r="F2391" s="137" t="str">
        <f t="shared" si="180"/>
        <v/>
      </c>
      <c r="G2391" s="138" t="e">
        <f>IF(A2391&lt;&gt;"",IF(AND(#REF!="Padrão",$H$4=#REF!),BDI!$B$17,IF(AND(#REF!="Padrão",$H$4=#REF!),BDI!#REF!,IF(AND(#REF!="Diferenciado",$H$4=#REF!),BDI!$E$17,IF(AND(#REF!="Diferenciado",$H$4=#REF!),BDI!#REF!,IF(#REF!="ZERO",0))))),"")</f>
        <v>#REF!</v>
      </c>
      <c r="H2391" s="139" t="str">
        <f t="shared" si="181"/>
        <v/>
      </c>
      <c r="I2391" s="137" t="str">
        <f t="shared" si="182"/>
        <v/>
      </c>
      <c r="J2391" s="117"/>
      <c r="K2391" s="116">
        <v>0</v>
      </c>
      <c r="M2391" s="136" t="s">
        <v>416</v>
      </c>
      <c r="N2391" t="e">
        <v>#REF!</v>
      </c>
      <c r="Q2391" t="s">
        <v>416</v>
      </c>
    </row>
    <row r="2392" spans="1:17" hidden="1" x14ac:dyDescent="0.25">
      <c r="A2392" s="114" t="s">
        <v>5176</v>
      </c>
      <c r="B2392" s="115" t="s">
        <v>3962</v>
      </c>
      <c r="C2392" s="116" t="s">
        <v>16</v>
      </c>
      <c r="D2392" s="116">
        <v>0</v>
      </c>
      <c r="E2392" s="136" t="s">
        <v>416</v>
      </c>
      <c r="F2392" s="137" t="str">
        <f t="shared" si="180"/>
        <v/>
      </c>
      <c r="G2392" s="138" t="e">
        <f>IF(A2392&lt;&gt;"",IF(AND(#REF!="Padrão",$H$4=#REF!),BDI!$B$17,IF(AND(#REF!="Padrão",$H$4=#REF!),BDI!#REF!,IF(AND(#REF!="Diferenciado",$H$4=#REF!),BDI!$E$17,IF(AND(#REF!="Diferenciado",$H$4=#REF!),BDI!#REF!,IF(#REF!="ZERO",0))))),"")</f>
        <v>#REF!</v>
      </c>
      <c r="H2392" s="139" t="str">
        <f t="shared" si="181"/>
        <v/>
      </c>
      <c r="I2392" s="137" t="str">
        <f t="shared" si="182"/>
        <v/>
      </c>
      <c r="J2392" s="117"/>
      <c r="K2392" s="116">
        <v>0</v>
      </c>
      <c r="M2392" s="136" t="s">
        <v>416</v>
      </c>
      <c r="N2392" t="e">
        <v>#REF!</v>
      </c>
      <c r="Q2392" t="s">
        <v>416</v>
      </c>
    </row>
    <row r="2393" spans="1:17" hidden="1" x14ac:dyDescent="0.25">
      <c r="A2393" s="114" t="s">
        <v>5177</v>
      </c>
      <c r="B2393" s="115" t="s">
        <v>3963</v>
      </c>
      <c r="C2393" s="116" t="s">
        <v>16</v>
      </c>
      <c r="D2393" s="116">
        <v>0</v>
      </c>
      <c r="E2393" s="136" t="s">
        <v>416</v>
      </c>
      <c r="F2393" s="137" t="str">
        <f t="shared" si="180"/>
        <v/>
      </c>
      <c r="G2393" s="138" t="e">
        <f>IF(A2393&lt;&gt;"",IF(AND(#REF!="Padrão",$H$4=#REF!),BDI!$B$17,IF(AND(#REF!="Padrão",$H$4=#REF!),BDI!#REF!,IF(AND(#REF!="Diferenciado",$H$4=#REF!),BDI!$E$17,IF(AND(#REF!="Diferenciado",$H$4=#REF!),BDI!#REF!,IF(#REF!="ZERO",0))))),"")</f>
        <v>#REF!</v>
      </c>
      <c r="H2393" s="139" t="str">
        <f t="shared" si="181"/>
        <v/>
      </c>
      <c r="I2393" s="137" t="str">
        <f t="shared" si="182"/>
        <v/>
      </c>
      <c r="J2393" s="117"/>
      <c r="K2393" s="116">
        <v>0</v>
      </c>
      <c r="M2393" s="136" t="s">
        <v>416</v>
      </c>
      <c r="N2393" t="e">
        <v>#REF!</v>
      </c>
      <c r="Q2393" t="s">
        <v>416</v>
      </c>
    </row>
    <row r="2394" spans="1:17" hidden="1" x14ac:dyDescent="0.25">
      <c r="A2394" s="114" t="s">
        <v>5178</v>
      </c>
      <c r="B2394" s="115" t="s">
        <v>3964</v>
      </c>
      <c r="C2394" s="116" t="s">
        <v>16</v>
      </c>
      <c r="D2394" s="116">
        <v>0</v>
      </c>
      <c r="E2394" s="136">
        <f ca="1">OFFSET(INDEX(Composições!A:J,MATCH(Orçamentária!A2394,Composições!A:A,0),8),2,0)</f>
        <v>39.9</v>
      </c>
      <c r="F2394" s="137">
        <f t="shared" ca="1" si="180"/>
        <v>0</v>
      </c>
      <c r="G2394" s="138" t="e">
        <f>IF(A2394&lt;&gt;"",IF(AND(#REF!="Padrão",$H$4=#REF!),BDI!$B$17,IF(AND(#REF!="Padrão",$H$4=#REF!),BDI!#REF!,IF(AND(#REF!="Diferenciado",$H$4=#REF!),BDI!$E$17,IF(AND(#REF!="Diferenciado",$H$4=#REF!),BDI!#REF!,IF(#REF!="ZERO",0))))),"")</f>
        <v>#REF!</v>
      </c>
      <c r="H2394" s="139" t="e">
        <f t="shared" ca="1" si="181"/>
        <v>#REF!</v>
      </c>
      <c r="I2394" s="137" t="e">
        <f t="shared" ca="1" si="182"/>
        <v>#REF!</v>
      </c>
      <c r="J2394" s="117"/>
      <c r="K2394" s="116">
        <v>0</v>
      </c>
      <c r="M2394" s="136" t="e">
        <f ca="1">OFFSET(INDEX([1]Composições!I:R,MATCH([1]Orçamentária!I2394,[1]Composições!I:I,0),8),2,0)</f>
        <v>#REF!</v>
      </c>
      <c r="N2394" t="e">
        <v>#REF!</v>
      </c>
      <c r="Q2394" t="e">
        <v>#REF!</v>
      </c>
    </row>
    <row r="2395" spans="1:17" hidden="1" x14ac:dyDescent="0.25">
      <c r="A2395" s="114" t="s">
        <v>5179</v>
      </c>
      <c r="B2395" s="115" t="s">
        <v>3965</v>
      </c>
      <c r="C2395" s="116" t="s">
        <v>16</v>
      </c>
      <c r="D2395" s="116">
        <v>0</v>
      </c>
      <c r="E2395" s="136" t="s">
        <v>416</v>
      </c>
      <c r="F2395" s="137" t="str">
        <f t="shared" si="180"/>
        <v/>
      </c>
      <c r="G2395" s="138" t="e">
        <f>IF(A2395&lt;&gt;"",IF(AND(#REF!="Padrão",$H$4=#REF!),BDI!$B$17,IF(AND(#REF!="Padrão",$H$4=#REF!),BDI!#REF!,IF(AND(#REF!="Diferenciado",$H$4=#REF!),BDI!$E$17,IF(AND(#REF!="Diferenciado",$H$4=#REF!),BDI!#REF!,IF(#REF!="ZERO",0))))),"")</f>
        <v>#REF!</v>
      </c>
      <c r="H2395" s="139" t="str">
        <f t="shared" si="181"/>
        <v/>
      </c>
      <c r="I2395" s="137" t="str">
        <f t="shared" si="182"/>
        <v/>
      </c>
      <c r="J2395" s="117"/>
      <c r="K2395" s="116">
        <v>0</v>
      </c>
      <c r="M2395" s="136" t="s">
        <v>416</v>
      </c>
      <c r="N2395" t="e">
        <v>#REF!</v>
      </c>
      <c r="Q2395" t="s">
        <v>416</v>
      </c>
    </row>
    <row r="2396" spans="1:17" hidden="1" x14ac:dyDescent="0.25">
      <c r="A2396" s="114" t="s">
        <v>5180</v>
      </c>
      <c r="B2396" s="115" t="s">
        <v>3966</v>
      </c>
      <c r="C2396" s="116" t="s">
        <v>16</v>
      </c>
      <c r="D2396" s="116">
        <v>0</v>
      </c>
      <c r="E2396" s="136" t="s">
        <v>416</v>
      </c>
      <c r="F2396" s="137" t="str">
        <f t="shared" si="180"/>
        <v/>
      </c>
      <c r="G2396" s="138" t="e">
        <f>IF(A2396&lt;&gt;"",IF(AND(#REF!="Padrão",$H$4=#REF!),BDI!$B$17,IF(AND(#REF!="Padrão",$H$4=#REF!),BDI!#REF!,IF(AND(#REF!="Diferenciado",$H$4=#REF!),BDI!$E$17,IF(AND(#REF!="Diferenciado",$H$4=#REF!),BDI!#REF!,IF(#REF!="ZERO",0))))),"")</f>
        <v>#REF!</v>
      </c>
      <c r="H2396" s="139" t="str">
        <f t="shared" si="181"/>
        <v/>
      </c>
      <c r="I2396" s="137" t="str">
        <f t="shared" si="182"/>
        <v/>
      </c>
      <c r="J2396" s="117"/>
      <c r="K2396" s="116">
        <v>0</v>
      </c>
      <c r="M2396" s="136" t="s">
        <v>416</v>
      </c>
      <c r="N2396" t="e">
        <v>#REF!</v>
      </c>
      <c r="Q2396" t="s">
        <v>416</v>
      </c>
    </row>
    <row r="2397" spans="1:17" hidden="1" x14ac:dyDescent="0.25">
      <c r="A2397" s="114" t="s">
        <v>5181</v>
      </c>
      <c r="B2397" s="115" t="s">
        <v>3967</v>
      </c>
      <c r="C2397" s="116" t="s">
        <v>16</v>
      </c>
      <c r="D2397" s="116">
        <v>0</v>
      </c>
      <c r="E2397" s="136" t="s">
        <v>416</v>
      </c>
      <c r="F2397" s="137" t="str">
        <f t="shared" si="180"/>
        <v/>
      </c>
      <c r="G2397" s="138" t="e">
        <f>IF(A2397&lt;&gt;"",IF(AND(#REF!="Padrão",$H$4=#REF!),BDI!$B$17,IF(AND(#REF!="Padrão",$H$4=#REF!),BDI!#REF!,IF(AND(#REF!="Diferenciado",$H$4=#REF!),BDI!$E$17,IF(AND(#REF!="Diferenciado",$H$4=#REF!),BDI!#REF!,IF(#REF!="ZERO",0))))),"")</f>
        <v>#REF!</v>
      </c>
      <c r="H2397" s="139" t="str">
        <f t="shared" si="181"/>
        <v/>
      </c>
      <c r="I2397" s="137" t="str">
        <f t="shared" si="182"/>
        <v/>
      </c>
      <c r="J2397" s="117"/>
      <c r="K2397" s="116">
        <v>0</v>
      </c>
      <c r="M2397" s="136" t="s">
        <v>416</v>
      </c>
      <c r="N2397" t="e">
        <v>#REF!</v>
      </c>
      <c r="Q2397" t="s">
        <v>416</v>
      </c>
    </row>
    <row r="2398" spans="1:17" hidden="1" x14ac:dyDescent="0.25">
      <c r="A2398" s="114" t="s">
        <v>5182</v>
      </c>
      <c r="B2398" s="115" t="s">
        <v>3968</v>
      </c>
      <c r="C2398" s="116" t="s">
        <v>16</v>
      </c>
      <c r="D2398" s="116">
        <v>0</v>
      </c>
      <c r="E2398" s="136" t="s">
        <v>416</v>
      </c>
      <c r="F2398" s="137" t="str">
        <f t="shared" si="180"/>
        <v/>
      </c>
      <c r="G2398" s="138" t="e">
        <f>IF(A2398&lt;&gt;"",IF(AND(#REF!="Padrão",$H$4=#REF!),BDI!$B$17,IF(AND(#REF!="Padrão",$H$4=#REF!),BDI!#REF!,IF(AND(#REF!="Diferenciado",$H$4=#REF!),BDI!$E$17,IF(AND(#REF!="Diferenciado",$H$4=#REF!),BDI!#REF!,IF(#REF!="ZERO",0))))),"")</f>
        <v>#REF!</v>
      </c>
      <c r="H2398" s="139" t="str">
        <f t="shared" si="181"/>
        <v/>
      </c>
      <c r="I2398" s="137" t="str">
        <f t="shared" si="182"/>
        <v/>
      </c>
      <c r="J2398" s="117"/>
      <c r="K2398" s="116">
        <v>0</v>
      </c>
      <c r="M2398" s="136" t="s">
        <v>416</v>
      </c>
      <c r="N2398" t="e">
        <v>#REF!</v>
      </c>
      <c r="Q2398" t="s">
        <v>416</v>
      </c>
    </row>
    <row r="2399" spans="1:17" hidden="1" x14ac:dyDescent="0.25">
      <c r="A2399" s="114" t="s">
        <v>5183</v>
      </c>
      <c r="B2399" s="115" t="s">
        <v>3969</v>
      </c>
      <c r="C2399" s="116" t="s">
        <v>16</v>
      </c>
      <c r="D2399" s="116">
        <v>0</v>
      </c>
      <c r="E2399" s="136" t="s">
        <v>416</v>
      </c>
      <c r="F2399" s="137" t="str">
        <f t="shared" si="180"/>
        <v/>
      </c>
      <c r="G2399" s="138" t="e">
        <f>IF(A2399&lt;&gt;"",IF(AND(#REF!="Padrão",$H$4=#REF!),BDI!$B$17,IF(AND(#REF!="Padrão",$H$4=#REF!),BDI!#REF!,IF(AND(#REF!="Diferenciado",$H$4=#REF!),BDI!$E$17,IF(AND(#REF!="Diferenciado",$H$4=#REF!),BDI!#REF!,IF(#REF!="ZERO",0))))),"")</f>
        <v>#REF!</v>
      </c>
      <c r="H2399" s="139" t="str">
        <f t="shared" si="181"/>
        <v/>
      </c>
      <c r="I2399" s="137" t="str">
        <f t="shared" si="182"/>
        <v/>
      </c>
      <c r="J2399" s="117"/>
      <c r="K2399" s="116">
        <v>0</v>
      </c>
      <c r="M2399" s="136" t="s">
        <v>416</v>
      </c>
      <c r="N2399" t="e">
        <v>#REF!</v>
      </c>
      <c r="Q2399" t="s">
        <v>416</v>
      </c>
    </row>
    <row r="2400" spans="1:17" hidden="1" x14ac:dyDescent="0.25">
      <c r="A2400" s="114" t="s">
        <v>5184</v>
      </c>
      <c r="B2400" s="115" t="s">
        <v>3970</v>
      </c>
      <c r="C2400" s="116" t="s">
        <v>16</v>
      </c>
      <c r="D2400" s="116">
        <v>0</v>
      </c>
      <c r="E2400" s="136" t="s">
        <v>416</v>
      </c>
      <c r="F2400" s="137" t="str">
        <f t="shared" si="180"/>
        <v/>
      </c>
      <c r="G2400" s="138" t="e">
        <f>IF(A2400&lt;&gt;"",IF(AND(#REF!="Padrão",$H$4=#REF!),BDI!$B$17,IF(AND(#REF!="Padrão",$H$4=#REF!),BDI!#REF!,IF(AND(#REF!="Diferenciado",$H$4=#REF!),BDI!$E$17,IF(AND(#REF!="Diferenciado",$H$4=#REF!),BDI!#REF!,IF(#REF!="ZERO",0))))),"")</f>
        <v>#REF!</v>
      </c>
      <c r="H2400" s="139" t="str">
        <f t="shared" si="181"/>
        <v/>
      </c>
      <c r="I2400" s="137" t="str">
        <f t="shared" si="182"/>
        <v/>
      </c>
      <c r="J2400" s="117"/>
      <c r="K2400" s="116">
        <v>0</v>
      </c>
      <c r="M2400" s="136" t="s">
        <v>416</v>
      </c>
      <c r="N2400" t="e">
        <v>#REF!</v>
      </c>
      <c r="Q2400" t="s">
        <v>416</v>
      </c>
    </row>
    <row r="2401" spans="1:17" hidden="1" x14ac:dyDescent="0.25">
      <c r="A2401" s="114" t="s">
        <v>5185</v>
      </c>
      <c r="B2401" s="115" t="s">
        <v>5408</v>
      </c>
      <c r="C2401" s="116" t="s">
        <v>16</v>
      </c>
      <c r="D2401" s="116">
        <v>0</v>
      </c>
      <c r="E2401" s="136" t="s">
        <v>416</v>
      </c>
      <c r="F2401" s="137" t="str">
        <f t="shared" si="180"/>
        <v/>
      </c>
      <c r="G2401" s="138" t="e">
        <f>IF(A2401&lt;&gt;"",IF(AND(#REF!="Padrão",$H$4=#REF!),BDI!$B$17,IF(AND(#REF!="Padrão",$H$4=#REF!),BDI!#REF!,IF(AND(#REF!="Diferenciado",$H$4=#REF!),BDI!$E$17,IF(AND(#REF!="Diferenciado",$H$4=#REF!),BDI!#REF!,IF(#REF!="ZERO",0))))),"")</f>
        <v>#REF!</v>
      </c>
      <c r="H2401" s="139" t="str">
        <f t="shared" si="181"/>
        <v/>
      </c>
      <c r="I2401" s="137" t="str">
        <f t="shared" si="182"/>
        <v/>
      </c>
      <c r="J2401" s="117"/>
      <c r="K2401" s="116">
        <v>0</v>
      </c>
      <c r="M2401" s="136" t="s">
        <v>416</v>
      </c>
      <c r="N2401" t="e">
        <v>#REF!</v>
      </c>
      <c r="Q2401" t="s">
        <v>416</v>
      </c>
    </row>
    <row r="2402" spans="1:17" hidden="1" x14ac:dyDescent="0.25">
      <c r="A2402" s="114" t="s">
        <v>5186</v>
      </c>
      <c r="B2402" s="115" t="s">
        <v>3971</v>
      </c>
      <c r="C2402" s="116" t="s">
        <v>16</v>
      </c>
      <c r="D2402" s="116">
        <v>0</v>
      </c>
      <c r="E2402" s="136" t="s">
        <v>416</v>
      </c>
      <c r="F2402" s="137" t="str">
        <f t="shared" si="180"/>
        <v/>
      </c>
      <c r="G2402" s="138" t="e">
        <f>IF(A2402&lt;&gt;"",IF(AND(#REF!="Padrão",$H$4=#REF!),BDI!$B$17,IF(AND(#REF!="Padrão",$H$4=#REF!),BDI!#REF!,IF(AND(#REF!="Diferenciado",$H$4=#REF!),BDI!$E$17,IF(AND(#REF!="Diferenciado",$H$4=#REF!),BDI!#REF!,IF(#REF!="ZERO",0))))),"")</f>
        <v>#REF!</v>
      </c>
      <c r="H2402" s="139" t="str">
        <f t="shared" si="181"/>
        <v/>
      </c>
      <c r="I2402" s="137" t="str">
        <f t="shared" si="182"/>
        <v/>
      </c>
      <c r="J2402" s="117"/>
      <c r="K2402" s="116">
        <v>0</v>
      </c>
      <c r="M2402" s="136" t="s">
        <v>416</v>
      </c>
      <c r="N2402" t="e">
        <v>#REF!</v>
      </c>
      <c r="Q2402" t="s">
        <v>416</v>
      </c>
    </row>
    <row r="2403" spans="1:17" hidden="1" x14ac:dyDescent="0.25">
      <c r="A2403" s="114" t="s">
        <v>5187</v>
      </c>
      <c r="B2403" s="115" t="s">
        <v>5409</v>
      </c>
      <c r="C2403" s="116" t="s">
        <v>16</v>
      </c>
      <c r="D2403" s="116">
        <v>0</v>
      </c>
      <c r="E2403" s="136" t="s">
        <v>416</v>
      </c>
      <c r="F2403" s="137" t="str">
        <f t="shared" si="180"/>
        <v/>
      </c>
      <c r="G2403" s="138" t="e">
        <f>IF(A2403&lt;&gt;"",IF(AND(#REF!="Padrão",$H$4=#REF!),BDI!$B$17,IF(AND(#REF!="Padrão",$H$4=#REF!),BDI!#REF!,IF(AND(#REF!="Diferenciado",$H$4=#REF!),BDI!$E$17,IF(AND(#REF!="Diferenciado",$H$4=#REF!),BDI!#REF!,IF(#REF!="ZERO",0))))),"")</f>
        <v>#REF!</v>
      </c>
      <c r="H2403" s="139" t="str">
        <f t="shared" si="181"/>
        <v/>
      </c>
      <c r="I2403" s="137" t="str">
        <f t="shared" si="182"/>
        <v/>
      </c>
      <c r="J2403" s="117"/>
      <c r="K2403" s="116">
        <v>0</v>
      </c>
      <c r="M2403" s="136" t="s">
        <v>416</v>
      </c>
      <c r="N2403" t="e">
        <v>#REF!</v>
      </c>
      <c r="Q2403" t="s">
        <v>416</v>
      </c>
    </row>
    <row r="2404" spans="1:17" hidden="1" x14ac:dyDescent="0.25">
      <c r="A2404" s="114" t="s">
        <v>5188</v>
      </c>
      <c r="B2404" s="115" t="s">
        <v>5410</v>
      </c>
      <c r="C2404" s="116" t="s">
        <v>16</v>
      </c>
      <c r="D2404" s="116">
        <v>0</v>
      </c>
      <c r="E2404" s="136" t="s">
        <v>416</v>
      </c>
      <c r="F2404" s="137" t="str">
        <f t="shared" si="180"/>
        <v/>
      </c>
      <c r="G2404" s="138" t="e">
        <f>IF(A2404&lt;&gt;"",IF(AND(#REF!="Padrão",$H$4=#REF!),BDI!$B$17,IF(AND(#REF!="Padrão",$H$4=#REF!),BDI!#REF!,IF(AND(#REF!="Diferenciado",$H$4=#REF!),BDI!$E$17,IF(AND(#REF!="Diferenciado",$H$4=#REF!),BDI!#REF!,IF(#REF!="ZERO",0))))),"")</f>
        <v>#REF!</v>
      </c>
      <c r="H2404" s="139" t="str">
        <f t="shared" si="181"/>
        <v/>
      </c>
      <c r="I2404" s="137" t="str">
        <f t="shared" si="182"/>
        <v/>
      </c>
      <c r="J2404" s="117"/>
      <c r="K2404" s="116">
        <v>0</v>
      </c>
      <c r="M2404" s="136" t="s">
        <v>416</v>
      </c>
      <c r="N2404" t="e">
        <v>#REF!</v>
      </c>
      <c r="Q2404" t="s">
        <v>416</v>
      </c>
    </row>
    <row r="2405" spans="1:17" hidden="1" x14ac:dyDescent="0.25">
      <c r="A2405" s="114" t="s">
        <v>5189</v>
      </c>
      <c r="B2405" s="115" t="s">
        <v>3972</v>
      </c>
      <c r="C2405" s="116" t="s">
        <v>16</v>
      </c>
      <c r="D2405" s="116">
        <v>0</v>
      </c>
      <c r="E2405" s="136" t="s">
        <v>416</v>
      </c>
      <c r="F2405" s="137" t="str">
        <f t="shared" si="180"/>
        <v/>
      </c>
      <c r="G2405" s="138" t="e">
        <f>IF(A2405&lt;&gt;"",IF(AND(#REF!="Padrão",$H$4=#REF!),BDI!$B$17,IF(AND(#REF!="Padrão",$H$4=#REF!),BDI!#REF!,IF(AND(#REF!="Diferenciado",$H$4=#REF!),BDI!$E$17,IF(AND(#REF!="Diferenciado",$H$4=#REF!),BDI!#REF!,IF(#REF!="ZERO",0))))),"")</f>
        <v>#REF!</v>
      </c>
      <c r="H2405" s="139" t="str">
        <f t="shared" si="181"/>
        <v/>
      </c>
      <c r="I2405" s="137" t="str">
        <f t="shared" si="182"/>
        <v/>
      </c>
      <c r="J2405" s="117"/>
      <c r="K2405" s="116">
        <v>0</v>
      </c>
      <c r="M2405" s="136" t="s">
        <v>416</v>
      </c>
      <c r="N2405" t="e">
        <v>#REF!</v>
      </c>
      <c r="Q2405" t="s">
        <v>416</v>
      </c>
    </row>
    <row r="2406" spans="1:17" hidden="1" x14ac:dyDescent="0.25">
      <c r="A2406" s="114" t="s">
        <v>5190</v>
      </c>
      <c r="B2406" s="115" t="s">
        <v>3973</v>
      </c>
      <c r="C2406" s="116" t="s">
        <v>16</v>
      </c>
      <c r="D2406" s="116">
        <v>0</v>
      </c>
      <c r="E2406" s="136" t="s">
        <v>416</v>
      </c>
      <c r="F2406" s="137" t="str">
        <f t="shared" si="180"/>
        <v/>
      </c>
      <c r="G2406" s="138" t="e">
        <f>IF(A2406&lt;&gt;"",IF(AND(#REF!="Padrão",$H$4=#REF!),BDI!$B$17,IF(AND(#REF!="Padrão",$H$4=#REF!),BDI!#REF!,IF(AND(#REF!="Diferenciado",$H$4=#REF!),BDI!$E$17,IF(AND(#REF!="Diferenciado",$H$4=#REF!),BDI!#REF!,IF(#REF!="ZERO",0))))),"")</f>
        <v>#REF!</v>
      </c>
      <c r="H2406" s="139" t="str">
        <f t="shared" si="181"/>
        <v/>
      </c>
      <c r="I2406" s="137" t="str">
        <f t="shared" si="182"/>
        <v/>
      </c>
      <c r="J2406" s="117"/>
      <c r="K2406" s="116">
        <v>0</v>
      </c>
      <c r="M2406" s="136" t="s">
        <v>416</v>
      </c>
      <c r="N2406" t="e">
        <v>#REF!</v>
      </c>
      <c r="Q2406" t="s">
        <v>416</v>
      </c>
    </row>
    <row r="2407" spans="1:17" hidden="1" x14ac:dyDescent="0.25">
      <c r="A2407" s="114" t="s">
        <v>5191</v>
      </c>
      <c r="B2407" s="115" t="s">
        <v>3974</v>
      </c>
      <c r="C2407" s="116" t="s">
        <v>16</v>
      </c>
      <c r="D2407" s="116">
        <v>0</v>
      </c>
      <c r="E2407" s="136" t="s">
        <v>416</v>
      </c>
      <c r="F2407" s="137" t="str">
        <f t="shared" si="180"/>
        <v/>
      </c>
      <c r="G2407" s="138" t="e">
        <f>IF(A2407&lt;&gt;"",IF(AND(#REF!="Padrão",$H$4=#REF!),BDI!$B$17,IF(AND(#REF!="Padrão",$H$4=#REF!),BDI!#REF!,IF(AND(#REF!="Diferenciado",$H$4=#REF!),BDI!$E$17,IF(AND(#REF!="Diferenciado",$H$4=#REF!),BDI!#REF!,IF(#REF!="ZERO",0))))),"")</f>
        <v>#REF!</v>
      </c>
      <c r="H2407" s="139" t="str">
        <f t="shared" si="181"/>
        <v/>
      </c>
      <c r="I2407" s="137" t="str">
        <f t="shared" si="182"/>
        <v/>
      </c>
      <c r="J2407" s="117"/>
      <c r="K2407" s="116">
        <v>0</v>
      </c>
      <c r="M2407" s="136" t="s">
        <v>416</v>
      </c>
      <c r="N2407" t="e">
        <v>#REF!</v>
      </c>
      <c r="Q2407" t="s">
        <v>416</v>
      </c>
    </row>
    <row r="2408" spans="1:17" hidden="1" x14ac:dyDescent="0.25">
      <c r="A2408" s="114" t="s">
        <v>5192</v>
      </c>
      <c r="B2408" s="115" t="s">
        <v>3975</v>
      </c>
      <c r="C2408" s="116" t="s">
        <v>16</v>
      </c>
      <c r="D2408" s="116">
        <v>0</v>
      </c>
      <c r="E2408" s="136" t="s">
        <v>416</v>
      </c>
      <c r="F2408" s="137" t="str">
        <f t="shared" si="180"/>
        <v/>
      </c>
      <c r="G2408" s="138" t="e">
        <f>IF(A2408&lt;&gt;"",IF(AND(#REF!="Padrão",$H$4=#REF!),BDI!$B$17,IF(AND(#REF!="Padrão",$H$4=#REF!),BDI!#REF!,IF(AND(#REF!="Diferenciado",$H$4=#REF!),BDI!$E$17,IF(AND(#REF!="Diferenciado",$H$4=#REF!),BDI!#REF!,IF(#REF!="ZERO",0))))),"")</f>
        <v>#REF!</v>
      </c>
      <c r="H2408" s="139" t="str">
        <f t="shared" si="181"/>
        <v/>
      </c>
      <c r="I2408" s="137" t="str">
        <f t="shared" si="182"/>
        <v/>
      </c>
      <c r="J2408" s="117"/>
      <c r="K2408" s="116">
        <v>0</v>
      </c>
      <c r="M2408" s="136" t="s">
        <v>416</v>
      </c>
      <c r="N2408" t="e">
        <v>#REF!</v>
      </c>
      <c r="Q2408" t="s">
        <v>416</v>
      </c>
    </row>
    <row r="2409" spans="1:17" hidden="1" x14ac:dyDescent="0.25">
      <c r="A2409" s="114" t="s">
        <v>5193</v>
      </c>
      <c r="B2409" s="115" t="s">
        <v>3976</v>
      </c>
      <c r="C2409" s="116" t="s">
        <v>16</v>
      </c>
      <c r="D2409" s="116">
        <v>0</v>
      </c>
      <c r="E2409" s="136" t="s">
        <v>416</v>
      </c>
      <c r="F2409" s="137" t="str">
        <f t="shared" si="180"/>
        <v/>
      </c>
      <c r="G2409" s="138" t="e">
        <f>IF(A2409&lt;&gt;"",IF(AND(#REF!="Padrão",$H$4=#REF!),BDI!$B$17,IF(AND(#REF!="Padrão",$H$4=#REF!),BDI!#REF!,IF(AND(#REF!="Diferenciado",$H$4=#REF!),BDI!$E$17,IF(AND(#REF!="Diferenciado",$H$4=#REF!),BDI!#REF!,IF(#REF!="ZERO",0))))),"")</f>
        <v>#REF!</v>
      </c>
      <c r="H2409" s="139" t="str">
        <f t="shared" si="181"/>
        <v/>
      </c>
      <c r="I2409" s="137" t="str">
        <f t="shared" si="182"/>
        <v/>
      </c>
      <c r="J2409" s="117"/>
      <c r="K2409" s="116">
        <v>0</v>
      </c>
      <c r="M2409" s="136" t="s">
        <v>416</v>
      </c>
      <c r="N2409" t="e">
        <v>#REF!</v>
      </c>
      <c r="Q2409" t="s">
        <v>416</v>
      </c>
    </row>
    <row r="2410" spans="1:17" hidden="1" x14ac:dyDescent="0.25">
      <c r="A2410" s="114" t="s">
        <v>5194</v>
      </c>
      <c r="B2410" s="115" t="s">
        <v>3977</v>
      </c>
      <c r="C2410" s="116" t="s">
        <v>16</v>
      </c>
      <c r="D2410" s="116">
        <v>0</v>
      </c>
      <c r="E2410" s="136" t="s">
        <v>416</v>
      </c>
      <c r="F2410" s="137" t="str">
        <f t="shared" si="180"/>
        <v/>
      </c>
      <c r="G2410" s="138" t="e">
        <f>IF(A2410&lt;&gt;"",IF(AND(#REF!="Padrão",$H$4=#REF!),BDI!$B$17,IF(AND(#REF!="Padrão",$H$4=#REF!),BDI!#REF!,IF(AND(#REF!="Diferenciado",$H$4=#REF!),BDI!$E$17,IF(AND(#REF!="Diferenciado",$H$4=#REF!),BDI!#REF!,IF(#REF!="ZERO",0))))),"")</f>
        <v>#REF!</v>
      </c>
      <c r="H2410" s="139" t="str">
        <f t="shared" si="181"/>
        <v/>
      </c>
      <c r="I2410" s="137" t="str">
        <f t="shared" si="182"/>
        <v/>
      </c>
      <c r="J2410" s="117"/>
      <c r="K2410" s="116">
        <v>0</v>
      </c>
      <c r="M2410" s="136" t="s">
        <v>416</v>
      </c>
      <c r="N2410" t="e">
        <v>#REF!</v>
      </c>
      <c r="Q2410" t="s">
        <v>416</v>
      </c>
    </row>
    <row r="2411" spans="1:17" hidden="1" x14ac:dyDescent="0.25">
      <c r="A2411" s="114" t="s">
        <v>5195</v>
      </c>
      <c r="B2411" s="115" t="s">
        <v>3978</v>
      </c>
      <c r="C2411" s="116" t="s">
        <v>16</v>
      </c>
      <c r="D2411" s="116">
        <v>0</v>
      </c>
      <c r="E2411" s="136" t="s">
        <v>416</v>
      </c>
      <c r="F2411" s="137" t="str">
        <f t="shared" si="180"/>
        <v/>
      </c>
      <c r="G2411" s="138" t="e">
        <f>IF(A2411&lt;&gt;"",IF(AND(#REF!="Padrão",$H$4=#REF!),BDI!$B$17,IF(AND(#REF!="Padrão",$H$4=#REF!),BDI!#REF!,IF(AND(#REF!="Diferenciado",$H$4=#REF!),BDI!$E$17,IF(AND(#REF!="Diferenciado",$H$4=#REF!),BDI!#REF!,IF(#REF!="ZERO",0))))),"")</f>
        <v>#REF!</v>
      </c>
      <c r="H2411" s="139" t="str">
        <f t="shared" si="181"/>
        <v/>
      </c>
      <c r="I2411" s="137" t="str">
        <f t="shared" si="182"/>
        <v/>
      </c>
      <c r="J2411" s="117"/>
      <c r="K2411" s="116">
        <v>0</v>
      </c>
      <c r="M2411" s="136" t="s">
        <v>416</v>
      </c>
      <c r="N2411" t="e">
        <v>#REF!</v>
      </c>
      <c r="Q2411" t="s">
        <v>416</v>
      </c>
    </row>
    <row r="2412" spans="1:17" hidden="1" x14ac:dyDescent="0.25">
      <c r="A2412" s="114" t="s">
        <v>5196</v>
      </c>
      <c r="B2412" s="115" t="s">
        <v>3979</v>
      </c>
      <c r="C2412" s="116" t="s">
        <v>16</v>
      </c>
      <c r="D2412" s="116">
        <v>0</v>
      </c>
      <c r="E2412" s="136" t="s">
        <v>416</v>
      </c>
      <c r="F2412" s="137" t="str">
        <f t="shared" si="180"/>
        <v/>
      </c>
      <c r="G2412" s="138" t="e">
        <f>IF(A2412&lt;&gt;"",IF(AND(#REF!="Padrão",$H$4=#REF!),BDI!$B$17,IF(AND(#REF!="Padrão",$H$4=#REF!),BDI!#REF!,IF(AND(#REF!="Diferenciado",$H$4=#REF!),BDI!$E$17,IF(AND(#REF!="Diferenciado",$H$4=#REF!),BDI!#REF!,IF(#REF!="ZERO",0))))),"")</f>
        <v>#REF!</v>
      </c>
      <c r="H2412" s="139" t="str">
        <f t="shared" si="181"/>
        <v/>
      </c>
      <c r="I2412" s="137" t="str">
        <f t="shared" si="182"/>
        <v/>
      </c>
      <c r="J2412" s="117"/>
      <c r="K2412" s="116">
        <v>0</v>
      </c>
      <c r="M2412" s="136" t="s">
        <v>416</v>
      </c>
      <c r="N2412" t="e">
        <v>#REF!</v>
      </c>
      <c r="Q2412" t="s">
        <v>416</v>
      </c>
    </row>
    <row r="2413" spans="1:17" hidden="1" x14ac:dyDescent="0.25">
      <c r="A2413" s="114" t="s">
        <v>5197</v>
      </c>
      <c r="B2413" s="115" t="s">
        <v>3980</v>
      </c>
      <c r="C2413" s="116" t="s">
        <v>16</v>
      </c>
      <c r="D2413" s="116">
        <v>0</v>
      </c>
      <c r="E2413" s="136" t="s">
        <v>416</v>
      </c>
      <c r="F2413" s="137" t="str">
        <f t="shared" ref="F2413:F2476" si="183">IF(ISNUMBER(E2413),D2413*E2413,"")</f>
        <v/>
      </c>
      <c r="G2413" s="138" t="e">
        <f>IF(A2413&lt;&gt;"",IF(AND(#REF!="Padrão",$H$4=#REF!),BDI!$B$17,IF(AND(#REF!="Padrão",$H$4=#REF!),BDI!#REF!,IF(AND(#REF!="Diferenciado",$H$4=#REF!),BDI!$E$17,IF(AND(#REF!="Diferenciado",$H$4=#REF!),BDI!#REF!,IF(#REF!="ZERO",0))))),"")</f>
        <v>#REF!</v>
      </c>
      <c r="H2413" s="139" t="str">
        <f t="shared" ref="H2413:H2476" si="184">IF(ISNUMBER(E2413),ROUND(E2413*(1+G2413),2),"")</f>
        <v/>
      </c>
      <c r="I2413" s="137" t="str">
        <f t="shared" ref="I2413:I2476" si="185">IF(ISNUMBER(E2413),ROUND(H2413*D2413,2),"")</f>
        <v/>
      </c>
      <c r="J2413" s="117"/>
      <c r="K2413" s="116">
        <v>0</v>
      </c>
      <c r="M2413" s="136" t="s">
        <v>416</v>
      </c>
      <c r="N2413" t="e">
        <v>#REF!</v>
      </c>
      <c r="Q2413" t="s">
        <v>416</v>
      </c>
    </row>
    <row r="2414" spans="1:17" hidden="1" x14ac:dyDescent="0.25">
      <c r="A2414" s="114" t="s">
        <v>5198</v>
      </c>
      <c r="B2414" s="115" t="s">
        <v>3981</v>
      </c>
      <c r="C2414" s="116" t="s">
        <v>16</v>
      </c>
      <c r="D2414" s="116">
        <v>0</v>
      </c>
      <c r="E2414" s="136" t="s">
        <v>416</v>
      </c>
      <c r="F2414" s="137" t="str">
        <f t="shared" si="183"/>
        <v/>
      </c>
      <c r="G2414" s="138" t="e">
        <f>IF(A2414&lt;&gt;"",IF(AND(#REF!="Padrão",$H$4=#REF!),BDI!$B$17,IF(AND(#REF!="Padrão",$H$4=#REF!),BDI!#REF!,IF(AND(#REF!="Diferenciado",$H$4=#REF!),BDI!$E$17,IF(AND(#REF!="Diferenciado",$H$4=#REF!),BDI!#REF!,IF(#REF!="ZERO",0))))),"")</f>
        <v>#REF!</v>
      </c>
      <c r="H2414" s="139" t="str">
        <f t="shared" si="184"/>
        <v/>
      </c>
      <c r="I2414" s="137" t="str">
        <f t="shared" si="185"/>
        <v/>
      </c>
      <c r="J2414" s="117"/>
      <c r="K2414" s="116">
        <v>0</v>
      </c>
      <c r="M2414" s="136" t="s">
        <v>416</v>
      </c>
      <c r="N2414" t="e">
        <v>#REF!</v>
      </c>
      <c r="Q2414" t="s">
        <v>416</v>
      </c>
    </row>
    <row r="2415" spans="1:17" hidden="1" x14ac:dyDescent="0.25">
      <c r="A2415" s="114" t="s">
        <v>5199</v>
      </c>
      <c r="B2415" s="115" t="s">
        <v>3982</v>
      </c>
      <c r="C2415" s="116" t="s">
        <v>16</v>
      </c>
      <c r="D2415" s="116">
        <v>0</v>
      </c>
      <c r="E2415" s="136" t="s">
        <v>416</v>
      </c>
      <c r="F2415" s="137" t="str">
        <f t="shared" si="183"/>
        <v/>
      </c>
      <c r="G2415" s="138" t="e">
        <f>IF(A2415&lt;&gt;"",IF(AND(#REF!="Padrão",$H$4=#REF!),BDI!$B$17,IF(AND(#REF!="Padrão",$H$4=#REF!),BDI!#REF!,IF(AND(#REF!="Diferenciado",$H$4=#REF!),BDI!$E$17,IF(AND(#REF!="Diferenciado",$H$4=#REF!),BDI!#REF!,IF(#REF!="ZERO",0))))),"")</f>
        <v>#REF!</v>
      </c>
      <c r="H2415" s="139" t="str">
        <f t="shared" si="184"/>
        <v/>
      </c>
      <c r="I2415" s="137" t="str">
        <f t="shared" si="185"/>
        <v/>
      </c>
      <c r="J2415" s="117"/>
      <c r="K2415" s="116">
        <v>0</v>
      </c>
      <c r="M2415" s="136" t="s">
        <v>416</v>
      </c>
      <c r="N2415" t="e">
        <v>#REF!</v>
      </c>
      <c r="Q2415" t="s">
        <v>416</v>
      </c>
    </row>
    <row r="2416" spans="1:17" hidden="1" x14ac:dyDescent="0.25">
      <c r="A2416" s="114" t="s">
        <v>5200</v>
      </c>
      <c r="B2416" s="115" t="s">
        <v>3983</v>
      </c>
      <c r="C2416" s="116" t="s">
        <v>69</v>
      </c>
      <c r="D2416" s="116">
        <v>0</v>
      </c>
      <c r="E2416" s="136" t="s">
        <v>416</v>
      </c>
      <c r="F2416" s="137" t="str">
        <f t="shared" si="183"/>
        <v/>
      </c>
      <c r="G2416" s="138" t="e">
        <f>IF(A2416&lt;&gt;"",IF(AND(#REF!="Padrão",$H$4=#REF!),BDI!$B$17,IF(AND(#REF!="Padrão",$H$4=#REF!),BDI!#REF!,IF(AND(#REF!="Diferenciado",$H$4=#REF!),BDI!$E$17,IF(AND(#REF!="Diferenciado",$H$4=#REF!),BDI!#REF!,IF(#REF!="ZERO",0))))),"")</f>
        <v>#REF!</v>
      </c>
      <c r="H2416" s="139" t="str">
        <f t="shared" si="184"/>
        <v/>
      </c>
      <c r="I2416" s="137" t="str">
        <f t="shared" si="185"/>
        <v/>
      </c>
      <c r="J2416" s="117"/>
      <c r="K2416" s="116">
        <v>0</v>
      </c>
      <c r="M2416" s="136" t="s">
        <v>416</v>
      </c>
      <c r="N2416" t="e">
        <v>#REF!</v>
      </c>
      <c r="Q2416" t="s">
        <v>416</v>
      </c>
    </row>
    <row r="2417" spans="1:17" hidden="1" x14ac:dyDescent="0.25">
      <c r="A2417" s="114" t="s">
        <v>5201</v>
      </c>
      <c r="B2417" s="115" t="s">
        <v>3984</v>
      </c>
      <c r="C2417" s="116" t="s">
        <v>16</v>
      </c>
      <c r="D2417" s="116">
        <v>0</v>
      </c>
      <c r="E2417" s="136" t="s">
        <v>416</v>
      </c>
      <c r="F2417" s="137" t="str">
        <f t="shared" si="183"/>
        <v/>
      </c>
      <c r="G2417" s="138" t="e">
        <f>IF(A2417&lt;&gt;"",IF(AND(#REF!="Padrão",$H$4=#REF!),BDI!$B$17,IF(AND(#REF!="Padrão",$H$4=#REF!),BDI!#REF!,IF(AND(#REF!="Diferenciado",$H$4=#REF!),BDI!$E$17,IF(AND(#REF!="Diferenciado",$H$4=#REF!),BDI!#REF!,IF(#REF!="ZERO",0))))),"")</f>
        <v>#REF!</v>
      </c>
      <c r="H2417" s="139" t="str">
        <f t="shared" si="184"/>
        <v/>
      </c>
      <c r="I2417" s="137" t="str">
        <f t="shared" si="185"/>
        <v/>
      </c>
      <c r="J2417" s="117"/>
      <c r="K2417" s="116">
        <v>0</v>
      </c>
      <c r="M2417" s="136" t="s">
        <v>416</v>
      </c>
      <c r="N2417" t="e">
        <v>#REF!</v>
      </c>
      <c r="Q2417" t="s">
        <v>416</v>
      </c>
    </row>
    <row r="2418" spans="1:17" hidden="1" x14ac:dyDescent="0.25">
      <c r="A2418" s="114" t="s">
        <v>5202</v>
      </c>
      <c r="B2418" s="115" t="s">
        <v>3985</v>
      </c>
      <c r="C2418" s="116" t="s">
        <v>16</v>
      </c>
      <c r="D2418" s="116">
        <v>0</v>
      </c>
      <c r="E2418" s="136" t="s">
        <v>416</v>
      </c>
      <c r="F2418" s="137" t="str">
        <f t="shared" si="183"/>
        <v/>
      </c>
      <c r="G2418" s="138" t="e">
        <f>IF(A2418&lt;&gt;"",IF(AND(#REF!="Padrão",$H$4=#REF!),BDI!$B$17,IF(AND(#REF!="Padrão",$H$4=#REF!),BDI!#REF!,IF(AND(#REF!="Diferenciado",$H$4=#REF!),BDI!$E$17,IF(AND(#REF!="Diferenciado",$H$4=#REF!),BDI!#REF!,IF(#REF!="ZERO",0))))),"")</f>
        <v>#REF!</v>
      </c>
      <c r="H2418" s="139" t="str">
        <f t="shared" si="184"/>
        <v/>
      </c>
      <c r="I2418" s="137" t="str">
        <f t="shared" si="185"/>
        <v/>
      </c>
      <c r="J2418" s="117"/>
      <c r="K2418" s="116">
        <v>0</v>
      </c>
      <c r="M2418" s="136" t="s">
        <v>416</v>
      </c>
      <c r="N2418" t="e">
        <v>#REF!</v>
      </c>
      <c r="Q2418" t="s">
        <v>416</v>
      </c>
    </row>
    <row r="2419" spans="1:17" hidden="1" x14ac:dyDescent="0.25">
      <c r="A2419" s="114" t="s">
        <v>5203</v>
      </c>
      <c r="B2419" s="115" t="s">
        <v>3986</v>
      </c>
      <c r="C2419" s="116" t="s">
        <v>16</v>
      </c>
      <c r="D2419" s="116">
        <v>0</v>
      </c>
      <c r="E2419" s="136" t="s">
        <v>416</v>
      </c>
      <c r="F2419" s="137" t="str">
        <f t="shared" si="183"/>
        <v/>
      </c>
      <c r="G2419" s="138" t="e">
        <f>IF(A2419&lt;&gt;"",IF(AND(#REF!="Padrão",$H$4=#REF!),BDI!$B$17,IF(AND(#REF!="Padrão",$H$4=#REF!),BDI!#REF!,IF(AND(#REF!="Diferenciado",$H$4=#REF!),BDI!$E$17,IF(AND(#REF!="Diferenciado",$H$4=#REF!),BDI!#REF!,IF(#REF!="ZERO",0))))),"")</f>
        <v>#REF!</v>
      </c>
      <c r="H2419" s="139" t="str">
        <f t="shared" si="184"/>
        <v/>
      </c>
      <c r="I2419" s="137" t="str">
        <f t="shared" si="185"/>
        <v/>
      </c>
      <c r="J2419" s="117"/>
      <c r="K2419" s="116">
        <v>0</v>
      </c>
      <c r="M2419" s="136" t="s">
        <v>416</v>
      </c>
      <c r="N2419" t="e">
        <v>#REF!</v>
      </c>
      <c r="Q2419" t="s">
        <v>416</v>
      </c>
    </row>
    <row r="2420" spans="1:17" hidden="1" x14ac:dyDescent="0.25">
      <c r="A2420" s="114" t="s">
        <v>5204</v>
      </c>
      <c r="B2420" s="115" t="s">
        <v>3987</v>
      </c>
      <c r="C2420" s="116" t="s">
        <v>16</v>
      </c>
      <c r="D2420" s="116">
        <v>0</v>
      </c>
      <c r="E2420" s="136" t="s">
        <v>416</v>
      </c>
      <c r="F2420" s="137" t="str">
        <f t="shared" si="183"/>
        <v/>
      </c>
      <c r="G2420" s="138" t="e">
        <f>IF(A2420&lt;&gt;"",IF(AND(#REF!="Padrão",$H$4=#REF!),BDI!$B$17,IF(AND(#REF!="Padrão",$H$4=#REF!),BDI!#REF!,IF(AND(#REF!="Diferenciado",$H$4=#REF!),BDI!$E$17,IF(AND(#REF!="Diferenciado",$H$4=#REF!),BDI!#REF!,IF(#REF!="ZERO",0))))),"")</f>
        <v>#REF!</v>
      </c>
      <c r="H2420" s="139" t="str">
        <f t="shared" si="184"/>
        <v/>
      </c>
      <c r="I2420" s="137" t="str">
        <f t="shared" si="185"/>
        <v/>
      </c>
      <c r="J2420" s="117"/>
      <c r="K2420" s="116">
        <v>0</v>
      </c>
      <c r="M2420" s="136" t="s">
        <v>416</v>
      </c>
      <c r="N2420" t="e">
        <v>#REF!</v>
      </c>
      <c r="Q2420" t="s">
        <v>416</v>
      </c>
    </row>
    <row r="2421" spans="1:17" hidden="1" x14ac:dyDescent="0.25">
      <c r="A2421" s="114" t="s">
        <v>5205</v>
      </c>
      <c r="B2421" s="115" t="s">
        <v>3988</v>
      </c>
      <c r="C2421" s="116" t="s">
        <v>16</v>
      </c>
      <c r="D2421" s="116">
        <v>0</v>
      </c>
      <c r="E2421" s="136" t="s">
        <v>416</v>
      </c>
      <c r="F2421" s="137" t="str">
        <f t="shared" si="183"/>
        <v/>
      </c>
      <c r="G2421" s="138" t="e">
        <f>IF(A2421&lt;&gt;"",IF(AND(#REF!="Padrão",$H$4=#REF!),BDI!$B$17,IF(AND(#REF!="Padrão",$H$4=#REF!),BDI!#REF!,IF(AND(#REF!="Diferenciado",$H$4=#REF!),BDI!$E$17,IF(AND(#REF!="Diferenciado",$H$4=#REF!),BDI!#REF!,IF(#REF!="ZERO",0))))),"")</f>
        <v>#REF!</v>
      </c>
      <c r="H2421" s="139" t="str">
        <f t="shared" si="184"/>
        <v/>
      </c>
      <c r="I2421" s="137" t="str">
        <f t="shared" si="185"/>
        <v/>
      </c>
      <c r="J2421" s="117"/>
      <c r="K2421" s="116">
        <v>0</v>
      </c>
      <c r="M2421" s="136" t="s">
        <v>416</v>
      </c>
      <c r="N2421" t="e">
        <v>#REF!</v>
      </c>
      <c r="Q2421" t="s">
        <v>416</v>
      </c>
    </row>
    <row r="2422" spans="1:17" hidden="1" x14ac:dyDescent="0.25">
      <c r="A2422" s="114" t="s">
        <v>5206</v>
      </c>
      <c r="B2422" s="115" t="s">
        <v>3989</v>
      </c>
      <c r="C2422" s="116" t="s">
        <v>16</v>
      </c>
      <c r="D2422" s="116">
        <v>0</v>
      </c>
      <c r="E2422" s="136" t="s">
        <v>416</v>
      </c>
      <c r="F2422" s="137" t="str">
        <f t="shared" si="183"/>
        <v/>
      </c>
      <c r="G2422" s="138" t="e">
        <f>IF(A2422&lt;&gt;"",IF(AND(#REF!="Padrão",$H$4=#REF!),BDI!$B$17,IF(AND(#REF!="Padrão",$H$4=#REF!),BDI!#REF!,IF(AND(#REF!="Diferenciado",$H$4=#REF!),BDI!$E$17,IF(AND(#REF!="Diferenciado",$H$4=#REF!),BDI!#REF!,IF(#REF!="ZERO",0))))),"")</f>
        <v>#REF!</v>
      </c>
      <c r="H2422" s="139" t="str">
        <f t="shared" si="184"/>
        <v/>
      </c>
      <c r="I2422" s="137" t="str">
        <f t="shared" si="185"/>
        <v/>
      </c>
      <c r="J2422" s="117"/>
      <c r="K2422" s="116">
        <v>0</v>
      </c>
      <c r="M2422" s="136" t="s">
        <v>416</v>
      </c>
      <c r="N2422" t="e">
        <v>#REF!</v>
      </c>
      <c r="Q2422" t="s">
        <v>416</v>
      </c>
    </row>
    <row r="2423" spans="1:17" hidden="1" x14ac:dyDescent="0.25">
      <c r="A2423" s="114" t="s">
        <v>5207</v>
      </c>
      <c r="B2423" s="115" t="s">
        <v>3990</v>
      </c>
      <c r="C2423" s="116" t="s">
        <v>16</v>
      </c>
      <c r="D2423" s="116">
        <v>0</v>
      </c>
      <c r="E2423" s="136" t="s">
        <v>416</v>
      </c>
      <c r="F2423" s="137" t="str">
        <f t="shared" si="183"/>
        <v/>
      </c>
      <c r="G2423" s="138" t="e">
        <f>IF(A2423&lt;&gt;"",IF(AND(#REF!="Padrão",$H$4=#REF!),BDI!$B$17,IF(AND(#REF!="Padrão",$H$4=#REF!),BDI!#REF!,IF(AND(#REF!="Diferenciado",$H$4=#REF!),BDI!$E$17,IF(AND(#REF!="Diferenciado",$H$4=#REF!),BDI!#REF!,IF(#REF!="ZERO",0))))),"")</f>
        <v>#REF!</v>
      </c>
      <c r="H2423" s="139" t="str">
        <f t="shared" si="184"/>
        <v/>
      </c>
      <c r="I2423" s="137" t="str">
        <f t="shared" si="185"/>
        <v/>
      </c>
      <c r="J2423" s="117"/>
      <c r="K2423" s="116">
        <v>0</v>
      </c>
      <c r="M2423" s="136" t="s">
        <v>416</v>
      </c>
      <c r="N2423" t="e">
        <v>#REF!</v>
      </c>
      <c r="Q2423" t="s">
        <v>416</v>
      </c>
    </row>
    <row r="2424" spans="1:17" hidden="1" x14ac:dyDescent="0.25">
      <c r="A2424" s="114" t="s">
        <v>5208</v>
      </c>
      <c r="B2424" s="115" t="s">
        <v>3991</v>
      </c>
      <c r="C2424" s="116" t="s">
        <v>16</v>
      </c>
      <c r="D2424" s="116">
        <v>0</v>
      </c>
      <c r="E2424" s="136" t="s">
        <v>416</v>
      </c>
      <c r="F2424" s="137" t="str">
        <f t="shared" si="183"/>
        <v/>
      </c>
      <c r="G2424" s="138" t="e">
        <f>IF(A2424&lt;&gt;"",IF(AND(#REF!="Padrão",$H$4=#REF!),BDI!$B$17,IF(AND(#REF!="Padrão",$H$4=#REF!),BDI!#REF!,IF(AND(#REF!="Diferenciado",$H$4=#REF!),BDI!$E$17,IF(AND(#REF!="Diferenciado",$H$4=#REF!),BDI!#REF!,IF(#REF!="ZERO",0))))),"")</f>
        <v>#REF!</v>
      </c>
      <c r="H2424" s="139" t="str">
        <f t="shared" si="184"/>
        <v/>
      </c>
      <c r="I2424" s="137" t="str">
        <f t="shared" si="185"/>
        <v/>
      </c>
      <c r="J2424" s="117"/>
      <c r="K2424" s="116">
        <v>0</v>
      </c>
      <c r="M2424" s="136" t="s">
        <v>416</v>
      </c>
      <c r="N2424" t="e">
        <v>#REF!</v>
      </c>
      <c r="Q2424" t="s">
        <v>416</v>
      </c>
    </row>
    <row r="2425" spans="1:17" hidden="1" x14ac:dyDescent="0.25">
      <c r="A2425" s="114" t="s">
        <v>5209</v>
      </c>
      <c r="B2425" s="115" t="s">
        <v>3992</v>
      </c>
      <c r="C2425" s="116" t="s">
        <v>16</v>
      </c>
      <c r="D2425" s="116">
        <v>0</v>
      </c>
      <c r="E2425" s="136" t="s">
        <v>416</v>
      </c>
      <c r="F2425" s="137" t="str">
        <f t="shared" si="183"/>
        <v/>
      </c>
      <c r="G2425" s="138" t="e">
        <f>IF(A2425&lt;&gt;"",IF(AND(#REF!="Padrão",$H$4=#REF!),BDI!$B$17,IF(AND(#REF!="Padrão",$H$4=#REF!),BDI!#REF!,IF(AND(#REF!="Diferenciado",$H$4=#REF!),BDI!$E$17,IF(AND(#REF!="Diferenciado",$H$4=#REF!),BDI!#REF!,IF(#REF!="ZERO",0))))),"")</f>
        <v>#REF!</v>
      </c>
      <c r="H2425" s="139" t="str">
        <f t="shared" si="184"/>
        <v/>
      </c>
      <c r="I2425" s="137" t="str">
        <f t="shared" si="185"/>
        <v/>
      </c>
      <c r="J2425" s="117"/>
      <c r="K2425" s="116">
        <v>0</v>
      </c>
      <c r="M2425" s="136" t="s">
        <v>416</v>
      </c>
      <c r="N2425" t="e">
        <v>#REF!</v>
      </c>
      <c r="Q2425" t="s">
        <v>416</v>
      </c>
    </row>
    <row r="2426" spans="1:17" hidden="1" x14ac:dyDescent="0.25">
      <c r="A2426" s="114" t="s">
        <v>5210</v>
      </c>
      <c r="B2426" s="115" t="s">
        <v>3993</v>
      </c>
      <c r="C2426" s="116" t="s">
        <v>16</v>
      </c>
      <c r="D2426" s="116">
        <v>0</v>
      </c>
      <c r="E2426" s="136" t="s">
        <v>416</v>
      </c>
      <c r="F2426" s="137" t="str">
        <f t="shared" si="183"/>
        <v/>
      </c>
      <c r="G2426" s="138" t="e">
        <f>IF(A2426&lt;&gt;"",IF(AND(#REF!="Padrão",$H$4=#REF!),BDI!$B$17,IF(AND(#REF!="Padrão",$H$4=#REF!),BDI!#REF!,IF(AND(#REF!="Diferenciado",$H$4=#REF!),BDI!$E$17,IF(AND(#REF!="Diferenciado",$H$4=#REF!),BDI!#REF!,IF(#REF!="ZERO",0))))),"")</f>
        <v>#REF!</v>
      </c>
      <c r="H2426" s="139" t="str">
        <f t="shared" si="184"/>
        <v/>
      </c>
      <c r="I2426" s="137" t="str">
        <f t="shared" si="185"/>
        <v/>
      </c>
      <c r="J2426" s="117"/>
      <c r="K2426" s="116">
        <v>0</v>
      </c>
      <c r="M2426" s="136" t="s">
        <v>416</v>
      </c>
      <c r="N2426" t="e">
        <v>#REF!</v>
      </c>
      <c r="Q2426" t="s">
        <v>416</v>
      </c>
    </row>
    <row r="2427" spans="1:17" hidden="1" x14ac:dyDescent="0.25">
      <c r="A2427" s="114" t="s">
        <v>5211</v>
      </c>
      <c r="B2427" s="115" t="s">
        <v>3994</v>
      </c>
      <c r="C2427" s="116" t="s">
        <v>16</v>
      </c>
      <c r="D2427" s="116">
        <v>0</v>
      </c>
      <c r="E2427" s="136" t="s">
        <v>416</v>
      </c>
      <c r="F2427" s="137" t="str">
        <f t="shared" si="183"/>
        <v/>
      </c>
      <c r="G2427" s="138" t="e">
        <f>IF(A2427&lt;&gt;"",IF(AND(#REF!="Padrão",$H$4=#REF!),BDI!$B$17,IF(AND(#REF!="Padrão",$H$4=#REF!),BDI!#REF!,IF(AND(#REF!="Diferenciado",$H$4=#REF!),BDI!$E$17,IF(AND(#REF!="Diferenciado",$H$4=#REF!),BDI!#REF!,IF(#REF!="ZERO",0))))),"")</f>
        <v>#REF!</v>
      </c>
      <c r="H2427" s="139" t="str">
        <f t="shared" si="184"/>
        <v/>
      </c>
      <c r="I2427" s="137" t="str">
        <f t="shared" si="185"/>
        <v/>
      </c>
      <c r="J2427" s="117"/>
      <c r="K2427" s="116">
        <v>0</v>
      </c>
      <c r="M2427" s="136" t="s">
        <v>416</v>
      </c>
      <c r="N2427" t="e">
        <v>#REF!</v>
      </c>
      <c r="Q2427" t="s">
        <v>416</v>
      </c>
    </row>
    <row r="2428" spans="1:17" hidden="1" x14ac:dyDescent="0.25">
      <c r="A2428" s="114" t="s">
        <v>5212</v>
      </c>
      <c r="B2428" s="115" t="s">
        <v>3995</v>
      </c>
      <c r="C2428" s="116" t="s">
        <v>16</v>
      </c>
      <c r="D2428" s="116">
        <v>0</v>
      </c>
      <c r="E2428" s="136" t="s">
        <v>416</v>
      </c>
      <c r="F2428" s="137" t="str">
        <f t="shared" si="183"/>
        <v/>
      </c>
      <c r="G2428" s="138" t="e">
        <f>IF(A2428&lt;&gt;"",IF(AND(#REF!="Padrão",$H$4=#REF!),BDI!$B$17,IF(AND(#REF!="Padrão",$H$4=#REF!),BDI!#REF!,IF(AND(#REF!="Diferenciado",$H$4=#REF!),BDI!$E$17,IF(AND(#REF!="Diferenciado",$H$4=#REF!),BDI!#REF!,IF(#REF!="ZERO",0))))),"")</f>
        <v>#REF!</v>
      </c>
      <c r="H2428" s="139" t="str">
        <f t="shared" si="184"/>
        <v/>
      </c>
      <c r="I2428" s="137" t="str">
        <f t="shared" si="185"/>
        <v/>
      </c>
      <c r="J2428" s="117"/>
      <c r="K2428" s="116">
        <v>0</v>
      </c>
      <c r="M2428" s="136" t="s">
        <v>416</v>
      </c>
      <c r="N2428" t="e">
        <v>#REF!</v>
      </c>
      <c r="Q2428" t="s">
        <v>416</v>
      </c>
    </row>
    <row r="2429" spans="1:17" hidden="1" x14ac:dyDescent="0.25">
      <c r="A2429" s="114" t="s">
        <v>5213</v>
      </c>
      <c r="B2429" s="115" t="s">
        <v>3996</v>
      </c>
      <c r="C2429" s="116" t="s">
        <v>16</v>
      </c>
      <c r="D2429" s="116">
        <v>0</v>
      </c>
      <c r="E2429" s="136" t="s">
        <v>416</v>
      </c>
      <c r="F2429" s="137" t="str">
        <f t="shared" si="183"/>
        <v/>
      </c>
      <c r="G2429" s="138" t="e">
        <f>IF(A2429&lt;&gt;"",IF(AND(#REF!="Padrão",$H$4=#REF!),BDI!$B$17,IF(AND(#REF!="Padrão",$H$4=#REF!),BDI!#REF!,IF(AND(#REF!="Diferenciado",$H$4=#REF!),BDI!$E$17,IF(AND(#REF!="Diferenciado",$H$4=#REF!),BDI!#REF!,IF(#REF!="ZERO",0))))),"")</f>
        <v>#REF!</v>
      </c>
      <c r="H2429" s="139" t="str">
        <f t="shared" si="184"/>
        <v/>
      </c>
      <c r="I2429" s="137" t="str">
        <f t="shared" si="185"/>
        <v/>
      </c>
      <c r="J2429" s="117"/>
      <c r="K2429" s="116">
        <v>0</v>
      </c>
      <c r="M2429" s="136" t="s">
        <v>416</v>
      </c>
      <c r="N2429" t="e">
        <v>#REF!</v>
      </c>
      <c r="Q2429" t="s">
        <v>416</v>
      </c>
    </row>
    <row r="2430" spans="1:17" hidden="1" x14ac:dyDescent="0.25">
      <c r="A2430" s="114" t="s">
        <v>5214</v>
      </c>
      <c r="B2430" s="115" t="s">
        <v>3997</v>
      </c>
      <c r="C2430" s="116" t="s">
        <v>16</v>
      </c>
      <c r="D2430" s="116">
        <v>0</v>
      </c>
      <c r="E2430" s="136" t="s">
        <v>416</v>
      </c>
      <c r="F2430" s="137" t="str">
        <f t="shared" si="183"/>
        <v/>
      </c>
      <c r="G2430" s="138" t="e">
        <f>IF(A2430&lt;&gt;"",IF(AND(#REF!="Padrão",$H$4=#REF!),BDI!$B$17,IF(AND(#REF!="Padrão",$H$4=#REF!),BDI!#REF!,IF(AND(#REF!="Diferenciado",$H$4=#REF!),BDI!$E$17,IF(AND(#REF!="Diferenciado",$H$4=#REF!),BDI!#REF!,IF(#REF!="ZERO",0))))),"")</f>
        <v>#REF!</v>
      </c>
      <c r="H2430" s="139" t="str">
        <f t="shared" si="184"/>
        <v/>
      </c>
      <c r="I2430" s="137" t="str">
        <f t="shared" si="185"/>
        <v/>
      </c>
      <c r="J2430" s="117"/>
      <c r="K2430" s="116">
        <v>0</v>
      </c>
      <c r="M2430" s="136" t="s">
        <v>416</v>
      </c>
      <c r="N2430" t="e">
        <v>#REF!</v>
      </c>
      <c r="Q2430" t="s">
        <v>416</v>
      </c>
    </row>
    <row r="2431" spans="1:17" hidden="1" x14ac:dyDescent="0.25">
      <c r="A2431" s="114" t="s">
        <v>5215</v>
      </c>
      <c r="B2431" s="115" t="s">
        <v>3998</v>
      </c>
      <c r="C2431" s="116" t="s">
        <v>16</v>
      </c>
      <c r="D2431" s="116">
        <v>0</v>
      </c>
      <c r="E2431" s="136" t="s">
        <v>416</v>
      </c>
      <c r="F2431" s="137" t="str">
        <f t="shared" si="183"/>
        <v/>
      </c>
      <c r="G2431" s="138" t="e">
        <f>IF(A2431&lt;&gt;"",IF(AND(#REF!="Padrão",$H$4=#REF!),BDI!$B$17,IF(AND(#REF!="Padrão",$H$4=#REF!),BDI!#REF!,IF(AND(#REF!="Diferenciado",$H$4=#REF!),BDI!$E$17,IF(AND(#REF!="Diferenciado",$H$4=#REF!),BDI!#REF!,IF(#REF!="ZERO",0))))),"")</f>
        <v>#REF!</v>
      </c>
      <c r="H2431" s="139" t="str">
        <f t="shared" si="184"/>
        <v/>
      </c>
      <c r="I2431" s="137" t="str">
        <f t="shared" si="185"/>
        <v/>
      </c>
      <c r="J2431" s="117"/>
      <c r="K2431" s="116">
        <v>0</v>
      </c>
      <c r="M2431" s="136" t="s">
        <v>416</v>
      </c>
      <c r="N2431" t="e">
        <v>#REF!</v>
      </c>
      <c r="Q2431" t="s">
        <v>416</v>
      </c>
    </row>
    <row r="2432" spans="1:17" hidden="1" x14ac:dyDescent="0.25">
      <c r="A2432" s="114" t="s">
        <v>5216</v>
      </c>
      <c r="B2432" s="115" t="s">
        <v>3999</v>
      </c>
      <c r="C2432" s="116" t="s">
        <v>16</v>
      </c>
      <c r="D2432" s="116">
        <v>0</v>
      </c>
      <c r="E2432" s="136" t="s">
        <v>416</v>
      </c>
      <c r="F2432" s="137" t="str">
        <f t="shared" si="183"/>
        <v/>
      </c>
      <c r="G2432" s="138" t="e">
        <f>IF(A2432&lt;&gt;"",IF(AND(#REF!="Padrão",$H$4=#REF!),BDI!$B$17,IF(AND(#REF!="Padrão",$H$4=#REF!),BDI!#REF!,IF(AND(#REF!="Diferenciado",$H$4=#REF!),BDI!$E$17,IF(AND(#REF!="Diferenciado",$H$4=#REF!),BDI!#REF!,IF(#REF!="ZERO",0))))),"")</f>
        <v>#REF!</v>
      </c>
      <c r="H2432" s="139" t="str">
        <f t="shared" si="184"/>
        <v/>
      </c>
      <c r="I2432" s="137" t="str">
        <f t="shared" si="185"/>
        <v/>
      </c>
      <c r="J2432" s="117"/>
      <c r="K2432" s="116">
        <v>0</v>
      </c>
      <c r="M2432" s="136" t="s">
        <v>416</v>
      </c>
      <c r="N2432" t="e">
        <v>#REF!</v>
      </c>
      <c r="Q2432" t="s">
        <v>416</v>
      </c>
    </row>
    <row r="2433" spans="1:17" hidden="1" x14ac:dyDescent="0.25">
      <c r="A2433" s="114" t="s">
        <v>5217</v>
      </c>
      <c r="B2433" s="115" t="s">
        <v>4000</v>
      </c>
      <c r="C2433" s="116" t="s">
        <v>16</v>
      </c>
      <c r="D2433" s="116">
        <v>0</v>
      </c>
      <c r="E2433" s="136" t="s">
        <v>416</v>
      </c>
      <c r="F2433" s="137" t="str">
        <f t="shared" si="183"/>
        <v/>
      </c>
      <c r="G2433" s="138" t="e">
        <f>IF(A2433&lt;&gt;"",IF(AND(#REF!="Padrão",$H$4=#REF!),BDI!$B$17,IF(AND(#REF!="Padrão",$H$4=#REF!),BDI!#REF!,IF(AND(#REF!="Diferenciado",$H$4=#REF!),BDI!$E$17,IF(AND(#REF!="Diferenciado",$H$4=#REF!),BDI!#REF!,IF(#REF!="ZERO",0))))),"")</f>
        <v>#REF!</v>
      </c>
      <c r="H2433" s="139" t="str">
        <f t="shared" si="184"/>
        <v/>
      </c>
      <c r="I2433" s="137" t="str">
        <f t="shared" si="185"/>
        <v/>
      </c>
      <c r="J2433" s="117"/>
      <c r="K2433" s="116">
        <v>0</v>
      </c>
      <c r="M2433" s="136" t="s">
        <v>416</v>
      </c>
      <c r="N2433" t="e">
        <v>#REF!</v>
      </c>
      <c r="Q2433" t="s">
        <v>416</v>
      </c>
    </row>
    <row r="2434" spans="1:17" hidden="1" x14ac:dyDescent="0.25">
      <c r="A2434" s="114" t="s">
        <v>5218</v>
      </c>
      <c r="B2434" s="115" t="s">
        <v>5615</v>
      </c>
      <c r="C2434" s="116" t="s">
        <v>16</v>
      </c>
      <c r="D2434" s="116">
        <v>0</v>
      </c>
      <c r="E2434" s="136" t="s">
        <v>416</v>
      </c>
      <c r="F2434" s="137" t="str">
        <f t="shared" si="183"/>
        <v/>
      </c>
      <c r="G2434" s="138" t="e">
        <f>IF(A2434&lt;&gt;"",IF(AND(#REF!="Padrão",$H$4=#REF!),BDI!$B$17,IF(AND(#REF!="Padrão",$H$4=#REF!),BDI!#REF!,IF(AND(#REF!="Diferenciado",$H$4=#REF!),BDI!$E$17,IF(AND(#REF!="Diferenciado",$H$4=#REF!),BDI!#REF!,IF(#REF!="ZERO",0))))),"")</f>
        <v>#REF!</v>
      </c>
      <c r="H2434" s="139" t="str">
        <f t="shared" si="184"/>
        <v/>
      </c>
      <c r="I2434" s="137" t="str">
        <f t="shared" si="185"/>
        <v/>
      </c>
      <c r="J2434" s="117"/>
      <c r="K2434" s="116">
        <v>0</v>
      </c>
      <c r="M2434" s="136" t="s">
        <v>416</v>
      </c>
      <c r="N2434" t="e">
        <v>#REF!</v>
      </c>
      <c r="Q2434" t="s">
        <v>416</v>
      </c>
    </row>
    <row r="2435" spans="1:17" hidden="1" x14ac:dyDescent="0.25">
      <c r="A2435" s="114" t="s">
        <v>5219</v>
      </c>
      <c r="B2435" s="115" t="s">
        <v>5616</v>
      </c>
      <c r="C2435" s="116" t="s">
        <v>16</v>
      </c>
      <c r="D2435" s="116">
        <v>0</v>
      </c>
      <c r="E2435" s="136" t="s">
        <v>416</v>
      </c>
      <c r="F2435" s="137" t="str">
        <f t="shared" si="183"/>
        <v/>
      </c>
      <c r="G2435" s="138" t="e">
        <f>IF(A2435&lt;&gt;"",IF(AND(#REF!="Padrão",$H$4=#REF!),BDI!$B$17,IF(AND(#REF!="Padrão",$H$4=#REF!),BDI!#REF!,IF(AND(#REF!="Diferenciado",$H$4=#REF!),BDI!$E$17,IF(AND(#REF!="Diferenciado",$H$4=#REF!),BDI!#REF!,IF(#REF!="ZERO",0))))),"")</f>
        <v>#REF!</v>
      </c>
      <c r="H2435" s="139" t="str">
        <f t="shared" si="184"/>
        <v/>
      </c>
      <c r="I2435" s="137" t="str">
        <f t="shared" si="185"/>
        <v/>
      </c>
      <c r="J2435" s="117"/>
      <c r="K2435" s="116">
        <v>0</v>
      </c>
      <c r="M2435" s="136" t="s">
        <v>416</v>
      </c>
      <c r="N2435" t="e">
        <v>#REF!</v>
      </c>
      <c r="Q2435" t="s">
        <v>416</v>
      </c>
    </row>
    <row r="2436" spans="1:17" hidden="1" x14ac:dyDescent="0.25">
      <c r="A2436" s="114" t="s">
        <v>5220</v>
      </c>
      <c r="B2436" s="115" t="s">
        <v>7398</v>
      </c>
      <c r="C2436" s="116" t="s">
        <v>16</v>
      </c>
      <c r="D2436" s="116">
        <v>0</v>
      </c>
      <c r="E2436" s="136" t="s">
        <v>416</v>
      </c>
      <c r="F2436" s="137" t="str">
        <f t="shared" si="183"/>
        <v/>
      </c>
      <c r="G2436" s="138" t="e">
        <f>IF(A2436&lt;&gt;"",IF(AND(#REF!="Padrão",$H$4=#REF!),BDI!$B$17,IF(AND(#REF!="Padrão",$H$4=#REF!),BDI!#REF!,IF(AND(#REF!="Diferenciado",$H$4=#REF!),BDI!$E$17,IF(AND(#REF!="Diferenciado",$H$4=#REF!),BDI!#REF!,IF(#REF!="ZERO",0))))),"")</f>
        <v>#REF!</v>
      </c>
      <c r="H2436" s="139" t="str">
        <f t="shared" si="184"/>
        <v/>
      </c>
      <c r="I2436" s="137" t="str">
        <f t="shared" si="185"/>
        <v/>
      </c>
      <c r="J2436" s="117"/>
      <c r="K2436" s="116">
        <v>0</v>
      </c>
      <c r="M2436" s="136" t="s">
        <v>416</v>
      </c>
      <c r="N2436" t="e">
        <v>#REF!</v>
      </c>
      <c r="Q2436" t="s">
        <v>416</v>
      </c>
    </row>
    <row r="2437" spans="1:17" hidden="1" x14ac:dyDescent="0.25">
      <c r="A2437" s="114" t="s">
        <v>5221</v>
      </c>
      <c r="B2437" s="115" t="s">
        <v>7399</v>
      </c>
      <c r="C2437" s="116" t="s">
        <v>16</v>
      </c>
      <c r="D2437" s="116">
        <v>0</v>
      </c>
      <c r="E2437" s="136" t="s">
        <v>416</v>
      </c>
      <c r="F2437" s="137" t="str">
        <f t="shared" si="183"/>
        <v/>
      </c>
      <c r="G2437" s="138" t="e">
        <f>IF(A2437&lt;&gt;"",IF(AND(#REF!="Padrão",$H$4=#REF!),BDI!$B$17,IF(AND(#REF!="Padrão",$H$4=#REF!),BDI!#REF!,IF(AND(#REF!="Diferenciado",$H$4=#REF!),BDI!$E$17,IF(AND(#REF!="Diferenciado",$H$4=#REF!),BDI!#REF!,IF(#REF!="ZERO",0))))),"")</f>
        <v>#REF!</v>
      </c>
      <c r="H2437" s="139" t="str">
        <f t="shared" si="184"/>
        <v/>
      </c>
      <c r="I2437" s="137" t="str">
        <f t="shared" si="185"/>
        <v/>
      </c>
      <c r="J2437" s="117"/>
      <c r="K2437" s="116">
        <v>0</v>
      </c>
      <c r="M2437" s="136" t="s">
        <v>416</v>
      </c>
      <c r="N2437" t="e">
        <v>#REF!</v>
      </c>
      <c r="Q2437" t="s">
        <v>416</v>
      </c>
    </row>
    <row r="2438" spans="1:17" hidden="1" x14ac:dyDescent="0.25">
      <c r="A2438" s="114" t="s">
        <v>5222</v>
      </c>
      <c r="B2438" s="115" t="s">
        <v>7400</v>
      </c>
      <c r="C2438" s="116" t="s">
        <v>16</v>
      </c>
      <c r="D2438" s="116">
        <v>0</v>
      </c>
      <c r="E2438" s="136" t="s">
        <v>416</v>
      </c>
      <c r="F2438" s="137" t="str">
        <f t="shared" si="183"/>
        <v/>
      </c>
      <c r="G2438" s="138" t="e">
        <f>IF(A2438&lt;&gt;"",IF(AND(#REF!="Padrão",$H$4=#REF!),BDI!$B$17,IF(AND(#REF!="Padrão",$H$4=#REF!),BDI!#REF!,IF(AND(#REF!="Diferenciado",$H$4=#REF!),BDI!$E$17,IF(AND(#REF!="Diferenciado",$H$4=#REF!),BDI!#REF!,IF(#REF!="ZERO",0))))),"")</f>
        <v>#REF!</v>
      </c>
      <c r="H2438" s="139" t="str">
        <f t="shared" si="184"/>
        <v/>
      </c>
      <c r="I2438" s="137" t="str">
        <f t="shared" si="185"/>
        <v/>
      </c>
      <c r="J2438" s="117"/>
      <c r="K2438" s="116">
        <v>0</v>
      </c>
      <c r="M2438" s="136" t="s">
        <v>416</v>
      </c>
      <c r="N2438" t="e">
        <v>#REF!</v>
      </c>
      <c r="Q2438" t="s">
        <v>416</v>
      </c>
    </row>
    <row r="2439" spans="1:17" hidden="1" x14ac:dyDescent="0.25">
      <c r="A2439" s="114" t="s">
        <v>5223</v>
      </c>
      <c r="B2439" s="115" t="s">
        <v>7401</v>
      </c>
      <c r="C2439" s="116" t="s">
        <v>16</v>
      </c>
      <c r="D2439" s="116">
        <v>0</v>
      </c>
      <c r="E2439" s="136" t="s">
        <v>416</v>
      </c>
      <c r="F2439" s="137" t="str">
        <f t="shared" si="183"/>
        <v/>
      </c>
      <c r="G2439" s="138" t="e">
        <f>IF(A2439&lt;&gt;"",IF(AND(#REF!="Padrão",$H$4=#REF!),BDI!$B$17,IF(AND(#REF!="Padrão",$H$4=#REF!),BDI!#REF!,IF(AND(#REF!="Diferenciado",$H$4=#REF!),BDI!$E$17,IF(AND(#REF!="Diferenciado",$H$4=#REF!),BDI!#REF!,IF(#REF!="ZERO",0))))),"")</f>
        <v>#REF!</v>
      </c>
      <c r="H2439" s="139" t="str">
        <f t="shared" si="184"/>
        <v/>
      </c>
      <c r="I2439" s="137" t="str">
        <f t="shared" si="185"/>
        <v/>
      </c>
      <c r="J2439" s="117"/>
      <c r="K2439" s="116">
        <v>0</v>
      </c>
      <c r="M2439" s="136" t="s">
        <v>416</v>
      </c>
      <c r="N2439" t="e">
        <v>#REF!</v>
      </c>
      <c r="Q2439" t="s">
        <v>416</v>
      </c>
    </row>
    <row r="2440" spans="1:17" hidden="1" x14ac:dyDescent="0.25">
      <c r="A2440" s="114" t="s">
        <v>5224</v>
      </c>
      <c r="B2440" s="115" t="s">
        <v>4001</v>
      </c>
      <c r="C2440" s="116" t="s">
        <v>16</v>
      </c>
      <c r="D2440" s="116">
        <v>0</v>
      </c>
      <c r="E2440" s="136" t="s">
        <v>416</v>
      </c>
      <c r="F2440" s="137" t="str">
        <f t="shared" si="183"/>
        <v/>
      </c>
      <c r="G2440" s="138" t="e">
        <f>IF(A2440&lt;&gt;"",IF(AND(#REF!="Padrão",$H$4=#REF!),BDI!$B$17,IF(AND(#REF!="Padrão",$H$4=#REF!),BDI!#REF!,IF(AND(#REF!="Diferenciado",$H$4=#REF!),BDI!$E$17,IF(AND(#REF!="Diferenciado",$H$4=#REF!),BDI!#REF!,IF(#REF!="ZERO",0))))),"")</f>
        <v>#REF!</v>
      </c>
      <c r="H2440" s="139" t="str">
        <f t="shared" si="184"/>
        <v/>
      </c>
      <c r="I2440" s="137" t="str">
        <f t="shared" si="185"/>
        <v/>
      </c>
      <c r="J2440" s="117"/>
      <c r="K2440" s="116">
        <v>0</v>
      </c>
      <c r="M2440" s="136" t="s">
        <v>416</v>
      </c>
      <c r="N2440" t="e">
        <v>#REF!</v>
      </c>
      <c r="Q2440" t="s">
        <v>416</v>
      </c>
    </row>
    <row r="2441" spans="1:17" hidden="1" x14ac:dyDescent="0.25">
      <c r="A2441" s="114" t="s">
        <v>5225</v>
      </c>
      <c r="B2441" s="115" t="s">
        <v>4002</v>
      </c>
      <c r="C2441" s="116" t="s">
        <v>16</v>
      </c>
      <c r="D2441" s="116">
        <v>0</v>
      </c>
      <c r="E2441" s="136" t="s">
        <v>416</v>
      </c>
      <c r="F2441" s="137" t="str">
        <f t="shared" si="183"/>
        <v/>
      </c>
      <c r="G2441" s="138" t="e">
        <f>IF(A2441&lt;&gt;"",IF(AND(#REF!="Padrão",$H$4=#REF!),BDI!$B$17,IF(AND(#REF!="Padrão",$H$4=#REF!),BDI!#REF!,IF(AND(#REF!="Diferenciado",$H$4=#REF!),BDI!$E$17,IF(AND(#REF!="Diferenciado",$H$4=#REF!),BDI!#REF!,IF(#REF!="ZERO",0))))),"")</f>
        <v>#REF!</v>
      </c>
      <c r="H2441" s="139" t="str">
        <f t="shared" si="184"/>
        <v/>
      </c>
      <c r="I2441" s="137" t="str">
        <f t="shared" si="185"/>
        <v/>
      </c>
      <c r="J2441" s="117"/>
      <c r="K2441" s="116">
        <v>0</v>
      </c>
      <c r="M2441" s="136" t="s">
        <v>416</v>
      </c>
      <c r="N2441" t="e">
        <v>#REF!</v>
      </c>
      <c r="Q2441" t="s">
        <v>416</v>
      </c>
    </row>
    <row r="2442" spans="1:17" hidden="1" x14ac:dyDescent="0.25">
      <c r="A2442" s="114" t="s">
        <v>5226</v>
      </c>
      <c r="B2442" s="115" t="s">
        <v>4003</v>
      </c>
      <c r="C2442" s="116" t="s">
        <v>16</v>
      </c>
      <c r="D2442" s="116">
        <v>0</v>
      </c>
      <c r="E2442" s="136" t="s">
        <v>416</v>
      </c>
      <c r="F2442" s="137" t="str">
        <f t="shared" si="183"/>
        <v/>
      </c>
      <c r="G2442" s="138" t="e">
        <f>IF(A2442&lt;&gt;"",IF(AND(#REF!="Padrão",$H$4=#REF!),BDI!$B$17,IF(AND(#REF!="Padrão",$H$4=#REF!),BDI!#REF!,IF(AND(#REF!="Diferenciado",$H$4=#REF!),BDI!$E$17,IF(AND(#REF!="Diferenciado",$H$4=#REF!),BDI!#REF!,IF(#REF!="ZERO",0))))),"")</f>
        <v>#REF!</v>
      </c>
      <c r="H2442" s="139" t="str">
        <f t="shared" si="184"/>
        <v/>
      </c>
      <c r="I2442" s="137" t="str">
        <f t="shared" si="185"/>
        <v/>
      </c>
      <c r="J2442" s="117"/>
      <c r="K2442" s="116">
        <v>0</v>
      </c>
      <c r="M2442" s="136" t="s">
        <v>416</v>
      </c>
      <c r="N2442" t="e">
        <v>#REF!</v>
      </c>
      <c r="Q2442" t="s">
        <v>416</v>
      </c>
    </row>
    <row r="2443" spans="1:17" hidden="1" x14ac:dyDescent="0.25">
      <c r="A2443" s="114" t="s">
        <v>5227</v>
      </c>
      <c r="B2443" s="115" t="s">
        <v>4004</v>
      </c>
      <c r="C2443" s="116" t="s">
        <v>16</v>
      </c>
      <c r="D2443" s="116">
        <v>0</v>
      </c>
      <c r="E2443" s="136" t="s">
        <v>416</v>
      </c>
      <c r="F2443" s="137" t="str">
        <f t="shared" si="183"/>
        <v/>
      </c>
      <c r="G2443" s="138" t="e">
        <f>IF(A2443&lt;&gt;"",IF(AND(#REF!="Padrão",$H$4=#REF!),BDI!$B$17,IF(AND(#REF!="Padrão",$H$4=#REF!),BDI!#REF!,IF(AND(#REF!="Diferenciado",$H$4=#REF!),BDI!$E$17,IF(AND(#REF!="Diferenciado",$H$4=#REF!),BDI!#REF!,IF(#REF!="ZERO",0))))),"")</f>
        <v>#REF!</v>
      </c>
      <c r="H2443" s="139" t="str">
        <f t="shared" si="184"/>
        <v/>
      </c>
      <c r="I2443" s="137" t="str">
        <f t="shared" si="185"/>
        <v/>
      </c>
      <c r="J2443" s="117"/>
      <c r="K2443" s="116">
        <v>0</v>
      </c>
      <c r="M2443" s="136" t="s">
        <v>416</v>
      </c>
      <c r="N2443" t="e">
        <v>#REF!</v>
      </c>
      <c r="Q2443" t="s">
        <v>416</v>
      </c>
    </row>
    <row r="2444" spans="1:17" hidden="1" x14ac:dyDescent="0.25">
      <c r="A2444" s="114" t="s">
        <v>5228</v>
      </c>
      <c r="B2444" s="115" t="s">
        <v>4005</v>
      </c>
      <c r="C2444" s="116" t="s">
        <v>16</v>
      </c>
      <c r="D2444" s="116">
        <v>0</v>
      </c>
      <c r="E2444" s="136" t="s">
        <v>416</v>
      </c>
      <c r="F2444" s="137" t="str">
        <f t="shared" si="183"/>
        <v/>
      </c>
      <c r="G2444" s="138" t="e">
        <f>IF(A2444&lt;&gt;"",IF(AND(#REF!="Padrão",$H$4=#REF!),BDI!$B$17,IF(AND(#REF!="Padrão",$H$4=#REF!),BDI!#REF!,IF(AND(#REF!="Diferenciado",$H$4=#REF!),BDI!$E$17,IF(AND(#REF!="Diferenciado",$H$4=#REF!),BDI!#REF!,IF(#REF!="ZERO",0))))),"")</f>
        <v>#REF!</v>
      </c>
      <c r="H2444" s="139" t="str">
        <f t="shared" si="184"/>
        <v/>
      </c>
      <c r="I2444" s="137" t="str">
        <f t="shared" si="185"/>
        <v/>
      </c>
      <c r="J2444" s="117"/>
      <c r="K2444" s="116">
        <v>0</v>
      </c>
      <c r="M2444" s="136" t="s">
        <v>416</v>
      </c>
      <c r="N2444" t="e">
        <v>#REF!</v>
      </c>
      <c r="Q2444" t="s">
        <v>416</v>
      </c>
    </row>
    <row r="2445" spans="1:17" hidden="1" x14ac:dyDescent="0.25">
      <c r="A2445" s="114" t="s">
        <v>5229</v>
      </c>
      <c r="B2445" s="115" t="s">
        <v>4006</v>
      </c>
      <c r="C2445" s="116" t="s">
        <v>16</v>
      </c>
      <c r="D2445" s="116">
        <v>0</v>
      </c>
      <c r="E2445" s="136" t="s">
        <v>416</v>
      </c>
      <c r="F2445" s="137" t="str">
        <f t="shared" si="183"/>
        <v/>
      </c>
      <c r="G2445" s="138" t="e">
        <f>IF(A2445&lt;&gt;"",IF(AND(#REF!="Padrão",$H$4=#REF!),BDI!$B$17,IF(AND(#REF!="Padrão",$H$4=#REF!),BDI!#REF!,IF(AND(#REF!="Diferenciado",$H$4=#REF!),BDI!$E$17,IF(AND(#REF!="Diferenciado",$H$4=#REF!),BDI!#REF!,IF(#REF!="ZERO",0))))),"")</f>
        <v>#REF!</v>
      </c>
      <c r="H2445" s="139" t="str">
        <f t="shared" si="184"/>
        <v/>
      </c>
      <c r="I2445" s="137" t="str">
        <f t="shared" si="185"/>
        <v/>
      </c>
      <c r="J2445" s="117"/>
      <c r="K2445" s="116">
        <v>0</v>
      </c>
      <c r="M2445" s="136" t="s">
        <v>416</v>
      </c>
      <c r="N2445" t="e">
        <v>#REF!</v>
      </c>
      <c r="Q2445" t="s">
        <v>416</v>
      </c>
    </row>
    <row r="2446" spans="1:17" hidden="1" x14ac:dyDescent="0.25">
      <c r="A2446" s="114" t="s">
        <v>5230</v>
      </c>
      <c r="B2446" s="115" t="s">
        <v>4007</v>
      </c>
      <c r="C2446" s="116" t="s">
        <v>16</v>
      </c>
      <c r="D2446" s="116">
        <v>0</v>
      </c>
      <c r="E2446" s="136" t="s">
        <v>416</v>
      </c>
      <c r="F2446" s="137" t="str">
        <f t="shared" si="183"/>
        <v/>
      </c>
      <c r="G2446" s="138" t="e">
        <f>IF(A2446&lt;&gt;"",IF(AND(#REF!="Padrão",$H$4=#REF!),BDI!$B$17,IF(AND(#REF!="Padrão",$H$4=#REF!),BDI!#REF!,IF(AND(#REF!="Diferenciado",$H$4=#REF!),BDI!$E$17,IF(AND(#REF!="Diferenciado",$H$4=#REF!),BDI!#REF!,IF(#REF!="ZERO",0))))),"")</f>
        <v>#REF!</v>
      </c>
      <c r="H2446" s="139" t="str">
        <f t="shared" si="184"/>
        <v/>
      </c>
      <c r="I2446" s="137" t="str">
        <f t="shared" si="185"/>
        <v/>
      </c>
      <c r="J2446" s="117"/>
      <c r="K2446" s="116">
        <v>0</v>
      </c>
      <c r="M2446" s="136" t="s">
        <v>416</v>
      </c>
      <c r="N2446" t="e">
        <v>#REF!</v>
      </c>
      <c r="Q2446" t="s">
        <v>416</v>
      </c>
    </row>
    <row r="2447" spans="1:17" hidden="1" x14ac:dyDescent="0.25">
      <c r="A2447" s="114" t="s">
        <v>5231</v>
      </c>
      <c r="B2447" s="115" t="s">
        <v>4008</v>
      </c>
      <c r="C2447" s="116" t="s">
        <v>16</v>
      </c>
      <c r="D2447" s="116">
        <v>0</v>
      </c>
      <c r="E2447" s="136" t="s">
        <v>416</v>
      </c>
      <c r="F2447" s="137" t="str">
        <f t="shared" si="183"/>
        <v/>
      </c>
      <c r="G2447" s="138" t="e">
        <f>IF(A2447&lt;&gt;"",IF(AND(#REF!="Padrão",$H$4=#REF!),BDI!$B$17,IF(AND(#REF!="Padrão",$H$4=#REF!),BDI!#REF!,IF(AND(#REF!="Diferenciado",$H$4=#REF!),BDI!$E$17,IF(AND(#REF!="Diferenciado",$H$4=#REF!),BDI!#REF!,IF(#REF!="ZERO",0))))),"")</f>
        <v>#REF!</v>
      </c>
      <c r="H2447" s="139" t="str">
        <f t="shared" si="184"/>
        <v/>
      </c>
      <c r="I2447" s="137" t="str">
        <f t="shared" si="185"/>
        <v/>
      </c>
      <c r="J2447" s="117"/>
      <c r="K2447" s="116">
        <v>0</v>
      </c>
      <c r="M2447" s="136" t="s">
        <v>416</v>
      </c>
      <c r="N2447" t="e">
        <v>#REF!</v>
      </c>
      <c r="Q2447" t="s">
        <v>416</v>
      </c>
    </row>
    <row r="2448" spans="1:17" hidden="1" x14ac:dyDescent="0.25">
      <c r="A2448" s="114" t="s">
        <v>5232</v>
      </c>
      <c r="B2448" s="115" t="s">
        <v>4009</v>
      </c>
      <c r="C2448" s="116" t="s">
        <v>16</v>
      </c>
      <c r="D2448" s="116">
        <v>0</v>
      </c>
      <c r="E2448" s="136" t="s">
        <v>416</v>
      </c>
      <c r="F2448" s="137" t="str">
        <f t="shared" si="183"/>
        <v/>
      </c>
      <c r="G2448" s="138" t="e">
        <f>IF(A2448&lt;&gt;"",IF(AND(#REF!="Padrão",$H$4=#REF!),BDI!$B$17,IF(AND(#REF!="Padrão",$H$4=#REF!),BDI!#REF!,IF(AND(#REF!="Diferenciado",$H$4=#REF!),BDI!$E$17,IF(AND(#REF!="Diferenciado",$H$4=#REF!),BDI!#REF!,IF(#REF!="ZERO",0))))),"")</f>
        <v>#REF!</v>
      </c>
      <c r="H2448" s="139" t="str">
        <f t="shared" si="184"/>
        <v/>
      </c>
      <c r="I2448" s="137" t="str">
        <f t="shared" si="185"/>
        <v/>
      </c>
      <c r="J2448" s="117"/>
      <c r="K2448" s="116">
        <v>0</v>
      </c>
      <c r="M2448" s="136" t="s">
        <v>416</v>
      </c>
      <c r="N2448" t="e">
        <v>#REF!</v>
      </c>
      <c r="Q2448" t="s">
        <v>416</v>
      </c>
    </row>
    <row r="2449" spans="1:17" hidden="1" x14ac:dyDescent="0.25">
      <c r="A2449" s="114" t="s">
        <v>5233</v>
      </c>
      <c r="B2449" s="115" t="s">
        <v>4010</v>
      </c>
      <c r="C2449" s="116" t="s">
        <v>16</v>
      </c>
      <c r="D2449" s="116">
        <v>0</v>
      </c>
      <c r="E2449" s="136" t="s">
        <v>416</v>
      </c>
      <c r="F2449" s="137" t="str">
        <f t="shared" si="183"/>
        <v/>
      </c>
      <c r="G2449" s="138" t="e">
        <f>IF(A2449&lt;&gt;"",IF(AND(#REF!="Padrão",$H$4=#REF!),BDI!$B$17,IF(AND(#REF!="Padrão",$H$4=#REF!),BDI!#REF!,IF(AND(#REF!="Diferenciado",$H$4=#REF!),BDI!$E$17,IF(AND(#REF!="Diferenciado",$H$4=#REF!),BDI!#REF!,IF(#REF!="ZERO",0))))),"")</f>
        <v>#REF!</v>
      </c>
      <c r="H2449" s="139" t="str">
        <f t="shared" si="184"/>
        <v/>
      </c>
      <c r="I2449" s="137" t="str">
        <f t="shared" si="185"/>
        <v/>
      </c>
      <c r="J2449" s="117"/>
      <c r="K2449" s="116">
        <v>0</v>
      </c>
      <c r="M2449" s="136" t="s">
        <v>416</v>
      </c>
      <c r="N2449" t="e">
        <v>#REF!</v>
      </c>
      <c r="Q2449" t="s">
        <v>416</v>
      </c>
    </row>
    <row r="2450" spans="1:17" hidden="1" x14ac:dyDescent="0.25">
      <c r="A2450" s="114" t="s">
        <v>5234</v>
      </c>
      <c r="B2450" s="115" t="s">
        <v>4011</v>
      </c>
      <c r="C2450" s="116" t="s">
        <v>16</v>
      </c>
      <c r="D2450" s="116">
        <v>0</v>
      </c>
      <c r="E2450" s="136" t="s">
        <v>416</v>
      </c>
      <c r="F2450" s="137" t="str">
        <f t="shared" si="183"/>
        <v/>
      </c>
      <c r="G2450" s="138" t="e">
        <f>IF(A2450&lt;&gt;"",IF(AND(#REF!="Padrão",$H$4=#REF!),BDI!$B$17,IF(AND(#REF!="Padrão",$H$4=#REF!),BDI!#REF!,IF(AND(#REF!="Diferenciado",$H$4=#REF!),BDI!$E$17,IF(AND(#REF!="Diferenciado",$H$4=#REF!),BDI!#REF!,IF(#REF!="ZERO",0))))),"")</f>
        <v>#REF!</v>
      </c>
      <c r="H2450" s="139" t="str">
        <f t="shared" si="184"/>
        <v/>
      </c>
      <c r="I2450" s="137" t="str">
        <f t="shared" si="185"/>
        <v/>
      </c>
      <c r="J2450" s="117"/>
      <c r="K2450" s="116">
        <v>0</v>
      </c>
      <c r="M2450" s="136" t="s">
        <v>416</v>
      </c>
      <c r="N2450" t="e">
        <v>#REF!</v>
      </c>
      <c r="Q2450" t="s">
        <v>416</v>
      </c>
    </row>
    <row r="2451" spans="1:17" hidden="1" x14ac:dyDescent="0.25">
      <c r="A2451" s="114" t="s">
        <v>5235</v>
      </c>
      <c r="B2451" s="115" t="s">
        <v>4012</v>
      </c>
      <c r="C2451" s="116" t="s">
        <v>16</v>
      </c>
      <c r="D2451" s="116">
        <v>0</v>
      </c>
      <c r="E2451" s="136" t="s">
        <v>416</v>
      </c>
      <c r="F2451" s="137" t="str">
        <f t="shared" si="183"/>
        <v/>
      </c>
      <c r="G2451" s="138" t="e">
        <f>IF(A2451&lt;&gt;"",IF(AND(#REF!="Padrão",$H$4=#REF!),BDI!$B$17,IF(AND(#REF!="Padrão",$H$4=#REF!),BDI!#REF!,IF(AND(#REF!="Diferenciado",$H$4=#REF!),BDI!$E$17,IF(AND(#REF!="Diferenciado",$H$4=#REF!),BDI!#REF!,IF(#REF!="ZERO",0))))),"")</f>
        <v>#REF!</v>
      </c>
      <c r="H2451" s="139" t="str">
        <f t="shared" si="184"/>
        <v/>
      </c>
      <c r="I2451" s="137" t="str">
        <f t="shared" si="185"/>
        <v/>
      </c>
      <c r="J2451" s="117"/>
      <c r="K2451" s="116">
        <v>0</v>
      </c>
      <c r="M2451" s="136" t="s">
        <v>416</v>
      </c>
      <c r="N2451" t="e">
        <v>#REF!</v>
      </c>
      <c r="Q2451" t="s">
        <v>416</v>
      </c>
    </row>
    <row r="2452" spans="1:17" hidden="1" x14ac:dyDescent="0.25">
      <c r="A2452" s="114" t="s">
        <v>5236</v>
      </c>
      <c r="B2452" s="115" t="s">
        <v>4013</v>
      </c>
      <c r="C2452" s="116" t="s">
        <v>16</v>
      </c>
      <c r="D2452" s="116">
        <v>0</v>
      </c>
      <c r="E2452" s="136" t="s">
        <v>416</v>
      </c>
      <c r="F2452" s="137" t="str">
        <f t="shared" si="183"/>
        <v/>
      </c>
      <c r="G2452" s="138" t="e">
        <f>IF(A2452&lt;&gt;"",IF(AND(#REF!="Padrão",$H$4=#REF!),BDI!$B$17,IF(AND(#REF!="Padrão",$H$4=#REF!),BDI!#REF!,IF(AND(#REF!="Diferenciado",$H$4=#REF!),BDI!$E$17,IF(AND(#REF!="Diferenciado",$H$4=#REF!),BDI!#REF!,IF(#REF!="ZERO",0))))),"")</f>
        <v>#REF!</v>
      </c>
      <c r="H2452" s="139" t="str">
        <f t="shared" si="184"/>
        <v/>
      </c>
      <c r="I2452" s="137" t="str">
        <f t="shared" si="185"/>
        <v/>
      </c>
      <c r="J2452" s="117"/>
      <c r="K2452" s="116">
        <v>0</v>
      </c>
      <c r="M2452" s="136" t="s">
        <v>416</v>
      </c>
      <c r="N2452" t="e">
        <v>#REF!</v>
      </c>
      <c r="Q2452" t="s">
        <v>416</v>
      </c>
    </row>
    <row r="2453" spans="1:17" hidden="1" x14ac:dyDescent="0.25">
      <c r="A2453" s="114" t="s">
        <v>5237</v>
      </c>
      <c r="B2453" s="115" t="s">
        <v>4014</v>
      </c>
      <c r="C2453" s="116" t="s">
        <v>16</v>
      </c>
      <c r="D2453" s="116">
        <v>0</v>
      </c>
      <c r="E2453" s="136" t="s">
        <v>416</v>
      </c>
      <c r="F2453" s="137" t="str">
        <f t="shared" si="183"/>
        <v/>
      </c>
      <c r="G2453" s="138" t="e">
        <f>IF(A2453&lt;&gt;"",IF(AND(#REF!="Padrão",$H$4=#REF!),BDI!$B$17,IF(AND(#REF!="Padrão",$H$4=#REF!),BDI!#REF!,IF(AND(#REF!="Diferenciado",$H$4=#REF!),BDI!$E$17,IF(AND(#REF!="Diferenciado",$H$4=#REF!),BDI!#REF!,IF(#REF!="ZERO",0))))),"")</f>
        <v>#REF!</v>
      </c>
      <c r="H2453" s="139" t="str">
        <f t="shared" si="184"/>
        <v/>
      </c>
      <c r="I2453" s="137" t="str">
        <f t="shared" si="185"/>
        <v/>
      </c>
      <c r="J2453" s="117"/>
      <c r="K2453" s="116">
        <v>0</v>
      </c>
      <c r="M2453" s="136" t="s">
        <v>416</v>
      </c>
      <c r="N2453" t="e">
        <v>#REF!</v>
      </c>
      <c r="Q2453" t="s">
        <v>416</v>
      </c>
    </row>
    <row r="2454" spans="1:17" hidden="1" x14ac:dyDescent="0.25">
      <c r="A2454" s="114" t="s">
        <v>5238</v>
      </c>
      <c r="B2454" s="115" t="s">
        <v>4015</v>
      </c>
      <c r="C2454" s="116" t="s">
        <v>16</v>
      </c>
      <c r="D2454" s="116">
        <v>0</v>
      </c>
      <c r="E2454" s="136" t="s">
        <v>416</v>
      </c>
      <c r="F2454" s="137" t="str">
        <f t="shared" si="183"/>
        <v/>
      </c>
      <c r="G2454" s="138" t="e">
        <f>IF(A2454&lt;&gt;"",IF(AND(#REF!="Padrão",$H$4=#REF!),BDI!$B$17,IF(AND(#REF!="Padrão",$H$4=#REF!),BDI!#REF!,IF(AND(#REF!="Diferenciado",$H$4=#REF!),BDI!$E$17,IF(AND(#REF!="Diferenciado",$H$4=#REF!),BDI!#REF!,IF(#REF!="ZERO",0))))),"")</f>
        <v>#REF!</v>
      </c>
      <c r="H2454" s="139" t="str">
        <f t="shared" si="184"/>
        <v/>
      </c>
      <c r="I2454" s="137" t="str">
        <f t="shared" si="185"/>
        <v/>
      </c>
      <c r="J2454" s="117"/>
      <c r="K2454" s="116">
        <v>0</v>
      </c>
      <c r="M2454" s="136" t="s">
        <v>416</v>
      </c>
      <c r="N2454" t="e">
        <v>#REF!</v>
      </c>
      <c r="Q2454" t="s">
        <v>416</v>
      </c>
    </row>
    <row r="2455" spans="1:17" hidden="1" x14ac:dyDescent="0.25">
      <c r="A2455" s="114" t="s">
        <v>5239</v>
      </c>
      <c r="B2455" s="115" t="s">
        <v>4016</v>
      </c>
      <c r="C2455" s="116" t="s">
        <v>16</v>
      </c>
      <c r="D2455" s="116">
        <v>0</v>
      </c>
      <c r="E2455" s="136" t="s">
        <v>416</v>
      </c>
      <c r="F2455" s="137" t="str">
        <f t="shared" si="183"/>
        <v/>
      </c>
      <c r="G2455" s="138" t="e">
        <f>IF(A2455&lt;&gt;"",IF(AND(#REF!="Padrão",$H$4=#REF!),BDI!$B$17,IF(AND(#REF!="Padrão",$H$4=#REF!),BDI!#REF!,IF(AND(#REF!="Diferenciado",$H$4=#REF!),BDI!$E$17,IF(AND(#REF!="Diferenciado",$H$4=#REF!),BDI!#REF!,IF(#REF!="ZERO",0))))),"")</f>
        <v>#REF!</v>
      </c>
      <c r="H2455" s="139" t="str">
        <f t="shared" si="184"/>
        <v/>
      </c>
      <c r="I2455" s="137" t="str">
        <f t="shared" si="185"/>
        <v/>
      </c>
      <c r="J2455" s="117"/>
      <c r="K2455" s="116">
        <v>0</v>
      </c>
      <c r="M2455" s="136" t="s">
        <v>416</v>
      </c>
      <c r="N2455" t="e">
        <v>#REF!</v>
      </c>
      <c r="Q2455" t="s">
        <v>416</v>
      </c>
    </row>
    <row r="2456" spans="1:17" hidden="1" x14ac:dyDescent="0.25">
      <c r="A2456" s="114" t="s">
        <v>5240</v>
      </c>
      <c r="B2456" s="115" t="s">
        <v>4017</v>
      </c>
      <c r="C2456" s="116" t="s">
        <v>16</v>
      </c>
      <c r="D2456" s="116">
        <v>0</v>
      </c>
      <c r="E2456" s="136" t="s">
        <v>416</v>
      </c>
      <c r="F2456" s="137" t="str">
        <f t="shared" si="183"/>
        <v/>
      </c>
      <c r="G2456" s="138" t="e">
        <f>IF(A2456&lt;&gt;"",IF(AND(#REF!="Padrão",$H$4=#REF!),BDI!$B$17,IF(AND(#REF!="Padrão",$H$4=#REF!),BDI!#REF!,IF(AND(#REF!="Diferenciado",$H$4=#REF!),BDI!$E$17,IF(AND(#REF!="Diferenciado",$H$4=#REF!),BDI!#REF!,IF(#REF!="ZERO",0))))),"")</f>
        <v>#REF!</v>
      </c>
      <c r="H2456" s="139" t="str">
        <f t="shared" si="184"/>
        <v/>
      </c>
      <c r="I2456" s="137" t="str">
        <f t="shared" si="185"/>
        <v/>
      </c>
      <c r="J2456" s="117"/>
      <c r="K2456" s="116">
        <v>0</v>
      </c>
      <c r="M2456" s="136" t="s">
        <v>416</v>
      </c>
      <c r="N2456" t="e">
        <v>#REF!</v>
      </c>
      <c r="Q2456" t="s">
        <v>416</v>
      </c>
    </row>
    <row r="2457" spans="1:17" hidden="1" x14ac:dyDescent="0.25">
      <c r="A2457" s="114" t="s">
        <v>5241</v>
      </c>
      <c r="B2457" s="115" t="s">
        <v>4018</v>
      </c>
      <c r="C2457" s="116" t="s">
        <v>16</v>
      </c>
      <c r="D2457" s="116">
        <v>0</v>
      </c>
      <c r="E2457" s="136" t="s">
        <v>416</v>
      </c>
      <c r="F2457" s="137" t="str">
        <f t="shared" si="183"/>
        <v/>
      </c>
      <c r="G2457" s="138" t="e">
        <f>IF(A2457&lt;&gt;"",IF(AND(#REF!="Padrão",$H$4=#REF!),BDI!$B$17,IF(AND(#REF!="Padrão",$H$4=#REF!),BDI!#REF!,IF(AND(#REF!="Diferenciado",$H$4=#REF!),BDI!$E$17,IF(AND(#REF!="Diferenciado",$H$4=#REF!),BDI!#REF!,IF(#REF!="ZERO",0))))),"")</f>
        <v>#REF!</v>
      </c>
      <c r="H2457" s="139" t="str">
        <f t="shared" si="184"/>
        <v/>
      </c>
      <c r="I2457" s="137" t="str">
        <f t="shared" si="185"/>
        <v/>
      </c>
      <c r="J2457" s="117"/>
      <c r="K2457" s="116">
        <v>0</v>
      </c>
      <c r="M2457" s="136" t="s">
        <v>416</v>
      </c>
      <c r="N2457" t="e">
        <v>#REF!</v>
      </c>
      <c r="Q2457" t="s">
        <v>416</v>
      </c>
    </row>
    <row r="2458" spans="1:17" hidden="1" x14ac:dyDescent="0.25">
      <c r="A2458" s="114" t="s">
        <v>5242</v>
      </c>
      <c r="B2458" s="115" t="s">
        <v>4019</v>
      </c>
      <c r="C2458" s="116" t="s">
        <v>16</v>
      </c>
      <c r="D2458" s="116">
        <v>0</v>
      </c>
      <c r="E2458" s="136" t="s">
        <v>416</v>
      </c>
      <c r="F2458" s="137" t="str">
        <f t="shared" si="183"/>
        <v/>
      </c>
      <c r="G2458" s="138" t="e">
        <f>IF(A2458&lt;&gt;"",IF(AND(#REF!="Padrão",$H$4=#REF!),BDI!$B$17,IF(AND(#REF!="Padrão",$H$4=#REF!),BDI!#REF!,IF(AND(#REF!="Diferenciado",$H$4=#REF!),BDI!$E$17,IF(AND(#REF!="Diferenciado",$H$4=#REF!),BDI!#REF!,IF(#REF!="ZERO",0))))),"")</f>
        <v>#REF!</v>
      </c>
      <c r="H2458" s="139" t="str">
        <f t="shared" si="184"/>
        <v/>
      </c>
      <c r="I2458" s="137" t="str">
        <f t="shared" si="185"/>
        <v/>
      </c>
      <c r="J2458" s="117"/>
      <c r="K2458" s="116">
        <v>0</v>
      </c>
      <c r="M2458" s="136" t="s">
        <v>416</v>
      </c>
      <c r="N2458" t="e">
        <v>#REF!</v>
      </c>
      <c r="Q2458" t="s">
        <v>416</v>
      </c>
    </row>
    <row r="2459" spans="1:17" hidden="1" x14ac:dyDescent="0.25">
      <c r="A2459" s="114" t="s">
        <v>5243</v>
      </c>
      <c r="B2459" s="115" t="s">
        <v>4020</v>
      </c>
      <c r="C2459" s="116" t="s">
        <v>16</v>
      </c>
      <c r="D2459" s="116">
        <v>0</v>
      </c>
      <c r="E2459" s="136" t="s">
        <v>416</v>
      </c>
      <c r="F2459" s="137" t="str">
        <f t="shared" si="183"/>
        <v/>
      </c>
      <c r="G2459" s="138" t="e">
        <f>IF(A2459&lt;&gt;"",IF(AND(#REF!="Padrão",$H$4=#REF!),BDI!$B$17,IF(AND(#REF!="Padrão",$H$4=#REF!),BDI!#REF!,IF(AND(#REF!="Diferenciado",$H$4=#REF!),BDI!$E$17,IF(AND(#REF!="Diferenciado",$H$4=#REF!),BDI!#REF!,IF(#REF!="ZERO",0))))),"")</f>
        <v>#REF!</v>
      </c>
      <c r="H2459" s="139" t="str">
        <f t="shared" si="184"/>
        <v/>
      </c>
      <c r="I2459" s="137" t="str">
        <f t="shared" si="185"/>
        <v/>
      </c>
      <c r="J2459" s="117"/>
      <c r="K2459" s="116">
        <v>0</v>
      </c>
      <c r="M2459" s="136" t="s">
        <v>416</v>
      </c>
      <c r="N2459" t="e">
        <v>#REF!</v>
      </c>
      <c r="Q2459" t="s">
        <v>416</v>
      </c>
    </row>
    <row r="2460" spans="1:17" hidden="1" x14ac:dyDescent="0.25">
      <c r="A2460" s="114" t="s">
        <v>5244</v>
      </c>
      <c r="B2460" s="115" t="s">
        <v>4021</v>
      </c>
      <c r="C2460" s="116" t="s">
        <v>16</v>
      </c>
      <c r="D2460" s="116">
        <v>0</v>
      </c>
      <c r="E2460" s="136" t="s">
        <v>416</v>
      </c>
      <c r="F2460" s="137" t="str">
        <f t="shared" si="183"/>
        <v/>
      </c>
      <c r="G2460" s="138" t="e">
        <f>IF(A2460&lt;&gt;"",IF(AND(#REF!="Padrão",$H$4=#REF!),BDI!$B$17,IF(AND(#REF!="Padrão",$H$4=#REF!),BDI!#REF!,IF(AND(#REF!="Diferenciado",$H$4=#REF!),BDI!$E$17,IF(AND(#REF!="Diferenciado",$H$4=#REF!),BDI!#REF!,IF(#REF!="ZERO",0))))),"")</f>
        <v>#REF!</v>
      </c>
      <c r="H2460" s="139" t="str">
        <f t="shared" si="184"/>
        <v/>
      </c>
      <c r="I2460" s="137" t="str">
        <f t="shared" si="185"/>
        <v/>
      </c>
      <c r="J2460" s="117"/>
      <c r="K2460" s="116">
        <v>0</v>
      </c>
      <c r="M2460" s="136" t="s">
        <v>416</v>
      </c>
      <c r="N2460" t="e">
        <v>#REF!</v>
      </c>
      <c r="Q2460" t="s">
        <v>416</v>
      </c>
    </row>
    <row r="2461" spans="1:17" hidden="1" x14ac:dyDescent="0.25">
      <c r="A2461" s="114" t="s">
        <v>5245</v>
      </c>
      <c r="B2461" s="115" t="s">
        <v>4022</v>
      </c>
      <c r="C2461" s="116" t="s">
        <v>16</v>
      </c>
      <c r="D2461" s="116">
        <v>0</v>
      </c>
      <c r="E2461" s="136" t="s">
        <v>416</v>
      </c>
      <c r="F2461" s="137" t="str">
        <f t="shared" si="183"/>
        <v/>
      </c>
      <c r="G2461" s="138" t="e">
        <f>IF(A2461&lt;&gt;"",IF(AND(#REF!="Padrão",$H$4=#REF!),BDI!$B$17,IF(AND(#REF!="Padrão",$H$4=#REF!),BDI!#REF!,IF(AND(#REF!="Diferenciado",$H$4=#REF!),BDI!$E$17,IF(AND(#REF!="Diferenciado",$H$4=#REF!),BDI!#REF!,IF(#REF!="ZERO",0))))),"")</f>
        <v>#REF!</v>
      </c>
      <c r="H2461" s="139" t="str">
        <f t="shared" si="184"/>
        <v/>
      </c>
      <c r="I2461" s="137" t="str">
        <f t="shared" si="185"/>
        <v/>
      </c>
      <c r="J2461" s="117"/>
      <c r="K2461" s="116">
        <v>0</v>
      </c>
      <c r="M2461" s="136" t="s">
        <v>416</v>
      </c>
      <c r="N2461" t="e">
        <v>#REF!</v>
      </c>
      <c r="Q2461" t="s">
        <v>416</v>
      </c>
    </row>
    <row r="2462" spans="1:17" hidden="1" x14ac:dyDescent="0.25">
      <c r="A2462" s="114" t="s">
        <v>5246</v>
      </c>
      <c r="B2462" s="115" t="s">
        <v>4023</v>
      </c>
      <c r="C2462" s="116" t="s">
        <v>16</v>
      </c>
      <c r="D2462" s="116">
        <v>0</v>
      </c>
      <c r="E2462" s="136" t="s">
        <v>416</v>
      </c>
      <c r="F2462" s="137" t="str">
        <f t="shared" si="183"/>
        <v/>
      </c>
      <c r="G2462" s="138" t="e">
        <f>IF(A2462&lt;&gt;"",IF(AND(#REF!="Padrão",$H$4=#REF!),BDI!$B$17,IF(AND(#REF!="Padrão",$H$4=#REF!),BDI!#REF!,IF(AND(#REF!="Diferenciado",$H$4=#REF!),BDI!$E$17,IF(AND(#REF!="Diferenciado",$H$4=#REF!),BDI!#REF!,IF(#REF!="ZERO",0))))),"")</f>
        <v>#REF!</v>
      </c>
      <c r="H2462" s="139" t="str">
        <f t="shared" si="184"/>
        <v/>
      </c>
      <c r="I2462" s="137" t="str">
        <f t="shared" si="185"/>
        <v/>
      </c>
      <c r="J2462" s="117"/>
      <c r="K2462" s="116">
        <v>0</v>
      </c>
      <c r="M2462" s="136" t="s">
        <v>416</v>
      </c>
      <c r="N2462" t="e">
        <v>#REF!</v>
      </c>
      <c r="Q2462" t="s">
        <v>416</v>
      </c>
    </row>
    <row r="2463" spans="1:17" hidden="1" x14ac:dyDescent="0.25">
      <c r="A2463" s="114" t="s">
        <v>5247</v>
      </c>
      <c r="B2463" s="115" t="s">
        <v>4024</v>
      </c>
      <c r="C2463" s="116" t="s">
        <v>16</v>
      </c>
      <c r="D2463" s="116">
        <v>0</v>
      </c>
      <c r="E2463" s="136" t="s">
        <v>416</v>
      </c>
      <c r="F2463" s="137" t="str">
        <f t="shared" si="183"/>
        <v/>
      </c>
      <c r="G2463" s="138" t="e">
        <f>IF(A2463&lt;&gt;"",IF(AND(#REF!="Padrão",$H$4=#REF!),BDI!$B$17,IF(AND(#REF!="Padrão",$H$4=#REF!),BDI!#REF!,IF(AND(#REF!="Diferenciado",$H$4=#REF!),BDI!$E$17,IF(AND(#REF!="Diferenciado",$H$4=#REF!),BDI!#REF!,IF(#REF!="ZERO",0))))),"")</f>
        <v>#REF!</v>
      </c>
      <c r="H2463" s="139" t="str">
        <f t="shared" si="184"/>
        <v/>
      </c>
      <c r="I2463" s="137" t="str">
        <f t="shared" si="185"/>
        <v/>
      </c>
      <c r="J2463" s="117"/>
      <c r="K2463" s="116">
        <v>0</v>
      </c>
      <c r="M2463" s="136" t="s">
        <v>416</v>
      </c>
      <c r="N2463" t="e">
        <v>#REF!</v>
      </c>
      <c r="Q2463" t="s">
        <v>416</v>
      </c>
    </row>
    <row r="2464" spans="1:17" hidden="1" x14ac:dyDescent="0.25">
      <c r="A2464" s="114" t="s">
        <v>5248</v>
      </c>
      <c r="B2464" s="115" t="s">
        <v>4025</v>
      </c>
      <c r="C2464" s="116" t="s">
        <v>16</v>
      </c>
      <c r="D2464" s="116">
        <v>0</v>
      </c>
      <c r="E2464" s="136" t="s">
        <v>416</v>
      </c>
      <c r="F2464" s="137" t="str">
        <f t="shared" si="183"/>
        <v/>
      </c>
      <c r="G2464" s="138" t="e">
        <f>IF(A2464&lt;&gt;"",IF(AND(#REF!="Padrão",$H$4=#REF!),BDI!$B$17,IF(AND(#REF!="Padrão",$H$4=#REF!),BDI!#REF!,IF(AND(#REF!="Diferenciado",$H$4=#REF!),BDI!$E$17,IF(AND(#REF!="Diferenciado",$H$4=#REF!),BDI!#REF!,IF(#REF!="ZERO",0))))),"")</f>
        <v>#REF!</v>
      </c>
      <c r="H2464" s="139" t="str">
        <f t="shared" si="184"/>
        <v/>
      </c>
      <c r="I2464" s="137" t="str">
        <f t="shared" si="185"/>
        <v/>
      </c>
      <c r="J2464" s="117"/>
      <c r="K2464" s="116">
        <v>0</v>
      </c>
      <c r="M2464" s="136" t="s">
        <v>416</v>
      </c>
      <c r="N2464" t="e">
        <v>#REF!</v>
      </c>
      <c r="Q2464" t="s">
        <v>416</v>
      </c>
    </row>
    <row r="2465" spans="1:17" hidden="1" x14ac:dyDescent="0.25">
      <c r="A2465" s="114" t="s">
        <v>5249</v>
      </c>
      <c r="B2465" s="115" t="s">
        <v>4026</v>
      </c>
      <c r="C2465" s="116" t="s">
        <v>16</v>
      </c>
      <c r="D2465" s="116">
        <v>0</v>
      </c>
      <c r="E2465" s="136" t="s">
        <v>416</v>
      </c>
      <c r="F2465" s="137" t="str">
        <f t="shared" si="183"/>
        <v/>
      </c>
      <c r="G2465" s="138" t="e">
        <f>IF(A2465&lt;&gt;"",IF(AND(#REF!="Padrão",$H$4=#REF!),BDI!$B$17,IF(AND(#REF!="Padrão",$H$4=#REF!),BDI!#REF!,IF(AND(#REF!="Diferenciado",$H$4=#REF!),BDI!$E$17,IF(AND(#REF!="Diferenciado",$H$4=#REF!),BDI!#REF!,IF(#REF!="ZERO",0))))),"")</f>
        <v>#REF!</v>
      </c>
      <c r="H2465" s="139" t="str">
        <f t="shared" si="184"/>
        <v/>
      </c>
      <c r="I2465" s="137" t="str">
        <f t="shared" si="185"/>
        <v/>
      </c>
      <c r="J2465" s="117"/>
      <c r="K2465" s="116">
        <v>0</v>
      </c>
      <c r="M2465" s="136" t="s">
        <v>416</v>
      </c>
      <c r="N2465" t="e">
        <v>#REF!</v>
      </c>
      <c r="Q2465" t="s">
        <v>416</v>
      </c>
    </row>
    <row r="2466" spans="1:17" hidden="1" x14ac:dyDescent="0.25">
      <c r="A2466" s="114" t="s">
        <v>5250</v>
      </c>
      <c r="B2466" s="115" t="s">
        <v>4027</v>
      </c>
      <c r="C2466" s="116" t="s">
        <v>16</v>
      </c>
      <c r="D2466" s="116">
        <v>0</v>
      </c>
      <c r="E2466" s="136" t="s">
        <v>416</v>
      </c>
      <c r="F2466" s="137" t="str">
        <f t="shared" si="183"/>
        <v/>
      </c>
      <c r="G2466" s="138" t="e">
        <f>IF(A2466&lt;&gt;"",IF(AND(#REF!="Padrão",$H$4=#REF!),BDI!$B$17,IF(AND(#REF!="Padrão",$H$4=#REF!),BDI!#REF!,IF(AND(#REF!="Diferenciado",$H$4=#REF!),BDI!$E$17,IF(AND(#REF!="Diferenciado",$H$4=#REF!),BDI!#REF!,IF(#REF!="ZERO",0))))),"")</f>
        <v>#REF!</v>
      </c>
      <c r="H2466" s="139" t="str">
        <f t="shared" si="184"/>
        <v/>
      </c>
      <c r="I2466" s="137" t="str">
        <f t="shared" si="185"/>
        <v/>
      </c>
      <c r="J2466" s="117"/>
      <c r="K2466" s="116">
        <v>0</v>
      </c>
      <c r="M2466" s="136" t="s">
        <v>416</v>
      </c>
      <c r="N2466" t="e">
        <v>#REF!</v>
      </c>
      <c r="Q2466" t="s">
        <v>416</v>
      </c>
    </row>
    <row r="2467" spans="1:17" hidden="1" x14ac:dyDescent="0.25">
      <c r="A2467" s="114" t="s">
        <v>5251</v>
      </c>
      <c r="B2467" s="115" t="s">
        <v>4028</v>
      </c>
      <c r="C2467" s="116" t="s">
        <v>16</v>
      </c>
      <c r="D2467" s="116">
        <v>0</v>
      </c>
      <c r="E2467" s="136" t="s">
        <v>416</v>
      </c>
      <c r="F2467" s="137" t="str">
        <f t="shared" si="183"/>
        <v/>
      </c>
      <c r="G2467" s="138" t="e">
        <f>IF(A2467&lt;&gt;"",IF(AND(#REF!="Padrão",$H$4=#REF!),BDI!$B$17,IF(AND(#REF!="Padrão",$H$4=#REF!),BDI!#REF!,IF(AND(#REF!="Diferenciado",$H$4=#REF!),BDI!$E$17,IF(AND(#REF!="Diferenciado",$H$4=#REF!),BDI!#REF!,IF(#REF!="ZERO",0))))),"")</f>
        <v>#REF!</v>
      </c>
      <c r="H2467" s="139" t="str">
        <f t="shared" si="184"/>
        <v/>
      </c>
      <c r="I2467" s="137" t="str">
        <f t="shared" si="185"/>
        <v/>
      </c>
      <c r="J2467" s="117"/>
      <c r="K2467" s="116">
        <v>0</v>
      </c>
      <c r="M2467" s="136" t="s">
        <v>416</v>
      </c>
      <c r="N2467" t="e">
        <v>#REF!</v>
      </c>
      <c r="Q2467" t="s">
        <v>416</v>
      </c>
    </row>
    <row r="2468" spans="1:17" hidden="1" x14ac:dyDescent="0.25">
      <c r="A2468" s="114" t="s">
        <v>5252</v>
      </c>
      <c r="B2468" s="115" t="s">
        <v>4029</v>
      </c>
      <c r="C2468" s="116" t="s">
        <v>16</v>
      </c>
      <c r="D2468" s="116">
        <v>0</v>
      </c>
      <c r="E2468" s="136" t="s">
        <v>416</v>
      </c>
      <c r="F2468" s="137" t="str">
        <f t="shared" si="183"/>
        <v/>
      </c>
      <c r="G2468" s="138" t="e">
        <f>IF(A2468&lt;&gt;"",IF(AND(#REF!="Padrão",$H$4=#REF!),BDI!$B$17,IF(AND(#REF!="Padrão",$H$4=#REF!),BDI!#REF!,IF(AND(#REF!="Diferenciado",$H$4=#REF!),BDI!$E$17,IF(AND(#REF!="Diferenciado",$H$4=#REF!),BDI!#REF!,IF(#REF!="ZERO",0))))),"")</f>
        <v>#REF!</v>
      </c>
      <c r="H2468" s="139" t="str">
        <f t="shared" si="184"/>
        <v/>
      </c>
      <c r="I2468" s="137" t="str">
        <f t="shared" si="185"/>
        <v/>
      </c>
      <c r="J2468" s="117"/>
      <c r="K2468" s="116">
        <v>0</v>
      </c>
      <c r="M2468" s="136" t="s">
        <v>416</v>
      </c>
      <c r="N2468" t="e">
        <v>#REF!</v>
      </c>
      <c r="Q2468" t="s">
        <v>416</v>
      </c>
    </row>
    <row r="2469" spans="1:17" hidden="1" x14ac:dyDescent="0.25">
      <c r="A2469" s="114" t="s">
        <v>5253</v>
      </c>
      <c r="B2469" s="115" t="s">
        <v>4030</v>
      </c>
      <c r="C2469" s="116" t="s">
        <v>16</v>
      </c>
      <c r="D2469" s="116">
        <v>0</v>
      </c>
      <c r="E2469" s="136" t="s">
        <v>416</v>
      </c>
      <c r="F2469" s="137" t="str">
        <f t="shared" si="183"/>
        <v/>
      </c>
      <c r="G2469" s="138" t="e">
        <f>IF(A2469&lt;&gt;"",IF(AND(#REF!="Padrão",$H$4=#REF!),BDI!$B$17,IF(AND(#REF!="Padrão",$H$4=#REF!),BDI!#REF!,IF(AND(#REF!="Diferenciado",$H$4=#REF!),BDI!$E$17,IF(AND(#REF!="Diferenciado",$H$4=#REF!),BDI!#REF!,IF(#REF!="ZERO",0))))),"")</f>
        <v>#REF!</v>
      </c>
      <c r="H2469" s="139" t="str">
        <f t="shared" si="184"/>
        <v/>
      </c>
      <c r="I2469" s="137" t="str">
        <f t="shared" si="185"/>
        <v/>
      </c>
      <c r="J2469" s="117"/>
      <c r="K2469" s="116">
        <v>0</v>
      </c>
      <c r="M2469" s="136" t="s">
        <v>416</v>
      </c>
      <c r="N2469" t="e">
        <v>#REF!</v>
      </c>
      <c r="Q2469" t="s">
        <v>416</v>
      </c>
    </row>
    <row r="2470" spans="1:17" hidden="1" x14ac:dyDescent="0.25">
      <c r="A2470" s="114" t="s">
        <v>5254</v>
      </c>
      <c r="B2470" s="115" t="s">
        <v>4031</v>
      </c>
      <c r="C2470" s="116" t="s">
        <v>16</v>
      </c>
      <c r="D2470" s="116">
        <v>0</v>
      </c>
      <c r="E2470" s="136" t="s">
        <v>416</v>
      </c>
      <c r="F2470" s="137" t="str">
        <f t="shared" si="183"/>
        <v/>
      </c>
      <c r="G2470" s="138" t="e">
        <f>IF(A2470&lt;&gt;"",IF(AND(#REF!="Padrão",$H$4=#REF!),BDI!$B$17,IF(AND(#REF!="Padrão",$H$4=#REF!),BDI!#REF!,IF(AND(#REF!="Diferenciado",$H$4=#REF!),BDI!$E$17,IF(AND(#REF!="Diferenciado",$H$4=#REF!),BDI!#REF!,IF(#REF!="ZERO",0))))),"")</f>
        <v>#REF!</v>
      </c>
      <c r="H2470" s="139" t="str">
        <f t="shared" si="184"/>
        <v/>
      </c>
      <c r="I2470" s="137" t="str">
        <f t="shared" si="185"/>
        <v/>
      </c>
      <c r="J2470" s="117"/>
      <c r="K2470" s="116">
        <v>0</v>
      </c>
      <c r="M2470" s="136" t="s">
        <v>416</v>
      </c>
      <c r="N2470" t="e">
        <v>#REF!</v>
      </c>
      <c r="Q2470" t="s">
        <v>416</v>
      </c>
    </row>
    <row r="2471" spans="1:17" hidden="1" x14ac:dyDescent="0.25">
      <c r="A2471" s="114" t="s">
        <v>5255</v>
      </c>
      <c r="B2471" s="115" t="s">
        <v>4032</v>
      </c>
      <c r="C2471" s="116" t="s">
        <v>16</v>
      </c>
      <c r="D2471" s="116">
        <v>0</v>
      </c>
      <c r="E2471" s="136" t="s">
        <v>416</v>
      </c>
      <c r="F2471" s="137" t="str">
        <f t="shared" si="183"/>
        <v/>
      </c>
      <c r="G2471" s="138" t="e">
        <f>IF(A2471&lt;&gt;"",IF(AND(#REF!="Padrão",$H$4=#REF!),BDI!$B$17,IF(AND(#REF!="Padrão",$H$4=#REF!),BDI!#REF!,IF(AND(#REF!="Diferenciado",$H$4=#REF!),BDI!$E$17,IF(AND(#REF!="Diferenciado",$H$4=#REF!),BDI!#REF!,IF(#REF!="ZERO",0))))),"")</f>
        <v>#REF!</v>
      </c>
      <c r="H2471" s="139" t="str">
        <f t="shared" si="184"/>
        <v/>
      </c>
      <c r="I2471" s="137" t="str">
        <f t="shared" si="185"/>
        <v/>
      </c>
      <c r="J2471" s="117"/>
      <c r="K2471" s="116">
        <v>0</v>
      </c>
      <c r="M2471" s="136" t="s">
        <v>416</v>
      </c>
      <c r="N2471" t="e">
        <v>#REF!</v>
      </c>
      <c r="Q2471" t="s">
        <v>416</v>
      </c>
    </row>
    <row r="2472" spans="1:17" hidden="1" x14ac:dyDescent="0.25">
      <c r="A2472" s="114" t="s">
        <v>5256</v>
      </c>
      <c r="B2472" s="115" t="s">
        <v>4033</v>
      </c>
      <c r="C2472" s="116" t="s">
        <v>16</v>
      </c>
      <c r="D2472" s="116">
        <v>0</v>
      </c>
      <c r="E2472" s="136" t="s">
        <v>416</v>
      </c>
      <c r="F2472" s="137" t="str">
        <f t="shared" si="183"/>
        <v/>
      </c>
      <c r="G2472" s="138" t="e">
        <f>IF(A2472&lt;&gt;"",IF(AND(#REF!="Padrão",$H$4=#REF!),BDI!$B$17,IF(AND(#REF!="Padrão",$H$4=#REF!),BDI!#REF!,IF(AND(#REF!="Diferenciado",$H$4=#REF!),BDI!$E$17,IF(AND(#REF!="Diferenciado",$H$4=#REF!),BDI!#REF!,IF(#REF!="ZERO",0))))),"")</f>
        <v>#REF!</v>
      </c>
      <c r="H2472" s="139" t="str">
        <f t="shared" si="184"/>
        <v/>
      </c>
      <c r="I2472" s="137" t="str">
        <f t="shared" si="185"/>
        <v/>
      </c>
      <c r="J2472" s="117"/>
      <c r="K2472" s="116">
        <v>0</v>
      </c>
      <c r="M2472" s="136" t="s">
        <v>416</v>
      </c>
      <c r="N2472" t="e">
        <v>#REF!</v>
      </c>
      <c r="Q2472" t="s">
        <v>416</v>
      </c>
    </row>
    <row r="2473" spans="1:17" hidden="1" x14ac:dyDescent="0.25">
      <c r="A2473" s="114" t="s">
        <v>5257</v>
      </c>
      <c r="B2473" s="115" t="s">
        <v>4034</v>
      </c>
      <c r="C2473" s="116" t="s">
        <v>16</v>
      </c>
      <c r="D2473" s="116">
        <v>0</v>
      </c>
      <c r="E2473" s="136" t="s">
        <v>416</v>
      </c>
      <c r="F2473" s="137" t="str">
        <f t="shared" si="183"/>
        <v/>
      </c>
      <c r="G2473" s="138" t="e">
        <f>IF(A2473&lt;&gt;"",IF(AND(#REF!="Padrão",$H$4=#REF!),BDI!$B$17,IF(AND(#REF!="Padrão",$H$4=#REF!),BDI!#REF!,IF(AND(#REF!="Diferenciado",$H$4=#REF!),BDI!$E$17,IF(AND(#REF!="Diferenciado",$H$4=#REF!),BDI!#REF!,IF(#REF!="ZERO",0))))),"")</f>
        <v>#REF!</v>
      </c>
      <c r="H2473" s="139" t="str">
        <f t="shared" si="184"/>
        <v/>
      </c>
      <c r="I2473" s="137" t="str">
        <f t="shared" si="185"/>
        <v/>
      </c>
      <c r="J2473" s="117"/>
      <c r="K2473" s="116">
        <v>0</v>
      </c>
      <c r="M2473" s="136" t="s">
        <v>416</v>
      </c>
      <c r="N2473" t="e">
        <v>#REF!</v>
      </c>
      <c r="Q2473" t="s">
        <v>416</v>
      </c>
    </row>
    <row r="2474" spans="1:17" hidden="1" x14ac:dyDescent="0.25">
      <c r="A2474" s="114" t="s">
        <v>5258</v>
      </c>
      <c r="B2474" s="115" t="s">
        <v>4035</v>
      </c>
      <c r="C2474" s="116" t="s">
        <v>16</v>
      </c>
      <c r="D2474" s="116">
        <v>0</v>
      </c>
      <c r="E2474" s="136" t="s">
        <v>416</v>
      </c>
      <c r="F2474" s="137" t="str">
        <f t="shared" si="183"/>
        <v/>
      </c>
      <c r="G2474" s="138" t="e">
        <f>IF(A2474&lt;&gt;"",IF(AND(#REF!="Padrão",$H$4=#REF!),BDI!$B$17,IF(AND(#REF!="Padrão",$H$4=#REF!),BDI!#REF!,IF(AND(#REF!="Diferenciado",$H$4=#REF!),BDI!$E$17,IF(AND(#REF!="Diferenciado",$H$4=#REF!),BDI!#REF!,IF(#REF!="ZERO",0))))),"")</f>
        <v>#REF!</v>
      </c>
      <c r="H2474" s="139" t="str">
        <f t="shared" si="184"/>
        <v/>
      </c>
      <c r="I2474" s="137" t="str">
        <f t="shared" si="185"/>
        <v/>
      </c>
      <c r="J2474" s="117"/>
      <c r="K2474" s="116">
        <v>0</v>
      </c>
      <c r="M2474" s="136" t="s">
        <v>416</v>
      </c>
      <c r="N2474" t="e">
        <v>#REF!</v>
      </c>
      <c r="Q2474" t="s">
        <v>416</v>
      </c>
    </row>
    <row r="2475" spans="1:17" hidden="1" x14ac:dyDescent="0.25">
      <c r="A2475" s="114" t="s">
        <v>5259</v>
      </c>
      <c r="B2475" s="115" t="s">
        <v>4036</v>
      </c>
      <c r="C2475" s="116" t="s">
        <v>16</v>
      </c>
      <c r="D2475" s="116">
        <v>0</v>
      </c>
      <c r="E2475" s="136" t="s">
        <v>416</v>
      </c>
      <c r="F2475" s="137" t="str">
        <f t="shared" si="183"/>
        <v/>
      </c>
      <c r="G2475" s="138" t="e">
        <f>IF(A2475&lt;&gt;"",IF(AND(#REF!="Padrão",$H$4=#REF!),BDI!$B$17,IF(AND(#REF!="Padrão",$H$4=#REF!),BDI!#REF!,IF(AND(#REF!="Diferenciado",$H$4=#REF!),BDI!$E$17,IF(AND(#REF!="Diferenciado",$H$4=#REF!),BDI!#REF!,IF(#REF!="ZERO",0))))),"")</f>
        <v>#REF!</v>
      </c>
      <c r="H2475" s="139" t="str">
        <f t="shared" si="184"/>
        <v/>
      </c>
      <c r="I2475" s="137" t="str">
        <f t="shared" si="185"/>
        <v/>
      </c>
      <c r="J2475" s="117"/>
      <c r="K2475" s="116">
        <v>0</v>
      </c>
      <c r="M2475" s="136" t="s">
        <v>416</v>
      </c>
      <c r="N2475" t="e">
        <v>#REF!</v>
      </c>
      <c r="Q2475" t="s">
        <v>416</v>
      </c>
    </row>
    <row r="2476" spans="1:17" hidden="1" x14ac:dyDescent="0.25">
      <c r="A2476" s="114" t="s">
        <v>5260</v>
      </c>
      <c r="B2476" s="115" t="s">
        <v>4037</v>
      </c>
      <c r="C2476" s="116" t="s">
        <v>16</v>
      </c>
      <c r="D2476" s="116">
        <v>0</v>
      </c>
      <c r="E2476" s="136" t="s">
        <v>416</v>
      </c>
      <c r="F2476" s="137" t="str">
        <f t="shared" si="183"/>
        <v/>
      </c>
      <c r="G2476" s="138" t="e">
        <f>IF(A2476&lt;&gt;"",IF(AND(#REF!="Padrão",$H$4=#REF!),BDI!$B$17,IF(AND(#REF!="Padrão",$H$4=#REF!),BDI!#REF!,IF(AND(#REF!="Diferenciado",$H$4=#REF!),BDI!$E$17,IF(AND(#REF!="Diferenciado",$H$4=#REF!),BDI!#REF!,IF(#REF!="ZERO",0))))),"")</f>
        <v>#REF!</v>
      </c>
      <c r="H2476" s="139" t="str">
        <f t="shared" si="184"/>
        <v/>
      </c>
      <c r="I2476" s="137" t="str">
        <f t="shared" si="185"/>
        <v/>
      </c>
      <c r="J2476" s="117"/>
      <c r="K2476" s="116">
        <v>0</v>
      </c>
      <c r="M2476" s="136" t="s">
        <v>416</v>
      </c>
      <c r="N2476" t="e">
        <v>#REF!</v>
      </c>
      <c r="Q2476" t="s">
        <v>416</v>
      </c>
    </row>
    <row r="2477" spans="1:17" hidden="1" x14ac:dyDescent="0.25">
      <c r="A2477" s="114" t="s">
        <v>5261</v>
      </c>
      <c r="B2477" s="115" t="s">
        <v>4038</v>
      </c>
      <c r="C2477" s="116" t="s">
        <v>16</v>
      </c>
      <c r="D2477" s="116">
        <v>0</v>
      </c>
      <c r="E2477" s="136" t="s">
        <v>416</v>
      </c>
      <c r="F2477" s="137" t="str">
        <f t="shared" ref="F2477:F2540" si="186">IF(ISNUMBER(E2477),D2477*E2477,"")</f>
        <v/>
      </c>
      <c r="G2477" s="138" t="e">
        <f>IF(A2477&lt;&gt;"",IF(AND(#REF!="Padrão",$H$4=#REF!),BDI!$B$17,IF(AND(#REF!="Padrão",$H$4=#REF!),BDI!#REF!,IF(AND(#REF!="Diferenciado",$H$4=#REF!),BDI!$E$17,IF(AND(#REF!="Diferenciado",$H$4=#REF!),BDI!#REF!,IF(#REF!="ZERO",0))))),"")</f>
        <v>#REF!</v>
      </c>
      <c r="H2477" s="139" t="str">
        <f t="shared" ref="H2477:H2540" si="187">IF(ISNUMBER(E2477),ROUND(E2477*(1+G2477),2),"")</f>
        <v/>
      </c>
      <c r="I2477" s="137" t="str">
        <f t="shared" ref="I2477:I2540" si="188">IF(ISNUMBER(E2477),ROUND(H2477*D2477,2),"")</f>
        <v/>
      </c>
      <c r="J2477" s="117"/>
      <c r="K2477" s="116">
        <v>0</v>
      </c>
      <c r="M2477" s="136" t="s">
        <v>416</v>
      </c>
      <c r="N2477" t="e">
        <v>#REF!</v>
      </c>
      <c r="Q2477" t="s">
        <v>416</v>
      </c>
    </row>
    <row r="2478" spans="1:17" hidden="1" x14ac:dyDescent="0.25">
      <c r="A2478" s="114" t="s">
        <v>5262</v>
      </c>
      <c r="B2478" s="115" t="s">
        <v>4039</v>
      </c>
      <c r="C2478" s="116" t="s">
        <v>16</v>
      </c>
      <c r="D2478" s="116">
        <v>0</v>
      </c>
      <c r="E2478" s="136" t="s">
        <v>416</v>
      </c>
      <c r="F2478" s="137" t="str">
        <f t="shared" si="186"/>
        <v/>
      </c>
      <c r="G2478" s="138" t="e">
        <f>IF(A2478&lt;&gt;"",IF(AND(#REF!="Padrão",$H$4=#REF!),BDI!$B$17,IF(AND(#REF!="Padrão",$H$4=#REF!),BDI!#REF!,IF(AND(#REF!="Diferenciado",$H$4=#REF!),BDI!$E$17,IF(AND(#REF!="Diferenciado",$H$4=#REF!),BDI!#REF!,IF(#REF!="ZERO",0))))),"")</f>
        <v>#REF!</v>
      </c>
      <c r="H2478" s="139" t="str">
        <f t="shared" si="187"/>
        <v/>
      </c>
      <c r="I2478" s="137" t="str">
        <f t="shared" si="188"/>
        <v/>
      </c>
      <c r="J2478" s="117"/>
      <c r="K2478" s="116">
        <v>0</v>
      </c>
      <c r="M2478" s="136" t="s">
        <v>416</v>
      </c>
      <c r="N2478" t="e">
        <v>#REF!</v>
      </c>
      <c r="Q2478" t="s">
        <v>416</v>
      </c>
    </row>
    <row r="2479" spans="1:17" hidden="1" x14ac:dyDescent="0.25">
      <c r="A2479" s="114" t="s">
        <v>5263</v>
      </c>
      <c r="B2479" s="115" t="s">
        <v>4040</v>
      </c>
      <c r="C2479" s="116" t="s">
        <v>16</v>
      </c>
      <c r="D2479" s="116">
        <v>0</v>
      </c>
      <c r="E2479" s="136" t="s">
        <v>416</v>
      </c>
      <c r="F2479" s="137" t="str">
        <f t="shared" si="186"/>
        <v/>
      </c>
      <c r="G2479" s="138" t="e">
        <f>IF(A2479&lt;&gt;"",IF(AND(#REF!="Padrão",$H$4=#REF!),BDI!$B$17,IF(AND(#REF!="Padrão",$H$4=#REF!),BDI!#REF!,IF(AND(#REF!="Diferenciado",$H$4=#REF!),BDI!$E$17,IF(AND(#REF!="Diferenciado",$H$4=#REF!),BDI!#REF!,IF(#REF!="ZERO",0))))),"")</f>
        <v>#REF!</v>
      </c>
      <c r="H2479" s="139" t="str">
        <f t="shared" si="187"/>
        <v/>
      </c>
      <c r="I2479" s="137" t="str">
        <f t="shared" si="188"/>
        <v/>
      </c>
      <c r="J2479" s="117"/>
      <c r="K2479" s="116">
        <v>0</v>
      </c>
      <c r="M2479" s="136" t="s">
        <v>416</v>
      </c>
      <c r="N2479" t="e">
        <v>#REF!</v>
      </c>
      <c r="Q2479" t="s">
        <v>416</v>
      </c>
    </row>
    <row r="2480" spans="1:17" hidden="1" x14ac:dyDescent="0.25">
      <c r="A2480" s="114" t="s">
        <v>5264</v>
      </c>
      <c r="B2480" s="115" t="s">
        <v>4041</v>
      </c>
      <c r="C2480" s="116" t="s">
        <v>16</v>
      </c>
      <c r="D2480" s="116">
        <v>0</v>
      </c>
      <c r="E2480" s="136" t="s">
        <v>416</v>
      </c>
      <c r="F2480" s="137" t="str">
        <f t="shared" si="186"/>
        <v/>
      </c>
      <c r="G2480" s="138" t="e">
        <f>IF(A2480&lt;&gt;"",IF(AND(#REF!="Padrão",$H$4=#REF!),BDI!$B$17,IF(AND(#REF!="Padrão",$H$4=#REF!),BDI!#REF!,IF(AND(#REF!="Diferenciado",$H$4=#REF!),BDI!$E$17,IF(AND(#REF!="Diferenciado",$H$4=#REF!),BDI!#REF!,IF(#REF!="ZERO",0))))),"")</f>
        <v>#REF!</v>
      </c>
      <c r="H2480" s="139" t="str">
        <f t="shared" si="187"/>
        <v/>
      </c>
      <c r="I2480" s="137" t="str">
        <f t="shared" si="188"/>
        <v/>
      </c>
      <c r="J2480" s="117"/>
      <c r="K2480" s="116">
        <v>0</v>
      </c>
      <c r="M2480" s="136" t="s">
        <v>416</v>
      </c>
      <c r="N2480" t="e">
        <v>#REF!</v>
      </c>
      <c r="Q2480" t="s">
        <v>416</v>
      </c>
    </row>
    <row r="2481" spans="1:17" hidden="1" x14ac:dyDescent="0.25">
      <c r="A2481" s="114" t="s">
        <v>5265</v>
      </c>
      <c r="B2481" s="115" t="s">
        <v>4042</v>
      </c>
      <c r="C2481" s="116" t="s">
        <v>16</v>
      </c>
      <c r="D2481" s="116">
        <v>0</v>
      </c>
      <c r="E2481" s="136" t="s">
        <v>416</v>
      </c>
      <c r="F2481" s="137" t="str">
        <f t="shared" si="186"/>
        <v/>
      </c>
      <c r="G2481" s="138" t="e">
        <f>IF(A2481&lt;&gt;"",IF(AND(#REF!="Padrão",$H$4=#REF!),BDI!$B$17,IF(AND(#REF!="Padrão",$H$4=#REF!),BDI!#REF!,IF(AND(#REF!="Diferenciado",$H$4=#REF!),BDI!$E$17,IF(AND(#REF!="Diferenciado",$H$4=#REF!),BDI!#REF!,IF(#REF!="ZERO",0))))),"")</f>
        <v>#REF!</v>
      </c>
      <c r="H2481" s="139" t="str">
        <f t="shared" si="187"/>
        <v/>
      </c>
      <c r="I2481" s="137" t="str">
        <f t="shared" si="188"/>
        <v/>
      </c>
      <c r="J2481" s="117"/>
      <c r="K2481" s="116">
        <v>0</v>
      </c>
      <c r="M2481" s="136" t="s">
        <v>416</v>
      </c>
      <c r="N2481" t="e">
        <v>#REF!</v>
      </c>
      <c r="Q2481" t="s">
        <v>416</v>
      </c>
    </row>
    <row r="2482" spans="1:17" hidden="1" x14ac:dyDescent="0.25">
      <c r="A2482" s="114" t="s">
        <v>5266</v>
      </c>
      <c r="B2482" s="115" t="s">
        <v>4043</v>
      </c>
      <c r="C2482" s="116" t="s">
        <v>16</v>
      </c>
      <c r="D2482" s="116">
        <v>0</v>
      </c>
      <c r="E2482" s="136" t="s">
        <v>416</v>
      </c>
      <c r="F2482" s="137" t="str">
        <f t="shared" si="186"/>
        <v/>
      </c>
      <c r="G2482" s="138" t="e">
        <f>IF(A2482&lt;&gt;"",IF(AND(#REF!="Padrão",$H$4=#REF!),BDI!$B$17,IF(AND(#REF!="Padrão",$H$4=#REF!),BDI!#REF!,IF(AND(#REF!="Diferenciado",$H$4=#REF!),BDI!$E$17,IF(AND(#REF!="Diferenciado",$H$4=#REF!),BDI!#REF!,IF(#REF!="ZERO",0))))),"")</f>
        <v>#REF!</v>
      </c>
      <c r="H2482" s="139" t="str">
        <f t="shared" si="187"/>
        <v/>
      </c>
      <c r="I2482" s="137" t="str">
        <f t="shared" si="188"/>
        <v/>
      </c>
      <c r="J2482" s="117"/>
      <c r="K2482" s="116">
        <v>0</v>
      </c>
      <c r="M2482" s="136" t="s">
        <v>416</v>
      </c>
      <c r="N2482" t="e">
        <v>#REF!</v>
      </c>
      <c r="Q2482" t="s">
        <v>416</v>
      </c>
    </row>
    <row r="2483" spans="1:17" hidden="1" x14ac:dyDescent="0.25">
      <c r="A2483" s="114" t="s">
        <v>5267</v>
      </c>
      <c r="B2483" s="115" t="s">
        <v>4044</v>
      </c>
      <c r="C2483" s="116" t="s">
        <v>16</v>
      </c>
      <c r="D2483" s="116">
        <v>0</v>
      </c>
      <c r="E2483" s="136" t="s">
        <v>416</v>
      </c>
      <c r="F2483" s="137" t="str">
        <f t="shared" si="186"/>
        <v/>
      </c>
      <c r="G2483" s="138" t="e">
        <f>IF(A2483&lt;&gt;"",IF(AND(#REF!="Padrão",$H$4=#REF!),BDI!$B$17,IF(AND(#REF!="Padrão",$H$4=#REF!),BDI!#REF!,IF(AND(#REF!="Diferenciado",$H$4=#REF!),BDI!$E$17,IF(AND(#REF!="Diferenciado",$H$4=#REF!),BDI!#REF!,IF(#REF!="ZERO",0))))),"")</f>
        <v>#REF!</v>
      </c>
      <c r="H2483" s="139" t="str">
        <f t="shared" si="187"/>
        <v/>
      </c>
      <c r="I2483" s="137" t="str">
        <f t="shared" si="188"/>
        <v/>
      </c>
      <c r="J2483" s="117"/>
      <c r="K2483" s="116">
        <v>0</v>
      </c>
      <c r="M2483" s="136" t="s">
        <v>416</v>
      </c>
      <c r="N2483" t="e">
        <v>#REF!</v>
      </c>
      <c r="Q2483" t="s">
        <v>416</v>
      </c>
    </row>
    <row r="2484" spans="1:17" hidden="1" x14ac:dyDescent="0.25">
      <c r="A2484" s="114" t="s">
        <v>5268</v>
      </c>
      <c r="B2484" s="115" t="s">
        <v>4045</v>
      </c>
      <c r="C2484" s="116" t="s">
        <v>16</v>
      </c>
      <c r="D2484" s="116">
        <v>0</v>
      </c>
      <c r="E2484" s="136" t="s">
        <v>416</v>
      </c>
      <c r="F2484" s="137" t="str">
        <f t="shared" si="186"/>
        <v/>
      </c>
      <c r="G2484" s="138" t="e">
        <f>IF(A2484&lt;&gt;"",IF(AND(#REF!="Padrão",$H$4=#REF!),BDI!$B$17,IF(AND(#REF!="Padrão",$H$4=#REF!),BDI!#REF!,IF(AND(#REF!="Diferenciado",$H$4=#REF!),BDI!$E$17,IF(AND(#REF!="Diferenciado",$H$4=#REF!),BDI!#REF!,IF(#REF!="ZERO",0))))),"")</f>
        <v>#REF!</v>
      </c>
      <c r="H2484" s="139" t="str">
        <f t="shared" si="187"/>
        <v/>
      </c>
      <c r="I2484" s="137" t="str">
        <f t="shared" si="188"/>
        <v/>
      </c>
      <c r="J2484" s="117"/>
      <c r="K2484" s="116">
        <v>0</v>
      </c>
      <c r="M2484" s="136" t="s">
        <v>416</v>
      </c>
      <c r="N2484" t="e">
        <v>#REF!</v>
      </c>
      <c r="Q2484" t="s">
        <v>416</v>
      </c>
    </row>
    <row r="2485" spans="1:17" hidden="1" x14ac:dyDescent="0.25">
      <c r="A2485" s="114" t="s">
        <v>5269</v>
      </c>
      <c r="B2485" s="115" t="s">
        <v>4046</v>
      </c>
      <c r="C2485" s="116" t="s">
        <v>16</v>
      </c>
      <c r="D2485" s="116">
        <v>0</v>
      </c>
      <c r="E2485" s="136" t="s">
        <v>416</v>
      </c>
      <c r="F2485" s="137" t="str">
        <f t="shared" si="186"/>
        <v/>
      </c>
      <c r="G2485" s="138" t="e">
        <f>IF(A2485&lt;&gt;"",IF(AND(#REF!="Padrão",$H$4=#REF!),BDI!$B$17,IF(AND(#REF!="Padrão",$H$4=#REF!),BDI!#REF!,IF(AND(#REF!="Diferenciado",$H$4=#REF!),BDI!$E$17,IF(AND(#REF!="Diferenciado",$H$4=#REF!),BDI!#REF!,IF(#REF!="ZERO",0))))),"")</f>
        <v>#REF!</v>
      </c>
      <c r="H2485" s="139" t="str">
        <f t="shared" si="187"/>
        <v/>
      </c>
      <c r="I2485" s="137" t="str">
        <f t="shared" si="188"/>
        <v/>
      </c>
      <c r="J2485" s="117"/>
      <c r="K2485" s="116">
        <v>0</v>
      </c>
      <c r="M2485" s="136" t="s">
        <v>416</v>
      </c>
      <c r="N2485" t="e">
        <v>#REF!</v>
      </c>
      <c r="Q2485" t="s">
        <v>416</v>
      </c>
    </row>
    <row r="2486" spans="1:17" hidden="1" x14ac:dyDescent="0.25">
      <c r="A2486" s="114" t="s">
        <v>5270</v>
      </c>
      <c r="B2486" s="115" t="s">
        <v>4047</v>
      </c>
      <c r="C2486" s="116" t="s">
        <v>16</v>
      </c>
      <c r="D2486" s="116">
        <v>0</v>
      </c>
      <c r="E2486" s="136" t="s">
        <v>416</v>
      </c>
      <c r="F2486" s="137" t="str">
        <f t="shared" si="186"/>
        <v/>
      </c>
      <c r="G2486" s="138" t="e">
        <f>IF(A2486&lt;&gt;"",IF(AND(#REF!="Padrão",$H$4=#REF!),BDI!$B$17,IF(AND(#REF!="Padrão",$H$4=#REF!),BDI!#REF!,IF(AND(#REF!="Diferenciado",$H$4=#REF!),BDI!$E$17,IF(AND(#REF!="Diferenciado",$H$4=#REF!),BDI!#REF!,IF(#REF!="ZERO",0))))),"")</f>
        <v>#REF!</v>
      </c>
      <c r="H2486" s="139" t="str">
        <f t="shared" si="187"/>
        <v/>
      </c>
      <c r="I2486" s="137" t="str">
        <f t="shared" si="188"/>
        <v/>
      </c>
      <c r="J2486" s="117"/>
      <c r="K2486" s="116">
        <v>0</v>
      </c>
      <c r="M2486" s="136" t="s">
        <v>416</v>
      </c>
      <c r="N2486" t="e">
        <v>#REF!</v>
      </c>
      <c r="Q2486" t="s">
        <v>416</v>
      </c>
    </row>
    <row r="2487" spans="1:17" hidden="1" x14ac:dyDescent="0.25">
      <c r="A2487" s="114" t="s">
        <v>5271</v>
      </c>
      <c r="B2487" s="115" t="s">
        <v>4048</v>
      </c>
      <c r="C2487" s="116" t="s">
        <v>16</v>
      </c>
      <c r="D2487" s="116">
        <v>0</v>
      </c>
      <c r="E2487" s="136" t="s">
        <v>416</v>
      </c>
      <c r="F2487" s="137" t="str">
        <f t="shared" si="186"/>
        <v/>
      </c>
      <c r="G2487" s="138" t="e">
        <f>IF(A2487&lt;&gt;"",IF(AND(#REF!="Padrão",$H$4=#REF!),BDI!$B$17,IF(AND(#REF!="Padrão",$H$4=#REF!),BDI!#REF!,IF(AND(#REF!="Diferenciado",$H$4=#REF!),BDI!$E$17,IF(AND(#REF!="Diferenciado",$H$4=#REF!),BDI!#REF!,IF(#REF!="ZERO",0))))),"")</f>
        <v>#REF!</v>
      </c>
      <c r="H2487" s="139" t="str">
        <f t="shared" si="187"/>
        <v/>
      </c>
      <c r="I2487" s="137" t="str">
        <f t="shared" si="188"/>
        <v/>
      </c>
      <c r="J2487" s="117"/>
      <c r="K2487" s="116">
        <v>0</v>
      </c>
      <c r="M2487" s="136" t="s">
        <v>416</v>
      </c>
      <c r="N2487" t="e">
        <v>#REF!</v>
      </c>
      <c r="Q2487" t="s">
        <v>416</v>
      </c>
    </row>
    <row r="2488" spans="1:17" hidden="1" x14ac:dyDescent="0.25">
      <c r="A2488" s="114" t="s">
        <v>5272</v>
      </c>
      <c r="B2488" s="115" t="s">
        <v>4049</v>
      </c>
      <c r="C2488" s="116" t="s">
        <v>16</v>
      </c>
      <c r="D2488" s="116">
        <v>0</v>
      </c>
      <c r="E2488" s="136" t="s">
        <v>416</v>
      </c>
      <c r="F2488" s="137" t="str">
        <f t="shared" si="186"/>
        <v/>
      </c>
      <c r="G2488" s="138" t="e">
        <f>IF(A2488&lt;&gt;"",IF(AND(#REF!="Padrão",$H$4=#REF!),BDI!$B$17,IF(AND(#REF!="Padrão",$H$4=#REF!),BDI!#REF!,IF(AND(#REF!="Diferenciado",$H$4=#REF!),BDI!$E$17,IF(AND(#REF!="Diferenciado",$H$4=#REF!),BDI!#REF!,IF(#REF!="ZERO",0))))),"")</f>
        <v>#REF!</v>
      </c>
      <c r="H2488" s="139" t="str">
        <f t="shared" si="187"/>
        <v/>
      </c>
      <c r="I2488" s="137" t="str">
        <f t="shared" si="188"/>
        <v/>
      </c>
      <c r="J2488" s="117"/>
      <c r="K2488" s="116">
        <v>0</v>
      </c>
      <c r="M2488" s="136" t="s">
        <v>416</v>
      </c>
      <c r="N2488" t="e">
        <v>#REF!</v>
      </c>
      <c r="Q2488" t="s">
        <v>416</v>
      </c>
    </row>
    <row r="2489" spans="1:17" hidden="1" x14ac:dyDescent="0.25">
      <c r="A2489" s="114" t="s">
        <v>5273</v>
      </c>
      <c r="B2489" s="115" t="s">
        <v>4050</v>
      </c>
      <c r="C2489" s="116" t="s">
        <v>16</v>
      </c>
      <c r="D2489" s="116">
        <v>0</v>
      </c>
      <c r="E2489" s="136" t="s">
        <v>416</v>
      </c>
      <c r="F2489" s="137" t="str">
        <f t="shared" si="186"/>
        <v/>
      </c>
      <c r="G2489" s="138" t="e">
        <f>IF(A2489&lt;&gt;"",IF(AND(#REF!="Padrão",$H$4=#REF!),BDI!$B$17,IF(AND(#REF!="Padrão",$H$4=#REF!),BDI!#REF!,IF(AND(#REF!="Diferenciado",$H$4=#REF!),BDI!$E$17,IF(AND(#REF!="Diferenciado",$H$4=#REF!),BDI!#REF!,IF(#REF!="ZERO",0))))),"")</f>
        <v>#REF!</v>
      </c>
      <c r="H2489" s="139" t="str">
        <f t="shared" si="187"/>
        <v/>
      </c>
      <c r="I2489" s="137" t="str">
        <f t="shared" si="188"/>
        <v/>
      </c>
      <c r="J2489" s="117"/>
      <c r="K2489" s="116">
        <v>0</v>
      </c>
      <c r="M2489" s="136" t="s">
        <v>416</v>
      </c>
      <c r="N2489" t="e">
        <v>#REF!</v>
      </c>
      <c r="Q2489" t="s">
        <v>416</v>
      </c>
    </row>
    <row r="2490" spans="1:17" hidden="1" x14ac:dyDescent="0.25">
      <c r="A2490" s="114" t="s">
        <v>5274</v>
      </c>
      <c r="B2490" s="115" t="s">
        <v>4051</v>
      </c>
      <c r="C2490" s="116" t="s">
        <v>16</v>
      </c>
      <c r="D2490" s="116">
        <v>0</v>
      </c>
      <c r="E2490" s="136" t="s">
        <v>416</v>
      </c>
      <c r="F2490" s="137" t="str">
        <f t="shared" si="186"/>
        <v/>
      </c>
      <c r="G2490" s="138" t="e">
        <f>IF(A2490&lt;&gt;"",IF(AND(#REF!="Padrão",$H$4=#REF!),BDI!$B$17,IF(AND(#REF!="Padrão",$H$4=#REF!),BDI!#REF!,IF(AND(#REF!="Diferenciado",$H$4=#REF!),BDI!$E$17,IF(AND(#REF!="Diferenciado",$H$4=#REF!),BDI!#REF!,IF(#REF!="ZERO",0))))),"")</f>
        <v>#REF!</v>
      </c>
      <c r="H2490" s="139" t="str">
        <f t="shared" si="187"/>
        <v/>
      </c>
      <c r="I2490" s="137" t="str">
        <f t="shared" si="188"/>
        <v/>
      </c>
      <c r="J2490" s="117"/>
      <c r="K2490" s="116">
        <v>0</v>
      </c>
      <c r="M2490" s="136" t="s">
        <v>416</v>
      </c>
      <c r="N2490" t="e">
        <v>#REF!</v>
      </c>
      <c r="Q2490" t="s">
        <v>416</v>
      </c>
    </row>
    <row r="2491" spans="1:17" hidden="1" x14ac:dyDescent="0.25">
      <c r="A2491" s="114" t="s">
        <v>5275</v>
      </c>
      <c r="B2491" s="115" t="s">
        <v>4052</v>
      </c>
      <c r="C2491" s="116" t="s">
        <v>16</v>
      </c>
      <c r="D2491" s="116">
        <v>0</v>
      </c>
      <c r="E2491" s="136" t="s">
        <v>416</v>
      </c>
      <c r="F2491" s="137" t="str">
        <f t="shared" si="186"/>
        <v/>
      </c>
      <c r="G2491" s="138" t="e">
        <f>IF(A2491&lt;&gt;"",IF(AND(#REF!="Padrão",$H$4=#REF!),BDI!$B$17,IF(AND(#REF!="Padrão",$H$4=#REF!),BDI!#REF!,IF(AND(#REF!="Diferenciado",$H$4=#REF!),BDI!$E$17,IF(AND(#REF!="Diferenciado",$H$4=#REF!),BDI!#REF!,IF(#REF!="ZERO",0))))),"")</f>
        <v>#REF!</v>
      </c>
      <c r="H2491" s="139" t="str">
        <f t="shared" si="187"/>
        <v/>
      </c>
      <c r="I2491" s="137" t="str">
        <f t="shared" si="188"/>
        <v/>
      </c>
      <c r="J2491" s="117"/>
      <c r="K2491" s="116">
        <v>0</v>
      </c>
      <c r="M2491" s="136" t="s">
        <v>416</v>
      </c>
      <c r="N2491" t="e">
        <v>#REF!</v>
      </c>
      <c r="Q2491" t="s">
        <v>416</v>
      </c>
    </row>
    <row r="2492" spans="1:17" hidden="1" x14ac:dyDescent="0.25">
      <c r="A2492" s="114" t="s">
        <v>5276</v>
      </c>
      <c r="B2492" s="115" t="s">
        <v>4053</v>
      </c>
      <c r="C2492" s="116" t="s">
        <v>16</v>
      </c>
      <c r="D2492" s="116">
        <v>0</v>
      </c>
      <c r="E2492" s="136" t="s">
        <v>416</v>
      </c>
      <c r="F2492" s="137" t="str">
        <f t="shared" si="186"/>
        <v/>
      </c>
      <c r="G2492" s="138" t="e">
        <f>IF(A2492&lt;&gt;"",IF(AND(#REF!="Padrão",$H$4=#REF!),BDI!$B$17,IF(AND(#REF!="Padrão",$H$4=#REF!),BDI!#REF!,IF(AND(#REF!="Diferenciado",$H$4=#REF!),BDI!$E$17,IF(AND(#REF!="Diferenciado",$H$4=#REF!),BDI!#REF!,IF(#REF!="ZERO",0))))),"")</f>
        <v>#REF!</v>
      </c>
      <c r="H2492" s="139" t="str">
        <f t="shared" si="187"/>
        <v/>
      </c>
      <c r="I2492" s="137" t="str">
        <f t="shared" si="188"/>
        <v/>
      </c>
      <c r="J2492" s="117"/>
      <c r="K2492" s="116">
        <v>0</v>
      </c>
      <c r="M2492" s="136" t="s">
        <v>416</v>
      </c>
      <c r="N2492" t="e">
        <v>#REF!</v>
      </c>
      <c r="Q2492" t="s">
        <v>416</v>
      </c>
    </row>
    <row r="2493" spans="1:17" hidden="1" x14ac:dyDescent="0.25">
      <c r="A2493" s="114" t="s">
        <v>5277</v>
      </c>
      <c r="B2493" s="115" t="s">
        <v>4054</v>
      </c>
      <c r="C2493" s="116" t="s">
        <v>16</v>
      </c>
      <c r="D2493" s="116">
        <v>0</v>
      </c>
      <c r="E2493" s="136" t="s">
        <v>416</v>
      </c>
      <c r="F2493" s="137" t="str">
        <f t="shared" si="186"/>
        <v/>
      </c>
      <c r="G2493" s="138" t="e">
        <f>IF(A2493&lt;&gt;"",IF(AND(#REF!="Padrão",$H$4=#REF!),BDI!$B$17,IF(AND(#REF!="Padrão",$H$4=#REF!),BDI!#REF!,IF(AND(#REF!="Diferenciado",$H$4=#REF!),BDI!$E$17,IF(AND(#REF!="Diferenciado",$H$4=#REF!),BDI!#REF!,IF(#REF!="ZERO",0))))),"")</f>
        <v>#REF!</v>
      </c>
      <c r="H2493" s="139" t="str">
        <f t="shared" si="187"/>
        <v/>
      </c>
      <c r="I2493" s="137" t="str">
        <f t="shared" si="188"/>
        <v/>
      </c>
      <c r="J2493" s="117"/>
      <c r="K2493" s="116">
        <v>0</v>
      </c>
      <c r="M2493" s="136" t="s">
        <v>416</v>
      </c>
      <c r="N2493" t="e">
        <v>#REF!</v>
      </c>
      <c r="Q2493" t="s">
        <v>416</v>
      </c>
    </row>
    <row r="2494" spans="1:17" hidden="1" x14ac:dyDescent="0.25">
      <c r="A2494" s="114" t="s">
        <v>5278</v>
      </c>
      <c r="B2494" s="115" t="s">
        <v>4055</v>
      </c>
      <c r="C2494" s="116" t="s">
        <v>16</v>
      </c>
      <c r="D2494" s="116">
        <v>0</v>
      </c>
      <c r="E2494" s="136" t="s">
        <v>416</v>
      </c>
      <c r="F2494" s="137" t="str">
        <f t="shared" si="186"/>
        <v/>
      </c>
      <c r="G2494" s="138" t="e">
        <f>IF(A2494&lt;&gt;"",IF(AND(#REF!="Padrão",$H$4=#REF!),BDI!$B$17,IF(AND(#REF!="Padrão",$H$4=#REF!),BDI!#REF!,IF(AND(#REF!="Diferenciado",$H$4=#REF!),BDI!$E$17,IF(AND(#REF!="Diferenciado",$H$4=#REF!),BDI!#REF!,IF(#REF!="ZERO",0))))),"")</f>
        <v>#REF!</v>
      </c>
      <c r="H2494" s="139" t="str">
        <f t="shared" si="187"/>
        <v/>
      </c>
      <c r="I2494" s="137" t="str">
        <f t="shared" si="188"/>
        <v/>
      </c>
      <c r="J2494" s="117"/>
      <c r="K2494" s="116">
        <v>0</v>
      </c>
      <c r="M2494" s="136" t="s">
        <v>416</v>
      </c>
      <c r="N2494" t="e">
        <v>#REF!</v>
      </c>
      <c r="Q2494" t="s">
        <v>416</v>
      </c>
    </row>
    <row r="2495" spans="1:17" hidden="1" x14ac:dyDescent="0.25">
      <c r="A2495" s="114" t="s">
        <v>5279</v>
      </c>
      <c r="B2495" s="115" t="s">
        <v>4056</v>
      </c>
      <c r="C2495" s="116" t="s">
        <v>16</v>
      </c>
      <c r="D2495" s="116">
        <v>0</v>
      </c>
      <c r="E2495" s="136" t="s">
        <v>416</v>
      </c>
      <c r="F2495" s="137" t="str">
        <f t="shared" si="186"/>
        <v/>
      </c>
      <c r="G2495" s="138" t="e">
        <f>IF(A2495&lt;&gt;"",IF(AND(#REF!="Padrão",$H$4=#REF!),BDI!$B$17,IF(AND(#REF!="Padrão",$H$4=#REF!),BDI!#REF!,IF(AND(#REF!="Diferenciado",$H$4=#REF!),BDI!$E$17,IF(AND(#REF!="Diferenciado",$H$4=#REF!),BDI!#REF!,IF(#REF!="ZERO",0))))),"")</f>
        <v>#REF!</v>
      </c>
      <c r="H2495" s="139" t="str">
        <f t="shared" si="187"/>
        <v/>
      </c>
      <c r="I2495" s="137" t="str">
        <f t="shared" si="188"/>
        <v/>
      </c>
      <c r="J2495" s="117"/>
      <c r="K2495" s="116">
        <v>0</v>
      </c>
      <c r="M2495" s="136" t="s">
        <v>416</v>
      </c>
      <c r="N2495" t="e">
        <v>#REF!</v>
      </c>
      <c r="Q2495" t="s">
        <v>416</v>
      </c>
    </row>
    <row r="2496" spans="1:17" hidden="1" x14ac:dyDescent="0.25">
      <c r="A2496" s="114" t="s">
        <v>5280</v>
      </c>
      <c r="B2496" s="115" t="s">
        <v>4057</v>
      </c>
      <c r="C2496" s="116" t="s">
        <v>16</v>
      </c>
      <c r="D2496" s="116">
        <v>0</v>
      </c>
      <c r="E2496" s="136" t="s">
        <v>416</v>
      </c>
      <c r="F2496" s="137" t="str">
        <f t="shared" si="186"/>
        <v/>
      </c>
      <c r="G2496" s="138" t="e">
        <f>IF(A2496&lt;&gt;"",IF(AND(#REF!="Padrão",$H$4=#REF!),BDI!$B$17,IF(AND(#REF!="Padrão",$H$4=#REF!),BDI!#REF!,IF(AND(#REF!="Diferenciado",$H$4=#REF!),BDI!$E$17,IF(AND(#REF!="Diferenciado",$H$4=#REF!),BDI!#REF!,IF(#REF!="ZERO",0))))),"")</f>
        <v>#REF!</v>
      </c>
      <c r="H2496" s="139" t="str">
        <f t="shared" si="187"/>
        <v/>
      </c>
      <c r="I2496" s="137" t="str">
        <f t="shared" si="188"/>
        <v/>
      </c>
      <c r="J2496" s="117"/>
      <c r="K2496" s="116">
        <v>0</v>
      </c>
      <c r="M2496" s="136" t="s">
        <v>416</v>
      </c>
      <c r="N2496" t="e">
        <v>#REF!</v>
      </c>
      <c r="Q2496" t="s">
        <v>416</v>
      </c>
    </row>
    <row r="2497" spans="1:17" hidden="1" x14ac:dyDescent="0.25">
      <c r="A2497" s="114" t="s">
        <v>5281</v>
      </c>
      <c r="B2497" s="115" t="s">
        <v>4058</v>
      </c>
      <c r="C2497" s="116" t="s">
        <v>16</v>
      </c>
      <c r="D2497" s="116">
        <v>0</v>
      </c>
      <c r="E2497" s="136" t="s">
        <v>416</v>
      </c>
      <c r="F2497" s="137" t="str">
        <f t="shared" si="186"/>
        <v/>
      </c>
      <c r="G2497" s="138" t="e">
        <f>IF(A2497&lt;&gt;"",IF(AND(#REF!="Padrão",$H$4=#REF!),BDI!$B$17,IF(AND(#REF!="Padrão",$H$4=#REF!),BDI!#REF!,IF(AND(#REF!="Diferenciado",$H$4=#REF!),BDI!$E$17,IF(AND(#REF!="Diferenciado",$H$4=#REF!),BDI!#REF!,IF(#REF!="ZERO",0))))),"")</f>
        <v>#REF!</v>
      </c>
      <c r="H2497" s="139" t="str">
        <f t="shared" si="187"/>
        <v/>
      </c>
      <c r="I2497" s="137" t="str">
        <f t="shared" si="188"/>
        <v/>
      </c>
      <c r="J2497" s="117"/>
      <c r="K2497" s="116">
        <v>0</v>
      </c>
      <c r="M2497" s="136" t="s">
        <v>416</v>
      </c>
      <c r="N2497" t="e">
        <v>#REF!</v>
      </c>
      <c r="Q2497" t="s">
        <v>416</v>
      </c>
    </row>
    <row r="2498" spans="1:17" hidden="1" x14ac:dyDescent="0.25">
      <c r="A2498" s="114" t="s">
        <v>5282</v>
      </c>
      <c r="B2498" s="115" t="s">
        <v>4059</v>
      </c>
      <c r="C2498" s="116" t="s">
        <v>16</v>
      </c>
      <c r="D2498" s="116">
        <v>0</v>
      </c>
      <c r="E2498" s="136" t="s">
        <v>416</v>
      </c>
      <c r="F2498" s="137" t="str">
        <f t="shared" si="186"/>
        <v/>
      </c>
      <c r="G2498" s="138" t="e">
        <f>IF(A2498&lt;&gt;"",IF(AND(#REF!="Padrão",$H$4=#REF!),BDI!$B$17,IF(AND(#REF!="Padrão",$H$4=#REF!),BDI!#REF!,IF(AND(#REF!="Diferenciado",$H$4=#REF!),BDI!$E$17,IF(AND(#REF!="Diferenciado",$H$4=#REF!),BDI!#REF!,IF(#REF!="ZERO",0))))),"")</f>
        <v>#REF!</v>
      </c>
      <c r="H2498" s="139" t="str">
        <f t="shared" si="187"/>
        <v/>
      </c>
      <c r="I2498" s="137" t="str">
        <f t="shared" si="188"/>
        <v/>
      </c>
      <c r="J2498" s="117"/>
      <c r="K2498" s="116">
        <v>0</v>
      </c>
      <c r="M2498" s="136" t="s">
        <v>416</v>
      </c>
      <c r="N2498" t="e">
        <v>#REF!</v>
      </c>
      <c r="Q2498" t="s">
        <v>416</v>
      </c>
    </row>
    <row r="2499" spans="1:17" hidden="1" x14ac:dyDescent="0.25">
      <c r="A2499" s="114" t="s">
        <v>5283</v>
      </c>
      <c r="B2499" s="115" t="s">
        <v>4060</v>
      </c>
      <c r="C2499" s="116" t="s">
        <v>16</v>
      </c>
      <c r="D2499" s="116">
        <v>0</v>
      </c>
      <c r="E2499" s="136" t="s">
        <v>416</v>
      </c>
      <c r="F2499" s="137" t="str">
        <f t="shared" si="186"/>
        <v/>
      </c>
      <c r="G2499" s="138" t="e">
        <f>IF(A2499&lt;&gt;"",IF(AND(#REF!="Padrão",$H$4=#REF!),BDI!$B$17,IF(AND(#REF!="Padrão",$H$4=#REF!),BDI!#REF!,IF(AND(#REF!="Diferenciado",$H$4=#REF!),BDI!$E$17,IF(AND(#REF!="Diferenciado",$H$4=#REF!),BDI!#REF!,IF(#REF!="ZERO",0))))),"")</f>
        <v>#REF!</v>
      </c>
      <c r="H2499" s="139" t="str">
        <f t="shared" si="187"/>
        <v/>
      </c>
      <c r="I2499" s="137" t="str">
        <f t="shared" si="188"/>
        <v/>
      </c>
      <c r="J2499" s="117"/>
      <c r="K2499" s="116">
        <v>0</v>
      </c>
      <c r="M2499" s="136" t="s">
        <v>416</v>
      </c>
      <c r="N2499" t="e">
        <v>#REF!</v>
      </c>
      <c r="Q2499" t="s">
        <v>416</v>
      </c>
    </row>
    <row r="2500" spans="1:17" hidden="1" x14ac:dyDescent="0.25">
      <c r="A2500" s="114" t="s">
        <v>5284</v>
      </c>
      <c r="B2500" s="115" t="s">
        <v>4061</v>
      </c>
      <c r="C2500" s="116" t="s">
        <v>16</v>
      </c>
      <c r="D2500" s="116">
        <v>0</v>
      </c>
      <c r="E2500" s="136" t="s">
        <v>416</v>
      </c>
      <c r="F2500" s="137" t="str">
        <f t="shared" si="186"/>
        <v/>
      </c>
      <c r="G2500" s="138" t="e">
        <f>IF(A2500&lt;&gt;"",IF(AND(#REF!="Padrão",$H$4=#REF!),BDI!$B$17,IF(AND(#REF!="Padrão",$H$4=#REF!),BDI!#REF!,IF(AND(#REF!="Diferenciado",$H$4=#REF!),BDI!$E$17,IF(AND(#REF!="Diferenciado",$H$4=#REF!),BDI!#REF!,IF(#REF!="ZERO",0))))),"")</f>
        <v>#REF!</v>
      </c>
      <c r="H2500" s="139" t="str">
        <f t="shared" si="187"/>
        <v/>
      </c>
      <c r="I2500" s="137" t="str">
        <f t="shared" si="188"/>
        <v/>
      </c>
      <c r="J2500" s="117"/>
      <c r="K2500" s="116">
        <v>0</v>
      </c>
      <c r="M2500" s="136" t="s">
        <v>416</v>
      </c>
      <c r="N2500" t="e">
        <v>#REF!</v>
      </c>
      <c r="Q2500" t="s">
        <v>416</v>
      </c>
    </row>
    <row r="2501" spans="1:17" hidden="1" x14ac:dyDescent="0.25">
      <c r="A2501" s="114" t="s">
        <v>5285</v>
      </c>
      <c r="B2501" s="115" t="s">
        <v>7395</v>
      </c>
      <c r="C2501" s="116" t="s">
        <v>16</v>
      </c>
      <c r="D2501" s="116">
        <v>0</v>
      </c>
      <c r="E2501" s="136" t="s">
        <v>416</v>
      </c>
      <c r="F2501" s="137" t="str">
        <f t="shared" si="186"/>
        <v/>
      </c>
      <c r="G2501" s="138" t="e">
        <f>IF(A2501&lt;&gt;"",IF(AND(#REF!="Padrão",$H$4=#REF!),BDI!$B$17,IF(AND(#REF!="Padrão",$H$4=#REF!),BDI!#REF!,IF(AND(#REF!="Diferenciado",$H$4=#REF!),BDI!$E$17,IF(AND(#REF!="Diferenciado",$H$4=#REF!),BDI!#REF!,IF(#REF!="ZERO",0))))),"")</f>
        <v>#REF!</v>
      </c>
      <c r="H2501" s="139" t="str">
        <f t="shared" si="187"/>
        <v/>
      </c>
      <c r="I2501" s="137" t="str">
        <f t="shared" si="188"/>
        <v/>
      </c>
      <c r="J2501" s="117"/>
      <c r="K2501" s="116">
        <v>0</v>
      </c>
      <c r="M2501" s="136" t="s">
        <v>416</v>
      </c>
      <c r="N2501" t="e">
        <v>#REF!</v>
      </c>
      <c r="Q2501" t="s">
        <v>416</v>
      </c>
    </row>
    <row r="2502" spans="1:17" hidden="1" x14ac:dyDescent="0.25">
      <c r="A2502" s="114" t="s">
        <v>5286</v>
      </c>
      <c r="B2502" s="115" t="s">
        <v>7396</v>
      </c>
      <c r="C2502" s="116" t="s">
        <v>16</v>
      </c>
      <c r="D2502" s="116">
        <v>0</v>
      </c>
      <c r="E2502" s="136" t="s">
        <v>416</v>
      </c>
      <c r="F2502" s="137" t="str">
        <f t="shared" si="186"/>
        <v/>
      </c>
      <c r="G2502" s="138" t="e">
        <f>IF(A2502&lt;&gt;"",IF(AND(#REF!="Padrão",$H$4=#REF!),BDI!$B$17,IF(AND(#REF!="Padrão",$H$4=#REF!),BDI!#REF!,IF(AND(#REF!="Diferenciado",$H$4=#REF!),BDI!$E$17,IF(AND(#REF!="Diferenciado",$H$4=#REF!),BDI!#REF!,IF(#REF!="ZERO",0))))),"")</f>
        <v>#REF!</v>
      </c>
      <c r="H2502" s="139" t="str">
        <f t="shared" si="187"/>
        <v/>
      </c>
      <c r="I2502" s="137" t="str">
        <f t="shared" si="188"/>
        <v/>
      </c>
      <c r="J2502" s="117"/>
      <c r="K2502" s="116">
        <v>0</v>
      </c>
      <c r="M2502" s="136" t="s">
        <v>416</v>
      </c>
      <c r="N2502" t="e">
        <v>#REF!</v>
      </c>
      <c r="Q2502" t="s">
        <v>416</v>
      </c>
    </row>
    <row r="2503" spans="1:17" hidden="1" x14ac:dyDescent="0.25">
      <c r="A2503" s="114" t="s">
        <v>5287</v>
      </c>
      <c r="B2503" s="115" t="s">
        <v>7397</v>
      </c>
      <c r="C2503" s="116" t="s">
        <v>16</v>
      </c>
      <c r="D2503" s="116">
        <v>0</v>
      </c>
      <c r="E2503" s="136" t="s">
        <v>416</v>
      </c>
      <c r="F2503" s="137" t="str">
        <f t="shared" si="186"/>
        <v/>
      </c>
      <c r="G2503" s="138" t="e">
        <f>IF(A2503&lt;&gt;"",IF(AND(#REF!="Padrão",$H$4=#REF!),BDI!$B$17,IF(AND(#REF!="Padrão",$H$4=#REF!),BDI!#REF!,IF(AND(#REF!="Diferenciado",$H$4=#REF!),BDI!$E$17,IF(AND(#REF!="Diferenciado",$H$4=#REF!),BDI!#REF!,IF(#REF!="ZERO",0))))),"")</f>
        <v>#REF!</v>
      </c>
      <c r="H2503" s="139" t="str">
        <f t="shared" si="187"/>
        <v/>
      </c>
      <c r="I2503" s="137" t="str">
        <f t="shared" si="188"/>
        <v/>
      </c>
      <c r="J2503" s="117"/>
      <c r="K2503" s="116">
        <v>0</v>
      </c>
      <c r="M2503" s="136" t="s">
        <v>416</v>
      </c>
      <c r="N2503" t="e">
        <v>#REF!</v>
      </c>
      <c r="Q2503" t="s">
        <v>416</v>
      </c>
    </row>
    <row r="2504" spans="1:17" hidden="1" x14ac:dyDescent="0.25">
      <c r="A2504" s="114" t="s">
        <v>5288</v>
      </c>
      <c r="B2504" s="115" t="s">
        <v>4062</v>
      </c>
      <c r="C2504" s="116" t="s">
        <v>16</v>
      </c>
      <c r="D2504" s="116">
        <v>0</v>
      </c>
      <c r="E2504" s="136">
        <f ca="1">OFFSET(INDEX(Composições!A:J,MATCH(Orçamentária!A2504,Composições!A:A,0),8),2,0)</f>
        <v>143.56399999999999</v>
      </c>
      <c r="F2504" s="137">
        <f t="shared" ca="1" si="186"/>
        <v>0</v>
      </c>
      <c r="G2504" s="138" t="e">
        <f>IF(A2504&lt;&gt;"",IF(AND(#REF!="Padrão",$H$4=#REF!),BDI!$B$17,IF(AND(#REF!="Padrão",$H$4=#REF!),BDI!#REF!,IF(AND(#REF!="Diferenciado",$H$4=#REF!),BDI!$E$17,IF(AND(#REF!="Diferenciado",$H$4=#REF!),BDI!#REF!,IF(#REF!="ZERO",0))))),"")</f>
        <v>#REF!</v>
      </c>
      <c r="H2504" s="139" t="e">
        <f t="shared" ca="1" si="187"/>
        <v>#REF!</v>
      </c>
      <c r="I2504" s="137" t="e">
        <f t="shared" ca="1" si="188"/>
        <v>#REF!</v>
      </c>
      <c r="J2504" s="117"/>
      <c r="K2504" s="116">
        <v>0</v>
      </c>
      <c r="M2504" s="136" t="e">
        <f ca="1">OFFSET(INDEX([1]Composições!I:R,MATCH([1]Orçamentária!I2504,[1]Composições!I:I,0),8),2,0)</f>
        <v>#REF!</v>
      </c>
      <c r="N2504" t="e">
        <v>#REF!</v>
      </c>
      <c r="Q2504" t="e">
        <v>#REF!</v>
      </c>
    </row>
    <row r="2505" spans="1:17" hidden="1" x14ac:dyDescent="0.25">
      <c r="A2505" s="114" t="s">
        <v>5289</v>
      </c>
      <c r="B2505" s="115" t="s">
        <v>4063</v>
      </c>
      <c r="C2505" s="116" t="s">
        <v>16</v>
      </c>
      <c r="D2505" s="116">
        <v>0</v>
      </c>
      <c r="E2505" s="136" t="s">
        <v>416</v>
      </c>
      <c r="F2505" s="137" t="str">
        <f t="shared" si="186"/>
        <v/>
      </c>
      <c r="G2505" s="138" t="e">
        <f>IF(A2505&lt;&gt;"",IF(AND(#REF!="Padrão",$H$4=#REF!),BDI!$B$17,IF(AND(#REF!="Padrão",$H$4=#REF!),BDI!#REF!,IF(AND(#REF!="Diferenciado",$H$4=#REF!),BDI!$E$17,IF(AND(#REF!="Diferenciado",$H$4=#REF!),BDI!#REF!,IF(#REF!="ZERO",0))))),"")</f>
        <v>#REF!</v>
      </c>
      <c r="H2505" s="139" t="str">
        <f t="shared" si="187"/>
        <v/>
      </c>
      <c r="I2505" s="137" t="str">
        <f t="shared" si="188"/>
        <v/>
      </c>
      <c r="J2505" s="117"/>
      <c r="K2505" s="116">
        <v>0</v>
      </c>
      <c r="M2505" s="136" t="s">
        <v>416</v>
      </c>
      <c r="N2505" t="e">
        <v>#REF!</v>
      </c>
      <c r="Q2505" t="s">
        <v>416</v>
      </c>
    </row>
    <row r="2506" spans="1:17" hidden="1" x14ac:dyDescent="0.25">
      <c r="A2506" s="114" t="s">
        <v>5290</v>
      </c>
      <c r="B2506" s="115" t="s">
        <v>4064</v>
      </c>
      <c r="C2506" s="116" t="s">
        <v>16</v>
      </c>
      <c r="D2506" s="116">
        <v>0</v>
      </c>
      <c r="E2506" s="136" t="s">
        <v>416</v>
      </c>
      <c r="F2506" s="137" t="str">
        <f t="shared" si="186"/>
        <v/>
      </c>
      <c r="G2506" s="138" t="e">
        <f>IF(A2506&lt;&gt;"",IF(AND(#REF!="Padrão",$H$4=#REF!),BDI!$B$17,IF(AND(#REF!="Padrão",$H$4=#REF!),BDI!#REF!,IF(AND(#REF!="Diferenciado",$H$4=#REF!),BDI!$E$17,IF(AND(#REF!="Diferenciado",$H$4=#REF!),BDI!#REF!,IF(#REF!="ZERO",0))))),"")</f>
        <v>#REF!</v>
      </c>
      <c r="H2506" s="139" t="str">
        <f t="shared" si="187"/>
        <v/>
      </c>
      <c r="I2506" s="137" t="str">
        <f t="shared" si="188"/>
        <v/>
      </c>
      <c r="J2506" s="117"/>
      <c r="K2506" s="116">
        <v>0</v>
      </c>
      <c r="M2506" s="136" t="s">
        <v>416</v>
      </c>
      <c r="N2506" t="e">
        <v>#REF!</v>
      </c>
      <c r="Q2506" t="s">
        <v>416</v>
      </c>
    </row>
    <row r="2507" spans="1:17" hidden="1" x14ac:dyDescent="0.25">
      <c r="A2507" s="114" t="s">
        <v>5291</v>
      </c>
      <c r="B2507" s="115" t="s">
        <v>4065</v>
      </c>
      <c r="C2507" s="116" t="s">
        <v>16</v>
      </c>
      <c r="D2507" s="116">
        <v>0</v>
      </c>
      <c r="E2507" s="136" t="s">
        <v>416</v>
      </c>
      <c r="F2507" s="137" t="str">
        <f t="shared" si="186"/>
        <v/>
      </c>
      <c r="G2507" s="138" t="e">
        <f>IF(A2507&lt;&gt;"",IF(AND(#REF!="Padrão",$H$4=#REF!),BDI!$B$17,IF(AND(#REF!="Padrão",$H$4=#REF!),BDI!#REF!,IF(AND(#REF!="Diferenciado",$H$4=#REF!),BDI!$E$17,IF(AND(#REF!="Diferenciado",$H$4=#REF!),BDI!#REF!,IF(#REF!="ZERO",0))))),"")</f>
        <v>#REF!</v>
      </c>
      <c r="H2507" s="139" t="str">
        <f t="shared" si="187"/>
        <v/>
      </c>
      <c r="I2507" s="137" t="str">
        <f t="shared" si="188"/>
        <v/>
      </c>
      <c r="J2507" s="117"/>
      <c r="K2507" s="116">
        <v>0</v>
      </c>
      <c r="M2507" s="136" t="s">
        <v>416</v>
      </c>
      <c r="N2507" t="e">
        <v>#REF!</v>
      </c>
      <c r="Q2507" t="s">
        <v>416</v>
      </c>
    </row>
    <row r="2508" spans="1:17" hidden="1" x14ac:dyDescent="0.25">
      <c r="A2508" s="114" t="s">
        <v>5292</v>
      </c>
      <c r="B2508" s="115" t="s">
        <v>4066</v>
      </c>
      <c r="C2508" s="116" t="s">
        <v>16</v>
      </c>
      <c r="D2508" s="116">
        <v>0</v>
      </c>
      <c r="E2508" s="136" t="s">
        <v>416</v>
      </c>
      <c r="F2508" s="137" t="str">
        <f t="shared" si="186"/>
        <v/>
      </c>
      <c r="G2508" s="138" t="e">
        <f>IF(A2508&lt;&gt;"",IF(AND(#REF!="Padrão",$H$4=#REF!),BDI!$B$17,IF(AND(#REF!="Padrão",$H$4=#REF!),BDI!#REF!,IF(AND(#REF!="Diferenciado",$H$4=#REF!),BDI!$E$17,IF(AND(#REF!="Diferenciado",$H$4=#REF!),BDI!#REF!,IF(#REF!="ZERO",0))))),"")</f>
        <v>#REF!</v>
      </c>
      <c r="H2508" s="139" t="str">
        <f t="shared" si="187"/>
        <v/>
      </c>
      <c r="I2508" s="137" t="str">
        <f t="shared" si="188"/>
        <v/>
      </c>
      <c r="J2508" s="117"/>
      <c r="K2508" s="116">
        <v>0</v>
      </c>
      <c r="M2508" s="136" t="s">
        <v>416</v>
      </c>
      <c r="N2508" t="e">
        <v>#REF!</v>
      </c>
      <c r="Q2508" t="s">
        <v>416</v>
      </c>
    </row>
    <row r="2509" spans="1:17" hidden="1" x14ac:dyDescent="0.25">
      <c r="A2509" s="114" t="s">
        <v>5293</v>
      </c>
      <c r="B2509" s="115" t="s">
        <v>4067</v>
      </c>
      <c r="C2509" s="116" t="s">
        <v>16</v>
      </c>
      <c r="D2509" s="116">
        <v>0</v>
      </c>
      <c r="E2509" s="136" t="s">
        <v>416</v>
      </c>
      <c r="F2509" s="137" t="str">
        <f t="shared" si="186"/>
        <v/>
      </c>
      <c r="G2509" s="138" t="e">
        <f>IF(A2509&lt;&gt;"",IF(AND(#REF!="Padrão",$H$4=#REF!),BDI!$B$17,IF(AND(#REF!="Padrão",$H$4=#REF!),BDI!#REF!,IF(AND(#REF!="Diferenciado",$H$4=#REF!),BDI!$E$17,IF(AND(#REF!="Diferenciado",$H$4=#REF!),BDI!#REF!,IF(#REF!="ZERO",0))))),"")</f>
        <v>#REF!</v>
      </c>
      <c r="H2509" s="139" t="str">
        <f t="shared" si="187"/>
        <v/>
      </c>
      <c r="I2509" s="137" t="str">
        <f t="shared" si="188"/>
        <v/>
      </c>
      <c r="J2509" s="117"/>
      <c r="K2509" s="116">
        <v>0</v>
      </c>
      <c r="M2509" s="136" t="s">
        <v>416</v>
      </c>
      <c r="N2509" t="e">
        <v>#REF!</v>
      </c>
      <c r="Q2509" t="s">
        <v>416</v>
      </c>
    </row>
    <row r="2510" spans="1:17" hidden="1" x14ac:dyDescent="0.25">
      <c r="A2510" s="114" t="s">
        <v>5294</v>
      </c>
      <c r="B2510" s="115" t="s">
        <v>4068</v>
      </c>
      <c r="C2510" s="116" t="s">
        <v>16</v>
      </c>
      <c r="D2510" s="116">
        <v>0</v>
      </c>
      <c r="E2510" s="136" t="s">
        <v>416</v>
      </c>
      <c r="F2510" s="137" t="str">
        <f t="shared" si="186"/>
        <v/>
      </c>
      <c r="G2510" s="138" t="e">
        <f>IF(A2510&lt;&gt;"",IF(AND(#REF!="Padrão",$H$4=#REF!),BDI!$B$17,IF(AND(#REF!="Padrão",$H$4=#REF!),BDI!#REF!,IF(AND(#REF!="Diferenciado",$H$4=#REF!),BDI!$E$17,IF(AND(#REF!="Diferenciado",$H$4=#REF!),BDI!#REF!,IF(#REF!="ZERO",0))))),"")</f>
        <v>#REF!</v>
      </c>
      <c r="H2510" s="139" t="str">
        <f t="shared" si="187"/>
        <v/>
      </c>
      <c r="I2510" s="137" t="str">
        <f t="shared" si="188"/>
        <v/>
      </c>
      <c r="J2510" s="117"/>
      <c r="K2510" s="116">
        <v>0</v>
      </c>
      <c r="M2510" s="136" t="s">
        <v>416</v>
      </c>
      <c r="N2510" t="e">
        <v>#REF!</v>
      </c>
      <c r="Q2510" t="s">
        <v>416</v>
      </c>
    </row>
    <row r="2511" spans="1:17" hidden="1" x14ac:dyDescent="0.25">
      <c r="A2511" s="114" t="s">
        <v>5295</v>
      </c>
      <c r="B2511" s="115" t="s">
        <v>4069</v>
      </c>
      <c r="C2511" s="116" t="s">
        <v>16</v>
      </c>
      <c r="D2511" s="116">
        <v>0</v>
      </c>
      <c r="E2511" s="136" t="s">
        <v>416</v>
      </c>
      <c r="F2511" s="137" t="str">
        <f t="shared" si="186"/>
        <v/>
      </c>
      <c r="G2511" s="138" t="e">
        <f>IF(A2511&lt;&gt;"",IF(AND(#REF!="Padrão",$H$4=#REF!),BDI!$B$17,IF(AND(#REF!="Padrão",$H$4=#REF!),BDI!#REF!,IF(AND(#REF!="Diferenciado",$H$4=#REF!),BDI!$E$17,IF(AND(#REF!="Diferenciado",$H$4=#REF!),BDI!#REF!,IF(#REF!="ZERO",0))))),"")</f>
        <v>#REF!</v>
      </c>
      <c r="H2511" s="139" t="str">
        <f t="shared" si="187"/>
        <v/>
      </c>
      <c r="I2511" s="137" t="str">
        <f t="shared" si="188"/>
        <v/>
      </c>
      <c r="J2511" s="117"/>
      <c r="K2511" s="116">
        <v>0</v>
      </c>
      <c r="M2511" s="136" t="s">
        <v>416</v>
      </c>
      <c r="N2511" t="e">
        <v>#REF!</v>
      </c>
      <c r="Q2511" t="s">
        <v>416</v>
      </c>
    </row>
    <row r="2512" spans="1:17" hidden="1" x14ac:dyDescent="0.25">
      <c r="A2512" s="114" t="s">
        <v>5296</v>
      </c>
      <c r="B2512" s="115" t="s">
        <v>4070</v>
      </c>
      <c r="C2512" s="116" t="s">
        <v>16</v>
      </c>
      <c r="D2512" s="116">
        <v>0</v>
      </c>
      <c r="E2512" s="136" t="s">
        <v>416</v>
      </c>
      <c r="F2512" s="137" t="str">
        <f t="shared" si="186"/>
        <v/>
      </c>
      <c r="G2512" s="138" t="e">
        <f>IF(A2512&lt;&gt;"",IF(AND(#REF!="Padrão",$H$4=#REF!),BDI!$B$17,IF(AND(#REF!="Padrão",$H$4=#REF!),BDI!#REF!,IF(AND(#REF!="Diferenciado",$H$4=#REF!),BDI!$E$17,IF(AND(#REF!="Diferenciado",$H$4=#REF!),BDI!#REF!,IF(#REF!="ZERO",0))))),"")</f>
        <v>#REF!</v>
      </c>
      <c r="H2512" s="139" t="str">
        <f t="shared" si="187"/>
        <v/>
      </c>
      <c r="I2512" s="137" t="str">
        <f t="shared" si="188"/>
        <v/>
      </c>
      <c r="J2512" s="117"/>
      <c r="K2512" s="116">
        <v>0</v>
      </c>
      <c r="M2512" s="136" t="s">
        <v>416</v>
      </c>
      <c r="N2512" t="e">
        <v>#REF!</v>
      </c>
      <c r="Q2512" t="s">
        <v>416</v>
      </c>
    </row>
    <row r="2513" spans="1:17" hidden="1" x14ac:dyDescent="0.25">
      <c r="A2513" s="114" t="s">
        <v>5297</v>
      </c>
      <c r="B2513" s="115" t="s">
        <v>4071</v>
      </c>
      <c r="C2513" s="116" t="s">
        <v>16</v>
      </c>
      <c r="D2513" s="116">
        <v>0</v>
      </c>
      <c r="E2513" s="136" t="s">
        <v>416</v>
      </c>
      <c r="F2513" s="137" t="str">
        <f t="shared" si="186"/>
        <v/>
      </c>
      <c r="G2513" s="138" t="e">
        <f>IF(A2513&lt;&gt;"",IF(AND(#REF!="Padrão",$H$4=#REF!),BDI!$B$17,IF(AND(#REF!="Padrão",$H$4=#REF!),BDI!#REF!,IF(AND(#REF!="Diferenciado",$H$4=#REF!),BDI!$E$17,IF(AND(#REF!="Diferenciado",$H$4=#REF!),BDI!#REF!,IF(#REF!="ZERO",0))))),"")</f>
        <v>#REF!</v>
      </c>
      <c r="H2513" s="139" t="str">
        <f t="shared" si="187"/>
        <v/>
      </c>
      <c r="I2513" s="137" t="str">
        <f t="shared" si="188"/>
        <v/>
      </c>
      <c r="J2513" s="117"/>
      <c r="K2513" s="116">
        <v>0</v>
      </c>
      <c r="M2513" s="136" t="s">
        <v>416</v>
      </c>
      <c r="N2513" t="e">
        <v>#REF!</v>
      </c>
      <c r="Q2513" t="s">
        <v>416</v>
      </c>
    </row>
    <row r="2514" spans="1:17" hidden="1" x14ac:dyDescent="0.25">
      <c r="A2514" s="114" t="s">
        <v>5298</v>
      </c>
      <c r="B2514" s="115" t="s">
        <v>4072</v>
      </c>
      <c r="C2514" s="116" t="s">
        <v>16</v>
      </c>
      <c r="D2514" s="116">
        <v>0</v>
      </c>
      <c r="E2514" s="136" t="s">
        <v>416</v>
      </c>
      <c r="F2514" s="137" t="str">
        <f t="shared" si="186"/>
        <v/>
      </c>
      <c r="G2514" s="138" t="e">
        <f>IF(A2514&lt;&gt;"",IF(AND(#REF!="Padrão",$H$4=#REF!),BDI!$B$17,IF(AND(#REF!="Padrão",$H$4=#REF!),BDI!#REF!,IF(AND(#REF!="Diferenciado",$H$4=#REF!),BDI!$E$17,IF(AND(#REF!="Diferenciado",$H$4=#REF!),BDI!#REF!,IF(#REF!="ZERO",0))))),"")</f>
        <v>#REF!</v>
      </c>
      <c r="H2514" s="139" t="str">
        <f t="shared" si="187"/>
        <v/>
      </c>
      <c r="I2514" s="137" t="str">
        <f t="shared" si="188"/>
        <v/>
      </c>
      <c r="J2514" s="117"/>
      <c r="K2514" s="116">
        <v>0</v>
      </c>
      <c r="M2514" s="136" t="s">
        <v>416</v>
      </c>
      <c r="N2514" t="e">
        <v>#REF!</v>
      </c>
      <c r="Q2514" t="s">
        <v>416</v>
      </c>
    </row>
    <row r="2515" spans="1:17" hidden="1" x14ac:dyDescent="0.25">
      <c r="A2515" s="114" t="s">
        <v>5299</v>
      </c>
      <c r="B2515" s="115" t="s">
        <v>4073</v>
      </c>
      <c r="C2515" s="116" t="s">
        <v>16</v>
      </c>
      <c r="D2515" s="116">
        <v>0</v>
      </c>
      <c r="E2515" s="136" t="s">
        <v>416</v>
      </c>
      <c r="F2515" s="137" t="str">
        <f t="shared" si="186"/>
        <v/>
      </c>
      <c r="G2515" s="138" t="e">
        <f>IF(A2515&lt;&gt;"",IF(AND(#REF!="Padrão",$H$4=#REF!),BDI!$B$17,IF(AND(#REF!="Padrão",$H$4=#REF!),BDI!#REF!,IF(AND(#REF!="Diferenciado",$H$4=#REF!),BDI!$E$17,IF(AND(#REF!="Diferenciado",$H$4=#REF!),BDI!#REF!,IF(#REF!="ZERO",0))))),"")</f>
        <v>#REF!</v>
      </c>
      <c r="H2515" s="139" t="str">
        <f t="shared" si="187"/>
        <v/>
      </c>
      <c r="I2515" s="137" t="str">
        <f t="shared" si="188"/>
        <v/>
      </c>
      <c r="J2515" s="117"/>
      <c r="K2515" s="116">
        <v>0</v>
      </c>
      <c r="M2515" s="136" t="s">
        <v>416</v>
      </c>
      <c r="N2515" t="e">
        <v>#REF!</v>
      </c>
      <c r="Q2515" t="s">
        <v>416</v>
      </c>
    </row>
    <row r="2516" spans="1:17" hidden="1" x14ac:dyDescent="0.25">
      <c r="A2516" s="114" t="s">
        <v>5300</v>
      </c>
      <c r="B2516" s="115" t="s">
        <v>4074</v>
      </c>
      <c r="C2516" s="116" t="s">
        <v>16</v>
      </c>
      <c r="D2516" s="116">
        <v>0</v>
      </c>
      <c r="E2516" s="136" t="s">
        <v>416</v>
      </c>
      <c r="F2516" s="137" t="str">
        <f t="shared" si="186"/>
        <v/>
      </c>
      <c r="G2516" s="138" t="e">
        <f>IF(A2516&lt;&gt;"",IF(AND(#REF!="Padrão",$H$4=#REF!),BDI!$B$17,IF(AND(#REF!="Padrão",$H$4=#REF!),BDI!#REF!,IF(AND(#REF!="Diferenciado",$H$4=#REF!),BDI!$E$17,IF(AND(#REF!="Diferenciado",$H$4=#REF!),BDI!#REF!,IF(#REF!="ZERO",0))))),"")</f>
        <v>#REF!</v>
      </c>
      <c r="H2516" s="139" t="str">
        <f t="shared" si="187"/>
        <v/>
      </c>
      <c r="I2516" s="137" t="str">
        <f t="shared" si="188"/>
        <v/>
      </c>
      <c r="J2516" s="117"/>
      <c r="K2516" s="116">
        <v>0</v>
      </c>
      <c r="M2516" s="136" t="s">
        <v>416</v>
      </c>
      <c r="N2516" t="e">
        <v>#REF!</v>
      </c>
      <c r="Q2516" t="s">
        <v>416</v>
      </c>
    </row>
    <row r="2517" spans="1:17" hidden="1" x14ac:dyDescent="0.25">
      <c r="A2517" s="114" t="s">
        <v>5301</v>
      </c>
      <c r="B2517" s="115" t="s">
        <v>4075</v>
      </c>
      <c r="C2517" s="116" t="s">
        <v>16</v>
      </c>
      <c r="D2517" s="116">
        <v>0</v>
      </c>
      <c r="E2517" s="136" t="s">
        <v>416</v>
      </c>
      <c r="F2517" s="137" t="str">
        <f t="shared" si="186"/>
        <v/>
      </c>
      <c r="G2517" s="138" t="e">
        <f>IF(A2517&lt;&gt;"",IF(AND(#REF!="Padrão",$H$4=#REF!),BDI!$B$17,IF(AND(#REF!="Padrão",$H$4=#REF!),BDI!#REF!,IF(AND(#REF!="Diferenciado",$H$4=#REF!),BDI!$E$17,IF(AND(#REF!="Diferenciado",$H$4=#REF!),BDI!#REF!,IF(#REF!="ZERO",0))))),"")</f>
        <v>#REF!</v>
      </c>
      <c r="H2517" s="139" t="str">
        <f t="shared" si="187"/>
        <v/>
      </c>
      <c r="I2517" s="137" t="str">
        <f t="shared" si="188"/>
        <v/>
      </c>
      <c r="J2517" s="117"/>
      <c r="K2517" s="116">
        <v>0</v>
      </c>
      <c r="M2517" s="136" t="s">
        <v>416</v>
      </c>
      <c r="N2517" t="e">
        <v>#REF!</v>
      </c>
      <c r="Q2517" t="s">
        <v>416</v>
      </c>
    </row>
    <row r="2518" spans="1:17" hidden="1" x14ac:dyDescent="0.25">
      <c r="A2518" s="114" t="s">
        <v>5302</v>
      </c>
      <c r="B2518" s="115" t="s">
        <v>4076</v>
      </c>
      <c r="C2518" s="116" t="s">
        <v>16</v>
      </c>
      <c r="D2518" s="116">
        <v>0</v>
      </c>
      <c r="E2518" s="136" t="s">
        <v>416</v>
      </c>
      <c r="F2518" s="137" t="str">
        <f t="shared" si="186"/>
        <v/>
      </c>
      <c r="G2518" s="138" t="e">
        <f>IF(A2518&lt;&gt;"",IF(AND(#REF!="Padrão",$H$4=#REF!),BDI!$B$17,IF(AND(#REF!="Padrão",$H$4=#REF!),BDI!#REF!,IF(AND(#REF!="Diferenciado",$H$4=#REF!),BDI!$E$17,IF(AND(#REF!="Diferenciado",$H$4=#REF!),BDI!#REF!,IF(#REF!="ZERO",0))))),"")</f>
        <v>#REF!</v>
      </c>
      <c r="H2518" s="139" t="str">
        <f t="shared" si="187"/>
        <v/>
      </c>
      <c r="I2518" s="137" t="str">
        <f t="shared" si="188"/>
        <v/>
      </c>
      <c r="J2518" s="117"/>
      <c r="K2518" s="116">
        <v>0</v>
      </c>
      <c r="M2518" s="136" t="s">
        <v>416</v>
      </c>
      <c r="N2518" t="e">
        <v>#REF!</v>
      </c>
      <c r="Q2518" t="s">
        <v>416</v>
      </c>
    </row>
    <row r="2519" spans="1:17" hidden="1" x14ac:dyDescent="0.25">
      <c r="A2519" s="114" t="s">
        <v>5303</v>
      </c>
      <c r="B2519" s="115" t="s">
        <v>4077</v>
      </c>
      <c r="C2519" s="116" t="s">
        <v>16</v>
      </c>
      <c r="D2519" s="116">
        <v>0</v>
      </c>
      <c r="E2519" s="136" t="s">
        <v>416</v>
      </c>
      <c r="F2519" s="137" t="str">
        <f t="shared" si="186"/>
        <v/>
      </c>
      <c r="G2519" s="138" t="e">
        <f>IF(A2519&lt;&gt;"",IF(AND(#REF!="Padrão",$H$4=#REF!),BDI!$B$17,IF(AND(#REF!="Padrão",$H$4=#REF!),BDI!#REF!,IF(AND(#REF!="Diferenciado",$H$4=#REF!),BDI!$E$17,IF(AND(#REF!="Diferenciado",$H$4=#REF!),BDI!#REF!,IF(#REF!="ZERO",0))))),"")</f>
        <v>#REF!</v>
      </c>
      <c r="H2519" s="139" t="str">
        <f t="shared" si="187"/>
        <v/>
      </c>
      <c r="I2519" s="137" t="str">
        <f t="shared" si="188"/>
        <v/>
      </c>
      <c r="J2519" s="117"/>
      <c r="K2519" s="116">
        <v>0</v>
      </c>
      <c r="M2519" s="136" t="s">
        <v>416</v>
      </c>
      <c r="N2519" t="e">
        <v>#REF!</v>
      </c>
      <c r="Q2519" t="s">
        <v>416</v>
      </c>
    </row>
    <row r="2520" spans="1:17" hidden="1" x14ac:dyDescent="0.25">
      <c r="A2520" s="114" t="s">
        <v>5304</v>
      </c>
      <c r="B2520" s="115" t="s">
        <v>4078</v>
      </c>
      <c r="C2520" s="116" t="s">
        <v>16</v>
      </c>
      <c r="D2520" s="116">
        <v>0</v>
      </c>
      <c r="E2520" s="136" t="s">
        <v>416</v>
      </c>
      <c r="F2520" s="137" t="str">
        <f t="shared" si="186"/>
        <v/>
      </c>
      <c r="G2520" s="138" t="e">
        <f>IF(A2520&lt;&gt;"",IF(AND(#REF!="Padrão",$H$4=#REF!),BDI!$B$17,IF(AND(#REF!="Padrão",$H$4=#REF!),BDI!#REF!,IF(AND(#REF!="Diferenciado",$H$4=#REF!),BDI!$E$17,IF(AND(#REF!="Diferenciado",$H$4=#REF!),BDI!#REF!,IF(#REF!="ZERO",0))))),"")</f>
        <v>#REF!</v>
      </c>
      <c r="H2520" s="139" t="str">
        <f t="shared" si="187"/>
        <v/>
      </c>
      <c r="I2520" s="137" t="str">
        <f t="shared" si="188"/>
        <v/>
      </c>
      <c r="J2520" s="117"/>
      <c r="K2520" s="116">
        <v>0</v>
      </c>
      <c r="M2520" s="136" t="s">
        <v>416</v>
      </c>
      <c r="N2520" t="e">
        <v>#REF!</v>
      </c>
      <c r="Q2520" t="s">
        <v>416</v>
      </c>
    </row>
    <row r="2521" spans="1:17" hidden="1" x14ac:dyDescent="0.25">
      <c r="A2521" s="114" t="s">
        <v>5305</v>
      </c>
      <c r="B2521" s="115" t="s">
        <v>4079</v>
      </c>
      <c r="C2521" s="116" t="s">
        <v>16</v>
      </c>
      <c r="D2521" s="116">
        <v>0</v>
      </c>
      <c r="E2521" s="136" t="s">
        <v>416</v>
      </c>
      <c r="F2521" s="137" t="str">
        <f t="shared" si="186"/>
        <v/>
      </c>
      <c r="G2521" s="138" t="e">
        <f>IF(A2521&lt;&gt;"",IF(AND(#REF!="Padrão",$H$4=#REF!),BDI!$B$17,IF(AND(#REF!="Padrão",$H$4=#REF!),BDI!#REF!,IF(AND(#REF!="Diferenciado",$H$4=#REF!),BDI!$E$17,IF(AND(#REF!="Diferenciado",$H$4=#REF!),BDI!#REF!,IF(#REF!="ZERO",0))))),"")</f>
        <v>#REF!</v>
      </c>
      <c r="H2521" s="139" t="str">
        <f t="shared" si="187"/>
        <v/>
      </c>
      <c r="I2521" s="137" t="str">
        <f t="shared" si="188"/>
        <v/>
      </c>
      <c r="J2521" s="117"/>
      <c r="K2521" s="116">
        <v>0</v>
      </c>
      <c r="M2521" s="136" t="s">
        <v>416</v>
      </c>
      <c r="N2521" t="e">
        <v>#REF!</v>
      </c>
      <c r="Q2521" t="s">
        <v>416</v>
      </c>
    </row>
    <row r="2522" spans="1:17" hidden="1" x14ac:dyDescent="0.25">
      <c r="A2522" s="114" t="s">
        <v>5306</v>
      </c>
      <c r="B2522" s="115" t="s">
        <v>4080</v>
      </c>
      <c r="C2522" s="116" t="s">
        <v>16</v>
      </c>
      <c r="D2522" s="116">
        <v>0</v>
      </c>
      <c r="E2522" s="136" t="s">
        <v>416</v>
      </c>
      <c r="F2522" s="137" t="str">
        <f t="shared" si="186"/>
        <v/>
      </c>
      <c r="G2522" s="138" t="e">
        <f>IF(A2522&lt;&gt;"",IF(AND(#REF!="Padrão",$H$4=#REF!),BDI!$B$17,IF(AND(#REF!="Padrão",$H$4=#REF!),BDI!#REF!,IF(AND(#REF!="Diferenciado",$H$4=#REF!),BDI!$E$17,IF(AND(#REF!="Diferenciado",$H$4=#REF!),BDI!#REF!,IF(#REF!="ZERO",0))))),"")</f>
        <v>#REF!</v>
      </c>
      <c r="H2522" s="139" t="str">
        <f t="shared" si="187"/>
        <v/>
      </c>
      <c r="I2522" s="137" t="str">
        <f t="shared" si="188"/>
        <v/>
      </c>
      <c r="J2522" s="117"/>
      <c r="K2522" s="116">
        <v>0</v>
      </c>
      <c r="M2522" s="136" t="s">
        <v>416</v>
      </c>
      <c r="N2522" t="e">
        <v>#REF!</v>
      </c>
      <c r="Q2522" t="s">
        <v>416</v>
      </c>
    </row>
    <row r="2523" spans="1:17" hidden="1" x14ac:dyDescent="0.25">
      <c r="A2523" s="114" t="s">
        <v>5307</v>
      </c>
      <c r="B2523" s="115" t="s">
        <v>4081</v>
      </c>
      <c r="C2523" s="116" t="s">
        <v>16</v>
      </c>
      <c r="D2523" s="116">
        <v>0</v>
      </c>
      <c r="E2523" s="136" t="s">
        <v>416</v>
      </c>
      <c r="F2523" s="137" t="str">
        <f t="shared" si="186"/>
        <v/>
      </c>
      <c r="G2523" s="138" t="e">
        <f>IF(A2523&lt;&gt;"",IF(AND(#REF!="Padrão",$H$4=#REF!),BDI!$B$17,IF(AND(#REF!="Padrão",$H$4=#REF!),BDI!#REF!,IF(AND(#REF!="Diferenciado",$H$4=#REF!),BDI!$E$17,IF(AND(#REF!="Diferenciado",$H$4=#REF!),BDI!#REF!,IF(#REF!="ZERO",0))))),"")</f>
        <v>#REF!</v>
      </c>
      <c r="H2523" s="139" t="str">
        <f t="shared" si="187"/>
        <v/>
      </c>
      <c r="I2523" s="137" t="str">
        <f t="shared" si="188"/>
        <v/>
      </c>
      <c r="J2523" s="117"/>
      <c r="K2523" s="116">
        <v>0</v>
      </c>
      <c r="M2523" s="136" t="s">
        <v>416</v>
      </c>
      <c r="N2523" t="e">
        <v>#REF!</v>
      </c>
      <c r="Q2523" t="s">
        <v>416</v>
      </c>
    </row>
    <row r="2524" spans="1:17" hidden="1" x14ac:dyDescent="0.25">
      <c r="A2524" s="114" t="s">
        <v>5308</v>
      </c>
      <c r="B2524" s="115" t="s">
        <v>4082</v>
      </c>
      <c r="C2524" s="116" t="s">
        <v>16</v>
      </c>
      <c r="D2524" s="116">
        <v>0</v>
      </c>
      <c r="E2524" s="136" t="s">
        <v>416</v>
      </c>
      <c r="F2524" s="137" t="str">
        <f t="shared" si="186"/>
        <v/>
      </c>
      <c r="G2524" s="138" t="e">
        <f>IF(A2524&lt;&gt;"",IF(AND(#REF!="Padrão",$H$4=#REF!),BDI!$B$17,IF(AND(#REF!="Padrão",$H$4=#REF!),BDI!#REF!,IF(AND(#REF!="Diferenciado",$H$4=#REF!),BDI!$E$17,IF(AND(#REF!="Diferenciado",$H$4=#REF!),BDI!#REF!,IF(#REF!="ZERO",0))))),"")</f>
        <v>#REF!</v>
      </c>
      <c r="H2524" s="139" t="str">
        <f t="shared" si="187"/>
        <v/>
      </c>
      <c r="I2524" s="137" t="str">
        <f t="shared" si="188"/>
        <v/>
      </c>
      <c r="J2524" s="117"/>
      <c r="K2524" s="116">
        <v>0</v>
      </c>
      <c r="M2524" s="136" t="s">
        <v>416</v>
      </c>
      <c r="N2524" t="e">
        <v>#REF!</v>
      </c>
      <c r="Q2524" t="s">
        <v>416</v>
      </c>
    </row>
    <row r="2525" spans="1:17" hidden="1" x14ac:dyDescent="0.25">
      <c r="A2525" s="114" t="s">
        <v>5309</v>
      </c>
      <c r="B2525" s="115" t="s">
        <v>4083</v>
      </c>
      <c r="C2525" s="116" t="s">
        <v>16</v>
      </c>
      <c r="D2525" s="116">
        <v>0</v>
      </c>
      <c r="E2525" s="136" t="s">
        <v>416</v>
      </c>
      <c r="F2525" s="137" t="str">
        <f t="shared" si="186"/>
        <v/>
      </c>
      <c r="G2525" s="138" t="e">
        <f>IF(A2525&lt;&gt;"",IF(AND(#REF!="Padrão",$H$4=#REF!),BDI!$B$17,IF(AND(#REF!="Padrão",$H$4=#REF!),BDI!#REF!,IF(AND(#REF!="Diferenciado",$H$4=#REF!),BDI!$E$17,IF(AND(#REF!="Diferenciado",$H$4=#REF!),BDI!#REF!,IF(#REF!="ZERO",0))))),"")</f>
        <v>#REF!</v>
      </c>
      <c r="H2525" s="139" t="str">
        <f t="shared" si="187"/>
        <v/>
      </c>
      <c r="I2525" s="137" t="str">
        <f t="shared" si="188"/>
        <v/>
      </c>
      <c r="J2525" s="117"/>
      <c r="K2525" s="116">
        <v>0</v>
      </c>
      <c r="M2525" s="136" t="s">
        <v>416</v>
      </c>
      <c r="N2525" t="e">
        <v>#REF!</v>
      </c>
      <c r="Q2525" t="s">
        <v>416</v>
      </c>
    </row>
    <row r="2526" spans="1:17" hidden="1" x14ac:dyDescent="0.25">
      <c r="A2526" s="114" t="s">
        <v>5310</v>
      </c>
      <c r="B2526" s="115" t="s">
        <v>4084</v>
      </c>
      <c r="C2526" s="116" t="s">
        <v>16</v>
      </c>
      <c r="D2526" s="116">
        <v>0</v>
      </c>
      <c r="E2526" s="136" t="s">
        <v>416</v>
      </c>
      <c r="F2526" s="137" t="str">
        <f t="shared" si="186"/>
        <v/>
      </c>
      <c r="G2526" s="138" t="e">
        <f>IF(A2526&lt;&gt;"",IF(AND(#REF!="Padrão",$H$4=#REF!),BDI!$B$17,IF(AND(#REF!="Padrão",$H$4=#REF!),BDI!#REF!,IF(AND(#REF!="Diferenciado",$H$4=#REF!),BDI!$E$17,IF(AND(#REF!="Diferenciado",$H$4=#REF!),BDI!#REF!,IF(#REF!="ZERO",0))))),"")</f>
        <v>#REF!</v>
      </c>
      <c r="H2526" s="139" t="str">
        <f t="shared" si="187"/>
        <v/>
      </c>
      <c r="I2526" s="137" t="str">
        <f t="shared" si="188"/>
        <v/>
      </c>
      <c r="J2526" s="117"/>
      <c r="K2526" s="116">
        <v>0</v>
      </c>
      <c r="M2526" s="136" t="s">
        <v>416</v>
      </c>
      <c r="N2526" t="e">
        <v>#REF!</v>
      </c>
      <c r="Q2526" t="s">
        <v>416</v>
      </c>
    </row>
    <row r="2527" spans="1:17" hidden="1" x14ac:dyDescent="0.25">
      <c r="A2527" s="114" t="s">
        <v>5311</v>
      </c>
      <c r="B2527" s="115" t="s">
        <v>4085</v>
      </c>
      <c r="C2527" s="116" t="s">
        <v>16</v>
      </c>
      <c r="D2527" s="116">
        <v>0</v>
      </c>
      <c r="E2527" s="136" t="s">
        <v>416</v>
      </c>
      <c r="F2527" s="137" t="str">
        <f t="shared" si="186"/>
        <v/>
      </c>
      <c r="G2527" s="138" t="e">
        <f>IF(A2527&lt;&gt;"",IF(AND(#REF!="Padrão",$H$4=#REF!),BDI!$B$17,IF(AND(#REF!="Padrão",$H$4=#REF!),BDI!#REF!,IF(AND(#REF!="Diferenciado",$H$4=#REF!),BDI!$E$17,IF(AND(#REF!="Diferenciado",$H$4=#REF!),BDI!#REF!,IF(#REF!="ZERO",0))))),"")</f>
        <v>#REF!</v>
      </c>
      <c r="H2527" s="139" t="str">
        <f t="shared" si="187"/>
        <v/>
      </c>
      <c r="I2527" s="137" t="str">
        <f t="shared" si="188"/>
        <v/>
      </c>
      <c r="J2527" s="117"/>
      <c r="K2527" s="116">
        <v>0</v>
      </c>
      <c r="M2527" s="136" t="s">
        <v>416</v>
      </c>
      <c r="N2527" t="e">
        <v>#REF!</v>
      </c>
      <c r="Q2527" t="s">
        <v>416</v>
      </c>
    </row>
    <row r="2528" spans="1:17" hidden="1" x14ac:dyDescent="0.25">
      <c r="A2528" s="114" t="s">
        <v>5312</v>
      </c>
      <c r="B2528" s="115" t="s">
        <v>4086</v>
      </c>
      <c r="C2528" s="116" t="s">
        <v>16</v>
      </c>
      <c r="D2528" s="116">
        <v>0</v>
      </c>
      <c r="E2528" s="136" t="s">
        <v>416</v>
      </c>
      <c r="F2528" s="137" t="str">
        <f t="shared" si="186"/>
        <v/>
      </c>
      <c r="G2528" s="138" t="e">
        <f>IF(A2528&lt;&gt;"",IF(AND(#REF!="Padrão",$H$4=#REF!),BDI!$B$17,IF(AND(#REF!="Padrão",$H$4=#REF!),BDI!#REF!,IF(AND(#REF!="Diferenciado",$H$4=#REF!),BDI!$E$17,IF(AND(#REF!="Diferenciado",$H$4=#REF!),BDI!#REF!,IF(#REF!="ZERO",0))))),"")</f>
        <v>#REF!</v>
      </c>
      <c r="H2528" s="139" t="str">
        <f t="shared" si="187"/>
        <v/>
      </c>
      <c r="I2528" s="137" t="str">
        <f t="shared" si="188"/>
        <v/>
      </c>
      <c r="J2528" s="117"/>
      <c r="K2528" s="116">
        <v>0</v>
      </c>
      <c r="M2528" s="136" t="s">
        <v>416</v>
      </c>
      <c r="N2528" t="e">
        <v>#REF!</v>
      </c>
      <c r="Q2528" t="s">
        <v>416</v>
      </c>
    </row>
    <row r="2529" spans="1:17" hidden="1" x14ac:dyDescent="0.25">
      <c r="A2529" s="114" t="s">
        <v>5313</v>
      </c>
      <c r="B2529" s="115" t="s">
        <v>4087</v>
      </c>
      <c r="C2529" s="116" t="s">
        <v>16</v>
      </c>
      <c r="D2529" s="116">
        <v>0</v>
      </c>
      <c r="E2529" s="136" t="s">
        <v>416</v>
      </c>
      <c r="F2529" s="137" t="str">
        <f t="shared" si="186"/>
        <v/>
      </c>
      <c r="G2529" s="138" t="e">
        <f>IF(A2529&lt;&gt;"",IF(AND(#REF!="Padrão",$H$4=#REF!),BDI!$B$17,IF(AND(#REF!="Padrão",$H$4=#REF!),BDI!#REF!,IF(AND(#REF!="Diferenciado",$H$4=#REF!),BDI!$E$17,IF(AND(#REF!="Diferenciado",$H$4=#REF!),BDI!#REF!,IF(#REF!="ZERO",0))))),"")</f>
        <v>#REF!</v>
      </c>
      <c r="H2529" s="139" t="str">
        <f t="shared" si="187"/>
        <v/>
      </c>
      <c r="I2529" s="137" t="str">
        <f t="shared" si="188"/>
        <v/>
      </c>
      <c r="J2529" s="117"/>
      <c r="K2529" s="116">
        <v>0</v>
      </c>
      <c r="M2529" s="136" t="s">
        <v>416</v>
      </c>
      <c r="N2529" t="e">
        <v>#REF!</v>
      </c>
      <c r="Q2529" t="s">
        <v>416</v>
      </c>
    </row>
    <row r="2530" spans="1:17" hidden="1" x14ac:dyDescent="0.25">
      <c r="A2530" s="114" t="s">
        <v>5314</v>
      </c>
      <c r="B2530" s="115" t="s">
        <v>4088</v>
      </c>
      <c r="C2530" s="116" t="s">
        <v>16</v>
      </c>
      <c r="D2530" s="116">
        <v>0</v>
      </c>
      <c r="E2530" s="136" t="s">
        <v>416</v>
      </c>
      <c r="F2530" s="137" t="str">
        <f t="shared" si="186"/>
        <v/>
      </c>
      <c r="G2530" s="138" t="e">
        <f>IF(A2530&lt;&gt;"",IF(AND(#REF!="Padrão",$H$4=#REF!),BDI!$B$17,IF(AND(#REF!="Padrão",$H$4=#REF!),BDI!#REF!,IF(AND(#REF!="Diferenciado",$H$4=#REF!),BDI!$E$17,IF(AND(#REF!="Diferenciado",$H$4=#REF!),BDI!#REF!,IF(#REF!="ZERO",0))))),"")</f>
        <v>#REF!</v>
      </c>
      <c r="H2530" s="139" t="str">
        <f t="shared" si="187"/>
        <v/>
      </c>
      <c r="I2530" s="137" t="str">
        <f t="shared" si="188"/>
        <v/>
      </c>
      <c r="J2530" s="117"/>
      <c r="K2530" s="116">
        <v>0</v>
      </c>
      <c r="M2530" s="136" t="s">
        <v>416</v>
      </c>
      <c r="N2530" t="e">
        <v>#REF!</v>
      </c>
      <c r="Q2530" t="s">
        <v>416</v>
      </c>
    </row>
    <row r="2531" spans="1:17" hidden="1" x14ac:dyDescent="0.25">
      <c r="A2531" s="114" t="s">
        <v>5315</v>
      </c>
      <c r="B2531" s="115" t="s">
        <v>4089</v>
      </c>
      <c r="C2531" s="116" t="s">
        <v>16</v>
      </c>
      <c r="D2531" s="116">
        <v>0</v>
      </c>
      <c r="E2531" s="136" t="s">
        <v>416</v>
      </c>
      <c r="F2531" s="137" t="str">
        <f t="shared" si="186"/>
        <v/>
      </c>
      <c r="G2531" s="138" t="e">
        <f>IF(A2531&lt;&gt;"",IF(AND(#REF!="Padrão",$H$4=#REF!),BDI!$B$17,IF(AND(#REF!="Padrão",$H$4=#REF!),BDI!#REF!,IF(AND(#REF!="Diferenciado",$H$4=#REF!),BDI!$E$17,IF(AND(#REF!="Diferenciado",$H$4=#REF!),BDI!#REF!,IF(#REF!="ZERO",0))))),"")</f>
        <v>#REF!</v>
      </c>
      <c r="H2531" s="139" t="str">
        <f t="shared" si="187"/>
        <v/>
      </c>
      <c r="I2531" s="137" t="str">
        <f t="shared" si="188"/>
        <v/>
      </c>
      <c r="J2531" s="117"/>
      <c r="K2531" s="116">
        <v>0</v>
      </c>
      <c r="M2531" s="136" t="s">
        <v>416</v>
      </c>
      <c r="N2531" t="e">
        <v>#REF!</v>
      </c>
      <c r="Q2531" t="s">
        <v>416</v>
      </c>
    </row>
    <row r="2532" spans="1:17" hidden="1" x14ac:dyDescent="0.25">
      <c r="A2532" s="114" t="s">
        <v>5316</v>
      </c>
      <c r="B2532" s="115" t="s">
        <v>4090</v>
      </c>
      <c r="C2532" s="116" t="s">
        <v>16</v>
      </c>
      <c r="D2532" s="116">
        <v>0</v>
      </c>
      <c r="E2532" s="136" t="s">
        <v>416</v>
      </c>
      <c r="F2532" s="137" t="str">
        <f t="shared" si="186"/>
        <v/>
      </c>
      <c r="G2532" s="138" t="e">
        <f>IF(A2532&lt;&gt;"",IF(AND(#REF!="Padrão",$H$4=#REF!),BDI!$B$17,IF(AND(#REF!="Padrão",$H$4=#REF!),BDI!#REF!,IF(AND(#REF!="Diferenciado",$H$4=#REF!),BDI!$E$17,IF(AND(#REF!="Diferenciado",$H$4=#REF!),BDI!#REF!,IF(#REF!="ZERO",0))))),"")</f>
        <v>#REF!</v>
      </c>
      <c r="H2532" s="139" t="str">
        <f t="shared" si="187"/>
        <v/>
      </c>
      <c r="I2532" s="137" t="str">
        <f t="shared" si="188"/>
        <v/>
      </c>
      <c r="J2532" s="117"/>
      <c r="K2532" s="116">
        <v>0</v>
      </c>
      <c r="M2532" s="136" t="s">
        <v>416</v>
      </c>
      <c r="N2532" t="e">
        <v>#REF!</v>
      </c>
      <c r="Q2532" t="s">
        <v>416</v>
      </c>
    </row>
    <row r="2533" spans="1:17" hidden="1" x14ac:dyDescent="0.25">
      <c r="A2533" s="114" t="s">
        <v>5317</v>
      </c>
      <c r="B2533" s="115" t="s">
        <v>4091</v>
      </c>
      <c r="C2533" s="116" t="s">
        <v>16</v>
      </c>
      <c r="D2533" s="116">
        <v>0</v>
      </c>
      <c r="E2533" s="136" t="s">
        <v>416</v>
      </c>
      <c r="F2533" s="137" t="str">
        <f t="shared" si="186"/>
        <v/>
      </c>
      <c r="G2533" s="138" t="e">
        <f>IF(A2533&lt;&gt;"",IF(AND(#REF!="Padrão",$H$4=#REF!),BDI!$B$17,IF(AND(#REF!="Padrão",$H$4=#REF!),BDI!#REF!,IF(AND(#REF!="Diferenciado",$H$4=#REF!),BDI!$E$17,IF(AND(#REF!="Diferenciado",$H$4=#REF!),BDI!#REF!,IF(#REF!="ZERO",0))))),"")</f>
        <v>#REF!</v>
      </c>
      <c r="H2533" s="139" t="str">
        <f t="shared" si="187"/>
        <v/>
      </c>
      <c r="I2533" s="137" t="str">
        <f t="shared" si="188"/>
        <v/>
      </c>
      <c r="J2533" s="117"/>
      <c r="K2533" s="116">
        <v>0</v>
      </c>
      <c r="M2533" s="136" t="s">
        <v>416</v>
      </c>
      <c r="N2533" t="e">
        <v>#REF!</v>
      </c>
      <c r="Q2533" t="s">
        <v>416</v>
      </c>
    </row>
    <row r="2534" spans="1:17" hidden="1" x14ac:dyDescent="0.25">
      <c r="A2534" s="114" t="s">
        <v>5318</v>
      </c>
      <c r="B2534" s="115" t="s">
        <v>4092</v>
      </c>
      <c r="C2534" s="116" t="s">
        <v>16</v>
      </c>
      <c r="D2534" s="116">
        <v>0</v>
      </c>
      <c r="E2534" s="136" t="s">
        <v>416</v>
      </c>
      <c r="F2534" s="137" t="str">
        <f t="shared" si="186"/>
        <v/>
      </c>
      <c r="G2534" s="138" t="e">
        <f>IF(A2534&lt;&gt;"",IF(AND(#REF!="Padrão",$H$4=#REF!),BDI!$B$17,IF(AND(#REF!="Padrão",$H$4=#REF!),BDI!#REF!,IF(AND(#REF!="Diferenciado",$H$4=#REF!),BDI!$E$17,IF(AND(#REF!="Diferenciado",$H$4=#REF!),BDI!#REF!,IF(#REF!="ZERO",0))))),"")</f>
        <v>#REF!</v>
      </c>
      <c r="H2534" s="139" t="str">
        <f t="shared" si="187"/>
        <v/>
      </c>
      <c r="I2534" s="137" t="str">
        <f t="shared" si="188"/>
        <v/>
      </c>
      <c r="J2534" s="117"/>
      <c r="K2534" s="116">
        <v>0</v>
      </c>
      <c r="M2534" s="136" t="s">
        <v>416</v>
      </c>
      <c r="N2534" t="e">
        <v>#REF!</v>
      </c>
      <c r="Q2534" t="s">
        <v>416</v>
      </c>
    </row>
    <row r="2535" spans="1:17" hidden="1" x14ac:dyDescent="0.25">
      <c r="A2535" s="114" t="s">
        <v>5319</v>
      </c>
      <c r="B2535" s="115" t="s">
        <v>4093</v>
      </c>
      <c r="C2535" s="116" t="s">
        <v>16</v>
      </c>
      <c r="D2535" s="116">
        <v>0</v>
      </c>
      <c r="E2535" s="136" t="s">
        <v>416</v>
      </c>
      <c r="F2535" s="137" t="str">
        <f t="shared" si="186"/>
        <v/>
      </c>
      <c r="G2535" s="138" t="e">
        <f>IF(A2535&lt;&gt;"",IF(AND(#REF!="Padrão",$H$4=#REF!),BDI!$B$17,IF(AND(#REF!="Padrão",$H$4=#REF!),BDI!#REF!,IF(AND(#REF!="Diferenciado",$H$4=#REF!),BDI!$E$17,IF(AND(#REF!="Diferenciado",$H$4=#REF!),BDI!#REF!,IF(#REF!="ZERO",0))))),"")</f>
        <v>#REF!</v>
      </c>
      <c r="H2535" s="139" t="str">
        <f t="shared" si="187"/>
        <v/>
      </c>
      <c r="I2535" s="137" t="str">
        <f t="shared" si="188"/>
        <v/>
      </c>
      <c r="J2535" s="117"/>
      <c r="K2535" s="116">
        <v>0</v>
      </c>
      <c r="M2535" s="136" t="s">
        <v>416</v>
      </c>
      <c r="N2535" t="e">
        <v>#REF!</v>
      </c>
      <c r="Q2535" t="s">
        <v>416</v>
      </c>
    </row>
    <row r="2536" spans="1:17" hidden="1" x14ac:dyDescent="0.25">
      <c r="A2536" s="114" t="s">
        <v>5320</v>
      </c>
      <c r="B2536" s="115" t="s">
        <v>4094</v>
      </c>
      <c r="C2536" s="116" t="s">
        <v>16</v>
      </c>
      <c r="D2536" s="116">
        <v>0</v>
      </c>
      <c r="E2536" s="136" t="s">
        <v>416</v>
      </c>
      <c r="F2536" s="137" t="str">
        <f t="shared" si="186"/>
        <v/>
      </c>
      <c r="G2536" s="138" t="e">
        <f>IF(A2536&lt;&gt;"",IF(AND(#REF!="Padrão",$H$4=#REF!),BDI!$B$17,IF(AND(#REF!="Padrão",$H$4=#REF!),BDI!#REF!,IF(AND(#REF!="Diferenciado",$H$4=#REF!),BDI!$E$17,IF(AND(#REF!="Diferenciado",$H$4=#REF!),BDI!#REF!,IF(#REF!="ZERO",0))))),"")</f>
        <v>#REF!</v>
      </c>
      <c r="H2536" s="139" t="str">
        <f t="shared" si="187"/>
        <v/>
      </c>
      <c r="I2536" s="137" t="str">
        <f t="shared" si="188"/>
        <v/>
      </c>
      <c r="J2536" s="117"/>
      <c r="K2536" s="116">
        <v>0</v>
      </c>
      <c r="M2536" s="136" t="s">
        <v>416</v>
      </c>
      <c r="N2536" t="e">
        <v>#REF!</v>
      </c>
      <c r="Q2536" t="s">
        <v>416</v>
      </c>
    </row>
    <row r="2537" spans="1:17" hidden="1" x14ac:dyDescent="0.25">
      <c r="A2537" s="114" t="s">
        <v>5321</v>
      </c>
      <c r="B2537" s="115" t="s">
        <v>4095</v>
      </c>
      <c r="C2537" s="116" t="s">
        <v>16</v>
      </c>
      <c r="D2537" s="116">
        <v>0</v>
      </c>
      <c r="E2537" s="136" t="s">
        <v>416</v>
      </c>
      <c r="F2537" s="137" t="str">
        <f t="shared" si="186"/>
        <v/>
      </c>
      <c r="G2537" s="138" t="e">
        <f>IF(A2537&lt;&gt;"",IF(AND(#REF!="Padrão",$H$4=#REF!),BDI!$B$17,IF(AND(#REF!="Padrão",$H$4=#REF!),BDI!#REF!,IF(AND(#REF!="Diferenciado",$H$4=#REF!),BDI!$E$17,IF(AND(#REF!="Diferenciado",$H$4=#REF!),BDI!#REF!,IF(#REF!="ZERO",0))))),"")</f>
        <v>#REF!</v>
      </c>
      <c r="H2537" s="139" t="str">
        <f t="shared" si="187"/>
        <v/>
      </c>
      <c r="I2537" s="137" t="str">
        <f t="shared" si="188"/>
        <v/>
      </c>
      <c r="J2537" s="117"/>
      <c r="K2537" s="116">
        <v>0</v>
      </c>
      <c r="M2537" s="136" t="s">
        <v>416</v>
      </c>
      <c r="N2537" t="e">
        <v>#REF!</v>
      </c>
      <c r="Q2537" t="s">
        <v>416</v>
      </c>
    </row>
    <row r="2538" spans="1:17" hidden="1" x14ac:dyDescent="0.25">
      <c r="A2538" s="114" t="s">
        <v>5322</v>
      </c>
      <c r="B2538" s="115" t="s">
        <v>4096</v>
      </c>
      <c r="C2538" s="116" t="s">
        <v>16</v>
      </c>
      <c r="D2538" s="116">
        <v>0</v>
      </c>
      <c r="E2538" s="136" t="s">
        <v>416</v>
      </c>
      <c r="F2538" s="137" t="str">
        <f t="shared" si="186"/>
        <v/>
      </c>
      <c r="G2538" s="138" t="e">
        <f>IF(A2538&lt;&gt;"",IF(AND(#REF!="Padrão",$H$4=#REF!),BDI!$B$17,IF(AND(#REF!="Padrão",$H$4=#REF!),BDI!#REF!,IF(AND(#REF!="Diferenciado",$H$4=#REF!),BDI!$E$17,IF(AND(#REF!="Diferenciado",$H$4=#REF!),BDI!#REF!,IF(#REF!="ZERO",0))))),"")</f>
        <v>#REF!</v>
      </c>
      <c r="H2538" s="139" t="str">
        <f t="shared" si="187"/>
        <v/>
      </c>
      <c r="I2538" s="137" t="str">
        <f t="shared" si="188"/>
        <v/>
      </c>
      <c r="J2538" s="117"/>
      <c r="K2538" s="116">
        <v>0</v>
      </c>
      <c r="M2538" s="136" t="s">
        <v>416</v>
      </c>
      <c r="N2538" t="e">
        <v>#REF!</v>
      </c>
      <c r="Q2538" t="s">
        <v>416</v>
      </c>
    </row>
    <row r="2539" spans="1:17" hidden="1" x14ac:dyDescent="0.25">
      <c r="A2539" s="114" t="s">
        <v>5323</v>
      </c>
      <c r="B2539" s="115" t="s">
        <v>4097</v>
      </c>
      <c r="C2539" s="116" t="s">
        <v>16</v>
      </c>
      <c r="D2539" s="116">
        <v>0</v>
      </c>
      <c r="E2539" s="136" t="s">
        <v>416</v>
      </c>
      <c r="F2539" s="137" t="str">
        <f t="shared" si="186"/>
        <v/>
      </c>
      <c r="G2539" s="138" t="e">
        <f>IF(A2539&lt;&gt;"",IF(AND(#REF!="Padrão",$H$4=#REF!),BDI!$B$17,IF(AND(#REF!="Padrão",$H$4=#REF!),BDI!#REF!,IF(AND(#REF!="Diferenciado",$H$4=#REF!),BDI!$E$17,IF(AND(#REF!="Diferenciado",$H$4=#REF!),BDI!#REF!,IF(#REF!="ZERO",0))))),"")</f>
        <v>#REF!</v>
      </c>
      <c r="H2539" s="139" t="str">
        <f t="shared" si="187"/>
        <v/>
      </c>
      <c r="I2539" s="137" t="str">
        <f t="shared" si="188"/>
        <v/>
      </c>
      <c r="J2539" s="117"/>
      <c r="K2539" s="116">
        <v>0</v>
      </c>
      <c r="M2539" s="136" t="s">
        <v>416</v>
      </c>
      <c r="N2539" t="e">
        <v>#REF!</v>
      </c>
      <c r="Q2539" t="s">
        <v>416</v>
      </c>
    </row>
    <row r="2540" spans="1:17" hidden="1" x14ac:dyDescent="0.25">
      <c r="A2540" s="114" t="s">
        <v>5324</v>
      </c>
      <c r="B2540" s="115" t="s">
        <v>4098</v>
      </c>
      <c r="C2540" s="116" t="s">
        <v>16</v>
      </c>
      <c r="D2540" s="116">
        <v>0</v>
      </c>
      <c r="E2540" s="136" t="s">
        <v>416</v>
      </c>
      <c r="F2540" s="137" t="str">
        <f t="shared" si="186"/>
        <v/>
      </c>
      <c r="G2540" s="138" t="e">
        <f>IF(A2540&lt;&gt;"",IF(AND(#REF!="Padrão",$H$4=#REF!),BDI!$B$17,IF(AND(#REF!="Padrão",$H$4=#REF!),BDI!#REF!,IF(AND(#REF!="Diferenciado",$H$4=#REF!),BDI!$E$17,IF(AND(#REF!="Diferenciado",$H$4=#REF!),BDI!#REF!,IF(#REF!="ZERO",0))))),"")</f>
        <v>#REF!</v>
      </c>
      <c r="H2540" s="139" t="str">
        <f t="shared" si="187"/>
        <v/>
      </c>
      <c r="I2540" s="137" t="str">
        <f t="shared" si="188"/>
        <v/>
      </c>
      <c r="J2540" s="117"/>
      <c r="K2540" s="116">
        <v>0</v>
      </c>
      <c r="M2540" s="136" t="s">
        <v>416</v>
      </c>
      <c r="N2540" t="e">
        <v>#REF!</v>
      </c>
      <c r="Q2540" t="s">
        <v>416</v>
      </c>
    </row>
    <row r="2541" spans="1:17" hidden="1" x14ac:dyDescent="0.25">
      <c r="A2541" s="114" t="s">
        <v>5325</v>
      </c>
      <c r="B2541" s="115" t="s">
        <v>4099</v>
      </c>
      <c r="C2541" s="116" t="s">
        <v>16</v>
      </c>
      <c r="D2541" s="116">
        <v>0</v>
      </c>
      <c r="E2541" s="136" t="s">
        <v>416</v>
      </c>
      <c r="F2541" s="137" t="str">
        <f t="shared" ref="F2541:F2604" si="189">IF(ISNUMBER(E2541),D2541*E2541,"")</f>
        <v/>
      </c>
      <c r="G2541" s="138" t="e">
        <f>IF(A2541&lt;&gt;"",IF(AND(#REF!="Padrão",$H$4=#REF!),BDI!$B$17,IF(AND(#REF!="Padrão",$H$4=#REF!),BDI!#REF!,IF(AND(#REF!="Diferenciado",$H$4=#REF!),BDI!$E$17,IF(AND(#REF!="Diferenciado",$H$4=#REF!),BDI!#REF!,IF(#REF!="ZERO",0))))),"")</f>
        <v>#REF!</v>
      </c>
      <c r="H2541" s="139" t="str">
        <f t="shared" ref="H2541:H2604" si="190">IF(ISNUMBER(E2541),ROUND(E2541*(1+G2541),2),"")</f>
        <v/>
      </c>
      <c r="I2541" s="137" t="str">
        <f t="shared" ref="I2541:I2604" si="191">IF(ISNUMBER(E2541),ROUND(H2541*D2541,2),"")</f>
        <v/>
      </c>
      <c r="J2541" s="117"/>
      <c r="K2541" s="116">
        <v>0</v>
      </c>
      <c r="M2541" s="136" t="s">
        <v>416</v>
      </c>
      <c r="N2541" t="e">
        <v>#REF!</v>
      </c>
      <c r="Q2541" t="s">
        <v>416</v>
      </c>
    </row>
    <row r="2542" spans="1:17" hidden="1" x14ac:dyDescent="0.25">
      <c r="A2542" s="114" t="s">
        <v>5326</v>
      </c>
      <c r="B2542" s="115" t="s">
        <v>7394</v>
      </c>
      <c r="C2542" s="116" t="s">
        <v>16</v>
      </c>
      <c r="D2542" s="116">
        <v>0</v>
      </c>
      <c r="E2542" s="136" t="s">
        <v>416</v>
      </c>
      <c r="F2542" s="137" t="str">
        <f t="shared" si="189"/>
        <v/>
      </c>
      <c r="G2542" s="138" t="e">
        <f>IF(A2542&lt;&gt;"",IF(AND(#REF!="Padrão",$H$4=#REF!),BDI!$B$17,IF(AND(#REF!="Padrão",$H$4=#REF!),BDI!#REF!,IF(AND(#REF!="Diferenciado",$H$4=#REF!),BDI!$E$17,IF(AND(#REF!="Diferenciado",$H$4=#REF!),BDI!#REF!,IF(#REF!="ZERO",0))))),"")</f>
        <v>#REF!</v>
      </c>
      <c r="H2542" s="139" t="str">
        <f t="shared" si="190"/>
        <v/>
      </c>
      <c r="I2542" s="137" t="str">
        <f t="shared" si="191"/>
        <v/>
      </c>
      <c r="J2542" s="117"/>
      <c r="K2542" s="116">
        <v>0</v>
      </c>
      <c r="M2542" s="136" t="s">
        <v>416</v>
      </c>
      <c r="N2542" t="e">
        <v>#REF!</v>
      </c>
      <c r="Q2542" t="s">
        <v>416</v>
      </c>
    </row>
    <row r="2543" spans="1:17" hidden="1" x14ac:dyDescent="0.25">
      <c r="A2543" s="114" t="s">
        <v>5327</v>
      </c>
      <c r="B2543" s="115" t="s">
        <v>4100</v>
      </c>
      <c r="C2543" s="116" t="s">
        <v>16</v>
      </c>
      <c r="D2543" s="116">
        <v>0</v>
      </c>
      <c r="E2543" s="136" t="s">
        <v>416</v>
      </c>
      <c r="F2543" s="137" t="str">
        <f t="shared" si="189"/>
        <v/>
      </c>
      <c r="G2543" s="138" t="e">
        <f>IF(A2543&lt;&gt;"",IF(AND(#REF!="Padrão",$H$4=#REF!),BDI!$B$17,IF(AND(#REF!="Padrão",$H$4=#REF!),BDI!#REF!,IF(AND(#REF!="Diferenciado",$H$4=#REF!),BDI!$E$17,IF(AND(#REF!="Diferenciado",$H$4=#REF!),BDI!#REF!,IF(#REF!="ZERO",0))))),"")</f>
        <v>#REF!</v>
      </c>
      <c r="H2543" s="139" t="str">
        <f t="shared" si="190"/>
        <v/>
      </c>
      <c r="I2543" s="137" t="str">
        <f t="shared" si="191"/>
        <v/>
      </c>
      <c r="J2543" s="117"/>
      <c r="K2543" s="116">
        <v>0</v>
      </c>
      <c r="M2543" s="136" t="s">
        <v>416</v>
      </c>
      <c r="N2543" t="e">
        <v>#REF!</v>
      </c>
      <c r="Q2543" t="s">
        <v>416</v>
      </c>
    </row>
    <row r="2544" spans="1:17" hidden="1" x14ac:dyDescent="0.25">
      <c r="A2544" s="114" t="s">
        <v>5328</v>
      </c>
      <c r="B2544" s="115" t="s">
        <v>4101</v>
      </c>
      <c r="C2544" s="116" t="s">
        <v>16</v>
      </c>
      <c r="D2544" s="116">
        <v>0</v>
      </c>
      <c r="E2544" s="136" t="s">
        <v>416</v>
      </c>
      <c r="F2544" s="137" t="str">
        <f t="shared" si="189"/>
        <v/>
      </c>
      <c r="G2544" s="138" t="e">
        <f>IF(A2544&lt;&gt;"",IF(AND(#REF!="Padrão",$H$4=#REF!),BDI!$B$17,IF(AND(#REF!="Padrão",$H$4=#REF!),BDI!#REF!,IF(AND(#REF!="Diferenciado",$H$4=#REF!),BDI!$E$17,IF(AND(#REF!="Diferenciado",$H$4=#REF!),BDI!#REF!,IF(#REF!="ZERO",0))))),"")</f>
        <v>#REF!</v>
      </c>
      <c r="H2544" s="139" t="str">
        <f t="shared" si="190"/>
        <v/>
      </c>
      <c r="I2544" s="137" t="str">
        <f t="shared" si="191"/>
        <v/>
      </c>
      <c r="J2544" s="117"/>
      <c r="K2544" s="116">
        <v>0</v>
      </c>
      <c r="M2544" s="136" t="s">
        <v>416</v>
      </c>
      <c r="N2544" t="e">
        <v>#REF!</v>
      </c>
      <c r="Q2544" t="s">
        <v>416</v>
      </c>
    </row>
    <row r="2545" spans="1:17" hidden="1" x14ac:dyDescent="0.25">
      <c r="A2545" s="114" t="s">
        <v>5329</v>
      </c>
      <c r="B2545" s="115" t="s">
        <v>4102</v>
      </c>
      <c r="C2545" s="116" t="s">
        <v>16</v>
      </c>
      <c r="D2545" s="116">
        <v>0</v>
      </c>
      <c r="E2545" s="136" t="s">
        <v>416</v>
      </c>
      <c r="F2545" s="137" t="str">
        <f t="shared" si="189"/>
        <v/>
      </c>
      <c r="G2545" s="138" t="e">
        <f>IF(A2545&lt;&gt;"",IF(AND(#REF!="Padrão",$H$4=#REF!),BDI!$B$17,IF(AND(#REF!="Padrão",$H$4=#REF!),BDI!#REF!,IF(AND(#REF!="Diferenciado",$H$4=#REF!),BDI!$E$17,IF(AND(#REF!="Diferenciado",$H$4=#REF!),BDI!#REF!,IF(#REF!="ZERO",0))))),"")</f>
        <v>#REF!</v>
      </c>
      <c r="H2545" s="139" t="str">
        <f t="shared" si="190"/>
        <v/>
      </c>
      <c r="I2545" s="137" t="str">
        <f t="shared" si="191"/>
        <v/>
      </c>
      <c r="J2545" s="117"/>
      <c r="K2545" s="116">
        <v>0</v>
      </c>
      <c r="M2545" s="136" t="s">
        <v>416</v>
      </c>
      <c r="N2545" t="e">
        <v>#REF!</v>
      </c>
      <c r="Q2545" t="s">
        <v>416</v>
      </c>
    </row>
    <row r="2546" spans="1:17" hidden="1" x14ac:dyDescent="0.25">
      <c r="A2546" s="114" t="s">
        <v>5330</v>
      </c>
      <c r="B2546" s="115" t="s">
        <v>4103</v>
      </c>
      <c r="C2546" s="116" t="s">
        <v>16</v>
      </c>
      <c r="D2546" s="116">
        <v>0</v>
      </c>
      <c r="E2546" s="136" t="s">
        <v>416</v>
      </c>
      <c r="F2546" s="137" t="str">
        <f t="shared" si="189"/>
        <v/>
      </c>
      <c r="G2546" s="138" t="e">
        <f>IF(A2546&lt;&gt;"",IF(AND(#REF!="Padrão",$H$4=#REF!),BDI!$B$17,IF(AND(#REF!="Padrão",$H$4=#REF!),BDI!#REF!,IF(AND(#REF!="Diferenciado",$H$4=#REF!),BDI!$E$17,IF(AND(#REF!="Diferenciado",$H$4=#REF!),BDI!#REF!,IF(#REF!="ZERO",0))))),"")</f>
        <v>#REF!</v>
      </c>
      <c r="H2546" s="139" t="str">
        <f t="shared" si="190"/>
        <v/>
      </c>
      <c r="I2546" s="137" t="str">
        <f t="shared" si="191"/>
        <v/>
      </c>
      <c r="J2546" s="117"/>
      <c r="K2546" s="116">
        <v>0</v>
      </c>
      <c r="M2546" s="136" t="s">
        <v>416</v>
      </c>
      <c r="N2546" t="e">
        <v>#REF!</v>
      </c>
      <c r="Q2546" t="s">
        <v>416</v>
      </c>
    </row>
    <row r="2547" spans="1:17" hidden="1" x14ac:dyDescent="0.25">
      <c r="A2547" s="114" t="s">
        <v>5331</v>
      </c>
      <c r="B2547" s="115" t="s">
        <v>4104</v>
      </c>
      <c r="C2547" s="116" t="s">
        <v>16</v>
      </c>
      <c r="D2547" s="116">
        <v>0</v>
      </c>
      <c r="E2547" s="136" t="s">
        <v>416</v>
      </c>
      <c r="F2547" s="137" t="str">
        <f t="shared" si="189"/>
        <v/>
      </c>
      <c r="G2547" s="138" t="e">
        <f>IF(A2547&lt;&gt;"",IF(AND(#REF!="Padrão",$H$4=#REF!),BDI!$B$17,IF(AND(#REF!="Padrão",$H$4=#REF!),BDI!#REF!,IF(AND(#REF!="Diferenciado",$H$4=#REF!),BDI!$E$17,IF(AND(#REF!="Diferenciado",$H$4=#REF!),BDI!#REF!,IF(#REF!="ZERO",0))))),"")</f>
        <v>#REF!</v>
      </c>
      <c r="H2547" s="139" t="str">
        <f t="shared" si="190"/>
        <v/>
      </c>
      <c r="I2547" s="137" t="str">
        <f t="shared" si="191"/>
        <v/>
      </c>
      <c r="J2547" s="117"/>
      <c r="K2547" s="116">
        <v>0</v>
      </c>
      <c r="M2547" s="136" t="s">
        <v>416</v>
      </c>
      <c r="N2547" t="e">
        <v>#REF!</v>
      </c>
      <c r="Q2547" t="s">
        <v>416</v>
      </c>
    </row>
    <row r="2548" spans="1:17" hidden="1" x14ac:dyDescent="0.25">
      <c r="A2548" s="114" t="s">
        <v>5332</v>
      </c>
      <c r="B2548" s="115" t="s">
        <v>4105</v>
      </c>
      <c r="C2548" s="116" t="s">
        <v>16</v>
      </c>
      <c r="D2548" s="116">
        <v>0</v>
      </c>
      <c r="E2548" s="136" t="s">
        <v>416</v>
      </c>
      <c r="F2548" s="137" t="str">
        <f t="shared" si="189"/>
        <v/>
      </c>
      <c r="G2548" s="138" t="e">
        <f>IF(A2548&lt;&gt;"",IF(AND(#REF!="Padrão",$H$4=#REF!),BDI!$B$17,IF(AND(#REF!="Padrão",$H$4=#REF!),BDI!#REF!,IF(AND(#REF!="Diferenciado",$H$4=#REF!),BDI!$E$17,IF(AND(#REF!="Diferenciado",$H$4=#REF!),BDI!#REF!,IF(#REF!="ZERO",0))))),"")</f>
        <v>#REF!</v>
      </c>
      <c r="H2548" s="139" t="str">
        <f t="shared" si="190"/>
        <v/>
      </c>
      <c r="I2548" s="137" t="str">
        <f t="shared" si="191"/>
        <v/>
      </c>
      <c r="J2548" s="117"/>
      <c r="K2548" s="116">
        <v>0</v>
      </c>
      <c r="M2548" s="136" t="s">
        <v>416</v>
      </c>
      <c r="N2548" t="e">
        <v>#REF!</v>
      </c>
      <c r="Q2548" t="s">
        <v>416</v>
      </c>
    </row>
    <row r="2549" spans="1:17" hidden="1" x14ac:dyDescent="0.25">
      <c r="A2549" s="114" t="s">
        <v>5333</v>
      </c>
      <c r="B2549" s="115" t="s">
        <v>4106</v>
      </c>
      <c r="C2549" s="116" t="s">
        <v>16</v>
      </c>
      <c r="D2549" s="116">
        <v>0</v>
      </c>
      <c r="E2549" s="136" t="s">
        <v>416</v>
      </c>
      <c r="F2549" s="137" t="str">
        <f t="shared" si="189"/>
        <v/>
      </c>
      <c r="G2549" s="138" t="e">
        <f>IF(A2549&lt;&gt;"",IF(AND(#REF!="Padrão",$H$4=#REF!),BDI!$B$17,IF(AND(#REF!="Padrão",$H$4=#REF!),BDI!#REF!,IF(AND(#REF!="Diferenciado",$H$4=#REF!),BDI!$E$17,IF(AND(#REF!="Diferenciado",$H$4=#REF!),BDI!#REF!,IF(#REF!="ZERO",0))))),"")</f>
        <v>#REF!</v>
      </c>
      <c r="H2549" s="139" t="str">
        <f t="shared" si="190"/>
        <v/>
      </c>
      <c r="I2549" s="137" t="str">
        <f t="shared" si="191"/>
        <v/>
      </c>
      <c r="J2549" s="117"/>
      <c r="K2549" s="116">
        <v>0</v>
      </c>
      <c r="M2549" s="136" t="s">
        <v>416</v>
      </c>
      <c r="N2549" t="e">
        <v>#REF!</v>
      </c>
      <c r="Q2549" t="s">
        <v>416</v>
      </c>
    </row>
    <row r="2550" spans="1:17" hidden="1" x14ac:dyDescent="0.25">
      <c r="A2550" s="114" t="s">
        <v>5334</v>
      </c>
      <c r="B2550" s="115" t="s">
        <v>4107</v>
      </c>
      <c r="C2550" s="116" t="s">
        <v>16</v>
      </c>
      <c r="D2550" s="116">
        <v>0</v>
      </c>
      <c r="E2550" s="136" t="s">
        <v>416</v>
      </c>
      <c r="F2550" s="137" t="str">
        <f t="shared" si="189"/>
        <v/>
      </c>
      <c r="G2550" s="138" t="e">
        <f>IF(A2550&lt;&gt;"",IF(AND(#REF!="Padrão",$H$4=#REF!),BDI!$B$17,IF(AND(#REF!="Padrão",$H$4=#REF!),BDI!#REF!,IF(AND(#REF!="Diferenciado",$H$4=#REF!),BDI!$E$17,IF(AND(#REF!="Diferenciado",$H$4=#REF!),BDI!#REF!,IF(#REF!="ZERO",0))))),"")</f>
        <v>#REF!</v>
      </c>
      <c r="H2550" s="139" t="str">
        <f t="shared" si="190"/>
        <v/>
      </c>
      <c r="I2550" s="137" t="str">
        <f t="shared" si="191"/>
        <v/>
      </c>
      <c r="J2550" s="117"/>
      <c r="K2550" s="116">
        <v>0</v>
      </c>
      <c r="M2550" s="136" t="s">
        <v>416</v>
      </c>
      <c r="N2550" t="e">
        <v>#REF!</v>
      </c>
      <c r="Q2550" t="s">
        <v>416</v>
      </c>
    </row>
    <row r="2551" spans="1:17" hidden="1" x14ac:dyDescent="0.25">
      <c r="A2551" s="114" t="s">
        <v>5335</v>
      </c>
      <c r="B2551" s="115" t="s">
        <v>4108</v>
      </c>
      <c r="C2551" s="116" t="s">
        <v>16</v>
      </c>
      <c r="D2551" s="116">
        <v>0</v>
      </c>
      <c r="E2551" s="136" t="s">
        <v>416</v>
      </c>
      <c r="F2551" s="137" t="str">
        <f t="shared" si="189"/>
        <v/>
      </c>
      <c r="G2551" s="138" t="e">
        <f>IF(A2551&lt;&gt;"",IF(AND(#REF!="Padrão",$H$4=#REF!),BDI!$B$17,IF(AND(#REF!="Padrão",$H$4=#REF!),BDI!#REF!,IF(AND(#REF!="Diferenciado",$H$4=#REF!),BDI!$E$17,IF(AND(#REF!="Diferenciado",$H$4=#REF!),BDI!#REF!,IF(#REF!="ZERO",0))))),"")</f>
        <v>#REF!</v>
      </c>
      <c r="H2551" s="139" t="str">
        <f t="shared" si="190"/>
        <v/>
      </c>
      <c r="I2551" s="137" t="str">
        <f t="shared" si="191"/>
        <v/>
      </c>
      <c r="J2551" s="117"/>
      <c r="K2551" s="116">
        <v>0</v>
      </c>
      <c r="M2551" s="136" t="s">
        <v>416</v>
      </c>
      <c r="N2551" t="e">
        <v>#REF!</v>
      </c>
      <c r="Q2551" t="s">
        <v>416</v>
      </c>
    </row>
    <row r="2552" spans="1:17" hidden="1" x14ac:dyDescent="0.25">
      <c r="A2552" s="114" t="s">
        <v>5336</v>
      </c>
      <c r="B2552" s="115" t="s">
        <v>4109</v>
      </c>
      <c r="C2552" s="116" t="s">
        <v>16</v>
      </c>
      <c r="D2552" s="116">
        <v>0</v>
      </c>
      <c r="E2552" s="136" t="s">
        <v>416</v>
      </c>
      <c r="F2552" s="137" t="str">
        <f t="shared" si="189"/>
        <v/>
      </c>
      <c r="G2552" s="138" t="e">
        <f>IF(A2552&lt;&gt;"",IF(AND(#REF!="Padrão",$H$4=#REF!),BDI!$B$17,IF(AND(#REF!="Padrão",$H$4=#REF!),BDI!#REF!,IF(AND(#REF!="Diferenciado",$H$4=#REF!),BDI!$E$17,IF(AND(#REF!="Diferenciado",$H$4=#REF!),BDI!#REF!,IF(#REF!="ZERO",0))))),"")</f>
        <v>#REF!</v>
      </c>
      <c r="H2552" s="139" t="str">
        <f t="shared" si="190"/>
        <v/>
      </c>
      <c r="I2552" s="137" t="str">
        <f t="shared" si="191"/>
        <v/>
      </c>
      <c r="J2552" s="117"/>
      <c r="K2552" s="116">
        <v>0</v>
      </c>
      <c r="M2552" s="136" t="s">
        <v>416</v>
      </c>
      <c r="N2552" t="e">
        <v>#REF!</v>
      </c>
      <c r="Q2552" t="s">
        <v>416</v>
      </c>
    </row>
    <row r="2553" spans="1:17" hidden="1" x14ac:dyDescent="0.25">
      <c r="A2553" s="114" t="s">
        <v>5337</v>
      </c>
      <c r="B2553" s="115" t="s">
        <v>4110</v>
      </c>
      <c r="C2553" s="116" t="s">
        <v>16</v>
      </c>
      <c r="D2553" s="116">
        <v>0</v>
      </c>
      <c r="E2553" s="136" t="s">
        <v>416</v>
      </c>
      <c r="F2553" s="137" t="str">
        <f t="shared" si="189"/>
        <v/>
      </c>
      <c r="G2553" s="138" t="e">
        <f>IF(A2553&lt;&gt;"",IF(AND(#REF!="Padrão",$H$4=#REF!),BDI!$B$17,IF(AND(#REF!="Padrão",$H$4=#REF!),BDI!#REF!,IF(AND(#REF!="Diferenciado",$H$4=#REF!),BDI!$E$17,IF(AND(#REF!="Diferenciado",$H$4=#REF!),BDI!#REF!,IF(#REF!="ZERO",0))))),"")</f>
        <v>#REF!</v>
      </c>
      <c r="H2553" s="139" t="str">
        <f t="shared" si="190"/>
        <v/>
      </c>
      <c r="I2553" s="137" t="str">
        <f t="shared" si="191"/>
        <v/>
      </c>
      <c r="J2553" s="117"/>
      <c r="K2553" s="116">
        <v>0</v>
      </c>
      <c r="M2553" s="136" t="s">
        <v>416</v>
      </c>
      <c r="N2553" t="e">
        <v>#REF!</v>
      </c>
      <c r="Q2553" t="s">
        <v>416</v>
      </c>
    </row>
    <row r="2554" spans="1:17" hidden="1" x14ac:dyDescent="0.25">
      <c r="A2554" s="114" t="s">
        <v>5338</v>
      </c>
      <c r="B2554" s="115" t="s">
        <v>4111</v>
      </c>
      <c r="C2554" s="116" t="s">
        <v>16</v>
      </c>
      <c r="D2554" s="116">
        <v>0</v>
      </c>
      <c r="E2554" s="136" t="s">
        <v>416</v>
      </c>
      <c r="F2554" s="137" t="str">
        <f t="shared" si="189"/>
        <v/>
      </c>
      <c r="G2554" s="138" t="e">
        <f>IF(A2554&lt;&gt;"",IF(AND(#REF!="Padrão",$H$4=#REF!),BDI!$B$17,IF(AND(#REF!="Padrão",$H$4=#REF!),BDI!#REF!,IF(AND(#REF!="Diferenciado",$H$4=#REF!),BDI!$E$17,IF(AND(#REF!="Diferenciado",$H$4=#REF!),BDI!#REF!,IF(#REF!="ZERO",0))))),"")</f>
        <v>#REF!</v>
      </c>
      <c r="H2554" s="139" t="str">
        <f t="shared" si="190"/>
        <v/>
      </c>
      <c r="I2554" s="137" t="str">
        <f t="shared" si="191"/>
        <v/>
      </c>
      <c r="J2554" s="117"/>
      <c r="K2554" s="116">
        <v>0</v>
      </c>
      <c r="M2554" s="136" t="s">
        <v>416</v>
      </c>
      <c r="N2554" t="e">
        <v>#REF!</v>
      </c>
      <c r="Q2554" t="s">
        <v>416</v>
      </c>
    </row>
    <row r="2555" spans="1:17" hidden="1" x14ac:dyDescent="0.25">
      <c r="A2555" s="114" t="s">
        <v>5339</v>
      </c>
      <c r="B2555" s="115" t="s">
        <v>4112</v>
      </c>
      <c r="C2555" s="116" t="s">
        <v>16</v>
      </c>
      <c r="D2555" s="116">
        <v>0</v>
      </c>
      <c r="E2555" s="136" t="s">
        <v>416</v>
      </c>
      <c r="F2555" s="137" t="str">
        <f t="shared" si="189"/>
        <v/>
      </c>
      <c r="G2555" s="138" t="e">
        <f>IF(A2555&lt;&gt;"",IF(AND(#REF!="Padrão",$H$4=#REF!),BDI!$B$17,IF(AND(#REF!="Padrão",$H$4=#REF!),BDI!#REF!,IF(AND(#REF!="Diferenciado",$H$4=#REF!),BDI!$E$17,IF(AND(#REF!="Diferenciado",$H$4=#REF!),BDI!#REF!,IF(#REF!="ZERO",0))))),"")</f>
        <v>#REF!</v>
      </c>
      <c r="H2555" s="139" t="str">
        <f t="shared" si="190"/>
        <v/>
      </c>
      <c r="I2555" s="137" t="str">
        <f t="shared" si="191"/>
        <v/>
      </c>
      <c r="J2555" s="117"/>
      <c r="K2555" s="116">
        <v>0</v>
      </c>
      <c r="M2555" s="136" t="s">
        <v>416</v>
      </c>
      <c r="N2555" t="e">
        <v>#REF!</v>
      </c>
      <c r="Q2555" t="s">
        <v>416</v>
      </c>
    </row>
    <row r="2556" spans="1:17" hidden="1" x14ac:dyDescent="0.25">
      <c r="A2556" s="114" t="s">
        <v>5340</v>
      </c>
      <c r="B2556" s="115" t="s">
        <v>4113</v>
      </c>
      <c r="C2556" s="116" t="s">
        <v>16</v>
      </c>
      <c r="D2556" s="116">
        <v>0</v>
      </c>
      <c r="E2556" s="136" t="s">
        <v>416</v>
      </c>
      <c r="F2556" s="137" t="str">
        <f t="shared" si="189"/>
        <v/>
      </c>
      <c r="G2556" s="138" t="e">
        <f>IF(A2556&lt;&gt;"",IF(AND(#REF!="Padrão",$H$4=#REF!),BDI!$B$17,IF(AND(#REF!="Padrão",$H$4=#REF!),BDI!#REF!,IF(AND(#REF!="Diferenciado",$H$4=#REF!),BDI!$E$17,IF(AND(#REF!="Diferenciado",$H$4=#REF!),BDI!#REF!,IF(#REF!="ZERO",0))))),"")</f>
        <v>#REF!</v>
      </c>
      <c r="H2556" s="139" t="str">
        <f t="shared" si="190"/>
        <v/>
      </c>
      <c r="I2556" s="137" t="str">
        <f t="shared" si="191"/>
        <v/>
      </c>
      <c r="J2556" s="117"/>
      <c r="K2556" s="116">
        <v>0</v>
      </c>
      <c r="M2556" s="136" t="s">
        <v>416</v>
      </c>
      <c r="N2556" t="e">
        <v>#REF!</v>
      </c>
      <c r="Q2556" t="s">
        <v>416</v>
      </c>
    </row>
    <row r="2557" spans="1:17" hidden="1" x14ac:dyDescent="0.25">
      <c r="A2557" s="114" t="s">
        <v>5341</v>
      </c>
      <c r="B2557" s="115" t="s">
        <v>4114</v>
      </c>
      <c r="C2557" s="116" t="s">
        <v>16</v>
      </c>
      <c r="D2557" s="116">
        <v>0</v>
      </c>
      <c r="E2557" s="136" t="s">
        <v>416</v>
      </c>
      <c r="F2557" s="137" t="str">
        <f t="shared" si="189"/>
        <v/>
      </c>
      <c r="G2557" s="138" t="e">
        <f>IF(A2557&lt;&gt;"",IF(AND(#REF!="Padrão",$H$4=#REF!),BDI!$B$17,IF(AND(#REF!="Padrão",$H$4=#REF!),BDI!#REF!,IF(AND(#REF!="Diferenciado",$H$4=#REF!),BDI!$E$17,IF(AND(#REF!="Diferenciado",$H$4=#REF!),BDI!#REF!,IF(#REF!="ZERO",0))))),"")</f>
        <v>#REF!</v>
      </c>
      <c r="H2557" s="139" t="str">
        <f t="shared" si="190"/>
        <v/>
      </c>
      <c r="I2557" s="137" t="str">
        <f t="shared" si="191"/>
        <v/>
      </c>
      <c r="J2557" s="117"/>
      <c r="K2557" s="116">
        <v>0</v>
      </c>
      <c r="M2557" s="136" t="s">
        <v>416</v>
      </c>
      <c r="N2557" t="e">
        <v>#REF!</v>
      </c>
      <c r="Q2557" t="s">
        <v>416</v>
      </c>
    </row>
    <row r="2558" spans="1:17" hidden="1" x14ac:dyDescent="0.25">
      <c r="A2558" s="114" t="s">
        <v>5342</v>
      </c>
      <c r="B2558" s="115" t="s">
        <v>4115</v>
      </c>
      <c r="C2558" s="116" t="s">
        <v>16</v>
      </c>
      <c r="D2558" s="116">
        <v>0</v>
      </c>
      <c r="E2558" s="136" t="s">
        <v>416</v>
      </c>
      <c r="F2558" s="137" t="str">
        <f t="shared" si="189"/>
        <v/>
      </c>
      <c r="G2558" s="138" t="e">
        <f>IF(A2558&lt;&gt;"",IF(AND(#REF!="Padrão",$H$4=#REF!),BDI!$B$17,IF(AND(#REF!="Padrão",$H$4=#REF!),BDI!#REF!,IF(AND(#REF!="Diferenciado",$H$4=#REF!),BDI!$E$17,IF(AND(#REF!="Diferenciado",$H$4=#REF!),BDI!#REF!,IF(#REF!="ZERO",0))))),"")</f>
        <v>#REF!</v>
      </c>
      <c r="H2558" s="139" t="str">
        <f t="shared" si="190"/>
        <v/>
      </c>
      <c r="I2558" s="137" t="str">
        <f t="shared" si="191"/>
        <v/>
      </c>
      <c r="J2558" s="117"/>
      <c r="K2558" s="116">
        <v>0</v>
      </c>
      <c r="M2558" s="136" t="s">
        <v>416</v>
      </c>
      <c r="N2558" t="e">
        <v>#REF!</v>
      </c>
      <c r="Q2558" t="s">
        <v>416</v>
      </c>
    </row>
    <row r="2559" spans="1:17" hidden="1" x14ac:dyDescent="0.25">
      <c r="A2559" s="114" t="s">
        <v>5343</v>
      </c>
      <c r="B2559" s="115" t="s">
        <v>4116</v>
      </c>
      <c r="C2559" s="116" t="s">
        <v>16</v>
      </c>
      <c r="D2559" s="116">
        <v>0</v>
      </c>
      <c r="E2559" s="136" t="s">
        <v>416</v>
      </c>
      <c r="F2559" s="137" t="str">
        <f t="shared" si="189"/>
        <v/>
      </c>
      <c r="G2559" s="138" t="e">
        <f>IF(A2559&lt;&gt;"",IF(AND(#REF!="Padrão",$H$4=#REF!),BDI!$B$17,IF(AND(#REF!="Padrão",$H$4=#REF!),BDI!#REF!,IF(AND(#REF!="Diferenciado",$H$4=#REF!),BDI!$E$17,IF(AND(#REF!="Diferenciado",$H$4=#REF!),BDI!#REF!,IF(#REF!="ZERO",0))))),"")</f>
        <v>#REF!</v>
      </c>
      <c r="H2559" s="139" t="str">
        <f t="shared" si="190"/>
        <v/>
      </c>
      <c r="I2559" s="137" t="str">
        <f t="shared" si="191"/>
        <v/>
      </c>
      <c r="J2559" s="117"/>
      <c r="K2559" s="116">
        <v>0</v>
      </c>
      <c r="M2559" s="136" t="s">
        <v>416</v>
      </c>
      <c r="N2559" t="e">
        <v>#REF!</v>
      </c>
      <c r="Q2559" t="s">
        <v>416</v>
      </c>
    </row>
    <row r="2560" spans="1:17" hidden="1" x14ac:dyDescent="0.25">
      <c r="A2560" s="114" t="s">
        <v>5344</v>
      </c>
      <c r="B2560" s="115" t="s">
        <v>4117</v>
      </c>
      <c r="C2560" s="116" t="s">
        <v>16</v>
      </c>
      <c r="D2560" s="116">
        <v>0</v>
      </c>
      <c r="E2560" s="136" t="s">
        <v>416</v>
      </c>
      <c r="F2560" s="137" t="str">
        <f t="shared" si="189"/>
        <v/>
      </c>
      <c r="G2560" s="138" t="e">
        <f>IF(A2560&lt;&gt;"",IF(AND(#REF!="Padrão",$H$4=#REF!),BDI!$B$17,IF(AND(#REF!="Padrão",$H$4=#REF!),BDI!#REF!,IF(AND(#REF!="Diferenciado",$H$4=#REF!),BDI!$E$17,IF(AND(#REF!="Diferenciado",$H$4=#REF!),BDI!#REF!,IF(#REF!="ZERO",0))))),"")</f>
        <v>#REF!</v>
      </c>
      <c r="H2560" s="139" t="str">
        <f t="shared" si="190"/>
        <v/>
      </c>
      <c r="I2560" s="137" t="str">
        <f t="shared" si="191"/>
        <v/>
      </c>
      <c r="J2560" s="117"/>
      <c r="K2560" s="116">
        <v>0</v>
      </c>
      <c r="M2560" s="136" t="s">
        <v>416</v>
      </c>
      <c r="N2560" t="e">
        <v>#REF!</v>
      </c>
      <c r="Q2560" t="s">
        <v>416</v>
      </c>
    </row>
    <row r="2561" spans="1:17" hidden="1" x14ac:dyDescent="0.25">
      <c r="A2561" s="114" t="s">
        <v>5345</v>
      </c>
      <c r="B2561" s="115" t="s">
        <v>4118</v>
      </c>
      <c r="C2561" s="116" t="s">
        <v>16</v>
      </c>
      <c r="D2561" s="116">
        <v>0</v>
      </c>
      <c r="E2561" s="136" t="s">
        <v>416</v>
      </c>
      <c r="F2561" s="137" t="str">
        <f t="shared" si="189"/>
        <v/>
      </c>
      <c r="G2561" s="138" t="e">
        <f>IF(A2561&lt;&gt;"",IF(AND(#REF!="Padrão",$H$4=#REF!),BDI!$B$17,IF(AND(#REF!="Padrão",$H$4=#REF!),BDI!#REF!,IF(AND(#REF!="Diferenciado",$H$4=#REF!),BDI!$E$17,IF(AND(#REF!="Diferenciado",$H$4=#REF!),BDI!#REF!,IF(#REF!="ZERO",0))))),"")</f>
        <v>#REF!</v>
      </c>
      <c r="H2561" s="139" t="str">
        <f t="shared" si="190"/>
        <v/>
      </c>
      <c r="I2561" s="137" t="str">
        <f t="shared" si="191"/>
        <v/>
      </c>
      <c r="J2561" s="117"/>
      <c r="K2561" s="116">
        <v>0</v>
      </c>
      <c r="M2561" s="136" t="s">
        <v>416</v>
      </c>
      <c r="N2561" t="e">
        <v>#REF!</v>
      </c>
      <c r="Q2561" t="s">
        <v>416</v>
      </c>
    </row>
    <row r="2562" spans="1:17" hidden="1" x14ac:dyDescent="0.25">
      <c r="A2562" s="114" t="s">
        <v>5346</v>
      </c>
      <c r="B2562" s="115" t="s">
        <v>4119</v>
      </c>
      <c r="C2562" s="116" t="s">
        <v>16</v>
      </c>
      <c r="D2562" s="116">
        <v>0</v>
      </c>
      <c r="E2562" s="136" t="s">
        <v>416</v>
      </c>
      <c r="F2562" s="137" t="str">
        <f t="shared" si="189"/>
        <v/>
      </c>
      <c r="G2562" s="138" t="e">
        <f>IF(A2562&lt;&gt;"",IF(AND(#REF!="Padrão",$H$4=#REF!),BDI!$B$17,IF(AND(#REF!="Padrão",$H$4=#REF!),BDI!#REF!,IF(AND(#REF!="Diferenciado",$H$4=#REF!),BDI!$E$17,IF(AND(#REF!="Diferenciado",$H$4=#REF!),BDI!#REF!,IF(#REF!="ZERO",0))))),"")</f>
        <v>#REF!</v>
      </c>
      <c r="H2562" s="139" t="str">
        <f t="shared" si="190"/>
        <v/>
      </c>
      <c r="I2562" s="137" t="str">
        <f t="shared" si="191"/>
        <v/>
      </c>
      <c r="J2562" s="117"/>
      <c r="K2562" s="116">
        <v>0</v>
      </c>
      <c r="M2562" s="136" t="s">
        <v>416</v>
      </c>
      <c r="N2562" t="e">
        <v>#REF!</v>
      </c>
      <c r="Q2562" t="s">
        <v>416</v>
      </c>
    </row>
    <row r="2563" spans="1:17" hidden="1" x14ac:dyDescent="0.25">
      <c r="A2563" s="114" t="s">
        <v>5347</v>
      </c>
      <c r="B2563" s="115" t="s">
        <v>4120</v>
      </c>
      <c r="C2563" s="116" t="s">
        <v>16</v>
      </c>
      <c r="D2563" s="116">
        <v>0</v>
      </c>
      <c r="E2563" s="136" t="s">
        <v>416</v>
      </c>
      <c r="F2563" s="137" t="str">
        <f t="shared" si="189"/>
        <v/>
      </c>
      <c r="G2563" s="138" t="e">
        <f>IF(A2563&lt;&gt;"",IF(AND(#REF!="Padrão",$H$4=#REF!),BDI!$B$17,IF(AND(#REF!="Padrão",$H$4=#REF!),BDI!#REF!,IF(AND(#REF!="Diferenciado",$H$4=#REF!),BDI!$E$17,IF(AND(#REF!="Diferenciado",$H$4=#REF!),BDI!#REF!,IF(#REF!="ZERO",0))))),"")</f>
        <v>#REF!</v>
      </c>
      <c r="H2563" s="139" t="str">
        <f t="shared" si="190"/>
        <v/>
      </c>
      <c r="I2563" s="137" t="str">
        <f t="shared" si="191"/>
        <v/>
      </c>
      <c r="J2563" s="117"/>
      <c r="K2563" s="116">
        <v>0</v>
      </c>
      <c r="M2563" s="136" t="s">
        <v>416</v>
      </c>
      <c r="N2563" t="e">
        <v>#REF!</v>
      </c>
      <c r="Q2563" t="s">
        <v>416</v>
      </c>
    </row>
    <row r="2564" spans="1:17" hidden="1" x14ac:dyDescent="0.25">
      <c r="A2564" s="114" t="s">
        <v>5348</v>
      </c>
      <c r="B2564" s="115" t="s">
        <v>4121</v>
      </c>
      <c r="C2564" s="116" t="s">
        <v>16</v>
      </c>
      <c r="D2564" s="116">
        <v>0</v>
      </c>
      <c r="E2564" s="136" t="s">
        <v>416</v>
      </c>
      <c r="F2564" s="137" t="str">
        <f t="shared" si="189"/>
        <v/>
      </c>
      <c r="G2564" s="138" t="e">
        <f>IF(A2564&lt;&gt;"",IF(AND(#REF!="Padrão",$H$4=#REF!),BDI!$B$17,IF(AND(#REF!="Padrão",$H$4=#REF!),BDI!#REF!,IF(AND(#REF!="Diferenciado",$H$4=#REF!),BDI!$E$17,IF(AND(#REF!="Diferenciado",$H$4=#REF!),BDI!#REF!,IF(#REF!="ZERO",0))))),"")</f>
        <v>#REF!</v>
      </c>
      <c r="H2564" s="139" t="str">
        <f t="shared" si="190"/>
        <v/>
      </c>
      <c r="I2564" s="137" t="str">
        <f t="shared" si="191"/>
        <v/>
      </c>
      <c r="J2564" s="117"/>
      <c r="K2564" s="116">
        <v>0</v>
      </c>
      <c r="M2564" s="136" t="s">
        <v>416</v>
      </c>
      <c r="N2564" t="e">
        <v>#REF!</v>
      </c>
      <c r="Q2564" t="s">
        <v>416</v>
      </c>
    </row>
    <row r="2565" spans="1:17" hidden="1" x14ac:dyDescent="0.25">
      <c r="A2565" s="114" t="s">
        <v>5349</v>
      </c>
      <c r="B2565" s="115" t="s">
        <v>4122</v>
      </c>
      <c r="C2565" s="116" t="s">
        <v>16</v>
      </c>
      <c r="D2565" s="116">
        <v>0</v>
      </c>
      <c r="E2565" s="136" t="s">
        <v>416</v>
      </c>
      <c r="F2565" s="137" t="str">
        <f t="shared" si="189"/>
        <v/>
      </c>
      <c r="G2565" s="138" t="e">
        <f>IF(A2565&lt;&gt;"",IF(AND(#REF!="Padrão",$H$4=#REF!),BDI!$B$17,IF(AND(#REF!="Padrão",$H$4=#REF!),BDI!#REF!,IF(AND(#REF!="Diferenciado",$H$4=#REF!),BDI!$E$17,IF(AND(#REF!="Diferenciado",$H$4=#REF!),BDI!#REF!,IF(#REF!="ZERO",0))))),"")</f>
        <v>#REF!</v>
      </c>
      <c r="H2565" s="139" t="str">
        <f t="shared" si="190"/>
        <v/>
      </c>
      <c r="I2565" s="137" t="str">
        <f t="shared" si="191"/>
        <v/>
      </c>
      <c r="J2565" s="117"/>
      <c r="K2565" s="116">
        <v>0</v>
      </c>
      <c r="M2565" s="136" t="s">
        <v>416</v>
      </c>
      <c r="N2565" t="e">
        <v>#REF!</v>
      </c>
      <c r="Q2565" t="s">
        <v>416</v>
      </c>
    </row>
    <row r="2566" spans="1:17" hidden="1" x14ac:dyDescent="0.25">
      <c r="A2566" s="114" t="s">
        <v>5350</v>
      </c>
      <c r="B2566" s="115" t="s">
        <v>4123</v>
      </c>
      <c r="C2566" s="116" t="s">
        <v>16</v>
      </c>
      <c r="D2566" s="116">
        <v>0</v>
      </c>
      <c r="E2566" s="136" t="s">
        <v>416</v>
      </c>
      <c r="F2566" s="137" t="str">
        <f t="shared" si="189"/>
        <v/>
      </c>
      <c r="G2566" s="138" t="e">
        <f>IF(A2566&lt;&gt;"",IF(AND(#REF!="Padrão",$H$4=#REF!),BDI!$B$17,IF(AND(#REF!="Padrão",$H$4=#REF!),BDI!#REF!,IF(AND(#REF!="Diferenciado",$H$4=#REF!),BDI!$E$17,IF(AND(#REF!="Diferenciado",$H$4=#REF!),BDI!#REF!,IF(#REF!="ZERO",0))))),"")</f>
        <v>#REF!</v>
      </c>
      <c r="H2566" s="139" t="str">
        <f t="shared" si="190"/>
        <v/>
      </c>
      <c r="I2566" s="137" t="str">
        <f t="shared" si="191"/>
        <v/>
      </c>
      <c r="J2566" s="117"/>
      <c r="K2566" s="116">
        <v>0</v>
      </c>
      <c r="M2566" s="136" t="s">
        <v>416</v>
      </c>
      <c r="N2566" t="e">
        <v>#REF!</v>
      </c>
      <c r="Q2566" t="s">
        <v>416</v>
      </c>
    </row>
    <row r="2567" spans="1:17" hidden="1" x14ac:dyDescent="0.25">
      <c r="A2567" s="114" t="s">
        <v>5351</v>
      </c>
      <c r="B2567" s="115" t="s">
        <v>4124</v>
      </c>
      <c r="C2567" s="116" t="s">
        <v>16</v>
      </c>
      <c r="D2567" s="116">
        <v>0</v>
      </c>
      <c r="E2567" s="136" t="s">
        <v>416</v>
      </c>
      <c r="F2567" s="137" t="str">
        <f t="shared" si="189"/>
        <v/>
      </c>
      <c r="G2567" s="138" t="e">
        <f>IF(A2567&lt;&gt;"",IF(AND(#REF!="Padrão",$H$4=#REF!),BDI!$B$17,IF(AND(#REF!="Padrão",$H$4=#REF!),BDI!#REF!,IF(AND(#REF!="Diferenciado",$H$4=#REF!),BDI!$E$17,IF(AND(#REF!="Diferenciado",$H$4=#REF!),BDI!#REF!,IF(#REF!="ZERO",0))))),"")</f>
        <v>#REF!</v>
      </c>
      <c r="H2567" s="139" t="str">
        <f t="shared" si="190"/>
        <v/>
      </c>
      <c r="I2567" s="137" t="str">
        <f t="shared" si="191"/>
        <v/>
      </c>
      <c r="J2567" s="117"/>
      <c r="K2567" s="116">
        <v>0</v>
      </c>
      <c r="M2567" s="136" t="s">
        <v>416</v>
      </c>
      <c r="N2567" t="e">
        <v>#REF!</v>
      </c>
      <c r="Q2567" t="s">
        <v>416</v>
      </c>
    </row>
    <row r="2568" spans="1:17" hidden="1" x14ac:dyDescent="0.25">
      <c r="A2568" s="114" t="s">
        <v>5352</v>
      </c>
      <c r="B2568" s="115" t="s">
        <v>4125</v>
      </c>
      <c r="C2568" s="116" t="s">
        <v>16</v>
      </c>
      <c r="D2568" s="116">
        <v>0</v>
      </c>
      <c r="E2568" s="136" t="s">
        <v>416</v>
      </c>
      <c r="F2568" s="137" t="str">
        <f t="shared" si="189"/>
        <v/>
      </c>
      <c r="G2568" s="138" t="e">
        <f>IF(A2568&lt;&gt;"",IF(AND(#REF!="Padrão",$H$4=#REF!),BDI!$B$17,IF(AND(#REF!="Padrão",$H$4=#REF!),BDI!#REF!,IF(AND(#REF!="Diferenciado",$H$4=#REF!),BDI!$E$17,IF(AND(#REF!="Diferenciado",$H$4=#REF!),BDI!#REF!,IF(#REF!="ZERO",0))))),"")</f>
        <v>#REF!</v>
      </c>
      <c r="H2568" s="139" t="str">
        <f t="shared" si="190"/>
        <v/>
      </c>
      <c r="I2568" s="137" t="str">
        <f t="shared" si="191"/>
        <v/>
      </c>
      <c r="J2568" s="117"/>
      <c r="K2568" s="116">
        <v>0</v>
      </c>
      <c r="M2568" s="136" t="s">
        <v>416</v>
      </c>
      <c r="N2568" t="e">
        <v>#REF!</v>
      </c>
      <c r="Q2568" t="s">
        <v>416</v>
      </c>
    </row>
    <row r="2569" spans="1:17" hidden="1" x14ac:dyDescent="0.25">
      <c r="A2569" s="114" t="s">
        <v>5353</v>
      </c>
      <c r="B2569" s="115" t="s">
        <v>4126</v>
      </c>
      <c r="C2569" s="116" t="s">
        <v>16</v>
      </c>
      <c r="D2569" s="116">
        <v>0</v>
      </c>
      <c r="E2569" s="136" t="s">
        <v>416</v>
      </c>
      <c r="F2569" s="137" t="str">
        <f t="shared" si="189"/>
        <v/>
      </c>
      <c r="G2569" s="138" t="e">
        <f>IF(A2569&lt;&gt;"",IF(AND(#REF!="Padrão",$H$4=#REF!),BDI!$B$17,IF(AND(#REF!="Padrão",$H$4=#REF!),BDI!#REF!,IF(AND(#REF!="Diferenciado",$H$4=#REF!),BDI!$E$17,IF(AND(#REF!="Diferenciado",$H$4=#REF!),BDI!#REF!,IF(#REF!="ZERO",0))))),"")</f>
        <v>#REF!</v>
      </c>
      <c r="H2569" s="139" t="str">
        <f t="shared" si="190"/>
        <v/>
      </c>
      <c r="I2569" s="137" t="str">
        <f t="shared" si="191"/>
        <v/>
      </c>
      <c r="J2569" s="117"/>
      <c r="K2569" s="116">
        <v>0</v>
      </c>
      <c r="M2569" s="136" t="s">
        <v>416</v>
      </c>
      <c r="N2569" t="e">
        <v>#REF!</v>
      </c>
      <c r="Q2569" t="s">
        <v>416</v>
      </c>
    </row>
    <row r="2570" spans="1:17" hidden="1" x14ac:dyDescent="0.25">
      <c r="A2570" s="114" t="s">
        <v>5354</v>
      </c>
      <c r="B2570" s="115" t="s">
        <v>4127</v>
      </c>
      <c r="C2570" s="116" t="s">
        <v>16</v>
      </c>
      <c r="D2570" s="116">
        <v>0</v>
      </c>
      <c r="E2570" s="136" t="s">
        <v>416</v>
      </c>
      <c r="F2570" s="137" t="str">
        <f t="shared" si="189"/>
        <v/>
      </c>
      <c r="G2570" s="138" t="e">
        <f>IF(A2570&lt;&gt;"",IF(AND(#REF!="Padrão",$H$4=#REF!),BDI!$B$17,IF(AND(#REF!="Padrão",$H$4=#REF!),BDI!#REF!,IF(AND(#REF!="Diferenciado",$H$4=#REF!),BDI!$E$17,IF(AND(#REF!="Diferenciado",$H$4=#REF!),BDI!#REF!,IF(#REF!="ZERO",0))))),"")</f>
        <v>#REF!</v>
      </c>
      <c r="H2570" s="139" t="str">
        <f t="shared" si="190"/>
        <v/>
      </c>
      <c r="I2570" s="137" t="str">
        <f t="shared" si="191"/>
        <v/>
      </c>
      <c r="J2570" s="117"/>
      <c r="K2570" s="116">
        <v>0</v>
      </c>
      <c r="M2570" s="136" t="s">
        <v>416</v>
      </c>
      <c r="N2570" t="e">
        <v>#REF!</v>
      </c>
      <c r="Q2570" t="s">
        <v>416</v>
      </c>
    </row>
    <row r="2571" spans="1:17" hidden="1" x14ac:dyDescent="0.25">
      <c r="A2571" s="114" t="s">
        <v>5355</v>
      </c>
      <c r="B2571" s="115" t="s">
        <v>4128</v>
      </c>
      <c r="C2571" s="116" t="s">
        <v>16</v>
      </c>
      <c r="D2571" s="116">
        <v>0</v>
      </c>
      <c r="E2571" s="136" t="s">
        <v>416</v>
      </c>
      <c r="F2571" s="137" t="str">
        <f t="shared" si="189"/>
        <v/>
      </c>
      <c r="G2571" s="138" t="e">
        <f>IF(A2571&lt;&gt;"",IF(AND(#REF!="Padrão",$H$4=#REF!),BDI!$B$17,IF(AND(#REF!="Padrão",$H$4=#REF!),BDI!#REF!,IF(AND(#REF!="Diferenciado",$H$4=#REF!),BDI!$E$17,IF(AND(#REF!="Diferenciado",$H$4=#REF!),BDI!#REF!,IF(#REF!="ZERO",0))))),"")</f>
        <v>#REF!</v>
      </c>
      <c r="H2571" s="139" t="str">
        <f t="shared" si="190"/>
        <v/>
      </c>
      <c r="I2571" s="137" t="str">
        <f t="shared" si="191"/>
        <v/>
      </c>
      <c r="J2571" s="117"/>
      <c r="K2571" s="116">
        <v>0</v>
      </c>
      <c r="M2571" s="136" t="s">
        <v>416</v>
      </c>
      <c r="N2571" t="e">
        <v>#REF!</v>
      </c>
      <c r="Q2571" t="s">
        <v>416</v>
      </c>
    </row>
    <row r="2572" spans="1:17" hidden="1" x14ac:dyDescent="0.25">
      <c r="A2572" s="114" t="s">
        <v>5356</v>
      </c>
      <c r="B2572" s="115" t="s">
        <v>4129</v>
      </c>
      <c r="C2572" s="116" t="s">
        <v>16</v>
      </c>
      <c r="D2572" s="116">
        <v>0</v>
      </c>
      <c r="E2572" s="136" t="s">
        <v>416</v>
      </c>
      <c r="F2572" s="137" t="str">
        <f t="shared" si="189"/>
        <v/>
      </c>
      <c r="G2572" s="138" t="e">
        <f>IF(A2572&lt;&gt;"",IF(AND(#REF!="Padrão",$H$4=#REF!),BDI!$B$17,IF(AND(#REF!="Padrão",$H$4=#REF!),BDI!#REF!,IF(AND(#REF!="Diferenciado",$H$4=#REF!),BDI!$E$17,IF(AND(#REF!="Diferenciado",$H$4=#REF!),BDI!#REF!,IF(#REF!="ZERO",0))))),"")</f>
        <v>#REF!</v>
      </c>
      <c r="H2572" s="139" t="str">
        <f t="shared" si="190"/>
        <v/>
      </c>
      <c r="I2572" s="137" t="str">
        <f t="shared" si="191"/>
        <v/>
      </c>
      <c r="J2572" s="117"/>
      <c r="K2572" s="116">
        <v>0</v>
      </c>
      <c r="M2572" s="136" t="s">
        <v>416</v>
      </c>
      <c r="N2572" t="e">
        <v>#REF!</v>
      </c>
      <c r="Q2572" t="s">
        <v>416</v>
      </c>
    </row>
    <row r="2573" spans="1:17" hidden="1" x14ac:dyDescent="0.25">
      <c r="A2573" s="114" t="s">
        <v>5357</v>
      </c>
      <c r="B2573" s="115" t="s">
        <v>4130</v>
      </c>
      <c r="C2573" s="116" t="s">
        <v>16</v>
      </c>
      <c r="D2573" s="116">
        <v>0</v>
      </c>
      <c r="E2573" s="136" t="s">
        <v>416</v>
      </c>
      <c r="F2573" s="137" t="str">
        <f t="shared" si="189"/>
        <v/>
      </c>
      <c r="G2573" s="138" t="e">
        <f>IF(A2573&lt;&gt;"",IF(AND(#REF!="Padrão",$H$4=#REF!),BDI!$B$17,IF(AND(#REF!="Padrão",$H$4=#REF!),BDI!#REF!,IF(AND(#REF!="Diferenciado",$H$4=#REF!),BDI!$E$17,IF(AND(#REF!="Diferenciado",$H$4=#REF!),BDI!#REF!,IF(#REF!="ZERO",0))))),"")</f>
        <v>#REF!</v>
      </c>
      <c r="H2573" s="139" t="str">
        <f t="shared" si="190"/>
        <v/>
      </c>
      <c r="I2573" s="137" t="str">
        <f t="shared" si="191"/>
        <v/>
      </c>
      <c r="J2573" s="117"/>
      <c r="K2573" s="116">
        <v>0</v>
      </c>
      <c r="M2573" s="136" t="s">
        <v>416</v>
      </c>
      <c r="N2573" t="e">
        <v>#REF!</v>
      </c>
      <c r="Q2573" t="s">
        <v>416</v>
      </c>
    </row>
    <row r="2574" spans="1:17" hidden="1" x14ac:dyDescent="0.25">
      <c r="A2574" s="114" t="s">
        <v>5358</v>
      </c>
      <c r="B2574" s="115" t="s">
        <v>4131</v>
      </c>
      <c r="C2574" s="116" t="s">
        <v>16</v>
      </c>
      <c r="D2574" s="116">
        <v>0</v>
      </c>
      <c r="E2574" s="136" t="s">
        <v>416</v>
      </c>
      <c r="F2574" s="137" t="str">
        <f t="shared" si="189"/>
        <v/>
      </c>
      <c r="G2574" s="138" t="e">
        <f>IF(A2574&lt;&gt;"",IF(AND(#REF!="Padrão",$H$4=#REF!),BDI!$B$17,IF(AND(#REF!="Padrão",$H$4=#REF!),BDI!#REF!,IF(AND(#REF!="Diferenciado",$H$4=#REF!),BDI!$E$17,IF(AND(#REF!="Diferenciado",$H$4=#REF!),BDI!#REF!,IF(#REF!="ZERO",0))))),"")</f>
        <v>#REF!</v>
      </c>
      <c r="H2574" s="139" t="str">
        <f t="shared" si="190"/>
        <v/>
      </c>
      <c r="I2574" s="137" t="str">
        <f t="shared" si="191"/>
        <v/>
      </c>
      <c r="J2574" s="117"/>
      <c r="K2574" s="116">
        <v>0</v>
      </c>
      <c r="M2574" s="136" t="s">
        <v>416</v>
      </c>
      <c r="N2574" t="e">
        <v>#REF!</v>
      </c>
      <c r="Q2574" t="s">
        <v>416</v>
      </c>
    </row>
    <row r="2575" spans="1:17" hidden="1" x14ac:dyDescent="0.25">
      <c r="A2575" s="114" t="s">
        <v>5359</v>
      </c>
      <c r="B2575" s="115" t="s">
        <v>4132</v>
      </c>
      <c r="C2575" s="116" t="s">
        <v>16</v>
      </c>
      <c r="D2575" s="116">
        <v>0</v>
      </c>
      <c r="E2575" s="136" t="s">
        <v>416</v>
      </c>
      <c r="F2575" s="137" t="str">
        <f t="shared" si="189"/>
        <v/>
      </c>
      <c r="G2575" s="138" t="e">
        <f>IF(A2575&lt;&gt;"",IF(AND(#REF!="Padrão",$H$4=#REF!),BDI!$B$17,IF(AND(#REF!="Padrão",$H$4=#REF!),BDI!#REF!,IF(AND(#REF!="Diferenciado",$H$4=#REF!),BDI!$E$17,IF(AND(#REF!="Diferenciado",$H$4=#REF!),BDI!#REF!,IF(#REF!="ZERO",0))))),"")</f>
        <v>#REF!</v>
      </c>
      <c r="H2575" s="139" t="str">
        <f t="shared" si="190"/>
        <v/>
      </c>
      <c r="I2575" s="137" t="str">
        <f t="shared" si="191"/>
        <v/>
      </c>
      <c r="J2575" s="117"/>
      <c r="K2575" s="116">
        <v>0</v>
      </c>
      <c r="M2575" s="136" t="s">
        <v>416</v>
      </c>
      <c r="N2575" t="e">
        <v>#REF!</v>
      </c>
      <c r="Q2575" t="s">
        <v>416</v>
      </c>
    </row>
    <row r="2576" spans="1:17" hidden="1" x14ac:dyDescent="0.25">
      <c r="A2576" s="114" t="s">
        <v>5360</v>
      </c>
      <c r="B2576" s="115" t="s">
        <v>4133</v>
      </c>
      <c r="C2576" s="116" t="s">
        <v>16</v>
      </c>
      <c r="D2576" s="116">
        <v>0</v>
      </c>
      <c r="E2576" s="136" t="s">
        <v>416</v>
      </c>
      <c r="F2576" s="137" t="str">
        <f t="shared" si="189"/>
        <v/>
      </c>
      <c r="G2576" s="138" t="e">
        <f>IF(A2576&lt;&gt;"",IF(AND(#REF!="Padrão",$H$4=#REF!),BDI!$B$17,IF(AND(#REF!="Padrão",$H$4=#REF!),BDI!#REF!,IF(AND(#REF!="Diferenciado",$H$4=#REF!),BDI!$E$17,IF(AND(#REF!="Diferenciado",$H$4=#REF!),BDI!#REF!,IF(#REF!="ZERO",0))))),"")</f>
        <v>#REF!</v>
      </c>
      <c r="H2576" s="139" t="str">
        <f t="shared" si="190"/>
        <v/>
      </c>
      <c r="I2576" s="137" t="str">
        <f t="shared" si="191"/>
        <v/>
      </c>
      <c r="J2576" s="117"/>
      <c r="K2576" s="116">
        <v>0</v>
      </c>
      <c r="M2576" s="136" t="s">
        <v>416</v>
      </c>
      <c r="N2576" t="e">
        <v>#REF!</v>
      </c>
      <c r="Q2576" t="s">
        <v>416</v>
      </c>
    </row>
    <row r="2577" spans="1:17" hidden="1" x14ac:dyDescent="0.25">
      <c r="A2577" s="114" t="s">
        <v>5361</v>
      </c>
      <c r="B2577" s="115" t="s">
        <v>4134</v>
      </c>
      <c r="C2577" s="116" t="s">
        <v>1683</v>
      </c>
      <c r="D2577" s="116">
        <v>0</v>
      </c>
      <c r="E2577" s="136" t="s">
        <v>416</v>
      </c>
      <c r="F2577" s="137" t="str">
        <f t="shared" si="189"/>
        <v/>
      </c>
      <c r="G2577" s="138" t="e">
        <f>IF(A2577&lt;&gt;"",IF(AND(#REF!="Padrão",$H$4=#REF!),BDI!$B$17,IF(AND(#REF!="Padrão",$H$4=#REF!),BDI!#REF!,IF(AND(#REF!="Diferenciado",$H$4=#REF!),BDI!$E$17,IF(AND(#REF!="Diferenciado",$H$4=#REF!),BDI!#REF!,IF(#REF!="ZERO",0))))),"")</f>
        <v>#REF!</v>
      </c>
      <c r="H2577" s="139" t="str">
        <f t="shared" si="190"/>
        <v/>
      </c>
      <c r="I2577" s="137" t="str">
        <f t="shared" si="191"/>
        <v/>
      </c>
      <c r="J2577" s="117"/>
      <c r="K2577" s="116">
        <v>0</v>
      </c>
      <c r="M2577" s="136" t="s">
        <v>416</v>
      </c>
      <c r="N2577" t="e">
        <v>#REF!</v>
      </c>
      <c r="Q2577" t="s">
        <v>416</v>
      </c>
    </row>
    <row r="2578" spans="1:17" hidden="1" x14ac:dyDescent="0.25">
      <c r="A2578" s="114" t="s">
        <v>5362</v>
      </c>
      <c r="B2578" s="115" t="s">
        <v>4135</v>
      </c>
      <c r="C2578" s="116" t="s">
        <v>1683</v>
      </c>
      <c r="D2578" s="116">
        <v>0</v>
      </c>
      <c r="E2578" s="136" t="s">
        <v>416</v>
      </c>
      <c r="F2578" s="137" t="str">
        <f t="shared" si="189"/>
        <v/>
      </c>
      <c r="G2578" s="138" t="e">
        <f>IF(A2578&lt;&gt;"",IF(AND(#REF!="Padrão",$H$4=#REF!),BDI!$B$17,IF(AND(#REF!="Padrão",$H$4=#REF!),BDI!#REF!,IF(AND(#REF!="Diferenciado",$H$4=#REF!),BDI!$E$17,IF(AND(#REF!="Diferenciado",$H$4=#REF!),BDI!#REF!,IF(#REF!="ZERO",0))))),"")</f>
        <v>#REF!</v>
      </c>
      <c r="H2578" s="139" t="str">
        <f t="shared" si="190"/>
        <v/>
      </c>
      <c r="I2578" s="137" t="str">
        <f t="shared" si="191"/>
        <v/>
      </c>
      <c r="J2578" s="117"/>
      <c r="K2578" s="116">
        <v>0</v>
      </c>
      <c r="M2578" s="136" t="s">
        <v>416</v>
      </c>
      <c r="N2578" t="e">
        <v>#REF!</v>
      </c>
      <c r="Q2578" t="s">
        <v>416</v>
      </c>
    </row>
    <row r="2579" spans="1:17" hidden="1" x14ac:dyDescent="0.25">
      <c r="A2579" s="114" t="s">
        <v>5363</v>
      </c>
      <c r="B2579" s="115" t="s">
        <v>4136</v>
      </c>
      <c r="C2579" s="116" t="s">
        <v>1683</v>
      </c>
      <c r="D2579" s="116">
        <v>0</v>
      </c>
      <c r="E2579" s="136" t="s">
        <v>416</v>
      </c>
      <c r="F2579" s="137" t="str">
        <f t="shared" si="189"/>
        <v/>
      </c>
      <c r="G2579" s="138" t="e">
        <f>IF(A2579&lt;&gt;"",IF(AND(#REF!="Padrão",$H$4=#REF!),BDI!$B$17,IF(AND(#REF!="Padrão",$H$4=#REF!),BDI!#REF!,IF(AND(#REF!="Diferenciado",$H$4=#REF!),BDI!$E$17,IF(AND(#REF!="Diferenciado",$H$4=#REF!),BDI!#REF!,IF(#REF!="ZERO",0))))),"")</f>
        <v>#REF!</v>
      </c>
      <c r="H2579" s="139" t="str">
        <f t="shared" si="190"/>
        <v/>
      </c>
      <c r="I2579" s="137" t="str">
        <f t="shared" si="191"/>
        <v/>
      </c>
      <c r="J2579" s="117"/>
      <c r="K2579" s="116">
        <v>0</v>
      </c>
      <c r="M2579" s="136" t="s">
        <v>416</v>
      </c>
      <c r="N2579" t="e">
        <v>#REF!</v>
      </c>
      <c r="Q2579" t="s">
        <v>416</v>
      </c>
    </row>
    <row r="2580" spans="1:17" hidden="1" x14ac:dyDescent="0.25">
      <c r="A2580" s="114" t="s">
        <v>5364</v>
      </c>
      <c r="B2580" s="115" t="s">
        <v>4137</v>
      </c>
      <c r="C2580" s="116" t="s">
        <v>16</v>
      </c>
      <c r="D2580" s="116">
        <v>0</v>
      </c>
      <c r="E2580" s="136" t="s">
        <v>416</v>
      </c>
      <c r="F2580" s="137" t="str">
        <f t="shared" si="189"/>
        <v/>
      </c>
      <c r="G2580" s="138" t="e">
        <f>IF(A2580&lt;&gt;"",IF(AND(#REF!="Padrão",$H$4=#REF!),BDI!$B$17,IF(AND(#REF!="Padrão",$H$4=#REF!),BDI!#REF!,IF(AND(#REF!="Diferenciado",$H$4=#REF!),BDI!$E$17,IF(AND(#REF!="Diferenciado",$H$4=#REF!),BDI!#REF!,IF(#REF!="ZERO",0))))),"")</f>
        <v>#REF!</v>
      </c>
      <c r="H2580" s="139" t="str">
        <f t="shared" si="190"/>
        <v/>
      </c>
      <c r="I2580" s="137" t="str">
        <f t="shared" si="191"/>
        <v/>
      </c>
      <c r="J2580" s="117"/>
      <c r="K2580" s="116">
        <v>0</v>
      </c>
      <c r="M2580" s="136" t="s">
        <v>416</v>
      </c>
      <c r="N2580" t="e">
        <v>#REF!</v>
      </c>
      <c r="Q2580" t="s">
        <v>416</v>
      </c>
    </row>
    <row r="2581" spans="1:17" hidden="1" x14ac:dyDescent="0.25">
      <c r="A2581" s="114" t="s">
        <v>5365</v>
      </c>
      <c r="B2581" s="115" t="s">
        <v>4138</v>
      </c>
      <c r="C2581" s="116" t="s">
        <v>16</v>
      </c>
      <c r="D2581" s="116">
        <v>0</v>
      </c>
      <c r="E2581" s="136" t="s">
        <v>416</v>
      </c>
      <c r="F2581" s="137" t="str">
        <f t="shared" si="189"/>
        <v/>
      </c>
      <c r="G2581" s="138" t="e">
        <f>IF(A2581&lt;&gt;"",IF(AND(#REF!="Padrão",$H$4=#REF!),BDI!$B$17,IF(AND(#REF!="Padrão",$H$4=#REF!),BDI!#REF!,IF(AND(#REF!="Diferenciado",$H$4=#REF!),BDI!$E$17,IF(AND(#REF!="Diferenciado",$H$4=#REF!),BDI!#REF!,IF(#REF!="ZERO",0))))),"")</f>
        <v>#REF!</v>
      </c>
      <c r="H2581" s="139" t="str">
        <f t="shared" si="190"/>
        <v/>
      </c>
      <c r="I2581" s="137" t="str">
        <f t="shared" si="191"/>
        <v/>
      </c>
      <c r="J2581" s="117"/>
      <c r="K2581" s="116">
        <v>0</v>
      </c>
      <c r="M2581" s="136" t="s">
        <v>416</v>
      </c>
      <c r="N2581" t="e">
        <v>#REF!</v>
      </c>
      <c r="Q2581" t="s">
        <v>416</v>
      </c>
    </row>
    <row r="2582" spans="1:17" hidden="1" x14ac:dyDescent="0.25">
      <c r="A2582" s="114" t="s">
        <v>5366</v>
      </c>
      <c r="B2582" s="115" t="s">
        <v>4139</v>
      </c>
      <c r="C2582" s="116" t="s">
        <v>16</v>
      </c>
      <c r="D2582" s="116">
        <v>0</v>
      </c>
      <c r="E2582" s="136" t="s">
        <v>416</v>
      </c>
      <c r="F2582" s="137" t="str">
        <f t="shared" si="189"/>
        <v/>
      </c>
      <c r="G2582" s="138" t="e">
        <f>IF(A2582&lt;&gt;"",IF(AND(#REF!="Padrão",$H$4=#REF!),BDI!$B$17,IF(AND(#REF!="Padrão",$H$4=#REF!),BDI!#REF!,IF(AND(#REF!="Diferenciado",$H$4=#REF!),BDI!$E$17,IF(AND(#REF!="Diferenciado",$H$4=#REF!),BDI!#REF!,IF(#REF!="ZERO",0))))),"")</f>
        <v>#REF!</v>
      </c>
      <c r="H2582" s="139" t="str">
        <f t="shared" si="190"/>
        <v/>
      </c>
      <c r="I2582" s="137" t="str">
        <f t="shared" si="191"/>
        <v/>
      </c>
      <c r="J2582" s="117"/>
      <c r="K2582" s="116">
        <v>0</v>
      </c>
      <c r="M2582" s="136" t="s">
        <v>416</v>
      </c>
      <c r="N2582" t="e">
        <v>#REF!</v>
      </c>
      <c r="Q2582" t="s">
        <v>416</v>
      </c>
    </row>
    <row r="2583" spans="1:17" hidden="1" x14ac:dyDescent="0.25">
      <c r="A2583" s="114" t="s">
        <v>5367</v>
      </c>
      <c r="B2583" s="115" t="s">
        <v>4140</v>
      </c>
      <c r="C2583" s="116" t="s">
        <v>16</v>
      </c>
      <c r="D2583" s="116">
        <v>0</v>
      </c>
      <c r="E2583" s="136" t="s">
        <v>416</v>
      </c>
      <c r="F2583" s="137" t="str">
        <f t="shared" si="189"/>
        <v/>
      </c>
      <c r="G2583" s="138" t="e">
        <f>IF(A2583&lt;&gt;"",IF(AND(#REF!="Padrão",$H$4=#REF!),BDI!$B$17,IF(AND(#REF!="Padrão",$H$4=#REF!),BDI!#REF!,IF(AND(#REF!="Diferenciado",$H$4=#REF!),BDI!$E$17,IF(AND(#REF!="Diferenciado",$H$4=#REF!),BDI!#REF!,IF(#REF!="ZERO",0))))),"")</f>
        <v>#REF!</v>
      </c>
      <c r="H2583" s="139" t="str">
        <f t="shared" si="190"/>
        <v/>
      </c>
      <c r="I2583" s="137" t="str">
        <f t="shared" si="191"/>
        <v/>
      </c>
      <c r="J2583" s="117"/>
      <c r="K2583" s="116">
        <v>0</v>
      </c>
      <c r="M2583" s="136" t="s">
        <v>416</v>
      </c>
      <c r="N2583" t="e">
        <v>#REF!</v>
      </c>
      <c r="Q2583" t="s">
        <v>416</v>
      </c>
    </row>
    <row r="2584" spans="1:17" hidden="1" x14ac:dyDescent="0.25">
      <c r="A2584" s="114" t="s">
        <v>5368</v>
      </c>
      <c r="B2584" s="115" t="s">
        <v>4141</v>
      </c>
      <c r="C2584" s="116" t="s">
        <v>16</v>
      </c>
      <c r="D2584" s="116">
        <v>0</v>
      </c>
      <c r="E2584" s="136" t="s">
        <v>416</v>
      </c>
      <c r="F2584" s="137" t="str">
        <f t="shared" si="189"/>
        <v/>
      </c>
      <c r="G2584" s="138" t="e">
        <f>IF(A2584&lt;&gt;"",IF(AND(#REF!="Padrão",$H$4=#REF!),BDI!$B$17,IF(AND(#REF!="Padrão",$H$4=#REF!),BDI!#REF!,IF(AND(#REF!="Diferenciado",$H$4=#REF!),BDI!$E$17,IF(AND(#REF!="Diferenciado",$H$4=#REF!),BDI!#REF!,IF(#REF!="ZERO",0))))),"")</f>
        <v>#REF!</v>
      </c>
      <c r="H2584" s="139" t="str">
        <f t="shared" si="190"/>
        <v/>
      </c>
      <c r="I2584" s="137" t="str">
        <f t="shared" si="191"/>
        <v/>
      </c>
      <c r="J2584" s="117"/>
      <c r="K2584" s="116">
        <v>0</v>
      </c>
      <c r="M2584" s="136" t="s">
        <v>416</v>
      </c>
      <c r="N2584" t="e">
        <v>#REF!</v>
      </c>
      <c r="Q2584" t="s">
        <v>416</v>
      </c>
    </row>
    <row r="2585" spans="1:17" hidden="1" x14ac:dyDescent="0.25">
      <c r="A2585" s="114" t="s">
        <v>5369</v>
      </c>
      <c r="B2585" s="115" t="s">
        <v>4142</v>
      </c>
      <c r="C2585" s="116" t="s">
        <v>16</v>
      </c>
      <c r="D2585" s="116">
        <v>0</v>
      </c>
      <c r="E2585" s="136" t="s">
        <v>416</v>
      </c>
      <c r="F2585" s="137" t="str">
        <f t="shared" si="189"/>
        <v/>
      </c>
      <c r="G2585" s="138" t="e">
        <f>IF(A2585&lt;&gt;"",IF(AND(#REF!="Padrão",$H$4=#REF!),BDI!$B$17,IF(AND(#REF!="Padrão",$H$4=#REF!),BDI!#REF!,IF(AND(#REF!="Diferenciado",$H$4=#REF!),BDI!$E$17,IF(AND(#REF!="Diferenciado",$H$4=#REF!),BDI!#REF!,IF(#REF!="ZERO",0))))),"")</f>
        <v>#REF!</v>
      </c>
      <c r="H2585" s="139" t="str">
        <f t="shared" si="190"/>
        <v/>
      </c>
      <c r="I2585" s="137" t="str">
        <f t="shared" si="191"/>
        <v/>
      </c>
      <c r="J2585" s="117"/>
      <c r="K2585" s="116">
        <v>0</v>
      </c>
      <c r="M2585" s="136" t="s">
        <v>416</v>
      </c>
      <c r="N2585" t="e">
        <v>#REF!</v>
      </c>
      <c r="Q2585" t="s">
        <v>416</v>
      </c>
    </row>
    <row r="2586" spans="1:17" hidden="1" x14ac:dyDescent="0.25">
      <c r="A2586" s="114" t="s">
        <v>5370</v>
      </c>
      <c r="B2586" s="115" t="s">
        <v>4143</v>
      </c>
      <c r="C2586" s="116" t="s">
        <v>16</v>
      </c>
      <c r="D2586" s="116">
        <v>0</v>
      </c>
      <c r="E2586" s="136" t="s">
        <v>416</v>
      </c>
      <c r="F2586" s="137" t="str">
        <f t="shared" si="189"/>
        <v/>
      </c>
      <c r="G2586" s="138" t="e">
        <f>IF(A2586&lt;&gt;"",IF(AND(#REF!="Padrão",$H$4=#REF!),BDI!$B$17,IF(AND(#REF!="Padrão",$H$4=#REF!),BDI!#REF!,IF(AND(#REF!="Diferenciado",$H$4=#REF!),BDI!$E$17,IF(AND(#REF!="Diferenciado",$H$4=#REF!),BDI!#REF!,IF(#REF!="ZERO",0))))),"")</f>
        <v>#REF!</v>
      </c>
      <c r="H2586" s="139" t="str">
        <f t="shared" si="190"/>
        <v/>
      </c>
      <c r="I2586" s="137" t="str">
        <f t="shared" si="191"/>
        <v/>
      </c>
      <c r="J2586" s="117"/>
      <c r="K2586" s="116">
        <v>0</v>
      </c>
      <c r="M2586" s="136" t="s">
        <v>416</v>
      </c>
      <c r="N2586" t="e">
        <v>#REF!</v>
      </c>
      <c r="Q2586" t="s">
        <v>416</v>
      </c>
    </row>
    <row r="2587" spans="1:17" hidden="1" x14ac:dyDescent="0.25">
      <c r="A2587" s="114" t="s">
        <v>5371</v>
      </c>
      <c r="B2587" s="115" t="s">
        <v>4144</v>
      </c>
      <c r="C2587" s="116" t="s">
        <v>4172</v>
      </c>
      <c r="D2587" s="116">
        <v>0</v>
      </c>
      <c r="E2587" s="136" t="s">
        <v>416</v>
      </c>
      <c r="F2587" s="137" t="str">
        <f t="shared" si="189"/>
        <v/>
      </c>
      <c r="G2587" s="138" t="e">
        <f>IF(A2587&lt;&gt;"",IF(AND(#REF!="Padrão",$H$4=#REF!),BDI!$B$17,IF(AND(#REF!="Padrão",$H$4=#REF!),BDI!#REF!,IF(AND(#REF!="Diferenciado",$H$4=#REF!),BDI!$E$17,IF(AND(#REF!="Diferenciado",$H$4=#REF!),BDI!#REF!,IF(#REF!="ZERO",0))))),"")</f>
        <v>#REF!</v>
      </c>
      <c r="H2587" s="139" t="str">
        <f t="shared" si="190"/>
        <v/>
      </c>
      <c r="I2587" s="137" t="str">
        <f t="shared" si="191"/>
        <v/>
      </c>
      <c r="J2587" s="117"/>
      <c r="K2587" s="116">
        <v>0</v>
      </c>
      <c r="M2587" s="136" t="s">
        <v>416</v>
      </c>
      <c r="N2587" t="e">
        <v>#REF!</v>
      </c>
      <c r="Q2587" t="s">
        <v>416</v>
      </c>
    </row>
    <row r="2588" spans="1:17" hidden="1" x14ac:dyDescent="0.25">
      <c r="A2588" s="114" t="s">
        <v>5372</v>
      </c>
      <c r="B2588" s="115" t="s">
        <v>4145</v>
      </c>
      <c r="C2588" s="116" t="s">
        <v>1683</v>
      </c>
      <c r="D2588" s="116">
        <v>0</v>
      </c>
      <c r="E2588" s="136" t="s">
        <v>416</v>
      </c>
      <c r="F2588" s="137" t="str">
        <f t="shared" si="189"/>
        <v/>
      </c>
      <c r="G2588" s="138" t="e">
        <f>IF(A2588&lt;&gt;"",IF(AND(#REF!="Padrão",$H$4=#REF!),BDI!$B$17,IF(AND(#REF!="Padrão",$H$4=#REF!),BDI!#REF!,IF(AND(#REF!="Diferenciado",$H$4=#REF!),BDI!$E$17,IF(AND(#REF!="Diferenciado",$H$4=#REF!),BDI!#REF!,IF(#REF!="ZERO",0))))),"")</f>
        <v>#REF!</v>
      </c>
      <c r="H2588" s="139" t="str">
        <f t="shared" si="190"/>
        <v/>
      </c>
      <c r="I2588" s="137" t="str">
        <f t="shared" si="191"/>
        <v/>
      </c>
      <c r="J2588" s="117"/>
      <c r="K2588" s="116">
        <v>0</v>
      </c>
      <c r="M2588" s="136" t="s">
        <v>416</v>
      </c>
      <c r="N2588" t="e">
        <v>#REF!</v>
      </c>
      <c r="Q2588" t="s">
        <v>416</v>
      </c>
    </row>
    <row r="2589" spans="1:17" hidden="1" x14ac:dyDescent="0.25">
      <c r="A2589" s="114" t="s">
        <v>5373</v>
      </c>
      <c r="B2589" s="115" t="s">
        <v>4146</v>
      </c>
      <c r="C2589" s="116" t="s">
        <v>1683</v>
      </c>
      <c r="D2589" s="116">
        <v>0</v>
      </c>
      <c r="E2589" s="136" t="s">
        <v>416</v>
      </c>
      <c r="F2589" s="137" t="str">
        <f t="shared" si="189"/>
        <v/>
      </c>
      <c r="G2589" s="138" t="e">
        <f>IF(A2589&lt;&gt;"",IF(AND(#REF!="Padrão",$H$4=#REF!),BDI!$B$17,IF(AND(#REF!="Padrão",$H$4=#REF!),BDI!#REF!,IF(AND(#REF!="Diferenciado",$H$4=#REF!),BDI!$E$17,IF(AND(#REF!="Diferenciado",$H$4=#REF!),BDI!#REF!,IF(#REF!="ZERO",0))))),"")</f>
        <v>#REF!</v>
      </c>
      <c r="H2589" s="139" t="str">
        <f t="shared" si="190"/>
        <v/>
      </c>
      <c r="I2589" s="137" t="str">
        <f t="shared" si="191"/>
        <v/>
      </c>
      <c r="J2589" s="117"/>
      <c r="K2589" s="116">
        <v>0</v>
      </c>
      <c r="M2589" s="136" t="s">
        <v>416</v>
      </c>
      <c r="N2589" t="e">
        <v>#REF!</v>
      </c>
      <c r="Q2589" t="s">
        <v>416</v>
      </c>
    </row>
    <row r="2590" spans="1:17" hidden="1" x14ac:dyDescent="0.25">
      <c r="A2590" s="114" t="s">
        <v>5374</v>
      </c>
      <c r="B2590" s="115" t="s">
        <v>4147</v>
      </c>
      <c r="C2590" s="116" t="s">
        <v>16</v>
      </c>
      <c r="D2590" s="116">
        <v>0</v>
      </c>
      <c r="E2590" s="136" t="s">
        <v>416</v>
      </c>
      <c r="F2590" s="137" t="str">
        <f t="shared" si="189"/>
        <v/>
      </c>
      <c r="G2590" s="138" t="e">
        <f>IF(A2590&lt;&gt;"",IF(AND(#REF!="Padrão",$H$4=#REF!),BDI!$B$17,IF(AND(#REF!="Padrão",$H$4=#REF!),BDI!#REF!,IF(AND(#REF!="Diferenciado",$H$4=#REF!),BDI!$E$17,IF(AND(#REF!="Diferenciado",$H$4=#REF!),BDI!#REF!,IF(#REF!="ZERO",0))))),"")</f>
        <v>#REF!</v>
      </c>
      <c r="H2590" s="139" t="str">
        <f t="shared" si="190"/>
        <v/>
      </c>
      <c r="I2590" s="137" t="str">
        <f t="shared" si="191"/>
        <v/>
      </c>
      <c r="J2590" s="117"/>
      <c r="K2590" s="116">
        <v>0</v>
      </c>
      <c r="M2590" s="136" t="s">
        <v>416</v>
      </c>
      <c r="N2590" t="e">
        <v>#REF!</v>
      </c>
      <c r="Q2590" t="s">
        <v>416</v>
      </c>
    </row>
    <row r="2591" spans="1:17" hidden="1" x14ac:dyDescent="0.25">
      <c r="A2591" s="114" t="s">
        <v>5375</v>
      </c>
      <c r="B2591" s="115" t="s">
        <v>4148</v>
      </c>
      <c r="C2591" s="116" t="s">
        <v>1683</v>
      </c>
      <c r="D2591" s="116">
        <v>0</v>
      </c>
      <c r="E2591" s="136" t="s">
        <v>416</v>
      </c>
      <c r="F2591" s="137" t="str">
        <f t="shared" si="189"/>
        <v/>
      </c>
      <c r="G2591" s="138" t="e">
        <f>IF(A2591&lt;&gt;"",IF(AND(#REF!="Padrão",$H$4=#REF!),BDI!$B$17,IF(AND(#REF!="Padrão",$H$4=#REF!),BDI!#REF!,IF(AND(#REF!="Diferenciado",$H$4=#REF!),BDI!$E$17,IF(AND(#REF!="Diferenciado",$H$4=#REF!),BDI!#REF!,IF(#REF!="ZERO",0))))),"")</f>
        <v>#REF!</v>
      </c>
      <c r="H2591" s="139" t="str">
        <f t="shared" si="190"/>
        <v/>
      </c>
      <c r="I2591" s="137" t="str">
        <f t="shared" si="191"/>
        <v/>
      </c>
      <c r="J2591" s="117"/>
      <c r="K2591" s="116">
        <v>0</v>
      </c>
      <c r="M2591" s="136" t="s">
        <v>416</v>
      </c>
      <c r="N2591" t="e">
        <v>#REF!</v>
      </c>
      <c r="Q2591" t="s">
        <v>416</v>
      </c>
    </row>
    <row r="2592" spans="1:17" hidden="1" x14ac:dyDescent="0.25">
      <c r="A2592" s="114" t="s">
        <v>5376</v>
      </c>
      <c r="B2592" s="115" t="s">
        <v>4149</v>
      </c>
      <c r="C2592" s="116" t="s">
        <v>1683</v>
      </c>
      <c r="D2592" s="116">
        <v>0</v>
      </c>
      <c r="E2592" s="136" t="s">
        <v>416</v>
      </c>
      <c r="F2592" s="137" t="str">
        <f t="shared" si="189"/>
        <v/>
      </c>
      <c r="G2592" s="138" t="e">
        <f>IF(A2592&lt;&gt;"",IF(AND(#REF!="Padrão",$H$4=#REF!),BDI!$B$17,IF(AND(#REF!="Padrão",$H$4=#REF!),BDI!#REF!,IF(AND(#REF!="Diferenciado",$H$4=#REF!),BDI!$E$17,IF(AND(#REF!="Diferenciado",$H$4=#REF!),BDI!#REF!,IF(#REF!="ZERO",0))))),"")</f>
        <v>#REF!</v>
      </c>
      <c r="H2592" s="139" t="str">
        <f t="shared" si="190"/>
        <v/>
      </c>
      <c r="I2592" s="137" t="str">
        <f t="shared" si="191"/>
        <v/>
      </c>
      <c r="J2592" s="117"/>
      <c r="K2592" s="116">
        <v>0</v>
      </c>
      <c r="M2592" s="136" t="s">
        <v>416</v>
      </c>
      <c r="N2592" t="e">
        <v>#REF!</v>
      </c>
      <c r="Q2592" t="s">
        <v>416</v>
      </c>
    </row>
    <row r="2593" spans="1:17" hidden="1" x14ac:dyDescent="0.25">
      <c r="A2593" s="114" t="s">
        <v>5377</v>
      </c>
      <c r="B2593" s="115" t="s">
        <v>4150</v>
      </c>
      <c r="C2593" s="116" t="s">
        <v>75</v>
      </c>
      <c r="D2593" s="116">
        <v>0</v>
      </c>
      <c r="E2593" s="136">
        <f ca="1">OFFSET(INDEX(Composições!A:J,MATCH(Orçamentária!A2593,Composições!A:A,0),8),2,0)</f>
        <v>114.988</v>
      </c>
      <c r="F2593" s="137">
        <f t="shared" ca="1" si="189"/>
        <v>0</v>
      </c>
      <c r="G2593" s="138" t="e">
        <f>IF(A2593&lt;&gt;"",IF(AND(#REF!="Padrão",$H$4=#REF!),BDI!$B$17,IF(AND(#REF!="Padrão",$H$4=#REF!),BDI!#REF!,IF(AND(#REF!="Diferenciado",$H$4=#REF!),BDI!$E$17,IF(AND(#REF!="Diferenciado",$H$4=#REF!),BDI!#REF!,IF(#REF!="ZERO",0))))),"")</f>
        <v>#REF!</v>
      </c>
      <c r="H2593" s="139" t="e">
        <f t="shared" ca="1" si="190"/>
        <v>#REF!</v>
      </c>
      <c r="I2593" s="137" t="e">
        <f t="shared" ca="1" si="191"/>
        <v>#REF!</v>
      </c>
      <c r="J2593" s="117"/>
      <c r="K2593" s="116">
        <v>0</v>
      </c>
      <c r="M2593" s="136" t="e">
        <f ca="1">OFFSET(INDEX([1]Composições!I:R,MATCH([1]Orçamentária!I2593,[1]Composições!I:I,0),8),2,0)</f>
        <v>#REF!</v>
      </c>
      <c r="N2593" t="e">
        <v>#REF!</v>
      </c>
      <c r="Q2593" t="e">
        <v>#REF!</v>
      </c>
    </row>
    <row r="2594" spans="1:17" hidden="1" x14ac:dyDescent="0.25">
      <c r="A2594" s="114" t="s">
        <v>5378</v>
      </c>
      <c r="B2594" s="115" t="s">
        <v>4151</v>
      </c>
      <c r="C2594" s="116" t="s">
        <v>75</v>
      </c>
      <c r="D2594" s="116">
        <v>0</v>
      </c>
      <c r="E2594" s="136" t="s">
        <v>416</v>
      </c>
      <c r="F2594" s="137" t="str">
        <f t="shared" si="189"/>
        <v/>
      </c>
      <c r="G2594" s="138" t="e">
        <f>IF(A2594&lt;&gt;"",IF(AND(#REF!="Padrão",$H$4=#REF!),BDI!$B$17,IF(AND(#REF!="Padrão",$H$4=#REF!),BDI!#REF!,IF(AND(#REF!="Diferenciado",$H$4=#REF!),BDI!$E$17,IF(AND(#REF!="Diferenciado",$H$4=#REF!),BDI!#REF!,IF(#REF!="ZERO",0))))),"")</f>
        <v>#REF!</v>
      </c>
      <c r="H2594" s="139" t="str">
        <f t="shared" si="190"/>
        <v/>
      </c>
      <c r="I2594" s="137" t="str">
        <f t="shared" si="191"/>
        <v/>
      </c>
      <c r="J2594" s="117"/>
      <c r="K2594" s="116">
        <v>0</v>
      </c>
      <c r="M2594" s="136" t="s">
        <v>416</v>
      </c>
      <c r="N2594" t="e">
        <v>#REF!</v>
      </c>
      <c r="Q2594" t="s">
        <v>416</v>
      </c>
    </row>
    <row r="2595" spans="1:17" hidden="1" x14ac:dyDescent="0.25">
      <c r="A2595" s="114" t="s">
        <v>5379</v>
      </c>
      <c r="B2595" s="115" t="s">
        <v>4152</v>
      </c>
      <c r="C2595" s="116" t="s">
        <v>70</v>
      </c>
      <c r="D2595" s="116">
        <v>0</v>
      </c>
      <c r="E2595" s="136">
        <f ca="1">OFFSET(INDEX(Composições!A:J,MATCH(Orçamentária!A2595,Composições!A:A,0),8),2,0)</f>
        <v>16.577879999999997</v>
      </c>
      <c r="F2595" s="137">
        <f t="shared" ca="1" si="189"/>
        <v>0</v>
      </c>
      <c r="G2595" s="138" t="e">
        <f>IF(A2595&lt;&gt;"",IF(AND(#REF!="Padrão",$H$4=#REF!),BDI!$B$17,IF(AND(#REF!="Padrão",$H$4=#REF!),BDI!#REF!,IF(AND(#REF!="Diferenciado",$H$4=#REF!),BDI!$E$17,IF(AND(#REF!="Diferenciado",$H$4=#REF!),BDI!#REF!,IF(#REF!="ZERO",0))))),"")</f>
        <v>#REF!</v>
      </c>
      <c r="H2595" s="139" t="e">
        <f t="shared" ca="1" si="190"/>
        <v>#REF!</v>
      </c>
      <c r="I2595" s="137" t="e">
        <f t="shared" ca="1" si="191"/>
        <v>#REF!</v>
      </c>
      <c r="J2595" s="117"/>
      <c r="K2595" s="116">
        <v>0</v>
      </c>
      <c r="M2595" s="136" t="e">
        <f ca="1">OFFSET(INDEX([1]Composições!I:R,MATCH([1]Orçamentária!I2595,[1]Composições!I:I,0),8),2,0)</f>
        <v>#REF!</v>
      </c>
      <c r="N2595" t="e">
        <v>#REF!</v>
      </c>
      <c r="Q2595" t="e">
        <v>#REF!</v>
      </c>
    </row>
    <row r="2596" spans="1:17" hidden="1" x14ac:dyDescent="0.25">
      <c r="A2596" s="114" t="s">
        <v>5380</v>
      </c>
      <c r="B2596" s="115" t="s">
        <v>4153</v>
      </c>
      <c r="C2596" s="116" t="s">
        <v>70</v>
      </c>
      <c r="D2596" s="116">
        <v>0</v>
      </c>
      <c r="E2596" s="136">
        <f ca="1">OFFSET(INDEX(Composições!A:J,MATCH(Orçamentária!A2596,Composições!A:A,0),8),2,0)</f>
        <v>15.1563</v>
      </c>
      <c r="F2596" s="137">
        <f t="shared" ca="1" si="189"/>
        <v>0</v>
      </c>
      <c r="G2596" s="138" t="e">
        <f>IF(A2596&lt;&gt;"",IF(AND(#REF!="Padrão",$H$4=#REF!),BDI!$B$17,IF(AND(#REF!="Padrão",$H$4=#REF!),BDI!#REF!,IF(AND(#REF!="Diferenciado",$H$4=#REF!),BDI!$E$17,IF(AND(#REF!="Diferenciado",$H$4=#REF!),BDI!#REF!,IF(#REF!="ZERO",0))))),"")</f>
        <v>#REF!</v>
      </c>
      <c r="H2596" s="139" t="e">
        <f t="shared" ca="1" si="190"/>
        <v>#REF!</v>
      </c>
      <c r="I2596" s="137" t="e">
        <f t="shared" ca="1" si="191"/>
        <v>#REF!</v>
      </c>
      <c r="J2596" s="117"/>
      <c r="K2596" s="116">
        <v>0</v>
      </c>
      <c r="M2596" s="136" t="e">
        <f ca="1">OFFSET(INDEX([1]Composições!I:R,MATCH([1]Orçamentária!I2596,[1]Composições!I:I,0),8),2,0)</f>
        <v>#REF!</v>
      </c>
      <c r="N2596" t="e">
        <v>#REF!</v>
      </c>
      <c r="Q2596" t="e">
        <v>#REF!</v>
      </c>
    </row>
    <row r="2597" spans="1:17" hidden="1" x14ac:dyDescent="0.25">
      <c r="A2597" s="114" t="s">
        <v>5381</v>
      </c>
      <c r="B2597" s="115" t="s">
        <v>4154</v>
      </c>
      <c r="C2597" s="116" t="s">
        <v>69</v>
      </c>
      <c r="D2597" s="116">
        <v>0</v>
      </c>
      <c r="E2597" s="136">
        <f ca="1">OFFSET(INDEX(Composições!A:J,MATCH(Orçamentária!A2597,Composições!A:A,0),8),2,0)</f>
        <v>12.43045455</v>
      </c>
      <c r="F2597" s="137">
        <f t="shared" ca="1" si="189"/>
        <v>0</v>
      </c>
      <c r="G2597" s="138" t="e">
        <f>IF(A2597&lt;&gt;"",IF(AND(#REF!="Padrão",$H$4=#REF!),BDI!$B$17,IF(AND(#REF!="Padrão",$H$4=#REF!),BDI!#REF!,IF(AND(#REF!="Diferenciado",$H$4=#REF!),BDI!$E$17,IF(AND(#REF!="Diferenciado",$H$4=#REF!),BDI!#REF!,IF(#REF!="ZERO",0))))),"")</f>
        <v>#REF!</v>
      </c>
      <c r="H2597" s="139" t="e">
        <f t="shared" ca="1" si="190"/>
        <v>#REF!</v>
      </c>
      <c r="I2597" s="137" t="e">
        <f t="shared" ca="1" si="191"/>
        <v>#REF!</v>
      </c>
      <c r="J2597" s="117"/>
      <c r="K2597" s="116">
        <v>0</v>
      </c>
      <c r="M2597" s="136" t="e">
        <f ca="1">OFFSET(INDEX([1]Composições!I:R,MATCH([1]Orçamentária!I2597,[1]Composições!I:I,0),8),2,0)</f>
        <v>#REF!</v>
      </c>
      <c r="N2597" t="e">
        <v>#REF!</v>
      </c>
      <c r="Q2597" t="e">
        <v>#REF!</v>
      </c>
    </row>
    <row r="2598" spans="1:17" hidden="1" x14ac:dyDescent="0.25">
      <c r="A2598" s="114" t="s">
        <v>5382</v>
      </c>
      <c r="B2598" s="115" t="s">
        <v>4155</v>
      </c>
      <c r="C2598" s="116" t="s">
        <v>70</v>
      </c>
      <c r="D2598" s="116">
        <v>0</v>
      </c>
      <c r="E2598" s="136">
        <f ca="1">OFFSET(INDEX(Composições!A:J,MATCH(Orçamentária!A2598,Composições!A:A,0),8),2,0)</f>
        <v>33.805749999999996</v>
      </c>
      <c r="F2598" s="137">
        <f t="shared" ca="1" si="189"/>
        <v>0</v>
      </c>
      <c r="G2598" s="138" t="e">
        <f>IF(A2598&lt;&gt;"",IF(AND(#REF!="Padrão",$H$4=#REF!),BDI!$B$17,IF(AND(#REF!="Padrão",$H$4=#REF!),BDI!#REF!,IF(AND(#REF!="Diferenciado",$H$4=#REF!),BDI!$E$17,IF(AND(#REF!="Diferenciado",$H$4=#REF!),BDI!#REF!,IF(#REF!="ZERO",0))))),"")</f>
        <v>#REF!</v>
      </c>
      <c r="H2598" s="139" t="e">
        <f t="shared" ca="1" si="190"/>
        <v>#REF!</v>
      </c>
      <c r="I2598" s="137" t="e">
        <f t="shared" ca="1" si="191"/>
        <v>#REF!</v>
      </c>
      <c r="J2598" s="117"/>
      <c r="K2598" s="116">
        <v>0</v>
      </c>
      <c r="M2598" s="136" t="e">
        <f ca="1">OFFSET(INDEX([1]Composições!I:R,MATCH([1]Orçamentária!I2598,[1]Composições!I:I,0),8),2,0)</f>
        <v>#REF!</v>
      </c>
      <c r="N2598" t="e">
        <v>#REF!</v>
      </c>
      <c r="Q2598" t="e">
        <v>#REF!</v>
      </c>
    </row>
    <row r="2599" spans="1:17" hidden="1" x14ac:dyDescent="0.25">
      <c r="A2599" s="114" t="s">
        <v>5383</v>
      </c>
      <c r="B2599" s="115" t="s">
        <v>4156</v>
      </c>
      <c r="C2599" s="116" t="s">
        <v>70</v>
      </c>
      <c r="D2599" s="116">
        <v>0</v>
      </c>
      <c r="E2599" s="136">
        <f ca="1">OFFSET(INDEX(Composições!A:J,MATCH(Orçamentária!A2599,Composições!A:A,0),8),2,0)</f>
        <v>60.966249999999995</v>
      </c>
      <c r="F2599" s="137">
        <f t="shared" ca="1" si="189"/>
        <v>0</v>
      </c>
      <c r="G2599" s="138" t="e">
        <f>IF(A2599&lt;&gt;"",IF(AND(#REF!="Padrão",$H$4=#REF!),BDI!$B$17,IF(AND(#REF!="Padrão",$H$4=#REF!),BDI!#REF!,IF(AND(#REF!="Diferenciado",$H$4=#REF!),BDI!$E$17,IF(AND(#REF!="Diferenciado",$H$4=#REF!),BDI!#REF!,IF(#REF!="ZERO",0))))),"")</f>
        <v>#REF!</v>
      </c>
      <c r="H2599" s="139" t="e">
        <f t="shared" ca="1" si="190"/>
        <v>#REF!</v>
      </c>
      <c r="I2599" s="137" t="e">
        <f t="shared" ca="1" si="191"/>
        <v>#REF!</v>
      </c>
      <c r="J2599" s="117"/>
      <c r="K2599" s="116">
        <v>0</v>
      </c>
      <c r="M2599" s="136" t="e">
        <f ca="1">OFFSET(INDEX([1]Composições!I:R,MATCH([1]Orçamentária!I2599,[1]Composições!I:I,0),8),2,0)</f>
        <v>#REF!</v>
      </c>
      <c r="N2599" t="e">
        <v>#REF!</v>
      </c>
      <c r="Q2599" t="e">
        <v>#REF!</v>
      </c>
    </row>
    <row r="2600" spans="1:17" hidden="1" x14ac:dyDescent="0.25">
      <c r="A2600" s="114" t="s">
        <v>5384</v>
      </c>
      <c r="B2600" s="115" t="s">
        <v>7393</v>
      </c>
      <c r="C2600" s="116" t="s">
        <v>80</v>
      </c>
      <c r="D2600" s="116">
        <v>0</v>
      </c>
      <c r="E2600" s="136">
        <f ca="1">OFFSET(INDEX(Composições!A:J,MATCH(Orçamentária!A2600,Composições!A:A,0),8),2,0)</f>
        <v>120.11765913999999</v>
      </c>
      <c r="F2600" s="137">
        <f t="shared" ca="1" si="189"/>
        <v>0</v>
      </c>
      <c r="G2600" s="138" t="e">
        <f>IF(A2600&lt;&gt;"",IF(AND(#REF!="Padrão",$H$4=#REF!),BDI!$B$17,IF(AND(#REF!="Padrão",$H$4=#REF!),BDI!#REF!,IF(AND(#REF!="Diferenciado",$H$4=#REF!),BDI!$E$17,IF(AND(#REF!="Diferenciado",$H$4=#REF!),BDI!#REF!,IF(#REF!="ZERO",0))))),"")</f>
        <v>#REF!</v>
      </c>
      <c r="H2600" s="139" t="e">
        <f t="shared" ca="1" si="190"/>
        <v>#REF!</v>
      </c>
      <c r="I2600" s="137" t="e">
        <f t="shared" ca="1" si="191"/>
        <v>#REF!</v>
      </c>
      <c r="J2600" s="117"/>
      <c r="K2600" s="116">
        <v>0</v>
      </c>
      <c r="M2600" s="136" t="e">
        <f ca="1">OFFSET(INDEX([1]Composições!I:R,MATCH([1]Orçamentária!I2600,[1]Composições!I:I,0),8),2,0)</f>
        <v>#REF!</v>
      </c>
      <c r="N2600" t="e">
        <v>#REF!</v>
      </c>
      <c r="Q2600" t="e">
        <v>#REF!</v>
      </c>
    </row>
    <row r="2601" spans="1:17" hidden="1" x14ac:dyDescent="0.25">
      <c r="A2601" s="114" t="s">
        <v>5385</v>
      </c>
      <c r="B2601" s="115" t="s">
        <v>7392</v>
      </c>
      <c r="C2601" s="116" t="s">
        <v>28</v>
      </c>
      <c r="D2601" s="116">
        <v>0</v>
      </c>
      <c r="E2601" s="136">
        <f ca="1">OFFSET(INDEX(Composições!A:J,MATCH(Orçamentária!A2601,Composições!A:A,0),8),2,0)</f>
        <v>12.712453499999999</v>
      </c>
      <c r="F2601" s="137">
        <f t="shared" ca="1" si="189"/>
        <v>0</v>
      </c>
      <c r="G2601" s="138" t="e">
        <f>IF(A2601&lt;&gt;"",IF(AND(#REF!="Padrão",$H$4=#REF!),BDI!$B$17,IF(AND(#REF!="Padrão",$H$4=#REF!),BDI!#REF!,IF(AND(#REF!="Diferenciado",$H$4=#REF!),BDI!$E$17,IF(AND(#REF!="Diferenciado",$H$4=#REF!),BDI!#REF!,IF(#REF!="ZERO",0))))),"")</f>
        <v>#REF!</v>
      </c>
      <c r="H2601" s="139" t="e">
        <f t="shared" ca="1" si="190"/>
        <v>#REF!</v>
      </c>
      <c r="I2601" s="137" t="e">
        <f t="shared" ca="1" si="191"/>
        <v>#REF!</v>
      </c>
      <c r="J2601" s="117"/>
      <c r="K2601" s="116">
        <v>0</v>
      </c>
      <c r="M2601" s="136" t="e">
        <f ca="1">OFFSET(INDEX([1]Composições!I:R,MATCH([1]Orçamentária!I2601,[1]Composições!I:I,0),8),2,0)</f>
        <v>#REF!</v>
      </c>
      <c r="N2601" t="e">
        <v>#REF!</v>
      </c>
      <c r="Q2601" t="e">
        <v>#REF!</v>
      </c>
    </row>
    <row r="2602" spans="1:17" hidden="1" x14ac:dyDescent="0.25">
      <c r="A2602" s="114" t="s">
        <v>5386</v>
      </c>
      <c r="B2602" s="115" t="s">
        <v>7391</v>
      </c>
      <c r="C2602" s="116" t="s">
        <v>80</v>
      </c>
      <c r="D2602" s="116">
        <v>0</v>
      </c>
      <c r="E2602" s="136">
        <f ca="1">OFFSET(INDEX(Composições!A:J,MATCH(Orçamentária!A2602,Composições!A:A,0),8),2,0)</f>
        <v>979.87296297505145</v>
      </c>
      <c r="F2602" s="137">
        <f t="shared" ca="1" si="189"/>
        <v>0</v>
      </c>
      <c r="G2602" s="138" t="e">
        <f>IF(A2602&lt;&gt;"",IF(AND(#REF!="Padrão",$H$4=#REF!),BDI!$B$17,IF(AND(#REF!="Padrão",$H$4=#REF!),BDI!#REF!,IF(AND(#REF!="Diferenciado",$H$4=#REF!),BDI!$E$17,IF(AND(#REF!="Diferenciado",$H$4=#REF!),BDI!#REF!,IF(#REF!="ZERO",0))))),"")</f>
        <v>#REF!</v>
      </c>
      <c r="H2602" s="139" t="e">
        <f t="shared" ca="1" si="190"/>
        <v>#REF!</v>
      </c>
      <c r="I2602" s="137" t="e">
        <f t="shared" ca="1" si="191"/>
        <v>#REF!</v>
      </c>
      <c r="J2602" s="117"/>
      <c r="K2602" s="116">
        <v>0</v>
      </c>
      <c r="M2602" s="136" t="e">
        <f ca="1">OFFSET(INDEX([1]Composições!I:R,MATCH([1]Orçamentária!I2602,[1]Composições!I:I,0),8),2,0)</f>
        <v>#REF!</v>
      </c>
      <c r="N2602" t="e">
        <v>#REF!</v>
      </c>
      <c r="Q2602" t="e">
        <v>#REF!</v>
      </c>
    </row>
    <row r="2603" spans="1:17" hidden="1" x14ac:dyDescent="0.25">
      <c r="A2603" s="114" t="s">
        <v>5387</v>
      </c>
      <c r="B2603" s="115" t="s">
        <v>7390</v>
      </c>
      <c r="C2603" s="116" t="s">
        <v>16</v>
      </c>
      <c r="D2603" s="116">
        <v>0</v>
      </c>
      <c r="E2603" s="136">
        <f ca="1">OFFSET(INDEX(Composições!A:J,MATCH(Orçamentária!A2603,Composições!A:A,0),8),2,0)</f>
        <v>62.852104499999996</v>
      </c>
      <c r="F2603" s="137">
        <f t="shared" ca="1" si="189"/>
        <v>0</v>
      </c>
      <c r="G2603" s="138" t="e">
        <f>IF(A2603&lt;&gt;"",IF(AND(#REF!="Padrão",$H$4=#REF!),BDI!$B$17,IF(AND(#REF!="Padrão",$H$4=#REF!),BDI!#REF!,IF(AND(#REF!="Diferenciado",$H$4=#REF!),BDI!$E$17,IF(AND(#REF!="Diferenciado",$H$4=#REF!),BDI!#REF!,IF(#REF!="ZERO",0))))),"")</f>
        <v>#REF!</v>
      </c>
      <c r="H2603" s="139" t="e">
        <f t="shared" ca="1" si="190"/>
        <v>#REF!</v>
      </c>
      <c r="I2603" s="137" t="e">
        <f t="shared" ca="1" si="191"/>
        <v>#REF!</v>
      </c>
      <c r="J2603" s="117"/>
      <c r="K2603" s="116">
        <v>0</v>
      </c>
      <c r="M2603" s="136" t="e">
        <f ca="1">OFFSET(INDEX([1]Composições!I:R,MATCH([1]Orçamentária!I2603,[1]Composições!I:I,0),8),2,0)</f>
        <v>#REF!</v>
      </c>
      <c r="N2603" t="e">
        <v>#REF!</v>
      </c>
      <c r="Q2603" t="e">
        <v>#REF!</v>
      </c>
    </row>
    <row r="2604" spans="1:17" hidden="1" x14ac:dyDescent="0.25">
      <c r="A2604" s="114" t="s">
        <v>5388</v>
      </c>
      <c r="B2604" s="115" t="s">
        <v>4157</v>
      </c>
      <c r="C2604" s="116" t="s">
        <v>70</v>
      </c>
      <c r="D2604" s="116">
        <v>0</v>
      </c>
      <c r="E2604" s="136">
        <f ca="1">OFFSET(INDEX(Composições!A:J,MATCH(Orçamentária!A2604,Composições!A:A,0),8),2,0)</f>
        <v>70.590699999999998</v>
      </c>
      <c r="F2604" s="137">
        <f t="shared" ca="1" si="189"/>
        <v>0</v>
      </c>
      <c r="G2604" s="138" t="e">
        <f>IF(A2604&lt;&gt;"",IF(AND(#REF!="Padrão",$H$4=#REF!),BDI!$B$17,IF(AND(#REF!="Padrão",$H$4=#REF!),BDI!#REF!,IF(AND(#REF!="Diferenciado",$H$4=#REF!),BDI!$E$17,IF(AND(#REF!="Diferenciado",$H$4=#REF!),BDI!#REF!,IF(#REF!="ZERO",0))))),"")</f>
        <v>#REF!</v>
      </c>
      <c r="H2604" s="139" t="e">
        <f t="shared" ca="1" si="190"/>
        <v>#REF!</v>
      </c>
      <c r="I2604" s="137" t="e">
        <f t="shared" ca="1" si="191"/>
        <v>#REF!</v>
      </c>
      <c r="J2604" s="117"/>
      <c r="K2604" s="116">
        <v>0</v>
      </c>
      <c r="M2604" s="136" t="e">
        <f ca="1">OFFSET(INDEX([1]Composições!I:R,MATCH([1]Orçamentária!I2604,[1]Composições!I:I,0),8),2,0)</f>
        <v>#REF!</v>
      </c>
      <c r="N2604" t="e">
        <v>#REF!</v>
      </c>
      <c r="Q2604" t="e">
        <v>#REF!</v>
      </c>
    </row>
    <row r="2605" spans="1:17" hidden="1" x14ac:dyDescent="0.25">
      <c r="A2605" s="114" t="s">
        <v>5389</v>
      </c>
      <c r="B2605" s="115" t="s">
        <v>7389</v>
      </c>
      <c r="C2605" s="116" t="s">
        <v>69</v>
      </c>
      <c r="D2605" s="116">
        <v>0</v>
      </c>
      <c r="E2605" s="136">
        <f ca="1">OFFSET(INDEX(Composições!A:J,MATCH(Orçamentária!A2605,Composições!A:A,0),8),2,0)</f>
        <v>129.42123474955432</v>
      </c>
      <c r="F2605" s="137">
        <f t="shared" ref="F2605:F2623" ca="1" si="192">IF(ISNUMBER(E2605),D2605*E2605,"")</f>
        <v>0</v>
      </c>
      <c r="G2605" s="138" t="e">
        <f>IF(A2605&lt;&gt;"",IF(AND(#REF!="Padrão",$H$4=#REF!),BDI!$B$17,IF(AND(#REF!="Padrão",$H$4=#REF!),BDI!#REF!,IF(AND(#REF!="Diferenciado",$H$4=#REF!),BDI!$E$17,IF(AND(#REF!="Diferenciado",$H$4=#REF!),BDI!#REF!,IF(#REF!="ZERO",0))))),"")</f>
        <v>#REF!</v>
      </c>
      <c r="H2605" s="139" t="e">
        <f t="shared" ref="H2605:H2623" ca="1" si="193">IF(ISNUMBER(E2605),ROUND(E2605*(1+G2605),2),"")</f>
        <v>#REF!</v>
      </c>
      <c r="I2605" s="137" t="e">
        <f t="shared" ref="I2605:I2623" ca="1" si="194">IF(ISNUMBER(E2605),ROUND(H2605*D2605,2),"")</f>
        <v>#REF!</v>
      </c>
      <c r="J2605" s="117"/>
      <c r="K2605" s="116">
        <v>0</v>
      </c>
      <c r="M2605" s="136" t="e">
        <f ca="1">OFFSET(INDEX([1]Composições!I:R,MATCH([1]Orçamentária!I2605,[1]Composições!I:I,0),8),2,0)</f>
        <v>#REF!</v>
      </c>
      <c r="N2605" t="e">
        <v>#REF!</v>
      </c>
      <c r="Q2605" t="e">
        <v>#REF!</v>
      </c>
    </row>
    <row r="2606" spans="1:17" hidden="1" x14ac:dyDescent="0.25">
      <c r="A2606" s="114" t="s">
        <v>5390</v>
      </c>
      <c r="B2606" s="115" t="s">
        <v>7388</v>
      </c>
      <c r="C2606" s="116" t="s">
        <v>16</v>
      </c>
      <c r="D2606" s="116">
        <v>0</v>
      </c>
      <c r="E2606" s="136">
        <f ca="1">OFFSET(INDEX(Composições!A:J,MATCH(Orçamentária!A2606,Composições!A:A,0),8),2,0)</f>
        <v>15.682783349999999</v>
      </c>
      <c r="F2606" s="137">
        <f t="shared" ca="1" si="192"/>
        <v>0</v>
      </c>
      <c r="G2606" s="138" t="e">
        <f>IF(A2606&lt;&gt;"",IF(AND(#REF!="Padrão",$H$4=#REF!),BDI!$B$17,IF(AND(#REF!="Padrão",$H$4=#REF!),BDI!#REF!,IF(AND(#REF!="Diferenciado",$H$4=#REF!),BDI!$E$17,IF(AND(#REF!="Diferenciado",$H$4=#REF!),BDI!#REF!,IF(#REF!="ZERO",0))))),"")</f>
        <v>#REF!</v>
      </c>
      <c r="H2606" s="139" t="e">
        <f t="shared" ca="1" si="193"/>
        <v>#REF!</v>
      </c>
      <c r="I2606" s="137" t="e">
        <f t="shared" ca="1" si="194"/>
        <v>#REF!</v>
      </c>
      <c r="J2606" s="117"/>
      <c r="K2606" s="116">
        <v>0</v>
      </c>
      <c r="M2606" s="136" t="e">
        <f ca="1">OFFSET(INDEX([1]Composições!I:R,MATCH([1]Orçamentária!I2606,[1]Composições!I:I,0),8),2,0)</f>
        <v>#REF!</v>
      </c>
      <c r="N2606" t="e">
        <v>#REF!</v>
      </c>
      <c r="Q2606" t="e">
        <v>#REF!</v>
      </c>
    </row>
    <row r="2607" spans="1:17" hidden="1" x14ac:dyDescent="0.25">
      <c r="A2607" s="114" t="s">
        <v>5391</v>
      </c>
      <c r="B2607" s="115" t="s">
        <v>4158</v>
      </c>
      <c r="C2607" s="116" t="s">
        <v>16</v>
      </c>
      <c r="D2607" s="116">
        <v>0</v>
      </c>
      <c r="E2607" s="136">
        <f ca="1">OFFSET(INDEX(Composições!A:J,MATCH(Orçamentária!A2607,Composições!A:A,0),8),2,0)</f>
        <v>75.279962699999999</v>
      </c>
      <c r="F2607" s="137">
        <f t="shared" ca="1" si="192"/>
        <v>0</v>
      </c>
      <c r="G2607" s="138" t="e">
        <f>IF(A2607&lt;&gt;"",IF(AND(#REF!="Padrão",$H$4=#REF!),BDI!$B$17,IF(AND(#REF!="Padrão",$H$4=#REF!),BDI!#REF!,IF(AND(#REF!="Diferenciado",$H$4=#REF!),BDI!$E$17,IF(AND(#REF!="Diferenciado",$H$4=#REF!),BDI!#REF!,IF(#REF!="ZERO",0))))),"")</f>
        <v>#REF!</v>
      </c>
      <c r="H2607" s="139" t="e">
        <f t="shared" ca="1" si="193"/>
        <v>#REF!</v>
      </c>
      <c r="I2607" s="137" t="e">
        <f t="shared" ca="1" si="194"/>
        <v>#REF!</v>
      </c>
      <c r="J2607" s="117"/>
      <c r="K2607" s="116">
        <v>0</v>
      </c>
      <c r="M2607" s="136" t="e">
        <f ca="1">OFFSET(INDEX([1]Composições!I:R,MATCH([1]Orçamentária!I2607,[1]Composições!I:I,0),8),2,0)</f>
        <v>#REF!</v>
      </c>
      <c r="N2607" t="e">
        <v>#REF!</v>
      </c>
      <c r="Q2607" t="e">
        <v>#REF!</v>
      </c>
    </row>
    <row r="2608" spans="1:17" hidden="1" x14ac:dyDescent="0.25">
      <c r="A2608" s="114" t="s">
        <v>5392</v>
      </c>
      <c r="B2608" s="115" t="s">
        <v>7387</v>
      </c>
      <c r="C2608" s="116" t="s">
        <v>80</v>
      </c>
      <c r="D2608" s="116">
        <v>0</v>
      </c>
      <c r="E2608" s="136">
        <f ca="1">OFFSET(INDEX(Composições!A:J,MATCH(Orçamentária!A2608,Composições!A:A,0),8),2,0)</f>
        <v>553.09411350000005</v>
      </c>
      <c r="F2608" s="137">
        <f t="shared" ca="1" si="192"/>
        <v>0</v>
      </c>
      <c r="G2608" s="138" t="e">
        <f>IF(A2608&lt;&gt;"",IF(AND(#REF!="Padrão",$H$4=#REF!),BDI!$B$17,IF(AND(#REF!="Padrão",$H$4=#REF!),BDI!#REF!,IF(AND(#REF!="Diferenciado",$H$4=#REF!),BDI!$E$17,IF(AND(#REF!="Diferenciado",$H$4=#REF!),BDI!#REF!,IF(#REF!="ZERO",0))))),"")</f>
        <v>#REF!</v>
      </c>
      <c r="H2608" s="139" t="e">
        <f t="shared" ca="1" si="193"/>
        <v>#REF!</v>
      </c>
      <c r="I2608" s="137" t="e">
        <f t="shared" ca="1" si="194"/>
        <v>#REF!</v>
      </c>
      <c r="J2608" s="117"/>
      <c r="K2608" s="116">
        <v>0</v>
      </c>
      <c r="M2608" s="136" t="e">
        <f ca="1">OFFSET(INDEX([1]Composições!I:R,MATCH([1]Orçamentária!I2608,[1]Composições!I:I,0),8),2,0)</f>
        <v>#REF!</v>
      </c>
      <c r="N2608" t="e">
        <v>#REF!</v>
      </c>
      <c r="Q2608" t="e">
        <v>#REF!</v>
      </c>
    </row>
    <row r="2609" spans="1:17" hidden="1" x14ac:dyDescent="0.25">
      <c r="A2609" s="114" t="s">
        <v>5393</v>
      </c>
      <c r="B2609" s="115" t="s">
        <v>7386</v>
      </c>
      <c r="C2609" s="116" t="s">
        <v>69</v>
      </c>
      <c r="D2609" s="116">
        <v>0</v>
      </c>
      <c r="E2609" s="136">
        <f ca="1">OFFSET(INDEX(Composições!A:J,MATCH(Orçamentária!A2609,Composições!A:A,0),8),2,0)</f>
        <v>107.283590355545</v>
      </c>
      <c r="F2609" s="137">
        <f t="shared" ca="1" si="192"/>
        <v>0</v>
      </c>
      <c r="G2609" s="138" t="e">
        <f>IF(A2609&lt;&gt;"",IF(AND(#REF!="Padrão",$H$4=#REF!),BDI!$B$17,IF(AND(#REF!="Padrão",$H$4=#REF!),BDI!#REF!,IF(AND(#REF!="Diferenciado",$H$4=#REF!),BDI!$E$17,IF(AND(#REF!="Diferenciado",$H$4=#REF!),BDI!#REF!,IF(#REF!="ZERO",0))))),"")</f>
        <v>#REF!</v>
      </c>
      <c r="H2609" s="139" t="e">
        <f t="shared" ca="1" si="193"/>
        <v>#REF!</v>
      </c>
      <c r="I2609" s="137" t="e">
        <f t="shared" ca="1" si="194"/>
        <v>#REF!</v>
      </c>
      <c r="J2609" s="117"/>
      <c r="K2609" s="116">
        <v>0</v>
      </c>
      <c r="M2609" s="136" t="e">
        <f ca="1">OFFSET(INDEX([1]Composições!I:R,MATCH([1]Orçamentária!I2609,[1]Composições!I:I,0),8),2,0)</f>
        <v>#REF!</v>
      </c>
      <c r="N2609" t="e">
        <v>#REF!</v>
      </c>
      <c r="Q2609" t="e">
        <v>#REF!</v>
      </c>
    </row>
    <row r="2610" spans="1:17" hidden="1" x14ac:dyDescent="0.25">
      <c r="A2610" s="114" t="s">
        <v>5394</v>
      </c>
      <c r="B2610" s="115" t="s">
        <v>5617</v>
      </c>
      <c r="C2610" s="116" t="s">
        <v>16</v>
      </c>
      <c r="D2610" s="116">
        <v>0</v>
      </c>
      <c r="E2610" s="136" t="s">
        <v>416</v>
      </c>
      <c r="F2610" s="137" t="str">
        <f>IF(ISNUMBER(E2610),D2610*E2610,"")</f>
        <v/>
      </c>
      <c r="G2610" s="138" t="e">
        <f>IF(A2610&lt;&gt;"",IF(AND(#REF!="Padrão",$H$4=#REF!),BDI!$B$17,IF(AND(#REF!="Padrão",$H$4=#REF!),BDI!#REF!,IF(AND(#REF!="Diferenciado",$H$4=#REF!),BDI!$E$17,IF(AND(#REF!="Diferenciado",$H$4=#REF!),BDI!#REF!,IF(#REF!="ZERO",0))))),"")</f>
        <v>#REF!</v>
      </c>
      <c r="H2610" s="139" t="str">
        <f>IF(ISNUMBER(E2610),ROUND(E2610*(1+G2610),2),"")</f>
        <v/>
      </c>
      <c r="I2610" s="137" t="str">
        <f>IF(ISNUMBER(E2610),ROUND(H2610*D2610,2),"")</f>
        <v/>
      </c>
      <c r="J2610" s="117"/>
      <c r="K2610" s="116">
        <v>0</v>
      </c>
      <c r="M2610" s="136" t="s">
        <v>416</v>
      </c>
      <c r="N2610" t="e">
        <v>#REF!</v>
      </c>
      <c r="Q2610" t="s">
        <v>416</v>
      </c>
    </row>
    <row r="2611" spans="1:17" hidden="1" x14ac:dyDescent="0.25">
      <c r="A2611" s="114" t="s">
        <v>5395</v>
      </c>
      <c r="B2611" s="115" t="s">
        <v>7385</v>
      </c>
      <c r="C2611" s="116" t="s">
        <v>28</v>
      </c>
      <c r="D2611" s="116">
        <v>0</v>
      </c>
      <c r="E2611" s="136">
        <f ca="1">OFFSET(INDEX(Composições!A:J,MATCH(Orçamentária!A2611,Composições!A:A,0),8),2,0)</f>
        <v>15.315159000000001</v>
      </c>
      <c r="F2611" s="137">
        <f t="shared" ca="1" si="192"/>
        <v>0</v>
      </c>
      <c r="G2611" s="138" t="e">
        <f>IF(A2611&lt;&gt;"",IF(AND(#REF!="Padrão",$H$4=#REF!),BDI!$B$17,IF(AND(#REF!="Padrão",$H$4=#REF!),BDI!#REF!,IF(AND(#REF!="Diferenciado",$H$4=#REF!),BDI!$E$17,IF(AND(#REF!="Diferenciado",$H$4=#REF!),BDI!#REF!,IF(#REF!="ZERO",0))))),"")</f>
        <v>#REF!</v>
      </c>
      <c r="H2611" s="139" t="e">
        <f t="shared" ca="1" si="193"/>
        <v>#REF!</v>
      </c>
      <c r="I2611" s="137" t="e">
        <f t="shared" ca="1" si="194"/>
        <v>#REF!</v>
      </c>
      <c r="J2611" s="117"/>
      <c r="K2611" s="116">
        <v>0</v>
      </c>
      <c r="M2611" s="136" t="e">
        <f ca="1">OFFSET(INDEX([1]Composições!I:R,MATCH([1]Orçamentária!I2611,[1]Composições!I:I,0),8),2,0)</f>
        <v>#REF!</v>
      </c>
      <c r="N2611" t="e">
        <v>#REF!</v>
      </c>
      <c r="Q2611" t="e">
        <v>#REF!</v>
      </c>
    </row>
    <row r="2612" spans="1:17" hidden="1" x14ac:dyDescent="0.25">
      <c r="A2612" s="114" t="s">
        <v>5396</v>
      </c>
      <c r="B2612" s="115" t="s">
        <v>4159</v>
      </c>
      <c r="C2612" s="116" t="s">
        <v>70</v>
      </c>
      <c r="D2612" s="116">
        <v>0</v>
      </c>
      <c r="E2612" s="136">
        <f ca="1">OFFSET(INDEX(Composições!A:J,MATCH(Orçamentária!A2612,Composições!A:A,0),8),2,0)</f>
        <v>78.567170750000002</v>
      </c>
      <c r="F2612" s="137">
        <f t="shared" ca="1" si="192"/>
        <v>0</v>
      </c>
      <c r="G2612" s="138" t="e">
        <f>IF(A2612&lt;&gt;"",IF(AND(#REF!="Padrão",$H$4=#REF!),BDI!$B$17,IF(AND(#REF!="Padrão",$H$4=#REF!),BDI!#REF!,IF(AND(#REF!="Diferenciado",$H$4=#REF!),BDI!$E$17,IF(AND(#REF!="Diferenciado",$H$4=#REF!),BDI!#REF!,IF(#REF!="ZERO",0))))),"")</f>
        <v>#REF!</v>
      </c>
      <c r="H2612" s="139" t="e">
        <f t="shared" ca="1" si="193"/>
        <v>#REF!</v>
      </c>
      <c r="I2612" s="137" t="e">
        <f t="shared" ca="1" si="194"/>
        <v>#REF!</v>
      </c>
      <c r="J2612" s="117"/>
      <c r="K2612" s="116">
        <v>0</v>
      </c>
      <c r="M2612" s="136" t="e">
        <f ca="1">OFFSET(INDEX([1]Composições!I:R,MATCH([1]Orçamentária!I2612,[1]Composições!I:I,0),8),2,0)</f>
        <v>#REF!</v>
      </c>
      <c r="N2612" t="e">
        <v>#REF!</v>
      </c>
      <c r="Q2612" t="e">
        <v>#REF!</v>
      </c>
    </row>
    <row r="2613" spans="1:17" hidden="1" x14ac:dyDescent="0.25">
      <c r="A2613" s="114" t="s">
        <v>5397</v>
      </c>
      <c r="B2613" s="115" t="s">
        <v>7362</v>
      </c>
      <c r="C2613" s="116" t="s">
        <v>69</v>
      </c>
      <c r="D2613" s="116">
        <v>0</v>
      </c>
      <c r="E2613" s="136">
        <f ca="1">OFFSET(INDEX(Composições!A:J,MATCH(Orçamentária!A2613,Composições!A:A,0),8),2,0)</f>
        <v>70.494533400000009</v>
      </c>
      <c r="F2613" s="137">
        <f t="shared" ca="1" si="192"/>
        <v>0</v>
      </c>
      <c r="G2613" s="138" t="e">
        <f>IF(A2613&lt;&gt;"",IF(AND(#REF!="Padrão",$H$4=#REF!),BDI!$B$17,IF(AND(#REF!="Padrão",$H$4=#REF!),BDI!#REF!,IF(AND(#REF!="Diferenciado",$H$4=#REF!),BDI!$E$17,IF(AND(#REF!="Diferenciado",$H$4=#REF!),BDI!#REF!,IF(#REF!="ZERO",0))))),"")</f>
        <v>#REF!</v>
      </c>
      <c r="H2613" s="139" t="e">
        <f t="shared" ca="1" si="193"/>
        <v>#REF!</v>
      </c>
      <c r="I2613" s="137" t="e">
        <f t="shared" ca="1" si="194"/>
        <v>#REF!</v>
      </c>
      <c r="J2613" s="117"/>
      <c r="K2613" s="116">
        <v>0</v>
      </c>
      <c r="M2613" s="136" t="e">
        <f ca="1">OFFSET(INDEX([1]Composições!I:R,MATCH([1]Orçamentária!I2613,[1]Composições!I:I,0),8),2,0)</f>
        <v>#REF!</v>
      </c>
      <c r="N2613" t="e">
        <v>#REF!</v>
      </c>
      <c r="Q2613" t="e">
        <v>#REF!</v>
      </c>
    </row>
    <row r="2614" spans="1:17" hidden="1" x14ac:dyDescent="0.25">
      <c r="A2614" s="114" t="s">
        <v>5398</v>
      </c>
      <c r="B2614" s="115" t="s">
        <v>4160</v>
      </c>
      <c r="C2614" s="116" t="s">
        <v>70</v>
      </c>
      <c r="D2614" s="116">
        <v>0</v>
      </c>
      <c r="E2614" s="136">
        <f ca="1">OFFSET(INDEX(Composições!A:J,MATCH(Orçamentária!A2614,Composições!A:A,0),8),2,0)</f>
        <v>87.939415318806809</v>
      </c>
      <c r="F2614" s="137">
        <f t="shared" ca="1" si="192"/>
        <v>0</v>
      </c>
      <c r="G2614" s="138" t="e">
        <f>IF(A2614&lt;&gt;"",IF(AND(#REF!="Padrão",$H$4=#REF!),BDI!$B$17,IF(AND(#REF!="Padrão",$H$4=#REF!),BDI!#REF!,IF(AND(#REF!="Diferenciado",$H$4=#REF!),BDI!$E$17,IF(AND(#REF!="Diferenciado",$H$4=#REF!),BDI!#REF!,IF(#REF!="ZERO",0))))),"")</f>
        <v>#REF!</v>
      </c>
      <c r="H2614" s="139" t="e">
        <f t="shared" ca="1" si="193"/>
        <v>#REF!</v>
      </c>
      <c r="I2614" s="137" t="e">
        <f t="shared" ca="1" si="194"/>
        <v>#REF!</v>
      </c>
      <c r="J2614" s="117"/>
      <c r="K2614" s="116">
        <v>0</v>
      </c>
      <c r="M2614" s="136" t="e">
        <f ca="1">OFFSET(INDEX([1]Composições!I:R,MATCH([1]Orçamentária!I2614,[1]Composições!I:I,0),8),2,0)</f>
        <v>#REF!</v>
      </c>
      <c r="N2614" t="e">
        <v>#REF!</v>
      </c>
      <c r="Q2614" t="e">
        <v>#REF!</v>
      </c>
    </row>
    <row r="2615" spans="1:17" hidden="1" x14ac:dyDescent="0.25">
      <c r="A2615" s="114" t="s">
        <v>5399</v>
      </c>
      <c r="B2615" s="115" t="s">
        <v>4161</v>
      </c>
      <c r="C2615" s="116" t="s">
        <v>16</v>
      </c>
      <c r="D2615" s="116">
        <v>0</v>
      </c>
      <c r="E2615" s="136">
        <f ca="1">OFFSET(INDEX(Composições!A:J,MATCH(Orçamentária!A2615,Composições!A:A,0),8),2,0)</f>
        <v>1519.0846760019829</v>
      </c>
      <c r="F2615" s="137">
        <f t="shared" ca="1" si="192"/>
        <v>0</v>
      </c>
      <c r="G2615" s="138" t="e">
        <f>IF(A2615&lt;&gt;"",IF(AND(#REF!="Padrão",$H$4=#REF!),BDI!$B$17,IF(AND(#REF!="Padrão",$H$4=#REF!),BDI!#REF!,IF(AND(#REF!="Diferenciado",$H$4=#REF!),BDI!$E$17,IF(AND(#REF!="Diferenciado",$H$4=#REF!),BDI!#REF!,IF(#REF!="ZERO",0))))),"")</f>
        <v>#REF!</v>
      </c>
      <c r="H2615" s="139" t="e">
        <f t="shared" ca="1" si="193"/>
        <v>#REF!</v>
      </c>
      <c r="I2615" s="137" t="e">
        <f t="shared" ca="1" si="194"/>
        <v>#REF!</v>
      </c>
      <c r="J2615" s="117"/>
      <c r="K2615" s="116">
        <v>0</v>
      </c>
      <c r="M2615" s="136" t="e">
        <f ca="1">OFFSET(INDEX([1]Composições!I:R,MATCH([1]Orçamentária!I2615,[1]Composições!I:I,0),8),2,0)</f>
        <v>#REF!</v>
      </c>
      <c r="N2615" t="e">
        <v>#REF!</v>
      </c>
      <c r="Q2615" t="e">
        <v>#REF!</v>
      </c>
    </row>
    <row r="2616" spans="1:17" hidden="1" x14ac:dyDescent="0.25">
      <c r="A2616" s="114" t="s">
        <v>5400</v>
      </c>
      <c r="B2616" s="115" t="s">
        <v>4162</v>
      </c>
      <c r="C2616" s="116" t="s">
        <v>69</v>
      </c>
      <c r="D2616" s="116">
        <v>0</v>
      </c>
      <c r="E2616" s="136">
        <f ca="1">OFFSET(INDEX(Composições!A:J,MATCH(Orçamentária!A2616,Composições!A:A,0),8),2,0)</f>
        <v>16.902874999999998</v>
      </c>
      <c r="F2616" s="137">
        <f t="shared" ca="1" si="192"/>
        <v>0</v>
      </c>
      <c r="G2616" s="138" t="e">
        <f>IF(A2616&lt;&gt;"",IF(AND(#REF!="Padrão",$H$4=#REF!),BDI!$B$17,IF(AND(#REF!="Padrão",$H$4=#REF!),BDI!#REF!,IF(AND(#REF!="Diferenciado",$H$4=#REF!),BDI!$E$17,IF(AND(#REF!="Diferenciado",$H$4=#REF!),BDI!#REF!,IF(#REF!="ZERO",0))))),"")</f>
        <v>#REF!</v>
      </c>
      <c r="H2616" s="139" t="e">
        <f t="shared" ca="1" si="193"/>
        <v>#REF!</v>
      </c>
      <c r="I2616" s="137" t="e">
        <f t="shared" ca="1" si="194"/>
        <v>#REF!</v>
      </c>
      <c r="J2616" s="117"/>
      <c r="K2616" s="116">
        <v>0</v>
      </c>
      <c r="M2616" s="136" t="e">
        <f ca="1">OFFSET(INDEX([1]Composições!I:R,MATCH([1]Orçamentária!I2616,[1]Composições!I:I,0),8),2,0)</f>
        <v>#REF!</v>
      </c>
      <c r="N2616" t="e">
        <v>#REF!</v>
      </c>
      <c r="Q2616" t="e">
        <v>#REF!</v>
      </c>
    </row>
    <row r="2617" spans="1:17" hidden="1" x14ac:dyDescent="0.25">
      <c r="A2617" s="114" t="s">
        <v>5401</v>
      </c>
      <c r="B2617" s="115" t="s">
        <v>4163</v>
      </c>
      <c r="C2617" s="116" t="s">
        <v>16</v>
      </c>
      <c r="D2617" s="116">
        <v>0</v>
      </c>
      <c r="E2617" s="136">
        <f ca="1">OFFSET(INDEX(Composições!A:J,MATCH(Orçamentária!A2617,Composições!A:A,0),8),2,0)</f>
        <v>140.00420940000001</v>
      </c>
      <c r="F2617" s="137">
        <f t="shared" ca="1" si="192"/>
        <v>0</v>
      </c>
      <c r="G2617" s="138" t="e">
        <f>IF(A2617&lt;&gt;"",IF(AND(#REF!="Padrão",$H$4=#REF!),BDI!$B$17,IF(AND(#REF!="Padrão",$H$4=#REF!),BDI!#REF!,IF(AND(#REF!="Diferenciado",$H$4=#REF!),BDI!$E$17,IF(AND(#REF!="Diferenciado",$H$4=#REF!),BDI!#REF!,IF(#REF!="ZERO",0))))),"")</f>
        <v>#REF!</v>
      </c>
      <c r="H2617" s="139" t="e">
        <f t="shared" ca="1" si="193"/>
        <v>#REF!</v>
      </c>
      <c r="I2617" s="137" t="e">
        <f t="shared" ca="1" si="194"/>
        <v>#REF!</v>
      </c>
      <c r="J2617" s="117"/>
      <c r="K2617" s="116">
        <v>0</v>
      </c>
      <c r="M2617" s="136" t="e">
        <f ca="1">OFFSET(INDEX([1]Composições!I:R,MATCH([1]Orçamentária!I2617,[1]Composições!I:I,0),8),2,0)</f>
        <v>#REF!</v>
      </c>
      <c r="N2617" t="e">
        <v>#REF!</v>
      </c>
      <c r="Q2617" t="e">
        <v>#REF!</v>
      </c>
    </row>
    <row r="2618" spans="1:17" hidden="1" x14ac:dyDescent="0.25">
      <c r="A2618" s="114" t="s">
        <v>5402</v>
      </c>
      <c r="B2618" s="115" t="s">
        <v>4164</v>
      </c>
      <c r="C2618" s="116" t="s">
        <v>70</v>
      </c>
      <c r="D2618" s="116">
        <v>0</v>
      </c>
      <c r="E2618" s="136">
        <f ca="1">OFFSET(INDEX(Composições!A:J,MATCH(Orçamentária!A2618,Composições!A:A,0),8),2,0)</f>
        <v>3.2755895499999994</v>
      </c>
      <c r="F2618" s="137">
        <f t="shared" ca="1" si="192"/>
        <v>0</v>
      </c>
      <c r="G2618" s="138" t="e">
        <f>IF(A2618&lt;&gt;"",IF(AND(#REF!="Padrão",$H$4=#REF!),BDI!$B$17,IF(AND(#REF!="Padrão",$H$4=#REF!),BDI!#REF!,IF(AND(#REF!="Diferenciado",$H$4=#REF!),BDI!$E$17,IF(AND(#REF!="Diferenciado",$H$4=#REF!),BDI!#REF!,IF(#REF!="ZERO",0))))),"")</f>
        <v>#REF!</v>
      </c>
      <c r="H2618" s="139" t="e">
        <f t="shared" ca="1" si="193"/>
        <v>#REF!</v>
      </c>
      <c r="I2618" s="137" t="e">
        <f t="shared" ca="1" si="194"/>
        <v>#REF!</v>
      </c>
      <c r="J2618" s="117"/>
      <c r="K2618" s="116">
        <v>0</v>
      </c>
      <c r="M2618" s="136" t="e">
        <f ca="1">OFFSET(INDEX([1]Composições!I:R,MATCH([1]Orçamentária!I2618,[1]Composições!I:I,0),8),2,0)</f>
        <v>#REF!</v>
      </c>
      <c r="N2618" t="e">
        <v>#REF!</v>
      </c>
      <c r="Q2618" t="e">
        <v>#REF!</v>
      </c>
    </row>
    <row r="2619" spans="1:17" hidden="1" x14ac:dyDescent="0.25">
      <c r="A2619" s="114" t="s">
        <v>5403</v>
      </c>
      <c r="B2619" s="115" t="s">
        <v>4165</v>
      </c>
      <c r="C2619" s="116" t="s">
        <v>69</v>
      </c>
      <c r="D2619" s="116">
        <v>0</v>
      </c>
      <c r="E2619" s="136">
        <f ca="1">OFFSET(INDEX(Composições!A:J,MATCH(Orçamentária!A2619,Composições!A:A,0),8),2,0)</f>
        <v>62.029490244548761</v>
      </c>
      <c r="F2619" s="137">
        <f t="shared" ca="1" si="192"/>
        <v>0</v>
      </c>
      <c r="G2619" s="138" t="e">
        <f>IF(A2619&lt;&gt;"",IF(AND(#REF!="Padrão",$H$4=#REF!),BDI!$B$17,IF(AND(#REF!="Padrão",$H$4=#REF!),BDI!#REF!,IF(AND(#REF!="Diferenciado",$H$4=#REF!),BDI!$E$17,IF(AND(#REF!="Diferenciado",$H$4=#REF!),BDI!#REF!,IF(#REF!="ZERO",0))))),"")</f>
        <v>#REF!</v>
      </c>
      <c r="H2619" s="139" t="e">
        <f t="shared" ca="1" si="193"/>
        <v>#REF!</v>
      </c>
      <c r="I2619" s="137" t="e">
        <f t="shared" ca="1" si="194"/>
        <v>#REF!</v>
      </c>
      <c r="J2619" s="117"/>
      <c r="K2619" s="116">
        <v>0</v>
      </c>
      <c r="M2619" s="136" t="e">
        <f ca="1">OFFSET(INDEX([1]Composições!I:R,MATCH([1]Orçamentária!I2619,[1]Composições!I:I,0),8),2,0)</f>
        <v>#REF!</v>
      </c>
      <c r="N2619" t="e">
        <v>#REF!</v>
      </c>
      <c r="Q2619" t="e">
        <v>#REF!</v>
      </c>
    </row>
    <row r="2620" spans="1:17" hidden="1" x14ac:dyDescent="0.25">
      <c r="A2620" s="114" t="s">
        <v>5404</v>
      </c>
      <c r="B2620" s="115" t="s">
        <v>4166</v>
      </c>
      <c r="C2620" s="116" t="s">
        <v>16</v>
      </c>
      <c r="D2620" s="116">
        <v>0</v>
      </c>
      <c r="E2620" s="136">
        <f ca="1">OFFSET(INDEX(Composições!A:J,MATCH(Orçamentária!A2620,Composições!A:A,0),8),2,0)</f>
        <v>270.53158652599996</v>
      </c>
      <c r="F2620" s="137">
        <f t="shared" ca="1" si="192"/>
        <v>0</v>
      </c>
      <c r="G2620" s="138" t="e">
        <f>IF(A2620&lt;&gt;"",IF(AND(#REF!="Padrão",$H$4=#REF!),BDI!$B$17,IF(AND(#REF!="Padrão",$H$4=#REF!),BDI!#REF!,IF(AND(#REF!="Diferenciado",$H$4=#REF!),BDI!$E$17,IF(AND(#REF!="Diferenciado",$H$4=#REF!),BDI!#REF!,IF(#REF!="ZERO",0))))),"")</f>
        <v>#REF!</v>
      </c>
      <c r="H2620" s="139" t="e">
        <f t="shared" ca="1" si="193"/>
        <v>#REF!</v>
      </c>
      <c r="I2620" s="137" t="e">
        <f t="shared" ca="1" si="194"/>
        <v>#REF!</v>
      </c>
      <c r="J2620" s="117"/>
      <c r="K2620" s="116">
        <v>0</v>
      </c>
      <c r="M2620" s="136" t="e">
        <f ca="1">OFFSET(INDEX([1]Composições!I:R,MATCH([1]Orçamentária!I2620,[1]Composições!I:I,0),8),2,0)</f>
        <v>#REF!</v>
      </c>
      <c r="N2620" t="e">
        <v>#REF!</v>
      </c>
      <c r="Q2620" t="e">
        <v>#REF!</v>
      </c>
    </row>
    <row r="2621" spans="1:17" ht="25.5" hidden="1" x14ac:dyDescent="0.25">
      <c r="A2621" s="114" t="s">
        <v>5405</v>
      </c>
      <c r="B2621" s="115" t="s">
        <v>4167</v>
      </c>
      <c r="C2621" s="116" t="s">
        <v>16</v>
      </c>
      <c r="D2621" s="116">
        <v>0</v>
      </c>
      <c r="E2621" s="136" t="s">
        <v>416</v>
      </c>
      <c r="F2621" s="137" t="str">
        <f t="shared" si="192"/>
        <v/>
      </c>
      <c r="G2621" s="138" t="e">
        <f>IF(A2621&lt;&gt;"",IF(AND(#REF!="Padrão",$H$4=#REF!),BDI!$B$17,IF(AND(#REF!="Padrão",$H$4=#REF!),BDI!#REF!,IF(AND(#REF!="Diferenciado",$H$4=#REF!),BDI!$E$17,IF(AND(#REF!="Diferenciado",$H$4=#REF!),BDI!#REF!,IF(#REF!="ZERO",0))))),"")</f>
        <v>#REF!</v>
      </c>
      <c r="H2621" s="139" t="str">
        <f t="shared" si="193"/>
        <v/>
      </c>
      <c r="I2621" s="137" t="str">
        <f t="shared" si="194"/>
        <v/>
      </c>
      <c r="J2621" s="117"/>
      <c r="K2621" s="116">
        <v>0</v>
      </c>
      <c r="M2621" s="136" t="s">
        <v>416</v>
      </c>
      <c r="N2621" t="e">
        <v>#REF!</v>
      </c>
      <c r="Q2621" t="s">
        <v>416</v>
      </c>
    </row>
    <row r="2622" spans="1:17" hidden="1" x14ac:dyDescent="0.25">
      <c r="A2622" s="114" t="s">
        <v>5406</v>
      </c>
      <c r="B2622" s="115" t="s">
        <v>4168</v>
      </c>
      <c r="C2622" s="116" t="s">
        <v>16</v>
      </c>
      <c r="D2622" s="116">
        <v>0</v>
      </c>
      <c r="E2622" s="136">
        <f ca="1">OFFSET(INDEX(Composições!A:J,MATCH(Orçamentária!A2622,Composições!A:A,0),8),2,0)</f>
        <v>90.954102000000006</v>
      </c>
      <c r="F2622" s="137">
        <f t="shared" ca="1" si="192"/>
        <v>0</v>
      </c>
      <c r="G2622" s="138" t="e">
        <f>IF(A2622&lt;&gt;"",IF(AND(#REF!="Padrão",$H$4=#REF!),BDI!$B$17,IF(AND(#REF!="Padrão",$H$4=#REF!),BDI!#REF!,IF(AND(#REF!="Diferenciado",$H$4=#REF!),BDI!$E$17,IF(AND(#REF!="Diferenciado",$H$4=#REF!),BDI!#REF!,IF(#REF!="ZERO",0))))),"")</f>
        <v>#REF!</v>
      </c>
      <c r="H2622" s="139" t="e">
        <f t="shared" ca="1" si="193"/>
        <v>#REF!</v>
      </c>
      <c r="I2622" s="137" t="e">
        <f t="shared" ca="1" si="194"/>
        <v>#REF!</v>
      </c>
      <c r="J2622" s="117"/>
      <c r="K2622" s="116">
        <v>0</v>
      </c>
      <c r="M2622" s="136" t="e">
        <f ca="1">OFFSET(INDEX([1]Composições!I:R,MATCH([1]Orçamentária!I2622,[1]Composições!I:I,0),8),2,0)</f>
        <v>#REF!</v>
      </c>
      <c r="N2622" t="e">
        <v>#REF!</v>
      </c>
      <c r="Q2622" t="e">
        <v>#REF!</v>
      </c>
    </row>
    <row r="2623" spans="1:17" hidden="1" x14ac:dyDescent="0.25">
      <c r="A2623" s="114" t="s">
        <v>5407</v>
      </c>
      <c r="B2623" s="115" t="s">
        <v>4169</v>
      </c>
      <c r="C2623" s="116" t="s">
        <v>16</v>
      </c>
      <c r="D2623" s="116">
        <v>0</v>
      </c>
      <c r="E2623" s="136">
        <f ca="1">OFFSET(INDEX(Composições!A:J,MATCH(Orçamentária!A2623,Composições!A:A,0),8),2,0)</f>
        <v>12.354749999999999</v>
      </c>
      <c r="F2623" s="137">
        <f t="shared" ca="1" si="192"/>
        <v>0</v>
      </c>
      <c r="G2623" s="138" t="e">
        <f>IF(A2623&lt;&gt;"",IF(AND(#REF!="Padrão",$H$4=#REF!),BDI!$B$17,IF(AND(#REF!="Padrão",$H$4=#REF!),BDI!#REF!,IF(AND(#REF!="Diferenciado",$H$4=#REF!),BDI!$E$17,IF(AND(#REF!="Diferenciado",$H$4=#REF!),BDI!#REF!,IF(#REF!="ZERO",0))))),"")</f>
        <v>#REF!</v>
      </c>
      <c r="H2623" s="139" t="e">
        <f t="shared" ca="1" si="193"/>
        <v>#REF!</v>
      </c>
      <c r="I2623" s="137" t="e">
        <f t="shared" ca="1" si="194"/>
        <v>#REF!</v>
      </c>
      <c r="J2623" s="117"/>
      <c r="K2623" s="116">
        <v>0</v>
      </c>
      <c r="M2623" s="136" t="e">
        <f ca="1">OFFSET(INDEX([1]Composições!I:R,MATCH([1]Orçamentária!I2623,[1]Composições!I:I,0),8),2,0)</f>
        <v>#REF!</v>
      </c>
      <c r="N2623" t="e">
        <v>#REF!</v>
      </c>
      <c r="Q2623" t="e">
        <v>#REF!</v>
      </c>
    </row>
    <row r="2624" spans="1:17" hidden="1" x14ac:dyDescent="0.25">
      <c r="A2624" s="114" t="s">
        <v>5618</v>
      </c>
      <c r="B2624" s="115" t="s">
        <v>5619</v>
      </c>
      <c r="C2624" s="116" t="s">
        <v>16</v>
      </c>
      <c r="D2624" s="116">
        <v>0</v>
      </c>
      <c r="E2624" s="136" t="s">
        <v>416</v>
      </c>
      <c r="F2624" s="137" t="str">
        <f t="shared" ref="F2624:F2681" si="195">IF(ISNUMBER(E2624),D2624*E2624,"")</f>
        <v/>
      </c>
      <c r="G2624" s="138" t="e">
        <f>IF(A2624&lt;&gt;"",IF(AND(#REF!="Padrão",$H$4=#REF!),BDI!$B$17,IF(AND(#REF!="Padrão",$H$4=#REF!),BDI!#REF!,IF(AND(#REF!="Diferenciado",$H$4=#REF!),BDI!$E$17,IF(AND(#REF!="Diferenciado",$H$4=#REF!),BDI!#REF!,IF(#REF!="ZERO",0))))),"")</f>
        <v>#REF!</v>
      </c>
      <c r="H2624" s="139" t="str">
        <f t="shared" ref="H2624:H2681" si="196">IF(ISNUMBER(E2624),ROUND(E2624*(1+G2624),2),"")</f>
        <v/>
      </c>
      <c r="I2624" s="137" t="str">
        <f t="shared" ref="I2624:I2681" si="197">IF(ISNUMBER(E2624),ROUND(H2624*D2624,2),"")</f>
        <v/>
      </c>
      <c r="J2624" s="117"/>
      <c r="K2624" s="116">
        <v>0</v>
      </c>
      <c r="M2624" s="136" t="s">
        <v>416</v>
      </c>
      <c r="N2624" t="e">
        <v>#REF!</v>
      </c>
      <c r="Q2624" t="s">
        <v>416</v>
      </c>
    </row>
    <row r="2625" spans="1:17" hidden="1" x14ac:dyDescent="0.25">
      <c r="A2625" s="114" t="s">
        <v>5620</v>
      </c>
      <c r="B2625" s="115" t="s">
        <v>5621</v>
      </c>
      <c r="C2625" s="116" t="s">
        <v>16</v>
      </c>
      <c r="D2625" s="116">
        <v>0</v>
      </c>
      <c r="E2625" s="136" t="s">
        <v>416</v>
      </c>
      <c r="F2625" s="137" t="str">
        <f t="shared" si="195"/>
        <v/>
      </c>
      <c r="G2625" s="138" t="e">
        <f>IF(A2625&lt;&gt;"",IF(AND(#REF!="Padrão",$H$4=#REF!),BDI!$B$17,IF(AND(#REF!="Padrão",$H$4=#REF!),BDI!#REF!,IF(AND(#REF!="Diferenciado",$H$4=#REF!),BDI!$E$17,IF(AND(#REF!="Diferenciado",$H$4=#REF!),BDI!#REF!,IF(#REF!="ZERO",0))))),"")</f>
        <v>#REF!</v>
      </c>
      <c r="H2625" s="139" t="str">
        <f t="shared" si="196"/>
        <v/>
      </c>
      <c r="I2625" s="137" t="str">
        <f t="shared" si="197"/>
        <v/>
      </c>
      <c r="J2625" s="117"/>
      <c r="K2625" s="116">
        <v>0</v>
      </c>
      <c r="M2625" s="136" t="s">
        <v>416</v>
      </c>
      <c r="N2625" t="e">
        <v>#REF!</v>
      </c>
      <c r="Q2625" t="s">
        <v>416</v>
      </c>
    </row>
    <row r="2626" spans="1:17" hidden="1" x14ac:dyDescent="0.25">
      <c r="A2626" s="114" t="s">
        <v>5622</v>
      </c>
      <c r="B2626" s="115" t="s">
        <v>5623</v>
      </c>
      <c r="C2626" s="116" t="s">
        <v>16</v>
      </c>
      <c r="D2626" s="116">
        <v>0</v>
      </c>
      <c r="E2626" s="136" t="s">
        <v>416</v>
      </c>
      <c r="F2626" s="137" t="str">
        <f t="shared" si="195"/>
        <v/>
      </c>
      <c r="G2626" s="138" t="e">
        <f>IF(A2626&lt;&gt;"",IF(AND(#REF!="Padrão",$H$4=#REF!),BDI!$B$17,IF(AND(#REF!="Padrão",$H$4=#REF!),BDI!#REF!,IF(AND(#REF!="Diferenciado",$H$4=#REF!),BDI!$E$17,IF(AND(#REF!="Diferenciado",$H$4=#REF!),BDI!#REF!,IF(#REF!="ZERO",0))))),"")</f>
        <v>#REF!</v>
      </c>
      <c r="H2626" s="139" t="str">
        <f t="shared" si="196"/>
        <v/>
      </c>
      <c r="I2626" s="137" t="str">
        <f t="shared" si="197"/>
        <v/>
      </c>
      <c r="J2626" s="117"/>
      <c r="K2626" s="116">
        <v>0</v>
      </c>
      <c r="M2626" s="136" t="s">
        <v>416</v>
      </c>
      <c r="N2626" t="e">
        <v>#REF!</v>
      </c>
      <c r="Q2626" t="s">
        <v>416</v>
      </c>
    </row>
    <row r="2627" spans="1:17" hidden="1" x14ac:dyDescent="0.25">
      <c r="A2627" s="114" t="s">
        <v>5624</v>
      </c>
      <c r="B2627" s="115" t="s">
        <v>5625</v>
      </c>
      <c r="C2627" s="116" t="s">
        <v>16</v>
      </c>
      <c r="D2627" s="116">
        <v>0</v>
      </c>
      <c r="E2627" s="136" t="s">
        <v>416</v>
      </c>
      <c r="F2627" s="137" t="str">
        <f t="shared" si="195"/>
        <v/>
      </c>
      <c r="G2627" s="138" t="e">
        <f>IF(A2627&lt;&gt;"",IF(AND(#REF!="Padrão",$H$4=#REF!),BDI!$B$17,IF(AND(#REF!="Padrão",$H$4=#REF!),BDI!#REF!,IF(AND(#REF!="Diferenciado",$H$4=#REF!),BDI!$E$17,IF(AND(#REF!="Diferenciado",$H$4=#REF!),BDI!#REF!,IF(#REF!="ZERO",0))))),"")</f>
        <v>#REF!</v>
      </c>
      <c r="H2627" s="139" t="str">
        <f t="shared" si="196"/>
        <v/>
      </c>
      <c r="I2627" s="137" t="str">
        <f t="shared" si="197"/>
        <v/>
      </c>
      <c r="J2627" s="117"/>
      <c r="K2627" s="116">
        <v>0</v>
      </c>
      <c r="M2627" s="136" t="s">
        <v>416</v>
      </c>
      <c r="N2627" t="e">
        <v>#REF!</v>
      </c>
      <c r="Q2627" t="s">
        <v>416</v>
      </c>
    </row>
    <row r="2628" spans="1:17" hidden="1" x14ac:dyDescent="0.25">
      <c r="A2628" s="114" t="s">
        <v>5626</v>
      </c>
      <c r="B2628" s="115" t="s">
        <v>5627</v>
      </c>
      <c r="C2628" s="116" t="s">
        <v>16</v>
      </c>
      <c r="D2628" s="116">
        <v>0</v>
      </c>
      <c r="E2628" s="136" t="s">
        <v>416</v>
      </c>
      <c r="F2628" s="137" t="str">
        <f t="shared" si="195"/>
        <v/>
      </c>
      <c r="G2628" s="138" t="e">
        <f>IF(A2628&lt;&gt;"",IF(AND(#REF!="Padrão",$H$4=#REF!),BDI!$B$17,IF(AND(#REF!="Padrão",$H$4=#REF!),BDI!#REF!,IF(AND(#REF!="Diferenciado",$H$4=#REF!),BDI!$E$17,IF(AND(#REF!="Diferenciado",$H$4=#REF!),BDI!#REF!,IF(#REF!="ZERO",0))))),"")</f>
        <v>#REF!</v>
      </c>
      <c r="H2628" s="139" t="str">
        <f t="shared" si="196"/>
        <v/>
      </c>
      <c r="I2628" s="137" t="str">
        <f t="shared" si="197"/>
        <v/>
      </c>
      <c r="J2628" s="117"/>
      <c r="K2628" s="116">
        <v>0</v>
      </c>
      <c r="M2628" s="136" t="s">
        <v>416</v>
      </c>
      <c r="N2628" t="e">
        <v>#REF!</v>
      </c>
      <c r="Q2628" t="s">
        <v>416</v>
      </c>
    </row>
    <row r="2629" spans="1:17" hidden="1" x14ac:dyDescent="0.25">
      <c r="A2629" s="114" t="s">
        <v>5628</v>
      </c>
      <c r="B2629" s="115" t="s">
        <v>5629</v>
      </c>
      <c r="C2629" s="116" t="s">
        <v>16</v>
      </c>
      <c r="D2629" s="116">
        <v>0</v>
      </c>
      <c r="E2629" s="136" t="s">
        <v>416</v>
      </c>
      <c r="F2629" s="137" t="str">
        <f t="shared" si="195"/>
        <v/>
      </c>
      <c r="G2629" s="138" t="e">
        <f>IF(A2629&lt;&gt;"",IF(AND(#REF!="Padrão",$H$4=#REF!),BDI!$B$17,IF(AND(#REF!="Padrão",$H$4=#REF!),BDI!#REF!,IF(AND(#REF!="Diferenciado",$H$4=#REF!),BDI!$E$17,IF(AND(#REF!="Diferenciado",$H$4=#REF!),BDI!#REF!,IF(#REF!="ZERO",0))))),"")</f>
        <v>#REF!</v>
      </c>
      <c r="H2629" s="139" t="str">
        <f t="shared" si="196"/>
        <v/>
      </c>
      <c r="I2629" s="137" t="str">
        <f t="shared" si="197"/>
        <v/>
      </c>
      <c r="J2629" s="117"/>
      <c r="K2629" s="116">
        <v>0</v>
      </c>
      <c r="M2629" s="136" t="s">
        <v>416</v>
      </c>
      <c r="N2629" t="e">
        <v>#REF!</v>
      </c>
      <c r="Q2629" t="s">
        <v>416</v>
      </c>
    </row>
    <row r="2630" spans="1:17" hidden="1" x14ac:dyDescent="0.25">
      <c r="A2630" s="114" t="s">
        <v>5630</v>
      </c>
      <c r="B2630" s="115" t="s">
        <v>5631</v>
      </c>
      <c r="C2630" s="116" t="s">
        <v>16</v>
      </c>
      <c r="D2630" s="116">
        <v>0</v>
      </c>
      <c r="E2630" s="136" t="s">
        <v>416</v>
      </c>
      <c r="F2630" s="137" t="str">
        <f t="shared" si="195"/>
        <v/>
      </c>
      <c r="G2630" s="138" t="e">
        <f>IF(A2630&lt;&gt;"",IF(AND(#REF!="Padrão",$H$4=#REF!),BDI!$B$17,IF(AND(#REF!="Padrão",$H$4=#REF!),BDI!#REF!,IF(AND(#REF!="Diferenciado",$H$4=#REF!),BDI!$E$17,IF(AND(#REF!="Diferenciado",$H$4=#REF!),BDI!#REF!,IF(#REF!="ZERO",0))))),"")</f>
        <v>#REF!</v>
      </c>
      <c r="H2630" s="139" t="str">
        <f t="shared" si="196"/>
        <v/>
      </c>
      <c r="I2630" s="137" t="str">
        <f t="shared" si="197"/>
        <v/>
      </c>
      <c r="J2630" s="117"/>
      <c r="K2630" s="116">
        <v>0</v>
      </c>
      <c r="M2630" s="136" t="s">
        <v>416</v>
      </c>
      <c r="N2630" t="e">
        <v>#REF!</v>
      </c>
      <c r="Q2630" t="s">
        <v>416</v>
      </c>
    </row>
    <row r="2631" spans="1:17" hidden="1" x14ac:dyDescent="0.25">
      <c r="A2631" s="114" t="s">
        <v>5632</v>
      </c>
      <c r="B2631" s="115" t="s">
        <v>5633</v>
      </c>
      <c r="C2631" s="116" t="s">
        <v>16</v>
      </c>
      <c r="D2631" s="116">
        <v>0</v>
      </c>
      <c r="E2631" s="136" t="s">
        <v>416</v>
      </c>
      <c r="F2631" s="137" t="str">
        <f t="shared" si="195"/>
        <v/>
      </c>
      <c r="G2631" s="138" t="e">
        <f>IF(A2631&lt;&gt;"",IF(AND(#REF!="Padrão",$H$4=#REF!),BDI!$B$17,IF(AND(#REF!="Padrão",$H$4=#REF!),BDI!#REF!,IF(AND(#REF!="Diferenciado",$H$4=#REF!),BDI!$E$17,IF(AND(#REF!="Diferenciado",$H$4=#REF!),BDI!#REF!,IF(#REF!="ZERO",0))))),"")</f>
        <v>#REF!</v>
      </c>
      <c r="H2631" s="139" t="str">
        <f t="shared" si="196"/>
        <v/>
      </c>
      <c r="I2631" s="137" t="str">
        <f t="shared" si="197"/>
        <v/>
      </c>
      <c r="J2631" s="117"/>
      <c r="K2631" s="116">
        <v>0</v>
      </c>
      <c r="M2631" s="136" t="s">
        <v>416</v>
      </c>
      <c r="N2631" t="e">
        <v>#REF!</v>
      </c>
      <c r="Q2631" t="s">
        <v>416</v>
      </c>
    </row>
    <row r="2632" spans="1:17" hidden="1" x14ac:dyDescent="0.25">
      <c r="A2632" s="114" t="s">
        <v>5634</v>
      </c>
      <c r="B2632" s="115" t="s">
        <v>5635</v>
      </c>
      <c r="C2632" s="116" t="s">
        <v>16</v>
      </c>
      <c r="D2632" s="116">
        <v>0</v>
      </c>
      <c r="E2632" s="136" t="s">
        <v>416</v>
      </c>
      <c r="F2632" s="137" t="str">
        <f t="shared" si="195"/>
        <v/>
      </c>
      <c r="G2632" s="138" t="e">
        <f>IF(A2632&lt;&gt;"",IF(AND(#REF!="Padrão",$H$4=#REF!),BDI!$B$17,IF(AND(#REF!="Padrão",$H$4=#REF!),BDI!#REF!,IF(AND(#REF!="Diferenciado",$H$4=#REF!),BDI!$E$17,IF(AND(#REF!="Diferenciado",$H$4=#REF!),BDI!#REF!,IF(#REF!="ZERO",0))))),"")</f>
        <v>#REF!</v>
      </c>
      <c r="H2632" s="139" t="str">
        <f t="shared" si="196"/>
        <v/>
      </c>
      <c r="I2632" s="137" t="str">
        <f t="shared" si="197"/>
        <v/>
      </c>
      <c r="J2632" s="117"/>
      <c r="K2632" s="116">
        <v>0</v>
      </c>
      <c r="M2632" s="136" t="s">
        <v>416</v>
      </c>
      <c r="N2632" t="e">
        <v>#REF!</v>
      </c>
      <c r="Q2632" t="s">
        <v>416</v>
      </c>
    </row>
    <row r="2633" spans="1:17" ht="25.5" hidden="1" x14ac:dyDescent="0.25">
      <c r="A2633" s="114" t="s">
        <v>5636</v>
      </c>
      <c r="B2633" s="115" t="s">
        <v>5637</v>
      </c>
      <c r="C2633" s="116" t="s">
        <v>16</v>
      </c>
      <c r="D2633" s="116">
        <v>0</v>
      </c>
      <c r="E2633" s="136" t="s">
        <v>416</v>
      </c>
      <c r="F2633" s="137" t="str">
        <f t="shared" si="195"/>
        <v/>
      </c>
      <c r="G2633" s="138" t="e">
        <f>IF(A2633&lt;&gt;"",IF(AND(#REF!="Padrão",$H$4=#REF!),BDI!$B$17,IF(AND(#REF!="Padrão",$H$4=#REF!),BDI!#REF!,IF(AND(#REF!="Diferenciado",$H$4=#REF!),BDI!$E$17,IF(AND(#REF!="Diferenciado",$H$4=#REF!),BDI!#REF!,IF(#REF!="ZERO",0))))),"")</f>
        <v>#REF!</v>
      </c>
      <c r="H2633" s="139" t="str">
        <f t="shared" si="196"/>
        <v/>
      </c>
      <c r="I2633" s="137" t="str">
        <f t="shared" si="197"/>
        <v/>
      </c>
      <c r="J2633" s="117"/>
      <c r="K2633" s="116">
        <v>0</v>
      </c>
      <c r="M2633" s="136" t="s">
        <v>416</v>
      </c>
      <c r="N2633" t="e">
        <v>#REF!</v>
      </c>
      <c r="Q2633" t="s">
        <v>416</v>
      </c>
    </row>
    <row r="2634" spans="1:17" ht="25.5" hidden="1" x14ac:dyDescent="0.25">
      <c r="A2634" s="114" t="s">
        <v>5638</v>
      </c>
      <c r="B2634" s="115" t="s">
        <v>5639</v>
      </c>
      <c r="C2634" s="116" t="s">
        <v>16</v>
      </c>
      <c r="D2634" s="116">
        <v>0</v>
      </c>
      <c r="E2634" s="136" t="s">
        <v>416</v>
      </c>
      <c r="F2634" s="137" t="str">
        <f t="shared" si="195"/>
        <v/>
      </c>
      <c r="G2634" s="138" t="e">
        <f>IF(A2634&lt;&gt;"",IF(AND(#REF!="Padrão",$H$4=#REF!),BDI!$B$17,IF(AND(#REF!="Padrão",$H$4=#REF!),BDI!#REF!,IF(AND(#REF!="Diferenciado",$H$4=#REF!),BDI!$E$17,IF(AND(#REF!="Diferenciado",$H$4=#REF!),BDI!#REF!,IF(#REF!="ZERO",0))))),"")</f>
        <v>#REF!</v>
      </c>
      <c r="H2634" s="139" t="str">
        <f t="shared" si="196"/>
        <v/>
      </c>
      <c r="I2634" s="137" t="str">
        <f t="shared" si="197"/>
        <v/>
      </c>
      <c r="J2634" s="117"/>
      <c r="K2634" s="116">
        <v>0</v>
      </c>
      <c r="M2634" s="136" t="s">
        <v>416</v>
      </c>
      <c r="N2634" t="e">
        <v>#REF!</v>
      </c>
      <c r="Q2634" t="s">
        <v>416</v>
      </c>
    </row>
    <row r="2635" spans="1:17" ht="25.5" hidden="1" x14ac:dyDescent="0.25">
      <c r="A2635" s="114" t="s">
        <v>5640</v>
      </c>
      <c r="B2635" s="115" t="s">
        <v>5641</v>
      </c>
      <c r="C2635" s="116" t="s">
        <v>16</v>
      </c>
      <c r="D2635" s="116">
        <v>0</v>
      </c>
      <c r="E2635" s="136" t="s">
        <v>416</v>
      </c>
      <c r="F2635" s="137" t="str">
        <f t="shared" si="195"/>
        <v/>
      </c>
      <c r="G2635" s="138" t="e">
        <f>IF(A2635&lt;&gt;"",IF(AND(#REF!="Padrão",$H$4=#REF!),BDI!$B$17,IF(AND(#REF!="Padrão",$H$4=#REF!),BDI!#REF!,IF(AND(#REF!="Diferenciado",$H$4=#REF!),BDI!$E$17,IF(AND(#REF!="Diferenciado",$H$4=#REF!),BDI!#REF!,IF(#REF!="ZERO",0))))),"")</f>
        <v>#REF!</v>
      </c>
      <c r="H2635" s="139" t="str">
        <f t="shared" si="196"/>
        <v/>
      </c>
      <c r="I2635" s="137" t="str">
        <f t="shared" si="197"/>
        <v/>
      </c>
      <c r="J2635" s="117"/>
      <c r="K2635" s="116">
        <v>0</v>
      </c>
      <c r="M2635" s="136" t="s">
        <v>416</v>
      </c>
      <c r="N2635" t="e">
        <v>#REF!</v>
      </c>
      <c r="Q2635" t="s">
        <v>416</v>
      </c>
    </row>
    <row r="2636" spans="1:17" hidden="1" x14ac:dyDescent="0.25">
      <c r="A2636" s="114" t="s">
        <v>5642</v>
      </c>
      <c r="B2636" s="115" t="s">
        <v>5643</v>
      </c>
      <c r="C2636" s="116" t="s">
        <v>16</v>
      </c>
      <c r="D2636" s="116">
        <v>0</v>
      </c>
      <c r="E2636" s="136" t="s">
        <v>416</v>
      </c>
      <c r="F2636" s="137" t="str">
        <f t="shared" si="195"/>
        <v/>
      </c>
      <c r="G2636" s="138" t="e">
        <f>IF(A2636&lt;&gt;"",IF(AND(#REF!="Padrão",$H$4=#REF!),BDI!$B$17,IF(AND(#REF!="Padrão",$H$4=#REF!),BDI!#REF!,IF(AND(#REF!="Diferenciado",$H$4=#REF!),BDI!$E$17,IF(AND(#REF!="Diferenciado",$H$4=#REF!),BDI!#REF!,IF(#REF!="ZERO",0))))),"")</f>
        <v>#REF!</v>
      </c>
      <c r="H2636" s="139" t="str">
        <f t="shared" si="196"/>
        <v/>
      </c>
      <c r="I2636" s="137" t="str">
        <f t="shared" si="197"/>
        <v/>
      </c>
      <c r="J2636" s="117"/>
      <c r="K2636" s="116">
        <v>0</v>
      </c>
      <c r="M2636" s="136" t="s">
        <v>416</v>
      </c>
      <c r="N2636" t="e">
        <v>#REF!</v>
      </c>
      <c r="Q2636" t="s">
        <v>416</v>
      </c>
    </row>
    <row r="2637" spans="1:17" hidden="1" x14ac:dyDescent="0.25">
      <c r="A2637" s="114" t="s">
        <v>5644</v>
      </c>
      <c r="B2637" s="115" t="s">
        <v>5645</v>
      </c>
      <c r="C2637" s="116" t="s">
        <v>16</v>
      </c>
      <c r="D2637" s="116">
        <v>0</v>
      </c>
      <c r="E2637" s="136" t="s">
        <v>416</v>
      </c>
      <c r="F2637" s="137" t="str">
        <f t="shared" si="195"/>
        <v/>
      </c>
      <c r="G2637" s="138" t="e">
        <f>IF(A2637&lt;&gt;"",IF(AND(#REF!="Padrão",$H$4=#REF!),BDI!$B$17,IF(AND(#REF!="Padrão",$H$4=#REF!),BDI!#REF!,IF(AND(#REF!="Diferenciado",$H$4=#REF!),BDI!$E$17,IF(AND(#REF!="Diferenciado",$H$4=#REF!),BDI!#REF!,IF(#REF!="ZERO",0))))),"")</f>
        <v>#REF!</v>
      </c>
      <c r="H2637" s="139" t="str">
        <f t="shared" si="196"/>
        <v/>
      </c>
      <c r="I2637" s="137" t="str">
        <f t="shared" si="197"/>
        <v/>
      </c>
      <c r="J2637" s="117"/>
      <c r="K2637" s="116">
        <v>0</v>
      </c>
      <c r="M2637" s="136" t="s">
        <v>416</v>
      </c>
      <c r="N2637" t="e">
        <v>#REF!</v>
      </c>
      <c r="Q2637" t="s">
        <v>416</v>
      </c>
    </row>
    <row r="2638" spans="1:17" hidden="1" x14ac:dyDescent="0.25">
      <c r="A2638" s="114" t="s">
        <v>5646</v>
      </c>
      <c r="B2638" s="115" t="s">
        <v>5647</v>
      </c>
      <c r="C2638" s="116" t="s">
        <v>28</v>
      </c>
      <c r="D2638" s="116">
        <v>0</v>
      </c>
      <c r="E2638" s="136" t="s">
        <v>416</v>
      </c>
      <c r="F2638" s="137" t="str">
        <f t="shared" si="195"/>
        <v/>
      </c>
      <c r="G2638" s="138" t="e">
        <f>IF(A2638&lt;&gt;"",IF(AND(#REF!="Padrão",$H$4=#REF!),BDI!$B$17,IF(AND(#REF!="Padrão",$H$4=#REF!),BDI!#REF!,IF(AND(#REF!="Diferenciado",$H$4=#REF!),BDI!$E$17,IF(AND(#REF!="Diferenciado",$H$4=#REF!),BDI!#REF!,IF(#REF!="ZERO",0))))),"")</f>
        <v>#REF!</v>
      </c>
      <c r="H2638" s="139" t="str">
        <f t="shared" si="196"/>
        <v/>
      </c>
      <c r="I2638" s="137" t="str">
        <f t="shared" si="197"/>
        <v/>
      </c>
      <c r="J2638" s="117"/>
      <c r="K2638" s="116">
        <v>0</v>
      </c>
      <c r="M2638" s="136" t="s">
        <v>416</v>
      </c>
      <c r="N2638" t="e">
        <v>#REF!</v>
      </c>
      <c r="Q2638" t="s">
        <v>416</v>
      </c>
    </row>
    <row r="2639" spans="1:17" ht="25.5" hidden="1" x14ac:dyDescent="0.25">
      <c r="A2639" s="114" t="s">
        <v>5648</v>
      </c>
      <c r="B2639" s="115" t="s">
        <v>5649</v>
      </c>
      <c r="C2639" s="116" t="s">
        <v>16</v>
      </c>
      <c r="D2639" s="116">
        <v>0</v>
      </c>
      <c r="E2639" s="136" t="s">
        <v>416</v>
      </c>
      <c r="F2639" s="137" t="str">
        <f t="shared" si="195"/>
        <v/>
      </c>
      <c r="G2639" s="138" t="e">
        <f>IF(A2639&lt;&gt;"",IF(AND(#REF!="Padrão",$H$4=#REF!),BDI!$B$17,IF(AND(#REF!="Padrão",$H$4=#REF!),BDI!#REF!,IF(AND(#REF!="Diferenciado",$H$4=#REF!),BDI!$E$17,IF(AND(#REF!="Diferenciado",$H$4=#REF!),BDI!#REF!,IF(#REF!="ZERO",0))))),"")</f>
        <v>#REF!</v>
      </c>
      <c r="H2639" s="139" t="str">
        <f t="shared" si="196"/>
        <v/>
      </c>
      <c r="I2639" s="137" t="str">
        <f t="shared" si="197"/>
        <v/>
      </c>
      <c r="J2639" s="117"/>
      <c r="K2639" s="116">
        <v>0</v>
      </c>
      <c r="M2639" s="136" t="s">
        <v>416</v>
      </c>
      <c r="N2639" t="e">
        <v>#REF!</v>
      </c>
      <c r="Q2639" t="s">
        <v>416</v>
      </c>
    </row>
    <row r="2640" spans="1:17" ht="25.5" hidden="1" x14ac:dyDescent="0.25">
      <c r="A2640" s="114" t="s">
        <v>5650</v>
      </c>
      <c r="B2640" s="115" t="s">
        <v>5651</v>
      </c>
      <c r="C2640" s="116" t="s">
        <v>16</v>
      </c>
      <c r="D2640" s="116">
        <v>0</v>
      </c>
      <c r="E2640" s="136" t="s">
        <v>416</v>
      </c>
      <c r="F2640" s="137" t="str">
        <f t="shared" si="195"/>
        <v/>
      </c>
      <c r="G2640" s="138" t="e">
        <f>IF(A2640&lt;&gt;"",IF(AND(#REF!="Padrão",$H$4=#REF!),BDI!$B$17,IF(AND(#REF!="Padrão",$H$4=#REF!),BDI!#REF!,IF(AND(#REF!="Diferenciado",$H$4=#REF!),BDI!$E$17,IF(AND(#REF!="Diferenciado",$H$4=#REF!),BDI!#REF!,IF(#REF!="ZERO",0))))),"")</f>
        <v>#REF!</v>
      </c>
      <c r="H2640" s="139" t="str">
        <f t="shared" si="196"/>
        <v/>
      </c>
      <c r="I2640" s="137" t="str">
        <f t="shared" si="197"/>
        <v/>
      </c>
      <c r="J2640" s="117"/>
      <c r="K2640" s="116">
        <v>0</v>
      </c>
      <c r="M2640" s="136" t="s">
        <v>416</v>
      </c>
      <c r="N2640" t="e">
        <v>#REF!</v>
      </c>
      <c r="Q2640" t="s">
        <v>416</v>
      </c>
    </row>
    <row r="2641" spans="1:17" hidden="1" x14ac:dyDescent="0.25">
      <c r="A2641" s="114" t="s">
        <v>5652</v>
      </c>
      <c r="B2641" s="115" t="s">
        <v>5653</v>
      </c>
      <c r="C2641" s="116" t="s">
        <v>16</v>
      </c>
      <c r="D2641" s="116">
        <v>0</v>
      </c>
      <c r="E2641" s="136" t="s">
        <v>416</v>
      </c>
      <c r="F2641" s="137" t="str">
        <f t="shared" si="195"/>
        <v/>
      </c>
      <c r="G2641" s="138" t="e">
        <f>IF(A2641&lt;&gt;"",IF(AND(#REF!="Padrão",$H$4=#REF!),BDI!$B$17,IF(AND(#REF!="Padrão",$H$4=#REF!),BDI!#REF!,IF(AND(#REF!="Diferenciado",$H$4=#REF!),BDI!$E$17,IF(AND(#REF!="Diferenciado",$H$4=#REF!),BDI!#REF!,IF(#REF!="ZERO",0))))),"")</f>
        <v>#REF!</v>
      </c>
      <c r="H2641" s="139" t="str">
        <f t="shared" si="196"/>
        <v/>
      </c>
      <c r="I2641" s="137" t="str">
        <f t="shared" si="197"/>
        <v/>
      </c>
      <c r="J2641" s="117"/>
      <c r="K2641" s="116">
        <v>0</v>
      </c>
      <c r="M2641" s="136" t="s">
        <v>416</v>
      </c>
      <c r="N2641" t="e">
        <v>#REF!</v>
      </c>
      <c r="Q2641" t="s">
        <v>416</v>
      </c>
    </row>
    <row r="2642" spans="1:17" hidden="1" x14ac:dyDescent="0.25">
      <c r="A2642" s="114" t="s">
        <v>5654</v>
      </c>
      <c r="B2642" s="115" t="s">
        <v>5655</v>
      </c>
      <c r="C2642" s="116" t="s">
        <v>16</v>
      </c>
      <c r="D2642" s="116">
        <v>0</v>
      </c>
      <c r="E2642" s="136" t="s">
        <v>416</v>
      </c>
      <c r="F2642" s="137" t="str">
        <f t="shared" si="195"/>
        <v/>
      </c>
      <c r="G2642" s="138" t="e">
        <f>IF(A2642&lt;&gt;"",IF(AND(#REF!="Padrão",$H$4=#REF!),BDI!$B$17,IF(AND(#REF!="Padrão",$H$4=#REF!),BDI!#REF!,IF(AND(#REF!="Diferenciado",$H$4=#REF!),BDI!$E$17,IF(AND(#REF!="Diferenciado",$H$4=#REF!),BDI!#REF!,IF(#REF!="ZERO",0))))),"")</f>
        <v>#REF!</v>
      </c>
      <c r="H2642" s="139" t="str">
        <f t="shared" si="196"/>
        <v/>
      </c>
      <c r="I2642" s="137" t="str">
        <f t="shared" si="197"/>
        <v/>
      </c>
      <c r="J2642" s="117"/>
      <c r="K2642" s="116">
        <v>0</v>
      </c>
      <c r="M2642" s="136" t="s">
        <v>416</v>
      </c>
      <c r="N2642" t="e">
        <v>#REF!</v>
      </c>
      <c r="Q2642" t="s">
        <v>416</v>
      </c>
    </row>
    <row r="2643" spans="1:17" hidden="1" x14ac:dyDescent="0.25">
      <c r="A2643" s="114" t="s">
        <v>5656</v>
      </c>
      <c r="B2643" s="115" t="s">
        <v>5657</v>
      </c>
      <c r="C2643" s="116" t="s">
        <v>16</v>
      </c>
      <c r="D2643" s="116">
        <v>0</v>
      </c>
      <c r="E2643" s="136" t="s">
        <v>416</v>
      </c>
      <c r="F2643" s="137" t="str">
        <f t="shared" si="195"/>
        <v/>
      </c>
      <c r="G2643" s="138" t="e">
        <f>IF(A2643&lt;&gt;"",IF(AND(#REF!="Padrão",$H$4=#REF!),BDI!$B$17,IF(AND(#REF!="Padrão",$H$4=#REF!),BDI!#REF!,IF(AND(#REF!="Diferenciado",$H$4=#REF!),BDI!$E$17,IF(AND(#REF!="Diferenciado",$H$4=#REF!),BDI!#REF!,IF(#REF!="ZERO",0))))),"")</f>
        <v>#REF!</v>
      </c>
      <c r="H2643" s="139" t="str">
        <f t="shared" si="196"/>
        <v/>
      </c>
      <c r="I2643" s="137" t="str">
        <f t="shared" si="197"/>
        <v/>
      </c>
      <c r="J2643" s="117"/>
      <c r="K2643" s="116">
        <v>0</v>
      </c>
      <c r="M2643" s="136" t="s">
        <v>416</v>
      </c>
      <c r="N2643" t="e">
        <v>#REF!</v>
      </c>
      <c r="Q2643" t="s">
        <v>416</v>
      </c>
    </row>
    <row r="2644" spans="1:17" hidden="1" x14ac:dyDescent="0.25">
      <c r="A2644" s="114" t="s">
        <v>5658</v>
      </c>
      <c r="B2644" s="115" t="s">
        <v>5659</v>
      </c>
      <c r="C2644" s="116" t="s">
        <v>16</v>
      </c>
      <c r="D2644" s="116">
        <v>0</v>
      </c>
      <c r="E2644" s="136" t="s">
        <v>416</v>
      </c>
      <c r="F2644" s="137" t="str">
        <f t="shared" si="195"/>
        <v/>
      </c>
      <c r="G2644" s="138" t="e">
        <f>IF(A2644&lt;&gt;"",IF(AND(#REF!="Padrão",$H$4=#REF!),BDI!$B$17,IF(AND(#REF!="Padrão",$H$4=#REF!),BDI!#REF!,IF(AND(#REF!="Diferenciado",$H$4=#REF!),BDI!$E$17,IF(AND(#REF!="Diferenciado",$H$4=#REF!),BDI!#REF!,IF(#REF!="ZERO",0))))),"")</f>
        <v>#REF!</v>
      </c>
      <c r="H2644" s="139" t="str">
        <f t="shared" si="196"/>
        <v/>
      </c>
      <c r="I2644" s="137" t="str">
        <f t="shared" si="197"/>
        <v/>
      </c>
      <c r="J2644" s="117"/>
      <c r="K2644" s="116">
        <v>0</v>
      </c>
      <c r="M2644" s="136" t="s">
        <v>416</v>
      </c>
      <c r="N2644" t="e">
        <v>#REF!</v>
      </c>
      <c r="Q2644" t="s">
        <v>416</v>
      </c>
    </row>
    <row r="2645" spans="1:17" hidden="1" x14ac:dyDescent="0.25">
      <c r="A2645" s="114" t="s">
        <v>5660</v>
      </c>
      <c r="B2645" s="115" t="s">
        <v>5661</v>
      </c>
      <c r="C2645" s="116" t="s">
        <v>16</v>
      </c>
      <c r="D2645" s="116">
        <v>0</v>
      </c>
      <c r="E2645" s="136" t="s">
        <v>416</v>
      </c>
      <c r="F2645" s="137" t="str">
        <f t="shared" si="195"/>
        <v/>
      </c>
      <c r="G2645" s="138" t="e">
        <f>IF(A2645&lt;&gt;"",IF(AND(#REF!="Padrão",$H$4=#REF!),BDI!$B$17,IF(AND(#REF!="Padrão",$H$4=#REF!),BDI!#REF!,IF(AND(#REF!="Diferenciado",$H$4=#REF!),BDI!$E$17,IF(AND(#REF!="Diferenciado",$H$4=#REF!),BDI!#REF!,IF(#REF!="ZERO",0))))),"")</f>
        <v>#REF!</v>
      </c>
      <c r="H2645" s="139" t="str">
        <f t="shared" si="196"/>
        <v/>
      </c>
      <c r="I2645" s="137" t="str">
        <f t="shared" si="197"/>
        <v/>
      </c>
      <c r="J2645" s="117"/>
      <c r="K2645" s="116">
        <v>0</v>
      </c>
      <c r="M2645" s="136" t="s">
        <v>416</v>
      </c>
      <c r="N2645" t="e">
        <v>#REF!</v>
      </c>
      <c r="Q2645" t="s">
        <v>416</v>
      </c>
    </row>
    <row r="2646" spans="1:17" hidden="1" x14ac:dyDescent="0.25">
      <c r="A2646" s="114" t="s">
        <v>5662</v>
      </c>
      <c r="B2646" s="115" t="s">
        <v>5663</v>
      </c>
      <c r="C2646" s="116" t="s">
        <v>16</v>
      </c>
      <c r="D2646" s="116">
        <v>0</v>
      </c>
      <c r="E2646" s="136" t="s">
        <v>416</v>
      </c>
      <c r="F2646" s="137" t="str">
        <f t="shared" si="195"/>
        <v/>
      </c>
      <c r="G2646" s="138" t="e">
        <f>IF(A2646&lt;&gt;"",IF(AND(#REF!="Padrão",$H$4=#REF!),BDI!$B$17,IF(AND(#REF!="Padrão",$H$4=#REF!),BDI!#REF!,IF(AND(#REF!="Diferenciado",$H$4=#REF!),BDI!$E$17,IF(AND(#REF!="Diferenciado",$H$4=#REF!),BDI!#REF!,IF(#REF!="ZERO",0))))),"")</f>
        <v>#REF!</v>
      </c>
      <c r="H2646" s="139" t="str">
        <f t="shared" si="196"/>
        <v/>
      </c>
      <c r="I2646" s="137" t="str">
        <f t="shared" si="197"/>
        <v/>
      </c>
      <c r="J2646" s="117"/>
      <c r="K2646" s="116">
        <v>0</v>
      </c>
      <c r="M2646" s="136" t="s">
        <v>416</v>
      </c>
      <c r="N2646" t="e">
        <v>#REF!</v>
      </c>
      <c r="Q2646" t="s">
        <v>416</v>
      </c>
    </row>
    <row r="2647" spans="1:17" hidden="1" x14ac:dyDescent="0.25">
      <c r="A2647" s="114" t="s">
        <v>5664</v>
      </c>
      <c r="B2647" s="115" t="s">
        <v>5665</v>
      </c>
      <c r="C2647" s="116" t="s">
        <v>16</v>
      </c>
      <c r="D2647" s="116">
        <v>0</v>
      </c>
      <c r="E2647" s="136" t="s">
        <v>416</v>
      </c>
      <c r="F2647" s="137" t="str">
        <f t="shared" si="195"/>
        <v/>
      </c>
      <c r="G2647" s="138" t="e">
        <f>IF(A2647&lt;&gt;"",IF(AND(#REF!="Padrão",$H$4=#REF!),BDI!$B$17,IF(AND(#REF!="Padrão",$H$4=#REF!),BDI!#REF!,IF(AND(#REF!="Diferenciado",$H$4=#REF!),BDI!$E$17,IF(AND(#REF!="Diferenciado",$H$4=#REF!),BDI!#REF!,IF(#REF!="ZERO",0))))),"")</f>
        <v>#REF!</v>
      </c>
      <c r="H2647" s="139" t="str">
        <f t="shared" si="196"/>
        <v/>
      </c>
      <c r="I2647" s="137" t="str">
        <f t="shared" si="197"/>
        <v/>
      </c>
      <c r="J2647" s="117"/>
      <c r="K2647" s="116">
        <v>0</v>
      </c>
      <c r="M2647" s="136" t="s">
        <v>416</v>
      </c>
      <c r="N2647" t="e">
        <v>#REF!</v>
      </c>
      <c r="Q2647" t="s">
        <v>416</v>
      </c>
    </row>
    <row r="2648" spans="1:17" hidden="1" x14ac:dyDescent="0.25">
      <c r="A2648" s="114" t="s">
        <v>5666</v>
      </c>
      <c r="B2648" s="115" t="s">
        <v>5667</v>
      </c>
      <c r="C2648" s="116" t="s">
        <v>16</v>
      </c>
      <c r="D2648" s="116">
        <v>0</v>
      </c>
      <c r="E2648" s="136" t="s">
        <v>416</v>
      </c>
      <c r="F2648" s="137" t="str">
        <f t="shared" si="195"/>
        <v/>
      </c>
      <c r="G2648" s="138" t="e">
        <f>IF(A2648&lt;&gt;"",IF(AND(#REF!="Padrão",$H$4=#REF!),BDI!$B$17,IF(AND(#REF!="Padrão",$H$4=#REF!),BDI!#REF!,IF(AND(#REF!="Diferenciado",$H$4=#REF!),BDI!$E$17,IF(AND(#REF!="Diferenciado",$H$4=#REF!),BDI!#REF!,IF(#REF!="ZERO",0))))),"")</f>
        <v>#REF!</v>
      </c>
      <c r="H2648" s="139" t="str">
        <f t="shared" si="196"/>
        <v/>
      </c>
      <c r="I2648" s="137" t="str">
        <f t="shared" si="197"/>
        <v/>
      </c>
      <c r="J2648" s="117"/>
      <c r="K2648" s="116">
        <v>0</v>
      </c>
      <c r="M2648" s="136" t="s">
        <v>416</v>
      </c>
      <c r="N2648" t="e">
        <v>#REF!</v>
      </c>
      <c r="Q2648" t="s">
        <v>416</v>
      </c>
    </row>
    <row r="2649" spans="1:17" hidden="1" x14ac:dyDescent="0.25">
      <c r="A2649" s="114" t="s">
        <v>5668</v>
      </c>
      <c r="B2649" s="115" t="s">
        <v>5669</v>
      </c>
      <c r="C2649" s="116" t="s">
        <v>16</v>
      </c>
      <c r="D2649" s="116">
        <v>0</v>
      </c>
      <c r="E2649" s="136" t="s">
        <v>416</v>
      </c>
      <c r="F2649" s="137" t="str">
        <f t="shared" si="195"/>
        <v/>
      </c>
      <c r="G2649" s="138" t="e">
        <f>IF(A2649&lt;&gt;"",IF(AND(#REF!="Padrão",$H$4=#REF!),BDI!$B$17,IF(AND(#REF!="Padrão",$H$4=#REF!),BDI!#REF!,IF(AND(#REF!="Diferenciado",$H$4=#REF!),BDI!$E$17,IF(AND(#REF!="Diferenciado",$H$4=#REF!),BDI!#REF!,IF(#REF!="ZERO",0))))),"")</f>
        <v>#REF!</v>
      </c>
      <c r="H2649" s="139" t="str">
        <f t="shared" si="196"/>
        <v/>
      </c>
      <c r="I2649" s="137" t="str">
        <f t="shared" si="197"/>
        <v/>
      </c>
      <c r="J2649" s="117"/>
      <c r="K2649" s="116">
        <v>0</v>
      </c>
      <c r="M2649" s="136" t="s">
        <v>416</v>
      </c>
      <c r="N2649" t="e">
        <v>#REF!</v>
      </c>
      <c r="Q2649" t="s">
        <v>416</v>
      </c>
    </row>
    <row r="2650" spans="1:17" hidden="1" x14ac:dyDescent="0.25">
      <c r="A2650" s="114" t="s">
        <v>5670</v>
      </c>
      <c r="B2650" s="115" t="s">
        <v>5671</v>
      </c>
      <c r="C2650" s="116" t="s">
        <v>69</v>
      </c>
      <c r="D2650" s="116">
        <v>0</v>
      </c>
      <c r="E2650" s="136" t="s">
        <v>416</v>
      </c>
      <c r="F2650" s="137" t="str">
        <f t="shared" si="195"/>
        <v/>
      </c>
      <c r="G2650" s="138" t="e">
        <f>IF(A2650&lt;&gt;"",IF(AND(#REF!="Padrão",$H$4=#REF!),BDI!$B$17,IF(AND(#REF!="Padrão",$H$4=#REF!),BDI!#REF!,IF(AND(#REF!="Diferenciado",$H$4=#REF!),BDI!$E$17,IF(AND(#REF!="Diferenciado",$H$4=#REF!),BDI!#REF!,IF(#REF!="ZERO",0))))),"")</f>
        <v>#REF!</v>
      </c>
      <c r="H2650" s="139" t="str">
        <f t="shared" si="196"/>
        <v/>
      </c>
      <c r="I2650" s="137" t="str">
        <f t="shared" si="197"/>
        <v/>
      </c>
      <c r="J2650" s="117"/>
      <c r="K2650" s="116">
        <v>0</v>
      </c>
      <c r="M2650" s="136" t="s">
        <v>416</v>
      </c>
      <c r="N2650" t="e">
        <v>#REF!</v>
      </c>
      <c r="Q2650" t="s">
        <v>416</v>
      </c>
    </row>
    <row r="2651" spans="1:17" hidden="1" x14ac:dyDescent="0.25">
      <c r="A2651" s="114" t="s">
        <v>5672</v>
      </c>
      <c r="B2651" s="115" t="s">
        <v>5673</v>
      </c>
      <c r="C2651" s="116" t="s">
        <v>16</v>
      </c>
      <c r="D2651" s="116">
        <v>0</v>
      </c>
      <c r="E2651" s="136" t="s">
        <v>416</v>
      </c>
      <c r="F2651" s="137" t="str">
        <f t="shared" si="195"/>
        <v/>
      </c>
      <c r="G2651" s="138" t="e">
        <f>IF(A2651&lt;&gt;"",IF(AND(#REF!="Padrão",$H$4=#REF!),BDI!$B$17,IF(AND(#REF!="Padrão",$H$4=#REF!),BDI!#REF!,IF(AND(#REF!="Diferenciado",$H$4=#REF!),BDI!$E$17,IF(AND(#REF!="Diferenciado",$H$4=#REF!),BDI!#REF!,IF(#REF!="ZERO",0))))),"")</f>
        <v>#REF!</v>
      </c>
      <c r="H2651" s="139" t="str">
        <f t="shared" si="196"/>
        <v/>
      </c>
      <c r="I2651" s="137" t="str">
        <f t="shared" si="197"/>
        <v/>
      </c>
      <c r="J2651" s="117"/>
      <c r="K2651" s="116">
        <v>0</v>
      </c>
      <c r="M2651" s="136" t="s">
        <v>416</v>
      </c>
      <c r="N2651" t="e">
        <v>#REF!</v>
      </c>
      <c r="Q2651" t="s">
        <v>416</v>
      </c>
    </row>
    <row r="2652" spans="1:17" hidden="1" x14ac:dyDescent="0.25">
      <c r="A2652" s="114" t="s">
        <v>5674</v>
      </c>
      <c r="B2652" s="115" t="s">
        <v>5675</v>
      </c>
      <c r="C2652" s="116" t="s">
        <v>16</v>
      </c>
      <c r="D2652" s="116">
        <v>0</v>
      </c>
      <c r="E2652" s="136" t="s">
        <v>416</v>
      </c>
      <c r="F2652" s="137" t="str">
        <f t="shared" si="195"/>
        <v/>
      </c>
      <c r="G2652" s="138" t="e">
        <f>IF(A2652&lt;&gt;"",IF(AND(#REF!="Padrão",$H$4=#REF!),BDI!$B$17,IF(AND(#REF!="Padrão",$H$4=#REF!),BDI!#REF!,IF(AND(#REF!="Diferenciado",$H$4=#REF!),BDI!$E$17,IF(AND(#REF!="Diferenciado",$H$4=#REF!),BDI!#REF!,IF(#REF!="ZERO",0))))),"")</f>
        <v>#REF!</v>
      </c>
      <c r="H2652" s="139" t="str">
        <f t="shared" si="196"/>
        <v/>
      </c>
      <c r="I2652" s="137" t="str">
        <f t="shared" si="197"/>
        <v/>
      </c>
      <c r="J2652" s="117"/>
      <c r="K2652" s="116">
        <v>0</v>
      </c>
      <c r="M2652" s="136" t="s">
        <v>416</v>
      </c>
      <c r="N2652" t="e">
        <v>#REF!</v>
      </c>
      <c r="Q2652" t="s">
        <v>416</v>
      </c>
    </row>
    <row r="2653" spans="1:17" hidden="1" x14ac:dyDescent="0.25">
      <c r="A2653" s="114" t="s">
        <v>5676</v>
      </c>
      <c r="B2653" s="115" t="s">
        <v>5677</v>
      </c>
      <c r="C2653" s="116" t="s">
        <v>16</v>
      </c>
      <c r="D2653" s="116">
        <v>0</v>
      </c>
      <c r="E2653" s="136" t="s">
        <v>416</v>
      </c>
      <c r="F2653" s="137" t="str">
        <f t="shared" si="195"/>
        <v/>
      </c>
      <c r="G2653" s="138" t="e">
        <f>IF(A2653&lt;&gt;"",IF(AND(#REF!="Padrão",$H$4=#REF!),BDI!$B$17,IF(AND(#REF!="Padrão",$H$4=#REF!),BDI!#REF!,IF(AND(#REF!="Diferenciado",$H$4=#REF!),BDI!$E$17,IF(AND(#REF!="Diferenciado",$H$4=#REF!),BDI!#REF!,IF(#REF!="ZERO",0))))),"")</f>
        <v>#REF!</v>
      </c>
      <c r="H2653" s="139" t="str">
        <f t="shared" si="196"/>
        <v/>
      </c>
      <c r="I2653" s="137" t="str">
        <f t="shared" si="197"/>
        <v/>
      </c>
      <c r="J2653" s="117"/>
      <c r="K2653" s="116">
        <v>0</v>
      </c>
      <c r="M2653" s="136" t="s">
        <v>416</v>
      </c>
      <c r="N2653" t="e">
        <v>#REF!</v>
      </c>
      <c r="Q2653" t="s">
        <v>416</v>
      </c>
    </row>
    <row r="2654" spans="1:17" hidden="1" x14ac:dyDescent="0.25">
      <c r="A2654" s="114" t="s">
        <v>5678</v>
      </c>
      <c r="B2654" s="115" t="s">
        <v>5679</v>
      </c>
      <c r="C2654" s="116" t="s">
        <v>16</v>
      </c>
      <c r="D2654" s="116">
        <v>0</v>
      </c>
      <c r="E2654" s="136" t="s">
        <v>416</v>
      </c>
      <c r="F2654" s="137" t="str">
        <f t="shared" si="195"/>
        <v/>
      </c>
      <c r="G2654" s="138" t="e">
        <f>IF(A2654&lt;&gt;"",IF(AND(#REF!="Padrão",$H$4=#REF!),BDI!$B$17,IF(AND(#REF!="Padrão",$H$4=#REF!),BDI!#REF!,IF(AND(#REF!="Diferenciado",$H$4=#REF!),BDI!$E$17,IF(AND(#REF!="Diferenciado",$H$4=#REF!),BDI!#REF!,IF(#REF!="ZERO",0))))),"")</f>
        <v>#REF!</v>
      </c>
      <c r="H2654" s="139" t="str">
        <f t="shared" si="196"/>
        <v/>
      </c>
      <c r="I2654" s="137" t="str">
        <f t="shared" si="197"/>
        <v/>
      </c>
      <c r="J2654" s="117"/>
      <c r="K2654" s="116">
        <v>0</v>
      </c>
      <c r="M2654" s="136" t="s">
        <v>416</v>
      </c>
      <c r="N2654" t="e">
        <v>#REF!</v>
      </c>
      <c r="Q2654" t="s">
        <v>416</v>
      </c>
    </row>
    <row r="2655" spans="1:17" hidden="1" x14ac:dyDescent="0.25">
      <c r="A2655" s="114" t="s">
        <v>5680</v>
      </c>
      <c r="B2655" s="115" t="s">
        <v>5681</v>
      </c>
      <c r="C2655" s="116" t="s">
        <v>16</v>
      </c>
      <c r="D2655" s="116">
        <v>0</v>
      </c>
      <c r="E2655" s="136" t="s">
        <v>416</v>
      </c>
      <c r="F2655" s="137" t="str">
        <f t="shared" si="195"/>
        <v/>
      </c>
      <c r="G2655" s="138" t="e">
        <f>IF(A2655&lt;&gt;"",IF(AND(#REF!="Padrão",$H$4=#REF!),BDI!$B$17,IF(AND(#REF!="Padrão",$H$4=#REF!),BDI!#REF!,IF(AND(#REF!="Diferenciado",$H$4=#REF!),BDI!$E$17,IF(AND(#REF!="Diferenciado",$H$4=#REF!),BDI!#REF!,IF(#REF!="ZERO",0))))),"")</f>
        <v>#REF!</v>
      </c>
      <c r="H2655" s="139" t="str">
        <f t="shared" si="196"/>
        <v/>
      </c>
      <c r="I2655" s="137" t="str">
        <f t="shared" si="197"/>
        <v/>
      </c>
      <c r="J2655" s="117"/>
      <c r="K2655" s="116">
        <v>0</v>
      </c>
      <c r="M2655" s="136" t="s">
        <v>416</v>
      </c>
      <c r="N2655" t="e">
        <v>#REF!</v>
      </c>
      <c r="Q2655" t="s">
        <v>416</v>
      </c>
    </row>
    <row r="2656" spans="1:17" hidden="1" x14ac:dyDescent="0.25">
      <c r="A2656" s="114" t="s">
        <v>5682</v>
      </c>
      <c r="B2656" s="115" t="s">
        <v>5683</v>
      </c>
      <c r="C2656" s="116" t="s">
        <v>16</v>
      </c>
      <c r="D2656" s="116">
        <v>0</v>
      </c>
      <c r="E2656" s="136" t="s">
        <v>416</v>
      </c>
      <c r="F2656" s="137" t="str">
        <f t="shared" si="195"/>
        <v/>
      </c>
      <c r="G2656" s="138" t="e">
        <f>IF(A2656&lt;&gt;"",IF(AND(#REF!="Padrão",$H$4=#REF!),BDI!$B$17,IF(AND(#REF!="Padrão",$H$4=#REF!),BDI!#REF!,IF(AND(#REF!="Diferenciado",$H$4=#REF!),BDI!$E$17,IF(AND(#REF!="Diferenciado",$H$4=#REF!),BDI!#REF!,IF(#REF!="ZERO",0))))),"")</f>
        <v>#REF!</v>
      </c>
      <c r="H2656" s="139" t="str">
        <f t="shared" si="196"/>
        <v/>
      </c>
      <c r="I2656" s="137" t="str">
        <f t="shared" si="197"/>
        <v/>
      </c>
      <c r="J2656" s="117"/>
      <c r="K2656" s="116">
        <v>0</v>
      </c>
      <c r="M2656" s="136" t="s">
        <v>416</v>
      </c>
      <c r="N2656" t="e">
        <v>#REF!</v>
      </c>
      <c r="Q2656" t="s">
        <v>416</v>
      </c>
    </row>
    <row r="2657" spans="1:17" hidden="1" x14ac:dyDescent="0.25">
      <c r="A2657" s="114" t="s">
        <v>5684</v>
      </c>
      <c r="B2657" s="115" t="s">
        <v>5685</v>
      </c>
      <c r="C2657" s="116" t="s">
        <v>16</v>
      </c>
      <c r="D2657" s="116">
        <v>0</v>
      </c>
      <c r="E2657" s="136" t="s">
        <v>416</v>
      </c>
      <c r="F2657" s="137" t="str">
        <f t="shared" si="195"/>
        <v/>
      </c>
      <c r="G2657" s="138" t="e">
        <f>IF(A2657&lt;&gt;"",IF(AND(#REF!="Padrão",$H$4=#REF!),BDI!$B$17,IF(AND(#REF!="Padrão",$H$4=#REF!),BDI!#REF!,IF(AND(#REF!="Diferenciado",$H$4=#REF!),BDI!$E$17,IF(AND(#REF!="Diferenciado",$H$4=#REF!),BDI!#REF!,IF(#REF!="ZERO",0))))),"")</f>
        <v>#REF!</v>
      </c>
      <c r="H2657" s="139" t="str">
        <f t="shared" si="196"/>
        <v/>
      </c>
      <c r="I2657" s="137" t="str">
        <f t="shared" si="197"/>
        <v/>
      </c>
      <c r="J2657" s="117"/>
      <c r="K2657" s="116">
        <v>0</v>
      </c>
      <c r="M2657" s="136" t="s">
        <v>416</v>
      </c>
      <c r="N2657" t="e">
        <v>#REF!</v>
      </c>
      <c r="Q2657" t="s">
        <v>416</v>
      </c>
    </row>
    <row r="2658" spans="1:17" hidden="1" x14ac:dyDescent="0.25">
      <c r="A2658" s="114" t="s">
        <v>5686</v>
      </c>
      <c r="B2658" s="115" t="s">
        <v>5687</v>
      </c>
      <c r="C2658" s="116" t="s">
        <v>16</v>
      </c>
      <c r="D2658" s="116">
        <v>0</v>
      </c>
      <c r="E2658" s="136" t="s">
        <v>416</v>
      </c>
      <c r="F2658" s="137" t="str">
        <f t="shared" si="195"/>
        <v/>
      </c>
      <c r="G2658" s="138" t="e">
        <f>IF(A2658&lt;&gt;"",IF(AND(#REF!="Padrão",$H$4=#REF!),BDI!$B$17,IF(AND(#REF!="Padrão",$H$4=#REF!),BDI!#REF!,IF(AND(#REF!="Diferenciado",$H$4=#REF!),BDI!$E$17,IF(AND(#REF!="Diferenciado",$H$4=#REF!),BDI!#REF!,IF(#REF!="ZERO",0))))),"")</f>
        <v>#REF!</v>
      </c>
      <c r="H2658" s="139" t="str">
        <f t="shared" si="196"/>
        <v/>
      </c>
      <c r="I2658" s="137" t="str">
        <f t="shared" si="197"/>
        <v/>
      </c>
      <c r="J2658" s="117"/>
      <c r="K2658" s="116">
        <v>0</v>
      </c>
      <c r="M2658" s="136" t="s">
        <v>416</v>
      </c>
      <c r="N2658" t="e">
        <v>#REF!</v>
      </c>
      <c r="Q2658" t="s">
        <v>416</v>
      </c>
    </row>
    <row r="2659" spans="1:17" hidden="1" x14ac:dyDescent="0.25">
      <c r="A2659" s="114" t="s">
        <v>5688</v>
      </c>
      <c r="B2659" s="115" t="s">
        <v>5689</v>
      </c>
      <c r="C2659" s="116" t="s">
        <v>16</v>
      </c>
      <c r="D2659" s="116">
        <v>0</v>
      </c>
      <c r="E2659" s="136" t="s">
        <v>416</v>
      </c>
      <c r="F2659" s="137" t="str">
        <f t="shared" si="195"/>
        <v/>
      </c>
      <c r="G2659" s="138" t="e">
        <f>IF(A2659&lt;&gt;"",IF(AND(#REF!="Padrão",$H$4=#REF!),BDI!$B$17,IF(AND(#REF!="Padrão",$H$4=#REF!),BDI!#REF!,IF(AND(#REF!="Diferenciado",$H$4=#REF!),BDI!$E$17,IF(AND(#REF!="Diferenciado",$H$4=#REF!),BDI!#REF!,IF(#REF!="ZERO",0))))),"")</f>
        <v>#REF!</v>
      </c>
      <c r="H2659" s="139" t="str">
        <f t="shared" si="196"/>
        <v/>
      </c>
      <c r="I2659" s="137" t="str">
        <f t="shared" si="197"/>
        <v/>
      </c>
      <c r="J2659" s="117"/>
      <c r="K2659" s="116">
        <v>0</v>
      </c>
      <c r="M2659" s="136" t="s">
        <v>416</v>
      </c>
      <c r="N2659" t="e">
        <v>#REF!</v>
      </c>
      <c r="Q2659" t="s">
        <v>416</v>
      </c>
    </row>
    <row r="2660" spans="1:17" hidden="1" x14ac:dyDescent="0.25">
      <c r="A2660" s="114" t="s">
        <v>5690</v>
      </c>
      <c r="B2660" s="115" t="s">
        <v>5691</v>
      </c>
      <c r="C2660" s="116" t="s">
        <v>16</v>
      </c>
      <c r="D2660" s="116">
        <v>0</v>
      </c>
      <c r="E2660" s="136" t="s">
        <v>416</v>
      </c>
      <c r="F2660" s="137" t="str">
        <f t="shared" si="195"/>
        <v/>
      </c>
      <c r="G2660" s="138" t="e">
        <f>IF(A2660&lt;&gt;"",IF(AND(#REF!="Padrão",$H$4=#REF!),BDI!$B$17,IF(AND(#REF!="Padrão",$H$4=#REF!),BDI!#REF!,IF(AND(#REF!="Diferenciado",$H$4=#REF!),BDI!$E$17,IF(AND(#REF!="Diferenciado",$H$4=#REF!),BDI!#REF!,IF(#REF!="ZERO",0))))),"")</f>
        <v>#REF!</v>
      </c>
      <c r="H2660" s="139" t="str">
        <f t="shared" si="196"/>
        <v/>
      </c>
      <c r="I2660" s="137" t="str">
        <f t="shared" si="197"/>
        <v/>
      </c>
      <c r="J2660" s="117"/>
      <c r="K2660" s="116">
        <v>0</v>
      </c>
      <c r="M2660" s="136" t="s">
        <v>416</v>
      </c>
      <c r="N2660" t="e">
        <v>#REF!</v>
      </c>
      <c r="Q2660" t="s">
        <v>416</v>
      </c>
    </row>
    <row r="2661" spans="1:17" hidden="1" x14ac:dyDescent="0.25">
      <c r="A2661" s="114" t="s">
        <v>5692</v>
      </c>
      <c r="B2661" s="115" t="s">
        <v>5693</v>
      </c>
      <c r="C2661" s="116" t="s">
        <v>16</v>
      </c>
      <c r="D2661" s="116">
        <v>0</v>
      </c>
      <c r="E2661" s="136" t="s">
        <v>416</v>
      </c>
      <c r="F2661" s="137" t="str">
        <f t="shared" si="195"/>
        <v/>
      </c>
      <c r="G2661" s="138" t="e">
        <f>IF(A2661&lt;&gt;"",IF(AND(#REF!="Padrão",$H$4=#REF!),BDI!$B$17,IF(AND(#REF!="Padrão",$H$4=#REF!),BDI!#REF!,IF(AND(#REF!="Diferenciado",$H$4=#REF!),BDI!$E$17,IF(AND(#REF!="Diferenciado",$H$4=#REF!),BDI!#REF!,IF(#REF!="ZERO",0))))),"")</f>
        <v>#REF!</v>
      </c>
      <c r="H2661" s="139" t="str">
        <f t="shared" si="196"/>
        <v/>
      </c>
      <c r="I2661" s="137" t="str">
        <f t="shared" si="197"/>
        <v/>
      </c>
      <c r="J2661" s="117"/>
      <c r="K2661" s="116">
        <v>0</v>
      </c>
      <c r="M2661" s="136" t="s">
        <v>416</v>
      </c>
      <c r="N2661" t="e">
        <v>#REF!</v>
      </c>
      <c r="Q2661" t="s">
        <v>416</v>
      </c>
    </row>
    <row r="2662" spans="1:17" hidden="1" x14ac:dyDescent="0.25">
      <c r="A2662" s="114" t="s">
        <v>5694</v>
      </c>
      <c r="B2662" s="115" t="s">
        <v>5695</v>
      </c>
      <c r="C2662" s="116" t="s">
        <v>16</v>
      </c>
      <c r="D2662" s="116">
        <v>0</v>
      </c>
      <c r="E2662" s="136" t="s">
        <v>416</v>
      </c>
      <c r="F2662" s="137" t="str">
        <f t="shared" si="195"/>
        <v/>
      </c>
      <c r="G2662" s="138" t="e">
        <f>IF(A2662&lt;&gt;"",IF(AND(#REF!="Padrão",$H$4=#REF!),BDI!$B$17,IF(AND(#REF!="Padrão",$H$4=#REF!),BDI!#REF!,IF(AND(#REF!="Diferenciado",$H$4=#REF!),BDI!$E$17,IF(AND(#REF!="Diferenciado",$H$4=#REF!),BDI!#REF!,IF(#REF!="ZERO",0))))),"")</f>
        <v>#REF!</v>
      </c>
      <c r="H2662" s="139" t="str">
        <f t="shared" si="196"/>
        <v/>
      </c>
      <c r="I2662" s="137" t="str">
        <f t="shared" si="197"/>
        <v/>
      </c>
      <c r="J2662" s="117"/>
      <c r="K2662" s="116">
        <v>0</v>
      </c>
      <c r="M2662" s="136" t="s">
        <v>416</v>
      </c>
      <c r="N2662" t="e">
        <v>#REF!</v>
      </c>
      <c r="Q2662" t="s">
        <v>416</v>
      </c>
    </row>
    <row r="2663" spans="1:17" hidden="1" x14ac:dyDescent="0.25">
      <c r="A2663" s="114" t="s">
        <v>5696</v>
      </c>
      <c r="B2663" s="115" t="s">
        <v>5697</v>
      </c>
      <c r="C2663" s="116" t="s">
        <v>16</v>
      </c>
      <c r="D2663" s="116">
        <v>0</v>
      </c>
      <c r="E2663" s="136" t="s">
        <v>416</v>
      </c>
      <c r="F2663" s="137" t="str">
        <f t="shared" si="195"/>
        <v/>
      </c>
      <c r="G2663" s="138" t="e">
        <f>IF(A2663&lt;&gt;"",IF(AND(#REF!="Padrão",$H$4=#REF!),BDI!$B$17,IF(AND(#REF!="Padrão",$H$4=#REF!),BDI!#REF!,IF(AND(#REF!="Diferenciado",$H$4=#REF!),BDI!$E$17,IF(AND(#REF!="Diferenciado",$H$4=#REF!),BDI!#REF!,IF(#REF!="ZERO",0))))),"")</f>
        <v>#REF!</v>
      </c>
      <c r="H2663" s="139" t="str">
        <f t="shared" si="196"/>
        <v/>
      </c>
      <c r="I2663" s="137" t="str">
        <f t="shared" si="197"/>
        <v/>
      </c>
      <c r="J2663" s="117"/>
      <c r="K2663" s="116">
        <v>0</v>
      </c>
      <c r="M2663" s="136" t="s">
        <v>416</v>
      </c>
      <c r="N2663" t="e">
        <v>#REF!</v>
      </c>
      <c r="Q2663" t="s">
        <v>416</v>
      </c>
    </row>
    <row r="2664" spans="1:17" hidden="1" x14ac:dyDescent="0.25">
      <c r="A2664" s="114" t="s">
        <v>5698</v>
      </c>
      <c r="B2664" s="115" t="s">
        <v>5699</v>
      </c>
      <c r="C2664" s="116" t="s">
        <v>16</v>
      </c>
      <c r="D2664" s="116">
        <v>0</v>
      </c>
      <c r="E2664" s="136" t="s">
        <v>416</v>
      </c>
      <c r="F2664" s="137" t="str">
        <f t="shared" si="195"/>
        <v/>
      </c>
      <c r="G2664" s="138" t="e">
        <f>IF(A2664&lt;&gt;"",IF(AND(#REF!="Padrão",$H$4=#REF!),BDI!$B$17,IF(AND(#REF!="Padrão",$H$4=#REF!),BDI!#REF!,IF(AND(#REF!="Diferenciado",$H$4=#REF!),BDI!$E$17,IF(AND(#REF!="Diferenciado",$H$4=#REF!),BDI!#REF!,IF(#REF!="ZERO",0))))),"")</f>
        <v>#REF!</v>
      </c>
      <c r="H2664" s="139" t="str">
        <f t="shared" si="196"/>
        <v/>
      </c>
      <c r="I2664" s="137" t="str">
        <f t="shared" si="197"/>
        <v/>
      </c>
      <c r="J2664" s="117"/>
      <c r="K2664" s="116">
        <v>0</v>
      </c>
      <c r="M2664" s="136" t="s">
        <v>416</v>
      </c>
      <c r="N2664" t="e">
        <v>#REF!</v>
      </c>
      <c r="Q2664" t="s">
        <v>416</v>
      </c>
    </row>
    <row r="2665" spans="1:17" hidden="1" x14ac:dyDescent="0.25">
      <c r="A2665" s="114" t="s">
        <v>5700</v>
      </c>
      <c r="B2665" s="115" t="s">
        <v>5701</v>
      </c>
      <c r="C2665" s="116" t="s">
        <v>16</v>
      </c>
      <c r="D2665" s="116">
        <v>0</v>
      </c>
      <c r="E2665" s="136" t="s">
        <v>416</v>
      </c>
      <c r="F2665" s="137" t="str">
        <f t="shared" si="195"/>
        <v/>
      </c>
      <c r="G2665" s="138" t="e">
        <f>IF(A2665&lt;&gt;"",IF(AND(#REF!="Padrão",$H$4=#REF!),BDI!$B$17,IF(AND(#REF!="Padrão",$H$4=#REF!),BDI!#REF!,IF(AND(#REF!="Diferenciado",$H$4=#REF!),BDI!$E$17,IF(AND(#REF!="Diferenciado",$H$4=#REF!),BDI!#REF!,IF(#REF!="ZERO",0))))),"")</f>
        <v>#REF!</v>
      </c>
      <c r="H2665" s="139" t="str">
        <f t="shared" si="196"/>
        <v/>
      </c>
      <c r="I2665" s="137" t="str">
        <f t="shared" si="197"/>
        <v/>
      </c>
      <c r="J2665" s="117"/>
      <c r="K2665" s="116">
        <v>0</v>
      </c>
      <c r="M2665" s="136" t="s">
        <v>416</v>
      </c>
      <c r="N2665" t="e">
        <v>#REF!</v>
      </c>
      <c r="Q2665" t="s">
        <v>416</v>
      </c>
    </row>
    <row r="2666" spans="1:17" hidden="1" x14ac:dyDescent="0.25">
      <c r="A2666" s="114" t="s">
        <v>5702</v>
      </c>
      <c r="B2666" s="115" t="s">
        <v>5703</v>
      </c>
      <c r="C2666" s="116" t="s">
        <v>16</v>
      </c>
      <c r="D2666" s="116">
        <v>0</v>
      </c>
      <c r="E2666" s="136" t="s">
        <v>416</v>
      </c>
      <c r="F2666" s="137" t="str">
        <f t="shared" si="195"/>
        <v/>
      </c>
      <c r="G2666" s="138" t="e">
        <f>IF(A2666&lt;&gt;"",IF(AND(#REF!="Padrão",$H$4=#REF!),BDI!$B$17,IF(AND(#REF!="Padrão",$H$4=#REF!),BDI!#REF!,IF(AND(#REF!="Diferenciado",$H$4=#REF!),BDI!$E$17,IF(AND(#REF!="Diferenciado",$H$4=#REF!),BDI!#REF!,IF(#REF!="ZERO",0))))),"")</f>
        <v>#REF!</v>
      </c>
      <c r="H2666" s="139" t="str">
        <f t="shared" si="196"/>
        <v/>
      </c>
      <c r="I2666" s="137" t="str">
        <f t="shared" si="197"/>
        <v/>
      </c>
      <c r="J2666" s="117"/>
      <c r="K2666" s="116">
        <v>0</v>
      </c>
      <c r="M2666" s="136" t="s">
        <v>416</v>
      </c>
      <c r="N2666" t="e">
        <v>#REF!</v>
      </c>
      <c r="Q2666" t="s">
        <v>416</v>
      </c>
    </row>
    <row r="2667" spans="1:17" hidden="1" x14ac:dyDescent="0.25">
      <c r="A2667" s="114" t="s">
        <v>5704</v>
      </c>
      <c r="B2667" s="115" t="s">
        <v>5705</v>
      </c>
      <c r="C2667" s="116" t="s">
        <v>16</v>
      </c>
      <c r="D2667" s="116">
        <v>0</v>
      </c>
      <c r="E2667" s="136" t="s">
        <v>416</v>
      </c>
      <c r="F2667" s="137" t="str">
        <f t="shared" si="195"/>
        <v/>
      </c>
      <c r="G2667" s="138" t="e">
        <f>IF(A2667&lt;&gt;"",IF(AND(#REF!="Padrão",$H$4=#REF!),BDI!$B$17,IF(AND(#REF!="Padrão",$H$4=#REF!),BDI!#REF!,IF(AND(#REF!="Diferenciado",$H$4=#REF!),BDI!$E$17,IF(AND(#REF!="Diferenciado",$H$4=#REF!),BDI!#REF!,IF(#REF!="ZERO",0))))),"")</f>
        <v>#REF!</v>
      </c>
      <c r="H2667" s="139" t="str">
        <f t="shared" si="196"/>
        <v/>
      </c>
      <c r="I2667" s="137" t="str">
        <f t="shared" si="197"/>
        <v/>
      </c>
      <c r="J2667" s="117"/>
      <c r="K2667" s="116">
        <v>0</v>
      </c>
      <c r="M2667" s="136" t="s">
        <v>416</v>
      </c>
      <c r="N2667" t="e">
        <v>#REF!</v>
      </c>
      <c r="Q2667" t="s">
        <v>416</v>
      </c>
    </row>
    <row r="2668" spans="1:17" hidden="1" x14ac:dyDescent="0.25">
      <c r="A2668" s="114" t="s">
        <v>5706</v>
      </c>
      <c r="B2668" s="115" t="s">
        <v>5707</v>
      </c>
      <c r="C2668" s="116" t="s">
        <v>16</v>
      </c>
      <c r="D2668" s="116">
        <v>0</v>
      </c>
      <c r="E2668" s="136" t="s">
        <v>416</v>
      </c>
      <c r="F2668" s="137" t="str">
        <f t="shared" si="195"/>
        <v/>
      </c>
      <c r="G2668" s="138" t="e">
        <f>IF(A2668&lt;&gt;"",IF(AND(#REF!="Padrão",$H$4=#REF!),BDI!$B$17,IF(AND(#REF!="Padrão",$H$4=#REF!),BDI!#REF!,IF(AND(#REF!="Diferenciado",$H$4=#REF!),BDI!$E$17,IF(AND(#REF!="Diferenciado",$H$4=#REF!),BDI!#REF!,IF(#REF!="ZERO",0))))),"")</f>
        <v>#REF!</v>
      </c>
      <c r="H2668" s="139" t="str">
        <f t="shared" si="196"/>
        <v/>
      </c>
      <c r="I2668" s="137" t="str">
        <f t="shared" si="197"/>
        <v/>
      </c>
      <c r="J2668" s="117"/>
      <c r="K2668" s="116">
        <v>0</v>
      </c>
      <c r="M2668" s="136" t="s">
        <v>416</v>
      </c>
      <c r="N2668" t="e">
        <v>#REF!</v>
      </c>
      <c r="Q2668" t="s">
        <v>416</v>
      </c>
    </row>
    <row r="2669" spans="1:17" hidden="1" x14ac:dyDescent="0.25">
      <c r="A2669" s="114" t="s">
        <v>5708</v>
      </c>
      <c r="B2669" s="115" t="s">
        <v>5709</v>
      </c>
      <c r="C2669" s="116" t="s">
        <v>16</v>
      </c>
      <c r="D2669" s="116">
        <v>0</v>
      </c>
      <c r="E2669" s="136" t="s">
        <v>416</v>
      </c>
      <c r="F2669" s="137" t="str">
        <f t="shared" si="195"/>
        <v/>
      </c>
      <c r="G2669" s="138" t="e">
        <f>IF(A2669&lt;&gt;"",IF(AND(#REF!="Padrão",$H$4=#REF!),BDI!$B$17,IF(AND(#REF!="Padrão",$H$4=#REF!),BDI!#REF!,IF(AND(#REF!="Diferenciado",$H$4=#REF!),BDI!$E$17,IF(AND(#REF!="Diferenciado",$H$4=#REF!),BDI!#REF!,IF(#REF!="ZERO",0))))),"")</f>
        <v>#REF!</v>
      </c>
      <c r="H2669" s="139" t="str">
        <f t="shared" si="196"/>
        <v/>
      </c>
      <c r="I2669" s="137" t="str">
        <f t="shared" si="197"/>
        <v/>
      </c>
      <c r="J2669" s="117"/>
      <c r="K2669" s="116">
        <v>0</v>
      </c>
      <c r="M2669" s="136" t="s">
        <v>416</v>
      </c>
      <c r="N2669" t="e">
        <v>#REF!</v>
      </c>
      <c r="Q2669" t="s">
        <v>416</v>
      </c>
    </row>
    <row r="2670" spans="1:17" hidden="1" x14ac:dyDescent="0.25">
      <c r="A2670" s="114" t="s">
        <v>5710</v>
      </c>
      <c r="B2670" s="115" t="s">
        <v>5711</v>
      </c>
      <c r="C2670" s="116" t="s">
        <v>16</v>
      </c>
      <c r="D2670" s="116">
        <v>0</v>
      </c>
      <c r="E2670" s="136" t="s">
        <v>416</v>
      </c>
      <c r="F2670" s="137" t="str">
        <f t="shared" si="195"/>
        <v/>
      </c>
      <c r="G2670" s="138" t="e">
        <f>IF(A2670&lt;&gt;"",IF(AND(#REF!="Padrão",$H$4=#REF!),BDI!$B$17,IF(AND(#REF!="Padrão",$H$4=#REF!),BDI!#REF!,IF(AND(#REF!="Diferenciado",$H$4=#REF!),BDI!$E$17,IF(AND(#REF!="Diferenciado",$H$4=#REF!),BDI!#REF!,IF(#REF!="ZERO",0))))),"")</f>
        <v>#REF!</v>
      </c>
      <c r="H2670" s="139" t="str">
        <f t="shared" si="196"/>
        <v/>
      </c>
      <c r="I2670" s="137" t="str">
        <f t="shared" si="197"/>
        <v/>
      </c>
      <c r="J2670" s="117"/>
      <c r="K2670" s="116">
        <v>0</v>
      </c>
      <c r="M2670" s="136" t="s">
        <v>416</v>
      </c>
      <c r="N2670" t="e">
        <v>#REF!</v>
      </c>
      <c r="Q2670" t="s">
        <v>416</v>
      </c>
    </row>
    <row r="2671" spans="1:17" hidden="1" x14ac:dyDescent="0.25">
      <c r="A2671" s="114" t="s">
        <v>5712</v>
      </c>
      <c r="B2671" s="115" t="s">
        <v>5713</v>
      </c>
      <c r="C2671" s="116" t="s">
        <v>16</v>
      </c>
      <c r="D2671" s="116">
        <v>0</v>
      </c>
      <c r="E2671" s="136" t="s">
        <v>416</v>
      </c>
      <c r="F2671" s="137" t="str">
        <f t="shared" si="195"/>
        <v/>
      </c>
      <c r="G2671" s="138" t="e">
        <f>IF(A2671&lt;&gt;"",IF(AND(#REF!="Padrão",$H$4=#REF!),BDI!$B$17,IF(AND(#REF!="Padrão",$H$4=#REF!),BDI!#REF!,IF(AND(#REF!="Diferenciado",$H$4=#REF!),BDI!$E$17,IF(AND(#REF!="Diferenciado",$H$4=#REF!),BDI!#REF!,IF(#REF!="ZERO",0))))),"")</f>
        <v>#REF!</v>
      </c>
      <c r="H2671" s="139" t="str">
        <f t="shared" si="196"/>
        <v/>
      </c>
      <c r="I2671" s="137" t="str">
        <f t="shared" si="197"/>
        <v/>
      </c>
      <c r="J2671" s="117"/>
      <c r="K2671" s="116">
        <v>0</v>
      </c>
      <c r="M2671" s="136" t="s">
        <v>416</v>
      </c>
      <c r="N2671" t="e">
        <v>#REF!</v>
      </c>
      <c r="Q2671" t="s">
        <v>416</v>
      </c>
    </row>
    <row r="2672" spans="1:17" hidden="1" x14ac:dyDescent="0.25">
      <c r="A2672" s="114" t="s">
        <v>5714</v>
      </c>
      <c r="B2672" s="115" t="s">
        <v>5715</v>
      </c>
      <c r="C2672" s="116" t="s">
        <v>16</v>
      </c>
      <c r="D2672" s="116">
        <v>0</v>
      </c>
      <c r="E2672" s="136" t="s">
        <v>416</v>
      </c>
      <c r="F2672" s="137" t="str">
        <f t="shared" si="195"/>
        <v/>
      </c>
      <c r="G2672" s="138" t="e">
        <f>IF(A2672&lt;&gt;"",IF(AND(#REF!="Padrão",$H$4=#REF!),BDI!$B$17,IF(AND(#REF!="Padrão",$H$4=#REF!),BDI!#REF!,IF(AND(#REF!="Diferenciado",$H$4=#REF!),BDI!$E$17,IF(AND(#REF!="Diferenciado",$H$4=#REF!),BDI!#REF!,IF(#REF!="ZERO",0))))),"")</f>
        <v>#REF!</v>
      </c>
      <c r="H2672" s="139" t="str">
        <f t="shared" si="196"/>
        <v/>
      </c>
      <c r="I2672" s="137" t="str">
        <f t="shared" si="197"/>
        <v/>
      </c>
      <c r="J2672" s="117"/>
      <c r="K2672" s="116">
        <v>0</v>
      </c>
      <c r="M2672" s="136" t="s">
        <v>416</v>
      </c>
      <c r="N2672" t="e">
        <v>#REF!</v>
      </c>
      <c r="Q2672" t="s">
        <v>416</v>
      </c>
    </row>
    <row r="2673" spans="1:17" hidden="1" x14ac:dyDescent="0.25">
      <c r="A2673" s="114" t="s">
        <v>5716</v>
      </c>
      <c r="B2673" s="115" t="s">
        <v>5717</v>
      </c>
      <c r="C2673" s="116" t="s">
        <v>16</v>
      </c>
      <c r="D2673" s="116">
        <v>0</v>
      </c>
      <c r="E2673" s="136" t="s">
        <v>416</v>
      </c>
      <c r="F2673" s="137" t="str">
        <f t="shared" si="195"/>
        <v/>
      </c>
      <c r="G2673" s="138" t="e">
        <f>IF(A2673&lt;&gt;"",IF(AND(#REF!="Padrão",$H$4=#REF!),BDI!$B$17,IF(AND(#REF!="Padrão",$H$4=#REF!),BDI!#REF!,IF(AND(#REF!="Diferenciado",$H$4=#REF!),BDI!$E$17,IF(AND(#REF!="Diferenciado",$H$4=#REF!),BDI!#REF!,IF(#REF!="ZERO",0))))),"")</f>
        <v>#REF!</v>
      </c>
      <c r="H2673" s="139" t="str">
        <f t="shared" si="196"/>
        <v/>
      </c>
      <c r="I2673" s="137" t="str">
        <f t="shared" si="197"/>
        <v/>
      </c>
      <c r="J2673" s="117"/>
      <c r="K2673" s="116">
        <v>0</v>
      </c>
      <c r="M2673" s="136" t="s">
        <v>416</v>
      </c>
      <c r="N2673" t="e">
        <v>#REF!</v>
      </c>
      <c r="Q2673" t="s">
        <v>416</v>
      </c>
    </row>
    <row r="2674" spans="1:17" hidden="1" x14ac:dyDescent="0.25">
      <c r="A2674" s="114" t="s">
        <v>5718</v>
      </c>
      <c r="B2674" s="115" t="s">
        <v>5719</v>
      </c>
      <c r="C2674" s="116" t="s">
        <v>16</v>
      </c>
      <c r="D2674" s="116">
        <v>0</v>
      </c>
      <c r="E2674" s="136" t="s">
        <v>416</v>
      </c>
      <c r="F2674" s="137" t="str">
        <f t="shared" si="195"/>
        <v/>
      </c>
      <c r="G2674" s="138" t="e">
        <f>IF(A2674&lt;&gt;"",IF(AND(#REF!="Padrão",$H$4=#REF!),BDI!$B$17,IF(AND(#REF!="Padrão",$H$4=#REF!),BDI!#REF!,IF(AND(#REF!="Diferenciado",$H$4=#REF!),BDI!$E$17,IF(AND(#REF!="Diferenciado",$H$4=#REF!),BDI!#REF!,IF(#REF!="ZERO",0))))),"")</f>
        <v>#REF!</v>
      </c>
      <c r="H2674" s="139" t="str">
        <f t="shared" si="196"/>
        <v/>
      </c>
      <c r="I2674" s="137" t="str">
        <f t="shared" si="197"/>
        <v/>
      </c>
      <c r="J2674" s="117"/>
      <c r="K2674" s="116">
        <v>0</v>
      </c>
      <c r="M2674" s="136" t="s">
        <v>416</v>
      </c>
      <c r="N2674" t="e">
        <v>#REF!</v>
      </c>
      <c r="Q2674" t="s">
        <v>416</v>
      </c>
    </row>
    <row r="2675" spans="1:17" hidden="1" x14ac:dyDescent="0.25">
      <c r="A2675" s="114" t="s">
        <v>5720</v>
      </c>
      <c r="B2675" s="115" t="s">
        <v>5721</v>
      </c>
      <c r="C2675" s="116" t="s">
        <v>16</v>
      </c>
      <c r="D2675" s="116">
        <v>0</v>
      </c>
      <c r="E2675" s="136" t="s">
        <v>416</v>
      </c>
      <c r="F2675" s="137" t="str">
        <f t="shared" si="195"/>
        <v/>
      </c>
      <c r="G2675" s="138" t="e">
        <f>IF(A2675&lt;&gt;"",IF(AND(#REF!="Padrão",$H$4=#REF!),BDI!$B$17,IF(AND(#REF!="Padrão",$H$4=#REF!),BDI!#REF!,IF(AND(#REF!="Diferenciado",$H$4=#REF!),BDI!$E$17,IF(AND(#REF!="Diferenciado",$H$4=#REF!),BDI!#REF!,IF(#REF!="ZERO",0))))),"")</f>
        <v>#REF!</v>
      </c>
      <c r="H2675" s="139" t="str">
        <f t="shared" si="196"/>
        <v/>
      </c>
      <c r="I2675" s="137" t="str">
        <f t="shared" si="197"/>
        <v/>
      </c>
      <c r="J2675" s="117"/>
      <c r="K2675" s="116">
        <v>0</v>
      </c>
      <c r="M2675" s="136" t="s">
        <v>416</v>
      </c>
      <c r="N2675" t="e">
        <v>#REF!</v>
      </c>
      <c r="Q2675" t="s">
        <v>416</v>
      </c>
    </row>
    <row r="2676" spans="1:17" hidden="1" x14ac:dyDescent="0.25">
      <c r="A2676" s="114" t="s">
        <v>5722</v>
      </c>
      <c r="B2676" s="115" t="s">
        <v>5723</v>
      </c>
      <c r="C2676" s="116" t="s">
        <v>16</v>
      </c>
      <c r="D2676" s="116">
        <v>0</v>
      </c>
      <c r="E2676" s="136" t="s">
        <v>416</v>
      </c>
      <c r="F2676" s="137" t="str">
        <f t="shared" si="195"/>
        <v/>
      </c>
      <c r="G2676" s="138" t="e">
        <f>IF(A2676&lt;&gt;"",IF(AND(#REF!="Padrão",$H$4=#REF!),BDI!$B$17,IF(AND(#REF!="Padrão",$H$4=#REF!),BDI!#REF!,IF(AND(#REF!="Diferenciado",$H$4=#REF!),BDI!$E$17,IF(AND(#REF!="Diferenciado",$H$4=#REF!),BDI!#REF!,IF(#REF!="ZERO",0))))),"")</f>
        <v>#REF!</v>
      </c>
      <c r="H2676" s="139" t="str">
        <f t="shared" si="196"/>
        <v/>
      </c>
      <c r="I2676" s="137" t="str">
        <f t="shared" si="197"/>
        <v/>
      </c>
      <c r="J2676" s="117"/>
      <c r="K2676" s="116">
        <v>0</v>
      </c>
      <c r="M2676" s="136" t="s">
        <v>416</v>
      </c>
      <c r="N2676" t="e">
        <v>#REF!</v>
      </c>
      <c r="Q2676" t="s">
        <v>416</v>
      </c>
    </row>
    <row r="2677" spans="1:17" hidden="1" x14ac:dyDescent="0.25">
      <c r="A2677" s="114" t="s">
        <v>5724</v>
      </c>
      <c r="B2677" s="115" t="s">
        <v>5725</v>
      </c>
      <c r="C2677" s="116" t="s">
        <v>16</v>
      </c>
      <c r="D2677" s="116">
        <v>0</v>
      </c>
      <c r="E2677" s="136" t="s">
        <v>416</v>
      </c>
      <c r="F2677" s="137" t="str">
        <f t="shared" si="195"/>
        <v/>
      </c>
      <c r="G2677" s="138" t="e">
        <f>IF(A2677&lt;&gt;"",IF(AND(#REF!="Padrão",$H$4=#REF!),BDI!$B$17,IF(AND(#REF!="Padrão",$H$4=#REF!),BDI!#REF!,IF(AND(#REF!="Diferenciado",$H$4=#REF!),BDI!$E$17,IF(AND(#REF!="Diferenciado",$H$4=#REF!),BDI!#REF!,IF(#REF!="ZERO",0))))),"")</f>
        <v>#REF!</v>
      </c>
      <c r="H2677" s="139" t="str">
        <f t="shared" si="196"/>
        <v/>
      </c>
      <c r="I2677" s="137" t="str">
        <f t="shared" si="197"/>
        <v/>
      </c>
      <c r="J2677" s="117"/>
      <c r="K2677" s="116">
        <v>0</v>
      </c>
      <c r="M2677" s="136" t="s">
        <v>416</v>
      </c>
      <c r="N2677" t="e">
        <v>#REF!</v>
      </c>
      <c r="Q2677" t="s">
        <v>416</v>
      </c>
    </row>
    <row r="2678" spans="1:17" hidden="1" x14ac:dyDescent="0.25">
      <c r="A2678" s="114" t="s">
        <v>5726</v>
      </c>
      <c r="B2678" s="115" t="s">
        <v>5727</v>
      </c>
      <c r="C2678" s="116" t="s">
        <v>16</v>
      </c>
      <c r="D2678" s="116">
        <v>0</v>
      </c>
      <c r="E2678" s="136" t="s">
        <v>416</v>
      </c>
      <c r="F2678" s="137" t="str">
        <f t="shared" si="195"/>
        <v/>
      </c>
      <c r="G2678" s="138" t="e">
        <f>IF(A2678&lt;&gt;"",IF(AND(#REF!="Padrão",$H$4=#REF!),BDI!$B$17,IF(AND(#REF!="Padrão",$H$4=#REF!),BDI!#REF!,IF(AND(#REF!="Diferenciado",$H$4=#REF!),BDI!$E$17,IF(AND(#REF!="Diferenciado",$H$4=#REF!),BDI!#REF!,IF(#REF!="ZERO",0))))),"")</f>
        <v>#REF!</v>
      </c>
      <c r="H2678" s="139" t="str">
        <f t="shared" si="196"/>
        <v/>
      </c>
      <c r="I2678" s="137" t="str">
        <f t="shared" si="197"/>
        <v/>
      </c>
      <c r="J2678" s="117"/>
      <c r="K2678" s="116">
        <v>0</v>
      </c>
      <c r="M2678" s="136" t="s">
        <v>416</v>
      </c>
      <c r="N2678" t="e">
        <v>#REF!</v>
      </c>
      <c r="Q2678" t="s">
        <v>416</v>
      </c>
    </row>
    <row r="2679" spans="1:17" hidden="1" x14ac:dyDescent="0.25">
      <c r="A2679" s="114" t="s">
        <v>5728</v>
      </c>
      <c r="B2679" s="115" t="s">
        <v>5729</v>
      </c>
      <c r="C2679" s="116" t="s">
        <v>16</v>
      </c>
      <c r="D2679" s="116">
        <v>0</v>
      </c>
      <c r="E2679" s="136" t="s">
        <v>416</v>
      </c>
      <c r="F2679" s="137" t="str">
        <f t="shared" si="195"/>
        <v/>
      </c>
      <c r="G2679" s="138" t="e">
        <f>IF(A2679&lt;&gt;"",IF(AND(#REF!="Padrão",$H$4=#REF!),BDI!$B$17,IF(AND(#REF!="Padrão",$H$4=#REF!),BDI!#REF!,IF(AND(#REF!="Diferenciado",$H$4=#REF!),BDI!$E$17,IF(AND(#REF!="Diferenciado",$H$4=#REF!),BDI!#REF!,IF(#REF!="ZERO",0))))),"")</f>
        <v>#REF!</v>
      </c>
      <c r="H2679" s="139" t="str">
        <f t="shared" si="196"/>
        <v/>
      </c>
      <c r="I2679" s="137" t="str">
        <f t="shared" si="197"/>
        <v/>
      </c>
      <c r="J2679" s="117"/>
      <c r="K2679" s="116">
        <v>0</v>
      </c>
      <c r="M2679" s="136" t="s">
        <v>416</v>
      </c>
      <c r="N2679" t="e">
        <v>#REF!</v>
      </c>
      <c r="Q2679" t="s">
        <v>416</v>
      </c>
    </row>
    <row r="2680" spans="1:17" hidden="1" x14ac:dyDescent="0.25">
      <c r="A2680" s="114" t="s">
        <v>5730</v>
      </c>
      <c r="B2680" s="115" t="s">
        <v>5731</v>
      </c>
      <c r="C2680" s="116" t="s">
        <v>16</v>
      </c>
      <c r="D2680" s="116">
        <v>0</v>
      </c>
      <c r="E2680" s="136" t="s">
        <v>416</v>
      </c>
      <c r="F2680" s="137" t="str">
        <f t="shared" si="195"/>
        <v/>
      </c>
      <c r="G2680" s="138" t="e">
        <f>IF(A2680&lt;&gt;"",IF(AND(#REF!="Padrão",$H$4=#REF!),BDI!$B$17,IF(AND(#REF!="Padrão",$H$4=#REF!),BDI!#REF!,IF(AND(#REF!="Diferenciado",$H$4=#REF!),BDI!$E$17,IF(AND(#REF!="Diferenciado",$H$4=#REF!),BDI!#REF!,IF(#REF!="ZERO",0))))),"")</f>
        <v>#REF!</v>
      </c>
      <c r="H2680" s="139" t="str">
        <f t="shared" si="196"/>
        <v/>
      </c>
      <c r="I2680" s="137" t="str">
        <f t="shared" si="197"/>
        <v/>
      </c>
      <c r="J2680" s="117"/>
      <c r="K2680" s="116">
        <v>0</v>
      </c>
      <c r="M2680" s="136" t="s">
        <v>416</v>
      </c>
      <c r="N2680" t="e">
        <v>#REF!</v>
      </c>
      <c r="Q2680" t="s">
        <v>416</v>
      </c>
    </row>
    <row r="2681" spans="1:17" hidden="1" x14ac:dyDescent="0.25">
      <c r="A2681" s="114" t="s">
        <v>5732</v>
      </c>
      <c r="B2681" s="115" t="s">
        <v>5733</v>
      </c>
      <c r="C2681" s="116" t="s">
        <v>16</v>
      </c>
      <c r="D2681" s="116">
        <v>0</v>
      </c>
      <c r="E2681" s="136" t="s">
        <v>416</v>
      </c>
      <c r="F2681" s="137" t="str">
        <f t="shared" si="195"/>
        <v/>
      </c>
      <c r="G2681" s="138" t="e">
        <f>IF(A2681&lt;&gt;"",IF(AND(#REF!="Padrão",$H$4=#REF!),BDI!$B$17,IF(AND(#REF!="Padrão",$H$4=#REF!),BDI!#REF!,IF(AND(#REF!="Diferenciado",$H$4=#REF!),BDI!$E$17,IF(AND(#REF!="Diferenciado",$H$4=#REF!),BDI!#REF!,IF(#REF!="ZERO",0))))),"")</f>
        <v>#REF!</v>
      </c>
      <c r="H2681" s="139" t="str">
        <f t="shared" si="196"/>
        <v/>
      </c>
      <c r="I2681" s="137" t="str">
        <f t="shared" si="197"/>
        <v/>
      </c>
      <c r="J2681" s="117"/>
      <c r="K2681" s="116">
        <v>0</v>
      </c>
      <c r="M2681" s="136" t="s">
        <v>416</v>
      </c>
      <c r="N2681" t="e">
        <v>#REF!</v>
      </c>
      <c r="Q2681" t="s">
        <v>416</v>
      </c>
    </row>
    <row r="2682" spans="1:17" hidden="1" x14ac:dyDescent="0.25">
      <c r="A2682" s="114" t="s">
        <v>5746</v>
      </c>
      <c r="B2682" s="115" t="s">
        <v>5760</v>
      </c>
      <c r="C2682" s="116" t="s">
        <v>16</v>
      </c>
      <c r="D2682" s="116">
        <v>0</v>
      </c>
      <c r="E2682" s="136" t="s">
        <v>416</v>
      </c>
      <c r="F2682" s="137" t="str">
        <f t="shared" ref="F2682:F2695" si="198">IF(ISNUMBER(E2682),D2682*E2682,"")</f>
        <v/>
      </c>
      <c r="G2682" s="138" t="e">
        <f>IF(A2682&lt;&gt;"",IF(AND(#REF!="Padrão",$H$4=#REF!),BDI!$B$17,IF(AND(#REF!="Padrão",$H$4=#REF!),BDI!#REF!,IF(AND(#REF!="Diferenciado",$H$4=#REF!),BDI!$E$17,IF(AND(#REF!="Diferenciado",$H$4=#REF!),BDI!#REF!,IF(#REF!="ZERO",0))))),"")</f>
        <v>#REF!</v>
      </c>
      <c r="H2682" s="139" t="str">
        <f t="shared" ref="H2682:H2695" si="199">IF(ISNUMBER(E2682),ROUND(E2682*(1+G2682),2),"")</f>
        <v/>
      </c>
      <c r="I2682" s="137" t="str">
        <f t="shared" ref="I2682:I2695" si="200">IF(ISNUMBER(E2682),ROUND(H2682*D2682,2),"")</f>
        <v/>
      </c>
      <c r="J2682" s="117"/>
      <c r="K2682" s="116">
        <v>0</v>
      </c>
      <c r="M2682" s="136" t="s">
        <v>416</v>
      </c>
      <c r="N2682" t="e">
        <v>#REF!</v>
      </c>
      <c r="Q2682" t="s">
        <v>416</v>
      </c>
    </row>
    <row r="2683" spans="1:17" hidden="1" x14ac:dyDescent="0.25">
      <c r="A2683" s="114" t="s">
        <v>5747</v>
      </c>
      <c r="B2683" s="115" t="s">
        <v>5761</v>
      </c>
      <c r="C2683" s="116" t="s">
        <v>69</v>
      </c>
      <c r="D2683" s="116">
        <v>0</v>
      </c>
      <c r="E2683" s="136">
        <f ca="1">OFFSET(INDEX(Composições!A:J,MATCH(Orçamentária!A2683,Composições!A:A,0),8),2,0)</f>
        <v>104.06921299999998</v>
      </c>
      <c r="F2683" s="137">
        <f t="shared" ca="1" si="198"/>
        <v>0</v>
      </c>
      <c r="G2683" s="138" t="e">
        <f>IF(A2683&lt;&gt;"",IF(AND(#REF!="Padrão",$H$4=#REF!),BDI!$B$17,IF(AND(#REF!="Padrão",$H$4=#REF!),BDI!#REF!,IF(AND(#REF!="Diferenciado",$H$4=#REF!),BDI!$E$17,IF(AND(#REF!="Diferenciado",$H$4=#REF!),BDI!#REF!,IF(#REF!="ZERO",0))))),"")</f>
        <v>#REF!</v>
      </c>
      <c r="H2683" s="139" t="e">
        <f t="shared" ca="1" si="199"/>
        <v>#REF!</v>
      </c>
      <c r="I2683" s="137" t="e">
        <f t="shared" ca="1" si="200"/>
        <v>#REF!</v>
      </c>
      <c r="J2683" s="117"/>
      <c r="K2683" s="116">
        <v>0</v>
      </c>
      <c r="M2683" s="136" t="e">
        <f ca="1">OFFSET(INDEX([1]Composições!I:R,MATCH([1]Orçamentária!I2683,[1]Composições!I:I,0),8),2,0)</f>
        <v>#REF!</v>
      </c>
      <c r="N2683" t="e">
        <v>#REF!</v>
      </c>
      <c r="Q2683" t="e">
        <v>#REF!</v>
      </c>
    </row>
    <row r="2684" spans="1:17" hidden="1" x14ac:dyDescent="0.25">
      <c r="A2684" s="114" t="s">
        <v>5748</v>
      </c>
      <c r="B2684" s="115" t="s">
        <v>5762</v>
      </c>
      <c r="C2684" s="116" t="s">
        <v>16</v>
      </c>
      <c r="D2684" s="116">
        <v>0</v>
      </c>
      <c r="E2684" s="136">
        <f ca="1">OFFSET(INDEX(Composições!A:J,MATCH(Orçamentária!A2684,Composições!A:A,0),8),2,0)</f>
        <v>80.398499999999999</v>
      </c>
      <c r="F2684" s="137">
        <f t="shared" ca="1" si="198"/>
        <v>0</v>
      </c>
      <c r="G2684" s="138" t="e">
        <f>IF(A2684&lt;&gt;"",IF(AND(#REF!="Padrão",$H$4=#REF!),BDI!$B$17,IF(AND(#REF!="Padrão",$H$4=#REF!),BDI!#REF!,IF(AND(#REF!="Diferenciado",$H$4=#REF!),BDI!$E$17,IF(AND(#REF!="Diferenciado",$H$4=#REF!),BDI!#REF!,IF(#REF!="ZERO",0))))),"")</f>
        <v>#REF!</v>
      </c>
      <c r="H2684" s="139" t="e">
        <f t="shared" ca="1" si="199"/>
        <v>#REF!</v>
      </c>
      <c r="I2684" s="137" t="e">
        <f t="shared" ca="1" si="200"/>
        <v>#REF!</v>
      </c>
      <c r="J2684" s="117"/>
      <c r="K2684" s="116">
        <v>0</v>
      </c>
      <c r="M2684" s="136" t="e">
        <f ca="1">OFFSET(INDEX([1]Composições!I:R,MATCH([1]Orçamentária!I2684,[1]Composições!I:I,0),8),2,0)</f>
        <v>#REF!</v>
      </c>
      <c r="N2684" t="e">
        <v>#REF!</v>
      </c>
      <c r="Q2684" t="e">
        <v>#REF!</v>
      </c>
    </row>
    <row r="2685" spans="1:17" hidden="1" x14ac:dyDescent="0.25">
      <c r="A2685" s="114" t="s">
        <v>5749</v>
      </c>
      <c r="B2685" s="115" t="s">
        <v>5763</v>
      </c>
      <c r="C2685" s="116" t="s">
        <v>16</v>
      </c>
      <c r="D2685" s="116">
        <v>0</v>
      </c>
      <c r="E2685" s="136">
        <f ca="1">OFFSET(INDEX(Composições!A:J,MATCH(Orçamentária!A2685,Composições!A:A,0),8),2,0)</f>
        <v>249.42059999999998</v>
      </c>
      <c r="F2685" s="137">
        <f t="shared" ca="1" si="198"/>
        <v>0</v>
      </c>
      <c r="G2685" s="138" t="e">
        <f>IF(A2685&lt;&gt;"",IF(AND(#REF!="Padrão",$H$4=#REF!),BDI!$B$17,IF(AND(#REF!="Padrão",$H$4=#REF!),BDI!#REF!,IF(AND(#REF!="Diferenciado",$H$4=#REF!),BDI!$E$17,IF(AND(#REF!="Diferenciado",$H$4=#REF!),BDI!#REF!,IF(#REF!="ZERO",0))))),"")</f>
        <v>#REF!</v>
      </c>
      <c r="H2685" s="139" t="e">
        <f t="shared" ca="1" si="199"/>
        <v>#REF!</v>
      </c>
      <c r="I2685" s="137" t="e">
        <f t="shared" ca="1" si="200"/>
        <v>#REF!</v>
      </c>
      <c r="J2685" s="117"/>
      <c r="K2685" s="116">
        <v>0</v>
      </c>
      <c r="M2685" s="136" t="e">
        <f ca="1">OFFSET(INDEX([1]Composições!I:R,MATCH([1]Orçamentária!I2685,[1]Composições!I:I,0),8),2,0)</f>
        <v>#REF!</v>
      </c>
      <c r="N2685" t="e">
        <v>#REF!</v>
      </c>
      <c r="Q2685" t="e">
        <v>#REF!</v>
      </c>
    </row>
    <row r="2686" spans="1:17" hidden="1" x14ac:dyDescent="0.25">
      <c r="A2686" s="114" t="s">
        <v>5750</v>
      </c>
      <c r="B2686" s="115" t="s">
        <v>5764</v>
      </c>
      <c r="C2686" s="116" t="s">
        <v>16</v>
      </c>
      <c r="D2686" s="116">
        <v>0</v>
      </c>
      <c r="E2686" s="136">
        <f ca="1">OFFSET(INDEX(Composições!A:J,MATCH(Orçamentária!A2686,Composições!A:A,0),8),2,0)</f>
        <v>18.202949999999998</v>
      </c>
      <c r="F2686" s="137">
        <f t="shared" ca="1" si="198"/>
        <v>0</v>
      </c>
      <c r="G2686" s="138" t="e">
        <f>IF(A2686&lt;&gt;"",IF(AND(#REF!="Padrão",$H$4=#REF!),BDI!$B$17,IF(AND(#REF!="Padrão",$H$4=#REF!),BDI!#REF!,IF(AND(#REF!="Diferenciado",$H$4=#REF!),BDI!$E$17,IF(AND(#REF!="Diferenciado",$H$4=#REF!),BDI!#REF!,IF(#REF!="ZERO",0))))),"")</f>
        <v>#REF!</v>
      </c>
      <c r="H2686" s="139" t="e">
        <f t="shared" ca="1" si="199"/>
        <v>#REF!</v>
      </c>
      <c r="I2686" s="137" t="e">
        <f t="shared" ca="1" si="200"/>
        <v>#REF!</v>
      </c>
      <c r="J2686" s="117"/>
      <c r="K2686" s="116">
        <v>0</v>
      </c>
      <c r="M2686" s="136" t="e">
        <f ca="1">OFFSET(INDEX([1]Composições!I:R,MATCH([1]Orçamentária!I2686,[1]Composições!I:I,0),8),2,0)</f>
        <v>#REF!</v>
      </c>
      <c r="N2686" t="e">
        <v>#REF!</v>
      </c>
      <c r="Q2686" t="e">
        <v>#REF!</v>
      </c>
    </row>
    <row r="2687" spans="1:17" hidden="1" x14ac:dyDescent="0.25">
      <c r="A2687" s="114" t="s">
        <v>5751</v>
      </c>
      <c r="B2687" s="115" t="s">
        <v>5765</v>
      </c>
      <c r="C2687" s="116" t="s">
        <v>16</v>
      </c>
      <c r="D2687" s="116">
        <v>0</v>
      </c>
      <c r="E2687" s="136">
        <f ca="1">OFFSET(INDEX(Composições!A:J,MATCH(Orçamentária!A2687,Composições!A:A,0),8),2,0)</f>
        <v>27.304424999999998</v>
      </c>
      <c r="F2687" s="137">
        <f t="shared" ca="1" si="198"/>
        <v>0</v>
      </c>
      <c r="G2687" s="138" t="e">
        <f>IF(A2687&lt;&gt;"",IF(AND(#REF!="Padrão",$H$4=#REF!),BDI!$B$17,IF(AND(#REF!="Padrão",$H$4=#REF!),BDI!#REF!,IF(AND(#REF!="Diferenciado",$H$4=#REF!),BDI!$E$17,IF(AND(#REF!="Diferenciado",$H$4=#REF!),BDI!#REF!,IF(#REF!="ZERO",0))))),"")</f>
        <v>#REF!</v>
      </c>
      <c r="H2687" s="139" t="e">
        <f t="shared" ca="1" si="199"/>
        <v>#REF!</v>
      </c>
      <c r="I2687" s="137" t="e">
        <f t="shared" ca="1" si="200"/>
        <v>#REF!</v>
      </c>
      <c r="J2687" s="117"/>
      <c r="K2687" s="116">
        <v>0</v>
      </c>
      <c r="M2687" s="136" t="e">
        <f ca="1">OFFSET(INDEX([1]Composições!I:R,MATCH([1]Orçamentária!I2687,[1]Composições!I:I,0),8),2,0)</f>
        <v>#REF!</v>
      </c>
      <c r="N2687" t="e">
        <v>#REF!</v>
      </c>
      <c r="Q2687" t="e">
        <v>#REF!</v>
      </c>
    </row>
    <row r="2688" spans="1:17" hidden="1" x14ac:dyDescent="0.25">
      <c r="A2688" s="114" t="s">
        <v>5752</v>
      </c>
      <c r="B2688" s="115" t="s">
        <v>5766</v>
      </c>
      <c r="C2688" s="116" t="s">
        <v>69</v>
      </c>
      <c r="D2688" s="116">
        <v>0</v>
      </c>
      <c r="E2688" s="136" t="s">
        <v>416</v>
      </c>
      <c r="F2688" s="137" t="str">
        <f t="shared" si="198"/>
        <v/>
      </c>
      <c r="G2688" s="138" t="e">
        <f>IF(A2688&lt;&gt;"",IF(AND(#REF!="Padrão",$H$4=#REF!),BDI!$B$17,IF(AND(#REF!="Padrão",$H$4=#REF!),BDI!#REF!,IF(AND(#REF!="Diferenciado",$H$4=#REF!),BDI!$E$17,IF(AND(#REF!="Diferenciado",$H$4=#REF!),BDI!#REF!,IF(#REF!="ZERO",0))))),"")</f>
        <v>#REF!</v>
      </c>
      <c r="H2688" s="139" t="str">
        <f t="shared" si="199"/>
        <v/>
      </c>
      <c r="I2688" s="137" t="str">
        <f t="shared" si="200"/>
        <v/>
      </c>
      <c r="J2688" s="117"/>
      <c r="K2688" s="116">
        <v>0</v>
      </c>
      <c r="M2688" s="136" t="s">
        <v>416</v>
      </c>
      <c r="N2688" t="e">
        <v>#REF!</v>
      </c>
      <c r="Q2688" t="s">
        <v>416</v>
      </c>
    </row>
    <row r="2689" spans="1:17" hidden="1" x14ac:dyDescent="0.25">
      <c r="A2689" s="114" t="s">
        <v>5753</v>
      </c>
      <c r="B2689" s="115" t="s">
        <v>5767</v>
      </c>
      <c r="C2689" s="116" t="s">
        <v>69</v>
      </c>
      <c r="D2689" s="116">
        <v>0</v>
      </c>
      <c r="E2689" s="136" t="s">
        <v>416</v>
      </c>
      <c r="F2689" s="137" t="str">
        <f t="shared" si="198"/>
        <v/>
      </c>
      <c r="G2689" s="138" t="e">
        <f>IF(A2689&lt;&gt;"",IF(AND(#REF!="Padrão",$H$4=#REF!),BDI!$B$17,IF(AND(#REF!="Padrão",$H$4=#REF!),BDI!#REF!,IF(AND(#REF!="Diferenciado",$H$4=#REF!),BDI!$E$17,IF(AND(#REF!="Diferenciado",$H$4=#REF!),BDI!#REF!,IF(#REF!="ZERO",0))))),"")</f>
        <v>#REF!</v>
      </c>
      <c r="H2689" s="139" t="str">
        <f t="shared" si="199"/>
        <v/>
      </c>
      <c r="I2689" s="137" t="str">
        <f t="shared" si="200"/>
        <v/>
      </c>
      <c r="J2689" s="117"/>
      <c r="K2689" s="116">
        <v>0</v>
      </c>
      <c r="M2689" s="136" t="s">
        <v>416</v>
      </c>
      <c r="N2689" t="e">
        <v>#REF!</v>
      </c>
      <c r="Q2689" t="s">
        <v>416</v>
      </c>
    </row>
    <row r="2690" spans="1:17" ht="25.5" hidden="1" x14ac:dyDescent="0.25">
      <c r="A2690" s="114" t="s">
        <v>5754</v>
      </c>
      <c r="B2690" s="115" t="s">
        <v>5768</v>
      </c>
      <c r="C2690" s="116" t="s">
        <v>16</v>
      </c>
      <c r="D2690" s="116">
        <v>0</v>
      </c>
      <c r="E2690" s="136" t="s">
        <v>416</v>
      </c>
      <c r="F2690" s="137" t="str">
        <f t="shared" si="198"/>
        <v/>
      </c>
      <c r="G2690" s="138" t="e">
        <f>IF(A2690&lt;&gt;"",IF(AND(#REF!="Padrão",$H$4=#REF!),BDI!$B$17,IF(AND(#REF!="Padrão",$H$4=#REF!),BDI!#REF!,IF(AND(#REF!="Diferenciado",$H$4=#REF!),BDI!$E$17,IF(AND(#REF!="Diferenciado",$H$4=#REF!),BDI!#REF!,IF(#REF!="ZERO",0))))),"")</f>
        <v>#REF!</v>
      </c>
      <c r="H2690" s="139" t="str">
        <f t="shared" si="199"/>
        <v/>
      </c>
      <c r="I2690" s="137" t="str">
        <f t="shared" si="200"/>
        <v/>
      </c>
      <c r="J2690" s="117"/>
      <c r="K2690" s="116">
        <v>0</v>
      </c>
      <c r="M2690" s="136" t="s">
        <v>416</v>
      </c>
      <c r="N2690" t="e">
        <v>#REF!</v>
      </c>
      <c r="Q2690" t="s">
        <v>416</v>
      </c>
    </row>
    <row r="2691" spans="1:17" hidden="1" x14ac:dyDescent="0.25">
      <c r="A2691" s="114" t="s">
        <v>5755</v>
      </c>
      <c r="B2691" s="115" t="s">
        <v>5769</v>
      </c>
      <c r="C2691" s="116" t="s">
        <v>16</v>
      </c>
      <c r="D2691" s="116">
        <v>0</v>
      </c>
      <c r="E2691" s="136" t="s">
        <v>416</v>
      </c>
      <c r="F2691" s="137" t="str">
        <f t="shared" si="198"/>
        <v/>
      </c>
      <c r="G2691" s="138" t="e">
        <f>IF(A2691&lt;&gt;"",IF(AND(#REF!="Padrão",$H$4=#REF!),BDI!$B$17,IF(AND(#REF!="Padrão",$H$4=#REF!),BDI!#REF!,IF(AND(#REF!="Diferenciado",$H$4=#REF!),BDI!$E$17,IF(AND(#REF!="Diferenciado",$H$4=#REF!),BDI!#REF!,IF(#REF!="ZERO",0))))),"")</f>
        <v>#REF!</v>
      </c>
      <c r="H2691" s="139" t="str">
        <f t="shared" si="199"/>
        <v/>
      </c>
      <c r="I2691" s="137" t="str">
        <f t="shared" si="200"/>
        <v/>
      </c>
      <c r="J2691" s="117"/>
      <c r="K2691" s="116">
        <v>0</v>
      </c>
      <c r="M2691" s="136" t="s">
        <v>416</v>
      </c>
      <c r="N2691" t="e">
        <v>#REF!</v>
      </c>
      <c r="Q2691" t="s">
        <v>416</v>
      </c>
    </row>
    <row r="2692" spans="1:17" hidden="1" x14ac:dyDescent="0.25">
      <c r="A2692" s="114" t="s">
        <v>5756</v>
      </c>
      <c r="B2692" s="115" t="s">
        <v>5770</v>
      </c>
      <c r="C2692" s="116" t="s">
        <v>16</v>
      </c>
      <c r="D2692" s="116">
        <v>0</v>
      </c>
      <c r="E2692" s="136" t="s">
        <v>416</v>
      </c>
      <c r="F2692" s="137" t="str">
        <f t="shared" si="198"/>
        <v/>
      </c>
      <c r="G2692" s="138" t="e">
        <f>IF(A2692&lt;&gt;"",IF(AND(#REF!="Padrão",$H$4=#REF!),BDI!$B$17,IF(AND(#REF!="Padrão",$H$4=#REF!),BDI!#REF!,IF(AND(#REF!="Diferenciado",$H$4=#REF!),BDI!$E$17,IF(AND(#REF!="Diferenciado",$H$4=#REF!),BDI!#REF!,IF(#REF!="ZERO",0))))),"")</f>
        <v>#REF!</v>
      </c>
      <c r="H2692" s="139" t="str">
        <f t="shared" si="199"/>
        <v/>
      </c>
      <c r="I2692" s="137" t="str">
        <f t="shared" si="200"/>
        <v/>
      </c>
      <c r="J2692" s="117"/>
      <c r="K2692" s="116">
        <v>0</v>
      </c>
      <c r="M2692" s="136" t="s">
        <v>416</v>
      </c>
      <c r="N2692" t="e">
        <v>#REF!</v>
      </c>
      <c r="Q2692" t="s">
        <v>416</v>
      </c>
    </row>
    <row r="2693" spans="1:17" hidden="1" x14ac:dyDescent="0.25">
      <c r="A2693" s="114" t="s">
        <v>5757</v>
      </c>
      <c r="B2693" s="115" t="s">
        <v>5771</v>
      </c>
      <c r="C2693" s="116" t="s">
        <v>16</v>
      </c>
      <c r="D2693" s="116">
        <v>0</v>
      </c>
      <c r="E2693" s="136" t="s">
        <v>416</v>
      </c>
      <c r="F2693" s="137" t="str">
        <f t="shared" si="198"/>
        <v/>
      </c>
      <c r="G2693" s="138" t="e">
        <f>IF(A2693&lt;&gt;"",IF(AND(#REF!="Padrão",$H$4=#REF!),BDI!$B$17,IF(AND(#REF!="Padrão",$H$4=#REF!),BDI!#REF!,IF(AND(#REF!="Diferenciado",$H$4=#REF!),BDI!$E$17,IF(AND(#REF!="Diferenciado",$H$4=#REF!),BDI!#REF!,IF(#REF!="ZERO",0))))),"")</f>
        <v>#REF!</v>
      </c>
      <c r="H2693" s="139" t="str">
        <f t="shared" si="199"/>
        <v/>
      </c>
      <c r="I2693" s="137" t="str">
        <f t="shared" si="200"/>
        <v/>
      </c>
      <c r="J2693" s="117"/>
      <c r="K2693" s="116">
        <v>0</v>
      </c>
      <c r="M2693" s="136" t="s">
        <v>416</v>
      </c>
      <c r="N2693" t="e">
        <v>#REF!</v>
      </c>
      <c r="Q2693" t="s">
        <v>416</v>
      </c>
    </row>
    <row r="2694" spans="1:17" hidden="1" x14ac:dyDescent="0.25">
      <c r="A2694" s="114" t="s">
        <v>5758</v>
      </c>
      <c r="B2694" s="115" t="s">
        <v>5772</v>
      </c>
      <c r="C2694" s="116" t="s">
        <v>70</v>
      </c>
      <c r="D2694" s="116">
        <v>0</v>
      </c>
      <c r="E2694" s="136">
        <f ca="1">OFFSET(INDEX(Composições!A:J,MATCH(Orçamentária!A2694,Composições!A:A,0),8),2,0)</f>
        <v>20.647394999999996</v>
      </c>
      <c r="F2694" s="137">
        <f t="shared" ca="1" si="198"/>
        <v>0</v>
      </c>
      <c r="G2694" s="138" t="e">
        <f>IF(A2694&lt;&gt;"",IF(AND(#REF!="Padrão",$H$4=#REF!),BDI!$B$17,IF(AND(#REF!="Padrão",$H$4=#REF!),BDI!#REF!,IF(AND(#REF!="Diferenciado",$H$4=#REF!),BDI!$E$17,IF(AND(#REF!="Diferenciado",$H$4=#REF!),BDI!#REF!,IF(#REF!="ZERO",0))))),"")</f>
        <v>#REF!</v>
      </c>
      <c r="H2694" s="139" t="e">
        <f t="shared" ca="1" si="199"/>
        <v>#REF!</v>
      </c>
      <c r="I2694" s="137" t="e">
        <f t="shared" ca="1" si="200"/>
        <v>#REF!</v>
      </c>
      <c r="J2694" s="117"/>
      <c r="K2694" s="116">
        <v>0</v>
      </c>
      <c r="M2694" s="136" t="e">
        <f ca="1">OFFSET(INDEX([1]Composições!I:R,MATCH([1]Orçamentária!I2694,[1]Composições!I:I,0),8),2,0)</f>
        <v>#REF!</v>
      </c>
      <c r="N2694" t="e">
        <v>#REF!</v>
      </c>
      <c r="Q2694" t="e">
        <v>#REF!</v>
      </c>
    </row>
    <row r="2695" spans="1:17" hidden="1" x14ac:dyDescent="0.25">
      <c r="A2695" s="114" t="s">
        <v>5759</v>
      </c>
      <c r="B2695" s="115" t="s">
        <v>5773</v>
      </c>
      <c r="C2695" s="116" t="s">
        <v>70</v>
      </c>
      <c r="D2695" s="116">
        <v>0</v>
      </c>
      <c r="E2695" s="136">
        <f ca="1">OFFSET(INDEX(Composições!A:J,MATCH(Orçamentária!A2695,Composições!A:A,0),8),2,0)</f>
        <v>3.2755895499999994</v>
      </c>
      <c r="F2695" s="137">
        <f t="shared" ca="1" si="198"/>
        <v>0</v>
      </c>
      <c r="G2695" s="138" t="e">
        <f>IF(A2695&lt;&gt;"",IF(AND(#REF!="Padrão",$H$4=#REF!),BDI!$B$17,IF(AND(#REF!="Padrão",$H$4=#REF!),BDI!#REF!,IF(AND(#REF!="Diferenciado",$H$4=#REF!),BDI!$E$17,IF(AND(#REF!="Diferenciado",$H$4=#REF!),BDI!#REF!,IF(#REF!="ZERO",0))))),"")</f>
        <v>#REF!</v>
      </c>
      <c r="H2695" s="139" t="e">
        <f t="shared" ca="1" si="199"/>
        <v>#REF!</v>
      </c>
      <c r="I2695" s="137" t="e">
        <f t="shared" ca="1" si="200"/>
        <v>#REF!</v>
      </c>
      <c r="J2695" s="117"/>
      <c r="K2695" s="116">
        <v>0</v>
      </c>
      <c r="M2695" s="136" t="e">
        <f ca="1">OFFSET(INDEX([1]Composições!I:R,MATCH([1]Orçamentária!I2695,[1]Composições!I:I,0),8),2,0)</f>
        <v>#REF!</v>
      </c>
      <c r="N2695" t="e">
        <v>#REF!</v>
      </c>
      <c r="Q2695" t="e">
        <v>#REF!</v>
      </c>
    </row>
    <row r="2696" spans="1:17" hidden="1" x14ac:dyDescent="0.25">
      <c r="A2696" s="114" t="s">
        <v>5789</v>
      </c>
      <c r="B2696" s="115" t="s">
        <v>6606</v>
      </c>
      <c r="C2696" s="116" t="s">
        <v>70</v>
      </c>
      <c r="D2696" s="116">
        <v>0</v>
      </c>
      <c r="E2696" s="136">
        <f ca="1">OFFSET(INDEX(Composições!A:J,MATCH(Orçamentária!A2696,Composições!A:A,0),8),2,0)</f>
        <v>21.940249999999999</v>
      </c>
      <c r="F2696" s="137">
        <f t="shared" ref="F2696:F2707" ca="1" si="201">IF(ISNUMBER(E2696),D2696*E2696,"")</f>
        <v>0</v>
      </c>
      <c r="G2696" s="138" t="e">
        <f>IF(A2696&lt;&gt;"",IF(AND(#REF!="Padrão",$H$4=#REF!),BDI!$B$17,IF(AND(#REF!="Padrão",$H$4=#REF!),BDI!#REF!,IF(AND(#REF!="Diferenciado",$H$4=#REF!),BDI!$E$17,IF(AND(#REF!="Diferenciado",$H$4=#REF!),BDI!#REF!,IF(#REF!="ZERO",0))))),"")</f>
        <v>#REF!</v>
      </c>
      <c r="H2696" s="139" t="e">
        <f t="shared" ref="H2696:H2707" ca="1" si="202">IF(ISNUMBER(E2696),ROUND(E2696*(1+G2696),2),"")</f>
        <v>#REF!</v>
      </c>
      <c r="I2696" s="137" t="e">
        <f t="shared" ref="I2696:I2707" ca="1" si="203">IF(ISNUMBER(E2696),ROUND(H2696*D2696,2),"")</f>
        <v>#REF!</v>
      </c>
      <c r="J2696" s="117"/>
      <c r="K2696" s="116">
        <v>0</v>
      </c>
      <c r="M2696" s="136" t="e">
        <f ca="1">OFFSET(INDEX([1]Composições!I:R,MATCH([1]Orçamentária!I2696,[1]Composições!I:I,0),8),2,0)</f>
        <v>#REF!</v>
      </c>
      <c r="N2696" t="e">
        <v>#REF!</v>
      </c>
      <c r="Q2696" t="e">
        <v>#REF!</v>
      </c>
    </row>
    <row r="2697" spans="1:17" hidden="1" x14ac:dyDescent="0.25">
      <c r="A2697" s="114" t="s">
        <v>5790</v>
      </c>
      <c r="B2697" s="115" t="s">
        <v>3455</v>
      </c>
      <c r="C2697" s="116" t="s">
        <v>16</v>
      </c>
      <c r="D2697" s="116">
        <v>0</v>
      </c>
      <c r="E2697" s="136">
        <f ca="1">OFFSET(INDEX(Composições!A:J,MATCH(Orçamentária!A2697,Composições!A:A,0),8),2,0)</f>
        <v>50.005854899999996</v>
      </c>
      <c r="F2697" s="137">
        <f t="shared" ca="1" si="201"/>
        <v>0</v>
      </c>
      <c r="G2697" s="138" t="e">
        <f>IF(A2697&lt;&gt;"",IF(AND(#REF!="Padrão",$H$4=#REF!),BDI!$B$17,IF(AND(#REF!="Padrão",$H$4=#REF!),BDI!#REF!,IF(AND(#REF!="Diferenciado",$H$4=#REF!),BDI!$E$17,IF(AND(#REF!="Diferenciado",$H$4=#REF!),BDI!#REF!,IF(#REF!="ZERO",0))))),"")</f>
        <v>#REF!</v>
      </c>
      <c r="H2697" s="139" t="e">
        <f t="shared" ca="1" si="202"/>
        <v>#REF!</v>
      </c>
      <c r="I2697" s="137" t="e">
        <f t="shared" ca="1" si="203"/>
        <v>#REF!</v>
      </c>
      <c r="J2697" s="117"/>
      <c r="K2697" s="116">
        <v>0</v>
      </c>
      <c r="M2697" s="136" t="e">
        <f ca="1">OFFSET(INDEX([1]Composições!I:R,MATCH([1]Orçamentária!I2697,[1]Composições!I:I,0),8),2,0)</f>
        <v>#REF!</v>
      </c>
      <c r="N2697" t="e">
        <v>#REF!</v>
      </c>
      <c r="Q2697" t="e">
        <v>#REF!</v>
      </c>
    </row>
    <row r="2698" spans="1:17" ht="25.5" hidden="1" x14ac:dyDescent="0.25">
      <c r="A2698" s="114" t="s">
        <v>5791</v>
      </c>
      <c r="B2698" s="115" t="s">
        <v>5802</v>
      </c>
      <c r="C2698" s="116" t="s">
        <v>16</v>
      </c>
      <c r="D2698" s="116">
        <v>0</v>
      </c>
      <c r="E2698" s="136" t="s">
        <v>416</v>
      </c>
      <c r="F2698" s="137" t="str">
        <f t="shared" si="201"/>
        <v/>
      </c>
      <c r="G2698" s="138" t="e">
        <f>IF(A2698&lt;&gt;"",IF(AND(#REF!="Padrão",$H$4=#REF!),BDI!$B$17,IF(AND(#REF!="Padrão",$H$4=#REF!),BDI!#REF!,IF(AND(#REF!="Diferenciado",$H$4=#REF!),BDI!$E$17,IF(AND(#REF!="Diferenciado",$H$4=#REF!),BDI!#REF!,IF(#REF!="ZERO",0))))),"")</f>
        <v>#REF!</v>
      </c>
      <c r="H2698" s="139" t="str">
        <f t="shared" si="202"/>
        <v/>
      </c>
      <c r="I2698" s="137" t="str">
        <f t="shared" si="203"/>
        <v/>
      </c>
      <c r="J2698" s="117"/>
      <c r="K2698" s="116">
        <v>0</v>
      </c>
      <c r="M2698" s="136" t="s">
        <v>416</v>
      </c>
      <c r="N2698" t="e">
        <v>#REF!</v>
      </c>
      <c r="Q2698" t="s">
        <v>416</v>
      </c>
    </row>
    <row r="2699" spans="1:17" hidden="1" x14ac:dyDescent="0.25">
      <c r="A2699" s="114" t="s">
        <v>5792</v>
      </c>
      <c r="B2699" s="115" t="s">
        <v>5803</v>
      </c>
      <c r="C2699" s="116" t="s">
        <v>16</v>
      </c>
      <c r="D2699" s="116">
        <v>0</v>
      </c>
      <c r="E2699" s="136" t="s">
        <v>416</v>
      </c>
      <c r="F2699" s="137" t="str">
        <f t="shared" si="201"/>
        <v/>
      </c>
      <c r="G2699" s="138" t="e">
        <f>IF(A2699&lt;&gt;"",IF(AND(#REF!="Padrão",$H$4=#REF!),BDI!$B$17,IF(AND(#REF!="Padrão",$H$4=#REF!),BDI!#REF!,IF(AND(#REF!="Diferenciado",$H$4=#REF!),BDI!$E$17,IF(AND(#REF!="Diferenciado",$H$4=#REF!),BDI!#REF!,IF(#REF!="ZERO",0))))),"")</f>
        <v>#REF!</v>
      </c>
      <c r="H2699" s="139" t="str">
        <f t="shared" si="202"/>
        <v/>
      </c>
      <c r="I2699" s="137" t="str">
        <f t="shared" si="203"/>
        <v/>
      </c>
      <c r="J2699" s="117"/>
      <c r="K2699" s="116">
        <v>0</v>
      </c>
      <c r="M2699" s="136" t="s">
        <v>416</v>
      </c>
      <c r="N2699" t="e">
        <v>#REF!</v>
      </c>
      <c r="Q2699" t="s">
        <v>416</v>
      </c>
    </row>
    <row r="2700" spans="1:17" hidden="1" x14ac:dyDescent="0.25">
      <c r="A2700" s="114" t="s">
        <v>5793</v>
      </c>
      <c r="B2700" s="115" t="s">
        <v>5804</v>
      </c>
      <c r="C2700" s="116" t="s">
        <v>16</v>
      </c>
      <c r="D2700" s="116">
        <v>0</v>
      </c>
      <c r="E2700" s="136" t="s">
        <v>416</v>
      </c>
      <c r="F2700" s="137" t="str">
        <f t="shared" si="201"/>
        <v/>
      </c>
      <c r="G2700" s="138" t="e">
        <f>IF(A2700&lt;&gt;"",IF(AND(#REF!="Padrão",$H$4=#REF!),BDI!$B$17,IF(AND(#REF!="Padrão",$H$4=#REF!),BDI!#REF!,IF(AND(#REF!="Diferenciado",$H$4=#REF!),BDI!$E$17,IF(AND(#REF!="Diferenciado",$H$4=#REF!),BDI!#REF!,IF(#REF!="ZERO",0))))),"")</f>
        <v>#REF!</v>
      </c>
      <c r="H2700" s="139" t="str">
        <f t="shared" si="202"/>
        <v/>
      </c>
      <c r="I2700" s="137" t="str">
        <f t="shared" si="203"/>
        <v/>
      </c>
      <c r="J2700" s="117"/>
      <c r="K2700" s="116">
        <v>0</v>
      </c>
      <c r="M2700" s="136" t="s">
        <v>416</v>
      </c>
      <c r="N2700" t="e">
        <v>#REF!</v>
      </c>
      <c r="Q2700" t="s">
        <v>416</v>
      </c>
    </row>
    <row r="2701" spans="1:17" ht="25.5" hidden="1" x14ac:dyDescent="0.25">
      <c r="A2701" s="114" t="s">
        <v>5794</v>
      </c>
      <c r="B2701" s="115" t="s">
        <v>5805</v>
      </c>
      <c r="C2701" s="116" t="s">
        <v>4170</v>
      </c>
      <c r="D2701" s="116">
        <v>0</v>
      </c>
      <c r="E2701" s="136" t="s">
        <v>416</v>
      </c>
      <c r="F2701" s="137" t="str">
        <f t="shared" si="201"/>
        <v/>
      </c>
      <c r="G2701" s="138" t="e">
        <f>IF(A2701&lt;&gt;"",IF(AND(#REF!="Padrão",$H$4=#REF!),BDI!$B$17,IF(AND(#REF!="Padrão",$H$4=#REF!),BDI!#REF!,IF(AND(#REF!="Diferenciado",$H$4=#REF!),BDI!$E$17,IF(AND(#REF!="Diferenciado",$H$4=#REF!),BDI!#REF!,IF(#REF!="ZERO",0))))),"")</f>
        <v>#REF!</v>
      </c>
      <c r="H2701" s="139" t="str">
        <f t="shared" si="202"/>
        <v/>
      </c>
      <c r="I2701" s="137" t="str">
        <f t="shared" si="203"/>
        <v/>
      </c>
      <c r="J2701" s="117"/>
      <c r="K2701" s="116">
        <v>0</v>
      </c>
      <c r="M2701" s="136" t="s">
        <v>416</v>
      </c>
      <c r="N2701" t="e">
        <v>#REF!</v>
      </c>
      <c r="Q2701" t="s">
        <v>416</v>
      </c>
    </row>
    <row r="2702" spans="1:17" ht="25.5" hidden="1" x14ac:dyDescent="0.25">
      <c r="A2702" s="114" t="s">
        <v>5795</v>
      </c>
      <c r="B2702" s="115" t="s">
        <v>5806</v>
      </c>
      <c r="C2702" s="116" t="s">
        <v>16</v>
      </c>
      <c r="D2702" s="116">
        <v>0</v>
      </c>
      <c r="E2702" s="136" t="s">
        <v>416</v>
      </c>
      <c r="F2702" s="137" t="str">
        <f t="shared" si="201"/>
        <v/>
      </c>
      <c r="G2702" s="138" t="e">
        <f>IF(A2702&lt;&gt;"",IF(AND(#REF!="Padrão",$H$4=#REF!),BDI!$B$17,IF(AND(#REF!="Padrão",$H$4=#REF!),BDI!#REF!,IF(AND(#REF!="Diferenciado",$H$4=#REF!),BDI!$E$17,IF(AND(#REF!="Diferenciado",$H$4=#REF!),BDI!#REF!,IF(#REF!="ZERO",0))))),"")</f>
        <v>#REF!</v>
      </c>
      <c r="H2702" s="139" t="str">
        <f t="shared" si="202"/>
        <v/>
      </c>
      <c r="I2702" s="137" t="str">
        <f t="shared" si="203"/>
        <v/>
      </c>
      <c r="J2702" s="117"/>
      <c r="K2702" s="116">
        <v>0</v>
      </c>
      <c r="M2702" s="136" t="s">
        <v>416</v>
      </c>
      <c r="N2702" t="e">
        <v>#REF!</v>
      </c>
      <c r="Q2702" t="s">
        <v>416</v>
      </c>
    </row>
    <row r="2703" spans="1:17" hidden="1" x14ac:dyDescent="0.25">
      <c r="A2703" s="114" t="s">
        <v>5796</v>
      </c>
      <c r="B2703" s="115" t="s">
        <v>5807</v>
      </c>
      <c r="C2703" s="116" t="s">
        <v>70</v>
      </c>
      <c r="D2703" s="116">
        <v>0</v>
      </c>
      <c r="E2703" s="136" t="s">
        <v>416</v>
      </c>
      <c r="F2703" s="137" t="str">
        <f t="shared" si="201"/>
        <v/>
      </c>
      <c r="G2703" s="138" t="e">
        <f>IF(A2703&lt;&gt;"",IF(AND(#REF!="Padrão",$H$4=#REF!),BDI!$B$17,IF(AND(#REF!="Padrão",$H$4=#REF!),BDI!#REF!,IF(AND(#REF!="Diferenciado",$H$4=#REF!),BDI!$E$17,IF(AND(#REF!="Diferenciado",$H$4=#REF!),BDI!#REF!,IF(#REF!="ZERO",0))))),"")</f>
        <v>#REF!</v>
      </c>
      <c r="H2703" s="139" t="str">
        <f t="shared" si="202"/>
        <v/>
      </c>
      <c r="I2703" s="137" t="str">
        <f t="shared" si="203"/>
        <v/>
      </c>
      <c r="J2703" s="117"/>
      <c r="K2703" s="116">
        <v>0</v>
      </c>
      <c r="M2703" s="136" t="s">
        <v>416</v>
      </c>
      <c r="N2703" t="e">
        <v>#REF!</v>
      </c>
      <c r="Q2703" t="s">
        <v>416</v>
      </c>
    </row>
    <row r="2704" spans="1:17" hidden="1" x14ac:dyDescent="0.25">
      <c r="A2704" s="114" t="s">
        <v>5797</v>
      </c>
      <c r="B2704" s="115" t="s">
        <v>5808</v>
      </c>
      <c r="C2704" s="116" t="s">
        <v>70</v>
      </c>
      <c r="D2704" s="116">
        <v>0</v>
      </c>
      <c r="E2704" s="136" t="s">
        <v>416</v>
      </c>
      <c r="F2704" s="137" t="str">
        <f t="shared" si="201"/>
        <v/>
      </c>
      <c r="G2704" s="138" t="e">
        <f>IF(A2704&lt;&gt;"",IF(AND(#REF!="Padrão",$H$4=#REF!),BDI!$B$17,IF(AND(#REF!="Padrão",$H$4=#REF!),BDI!#REF!,IF(AND(#REF!="Diferenciado",$H$4=#REF!),BDI!$E$17,IF(AND(#REF!="Diferenciado",$H$4=#REF!),BDI!#REF!,IF(#REF!="ZERO",0))))),"")</f>
        <v>#REF!</v>
      </c>
      <c r="H2704" s="139" t="str">
        <f t="shared" si="202"/>
        <v/>
      </c>
      <c r="I2704" s="137" t="str">
        <f t="shared" si="203"/>
        <v/>
      </c>
      <c r="J2704" s="117"/>
      <c r="K2704" s="116">
        <v>0</v>
      </c>
      <c r="M2704" s="136" t="s">
        <v>416</v>
      </c>
      <c r="N2704" t="e">
        <v>#REF!</v>
      </c>
      <c r="Q2704" t="s">
        <v>416</v>
      </c>
    </row>
    <row r="2705" spans="1:19" hidden="1" x14ac:dyDescent="0.25">
      <c r="A2705" s="114" t="s">
        <v>5798</v>
      </c>
      <c r="B2705" s="115" t="s">
        <v>5809</v>
      </c>
      <c r="C2705" s="116" t="s">
        <v>70</v>
      </c>
      <c r="D2705" s="116">
        <v>0</v>
      </c>
      <c r="E2705" s="136" t="s">
        <v>416</v>
      </c>
      <c r="F2705" s="137" t="str">
        <f t="shared" si="201"/>
        <v/>
      </c>
      <c r="G2705" s="138" t="e">
        <f>IF(A2705&lt;&gt;"",IF(AND(#REF!="Padrão",$H$4=#REF!),BDI!$B$17,IF(AND(#REF!="Padrão",$H$4=#REF!),BDI!#REF!,IF(AND(#REF!="Diferenciado",$H$4=#REF!),BDI!$E$17,IF(AND(#REF!="Diferenciado",$H$4=#REF!),BDI!#REF!,IF(#REF!="ZERO",0))))),"")</f>
        <v>#REF!</v>
      </c>
      <c r="H2705" s="139" t="str">
        <f t="shared" si="202"/>
        <v/>
      </c>
      <c r="I2705" s="137" t="str">
        <f t="shared" si="203"/>
        <v/>
      </c>
      <c r="J2705" s="117"/>
      <c r="K2705" s="116">
        <v>0</v>
      </c>
      <c r="M2705" s="136" t="s">
        <v>416</v>
      </c>
      <c r="N2705" t="e">
        <v>#REF!</v>
      </c>
      <c r="Q2705" t="s">
        <v>416</v>
      </c>
    </row>
    <row r="2706" spans="1:19" x14ac:dyDescent="0.25">
      <c r="A2706" s="172" t="s">
        <v>5799</v>
      </c>
      <c r="B2706" s="173" t="s">
        <v>5810</v>
      </c>
      <c r="C2706" s="174" t="s">
        <v>70</v>
      </c>
      <c r="D2706" s="174">
        <v>15</v>
      </c>
      <c r="E2706" s="136">
        <f ca="1">OFFSET(INDEX(Composições!A:J,MATCH(Orçamentária!A2706,Composições!A:A,0),8),2,0)</f>
        <v>14.735709349999999</v>
      </c>
      <c r="F2706" s="137">
        <f t="shared" ca="1" si="201"/>
        <v>221.03564024999997</v>
      </c>
      <c r="G2706" s="138">
        <f>BDI!$B$17</f>
        <v>0.191</v>
      </c>
      <c r="H2706" s="139">
        <f t="shared" ca="1" si="202"/>
        <v>17.55</v>
      </c>
      <c r="I2706" s="137">
        <f t="shared" ca="1" si="203"/>
        <v>263.25</v>
      </c>
      <c r="J2706" s="117"/>
      <c r="K2706" s="253">
        <v>15</v>
      </c>
      <c r="L2706" s="236" t="str">
        <f t="shared" ref="L2706:L2707" si="204">IF(D2706&lt;&gt;K2706,"ERRO","-")</f>
        <v>-</v>
      </c>
      <c r="M2706" s="136">
        <f ca="1">OFFSET(INDEX(Composições!A:S,MATCH(A2706,Composições!A:A,0),15),2,0)</f>
        <v>12.613767203599998</v>
      </c>
      <c r="N2706" s="237">
        <v>0.191</v>
      </c>
      <c r="O2706" s="236">
        <f t="shared" ref="O2706:O2707" ca="1" si="205">ROUND(M2706*(1+N2706),2)</f>
        <v>15.02</v>
      </c>
      <c r="P2706" s="238">
        <f t="shared" ref="P2706:P2707" ca="1" si="206">ROUND(K2706*O2706,2)</f>
        <v>225.3</v>
      </c>
      <c r="Q2706" s="236">
        <v>225.3</v>
      </c>
      <c r="R2706" s="236">
        <f t="shared" ref="R2706:R2707" ca="1" si="207">P2706-Q2706</f>
        <v>0</v>
      </c>
      <c r="S2706" s="239">
        <f t="shared" ref="S2706:S2707" ca="1" si="208">IF(ISNUMBER(O2706),1-P2706/$I2706,"")</f>
        <v>0.14415954415954413</v>
      </c>
    </row>
    <row r="2707" spans="1:19" x14ac:dyDescent="0.25">
      <c r="A2707" s="172" t="s">
        <v>5800</v>
      </c>
      <c r="B2707" s="173" t="s">
        <v>5811</v>
      </c>
      <c r="C2707" s="174" t="s">
        <v>70</v>
      </c>
      <c r="D2707" s="174">
        <v>11</v>
      </c>
      <c r="E2707" s="136">
        <f ca="1">OFFSET(INDEX(Composições!A:J,MATCH(Orçamentária!A2707,Composições!A:A,0),8),2,0)</f>
        <v>21.90984525</v>
      </c>
      <c r="F2707" s="137">
        <f t="shared" ca="1" si="201"/>
        <v>241.00829775</v>
      </c>
      <c r="G2707" s="138">
        <f>BDI!$B$17</f>
        <v>0.191</v>
      </c>
      <c r="H2707" s="139">
        <f t="shared" ca="1" si="202"/>
        <v>26.09</v>
      </c>
      <c r="I2707" s="137">
        <f t="shared" ca="1" si="203"/>
        <v>286.99</v>
      </c>
      <c r="J2707" s="117"/>
      <c r="K2707" s="253">
        <v>11</v>
      </c>
      <c r="L2707" s="236" t="str">
        <f t="shared" si="204"/>
        <v>-</v>
      </c>
      <c r="M2707" s="136">
        <f ca="1">OFFSET(INDEX(Composições!A:S,MATCH(A2707,Composições!A:A,0),15),2,0)</f>
        <v>18.754827534</v>
      </c>
      <c r="N2707" s="237">
        <v>0.191</v>
      </c>
      <c r="O2707" s="236">
        <f t="shared" ca="1" si="205"/>
        <v>22.34</v>
      </c>
      <c r="P2707" s="238">
        <f t="shared" ca="1" si="206"/>
        <v>245.74</v>
      </c>
      <c r="Q2707" s="236">
        <v>245.74</v>
      </c>
      <c r="R2707" s="236">
        <f t="shared" ca="1" si="207"/>
        <v>0</v>
      </c>
      <c r="S2707" s="239">
        <f t="shared" ca="1" si="208"/>
        <v>0.1437332311230356</v>
      </c>
    </row>
    <row r="2708" spans="1:19" hidden="1" x14ac:dyDescent="0.25">
      <c r="A2708" s="114" t="s">
        <v>5801</v>
      </c>
      <c r="B2708" s="115" t="s">
        <v>7384</v>
      </c>
      <c r="C2708" s="116" t="s">
        <v>16</v>
      </c>
      <c r="D2708" s="116">
        <v>0</v>
      </c>
      <c r="E2708" s="136">
        <f ca="1">OFFSET(INDEX(Composições!A:J,MATCH(Orçamentária!A2708,Composições!A:A,0),8),2,0)</f>
        <v>107.54428829999999</v>
      </c>
      <c r="F2708" s="137">
        <f ca="1">IF(ISNUMBER(E2708),D2708*E2708,"")</f>
        <v>0</v>
      </c>
      <c r="G2708" s="138" t="e">
        <f>IF(A2708&lt;&gt;"",IF(AND(#REF!="Padrão",$H$4=#REF!),BDI!$B$17,IF(AND(#REF!="Padrão",$H$4=#REF!),BDI!#REF!,IF(AND(#REF!="Diferenciado",$H$4=#REF!),BDI!$E$17,IF(AND(#REF!="Diferenciado",$H$4=#REF!),BDI!#REF!,IF(#REF!="ZERO",0))))),"")</f>
        <v>#REF!</v>
      </c>
      <c r="H2708" s="139" t="e">
        <f ca="1">IF(ISNUMBER(E2708),ROUND(E2708*(1+G2708),2),"")</f>
        <v>#REF!</v>
      </c>
      <c r="I2708" s="137" t="e">
        <f ca="1">IF(ISNUMBER(E2708),ROUND(H2708*D2708,2),"")</f>
        <v>#REF!</v>
      </c>
      <c r="J2708" s="117"/>
      <c r="K2708" s="116">
        <v>0</v>
      </c>
      <c r="M2708" s="136" t="e">
        <f ca="1">OFFSET(INDEX([1]Composições!I:R,MATCH([1]Orçamentária!I2708,[1]Composições!I:I,0),8),2,0)</f>
        <v>#REF!</v>
      </c>
      <c r="N2708" t="e">
        <v>#REF!</v>
      </c>
      <c r="Q2708" t="e">
        <v>#REF!</v>
      </c>
    </row>
    <row r="2709" spans="1:19" hidden="1" x14ac:dyDescent="0.25">
      <c r="A2709" s="114" t="s">
        <v>5812</v>
      </c>
      <c r="B2709" s="115" t="s">
        <v>5859</v>
      </c>
      <c r="C2709" s="116" t="s">
        <v>16</v>
      </c>
      <c r="D2709" s="116">
        <v>0</v>
      </c>
      <c r="E2709" s="136">
        <f ca="1">OFFSET(INDEX(Composições!A:J,MATCH(Orçamentária!A2709,Composições!A:A,0),8),2,0)</f>
        <v>213.80876699999999</v>
      </c>
      <c r="F2709" s="137">
        <f ca="1">IF(ISNUMBER(E2709),D2709*E2709,"")</f>
        <v>0</v>
      </c>
      <c r="G2709" s="138" t="e">
        <f>IF(A2709&lt;&gt;"",IF(AND(#REF!="Padrão",$H$4=#REF!),BDI!$B$17,IF(AND(#REF!="Padrão",$H$4=#REF!),BDI!#REF!,IF(AND(#REF!="Diferenciado",$H$4=#REF!),BDI!$E$17,IF(AND(#REF!="Diferenciado",$H$4=#REF!),BDI!#REF!,IF(#REF!="ZERO",0))))),"")</f>
        <v>#REF!</v>
      </c>
      <c r="H2709" s="139" t="e">
        <f ca="1">IF(ISNUMBER(E2709),ROUND(E2709*(1+G2709),2),"")</f>
        <v>#REF!</v>
      </c>
      <c r="I2709" s="137" t="e">
        <f ca="1">IF(ISNUMBER(E2709),ROUND(H2709*D2709,2),"")</f>
        <v>#REF!</v>
      </c>
      <c r="J2709" s="117"/>
      <c r="K2709" s="116">
        <v>0</v>
      </c>
      <c r="M2709" s="136" t="e">
        <f ca="1">OFFSET(INDEX([1]Composições!I:R,MATCH([1]Orçamentária!I2709,[1]Composições!I:I,0),8),2,0)</f>
        <v>#REF!</v>
      </c>
      <c r="N2709" t="e">
        <v>#REF!</v>
      </c>
      <c r="Q2709" t="e">
        <v>#REF!</v>
      </c>
    </row>
    <row r="2710" spans="1:19" hidden="1" x14ac:dyDescent="0.25">
      <c r="A2710" s="114" t="s">
        <v>5813</v>
      </c>
      <c r="B2710" s="115" t="s">
        <v>5860</v>
      </c>
      <c r="C2710" s="116" t="s">
        <v>16</v>
      </c>
      <c r="D2710" s="116">
        <v>0</v>
      </c>
      <c r="E2710" s="136">
        <f ca="1">OFFSET(INDEX(Composições!A:J,MATCH(Orçamentária!A2710,Composições!A:A,0),8),2,0)</f>
        <v>47.417608440249602</v>
      </c>
      <c r="F2710" s="137">
        <f ca="1">IF(ISNUMBER(E2710),D2710*E2710,"")</f>
        <v>0</v>
      </c>
      <c r="G2710" s="138" t="e">
        <f>IF(A2710&lt;&gt;"",IF(AND(#REF!="Padrão",$H$4=#REF!),BDI!$B$17,IF(AND(#REF!="Padrão",$H$4=#REF!),BDI!#REF!,IF(AND(#REF!="Diferenciado",$H$4=#REF!),BDI!$E$17,IF(AND(#REF!="Diferenciado",$H$4=#REF!),BDI!#REF!,IF(#REF!="ZERO",0))))),"")</f>
        <v>#REF!</v>
      </c>
      <c r="H2710" s="139" t="e">
        <f ca="1">IF(ISNUMBER(E2710),ROUND(E2710*(1+G2710),2),"")</f>
        <v>#REF!</v>
      </c>
      <c r="I2710" s="137" t="e">
        <f ca="1">IF(ISNUMBER(E2710),ROUND(H2710*D2710,2),"")</f>
        <v>#REF!</v>
      </c>
      <c r="J2710" s="117"/>
      <c r="K2710" s="116">
        <v>0</v>
      </c>
      <c r="M2710" s="136" t="e">
        <f ca="1">OFFSET(INDEX([1]Composições!I:R,MATCH([1]Orçamentária!I2710,[1]Composições!I:I,0),8),2,0)</f>
        <v>#REF!</v>
      </c>
      <c r="N2710" t="e">
        <v>#REF!</v>
      </c>
      <c r="Q2710" t="e">
        <v>#REF!</v>
      </c>
    </row>
    <row r="2711" spans="1:19" hidden="1" x14ac:dyDescent="0.25">
      <c r="A2711" s="114" t="s">
        <v>5814</v>
      </c>
      <c r="B2711" s="115" t="s">
        <v>5864</v>
      </c>
      <c r="C2711" s="116" t="s">
        <v>16</v>
      </c>
      <c r="D2711" s="116">
        <v>0</v>
      </c>
      <c r="E2711" s="136" t="s">
        <v>416</v>
      </c>
      <c r="F2711" s="137" t="str">
        <f t="shared" ref="F2711:F2774" si="209">IF(ISNUMBER(E2711),D2711*E2711,"")</f>
        <v/>
      </c>
      <c r="G2711" s="138" t="e">
        <f>IF(A2711&lt;&gt;"",IF(AND(#REF!="Padrão",$H$4=#REF!),BDI!$B$17,IF(AND(#REF!="Padrão",$H$4=#REF!),BDI!#REF!,IF(AND(#REF!="Diferenciado",$H$4=#REF!),BDI!$E$17,IF(AND(#REF!="Diferenciado",$H$4=#REF!),BDI!#REF!,IF(#REF!="ZERO",0))))),"")</f>
        <v>#REF!</v>
      </c>
      <c r="H2711" s="139" t="str">
        <f t="shared" ref="H2711:H2774" si="210">IF(ISNUMBER(E2711),ROUND(E2711*(1+G2711),2),"")</f>
        <v/>
      </c>
      <c r="I2711" s="137" t="str">
        <f t="shared" ref="I2711:I2774" si="211">IF(ISNUMBER(E2711),ROUND(H2711*D2711,2),"")</f>
        <v/>
      </c>
      <c r="J2711" s="117"/>
      <c r="K2711" s="116">
        <v>0</v>
      </c>
      <c r="M2711" s="136" t="s">
        <v>416</v>
      </c>
      <c r="N2711" t="e">
        <v>#REF!</v>
      </c>
      <c r="Q2711" t="s">
        <v>416</v>
      </c>
    </row>
    <row r="2712" spans="1:19" hidden="1" x14ac:dyDescent="0.25">
      <c r="A2712" s="114" t="s">
        <v>5815</v>
      </c>
      <c r="B2712" s="115" t="s">
        <v>5865</v>
      </c>
      <c r="C2712" s="116" t="s">
        <v>16</v>
      </c>
      <c r="D2712" s="116">
        <v>0</v>
      </c>
      <c r="E2712" s="136" t="s">
        <v>416</v>
      </c>
      <c r="F2712" s="137" t="str">
        <f t="shared" si="209"/>
        <v/>
      </c>
      <c r="G2712" s="138" t="e">
        <f>IF(A2712&lt;&gt;"",IF(AND(#REF!="Padrão",$H$4=#REF!),BDI!$B$17,IF(AND(#REF!="Padrão",$H$4=#REF!),BDI!#REF!,IF(AND(#REF!="Diferenciado",$H$4=#REF!),BDI!$E$17,IF(AND(#REF!="Diferenciado",$H$4=#REF!),BDI!#REF!,IF(#REF!="ZERO",0))))),"")</f>
        <v>#REF!</v>
      </c>
      <c r="H2712" s="139" t="str">
        <f t="shared" si="210"/>
        <v/>
      </c>
      <c r="I2712" s="137" t="str">
        <f t="shared" si="211"/>
        <v/>
      </c>
      <c r="J2712" s="117"/>
      <c r="K2712" s="116">
        <v>0</v>
      </c>
      <c r="M2712" s="136" t="s">
        <v>416</v>
      </c>
      <c r="N2712" t="e">
        <v>#REF!</v>
      </c>
      <c r="Q2712" t="s">
        <v>416</v>
      </c>
    </row>
    <row r="2713" spans="1:19" hidden="1" x14ac:dyDescent="0.25">
      <c r="A2713" s="114" t="s">
        <v>5816</v>
      </c>
      <c r="B2713" s="115" t="s">
        <v>5866</v>
      </c>
      <c r="C2713" s="116" t="s">
        <v>16</v>
      </c>
      <c r="D2713" s="116">
        <v>0</v>
      </c>
      <c r="E2713" s="136" t="s">
        <v>416</v>
      </c>
      <c r="F2713" s="137" t="str">
        <f t="shared" si="209"/>
        <v/>
      </c>
      <c r="G2713" s="138" t="e">
        <f>IF(A2713&lt;&gt;"",IF(AND(#REF!="Padrão",$H$4=#REF!),BDI!$B$17,IF(AND(#REF!="Padrão",$H$4=#REF!),BDI!#REF!,IF(AND(#REF!="Diferenciado",$H$4=#REF!),BDI!$E$17,IF(AND(#REF!="Diferenciado",$H$4=#REF!),BDI!#REF!,IF(#REF!="ZERO",0))))),"")</f>
        <v>#REF!</v>
      </c>
      <c r="H2713" s="139" t="str">
        <f t="shared" si="210"/>
        <v/>
      </c>
      <c r="I2713" s="137" t="str">
        <f t="shared" si="211"/>
        <v/>
      </c>
      <c r="J2713" s="117"/>
      <c r="K2713" s="116">
        <v>0</v>
      </c>
      <c r="M2713" s="136" t="s">
        <v>416</v>
      </c>
      <c r="N2713" t="e">
        <v>#REF!</v>
      </c>
      <c r="Q2713" t="s">
        <v>416</v>
      </c>
    </row>
    <row r="2714" spans="1:19" hidden="1" x14ac:dyDescent="0.25">
      <c r="A2714" s="114" t="s">
        <v>5817</v>
      </c>
      <c r="B2714" s="115" t="s">
        <v>5867</v>
      </c>
      <c r="C2714" s="116" t="s">
        <v>16</v>
      </c>
      <c r="D2714" s="116">
        <v>0</v>
      </c>
      <c r="E2714" s="136">
        <f ca="1">OFFSET(INDEX(Composições!A:J,MATCH(Orçamentária!A2714,Composições!A:A,0),8),2,0)</f>
        <v>47.417608440249602</v>
      </c>
      <c r="F2714" s="137">
        <f t="shared" ca="1" si="209"/>
        <v>0</v>
      </c>
      <c r="G2714" s="138" t="e">
        <f>IF(A2714&lt;&gt;"",IF(AND(#REF!="Padrão",$H$4=#REF!),BDI!$B$17,IF(AND(#REF!="Padrão",$H$4=#REF!),BDI!#REF!,IF(AND(#REF!="Diferenciado",$H$4=#REF!),BDI!$E$17,IF(AND(#REF!="Diferenciado",$H$4=#REF!),BDI!#REF!,IF(#REF!="ZERO",0))))),"")</f>
        <v>#REF!</v>
      </c>
      <c r="H2714" s="139" t="e">
        <f t="shared" ca="1" si="210"/>
        <v>#REF!</v>
      </c>
      <c r="I2714" s="137" t="e">
        <f t="shared" ca="1" si="211"/>
        <v>#REF!</v>
      </c>
      <c r="J2714" s="117"/>
      <c r="K2714" s="116">
        <v>0</v>
      </c>
      <c r="M2714" s="136" t="e">
        <f ca="1">OFFSET(INDEX([1]Composições!I:R,MATCH([1]Orçamentária!I2714,[1]Composições!I:I,0),8),2,0)</f>
        <v>#REF!</v>
      </c>
      <c r="N2714" t="e">
        <v>#REF!</v>
      </c>
      <c r="Q2714" t="e">
        <v>#REF!</v>
      </c>
    </row>
    <row r="2715" spans="1:19" hidden="1" x14ac:dyDescent="0.25">
      <c r="A2715" s="114" t="s">
        <v>5818</v>
      </c>
      <c r="B2715" s="115" t="s">
        <v>5868</v>
      </c>
      <c r="C2715" s="116" t="s">
        <v>16</v>
      </c>
      <c r="D2715" s="116">
        <v>0</v>
      </c>
      <c r="E2715" s="136">
        <f ca="1">OFFSET(INDEX(Composições!A:J,MATCH(Orçamentária!A2715,Composições!A:A,0),8),2,0)</f>
        <v>47.417608440249602</v>
      </c>
      <c r="F2715" s="137">
        <f t="shared" ca="1" si="209"/>
        <v>0</v>
      </c>
      <c r="G2715" s="138" t="e">
        <f>IF(A2715&lt;&gt;"",IF(AND(#REF!="Padrão",$H$4=#REF!),BDI!$B$17,IF(AND(#REF!="Padrão",$H$4=#REF!),BDI!#REF!,IF(AND(#REF!="Diferenciado",$H$4=#REF!),BDI!$E$17,IF(AND(#REF!="Diferenciado",$H$4=#REF!),BDI!#REF!,IF(#REF!="ZERO",0))))),"")</f>
        <v>#REF!</v>
      </c>
      <c r="H2715" s="139" t="e">
        <f t="shared" ca="1" si="210"/>
        <v>#REF!</v>
      </c>
      <c r="I2715" s="137" t="e">
        <f t="shared" ca="1" si="211"/>
        <v>#REF!</v>
      </c>
      <c r="J2715" s="117"/>
      <c r="K2715" s="116">
        <v>0</v>
      </c>
      <c r="M2715" s="136" t="e">
        <f ca="1">OFFSET(INDEX([1]Composições!I:R,MATCH([1]Orçamentária!I2715,[1]Composições!I:I,0),8),2,0)</f>
        <v>#REF!</v>
      </c>
      <c r="N2715" t="e">
        <v>#REF!</v>
      </c>
      <c r="Q2715" t="e">
        <v>#REF!</v>
      </c>
    </row>
    <row r="2716" spans="1:19" hidden="1" x14ac:dyDescent="0.25">
      <c r="A2716" s="114" t="s">
        <v>5819</v>
      </c>
      <c r="B2716" s="115" t="s">
        <v>5869</v>
      </c>
      <c r="C2716" s="116" t="s">
        <v>16</v>
      </c>
      <c r="D2716" s="116">
        <v>0</v>
      </c>
      <c r="E2716" s="136" t="s">
        <v>416</v>
      </c>
      <c r="F2716" s="137" t="str">
        <f t="shared" si="209"/>
        <v/>
      </c>
      <c r="G2716" s="138" t="e">
        <f>IF(A2716&lt;&gt;"",IF(AND(#REF!="Padrão",$H$4=#REF!),BDI!$B$17,IF(AND(#REF!="Padrão",$H$4=#REF!),BDI!#REF!,IF(AND(#REF!="Diferenciado",$H$4=#REF!),BDI!$E$17,IF(AND(#REF!="Diferenciado",$H$4=#REF!),BDI!#REF!,IF(#REF!="ZERO",0))))),"")</f>
        <v>#REF!</v>
      </c>
      <c r="H2716" s="139" t="str">
        <f t="shared" si="210"/>
        <v/>
      </c>
      <c r="I2716" s="137" t="str">
        <f t="shared" si="211"/>
        <v/>
      </c>
      <c r="J2716" s="117"/>
      <c r="K2716" s="116">
        <v>0</v>
      </c>
      <c r="M2716" s="136" t="s">
        <v>416</v>
      </c>
      <c r="N2716" t="e">
        <v>#REF!</v>
      </c>
      <c r="Q2716" t="s">
        <v>416</v>
      </c>
    </row>
    <row r="2717" spans="1:19" hidden="1" x14ac:dyDescent="0.25">
      <c r="A2717" s="114" t="s">
        <v>5820</v>
      </c>
      <c r="B2717" s="115" t="s">
        <v>5870</v>
      </c>
      <c r="C2717" s="116" t="s">
        <v>16</v>
      </c>
      <c r="D2717" s="116">
        <v>0</v>
      </c>
      <c r="E2717" s="136" t="s">
        <v>416</v>
      </c>
      <c r="F2717" s="137" t="str">
        <f t="shared" si="209"/>
        <v/>
      </c>
      <c r="G2717" s="138" t="e">
        <f>IF(A2717&lt;&gt;"",IF(AND(#REF!="Padrão",$H$4=#REF!),BDI!$B$17,IF(AND(#REF!="Padrão",$H$4=#REF!),BDI!#REF!,IF(AND(#REF!="Diferenciado",$H$4=#REF!),BDI!$E$17,IF(AND(#REF!="Diferenciado",$H$4=#REF!),BDI!#REF!,IF(#REF!="ZERO",0))))),"")</f>
        <v>#REF!</v>
      </c>
      <c r="H2717" s="139" t="str">
        <f t="shared" si="210"/>
        <v/>
      </c>
      <c r="I2717" s="137" t="str">
        <f t="shared" si="211"/>
        <v/>
      </c>
      <c r="J2717" s="117"/>
      <c r="K2717" s="116">
        <v>0</v>
      </c>
      <c r="M2717" s="136" t="s">
        <v>416</v>
      </c>
      <c r="N2717" t="e">
        <v>#REF!</v>
      </c>
      <c r="Q2717" t="s">
        <v>416</v>
      </c>
    </row>
    <row r="2718" spans="1:19" hidden="1" x14ac:dyDescent="0.25">
      <c r="A2718" s="114" t="s">
        <v>5821</v>
      </c>
      <c r="B2718" s="115" t="s">
        <v>5871</v>
      </c>
      <c r="C2718" s="116" t="s">
        <v>16</v>
      </c>
      <c r="D2718" s="116">
        <v>0</v>
      </c>
      <c r="E2718" s="136" t="s">
        <v>416</v>
      </c>
      <c r="F2718" s="137" t="str">
        <f t="shared" si="209"/>
        <v/>
      </c>
      <c r="G2718" s="138" t="e">
        <f>IF(A2718&lt;&gt;"",IF(AND(#REF!="Padrão",$H$4=#REF!),BDI!$B$17,IF(AND(#REF!="Padrão",$H$4=#REF!),BDI!#REF!,IF(AND(#REF!="Diferenciado",$H$4=#REF!),BDI!$E$17,IF(AND(#REF!="Diferenciado",$H$4=#REF!),BDI!#REF!,IF(#REF!="ZERO",0))))),"")</f>
        <v>#REF!</v>
      </c>
      <c r="H2718" s="139" t="str">
        <f t="shared" si="210"/>
        <v/>
      </c>
      <c r="I2718" s="137" t="str">
        <f t="shared" si="211"/>
        <v/>
      </c>
      <c r="J2718" s="117"/>
      <c r="K2718" s="116">
        <v>0</v>
      </c>
      <c r="M2718" s="136" t="s">
        <v>416</v>
      </c>
      <c r="N2718" t="e">
        <v>#REF!</v>
      </c>
      <c r="Q2718" t="s">
        <v>416</v>
      </c>
    </row>
    <row r="2719" spans="1:19" hidden="1" x14ac:dyDescent="0.25">
      <c r="A2719" s="114" t="s">
        <v>5822</v>
      </c>
      <c r="B2719" s="115" t="s">
        <v>5872</v>
      </c>
      <c r="C2719" s="116" t="s">
        <v>16</v>
      </c>
      <c r="D2719" s="116">
        <v>0</v>
      </c>
      <c r="E2719" s="136" t="s">
        <v>416</v>
      </c>
      <c r="F2719" s="137" t="str">
        <f t="shared" si="209"/>
        <v/>
      </c>
      <c r="G2719" s="138" t="e">
        <f>IF(A2719&lt;&gt;"",IF(AND(#REF!="Padrão",$H$4=#REF!),BDI!$B$17,IF(AND(#REF!="Padrão",$H$4=#REF!),BDI!#REF!,IF(AND(#REF!="Diferenciado",$H$4=#REF!),BDI!$E$17,IF(AND(#REF!="Diferenciado",$H$4=#REF!),BDI!#REF!,IF(#REF!="ZERO",0))))),"")</f>
        <v>#REF!</v>
      </c>
      <c r="H2719" s="139" t="str">
        <f t="shared" si="210"/>
        <v/>
      </c>
      <c r="I2719" s="137" t="str">
        <f t="shared" si="211"/>
        <v/>
      </c>
      <c r="J2719" s="117"/>
      <c r="K2719" s="116">
        <v>0</v>
      </c>
      <c r="M2719" s="136" t="s">
        <v>416</v>
      </c>
      <c r="N2719" t="e">
        <v>#REF!</v>
      </c>
      <c r="Q2719" t="s">
        <v>416</v>
      </c>
    </row>
    <row r="2720" spans="1:19" hidden="1" x14ac:dyDescent="0.25">
      <c r="A2720" s="114" t="s">
        <v>5823</v>
      </c>
      <c r="B2720" s="115" t="s">
        <v>5426</v>
      </c>
      <c r="C2720" s="116" t="s">
        <v>16</v>
      </c>
      <c r="D2720" s="116">
        <v>0</v>
      </c>
      <c r="E2720" s="136" t="s">
        <v>416</v>
      </c>
      <c r="F2720" s="137" t="str">
        <f t="shared" si="209"/>
        <v/>
      </c>
      <c r="G2720" s="138" t="e">
        <f>IF(A2720&lt;&gt;"",IF(AND(#REF!="Padrão",$H$4=#REF!),BDI!$B$17,IF(AND(#REF!="Padrão",$H$4=#REF!),BDI!#REF!,IF(AND(#REF!="Diferenciado",$H$4=#REF!),BDI!$E$17,IF(AND(#REF!="Diferenciado",$H$4=#REF!),BDI!#REF!,IF(#REF!="ZERO",0))))),"")</f>
        <v>#REF!</v>
      </c>
      <c r="H2720" s="139" t="str">
        <f t="shared" si="210"/>
        <v/>
      </c>
      <c r="I2720" s="137" t="str">
        <f t="shared" si="211"/>
        <v/>
      </c>
      <c r="J2720" s="117"/>
      <c r="K2720" s="116">
        <v>0</v>
      </c>
      <c r="M2720" s="136" t="s">
        <v>416</v>
      </c>
      <c r="N2720" t="e">
        <v>#REF!</v>
      </c>
      <c r="Q2720" t="s">
        <v>416</v>
      </c>
    </row>
    <row r="2721" spans="1:17" hidden="1" x14ac:dyDescent="0.25">
      <c r="A2721" s="114" t="s">
        <v>5824</v>
      </c>
      <c r="B2721" s="115" t="s">
        <v>5427</v>
      </c>
      <c r="C2721" s="116" t="s">
        <v>16</v>
      </c>
      <c r="D2721" s="116">
        <v>0</v>
      </c>
      <c r="E2721" s="136" t="s">
        <v>416</v>
      </c>
      <c r="F2721" s="137" t="str">
        <f t="shared" si="209"/>
        <v/>
      </c>
      <c r="G2721" s="138" t="e">
        <f>IF(A2721&lt;&gt;"",IF(AND(#REF!="Padrão",$H$4=#REF!),BDI!$B$17,IF(AND(#REF!="Padrão",$H$4=#REF!),BDI!#REF!,IF(AND(#REF!="Diferenciado",$H$4=#REF!),BDI!$E$17,IF(AND(#REF!="Diferenciado",$H$4=#REF!),BDI!#REF!,IF(#REF!="ZERO",0))))),"")</f>
        <v>#REF!</v>
      </c>
      <c r="H2721" s="139" t="str">
        <f t="shared" si="210"/>
        <v/>
      </c>
      <c r="I2721" s="137" t="str">
        <f t="shared" si="211"/>
        <v/>
      </c>
      <c r="J2721" s="117"/>
      <c r="K2721" s="116">
        <v>0</v>
      </c>
      <c r="M2721" s="136" t="s">
        <v>416</v>
      </c>
      <c r="N2721" t="e">
        <v>#REF!</v>
      </c>
      <c r="Q2721" t="s">
        <v>416</v>
      </c>
    </row>
    <row r="2722" spans="1:17" hidden="1" x14ac:dyDescent="0.25">
      <c r="A2722" s="114" t="s">
        <v>5825</v>
      </c>
      <c r="B2722" s="115" t="s">
        <v>5873</v>
      </c>
      <c r="C2722" s="116" t="s">
        <v>16</v>
      </c>
      <c r="D2722" s="116">
        <v>0</v>
      </c>
      <c r="E2722" s="136">
        <f ca="1">OFFSET(INDEX(Composições!A:J,MATCH(Orçamentária!A2722,Composições!A:A,0),8),2,0)</f>
        <v>14.3925</v>
      </c>
      <c r="F2722" s="137">
        <f t="shared" ca="1" si="209"/>
        <v>0</v>
      </c>
      <c r="G2722" s="138" t="e">
        <f>IF(A2722&lt;&gt;"",IF(AND(#REF!="Padrão",$H$4=#REF!),BDI!$B$17,IF(AND(#REF!="Padrão",$H$4=#REF!),BDI!#REF!,IF(AND(#REF!="Diferenciado",$H$4=#REF!),BDI!$E$17,IF(AND(#REF!="Diferenciado",$H$4=#REF!),BDI!#REF!,IF(#REF!="ZERO",0))))),"")</f>
        <v>#REF!</v>
      </c>
      <c r="H2722" s="139" t="e">
        <f t="shared" ca="1" si="210"/>
        <v>#REF!</v>
      </c>
      <c r="I2722" s="137" t="e">
        <f t="shared" ca="1" si="211"/>
        <v>#REF!</v>
      </c>
      <c r="J2722" s="117"/>
      <c r="K2722" s="116">
        <v>0</v>
      </c>
      <c r="M2722" s="136" t="e">
        <f ca="1">OFFSET(INDEX([1]Composições!I:R,MATCH([1]Orçamentária!I2722,[1]Composições!I:I,0),8),2,0)</f>
        <v>#REF!</v>
      </c>
      <c r="N2722" t="e">
        <v>#REF!</v>
      </c>
      <c r="Q2722" t="e">
        <v>#REF!</v>
      </c>
    </row>
    <row r="2723" spans="1:17" hidden="1" x14ac:dyDescent="0.25">
      <c r="A2723" s="114" t="s">
        <v>5826</v>
      </c>
      <c r="B2723" s="115" t="s">
        <v>5874</v>
      </c>
      <c r="C2723" s="116" t="s">
        <v>16</v>
      </c>
      <c r="D2723" s="116">
        <v>0</v>
      </c>
      <c r="E2723" s="136" t="s">
        <v>416</v>
      </c>
      <c r="F2723" s="137" t="str">
        <f t="shared" si="209"/>
        <v/>
      </c>
      <c r="G2723" s="138" t="e">
        <f>IF(A2723&lt;&gt;"",IF(AND(#REF!="Padrão",$H$4=#REF!),BDI!$B$17,IF(AND(#REF!="Padrão",$H$4=#REF!),BDI!#REF!,IF(AND(#REF!="Diferenciado",$H$4=#REF!),BDI!$E$17,IF(AND(#REF!="Diferenciado",$H$4=#REF!),BDI!#REF!,IF(#REF!="ZERO",0))))),"")</f>
        <v>#REF!</v>
      </c>
      <c r="H2723" s="139" t="str">
        <f t="shared" si="210"/>
        <v/>
      </c>
      <c r="I2723" s="137" t="str">
        <f t="shared" si="211"/>
        <v/>
      </c>
      <c r="J2723" s="117"/>
      <c r="K2723" s="116">
        <v>0</v>
      </c>
      <c r="M2723" s="136" t="s">
        <v>416</v>
      </c>
      <c r="N2723" t="e">
        <v>#REF!</v>
      </c>
      <c r="Q2723" t="s">
        <v>416</v>
      </c>
    </row>
    <row r="2724" spans="1:17" hidden="1" x14ac:dyDescent="0.25">
      <c r="A2724" s="114" t="s">
        <v>5827</v>
      </c>
      <c r="B2724" s="115" t="s">
        <v>3035</v>
      </c>
      <c r="C2724" s="116" t="s">
        <v>16</v>
      </c>
      <c r="D2724" s="116">
        <v>0</v>
      </c>
      <c r="E2724" s="136">
        <f ca="1">OFFSET(INDEX(Composições!A:J,MATCH(Orçamentária!A2724,Composições!A:A,0),8),2,0)</f>
        <v>2.8499999999999996</v>
      </c>
      <c r="F2724" s="137">
        <f t="shared" ca="1" si="209"/>
        <v>0</v>
      </c>
      <c r="G2724" s="138" t="e">
        <f>IF(A2724&lt;&gt;"",IF(AND(#REF!="Padrão",$H$4=#REF!),BDI!$B$17,IF(AND(#REF!="Padrão",$H$4=#REF!),BDI!#REF!,IF(AND(#REF!="Diferenciado",$H$4=#REF!),BDI!$E$17,IF(AND(#REF!="Diferenciado",$H$4=#REF!),BDI!#REF!,IF(#REF!="ZERO",0))))),"")</f>
        <v>#REF!</v>
      </c>
      <c r="H2724" s="139" t="e">
        <f t="shared" ca="1" si="210"/>
        <v>#REF!</v>
      </c>
      <c r="I2724" s="137" t="e">
        <f t="shared" ca="1" si="211"/>
        <v>#REF!</v>
      </c>
      <c r="J2724" s="117"/>
      <c r="K2724" s="116">
        <v>0</v>
      </c>
      <c r="M2724" s="136" t="e">
        <f ca="1">OFFSET(INDEX([1]Composições!I:R,MATCH([1]Orçamentária!I2724,[1]Composições!I:I,0),8),2,0)</f>
        <v>#REF!</v>
      </c>
      <c r="N2724" t="e">
        <v>#REF!</v>
      </c>
      <c r="Q2724" t="e">
        <v>#REF!</v>
      </c>
    </row>
    <row r="2725" spans="1:17" hidden="1" x14ac:dyDescent="0.25">
      <c r="A2725" s="114" t="s">
        <v>5828</v>
      </c>
      <c r="B2725" s="115" t="s">
        <v>5875</v>
      </c>
      <c r="C2725" s="116" t="s">
        <v>28</v>
      </c>
      <c r="D2725" s="116">
        <v>0</v>
      </c>
      <c r="E2725" s="136">
        <f ca="1">OFFSET(INDEX(Composições!A:J,MATCH(Orçamentária!A2725,Composições!A:A,0),8),2,0)</f>
        <v>3.4579999999999997</v>
      </c>
      <c r="F2725" s="137">
        <f t="shared" ca="1" si="209"/>
        <v>0</v>
      </c>
      <c r="G2725" s="138" t="e">
        <f>IF(A2725&lt;&gt;"",IF(AND(#REF!="Padrão",$H$4=#REF!),BDI!$B$17,IF(AND(#REF!="Padrão",$H$4=#REF!),BDI!#REF!,IF(AND(#REF!="Diferenciado",$H$4=#REF!),BDI!$E$17,IF(AND(#REF!="Diferenciado",$H$4=#REF!),BDI!#REF!,IF(#REF!="ZERO",0))))),"")</f>
        <v>#REF!</v>
      </c>
      <c r="H2725" s="139" t="e">
        <f t="shared" ca="1" si="210"/>
        <v>#REF!</v>
      </c>
      <c r="I2725" s="137" t="e">
        <f t="shared" ca="1" si="211"/>
        <v>#REF!</v>
      </c>
      <c r="J2725" s="117"/>
      <c r="K2725" s="116">
        <v>0</v>
      </c>
      <c r="M2725" s="136" t="e">
        <f ca="1">OFFSET(INDEX([1]Composições!I:R,MATCH([1]Orçamentária!I2725,[1]Composições!I:I,0),8),2,0)</f>
        <v>#REF!</v>
      </c>
      <c r="N2725" t="e">
        <v>#REF!</v>
      </c>
      <c r="Q2725" t="e">
        <v>#REF!</v>
      </c>
    </row>
    <row r="2726" spans="1:17" hidden="1" x14ac:dyDescent="0.25">
      <c r="A2726" s="114" t="s">
        <v>5829</v>
      </c>
      <c r="B2726" s="115" t="s">
        <v>5876</v>
      </c>
      <c r="C2726" s="116" t="s">
        <v>28</v>
      </c>
      <c r="D2726" s="116">
        <v>0</v>
      </c>
      <c r="E2726" s="136" t="s">
        <v>416</v>
      </c>
      <c r="F2726" s="137" t="str">
        <f t="shared" si="209"/>
        <v/>
      </c>
      <c r="G2726" s="138" t="e">
        <f>IF(A2726&lt;&gt;"",IF(AND(#REF!="Padrão",$H$4=#REF!),BDI!$B$17,IF(AND(#REF!="Padrão",$H$4=#REF!),BDI!#REF!,IF(AND(#REF!="Diferenciado",$H$4=#REF!),BDI!$E$17,IF(AND(#REF!="Diferenciado",$H$4=#REF!),BDI!#REF!,IF(#REF!="ZERO",0))))),"")</f>
        <v>#REF!</v>
      </c>
      <c r="H2726" s="139" t="str">
        <f t="shared" si="210"/>
        <v/>
      </c>
      <c r="I2726" s="137" t="str">
        <f t="shared" si="211"/>
        <v/>
      </c>
      <c r="J2726" s="117"/>
      <c r="K2726" s="116">
        <v>0</v>
      </c>
      <c r="M2726" s="136" t="s">
        <v>416</v>
      </c>
      <c r="N2726" t="e">
        <v>#REF!</v>
      </c>
      <c r="Q2726" t="s">
        <v>416</v>
      </c>
    </row>
    <row r="2727" spans="1:17" hidden="1" x14ac:dyDescent="0.25">
      <c r="A2727" s="114" t="s">
        <v>5830</v>
      </c>
      <c r="B2727" s="115" t="s">
        <v>3045</v>
      </c>
      <c r="C2727" s="116" t="s">
        <v>16</v>
      </c>
      <c r="D2727" s="116">
        <v>0</v>
      </c>
      <c r="E2727" s="136" t="s">
        <v>416</v>
      </c>
      <c r="F2727" s="137" t="str">
        <f t="shared" si="209"/>
        <v/>
      </c>
      <c r="G2727" s="138" t="e">
        <f>IF(A2727&lt;&gt;"",IF(AND(#REF!="Padrão",$H$4=#REF!),BDI!$B$17,IF(AND(#REF!="Padrão",$H$4=#REF!),BDI!#REF!,IF(AND(#REF!="Diferenciado",$H$4=#REF!),BDI!$E$17,IF(AND(#REF!="Diferenciado",$H$4=#REF!),BDI!#REF!,IF(#REF!="ZERO",0))))),"")</f>
        <v>#REF!</v>
      </c>
      <c r="H2727" s="139" t="str">
        <f t="shared" si="210"/>
        <v/>
      </c>
      <c r="I2727" s="137" t="str">
        <f t="shared" si="211"/>
        <v/>
      </c>
      <c r="J2727" s="117"/>
      <c r="K2727" s="116">
        <v>0</v>
      </c>
      <c r="M2727" s="136" t="s">
        <v>416</v>
      </c>
      <c r="N2727" t="e">
        <v>#REF!</v>
      </c>
      <c r="Q2727" t="s">
        <v>416</v>
      </c>
    </row>
    <row r="2728" spans="1:17" hidden="1" x14ac:dyDescent="0.25">
      <c r="A2728" s="114" t="s">
        <v>5831</v>
      </c>
      <c r="B2728" s="115" t="s">
        <v>5877</v>
      </c>
      <c r="C2728" s="116" t="s">
        <v>16</v>
      </c>
      <c r="D2728" s="116">
        <v>0</v>
      </c>
      <c r="E2728" s="136" t="s">
        <v>416</v>
      </c>
      <c r="F2728" s="137" t="str">
        <f t="shared" si="209"/>
        <v/>
      </c>
      <c r="G2728" s="138" t="e">
        <f>IF(A2728&lt;&gt;"",IF(AND(#REF!="Padrão",$H$4=#REF!),BDI!$B$17,IF(AND(#REF!="Padrão",$H$4=#REF!),BDI!#REF!,IF(AND(#REF!="Diferenciado",$H$4=#REF!),BDI!$E$17,IF(AND(#REF!="Diferenciado",$H$4=#REF!),BDI!#REF!,IF(#REF!="ZERO",0))))),"")</f>
        <v>#REF!</v>
      </c>
      <c r="H2728" s="139" t="str">
        <f t="shared" si="210"/>
        <v/>
      </c>
      <c r="I2728" s="137" t="str">
        <f t="shared" si="211"/>
        <v/>
      </c>
      <c r="J2728" s="117"/>
      <c r="K2728" s="116">
        <v>0</v>
      </c>
      <c r="M2728" s="136" t="s">
        <v>416</v>
      </c>
      <c r="N2728" t="e">
        <v>#REF!</v>
      </c>
      <c r="Q2728" t="s">
        <v>416</v>
      </c>
    </row>
    <row r="2729" spans="1:17" hidden="1" x14ac:dyDescent="0.25">
      <c r="A2729" s="114" t="s">
        <v>5832</v>
      </c>
      <c r="B2729" s="115" t="s">
        <v>5423</v>
      </c>
      <c r="C2729" s="116" t="s">
        <v>16</v>
      </c>
      <c r="D2729" s="116">
        <v>0</v>
      </c>
      <c r="E2729" s="136">
        <f ca="1">OFFSET(INDEX(Composições!A:J,MATCH(Orçamentária!A2729,Composições!A:A,0),8),2,0)</f>
        <v>38.949999999999996</v>
      </c>
      <c r="F2729" s="137">
        <f t="shared" ca="1" si="209"/>
        <v>0</v>
      </c>
      <c r="G2729" s="138" t="e">
        <f>IF(A2729&lt;&gt;"",IF(AND(#REF!="Padrão",$H$4=#REF!),BDI!$B$17,IF(AND(#REF!="Padrão",$H$4=#REF!),BDI!#REF!,IF(AND(#REF!="Diferenciado",$H$4=#REF!),BDI!$E$17,IF(AND(#REF!="Diferenciado",$H$4=#REF!),BDI!#REF!,IF(#REF!="ZERO",0))))),"")</f>
        <v>#REF!</v>
      </c>
      <c r="H2729" s="139" t="e">
        <f t="shared" ca="1" si="210"/>
        <v>#REF!</v>
      </c>
      <c r="I2729" s="137" t="e">
        <f t="shared" ca="1" si="211"/>
        <v>#REF!</v>
      </c>
      <c r="J2729" s="117"/>
      <c r="K2729" s="116">
        <v>0</v>
      </c>
      <c r="M2729" s="136" t="e">
        <f ca="1">OFFSET(INDEX([1]Composições!I:R,MATCH([1]Orçamentária!I2729,[1]Composições!I:I,0),8),2,0)</f>
        <v>#REF!</v>
      </c>
      <c r="N2729" t="e">
        <v>#REF!</v>
      </c>
      <c r="Q2729" t="e">
        <v>#REF!</v>
      </c>
    </row>
    <row r="2730" spans="1:17" hidden="1" x14ac:dyDescent="0.25">
      <c r="A2730" s="114" t="s">
        <v>5833</v>
      </c>
      <c r="B2730" s="115" t="s">
        <v>2477</v>
      </c>
      <c r="C2730" s="116" t="s">
        <v>16</v>
      </c>
      <c r="D2730" s="116">
        <v>0</v>
      </c>
      <c r="E2730" s="136" t="s">
        <v>416</v>
      </c>
      <c r="F2730" s="137" t="str">
        <f t="shared" si="209"/>
        <v/>
      </c>
      <c r="G2730" s="138" t="e">
        <f>IF(A2730&lt;&gt;"",IF(AND(#REF!="Padrão",$H$4=#REF!),BDI!$B$17,IF(AND(#REF!="Padrão",$H$4=#REF!),BDI!#REF!,IF(AND(#REF!="Diferenciado",$H$4=#REF!),BDI!$E$17,IF(AND(#REF!="Diferenciado",$H$4=#REF!),BDI!#REF!,IF(#REF!="ZERO",0))))),"")</f>
        <v>#REF!</v>
      </c>
      <c r="H2730" s="139" t="str">
        <f t="shared" si="210"/>
        <v/>
      </c>
      <c r="I2730" s="137" t="str">
        <f t="shared" si="211"/>
        <v/>
      </c>
      <c r="J2730" s="117"/>
      <c r="K2730" s="116">
        <v>0</v>
      </c>
      <c r="M2730" s="136" t="s">
        <v>416</v>
      </c>
      <c r="N2730" t="e">
        <v>#REF!</v>
      </c>
      <c r="Q2730" t="s">
        <v>416</v>
      </c>
    </row>
    <row r="2731" spans="1:17" hidden="1" x14ac:dyDescent="0.25">
      <c r="A2731" s="114" t="s">
        <v>5834</v>
      </c>
      <c r="B2731" s="115" t="s">
        <v>5878</v>
      </c>
      <c r="C2731" s="116" t="s">
        <v>16</v>
      </c>
      <c r="D2731" s="116">
        <v>0</v>
      </c>
      <c r="E2731" s="136" t="s">
        <v>416</v>
      </c>
      <c r="F2731" s="137" t="str">
        <f t="shared" si="209"/>
        <v/>
      </c>
      <c r="G2731" s="138" t="e">
        <f>IF(A2731&lt;&gt;"",IF(AND(#REF!="Padrão",$H$4=#REF!),BDI!$B$17,IF(AND(#REF!="Padrão",$H$4=#REF!),BDI!#REF!,IF(AND(#REF!="Diferenciado",$H$4=#REF!),BDI!$E$17,IF(AND(#REF!="Diferenciado",$H$4=#REF!),BDI!#REF!,IF(#REF!="ZERO",0))))),"")</f>
        <v>#REF!</v>
      </c>
      <c r="H2731" s="139" t="str">
        <f t="shared" si="210"/>
        <v/>
      </c>
      <c r="I2731" s="137" t="str">
        <f t="shared" si="211"/>
        <v/>
      </c>
      <c r="J2731" s="117"/>
      <c r="K2731" s="116">
        <v>0</v>
      </c>
      <c r="M2731" s="136" t="s">
        <v>416</v>
      </c>
      <c r="N2731" t="e">
        <v>#REF!</v>
      </c>
      <c r="Q2731" t="s">
        <v>416</v>
      </c>
    </row>
    <row r="2732" spans="1:17" hidden="1" x14ac:dyDescent="0.25">
      <c r="A2732" s="114" t="s">
        <v>5835</v>
      </c>
      <c r="B2732" s="115" t="s">
        <v>5879</v>
      </c>
      <c r="C2732" s="116" t="s">
        <v>16</v>
      </c>
      <c r="D2732" s="116">
        <v>0</v>
      </c>
      <c r="E2732" s="136" t="s">
        <v>416</v>
      </c>
      <c r="F2732" s="137" t="str">
        <f t="shared" si="209"/>
        <v/>
      </c>
      <c r="G2732" s="138" t="e">
        <f>IF(A2732&lt;&gt;"",IF(AND(#REF!="Padrão",$H$4=#REF!),BDI!$B$17,IF(AND(#REF!="Padrão",$H$4=#REF!),BDI!#REF!,IF(AND(#REF!="Diferenciado",$H$4=#REF!),BDI!$E$17,IF(AND(#REF!="Diferenciado",$H$4=#REF!),BDI!#REF!,IF(#REF!="ZERO",0))))),"")</f>
        <v>#REF!</v>
      </c>
      <c r="H2732" s="139" t="str">
        <f t="shared" si="210"/>
        <v/>
      </c>
      <c r="I2732" s="137" t="str">
        <f t="shared" si="211"/>
        <v/>
      </c>
      <c r="J2732" s="117"/>
      <c r="K2732" s="116">
        <v>0</v>
      </c>
      <c r="M2732" s="136" t="s">
        <v>416</v>
      </c>
      <c r="N2732" t="e">
        <v>#REF!</v>
      </c>
      <c r="Q2732" t="s">
        <v>416</v>
      </c>
    </row>
    <row r="2733" spans="1:17" hidden="1" x14ac:dyDescent="0.25">
      <c r="A2733" s="114" t="s">
        <v>5836</v>
      </c>
      <c r="B2733" s="115" t="s">
        <v>7381</v>
      </c>
      <c r="C2733" s="116" t="s">
        <v>16</v>
      </c>
      <c r="D2733" s="116">
        <v>0</v>
      </c>
      <c r="E2733" s="136" t="s">
        <v>416</v>
      </c>
      <c r="F2733" s="137" t="str">
        <f t="shared" si="209"/>
        <v/>
      </c>
      <c r="G2733" s="138" t="e">
        <f>IF(A2733&lt;&gt;"",IF(AND(#REF!="Padrão",$H$4=#REF!),BDI!$B$17,IF(AND(#REF!="Padrão",$H$4=#REF!),BDI!#REF!,IF(AND(#REF!="Diferenciado",$H$4=#REF!),BDI!$E$17,IF(AND(#REF!="Diferenciado",$H$4=#REF!),BDI!#REF!,IF(#REF!="ZERO",0))))),"")</f>
        <v>#REF!</v>
      </c>
      <c r="H2733" s="139" t="str">
        <f t="shared" si="210"/>
        <v/>
      </c>
      <c r="I2733" s="137" t="str">
        <f t="shared" si="211"/>
        <v/>
      </c>
      <c r="J2733" s="117"/>
      <c r="K2733" s="116">
        <v>0</v>
      </c>
      <c r="M2733" s="136" t="s">
        <v>416</v>
      </c>
      <c r="N2733" t="e">
        <v>#REF!</v>
      </c>
      <c r="Q2733" t="s">
        <v>416</v>
      </c>
    </row>
    <row r="2734" spans="1:17" hidden="1" x14ac:dyDescent="0.25">
      <c r="A2734" s="114" t="s">
        <v>5837</v>
      </c>
      <c r="B2734" s="115" t="s">
        <v>7382</v>
      </c>
      <c r="C2734" s="116" t="s">
        <v>16</v>
      </c>
      <c r="D2734" s="116">
        <v>0</v>
      </c>
      <c r="E2734" s="136" t="s">
        <v>416</v>
      </c>
      <c r="F2734" s="137" t="str">
        <f t="shared" si="209"/>
        <v/>
      </c>
      <c r="G2734" s="138" t="e">
        <f>IF(A2734&lt;&gt;"",IF(AND(#REF!="Padrão",$H$4=#REF!),BDI!$B$17,IF(AND(#REF!="Padrão",$H$4=#REF!),BDI!#REF!,IF(AND(#REF!="Diferenciado",$H$4=#REF!),BDI!$E$17,IF(AND(#REF!="Diferenciado",$H$4=#REF!),BDI!#REF!,IF(#REF!="ZERO",0))))),"")</f>
        <v>#REF!</v>
      </c>
      <c r="H2734" s="139" t="str">
        <f t="shared" si="210"/>
        <v/>
      </c>
      <c r="I2734" s="137" t="str">
        <f t="shared" si="211"/>
        <v/>
      </c>
      <c r="J2734" s="117"/>
      <c r="K2734" s="116">
        <v>0</v>
      </c>
      <c r="M2734" s="136" t="s">
        <v>416</v>
      </c>
      <c r="N2734" t="e">
        <v>#REF!</v>
      </c>
      <c r="Q2734" t="s">
        <v>416</v>
      </c>
    </row>
    <row r="2735" spans="1:17" hidden="1" x14ac:dyDescent="0.25">
      <c r="A2735" s="114" t="s">
        <v>5838</v>
      </c>
      <c r="B2735" s="115" t="s">
        <v>5880</v>
      </c>
      <c r="C2735" s="116" t="s">
        <v>16</v>
      </c>
      <c r="D2735" s="116">
        <v>0</v>
      </c>
      <c r="E2735" s="136">
        <f ca="1">OFFSET(INDEX(Composições!A:J,MATCH(Orçamentária!A2735,Composições!A:A,0),8),2,0)</f>
        <v>149.15</v>
      </c>
      <c r="F2735" s="137">
        <f t="shared" ca="1" si="209"/>
        <v>0</v>
      </c>
      <c r="G2735" s="138" t="e">
        <f>IF(A2735&lt;&gt;"",IF(AND(#REF!="Padrão",$H$4=#REF!),BDI!$B$17,IF(AND(#REF!="Padrão",$H$4=#REF!),BDI!#REF!,IF(AND(#REF!="Diferenciado",$H$4=#REF!),BDI!$E$17,IF(AND(#REF!="Diferenciado",$H$4=#REF!),BDI!#REF!,IF(#REF!="ZERO",0))))),"")</f>
        <v>#REF!</v>
      </c>
      <c r="H2735" s="139" t="e">
        <f t="shared" ca="1" si="210"/>
        <v>#REF!</v>
      </c>
      <c r="I2735" s="137" t="e">
        <f t="shared" ca="1" si="211"/>
        <v>#REF!</v>
      </c>
      <c r="J2735" s="117"/>
      <c r="K2735" s="116">
        <v>0</v>
      </c>
      <c r="M2735" s="136" t="e">
        <f ca="1">OFFSET(INDEX([1]Composições!I:R,MATCH([1]Orçamentária!I2735,[1]Composições!I:I,0),8),2,0)</f>
        <v>#REF!</v>
      </c>
      <c r="N2735" t="e">
        <v>#REF!</v>
      </c>
      <c r="Q2735" t="e">
        <v>#REF!</v>
      </c>
    </row>
    <row r="2736" spans="1:17" hidden="1" x14ac:dyDescent="0.25">
      <c r="A2736" s="114" t="s">
        <v>5839</v>
      </c>
      <c r="B2736" s="115" t="s">
        <v>5881</v>
      </c>
      <c r="C2736" s="116" t="s">
        <v>16</v>
      </c>
      <c r="D2736" s="116">
        <v>0</v>
      </c>
      <c r="E2736" s="136">
        <f ca="1">OFFSET(INDEX(Composições!A:J,MATCH(Orçamentária!A2736,Composições!A:A,0),8),2,0)</f>
        <v>159.03</v>
      </c>
      <c r="F2736" s="137">
        <f t="shared" ca="1" si="209"/>
        <v>0</v>
      </c>
      <c r="G2736" s="138" t="e">
        <f>IF(A2736&lt;&gt;"",IF(AND(#REF!="Padrão",$H$4=#REF!),BDI!$B$17,IF(AND(#REF!="Padrão",$H$4=#REF!),BDI!#REF!,IF(AND(#REF!="Diferenciado",$H$4=#REF!),BDI!$E$17,IF(AND(#REF!="Diferenciado",$H$4=#REF!),BDI!#REF!,IF(#REF!="ZERO",0))))),"")</f>
        <v>#REF!</v>
      </c>
      <c r="H2736" s="139" t="e">
        <f t="shared" ca="1" si="210"/>
        <v>#REF!</v>
      </c>
      <c r="I2736" s="137" t="e">
        <f t="shared" ca="1" si="211"/>
        <v>#REF!</v>
      </c>
      <c r="J2736" s="117"/>
      <c r="K2736" s="116">
        <v>0</v>
      </c>
      <c r="M2736" s="136" t="e">
        <f ca="1">OFFSET(INDEX([1]Composições!I:R,MATCH([1]Orçamentária!I2736,[1]Composições!I:I,0),8),2,0)</f>
        <v>#REF!</v>
      </c>
      <c r="N2736" t="e">
        <v>#REF!</v>
      </c>
      <c r="Q2736" t="e">
        <v>#REF!</v>
      </c>
    </row>
    <row r="2737" spans="1:17" hidden="1" x14ac:dyDescent="0.25">
      <c r="A2737" s="114" t="s">
        <v>5840</v>
      </c>
      <c r="B2737" s="115" t="s">
        <v>7383</v>
      </c>
      <c r="C2737" s="116" t="s">
        <v>16</v>
      </c>
      <c r="D2737" s="116">
        <v>0</v>
      </c>
      <c r="E2737" s="136" t="s">
        <v>416</v>
      </c>
      <c r="F2737" s="137" t="str">
        <f t="shared" si="209"/>
        <v/>
      </c>
      <c r="G2737" s="138" t="e">
        <f>IF(A2737&lt;&gt;"",IF(AND(#REF!="Padrão",$H$4=#REF!),BDI!$B$17,IF(AND(#REF!="Padrão",$H$4=#REF!),BDI!#REF!,IF(AND(#REF!="Diferenciado",$H$4=#REF!),BDI!$E$17,IF(AND(#REF!="Diferenciado",$H$4=#REF!),BDI!#REF!,IF(#REF!="ZERO",0))))),"")</f>
        <v>#REF!</v>
      </c>
      <c r="H2737" s="139" t="str">
        <f t="shared" si="210"/>
        <v/>
      </c>
      <c r="I2737" s="137" t="str">
        <f t="shared" si="211"/>
        <v/>
      </c>
      <c r="J2737" s="117"/>
      <c r="K2737" s="116">
        <v>0</v>
      </c>
      <c r="M2737" s="136" t="s">
        <v>416</v>
      </c>
      <c r="N2737" t="e">
        <v>#REF!</v>
      </c>
      <c r="Q2737" t="s">
        <v>416</v>
      </c>
    </row>
    <row r="2738" spans="1:17" hidden="1" x14ac:dyDescent="0.25">
      <c r="A2738" s="114" t="s">
        <v>5841</v>
      </c>
      <c r="B2738" s="115" t="s">
        <v>5882</v>
      </c>
      <c r="C2738" s="116" t="s">
        <v>16</v>
      </c>
      <c r="D2738" s="116">
        <v>0</v>
      </c>
      <c r="E2738" s="136" t="s">
        <v>416</v>
      </c>
      <c r="F2738" s="137" t="str">
        <f t="shared" si="209"/>
        <v/>
      </c>
      <c r="G2738" s="138" t="e">
        <f>IF(A2738&lt;&gt;"",IF(AND(#REF!="Padrão",$H$4=#REF!),BDI!$B$17,IF(AND(#REF!="Padrão",$H$4=#REF!),BDI!#REF!,IF(AND(#REF!="Diferenciado",$H$4=#REF!),BDI!$E$17,IF(AND(#REF!="Diferenciado",$H$4=#REF!),BDI!#REF!,IF(#REF!="ZERO",0))))),"")</f>
        <v>#REF!</v>
      </c>
      <c r="H2738" s="139" t="str">
        <f t="shared" si="210"/>
        <v/>
      </c>
      <c r="I2738" s="137" t="str">
        <f t="shared" si="211"/>
        <v/>
      </c>
      <c r="J2738" s="117"/>
      <c r="K2738" s="116">
        <v>0</v>
      </c>
      <c r="M2738" s="136" t="s">
        <v>416</v>
      </c>
      <c r="N2738" t="e">
        <v>#REF!</v>
      </c>
      <c r="Q2738" t="s">
        <v>416</v>
      </c>
    </row>
    <row r="2739" spans="1:17" hidden="1" x14ac:dyDescent="0.25">
      <c r="A2739" s="114" t="s">
        <v>5842</v>
      </c>
      <c r="B2739" s="115" t="s">
        <v>5883</v>
      </c>
      <c r="C2739" s="116" t="s">
        <v>16</v>
      </c>
      <c r="D2739" s="116">
        <v>0</v>
      </c>
      <c r="E2739" s="136" t="s">
        <v>416</v>
      </c>
      <c r="F2739" s="137" t="str">
        <f t="shared" si="209"/>
        <v/>
      </c>
      <c r="G2739" s="138" t="e">
        <f>IF(A2739&lt;&gt;"",IF(AND(#REF!="Padrão",$H$4=#REF!),BDI!$B$17,IF(AND(#REF!="Padrão",$H$4=#REF!),BDI!#REF!,IF(AND(#REF!="Diferenciado",$H$4=#REF!),BDI!$E$17,IF(AND(#REF!="Diferenciado",$H$4=#REF!),BDI!#REF!,IF(#REF!="ZERO",0))))),"")</f>
        <v>#REF!</v>
      </c>
      <c r="H2739" s="139" t="str">
        <f t="shared" si="210"/>
        <v/>
      </c>
      <c r="I2739" s="137" t="str">
        <f t="shared" si="211"/>
        <v/>
      </c>
      <c r="J2739" s="117"/>
      <c r="K2739" s="116">
        <v>0</v>
      </c>
      <c r="M2739" s="136" t="s">
        <v>416</v>
      </c>
      <c r="N2739" t="e">
        <v>#REF!</v>
      </c>
      <c r="Q2739" t="s">
        <v>416</v>
      </c>
    </row>
    <row r="2740" spans="1:17" hidden="1" x14ac:dyDescent="0.25">
      <c r="A2740" s="114" t="s">
        <v>5843</v>
      </c>
      <c r="B2740" s="115" t="s">
        <v>5884</v>
      </c>
      <c r="C2740" s="116" t="s">
        <v>16</v>
      </c>
      <c r="D2740" s="116">
        <v>0</v>
      </c>
      <c r="E2740" s="136">
        <f ca="1">OFFSET(INDEX(Composições!A:J,MATCH(Orçamentária!A2740,Composições!A:A,0),8),2,0)</f>
        <v>4.1229999999999993</v>
      </c>
      <c r="F2740" s="137">
        <f t="shared" ca="1" si="209"/>
        <v>0</v>
      </c>
      <c r="G2740" s="138" t="e">
        <f>IF(A2740&lt;&gt;"",IF(AND(#REF!="Padrão",$H$4=#REF!),BDI!$B$17,IF(AND(#REF!="Padrão",$H$4=#REF!),BDI!#REF!,IF(AND(#REF!="Diferenciado",$H$4=#REF!),BDI!$E$17,IF(AND(#REF!="Diferenciado",$H$4=#REF!),BDI!#REF!,IF(#REF!="ZERO",0))))),"")</f>
        <v>#REF!</v>
      </c>
      <c r="H2740" s="139" t="e">
        <f t="shared" ca="1" si="210"/>
        <v>#REF!</v>
      </c>
      <c r="I2740" s="137" t="e">
        <f t="shared" ca="1" si="211"/>
        <v>#REF!</v>
      </c>
      <c r="J2740" s="117"/>
      <c r="K2740" s="116">
        <v>0</v>
      </c>
      <c r="M2740" s="136" t="e">
        <f ca="1">OFFSET(INDEX([1]Composições!I:R,MATCH([1]Orçamentária!I2740,[1]Composições!I:I,0),8),2,0)</f>
        <v>#REF!</v>
      </c>
      <c r="N2740" t="e">
        <v>#REF!</v>
      </c>
      <c r="Q2740" t="e">
        <v>#REF!</v>
      </c>
    </row>
    <row r="2741" spans="1:17" hidden="1" x14ac:dyDescent="0.25">
      <c r="A2741" s="114" t="s">
        <v>5844</v>
      </c>
      <c r="B2741" s="115" t="s">
        <v>5885</v>
      </c>
      <c r="C2741" s="116" t="s">
        <v>16</v>
      </c>
      <c r="D2741" s="116">
        <v>0</v>
      </c>
      <c r="E2741" s="136" t="s">
        <v>416</v>
      </c>
      <c r="F2741" s="137" t="str">
        <f t="shared" si="209"/>
        <v/>
      </c>
      <c r="G2741" s="138" t="e">
        <f>IF(A2741&lt;&gt;"",IF(AND(#REF!="Padrão",$H$4=#REF!),BDI!$B$17,IF(AND(#REF!="Padrão",$H$4=#REF!),BDI!#REF!,IF(AND(#REF!="Diferenciado",$H$4=#REF!),BDI!$E$17,IF(AND(#REF!="Diferenciado",$H$4=#REF!),BDI!#REF!,IF(#REF!="ZERO",0))))),"")</f>
        <v>#REF!</v>
      </c>
      <c r="H2741" s="139" t="str">
        <f t="shared" si="210"/>
        <v/>
      </c>
      <c r="I2741" s="137" t="str">
        <f t="shared" si="211"/>
        <v/>
      </c>
      <c r="J2741" s="117"/>
      <c r="K2741" s="116">
        <v>0</v>
      </c>
      <c r="M2741" s="136" t="s">
        <v>416</v>
      </c>
      <c r="N2741" t="e">
        <v>#REF!</v>
      </c>
      <c r="Q2741" t="s">
        <v>416</v>
      </c>
    </row>
    <row r="2742" spans="1:17" hidden="1" x14ac:dyDescent="0.25">
      <c r="A2742" s="114" t="s">
        <v>5845</v>
      </c>
      <c r="B2742" s="115" t="s">
        <v>5886</v>
      </c>
      <c r="C2742" s="116" t="s">
        <v>16</v>
      </c>
      <c r="D2742" s="116">
        <v>0</v>
      </c>
      <c r="E2742" s="136">
        <f ca="1">OFFSET(INDEX(Composições!A:J,MATCH(Orçamentária!A2742,Composições!A:A,0),8),2,0)</f>
        <v>224.98849999999999</v>
      </c>
      <c r="F2742" s="137">
        <f t="shared" ca="1" si="209"/>
        <v>0</v>
      </c>
      <c r="G2742" s="138" t="e">
        <f>IF(A2742&lt;&gt;"",IF(AND(#REF!="Padrão",$H$4=#REF!),BDI!$B$17,IF(AND(#REF!="Padrão",$H$4=#REF!),BDI!#REF!,IF(AND(#REF!="Diferenciado",$H$4=#REF!),BDI!$E$17,IF(AND(#REF!="Diferenciado",$H$4=#REF!),BDI!#REF!,IF(#REF!="ZERO",0))))),"")</f>
        <v>#REF!</v>
      </c>
      <c r="H2742" s="139" t="e">
        <f t="shared" ca="1" si="210"/>
        <v>#REF!</v>
      </c>
      <c r="I2742" s="137" t="e">
        <f t="shared" ca="1" si="211"/>
        <v>#REF!</v>
      </c>
      <c r="J2742" s="117"/>
      <c r="K2742" s="116">
        <v>0</v>
      </c>
      <c r="M2742" s="136" t="e">
        <f ca="1">OFFSET(INDEX([1]Composições!I:R,MATCH([1]Orçamentária!I2742,[1]Composições!I:I,0),8),2,0)</f>
        <v>#REF!</v>
      </c>
      <c r="N2742" t="e">
        <v>#REF!</v>
      </c>
      <c r="Q2742" t="e">
        <v>#REF!</v>
      </c>
    </row>
    <row r="2743" spans="1:17" hidden="1" x14ac:dyDescent="0.25">
      <c r="A2743" s="114" t="s">
        <v>5846</v>
      </c>
      <c r="B2743" s="115" t="s">
        <v>5887</v>
      </c>
      <c r="C2743" s="116" t="s">
        <v>16</v>
      </c>
      <c r="D2743" s="116">
        <v>0</v>
      </c>
      <c r="E2743" s="136" t="s">
        <v>416</v>
      </c>
      <c r="F2743" s="137" t="str">
        <f t="shared" si="209"/>
        <v/>
      </c>
      <c r="G2743" s="138" t="e">
        <f>IF(A2743&lt;&gt;"",IF(AND(#REF!="Padrão",$H$4=#REF!),BDI!$B$17,IF(AND(#REF!="Padrão",$H$4=#REF!),BDI!#REF!,IF(AND(#REF!="Diferenciado",$H$4=#REF!),BDI!$E$17,IF(AND(#REF!="Diferenciado",$H$4=#REF!),BDI!#REF!,IF(#REF!="ZERO",0))))),"")</f>
        <v>#REF!</v>
      </c>
      <c r="H2743" s="139" t="str">
        <f t="shared" si="210"/>
        <v/>
      </c>
      <c r="I2743" s="137" t="str">
        <f t="shared" si="211"/>
        <v/>
      </c>
      <c r="J2743" s="117"/>
      <c r="K2743" s="116">
        <v>0</v>
      </c>
      <c r="M2743" s="136" t="s">
        <v>416</v>
      </c>
      <c r="N2743" t="e">
        <v>#REF!</v>
      </c>
      <c r="Q2743" t="s">
        <v>416</v>
      </c>
    </row>
    <row r="2744" spans="1:17" hidden="1" x14ac:dyDescent="0.25">
      <c r="A2744" s="114" t="s">
        <v>5847</v>
      </c>
      <c r="B2744" s="115" t="s">
        <v>5888</v>
      </c>
      <c r="C2744" s="116" t="s">
        <v>16</v>
      </c>
      <c r="D2744" s="116">
        <v>0</v>
      </c>
      <c r="E2744" s="136">
        <f ca="1">OFFSET(INDEX(Composições!A:J,MATCH(Orçamentária!A2744,Composições!A:A,0),8),2,0)</f>
        <v>24.044499999999999</v>
      </c>
      <c r="F2744" s="137">
        <f t="shared" ca="1" si="209"/>
        <v>0</v>
      </c>
      <c r="G2744" s="138" t="e">
        <f>IF(A2744&lt;&gt;"",IF(AND(#REF!="Padrão",$H$4=#REF!),BDI!$B$17,IF(AND(#REF!="Padrão",$H$4=#REF!),BDI!#REF!,IF(AND(#REF!="Diferenciado",$H$4=#REF!),BDI!$E$17,IF(AND(#REF!="Diferenciado",$H$4=#REF!),BDI!#REF!,IF(#REF!="ZERO",0))))),"")</f>
        <v>#REF!</v>
      </c>
      <c r="H2744" s="139" t="e">
        <f t="shared" ca="1" si="210"/>
        <v>#REF!</v>
      </c>
      <c r="I2744" s="137" t="e">
        <f t="shared" ca="1" si="211"/>
        <v>#REF!</v>
      </c>
      <c r="J2744" s="117"/>
      <c r="K2744" s="116">
        <v>0</v>
      </c>
      <c r="M2744" s="136" t="e">
        <f ca="1">OFFSET(INDEX([1]Composições!I:R,MATCH([1]Orçamentária!I2744,[1]Composições!I:I,0),8),2,0)</f>
        <v>#REF!</v>
      </c>
      <c r="N2744" t="e">
        <v>#REF!</v>
      </c>
      <c r="Q2744" t="e">
        <v>#REF!</v>
      </c>
    </row>
    <row r="2745" spans="1:17" hidden="1" x14ac:dyDescent="0.25">
      <c r="A2745" s="114" t="s">
        <v>5848</v>
      </c>
      <c r="B2745" s="115" t="s">
        <v>5438</v>
      </c>
      <c r="C2745" s="116" t="s">
        <v>16</v>
      </c>
      <c r="D2745" s="116">
        <v>0</v>
      </c>
      <c r="E2745" s="136" t="s">
        <v>416</v>
      </c>
      <c r="F2745" s="137" t="str">
        <f t="shared" si="209"/>
        <v/>
      </c>
      <c r="G2745" s="138" t="e">
        <f>IF(A2745&lt;&gt;"",IF(AND(#REF!="Padrão",$H$4=#REF!),BDI!$B$17,IF(AND(#REF!="Padrão",$H$4=#REF!),BDI!#REF!,IF(AND(#REF!="Diferenciado",$H$4=#REF!),BDI!$E$17,IF(AND(#REF!="Diferenciado",$H$4=#REF!),BDI!#REF!,IF(#REF!="ZERO",0))))),"")</f>
        <v>#REF!</v>
      </c>
      <c r="H2745" s="139" t="str">
        <f t="shared" si="210"/>
        <v/>
      </c>
      <c r="I2745" s="137" t="str">
        <f t="shared" si="211"/>
        <v/>
      </c>
      <c r="J2745" s="117"/>
      <c r="K2745" s="116">
        <v>0</v>
      </c>
      <c r="M2745" s="136" t="s">
        <v>416</v>
      </c>
      <c r="N2745" t="e">
        <v>#REF!</v>
      </c>
      <c r="Q2745" t="s">
        <v>416</v>
      </c>
    </row>
    <row r="2746" spans="1:17" hidden="1" x14ac:dyDescent="0.25">
      <c r="A2746" s="114" t="s">
        <v>5849</v>
      </c>
      <c r="B2746" s="115" t="s">
        <v>5889</v>
      </c>
      <c r="C2746" s="116" t="s">
        <v>16</v>
      </c>
      <c r="D2746" s="116">
        <v>0</v>
      </c>
      <c r="E2746" s="136" t="s">
        <v>416</v>
      </c>
      <c r="F2746" s="137" t="str">
        <f t="shared" si="209"/>
        <v/>
      </c>
      <c r="G2746" s="138" t="e">
        <f>IF(A2746&lt;&gt;"",IF(AND(#REF!="Padrão",$H$4=#REF!),BDI!$B$17,IF(AND(#REF!="Padrão",$H$4=#REF!),BDI!#REF!,IF(AND(#REF!="Diferenciado",$H$4=#REF!),BDI!$E$17,IF(AND(#REF!="Diferenciado",$H$4=#REF!),BDI!#REF!,IF(#REF!="ZERO",0))))),"")</f>
        <v>#REF!</v>
      </c>
      <c r="H2746" s="139" t="str">
        <f t="shared" si="210"/>
        <v/>
      </c>
      <c r="I2746" s="137" t="str">
        <f t="shared" si="211"/>
        <v/>
      </c>
      <c r="J2746" s="117"/>
      <c r="K2746" s="116">
        <v>0</v>
      </c>
      <c r="M2746" s="136" t="s">
        <v>416</v>
      </c>
      <c r="N2746" t="e">
        <v>#REF!</v>
      </c>
      <c r="Q2746" t="s">
        <v>416</v>
      </c>
    </row>
    <row r="2747" spans="1:17" hidden="1" x14ac:dyDescent="0.25">
      <c r="A2747" s="114" t="s">
        <v>5850</v>
      </c>
      <c r="B2747" s="115" t="s">
        <v>5890</v>
      </c>
      <c r="C2747" s="116" t="s">
        <v>16</v>
      </c>
      <c r="D2747" s="116">
        <v>0</v>
      </c>
      <c r="E2747" s="136">
        <f ca="1">OFFSET(INDEX(Composições!A:J,MATCH(Orçamentária!A2747,Composições!A:A,0),8),2,0)</f>
        <v>47.404999999999994</v>
      </c>
      <c r="F2747" s="137">
        <f t="shared" ca="1" si="209"/>
        <v>0</v>
      </c>
      <c r="G2747" s="138" t="e">
        <f>IF(A2747&lt;&gt;"",IF(AND(#REF!="Padrão",$H$4=#REF!),BDI!$B$17,IF(AND(#REF!="Padrão",$H$4=#REF!),BDI!#REF!,IF(AND(#REF!="Diferenciado",$H$4=#REF!),BDI!$E$17,IF(AND(#REF!="Diferenciado",$H$4=#REF!),BDI!#REF!,IF(#REF!="ZERO",0))))),"")</f>
        <v>#REF!</v>
      </c>
      <c r="H2747" s="139" t="e">
        <f t="shared" ca="1" si="210"/>
        <v>#REF!</v>
      </c>
      <c r="I2747" s="137" t="e">
        <f t="shared" ca="1" si="211"/>
        <v>#REF!</v>
      </c>
      <c r="J2747" s="117"/>
      <c r="K2747" s="116">
        <v>0</v>
      </c>
      <c r="M2747" s="136" t="e">
        <f ca="1">OFFSET(INDEX([1]Composições!I:R,MATCH([1]Orçamentária!I2747,[1]Composições!I:I,0),8),2,0)</f>
        <v>#REF!</v>
      </c>
      <c r="N2747" t="e">
        <v>#REF!</v>
      </c>
      <c r="Q2747" t="e">
        <v>#REF!</v>
      </c>
    </row>
    <row r="2748" spans="1:17" hidden="1" x14ac:dyDescent="0.25">
      <c r="A2748" s="114" t="s">
        <v>5851</v>
      </c>
      <c r="B2748" s="115" t="s">
        <v>5891</v>
      </c>
      <c r="C2748" s="116" t="s">
        <v>16</v>
      </c>
      <c r="D2748" s="116">
        <v>0</v>
      </c>
      <c r="E2748" s="136">
        <f ca="1">OFFSET(INDEX(Composições!A:J,MATCH(Orçamentária!A2748,Composições!A:A,0),8),2,0)</f>
        <v>472.38749999999999</v>
      </c>
      <c r="F2748" s="137">
        <f t="shared" ca="1" si="209"/>
        <v>0</v>
      </c>
      <c r="G2748" s="138" t="e">
        <f>IF(A2748&lt;&gt;"",IF(AND(#REF!="Padrão",$H$4=#REF!),BDI!$B$17,IF(AND(#REF!="Padrão",$H$4=#REF!),BDI!#REF!,IF(AND(#REF!="Diferenciado",$H$4=#REF!),BDI!$E$17,IF(AND(#REF!="Diferenciado",$H$4=#REF!),BDI!#REF!,IF(#REF!="ZERO",0))))),"")</f>
        <v>#REF!</v>
      </c>
      <c r="H2748" s="139" t="e">
        <f t="shared" ca="1" si="210"/>
        <v>#REF!</v>
      </c>
      <c r="I2748" s="137" t="e">
        <f t="shared" ca="1" si="211"/>
        <v>#REF!</v>
      </c>
      <c r="J2748" s="117"/>
      <c r="K2748" s="116">
        <v>0</v>
      </c>
      <c r="M2748" s="136" t="e">
        <f ca="1">OFFSET(INDEX([1]Composições!I:R,MATCH([1]Orçamentária!I2748,[1]Composições!I:I,0),8),2,0)</f>
        <v>#REF!</v>
      </c>
      <c r="N2748" t="e">
        <v>#REF!</v>
      </c>
      <c r="Q2748" t="e">
        <v>#REF!</v>
      </c>
    </row>
    <row r="2749" spans="1:17" hidden="1" x14ac:dyDescent="0.25">
      <c r="A2749" s="114" t="s">
        <v>5852</v>
      </c>
      <c r="B2749" s="115" t="s">
        <v>7380</v>
      </c>
      <c r="C2749" s="116" t="s">
        <v>16</v>
      </c>
      <c r="D2749" s="116">
        <v>0</v>
      </c>
      <c r="E2749" s="136" t="s">
        <v>416</v>
      </c>
      <c r="F2749" s="137" t="str">
        <f t="shared" si="209"/>
        <v/>
      </c>
      <c r="G2749" s="138" t="e">
        <f>IF(A2749&lt;&gt;"",IF(AND(#REF!="Padrão",$H$4=#REF!),BDI!$B$17,IF(AND(#REF!="Padrão",$H$4=#REF!),BDI!#REF!,IF(AND(#REF!="Diferenciado",$H$4=#REF!),BDI!$E$17,IF(AND(#REF!="Diferenciado",$H$4=#REF!),BDI!#REF!,IF(#REF!="ZERO",0))))),"")</f>
        <v>#REF!</v>
      </c>
      <c r="H2749" s="139" t="str">
        <f t="shared" si="210"/>
        <v/>
      </c>
      <c r="I2749" s="137" t="str">
        <f t="shared" si="211"/>
        <v/>
      </c>
      <c r="J2749" s="117"/>
      <c r="K2749" s="116">
        <v>0</v>
      </c>
      <c r="M2749" s="136" t="s">
        <v>416</v>
      </c>
      <c r="N2749" t="e">
        <v>#REF!</v>
      </c>
      <c r="Q2749" t="s">
        <v>416</v>
      </c>
    </row>
    <row r="2750" spans="1:17" hidden="1" x14ac:dyDescent="0.25">
      <c r="A2750" s="114" t="s">
        <v>5853</v>
      </c>
      <c r="B2750" s="115" t="s">
        <v>5892</v>
      </c>
      <c r="C2750" s="116" t="s">
        <v>16</v>
      </c>
      <c r="D2750" s="116">
        <v>0</v>
      </c>
      <c r="E2750" s="136">
        <f ca="1">OFFSET(INDEX(Composições!A:J,MATCH(Orçamentária!A2750,Composições!A:A,0),8),2,0)</f>
        <v>332.63299999999998</v>
      </c>
      <c r="F2750" s="137">
        <f t="shared" ca="1" si="209"/>
        <v>0</v>
      </c>
      <c r="G2750" s="138" t="e">
        <f>IF(A2750&lt;&gt;"",IF(AND(#REF!="Padrão",$H$4=#REF!),BDI!$B$17,IF(AND(#REF!="Padrão",$H$4=#REF!),BDI!#REF!,IF(AND(#REF!="Diferenciado",$H$4=#REF!),BDI!$E$17,IF(AND(#REF!="Diferenciado",$H$4=#REF!),BDI!#REF!,IF(#REF!="ZERO",0))))),"")</f>
        <v>#REF!</v>
      </c>
      <c r="H2750" s="139" t="e">
        <f t="shared" ca="1" si="210"/>
        <v>#REF!</v>
      </c>
      <c r="I2750" s="137" t="e">
        <f t="shared" ca="1" si="211"/>
        <v>#REF!</v>
      </c>
      <c r="J2750" s="117"/>
      <c r="K2750" s="116">
        <v>0</v>
      </c>
      <c r="M2750" s="136" t="e">
        <f ca="1">OFFSET(INDEX([1]Composições!I:R,MATCH([1]Orçamentária!I2750,[1]Composições!I:I,0),8),2,0)</f>
        <v>#REF!</v>
      </c>
      <c r="N2750" t="e">
        <v>#REF!</v>
      </c>
      <c r="Q2750" t="e">
        <v>#REF!</v>
      </c>
    </row>
    <row r="2751" spans="1:17" hidden="1" x14ac:dyDescent="0.25">
      <c r="A2751" s="114" t="s">
        <v>5854</v>
      </c>
      <c r="B2751" s="115" t="s">
        <v>5893</v>
      </c>
      <c r="C2751" s="116" t="s">
        <v>16</v>
      </c>
      <c r="D2751" s="116">
        <v>0</v>
      </c>
      <c r="E2751" s="136" t="s">
        <v>416</v>
      </c>
      <c r="F2751" s="137" t="str">
        <f t="shared" si="209"/>
        <v/>
      </c>
      <c r="G2751" s="138" t="e">
        <f>IF(A2751&lt;&gt;"",IF(AND(#REF!="Padrão",$H$4=#REF!),BDI!$B$17,IF(AND(#REF!="Padrão",$H$4=#REF!),BDI!#REF!,IF(AND(#REF!="Diferenciado",$H$4=#REF!),BDI!$E$17,IF(AND(#REF!="Diferenciado",$H$4=#REF!),BDI!#REF!,IF(#REF!="ZERO",0))))),"")</f>
        <v>#REF!</v>
      </c>
      <c r="H2751" s="139" t="str">
        <f t="shared" si="210"/>
        <v/>
      </c>
      <c r="I2751" s="137" t="str">
        <f t="shared" si="211"/>
        <v/>
      </c>
      <c r="J2751" s="117"/>
      <c r="K2751" s="116">
        <v>0</v>
      </c>
      <c r="M2751" s="136" t="s">
        <v>416</v>
      </c>
      <c r="N2751" t="e">
        <v>#REF!</v>
      </c>
      <c r="Q2751" t="s">
        <v>416</v>
      </c>
    </row>
    <row r="2752" spans="1:17" hidden="1" x14ac:dyDescent="0.25">
      <c r="A2752" s="114" t="s">
        <v>5855</v>
      </c>
      <c r="B2752" s="115" t="s">
        <v>5894</v>
      </c>
      <c r="C2752" s="116" t="s">
        <v>16</v>
      </c>
      <c r="D2752" s="116">
        <v>0</v>
      </c>
      <c r="E2752" s="136">
        <f ca="1">OFFSET(INDEX(Composições!A:J,MATCH(Orçamentária!A2752,Composições!A:A,0),8),2,0)</f>
        <v>67.45</v>
      </c>
      <c r="F2752" s="137">
        <f t="shared" ca="1" si="209"/>
        <v>0</v>
      </c>
      <c r="G2752" s="138" t="e">
        <f>IF(A2752&lt;&gt;"",IF(AND(#REF!="Padrão",$H$4=#REF!),BDI!$B$17,IF(AND(#REF!="Padrão",$H$4=#REF!),BDI!#REF!,IF(AND(#REF!="Diferenciado",$H$4=#REF!),BDI!$E$17,IF(AND(#REF!="Diferenciado",$H$4=#REF!),BDI!#REF!,IF(#REF!="ZERO",0))))),"")</f>
        <v>#REF!</v>
      </c>
      <c r="H2752" s="139" t="e">
        <f t="shared" ca="1" si="210"/>
        <v>#REF!</v>
      </c>
      <c r="I2752" s="137" t="e">
        <f t="shared" ca="1" si="211"/>
        <v>#REF!</v>
      </c>
      <c r="J2752" s="117"/>
      <c r="K2752" s="116">
        <v>0</v>
      </c>
      <c r="M2752" s="136" t="e">
        <f ca="1">OFFSET(INDEX([1]Composições!I:R,MATCH([1]Orçamentária!I2752,[1]Composições!I:I,0),8),2,0)</f>
        <v>#REF!</v>
      </c>
      <c r="N2752" t="e">
        <v>#REF!</v>
      </c>
      <c r="Q2752" t="e">
        <v>#REF!</v>
      </c>
    </row>
    <row r="2753" spans="1:17" hidden="1" x14ac:dyDescent="0.25">
      <c r="A2753" s="114" t="s">
        <v>5856</v>
      </c>
      <c r="B2753" s="115" t="s">
        <v>5895</v>
      </c>
      <c r="C2753" s="116" t="s">
        <v>16</v>
      </c>
      <c r="D2753" s="116">
        <v>0</v>
      </c>
      <c r="E2753" s="136">
        <f ca="1">OFFSET(INDEX(Composições!A:J,MATCH(Orçamentária!A2753,Composições!A:A,0),8),2,0)</f>
        <v>125.78</v>
      </c>
      <c r="F2753" s="137">
        <f t="shared" ca="1" si="209"/>
        <v>0</v>
      </c>
      <c r="G2753" s="138" t="e">
        <f>IF(A2753&lt;&gt;"",IF(AND(#REF!="Padrão",$H$4=#REF!),BDI!$B$17,IF(AND(#REF!="Padrão",$H$4=#REF!),BDI!#REF!,IF(AND(#REF!="Diferenciado",$H$4=#REF!),BDI!$E$17,IF(AND(#REF!="Diferenciado",$H$4=#REF!),BDI!#REF!,IF(#REF!="ZERO",0))))),"")</f>
        <v>#REF!</v>
      </c>
      <c r="H2753" s="139" t="e">
        <f t="shared" ca="1" si="210"/>
        <v>#REF!</v>
      </c>
      <c r="I2753" s="137" t="e">
        <f t="shared" ca="1" si="211"/>
        <v>#REF!</v>
      </c>
      <c r="J2753" s="117"/>
      <c r="K2753" s="116">
        <v>0</v>
      </c>
      <c r="M2753" s="136" t="e">
        <f ca="1">OFFSET(INDEX([1]Composições!I:R,MATCH([1]Orçamentária!I2753,[1]Composições!I:I,0),8),2,0)</f>
        <v>#REF!</v>
      </c>
      <c r="N2753" t="e">
        <v>#REF!</v>
      </c>
      <c r="Q2753" t="e">
        <v>#REF!</v>
      </c>
    </row>
    <row r="2754" spans="1:17" hidden="1" x14ac:dyDescent="0.25">
      <c r="A2754" s="114" t="s">
        <v>5857</v>
      </c>
      <c r="B2754" s="115" t="s">
        <v>5896</v>
      </c>
      <c r="C2754" s="116" t="s">
        <v>16</v>
      </c>
      <c r="D2754" s="116">
        <v>0</v>
      </c>
      <c r="E2754" s="136" t="s">
        <v>416</v>
      </c>
      <c r="F2754" s="137" t="str">
        <f t="shared" si="209"/>
        <v/>
      </c>
      <c r="G2754" s="138" t="e">
        <f>IF(A2754&lt;&gt;"",IF(AND(#REF!="Padrão",$H$4=#REF!),BDI!$B$17,IF(AND(#REF!="Padrão",$H$4=#REF!),BDI!#REF!,IF(AND(#REF!="Diferenciado",$H$4=#REF!),BDI!$E$17,IF(AND(#REF!="Diferenciado",$H$4=#REF!),BDI!#REF!,IF(#REF!="ZERO",0))))),"")</f>
        <v>#REF!</v>
      </c>
      <c r="H2754" s="139" t="str">
        <f t="shared" si="210"/>
        <v/>
      </c>
      <c r="I2754" s="137" t="str">
        <f t="shared" si="211"/>
        <v/>
      </c>
      <c r="J2754" s="117"/>
      <c r="K2754" s="116">
        <v>0</v>
      </c>
      <c r="M2754" s="136" t="s">
        <v>416</v>
      </c>
      <c r="N2754" t="e">
        <v>#REF!</v>
      </c>
      <c r="Q2754" t="s">
        <v>416</v>
      </c>
    </row>
    <row r="2755" spans="1:17" hidden="1" x14ac:dyDescent="0.25">
      <c r="A2755" s="114" t="s">
        <v>5858</v>
      </c>
      <c r="B2755" s="115" t="s">
        <v>5897</v>
      </c>
      <c r="C2755" s="116" t="s">
        <v>16</v>
      </c>
      <c r="D2755" s="116">
        <v>0</v>
      </c>
      <c r="E2755" s="136" t="s">
        <v>416</v>
      </c>
      <c r="F2755" s="137" t="str">
        <f t="shared" si="209"/>
        <v/>
      </c>
      <c r="G2755" s="138" t="e">
        <f>IF(A2755&lt;&gt;"",IF(AND(#REF!="Padrão",$H$4=#REF!),BDI!$B$17,IF(AND(#REF!="Padrão",$H$4=#REF!),BDI!#REF!,IF(AND(#REF!="Diferenciado",$H$4=#REF!),BDI!$E$17,IF(AND(#REF!="Diferenciado",$H$4=#REF!),BDI!#REF!,IF(#REF!="ZERO",0))))),"")</f>
        <v>#REF!</v>
      </c>
      <c r="H2755" s="139" t="str">
        <f t="shared" si="210"/>
        <v/>
      </c>
      <c r="I2755" s="137" t="str">
        <f t="shared" si="211"/>
        <v/>
      </c>
      <c r="J2755" s="117"/>
      <c r="K2755" s="116">
        <v>0</v>
      </c>
      <c r="M2755" s="136" t="s">
        <v>416</v>
      </c>
      <c r="N2755" t="e">
        <v>#REF!</v>
      </c>
      <c r="Q2755" t="s">
        <v>416</v>
      </c>
    </row>
    <row r="2756" spans="1:17" hidden="1" x14ac:dyDescent="0.25">
      <c r="A2756" s="114" t="s">
        <v>5898</v>
      </c>
      <c r="B2756" s="115" t="s">
        <v>5899</v>
      </c>
      <c r="C2756" s="116" t="s">
        <v>16</v>
      </c>
      <c r="D2756" s="116">
        <v>0</v>
      </c>
      <c r="E2756" s="136" t="s">
        <v>416</v>
      </c>
      <c r="F2756" s="137" t="str">
        <f t="shared" si="209"/>
        <v/>
      </c>
      <c r="G2756" s="138" t="e">
        <f>IF(A2756&lt;&gt;"",IF(AND(#REF!="Padrão",$H$4=#REF!),BDI!$B$17,IF(AND(#REF!="Padrão",$H$4=#REF!),BDI!#REF!,IF(AND(#REF!="Diferenciado",$H$4=#REF!),BDI!$E$17,IF(AND(#REF!="Diferenciado",$H$4=#REF!),BDI!#REF!,IF(#REF!="ZERO",0))))),"")</f>
        <v>#REF!</v>
      </c>
      <c r="H2756" s="139" t="str">
        <f t="shared" si="210"/>
        <v/>
      </c>
      <c r="I2756" s="137" t="str">
        <f t="shared" si="211"/>
        <v/>
      </c>
      <c r="J2756" s="117"/>
      <c r="K2756" s="116">
        <v>0</v>
      </c>
      <c r="M2756" s="136" t="s">
        <v>416</v>
      </c>
      <c r="N2756" t="e">
        <v>#REF!</v>
      </c>
      <c r="Q2756" t="s">
        <v>416</v>
      </c>
    </row>
    <row r="2757" spans="1:17" hidden="1" x14ac:dyDescent="0.25">
      <c r="A2757" s="114" t="s">
        <v>5900</v>
      </c>
      <c r="B2757" s="115" t="s">
        <v>5901</v>
      </c>
      <c r="C2757" s="116" t="s">
        <v>16</v>
      </c>
      <c r="D2757" s="116">
        <v>0</v>
      </c>
      <c r="E2757" s="136">
        <f ca="1">OFFSET(INDEX(Composições!A:J,MATCH(Orçamentária!A2757,Composições!A:A,0),8),2,0)</f>
        <v>73.320999999999998</v>
      </c>
      <c r="F2757" s="137">
        <f t="shared" ca="1" si="209"/>
        <v>0</v>
      </c>
      <c r="G2757" s="138" t="e">
        <f>IF(A2757&lt;&gt;"",IF(AND(#REF!="Padrão",$H$4=#REF!),BDI!$B$17,IF(AND(#REF!="Padrão",$H$4=#REF!),BDI!#REF!,IF(AND(#REF!="Diferenciado",$H$4=#REF!),BDI!$E$17,IF(AND(#REF!="Diferenciado",$H$4=#REF!),BDI!#REF!,IF(#REF!="ZERO",0))))),"")</f>
        <v>#REF!</v>
      </c>
      <c r="H2757" s="139" t="e">
        <f t="shared" ca="1" si="210"/>
        <v>#REF!</v>
      </c>
      <c r="I2757" s="137" t="e">
        <f t="shared" ca="1" si="211"/>
        <v>#REF!</v>
      </c>
      <c r="J2757" s="117"/>
      <c r="K2757" s="116">
        <v>0</v>
      </c>
      <c r="M2757" s="136" t="e">
        <f ca="1">OFFSET(INDEX([1]Composições!I:R,MATCH([1]Orçamentária!I2757,[1]Composições!I:I,0),8),2,0)</f>
        <v>#REF!</v>
      </c>
      <c r="N2757" t="e">
        <v>#REF!</v>
      </c>
      <c r="Q2757" t="e">
        <v>#REF!</v>
      </c>
    </row>
    <row r="2758" spans="1:17" hidden="1" x14ac:dyDescent="0.25">
      <c r="A2758" s="114" t="s">
        <v>5902</v>
      </c>
      <c r="B2758" s="115" t="s">
        <v>5903</v>
      </c>
      <c r="C2758" s="116" t="s">
        <v>16</v>
      </c>
      <c r="D2758" s="116">
        <v>0</v>
      </c>
      <c r="E2758" s="136" t="s">
        <v>416</v>
      </c>
      <c r="F2758" s="137" t="str">
        <f t="shared" si="209"/>
        <v/>
      </c>
      <c r="G2758" s="138" t="e">
        <f>IF(A2758&lt;&gt;"",IF(AND(#REF!="Padrão",$H$4=#REF!),BDI!$B$17,IF(AND(#REF!="Padrão",$H$4=#REF!),BDI!#REF!,IF(AND(#REF!="Diferenciado",$H$4=#REF!),BDI!$E$17,IF(AND(#REF!="Diferenciado",$H$4=#REF!),BDI!#REF!,IF(#REF!="ZERO",0))))),"")</f>
        <v>#REF!</v>
      </c>
      <c r="H2758" s="139" t="str">
        <f t="shared" si="210"/>
        <v/>
      </c>
      <c r="I2758" s="137" t="str">
        <f t="shared" si="211"/>
        <v/>
      </c>
      <c r="J2758" s="117"/>
      <c r="K2758" s="116">
        <v>0</v>
      </c>
      <c r="M2758" s="136" t="s">
        <v>416</v>
      </c>
      <c r="N2758" t="e">
        <v>#REF!</v>
      </c>
      <c r="Q2758" t="s">
        <v>416</v>
      </c>
    </row>
    <row r="2759" spans="1:17" hidden="1" x14ac:dyDescent="0.25">
      <c r="A2759" s="114" t="s">
        <v>5904</v>
      </c>
      <c r="B2759" s="115" t="s">
        <v>3025</v>
      </c>
      <c r="C2759" s="116" t="s">
        <v>16</v>
      </c>
      <c r="D2759" s="116">
        <v>0</v>
      </c>
      <c r="E2759" s="136" t="s">
        <v>416</v>
      </c>
      <c r="F2759" s="137" t="str">
        <f t="shared" si="209"/>
        <v/>
      </c>
      <c r="G2759" s="138" t="e">
        <f>IF(A2759&lt;&gt;"",IF(AND(#REF!="Padrão",$H$4=#REF!),BDI!$B$17,IF(AND(#REF!="Padrão",$H$4=#REF!),BDI!#REF!,IF(AND(#REF!="Diferenciado",$H$4=#REF!),BDI!$E$17,IF(AND(#REF!="Diferenciado",$H$4=#REF!),BDI!#REF!,IF(#REF!="ZERO",0))))),"")</f>
        <v>#REF!</v>
      </c>
      <c r="H2759" s="139" t="str">
        <f t="shared" si="210"/>
        <v/>
      </c>
      <c r="I2759" s="137" t="str">
        <f t="shared" si="211"/>
        <v/>
      </c>
      <c r="J2759" s="117"/>
      <c r="K2759" s="116">
        <v>0</v>
      </c>
      <c r="M2759" s="136" t="s">
        <v>416</v>
      </c>
      <c r="N2759" t="e">
        <v>#REF!</v>
      </c>
      <c r="Q2759" t="s">
        <v>416</v>
      </c>
    </row>
    <row r="2760" spans="1:17" hidden="1" x14ac:dyDescent="0.25">
      <c r="A2760" s="114" t="s">
        <v>5905</v>
      </c>
      <c r="B2760" s="115" t="s">
        <v>5906</v>
      </c>
      <c r="C2760" s="116" t="s">
        <v>16</v>
      </c>
      <c r="D2760" s="116">
        <v>0</v>
      </c>
      <c r="E2760" s="136" t="s">
        <v>416</v>
      </c>
      <c r="F2760" s="137" t="str">
        <f t="shared" si="209"/>
        <v/>
      </c>
      <c r="G2760" s="138" t="e">
        <f>IF(A2760&lt;&gt;"",IF(AND(#REF!="Padrão",$H$4=#REF!),BDI!$B$17,IF(AND(#REF!="Padrão",$H$4=#REF!),BDI!#REF!,IF(AND(#REF!="Diferenciado",$H$4=#REF!),BDI!$E$17,IF(AND(#REF!="Diferenciado",$H$4=#REF!),BDI!#REF!,IF(#REF!="ZERO",0))))),"")</f>
        <v>#REF!</v>
      </c>
      <c r="H2760" s="139" t="str">
        <f t="shared" si="210"/>
        <v/>
      </c>
      <c r="I2760" s="137" t="str">
        <f t="shared" si="211"/>
        <v/>
      </c>
      <c r="J2760" s="117"/>
      <c r="K2760" s="116">
        <v>0</v>
      </c>
      <c r="M2760" s="136" t="s">
        <v>416</v>
      </c>
      <c r="N2760" t="e">
        <v>#REF!</v>
      </c>
      <c r="Q2760" t="s">
        <v>416</v>
      </c>
    </row>
    <row r="2761" spans="1:17" hidden="1" x14ac:dyDescent="0.25">
      <c r="A2761" s="114" t="s">
        <v>5907</v>
      </c>
      <c r="B2761" s="115" t="s">
        <v>5908</v>
      </c>
      <c r="C2761" s="116" t="s">
        <v>16</v>
      </c>
      <c r="D2761" s="116">
        <v>0</v>
      </c>
      <c r="E2761" s="136" t="s">
        <v>416</v>
      </c>
      <c r="F2761" s="137" t="str">
        <f t="shared" si="209"/>
        <v/>
      </c>
      <c r="G2761" s="138" t="e">
        <f>IF(A2761&lt;&gt;"",IF(AND(#REF!="Padrão",$H$4=#REF!),BDI!$B$17,IF(AND(#REF!="Padrão",$H$4=#REF!),BDI!#REF!,IF(AND(#REF!="Diferenciado",$H$4=#REF!),BDI!$E$17,IF(AND(#REF!="Diferenciado",$H$4=#REF!),BDI!#REF!,IF(#REF!="ZERO",0))))),"")</f>
        <v>#REF!</v>
      </c>
      <c r="H2761" s="139" t="str">
        <f t="shared" si="210"/>
        <v/>
      </c>
      <c r="I2761" s="137" t="str">
        <f t="shared" si="211"/>
        <v/>
      </c>
      <c r="J2761" s="117"/>
      <c r="K2761" s="116">
        <v>0</v>
      </c>
      <c r="M2761" s="136" t="s">
        <v>416</v>
      </c>
      <c r="N2761" t="e">
        <v>#REF!</v>
      </c>
      <c r="Q2761" t="s">
        <v>416</v>
      </c>
    </row>
    <row r="2762" spans="1:17" hidden="1" x14ac:dyDescent="0.25">
      <c r="A2762" s="114" t="s">
        <v>5909</v>
      </c>
      <c r="B2762" s="115" t="s">
        <v>5910</v>
      </c>
      <c r="C2762" s="116" t="s">
        <v>16</v>
      </c>
      <c r="D2762" s="116">
        <v>0</v>
      </c>
      <c r="E2762" s="136" t="s">
        <v>416</v>
      </c>
      <c r="F2762" s="137" t="str">
        <f t="shared" si="209"/>
        <v/>
      </c>
      <c r="G2762" s="138" t="e">
        <f>IF(A2762&lt;&gt;"",IF(AND(#REF!="Padrão",$H$4=#REF!),BDI!$B$17,IF(AND(#REF!="Padrão",$H$4=#REF!),BDI!#REF!,IF(AND(#REF!="Diferenciado",$H$4=#REF!),BDI!$E$17,IF(AND(#REF!="Diferenciado",$H$4=#REF!),BDI!#REF!,IF(#REF!="ZERO",0))))),"")</f>
        <v>#REF!</v>
      </c>
      <c r="H2762" s="139" t="str">
        <f t="shared" si="210"/>
        <v/>
      </c>
      <c r="I2762" s="137" t="str">
        <f t="shared" si="211"/>
        <v/>
      </c>
      <c r="J2762" s="117"/>
      <c r="K2762" s="116">
        <v>0</v>
      </c>
      <c r="M2762" s="136" t="s">
        <v>416</v>
      </c>
      <c r="N2762" t="e">
        <v>#REF!</v>
      </c>
      <c r="Q2762" t="s">
        <v>416</v>
      </c>
    </row>
    <row r="2763" spans="1:17" hidden="1" x14ac:dyDescent="0.25">
      <c r="A2763" s="114" t="s">
        <v>5911</v>
      </c>
      <c r="B2763" s="115" t="s">
        <v>5912</v>
      </c>
      <c r="C2763" s="116" t="s">
        <v>16</v>
      </c>
      <c r="D2763" s="116">
        <v>0</v>
      </c>
      <c r="E2763" s="136" t="s">
        <v>416</v>
      </c>
      <c r="F2763" s="137" t="str">
        <f t="shared" si="209"/>
        <v/>
      </c>
      <c r="G2763" s="138" t="e">
        <f>IF(A2763&lt;&gt;"",IF(AND(#REF!="Padrão",$H$4=#REF!),BDI!$B$17,IF(AND(#REF!="Padrão",$H$4=#REF!),BDI!#REF!,IF(AND(#REF!="Diferenciado",$H$4=#REF!),BDI!$E$17,IF(AND(#REF!="Diferenciado",$H$4=#REF!),BDI!#REF!,IF(#REF!="ZERO",0))))),"")</f>
        <v>#REF!</v>
      </c>
      <c r="H2763" s="139" t="str">
        <f t="shared" si="210"/>
        <v/>
      </c>
      <c r="I2763" s="137" t="str">
        <f t="shared" si="211"/>
        <v/>
      </c>
      <c r="J2763" s="117"/>
      <c r="K2763" s="116">
        <v>0</v>
      </c>
      <c r="M2763" s="136" t="s">
        <v>416</v>
      </c>
      <c r="N2763" t="e">
        <v>#REF!</v>
      </c>
      <c r="Q2763" t="s">
        <v>416</v>
      </c>
    </row>
    <row r="2764" spans="1:17" hidden="1" x14ac:dyDescent="0.25">
      <c r="A2764" s="114" t="s">
        <v>5913</v>
      </c>
      <c r="B2764" s="115" t="s">
        <v>1463</v>
      </c>
      <c r="C2764" s="116" t="s">
        <v>16</v>
      </c>
      <c r="D2764" s="116">
        <v>0</v>
      </c>
      <c r="E2764" s="136" t="s">
        <v>416</v>
      </c>
      <c r="F2764" s="137" t="str">
        <f t="shared" si="209"/>
        <v/>
      </c>
      <c r="G2764" s="138" t="e">
        <f>IF(A2764&lt;&gt;"",IF(AND(#REF!="Padrão",$H$4=#REF!),BDI!$B$17,IF(AND(#REF!="Padrão",$H$4=#REF!),BDI!#REF!,IF(AND(#REF!="Diferenciado",$H$4=#REF!),BDI!$E$17,IF(AND(#REF!="Diferenciado",$H$4=#REF!),BDI!#REF!,IF(#REF!="ZERO",0))))),"")</f>
        <v>#REF!</v>
      </c>
      <c r="H2764" s="139" t="str">
        <f t="shared" si="210"/>
        <v/>
      </c>
      <c r="I2764" s="137" t="str">
        <f t="shared" si="211"/>
        <v/>
      </c>
      <c r="J2764" s="117"/>
      <c r="K2764" s="116">
        <v>0</v>
      </c>
      <c r="M2764" s="136" t="s">
        <v>416</v>
      </c>
      <c r="N2764" t="e">
        <v>#REF!</v>
      </c>
      <c r="Q2764" t="s">
        <v>416</v>
      </c>
    </row>
    <row r="2765" spans="1:17" hidden="1" x14ac:dyDescent="0.25">
      <c r="A2765" s="114" t="s">
        <v>5914</v>
      </c>
      <c r="B2765" s="115" t="s">
        <v>5424</v>
      </c>
      <c r="C2765" s="116" t="s">
        <v>16</v>
      </c>
      <c r="D2765" s="116">
        <v>0</v>
      </c>
      <c r="E2765" s="136">
        <f ca="1">OFFSET(INDEX(Composições!A:J,MATCH(Orçamentária!A2765,Composições!A:A,0),8),2,0)</f>
        <v>122.71149999999999</v>
      </c>
      <c r="F2765" s="137">
        <f t="shared" ca="1" si="209"/>
        <v>0</v>
      </c>
      <c r="G2765" s="138" t="e">
        <f>IF(A2765&lt;&gt;"",IF(AND(#REF!="Padrão",$H$4=#REF!),BDI!$B$17,IF(AND(#REF!="Padrão",$H$4=#REF!),BDI!#REF!,IF(AND(#REF!="Diferenciado",$H$4=#REF!),BDI!$E$17,IF(AND(#REF!="Diferenciado",$H$4=#REF!),BDI!#REF!,IF(#REF!="ZERO",0))))),"")</f>
        <v>#REF!</v>
      </c>
      <c r="H2765" s="139" t="e">
        <f t="shared" ca="1" si="210"/>
        <v>#REF!</v>
      </c>
      <c r="I2765" s="137" t="e">
        <f t="shared" ca="1" si="211"/>
        <v>#REF!</v>
      </c>
      <c r="J2765" s="117"/>
      <c r="K2765" s="116">
        <v>0</v>
      </c>
      <c r="M2765" s="136" t="e">
        <f ca="1">OFFSET(INDEX([1]Composições!I:R,MATCH([1]Orçamentária!I2765,[1]Composições!I:I,0),8),2,0)</f>
        <v>#REF!</v>
      </c>
      <c r="N2765" t="e">
        <v>#REF!</v>
      </c>
      <c r="Q2765" t="e">
        <v>#REF!</v>
      </c>
    </row>
    <row r="2766" spans="1:17" hidden="1" x14ac:dyDescent="0.25">
      <c r="A2766" s="114" t="s">
        <v>5915</v>
      </c>
      <c r="B2766" s="115" t="s">
        <v>1464</v>
      </c>
      <c r="C2766" s="116" t="s">
        <v>16</v>
      </c>
      <c r="D2766" s="116">
        <v>0</v>
      </c>
      <c r="E2766" s="136" t="s">
        <v>416</v>
      </c>
      <c r="F2766" s="137" t="str">
        <f t="shared" si="209"/>
        <v/>
      </c>
      <c r="G2766" s="138" t="e">
        <f>IF(A2766&lt;&gt;"",IF(AND(#REF!="Padrão",$H$4=#REF!),BDI!$B$17,IF(AND(#REF!="Padrão",$H$4=#REF!),BDI!#REF!,IF(AND(#REF!="Diferenciado",$H$4=#REF!),BDI!$E$17,IF(AND(#REF!="Diferenciado",$H$4=#REF!),BDI!#REF!,IF(#REF!="ZERO",0))))),"")</f>
        <v>#REF!</v>
      </c>
      <c r="H2766" s="139" t="str">
        <f t="shared" si="210"/>
        <v/>
      </c>
      <c r="I2766" s="137" t="str">
        <f t="shared" si="211"/>
        <v/>
      </c>
      <c r="J2766" s="117"/>
      <c r="K2766" s="116">
        <v>0</v>
      </c>
      <c r="M2766" s="136" t="s">
        <v>416</v>
      </c>
      <c r="N2766" t="e">
        <v>#REF!</v>
      </c>
      <c r="Q2766" t="s">
        <v>416</v>
      </c>
    </row>
    <row r="2767" spans="1:17" hidden="1" x14ac:dyDescent="0.25">
      <c r="A2767" s="114" t="s">
        <v>5916</v>
      </c>
      <c r="B2767" s="115" t="s">
        <v>5428</v>
      </c>
      <c r="C2767" s="116" t="s">
        <v>16</v>
      </c>
      <c r="D2767" s="116">
        <v>0</v>
      </c>
      <c r="E2767" s="136" t="s">
        <v>416</v>
      </c>
      <c r="F2767" s="137" t="str">
        <f t="shared" si="209"/>
        <v/>
      </c>
      <c r="G2767" s="138" t="e">
        <f>IF(A2767&lt;&gt;"",IF(AND(#REF!="Padrão",$H$4=#REF!),BDI!$B$17,IF(AND(#REF!="Padrão",$H$4=#REF!),BDI!#REF!,IF(AND(#REF!="Diferenciado",$H$4=#REF!),BDI!$E$17,IF(AND(#REF!="Diferenciado",$H$4=#REF!),BDI!#REF!,IF(#REF!="ZERO",0))))),"")</f>
        <v>#REF!</v>
      </c>
      <c r="H2767" s="139" t="str">
        <f t="shared" si="210"/>
        <v/>
      </c>
      <c r="I2767" s="137" t="str">
        <f t="shared" si="211"/>
        <v/>
      </c>
      <c r="J2767" s="117"/>
      <c r="K2767" s="116">
        <v>0</v>
      </c>
      <c r="M2767" s="136" t="s">
        <v>416</v>
      </c>
      <c r="N2767" t="e">
        <v>#REF!</v>
      </c>
      <c r="Q2767" t="s">
        <v>416</v>
      </c>
    </row>
    <row r="2768" spans="1:17" hidden="1" x14ac:dyDescent="0.25">
      <c r="A2768" s="114" t="s">
        <v>5917</v>
      </c>
      <c r="B2768" s="115" t="s">
        <v>5429</v>
      </c>
      <c r="C2768" s="116" t="s">
        <v>16</v>
      </c>
      <c r="D2768" s="116">
        <v>0</v>
      </c>
      <c r="E2768" s="136" t="s">
        <v>416</v>
      </c>
      <c r="F2768" s="137" t="str">
        <f t="shared" si="209"/>
        <v/>
      </c>
      <c r="G2768" s="138" t="e">
        <f>IF(A2768&lt;&gt;"",IF(AND(#REF!="Padrão",$H$4=#REF!),BDI!$B$17,IF(AND(#REF!="Padrão",$H$4=#REF!),BDI!#REF!,IF(AND(#REF!="Diferenciado",$H$4=#REF!),BDI!$E$17,IF(AND(#REF!="Diferenciado",$H$4=#REF!),BDI!#REF!,IF(#REF!="ZERO",0))))),"")</f>
        <v>#REF!</v>
      </c>
      <c r="H2768" s="139" t="str">
        <f t="shared" si="210"/>
        <v/>
      </c>
      <c r="I2768" s="137" t="str">
        <f t="shared" si="211"/>
        <v/>
      </c>
      <c r="J2768" s="117"/>
      <c r="K2768" s="116">
        <v>0</v>
      </c>
      <c r="M2768" s="136" t="s">
        <v>416</v>
      </c>
      <c r="N2768" t="e">
        <v>#REF!</v>
      </c>
      <c r="Q2768" t="s">
        <v>416</v>
      </c>
    </row>
    <row r="2769" spans="1:17" hidden="1" x14ac:dyDescent="0.25">
      <c r="A2769" s="114" t="s">
        <v>5918</v>
      </c>
      <c r="B2769" s="115" t="s">
        <v>7379</v>
      </c>
      <c r="C2769" s="116" t="s">
        <v>16</v>
      </c>
      <c r="D2769" s="116">
        <v>0</v>
      </c>
      <c r="E2769" s="136" t="s">
        <v>416</v>
      </c>
      <c r="F2769" s="137" t="str">
        <f t="shared" si="209"/>
        <v/>
      </c>
      <c r="G2769" s="138" t="e">
        <f>IF(A2769&lt;&gt;"",IF(AND(#REF!="Padrão",$H$4=#REF!),BDI!$B$17,IF(AND(#REF!="Padrão",$H$4=#REF!),BDI!#REF!,IF(AND(#REF!="Diferenciado",$H$4=#REF!),BDI!$E$17,IF(AND(#REF!="Diferenciado",$H$4=#REF!),BDI!#REF!,IF(#REF!="ZERO",0))))),"")</f>
        <v>#REF!</v>
      </c>
      <c r="H2769" s="139" t="str">
        <f t="shared" si="210"/>
        <v/>
      </c>
      <c r="I2769" s="137" t="str">
        <f t="shared" si="211"/>
        <v/>
      </c>
      <c r="J2769" s="117"/>
      <c r="K2769" s="116">
        <v>0</v>
      </c>
      <c r="M2769" s="136" t="s">
        <v>416</v>
      </c>
      <c r="N2769" t="e">
        <v>#REF!</v>
      </c>
      <c r="Q2769" t="s">
        <v>416</v>
      </c>
    </row>
    <row r="2770" spans="1:17" hidden="1" x14ac:dyDescent="0.25">
      <c r="A2770" s="114" t="s">
        <v>5919</v>
      </c>
      <c r="B2770" s="115" t="s">
        <v>5920</v>
      </c>
      <c r="C2770" s="116" t="s">
        <v>16</v>
      </c>
      <c r="D2770" s="116">
        <v>0</v>
      </c>
      <c r="E2770" s="136" t="s">
        <v>416</v>
      </c>
      <c r="F2770" s="137" t="str">
        <f t="shared" si="209"/>
        <v/>
      </c>
      <c r="G2770" s="138" t="e">
        <f>IF(A2770&lt;&gt;"",IF(AND(#REF!="Padrão",$H$4=#REF!),BDI!$B$17,IF(AND(#REF!="Padrão",$H$4=#REF!),BDI!#REF!,IF(AND(#REF!="Diferenciado",$H$4=#REF!),BDI!$E$17,IF(AND(#REF!="Diferenciado",$H$4=#REF!),BDI!#REF!,IF(#REF!="ZERO",0))))),"")</f>
        <v>#REF!</v>
      </c>
      <c r="H2770" s="139" t="str">
        <f t="shared" si="210"/>
        <v/>
      </c>
      <c r="I2770" s="137" t="str">
        <f t="shared" si="211"/>
        <v/>
      </c>
      <c r="J2770" s="117"/>
      <c r="K2770" s="116">
        <v>0</v>
      </c>
      <c r="M2770" s="136" t="s">
        <v>416</v>
      </c>
      <c r="N2770" t="e">
        <v>#REF!</v>
      </c>
      <c r="Q2770" t="s">
        <v>416</v>
      </c>
    </row>
    <row r="2771" spans="1:17" hidden="1" x14ac:dyDescent="0.25">
      <c r="A2771" s="114" t="s">
        <v>5921</v>
      </c>
      <c r="B2771" s="115" t="s">
        <v>5922</v>
      </c>
      <c r="C2771" s="116" t="s">
        <v>16</v>
      </c>
      <c r="D2771" s="116">
        <v>0</v>
      </c>
      <c r="E2771" s="136" t="s">
        <v>416</v>
      </c>
      <c r="F2771" s="137" t="str">
        <f t="shared" si="209"/>
        <v/>
      </c>
      <c r="G2771" s="138" t="e">
        <f>IF(A2771&lt;&gt;"",IF(AND(#REF!="Padrão",$H$4=#REF!),BDI!$B$17,IF(AND(#REF!="Padrão",$H$4=#REF!),BDI!#REF!,IF(AND(#REF!="Diferenciado",$H$4=#REF!),BDI!$E$17,IF(AND(#REF!="Diferenciado",$H$4=#REF!),BDI!#REF!,IF(#REF!="ZERO",0))))),"")</f>
        <v>#REF!</v>
      </c>
      <c r="H2771" s="139" t="str">
        <f t="shared" si="210"/>
        <v/>
      </c>
      <c r="I2771" s="137" t="str">
        <f t="shared" si="211"/>
        <v/>
      </c>
      <c r="J2771" s="117"/>
      <c r="K2771" s="116">
        <v>0</v>
      </c>
      <c r="M2771" s="136" t="s">
        <v>416</v>
      </c>
      <c r="N2771" t="e">
        <v>#REF!</v>
      </c>
      <c r="Q2771" t="s">
        <v>416</v>
      </c>
    </row>
    <row r="2772" spans="1:17" hidden="1" x14ac:dyDescent="0.25">
      <c r="A2772" s="114" t="s">
        <v>5923</v>
      </c>
      <c r="B2772" s="115" t="s">
        <v>5924</v>
      </c>
      <c r="C2772" s="116" t="s">
        <v>16</v>
      </c>
      <c r="D2772" s="116">
        <v>0</v>
      </c>
      <c r="E2772" s="136" t="s">
        <v>416</v>
      </c>
      <c r="F2772" s="137" t="str">
        <f t="shared" si="209"/>
        <v/>
      </c>
      <c r="G2772" s="138" t="e">
        <f>IF(A2772&lt;&gt;"",IF(AND(#REF!="Padrão",$H$4=#REF!),BDI!$B$17,IF(AND(#REF!="Padrão",$H$4=#REF!),BDI!#REF!,IF(AND(#REF!="Diferenciado",$H$4=#REF!),BDI!$E$17,IF(AND(#REF!="Diferenciado",$H$4=#REF!),BDI!#REF!,IF(#REF!="ZERO",0))))),"")</f>
        <v>#REF!</v>
      </c>
      <c r="H2772" s="139" t="str">
        <f t="shared" si="210"/>
        <v/>
      </c>
      <c r="I2772" s="137" t="str">
        <f t="shared" si="211"/>
        <v/>
      </c>
      <c r="J2772" s="117"/>
      <c r="K2772" s="116">
        <v>0</v>
      </c>
      <c r="M2772" s="136" t="s">
        <v>416</v>
      </c>
      <c r="N2772" t="e">
        <v>#REF!</v>
      </c>
      <c r="Q2772" t="s">
        <v>416</v>
      </c>
    </row>
    <row r="2773" spans="1:17" hidden="1" x14ac:dyDescent="0.25">
      <c r="A2773" s="114" t="s">
        <v>5925</v>
      </c>
      <c r="B2773" s="115" t="s">
        <v>5926</v>
      </c>
      <c r="C2773" s="116" t="s">
        <v>16</v>
      </c>
      <c r="D2773" s="116">
        <v>0</v>
      </c>
      <c r="E2773" s="136" t="s">
        <v>416</v>
      </c>
      <c r="F2773" s="137" t="str">
        <f t="shared" si="209"/>
        <v/>
      </c>
      <c r="G2773" s="138" t="e">
        <f>IF(A2773&lt;&gt;"",IF(AND(#REF!="Padrão",$H$4=#REF!),BDI!$B$17,IF(AND(#REF!="Padrão",$H$4=#REF!),BDI!#REF!,IF(AND(#REF!="Diferenciado",$H$4=#REF!),BDI!$E$17,IF(AND(#REF!="Diferenciado",$H$4=#REF!),BDI!#REF!,IF(#REF!="ZERO",0))))),"")</f>
        <v>#REF!</v>
      </c>
      <c r="H2773" s="139" t="str">
        <f t="shared" si="210"/>
        <v/>
      </c>
      <c r="I2773" s="137" t="str">
        <f t="shared" si="211"/>
        <v/>
      </c>
      <c r="J2773" s="117"/>
      <c r="K2773" s="116">
        <v>0</v>
      </c>
      <c r="M2773" s="136" t="s">
        <v>416</v>
      </c>
      <c r="N2773" t="e">
        <v>#REF!</v>
      </c>
      <c r="Q2773" t="s">
        <v>416</v>
      </c>
    </row>
    <row r="2774" spans="1:17" hidden="1" x14ac:dyDescent="0.25">
      <c r="A2774" s="114" t="s">
        <v>5927</v>
      </c>
      <c r="B2774" s="115" t="s">
        <v>5928</v>
      </c>
      <c r="C2774" s="116" t="s">
        <v>16</v>
      </c>
      <c r="D2774" s="116">
        <v>0</v>
      </c>
      <c r="E2774" s="136" t="s">
        <v>416</v>
      </c>
      <c r="F2774" s="137" t="str">
        <f t="shared" si="209"/>
        <v/>
      </c>
      <c r="G2774" s="138" t="e">
        <f>IF(A2774&lt;&gt;"",IF(AND(#REF!="Padrão",$H$4=#REF!),BDI!$B$17,IF(AND(#REF!="Padrão",$H$4=#REF!),BDI!#REF!,IF(AND(#REF!="Diferenciado",$H$4=#REF!),BDI!$E$17,IF(AND(#REF!="Diferenciado",$H$4=#REF!),BDI!#REF!,IF(#REF!="ZERO",0))))),"")</f>
        <v>#REF!</v>
      </c>
      <c r="H2774" s="139" t="str">
        <f t="shared" si="210"/>
        <v/>
      </c>
      <c r="I2774" s="137" t="str">
        <f t="shared" si="211"/>
        <v/>
      </c>
      <c r="J2774" s="117"/>
      <c r="K2774" s="116">
        <v>0</v>
      </c>
      <c r="M2774" s="136" t="s">
        <v>416</v>
      </c>
      <c r="N2774" t="e">
        <v>#REF!</v>
      </c>
      <c r="Q2774" t="s">
        <v>416</v>
      </c>
    </row>
    <row r="2775" spans="1:17" hidden="1" x14ac:dyDescent="0.25">
      <c r="A2775" s="114" t="s">
        <v>5929</v>
      </c>
      <c r="B2775" s="115" t="s">
        <v>7378</v>
      </c>
      <c r="C2775" s="116" t="s">
        <v>16</v>
      </c>
      <c r="D2775" s="116">
        <v>0</v>
      </c>
      <c r="E2775" s="136" t="s">
        <v>416</v>
      </c>
      <c r="F2775" s="137" t="str">
        <f t="shared" ref="F2775:F2838" si="212">IF(ISNUMBER(E2775),D2775*E2775,"")</f>
        <v/>
      </c>
      <c r="G2775" s="138" t="e">
        <f>IF(A2775&lt;&gt;"",IF(AND(#REF!="Padrão",$H$4=#REF!),BDI!$B$17,IF(AND(#REF!="Padrão",$H$4=#REF!),BDI!#REF!,IF(AND(#REF!="Diferenciado",$H$4=#REF!),BDI!$E$17,IF(AND(#REF!="Diferenciado",$H$4=#REF!),BDI!#REF!,IF(#REF!="ZERO",0))))),"")</f>
        <v>#REF!</v>
      </c>
      <c r="H2775" s="139" t="str">
        <f t="shared" ref="H2775:H2838" si="213">IF(ISNUMBER(E2775),ROUND(E2775*(1+G2775),2),"")</f>
        <v/>
      </c>
      <c r="I2775" s="137" t="str">
        <f t="shared" ref="I2775:I2838" si="214">IF(ISNUMBER(E2775),ROUND(H2775*D2775,2),"")</f>
        <v/>
      </c>
      <c r="J2775" s="117"/>
      <c r="K2775" s="116">
        <v>0</v>
      </c>
      <c r="M2775" s="136" t="s">
        <v>416</v>
      </c>
      <c r="N2775" t="e">
        <v>#REF!</v>
      </c>
      <c r="Q2775" t="s">
        <v>416</v>
      </c>
    </row>
    <row r="2776" spans="1:17" hidden="1" x14ac:dyDescent="0.25">
      <c r="A2776" s="114" t="s">
        <v>5930</v>
      </c>
      <c r="B2776" s="115" t="s">
        <v>7377</v>
      </c>
      <c r="C2776" s="116" t="s">
        <v>16</v>
      </c>
      <c r="D2776" s="116">
        <v>0</v>
      </c>
      <c r="E2776" s="136" t="s">
        <v>416</v>
      </c>
      <c r="F2776" s="137" t="str">
        <f t="shared" si="212"/>
        <v/>
      </c>
      <c r="G2776" s="138" t="e">
        <f>IF(A2776&lt;&gt;"",IF(AND(#REF!="Padrão",$H$4=#REF!),BDI!$B$17,IF(AND(#REF!="Padrão",$H$4=#REF!),BDI!#REF!,IF(AND(#REF!="Diferenciado",$H$4=#REF!),BDI!$E$17,IF(AND(#REF!="Diferenciado",$H$4=#REF!),BDI!#REF!,IF(#REF!="ZERO",0))))),"")</f>
        <v>#REF!</v>
      </c>
      <c r="H2776" s="139" t="str">
        <f t="shared" si="213"/>
        <v/>
      </c>
      <c r="I2776" s="137" t="str">
        <f t="shared" si="214"/>
        <v/>
      </c>
      <c r="J2776" s="117"/>
      <c r="K2776" s="116">
        <v>0</v>
      </c>
      <c r="M2776" s="136" t="s">
        <v>416</v>
      </c>
      <c r="N2776" t="e">
        <v>#REF!</v>
      </c>
      <c r="Q2776" t="s">
        <v>416</v>
      </c>
    </row>
    <row r="2777" spans="1:17" hidden="1" x14ac:dyDescent="0.25">
      <c r="A2777" s="114" t="s">
        <v>5931</v>
      </c>
      <c r="B2777" s="115" t="s">
        <v>5932</v>
      </c>
      <c r="C2777" s="116" t="s">
        <v>16</v>
      </c>
      <c r="D2777" s="116">
        <v>0</v>
      </c>
      <c r="E2777" s="136" t="s">
        <v>416</v>
      </c>
      <c r="F2777" s="137" t="str">
        <f t="shared" si="212"/>
        <v/>
      </c>
      <c r="G2777" s="138" t="e">
        <f>IF(A2777&lt;&gt;"",IF(AND(#REF!="Padrão",$H$4=#REF!),BDI!$B$17,IF(AND(#REF!="Padrão",$H$4=#REF!),BDI!#REF!,IF(AND(#REF!="Diferenciado",$H$4=#REF!),BDI!$E$17,IF(AND(#REF!="Diferenciado",$H$4=#REF!),BDI!#REF!,IF(#REF!="ZERO",0))))),"")</f>
        <v>#REF!</v>
      </c>
      <c r="H2777" s="139" t="str">
        <f t="shared" si="213"/>
        <v/>
      </c>
      <c r="I2777" s="137" t="str">
        <f t="shared" si="214"/>
        <v/>
      </c>
      <c r="J2777" s="117"/>
      <c r="K2777" s="116">
        <v>0</v>
      </c>
      <c r="M2777" s="136" t="s">
        <v>416</v>
      </c>
      <c r="N2777" t="e">
        <v>#REF!</v>
      </c>
      <c r="Q2777" t="s">
        <v>416</v>
      </c>
    </row>
    <row r="2778" spans="1:17" hidden="1" x14ac:dyDescent="0.25">
      <c r="A2778" s="114" t="s">
        <v>5933</v>
      </c>
      <c r="B2778" s="115" t="s">
        <v>1478</v>
      </c>
      <c r="C2778" s="116" t="s">
        <v>16</v>
      </c>
      <c r="D2778" s="116">
        <v>0</v>
      </c>
      <c r="E2778" s="136" t="s">
        <v>416</v>
      </c>
      <c r="F2778" s="137" t="str">
        <f t="shared" si="212"/>
        <v/>
      </c>
      <c r="G2778" s="138" t="e">
        <f>IF(A2778&lt;&gt;"",IF(AND(#REF!="Padrão",$H$4=#REF!),BDI!$B$17,IF(AND(#REF!="Padrão",$H$4=#REF!),BDI!#REF!,IF(AND(#REF!="Diferenciado",$H$4=#REF!),BDI!$E$17,IF(AND(#REF!="Diferenciado",$H$4=#REF!),BDI!#REF!,IF(#REF!="ZERO",0))))),"")</f>
        <v>#REF!</v>
      </c>
      <c r="H2778" s="139" t="str">
        <f t="shared" si="213"/>
        <v/>
      </c>
      <c r="I2778" s="137" t="str">
        <f t="shared" si="214"/>
        <v/>
      </c>
      <c r="J2778" s="117"/>
      <c r="K2778" s="116">
        <v>0</v>
      </c>
      <c r="M2778" s="136" t="s">
        <v>416</v>
      </c>
      <c r="N2778" t="e">
        <v>#REF!</v>
      </c>
      <c r="Q2778" t="s">
        <v>416</v>
      </c>
    </row>
    <row r="2779" spans="1:17" hidden="1" x14ac:dyDescent="0.25">
      <c r="A2779" s="114" t="s">
        <v>5934</v>
      </c>
      <c r="B2779" s="115" t="s">
        <v>5935</v>
      </c>
      <c r="C2779" s="116" t="s">
        <v>16</v>
      </c>
      <c r="D2779" s="116">
        <v>0</v>
      </c>
      <c r="E2779" s="136" t="s">
        <v>416</v>
      </c>
      <c r="F2779" s="137" t="str">
        <f t="shared" si="212"/>
        <v/>
      </c>
      <c r="G2779" s="138" t="e">
        <f>IF(A2779&lt;&gt;"",IF(AND(#REF!="Padrão",$H$4=#REF!),BDI!$B$17,IF(AND(#REF!="Padrão",$H$4=#REF!),BDI!#REF!,IF(AND(#REF!="Diferenciado",$H$4=#REF!),BDI!$E$17,IF(AND(#REF!="Diferenciado",$H$4=#REF!),BDI!#REF!,IF(#REF!="ZERO",0))))),"")</f>
        <v>#REF!</v>
      </c>
      <c r="H2779" s="139" t="str">
        <f t="shared" si="213"/>
        <v/>
      </c>
      <c r="I2779" s="137" t="str">
        <f t="shared" si="214"/>
        <v/>
      </c>
      <c r="J2779" s="117"/>
      <c r="K2779" s="116">
        <v>0</v>
      </c>
      <c r="M2779" s="136" t="s">
        <v>416</v>
      </c>
      <c r="N2779" t="e">
        <v>#REF!</v>
      </c>
      <c r="Q2779" t="s">
        <v>416</v>
      </c>
    </row>
    <row r="2780" spans="1:17" hidden="1" x14ac:dyDescent="0.25">
      <c r="A2780" s="114" t="s">
        <v>5936</v>
      </c>
      <c r="B2780" s="115" t="s">
        <v>5937</v>
      </c>
      <c r="C2780" s="116" t="s">
        <v>16</v>
      </c>
      <c r="D2780" s="116">
        <v>0</v>
      </c>
      <c r="E2780" s="136" t="s">
        <v>416</v>
      </c>
      <c r="F2780" s="137" t="str">
        <f t="shared" si="212"/>
        <v/>
      </c>
      <c r="G2780" s="138" t="e">
        <f>IF(A2780&lt;&gt;"",IF(AND(#REF!="Padrão",$H$4=#REF!),BDI!$B$17,IF(AND(#REF!="Padrão",$H$4=#REF!),BDI!#REF!,IF(AND(#REF!="Diferenciado",$H$4=#REF!),BDI!$E$17,IF(AND(#REF!="Diferenciado",$H$4=#REF!),BDI!#REF!,IF(#REF!="ZERO",0))))),"")</f>
        <v>#REF!</v>
      </c>
      <c r="H2780" s="139" t="str">
        <f t="shared" si="213"/>
        <v/>
      </c>
      <c r="I2780" s="137" t="str">
        <f t="shared" si="214"/>
        <v/>
      </c>
      <c r="J2780" s="117"/>
      <c r="K2780" s="116">
        <v>0</v>
      </c>
      <c r="M2780" s="136" t="s">
        <v>416</v>
      </c>
      <c r="N2780" t="e">
        <v>#REF!</v>
      </c>
      <c r="Q2780" t="s">
        <v>416</v>
      </c>
    </row>
    <row r="2781" spans="1:17" hidden="1" x14ac:dyDescent="0.25">
      <c r="A2781" s="114" t="s">
        <v>5938</v>
      </c>
      <c r="B2781" s="115" t="s">
        <v>7374</v>
      </c>
      <c r="C2781" s="116" t="s">
        <v>16</v>
      </c>
      <c r="D2781" s="116">
        <v>0</v>
      </c>
      <c r="E2781" s="136" t="s">
        <v>416</v>
      </c>
      <c r="F2781" s="137" t="str">
        <f t="shared" si="212"/>
        <v/>
      </c>
      <c r="G2781" s="138" t="e">
        <f>IF(A2781&lt;&gt;"",IF(AND(#REF!="Padrão",$H$4=#REF!),BDI!$B$17,IF(AND(#REF!="Padrão",$H$4=#REF!),BDI!#REF!,IF(AND(#REF!="Diferenciado",$H$4=#REF!),BDI!$E$17,IF(AND(#REF!="Diferenciado",$H$4=#REF!),BDI!#REF!,IF(#REF!="ZERO",0))))),"")</f>
        <v>#REF!</v>
      </c>
      <c r="H2781" s="139" t="str">
        <f t="shared" si="213"/>
        <v/>
      </c>
      <c r="I2781" s="137" t="str">
        <f t="shared" si="214"/>
        <v/>
      </c>
      <c r="J2781" s="117"/>
      <c r="K2781" s="116">
        <v>0</v>
      </c>
      <c r="M2781" s="136" t="s">
        <v>416</v>
      </c>
      <c r="N2781" t="e">
        <v>#REF!</v>
      </c>
      <c r="Q2781" t="s">
        <v>416</v>
      </c>
    </row>
    <row r="2782" spans="1:17" hidden="1" x14ac:dyDescent="0.25">
      <c r="A2782" s="114" t="s">
        <v>5939</v>
      </c>
      <c r="B2782" s="115" t="s">
        <v>7375</v>
      </c>
      <c r="C2782" s="116" t="s">
        <v>16</v>
      </c>
      <c r="D2782" s="116">
        <v>0</v>
      </c>
      <c r="E2782" s="136" t="s">
        <v>416</v>
      </c>
      <c r="F2782" s="137" t="str">
        <f t="shared" si="212"/>
        <v/>
      </c>
      <c r="G2782" s="138" t="e">
        <f>IF(A2782&lt;&gt;"",IF(AND(#REF!="Padrão",$H$4=#REF!),BDI!$B$17,IF(AND(#REF!="Padrão",$H$4=#REF!),BDI!#REF!,IF(AND(#REF!="Diferenciado",$H$4=#REF!),BDI!$E$17,IF(AND(#REF!="Diferenciado",$H$4=#REF!),BDI!#REF!,IF(#REF!="ZERO",0))))),"")</f>
        <v>#REF!</v>
      </c>
      <c r="H2782" s="139" t="str">
        <f t="shared" si="213"/>
        <v/>
      </c>
      <c r="I2782" s="137" t="str">
        <f t="shared" si="214"/>
        <v/>
      </c>
      <c r="J2782" s="117"/>
      <c r="K2782" s="116">
        <v>0</v>
      </c>
      <c r="M2782" s="136" t="s">
        <v>416</v>
      </c>
      <c r="N2782" t="e">
        <v>#REF!</v>
      </c>
      <c r="Q2782" t="s">
        <v>416</v>
      </c>
    </row>
    <row r="2783" spans="1:17" hidden="1" x14ac:dyDescent="0.25">
      <c r="A2783" s="114" t="s">
        <v>5940</v>
      </c>
      <c r="B2783" s="115" t="s">
        <v>7376</v>
      </c>
      <c r="C2783" s="116" t="s">
        <v>16</v>
      </c>
      <c r="D2783" s="116">
        <v>0</v>
      </c>
      <c r="E2783" s="136">
        <f ca="1">OFFSET(INDEX(Composições!A:J,MATCH(Orçamentária!A2783,Composições!A:A,0),8),2,0)</f>
        <v>108.82249999999999</v>
      </c>
      <c r="F2783" s="137">
        <f t="shared" ca="1" si="212"/>
        <v>0</v>
      </c>
      <c r="G2783" s="138" t="e">
        <f>IF(A2783&lt;&gt;"",IF(AND(#REF!="Padrão",$H$4=#REF!),BDI!$B$17,IF(AND(#REF!="Padrão",$H$4=#REF!),BDI!#REF!,IF(AND(#REF!="Diferenciado",$H$4=#REF!),BDI!$E$17,IF(AND(#REF!="Diferenciado",$H$4=#REF!),BDI!#REF!,IF(#REF!="ZERO",0))))),"")</f>
        <v>#REF!</v>
      </c>
      <c r="H2783" s="139" t="e">
        <f t="shared" ca="1" si="213"/>
        <v>#REF!</v>
      </c>
      <c r="I2783" s="137" t="e">
        <f t="shared" ca="1" si="214"/>
        <v>#REF!</v>
      </c>
      <c r="J2783" s="117"/>
      <c r="K2783" s="116">
        <v>0</v>
      </c>
      <c r="M2783" s="136" t="e">
        <f ca="1">OFFSET(INDEX([1]Composições!I:R,MATCH([1]Orçamentária!I2783,[1]Composições!I:I,0),8),2,0)</f>
        <v>#REF!</v>
      </c>
      <c r="N2783" t="e">
        <v>#REF!</v>
      </c>
      <c r="Q2783" t="e">
        <v>#REF!</v>
      </c>
    </row>
    <row r="2784" spans="1:17" hidden="1" x14ac:dyDescent="0.25">
      <c r="A2784" s="114" t="s">
        <v>5941</v>
      </c>
      <c r="B2784" s="115" t="s">
        <v>5942</v>
      </c>
      <c r="C2784" s="116" t="s">
        <v>16</v>
      </c>
      <c r="D2784" s="116">
        <v>0</v>
      </c>
      <c r="E2784" s="136" t="s">
        <v>416</v>
      </c>
      <c r="F2784" s="137" t="str">
        <f t="shared" si="212"/>
        <v/>
      </c>
      <c r="G2784" s="138" t="e">
        <f>IF(A2784&lt;&gt;"",IF(AND(#REF!="Padrão",$H$4=#REF!),BDI!$B$17,IF(AND(#REF!="Padrão",$H$4=#REF!),BDI!#REF!,IF(AND(#REF!="Diferenciado",$H$4=#REF!),BDI!$E$17,IF(AND(#REF!="Diferenciado",$H$4=#REF!),BDI!#REF!,IF(#REF!="ZERO",0))))),"")</f>
        <v>#REF!</v>
      </c>
      <c r="H2784" s="139" t="str">
        <f t="shared" si="213"/>
        <v/>
      </c>
      <c r="I2784" s="137" t="str">
        <f t="shared" si="214"/>
        <v/>
      </c>
      <c r="J2784" s="117"/>
      <c r="K2784" s="116">
        <v>0</v>
      </c>
      <c r="M2784" s="136" t="s">
        <v>416</v>
      </c>
      <c r="N2784" t="e">
        <v>#REF!</v>
      </c>
      <c r="Q2784" t="s">
        <v>416</v>
      </c>
    </row>
    <row r="2785" spans="1:17" hidden="1" x14ac:dyDescent="0.25">
      <c r="A2785" s="114" t="s">
        <v>5943</v>
      </c>
      <c r="B2785" s="115" t="s">
        <v>5944</v>
      </c>
      <c r="C2785" s="116" t="s">
        <v>16</v>
      </c>
      <c r="D2785" s="116">
        <v>0</v>
      </c>
      <c r="E2785" s="136" t="s">
        <v>416</v>
      </c>
      <c r="F2785" s="137" t="str">
        <f t="shared" si="212"/>
        <v/>
      </c>
      <c r="G2785" s="138" t="e">
        <f>IF(A2785&lt;&gt;"",IF(AND(#REF!="Padrão",$H$4=#REF!),BDI!$B$17,IF(AND(#REF!="Padrão",$H$4=#REF!),BDI!#REF!,IF(AND(#REF!="Diferenciado",$H$4=#REF!),BDI!$E$17,IF(AND(#REF!="Diferenciado",$H$4=#REF!),BDI!#REF!,IF(#REF!="ZERO",0))))),"")</f>
        <v>#REF!</v>
      </c>
      <c r="H2785" s="139" t="str">
        <f t="shared" si="213"/>
        <v/>
      </c>
      <c r="I2785" s="137" t="str">
        <f t="shared" si="214"/>
        <v/>
      </c>
      <c r="J2785" s="117"/>
      <c r="K2785" s="116">
        <v>0</v>
      </c>
      <c r="M2785" s="136" t="s">
        <v>416</v>
      </c>
      <c r="N2785" t="e">
        <v>#REF!</v>
      </c>
      <c r="Q2785" t="s">
        <v>416</v>
      </c>
    </row>
    <row r="2786" spans="1:17" hidden="1" x14ac:dyDescent="0.25">
      <c r="A2786" s="114" t="s">
        <v>5945</v>
      </c>
      <c r="B2786" s="115" t="s">
        <v>5946</v>
      </c>
      <c r="C2786" s="116" t="s">
        <v>16</v>
      </c>
      <c r="D2786" s="116">
        <v>0</v>
      </c>
      <c r="E2786" s="136" t="s">
        <v>416</v>
      </c>
      <c r="F2786" s="137" t="str">
        <f t="shared" si="212"/>
        <v/>
      </c>
      <c r="G2786" s="138" t="e">
        <f>IF(A2786&lt;&gt;"",IF(AND(#REF!="Padrão",$H$4=#REF!),BDI!$B$17,IF(AND(#REF!="Padrão",$H$4=#REF!),BDI!#REF!,IF(AND(#REF!="Diferenciado",$H$4=#REF!),BDI!$E$17,IF(AND(#REF!="Diferenciado",$H$4=#REF!),BDI!#REF!,IF(#REF!="ZERO",0))))),"")</f>
        <v>#REF!</v>
      </c>
      <c r="H2786" s="139" t="str">
        <f t="shared" si="213"/>
        <v/>
      </c>
      <c r="I2786" s="137" t="str">
        <f t="shared" si="214"/>
        <v/>
      </c>
      <c r="J2786" s="117"/>
      <c r="K2786" s="116">
        <v>0</v>
      </c>
      <c r="M2786" s="136" t="s">
        <v>416</v>
      </c>
      <c r="N2786" t="e">
        <v>#REF!</v>
      </c>
      <c r="Q2786" t="s">
        <v>416</v>
      </c>
    </row>
    <row r="2787" spans="1:17" hidden="1" x14ac:dyDescent="0.25">
      <c r="A2787" s="114" t="s">
        <v>5947</v>
      </c>
      <c r="B2787" s="115" t="s">
        <v>5948</v>
      </c>
      <c r="C2787" s="116" t="s">
        <v>16</v>
      </c>
      <c r="D2787" s="116">
        <v>0</v>
      </c>
      <c r="E2787" s="136" t="s">
        <v>416</v>
      </c>
      <c r="F2787" s="137" t="str">
        <f t="shared" si="212"/>
        <v/>
      </c>
      <c r="G2787" s="138" t="e">
        <f>IF(A2787&lt;&gt;"",IF(AND(#REF!="Padrão",$H$4=#REF!),BDI!$B$17,IF(AND(#REF!="Padrão",$H$4=#REF!),BDI!#REF!,IF(AND(#REF!="Diferenciado",$H$4=#REF!),BDI!$E$17,IF(AND(#REF!="Diferenciado",$H$4=#REF!),BDI!#REF!,IF(#REF!="ZERO",0))))),"")</f>
        <v>#REF!</v>
      </c>
      <c r="H2787" s="139" t="str">
        <f t="shared" si="213"/>
        <v/>
      </c>
      <c r="I2787" s="137" t="str">
        <f t="shared" si="214"/>
        <v/>
      </c>
      <c r="J2787" s="117"/>
      <c r="K2787" s="116">
        <v>0</v>
      </c>
      <c r="M2787" s="136" t="s">
        <v>416</v>
      </c>
      <c r="N2787" t="e">
        <v>#REF!</v>
      </c>
      <c r="Q2787" t="s">
        <v>416</v>
      </c>
    </row>
    <row r="2788" spans="1:17" hidden="1" x14ac:dyDescent="0.25">
      <c r="A2788" s="114" t="s">
        <v>5949</v>
      </c>
      <c r="B2788" s="115" t="s">
        <v>5950</v>
      </c>
      <c r="C2788" s="116" t="s">
        <v>16</v>
      </c>
      <c r="D2788" s="116">
        <v>0</v>
      </c>
      <c r="E2788" s="136" t="s">
        <v>416</v>
      </c>
      <c r="F2788" s="137" t="str">
        <f t="shared" si="212"/>
        <v/>
      </c>
      <c r="G2788" s="138" t="e">
        <f>IF(A2788&lt;&gt;"",IF(AND(#REF!="Padrão",$H$4=#REF!),BDI!$B$17,IF(AND(#REF!="Padrão",$H$4=#REF!),BDI!#REF!,IF(AND(#REF!="Diferenciado",$H$4=#REF!),BDI!$E$17,IF(AND(#REF!="Diferenciado",$H$4=#REF!),BDI!#REF!,IF(#REF!="ZERO",0))))),"")</f>
        <v>#REF!</v>
      </c>
      <c r="H2788" s="139" t="str">
        <f t="shared" si="213"/>
        <v/>
      </c>
      <c r="I2788" s="137" t="str">
        <f t="shared" si="214"/>
        <v/>
      </c>
      <c r="J2788" s="117"/>
      <c r="K2788" s="116">
        <v>0</v>
      </c>
      <c r="M2788" s="136" t="s">
        <v>416</v>
      </c>
      <c r="N2788" t="e">
        <v>#REF!</v>
      </c>
      <c r="Q2788" t="s">
        <v>416</v>
      </c>
    </row>
    <row r="2789" spans="1:17" hidden="1" x14ac:dyDescent="0.25">
      <c r="A2789" s="114" t="s">
        <v>5951</v>
      </c>
      <c r="B2789" s="115" t="s">
        <v>3032</v>
      </c>
      <c r="C2789" s="116" t="s">
        <v>16</v>
      </c>
      <c r="D2789" s="116">
        <v>0</v>
      </c>
      <c r="E2789" s="136">
        <f ca="1">OFFSET(INDEX(Composições!A:J,MATCH(Orçamentária!A2789,Composições!A:A,0),8),2,0)</f>
        <v>182.38099999999997</v>
      </c>
      <c r="F2789" s="137">
        <f t="shared" ca="1" si="212"/>
        <v>0</v>
      </c>
      <c r="G2789" s="138" t="e">
        <f>IF(A2789&lt;&gt;"",IF(AND(#REF!="Padrão",$H$4=#REF!),BDI!$B$17,IF(AND(#REF!="Padrão",$H$4=#REF!),BDI!#REF!,IF(AND(#REF!="Diferenciado",$H$4=#REF!),BDI!$E$17,IF(AND(#REF!="Diferenciado",$H$4=#REF!),BDI!#REF!,IF(#REF!="ZERO",0))))),"")</f>
        <v>#REF!</v>
      </c>
      <c r="H2789" s="139" t="e">
        <f t="shared" ca="1" si="213"/>
        <v>#REF!</v>
      </c>
      <c r="I2789" s="137" t="e">
        <f t="shared" ca="1" si="214"/>
        <v>#REF!</v>
      </c>
      <c r="J2789" s="117"/>
      <c r="K2789" s="116">
        <v>0</v>
      </c>
      <c r="M2789" s="136" t="e">
        <f ca="1">OFFSET(INDEX([1]Composições!I:R,MATCH([1]Orçamentária!I2789,[1]Composições!I:I,0),8),2,0)</f>
        <v>#REF!</v>
      </c>
      <c r="N2789" t="e">
        <v>#REF!</v>
      </c>
      <c r="Q2789" t="e">
        <v>#REF!</v>
      </c>
    </row>
    <row r="2790" spans="1:17" hidden="1" x14ac:dyDescent="0.25">
      <c r="A2790" s="114" t="s">
        <v>5952</v>
      </c>
      <c r="B2790" s="115" t="s">
        <v>3026</v>
      </c>
      <c r="C2790" s="116" t="s">
        <v>16</v>
      </c>
      <c r="D2790" s="116">
        <v>0</v>
      </c>
      <c r="E2790" s="136" t="s">
        <v>416</v>
      </c>
      <c r="F2790" s="137" t="str">
        <f t="shared" si="212"/>
        <v/>
      </c>
      <c r="G2790" s="138" t="e">
        <f>IF(A2790&lt;&gt;"",IF(AND(#REF!="Padrão",$H$4=#REF!),BDI!$B$17,IF(AND(#REF!="Padrão",$H$4=#REF!),BDI!#REF!,IF(AND(#REF!="Diferenciado",$H$4=#REF!),BDI!$E$17,IF(AND(#REF!="Diferenciado",$H$4=#REF!),BDI!#REF!,IF(#REF!="ZERO",0))))),"")</f>
        <v>#REF!</v>
      </c>
      <c r="H2790" s="139" t="str">
        <f t="shared" si="213"/>
        <v/>
      </c>
      <c r="I2790" s="137" t="str">
        <f t="shared" si="214"/>
        <v/>
      </c>
      <c r="J2790" s="117"/>
      <c r="K2790" s="116">
        <v>0</v>
      </c>
      <c r="M2790" s="136" t="s">
        <v>416</v>
      </c>
      <c r="N2790" t="e">
        <v>#REF!</v>
      </c>
      <c r="Q2790" t="s">
        <v>416</v>
      </c>
    </row>
    <row r="2791" spans="1:17" hidden="1" x14ac:dyDescent="0.25">
      <c r="A2791" s="114" t="s">
        <v>5953</v>
      </c>
      <c r="B2791" s="115" t="s">
        <v>3027</v>
      </c>
      <c r="C2791" s="116" t="s">
        <v>16</v>
      </c>
      <c r="D2791" s="116">
        <v>0</v>
      </c>
      <c r="E2791" s="136" t="s">
        <v>416</v>
      </c>
      <c r="F2791" s="137" t="str">
        <f t="shared" si="212"/>
        <v/>
      </c>
      <c r="G2791" s="138" t="e">
        <f>IF(A2791&lt;&gt;"",IF(AND(#REF!="Padrão",$H$4=#REF!),BDI!$B$17,IF(AND(#REF!="Padrão",$H$4=#REF!),BDI!#REF!,IF(AND(#REF!="Diferenciado",$H$4=#REF!),BDI!$E$17,IF(AND(#REF!="Diferenciado",$H$4=#REF!),BDI!#REF!,IF(#REF!="ZERO",0))))),"")</f>
        <v>#REF!</v>
      </c>
      <c r="H2791" s="139" t="str">
        <f t="shared" si="213"/>
        <v/>
      </c>
      <c r="I2791" s="137" t="str">
        <f t="shared" si="214"/>
        <v/>
      </c>
      <c r="J2791" s="117"/>
      <c r="K2791" s="116">
        <v>0</v>
      </c>
      <c r="M2791" s="136" t="s">
        <v>416</v>
      </c>
      <c r="N2791" t="e">
        <v>#REF!</v>
      </c>
      <c r="Q2791" t="s">
        <v>416</v>
      </c>
    </row>
    <row r="2792" spans="1:17" hidden="1" x14ac:dyDescent="0.25">
      <c r="A2792" s="114" t="s">
        <v>5954</v>
      </c>
      <c r="B2792" s="115" t="s">
        <v>3029</v>
      </c>
      <c r="C2792" s="116" t="s">
        <v>16</v>
      </c>
      <c r="D2792" s="116">
        <v>0</v>
      </c>
      <c r="E2792" s="136" t="s">
        <v>416</v>
      </c>
      <c r="F2792" s="137" t="str">
        <f t="shared" si="212"/>
        <v/>
      </c>
      <c r="G2792" s="138" t="e">
        <f>IF(A2792&lt;&gt;"",IF(AND(#REF!="Padrão",$H$4=#REF!),BDI!$B$17,IF(AND(#REF!="Padrão",$H$4=#REF!),BDI!#REF!,IF(AND(#REF!="Diferenciado",$H$4=#REF!),BDI!$E$17,IF(AND(#REF!="Diferenciado",$H$4=#REF!),BDI!#REF!,IF(#REF!="ZERO",0))))),"")</f>
        <v>#REF!</v>
      </c>
      <c r="H2792" s="139" t="str">
        <f t="shared" si="213"/>
        <v/>
      </c>
      <c r="I2792" s="137" t="str">
        <f t="shared" si="214"/>
        <v/>
      </c>
      <c r="J2792" s="117"/>
      <c r="K2792" s="116">
        <v>0</v>
      </c>
      <c r="M2792" s="136" t="s">
        <v>416</v>
      </c>
      <c r="N2792" t="e">
        <v>#REF!</v>
      </c>
      <c r="Q2792" t="s">
        <v>416</v>
      </c>
    </row>
    <row r="2793" spans="1:17" hidden="1" x14ac:dyDescent="0.25">
      <c r="A2793" s="114" t="s">
        <v>5955</v>
      </c>
      <c r="B2793" s="115" t="s">
        <v>3028</v>
      </c>
      <c r="C2793" s="116" t="s">
        <v>16</v>
      </c>
      <c r="D2793" s="116">
        <v>0</v>
      </c>
      <c r="E2793" s="136" t="s">
        <v>416</v>
      </c>
      <c r="F2793" s="137" t="str">
        <f t="shared" si="212"/>
        <v/>
      </c>
      <c r="G2793" s="138" t="e">
        <f>IF(A2793&lt;&gt;"",IF(AND(#REF!="Padrão",$H$4=#REF!),BDI!$B$17,IF(AND(#REF!="Padrão",$H$4=#REF!),BDI!#REF!,IF(AND(#REF!="Diferenciado",$H$4=#REF!),BDI!$E$17,IF(AND(#REF!="Diferenciado",$H$4=#REF!),BDI!#REF!,IF(#REF!="ZERO",0))))),"")</f>
        <v>#REF!</v>
      </c>
      <c r="H2793" s="139" t="str">
        <f t="shared" si="213"/>
        <v/>
      </c>
      <c r="I2793" s="137" t="str">
        <f t="shared" si="214"/>
        <v/>
      </c>
      <c r="J2793" s="117"/>
      <c r="K2793" s="116">
        <v>0</v>
      </c>
      <c r="M2793" s="136" t="s">
        <v>416</v>
      </c>
      <c r="N2793" t="e">
        <v>#REF!</v>
      </c>
      <c r="Q2793" t="s">
        <v>416</v>
      </c>
    </row>
    <row r="2794" spans="1:17" hidden="1" x14ac:dyDescent="0.25">
      <c r="A2794" s="114" t="s">
        <v>5956</v>
      </c>
      <c r="B2794" s="115" t="s">
        <v>5439</v>
      </c>
      <c r="C2794" s="116" t="s">
        <v>16</v>
      </c>
      <c r="D2794" s="116">
        <v>0</v>
      </c>
      <c r="E2794" s="136" t="s">
        <v>416</v>
      </c>
      <c r="F2794" s="137" t="str">
        <f t="shared" si="212"/>
        <v/>
      </c>
      <c r="G2794" s="138" t="e">
        <f>IF(A2794&lt;&gt;"",IF(AND(#REF!="Padrão",$H$4=#REF!),BDI!$B$17,IF(AND(#REF!="Padrão",$H$4=#REF!),BDI!#REF!,IF(AND(#REF!="Diferenciado",$H$4=#REF!),BDI!$E$17,IF(AND(#REF!="Diferenciado",$H$4=#REF!),BDI!#REF!,IF(#REF!="ZERO",0))))),"")</f>
        <v>#REF!</v>
      </c>
      <c r="H2794" s="139" t="str">
        <f t="shared" si="213"/>
        <v/>
      </c>
      <c r="I2794" s="137" t="str">
        <f t="shared" si="214"/>
        <v/>
      </c>
      <c r="J2794" s="117"/>
      <c r="K2794" s="116">
        <v>0</v>
      </c>
      <c r="M2794" s="136" t="s">
        <v>416</v>
      </c>
      <c r="N2794" t="e">
        <v>#REF!</v>
      </c>
      <c r="Q2794" t="s">
        <v>416</v>
      </c>
    </row>
    <row r="2795" spans="1:17" hidden="1" x14ac:dyDescent="0.25">
      <c r="A2795" s="114" t="s">
        <v>5957</v>
      </c>
      <c r="B2795" s="115" t="s">
        <v>5958</v>
      </c>
      <c r="C2795" s="116" t="s">
        <v>16</v>
      </c>
      <c r="D2795" s="116">
        <v>0</v>
      </c>
      <c r="E2795" s="136" t="s">
        <v>416</v>
      </c>
      <c r="F2795" s="137" t="str">
        <f t="shared" si="212"/>
        <v/>
      </c>
      <c r="G2795" s="138" t="e">
        <f>IF(A2795&lt;&gt;"",IF(AND(#REF!="Padrão",$H$4=#REF!),BDI!$B$17,IF(AND(#REF!="Padrão",$H$4=#REF!),BDI!#REF!,IF(AND(#REF!="Diferenciado",$H$4=#REF!),BDI!$E$17,IF(AND(#REF!="Diferenciado",$H$4=#REF!),BDI!#REF!,IF(#REF!="ZERO",0))))),"")</f>
        <v>#REF!</v>
      </c>
      <c r="H2795" s="139" t="str">
        <f t="shared" si="213"/>
        <v/>
      </c>
      <c r="I2795" s="137" t="str">
        <f t="shared" si="214"/>
        <v/>
      </c>
      <c r="J2795" s="117"/>
      <c r="K2795" s="116">
        <v>0</v>
      </c>
      <c r="M2795" s="136" t="s">
        <v>416</v>
      </c>
      <c r="N2795" t="e">
        <v>#REF!</v>
      </c>
      <c r="Q2795" t="s">
        <v>416</v>
      </c>
    </row>
    <row r="2796" spans="1:17" hidden="1" x14ac:dyDescent="0.25">
      <c r="A2796" s="114" t="s">
        <v>5959</v>
      </c>
      <c r="B2796" s="115" t="s">
        <v>5960</v>
      </c>
      <c r="C2796" s="116" t="s">
        <v>16</v>
      </c>
      <c r="D2796" s="116">
        <v>0</v>
      </c>
      <c r="E2796" s="136" t="s">
        <v>416</v>
      </c>
      <c r="F2796" s="137" t="str">
        <f t="shared" si="212"/>
        <v/>
      </c>
      <c r="G2796" s="138" t="e">
        <f>IF(A2796&lt;&gt;"",IF(AND(#REF!="Padrão",$H$4=#REF!),BDI!$B$17,IF(AND(#REF!="Padrão",$H$4=#REF!),BDI!#REF!,IF(AND(#REF!="Diferenciado",$H$4=#REF!),BDI!$E$17,IF(AND(#REF!="Diferenciado",$H$4=#REF!),BDI!#REF!,IF(#REF!="ZERO",0))))),"")</f>
        <v>#REF!</v>
      </c>
      <c r="H2796" s="139" t="str">
        <f t="shared" si="213"/>
        <v/>
      </c>
      <c r="I2796" s="137" t="str">
        <f t="shared" si="214"/>
        <v/>
      </c>
      <c r="J2796" s="117"/>
      <c r="K2796" s="116">
        <v>0</v>
      </c>
      <c r="M2796" s="136" t="s">
        <v>416</v>
      </c>
      <c r="N2796" t="e">
        <v>#REF!</v>
      </c>
      <c r="Q2796" t="s">
        <v>416</v>
      </c>
    </row>
    <row r="2797" spans="1:17" hidden="1" x14ac:dyDescent="0.25">
      <c r="A2797" s="114" t="s">
        <v>5961</v>
      </c>
      <c r="B2797" s="115" t="s">
        <v>5962</v>
      </c>
      <c r="C2797" s="116" t="s">
        <v>16</v>
      </c>
      <c r="D2797" s="116">
        <v>0</v>
      </c>
      <c r="E2797" s="136" t="s">
        <v>416</v>
      </c>
      <c r="F2797" s="137" t="str">
        <f t="shared" si="212"/>
        <v/>
      </c>
      <c r="G2797" s="138" t="e">
        <f>IF(A2797&lt;&gt;"",IF(AND(#REF!="Padrão",$H$4=#REF!),BDI!$B$17,IF(AND(#REF!="Padrão",$H$4=#REF!),BDI!#REF!,IF(AND(#REF!="Diferenciado",$H$4=#REF!),BDI!$E$17,IF(AND(#REF!="Diferenciado",$H$4=#REF!),BDI!#REF!,IF(#REF!="ZERO",0))))),"")</f>
        <v>#REF!</v>
      </c>
      <c r="H2797" s="139" t="str">
        <f t="shared" si="213"/>
        <v/>
      </c>
      <c r="I2797" s="137" t="str">
        <f t="shared" si="214"/>
        <v/>
      </c>
      <c r="J2797" s="117"/>
      <c r="K2797" s="116">
        <v>0</v>
      </c>
      <c r="M2797" s="136" t="s">
        <v>416</v>
      </c>
      <c r="N2797" t="e">
        <v>#REF!</v>
      </c>
      <c r="Q2797" t="s">
        <v>416</v>
      </c>
    </row>
    <row r="2798" spans="1:17" hidden="1" x14ac:dyDescent="0.25">
      <c r="A2798" s="114" t="s">
        <v>5963</v>
      </c>
      <c r="B2798" s="115" t="s">
        <v>5964</v>
      </c>
      <c r="C2798" s="116" t="s">
        <v>16</v>
      </c>
      <c r="D2798" s="116">
        <v>0</v>
      </c>
      <c r="E2798" s="136" t="s">
        <v>416</v>
      </c>
      <c r="F2798" s="137" t="str">
        <f t="shared" si="212"/>
        <v/>
      </c>
      <c r="G2798" s="138" t="e">
        <f>IF(A2798&lt;&gt;"",IF(AND(#REF!="Padrão",$H$4=#REF!),BDI!$B$17,IF(AND(#REF!="Padrão",$H$4=#REF!),BDI!#REF!,IF(AND(#REF!="Diferenciado",$H$4=#REF!),BDI!$E$17,IF(AND(#REF!="Diferenciado",$H$4=#REF!),BDI!#REF!,IF(#REF!="ZERO",0))))),"")</f>
        <v>#REF!</v>
      </c>
      <c r="H2798" s="139" t="str">
        <f t="shared" si="213"/>
        <v/>
      </c>
      <c r="I2798" s="137" t="str">
        <f t="shared" si="214"/>
        <v/>
      </c>
      <c r="J2798" s="117"/>
      <c r="K2798" s="116">
        <v>0</v>
      </c>
      <c r="M2798" s="136" t="s">
        <v>416</v>
      </c>
      <c r="N2798" t="e">
        <v>#REF!</v>
      </c>
      <c r="Q2798" t="s">
        <v>416</v>
      </c>
    </row>
    <row r="2799" spans="1:17" hidden="1" x14ac:dyDescent="0.25">
      <c r="A2799" s="114" t="s">
        <v>5965</v>
      </c>
      <c r="B2799" s="115" t="s">
        <v>5440</v>
      </c>
      <c r="C2799" s="116" t="s">
        <v>16</v>
      </c>
      <c r="D2799" s="116">
        <v>0</v>
      </c>
      <c r="E2799" s="136" t="s">
        <v>416</v>
      </c>
      <c r="F2799" s="137" t="str">
        <f t="shared" si="212"/>
        <v/>
      </c>
      <c r="G2799" s="138" t="e">
        <f>IF(A2799&lt;&gt;"",IF(AND(#REF!="Padrão",$H$4=#REF!),BDI!$B$17,IF(AND(#REF!="Padrão",$H$4=#REF!),BDI!#REF!,IF(AND(#REF!="Diferenciado",$H$4=#REF!),BDI!$E$17,IF(AND(#REF!="Diferenciado",$H$4=#REF!),BDI!#REF!,IF(#REF!="ZERO",0))))),"")</f>
        <v>#REF!</v>
      </c>
      <c r="H2799" s="139" t="str">
        <f t="shared" si="213"/>
        <v/>
      </c>
      <c r="I2799" s="137" t="str">
        <f t="shared" si="214"/>
        <v/>
      </c>
      <c r="J2799" s="117"/>
      <c r="K2799" s="116">
        <v>0</v>
      </c>
      <c r="M2799" s="136" t="s">
        <v>416</v>
      </c>
      <c r="N2799" t="e">
        <v>#REF!</v>
      </c>
      <c r="Q2799" t="s">
        <v>416</v>
      </c>
    </row>
    <row r="2800" spans="1:17" hidden="1" x14ac:dyDescent="0.25">
      <c r="A2800" s="114" t="s">
        <v>5966</v>
      </c>
      <c r="B2800" s="115" t="s">
        <v>5441</v>
      </c>
      <c r="C2800" s="116" t="s">
        <v>16</v>
      </c>
      <c r="D2800" s="116">
        <v>0</v>
      </c>
      <c r="E2800" s="136" t="s">
        <v>416</v>
      </c>
      <c r="F2800" s="137" t="str">
        <f t="shared" si="212"/>
        <v/>
      </c>
      <c r="G2800" s="138" t="e">
        <f>IF(A2800&lt;&gt;"",IF(AND(#REF!="Padrão",$H$4=#REF!),BDI!$B$17,IF(AND(#REF!="Padrão",$H$4=#REF!),BDI!#REF!,IF(AND(#REF!="Diferenciado",$H$4=#REF!),BDI!$E$17,IF(AND(#REF!="Diferenciado",$H$4=#REF!),BDI!#REF!,IF(#REF!="ZERO",0))))),"")</f>
        <v>#REF!</v>
      </c>
      <c r="H2800" s="139" t="str">
        <f t="shared" si="213"/>
        <v/>
      </c>
      <c r="I2800" s="137" t="str">
        <f t="shared" si="214"/>
        <v/>
      </c>
      <c r="J2800" s="117"/>
      <c r="K2800" s="116">
        <v>0</v>
      </c>
      <c r="M2800" s="136" t="s">
        <v>416</v>
      </c>
      <c r="N2800" t="e">
        <v>#REF!</v>
      </c>
      <c r="Q2800" t="s">
        <v>416</v>
      </c>
    </row>
    <row r="2801" spans="1:17" hidden="1" x14ac:dyDescent="0.25">
      <c r="A2801" s="114" t="s">
        <v>5967</v>
      </c>
      <c r="B2801" s="115" t="s">
        <v>3048</v>
      </c>
      <c r="C2801" s="116" t="s">
        <v>16</v>
      </c>
      <c r="D2801" s="116">
        <v>0</v>
      </c>
      <c r="E2801" s="136" t="s">
        <v>416</v>
      </c>
      <c r="F2801" s="137" t="str">
        <f t="shared" si="212"/>
        <v/>
      </c>
      <c r="G2801" s="138" t="e">
        <f>IF(A2801&lt;&gt;"",IF(AND(#REF!="Padrão",$H$4=#REF!),BDI!$B$17,IF(AND(#REF!="Padrão",$H$4=#REF!),BDI!#REF!,IF(AND(#REF!="Diferenciado",$H$4=#REF!),BDI!$E$17,IF(AND(#REF!="Diferenciado",$H$4=#REF!),BDI!#REF!,IF(#REF!="ZERO",0))))),"")</f>
        <v>#REF!</v>
      </c>
      <c r="H2801" s="139" t="str">
        <f t="shared" si="213"/>
        <v/>
      </c>
      <c r="I2801" s="137" t="str">
        <f t="shared" si="214"/>
        <v/>
      </c>
      <c r="J2801" s="117"/>
      <c r="K2801" s="116">
        <v>0</v>
      </c>
      <c r="M2801" s="136" t="s">
        <v>416</v>
      </c>
      <c r="N2801" t="e">
        <v>#REF!</v>
      </c>
      <c r="Q2801" t="s">
        <v>416</v>
      </c>
    </row>
    <row r="2802" spans="1:17" hidden="1" x14ac:dyDescent="0.25">
      <c r="A2802" s="114" t="s">
        <v>5968</v>
      </c>
      <c r="B2802" s="115" t="s">
        <v>5969</v>
      </c>
      <c r="C2802" s="116" t="s">
        <v>16</v>
      </c>
      <c r="D2802" s="116">
        <v>0</v>
      </c>
      <c r="E2802" s="136" t="s">
        <v>416</v>
      </c>
      <c r="F2802" s="137" t="str">
        <f t="shared" si="212"/>
        <v/>
      </c>
      <c r="G2802" s="138" t="e">
        <f>IF(A2802&lt;&gt;"",IF(AND(#REF!="Padrão",$H$4=#REF!),BDI!$B$17,IF(AND(#REF!="Padrão",$H$4=#REF!),BDI!#REF!,IF(AND(#REF!="Diferenciado",$H$4=#REF!),BDI!$E$17,IF(AND(#REF!="Diferenciado",$H$4=#REF!),BDI!#REF!,IF(#REF!="ZERO",0))))),"")</f>
        <v>#REF!</v>
      </c>
      <c r="H2802" s="139" t="str">
        <f t="shared" si="213"/>
        <v/>
      </c>
      <c r="I2802" s="137" t="str">
        <f t="shared" si="214"/>
        <v/>
      </c>
      <c r="J2802" s="117"/>
      <c r="K2802" s="116">
        <v>0</v>
      </c>
      <c r="M2802" s="136" t="s">
        <v>416</v>
      </c>
      <c r="N2802" t="e">
        <v>#REF!</v>
      </c>
      <c r="Q2802" t="s">
        <v>416</v>
      </c>
    </row>
    <row r="2803" spans="1:17" hidden="1" x14ac:dyDescent="0.25">
      <c r="A2803" s="114" t="s">
        <v>5970</v>
      </c>
      <c r="B2803" s="115" t="s">
        <v>5971</v>
      </c>
      <c r="C2803" s="116" t="s">
        <v>16</v>
      </c>
      <c r="D2803" s="116">
        <v>0</v>
      </c>
      <c r="E2803" s="136" t="s">
        <v>416</v>
      </c>
      <c r="F2803" s="137" t="str">
        <f t="shared" si="212"/>
        <v/>
      </c>
      <c r="G2803" s="138" t="e">
        <f>IF(A2803&lt;&gt;"",IF(AND(#REF!="Padrão",$H$4=#REF!),BDI!$B$17,IF(AND(#REF!="Padrão",$H$4=#REF!),BDI!#REF!,IF(AND(#REF!="Diferenciado",$H$4=#REF!),BDI!$E$17,IF(AND(#REF!="Diferenciado",$H$4=#REF!),BDI!#REF!,IF(#REF!="ZERO",0))))),"")</f>
        <v>#REF!</v>
      </c>
      <c r="H2803" s="139" t="str">
        <f t="shared" si="213"/>
        <v/>
      </c>
      <c r="I2803" s="137" t="str">
        <f t="shared" si="214"/>
        <v/>
      </c>
      <c r="J2803" s="117"/>
      <c r="K2803" s="116">
        <v>0</v>
      </c>
      <c r="M2803" s="136" t="s">
        <v>416</v>
      </c>
      <c r="N2803" t="e">
        <v>#REF!</v>
      </c>
      <c r="Q2803" t="s">
        <v>416</v>
      </c>
    </row>
    <row r="2804" spans="1:17" hidden="1" x14ac:dyDescent="0.25">
      <c r="A2804" s="114" t="s">
        <v>5972</v>
      </c>
      <c r="B2804" s="115" t="s">
        <v>5973</v>
      </c>
      <c r="C2804" s="116" t="s">
        <v>16</v>
      </c>
      <c r="D2804" s="116">
        <v>0</v>
      </c>
      <c r="E2804" s="136" t="s">
        <v>416</v>
      </c>
      <c r="F2804" s="137" t="str">
        <f t="shared" si="212"/>
        <v/>
      </c>
      <c r="G2804" s="138" t="e">
        <f>IF(A2804&lt;&gt;"",IF(AND(#REF!="Padrão",$H$4=#REF!),BDI!$B$17,IF(AND(#REF!="Padrão",$H$4=#REF!),BDI!#REF!,IF(AND(#REF!="Diferenciado",$H$4=#REF!),BDI!$E$17,IF(AND(#REF!="Diferenciado",$H$4=#REF!),BDI!#REF!,IF(#REF!="ZERO",0))))),"")</f>
        <v>#REF!</v>
      </c>
      <c r="H2804" s="139" t="str">
        <f t="shared" si="213"/>
        <v/>
      </c>
      <c r="I2804" s="137" t="str">
        <f t="shared" si="214"/>
        <v/>
      </c>
      <c r="J2804" s="117"/>
      <c r="K2804" s="116">
        <v>0</v>
      </c>
      <c r="M2804" s="136" t="s">
        <v>416</v>
      </c>
      <c r="N2804" t="e">
        <v>#REF!</v>
      </c>
      <c r="Q2804" t="s">
        <v>416</v>
      </c>
    </row>
    <row r="2805" spans="1:17" hidden="1" x14ac:dyDescent="0.25">
      <c r="A2805" s="114" t="s">
        <v>5974</v>
      </c>
      <c r="B2805" s="115" t="s">
        <v>7373</v>
      </c>
      <c r="C2805" s="116" t="s">
        <v>16</v>
      </c>
      <c r="D2805" s="116">
        <v>0</v>
      </c>
      <c r="E2805" s="136" t="s">
        <v>416</v>
      </c>
      <c r="F2805" s="137" t="str">
        <f t="shared" si="212"/>
        <v/>
      </c>
      <c r="G2805" s="138" t="e">
        <f>IF(A2805&lt;&gt;"",IF(AND(#REF!="Padrão",$H$4=#REF!),BDI!$B$17,IF(AND(#REF!="Padrão",$H$4=#REF!),BDI!#REF!,IF(AND(#REF!="Diferenciado",$H$4=#REF!),BDI!$E$17,IF(AND(#REF!="Diferenciado",$H$4=#REF!),BDI!#REF!,IF(#REF!="ZERO",0))))),"")</f>
        <v>#REF!</v>
      </c>
      <c r="H2805" s="139" t="str">
        <f t="shared" si="213"/>
        <v/>
      </c>
      <c r="I2805" s="137" t="str">
        <f t="shared" si="214"/>
        <v/>
      </c>
      <c r="J2805" s="117"/>
      <c r="K2805" s="116">
        <v>0</v>
      </c>
      <c r="M2805" s="136" t="s">
        <v>416</v>
      </c>
      <c r="N2805" t="e">
        <v>#REF!</v>
      </c>
      <c r="Q2805" t="s">
        <v>416</v>
      </c>
    </row>
    <row r="2806" spans="1:17" hidden="1" x14ac:dyDescent="0.25">
      <c r="A2806" s="114" t="s">
        <v>5975</v>
      </c>
      <c r="B2806" s="115" t="s">
        <v>5976</v>
      </c>
      <c r="C2806" s="116" t="s">
        <v>16</v>
      </c>
      <c r="D2806" s="116">
        <v>0</v>
      </c>
      <c r="E2806" s="136">
        <f ca="1">OFFSET(INDEX(Composições!A:J,MATCH(Orçamentária!A2806,Composições!A:A,0),8),2,0)</f>
        <v>23.284500000000001</v>
      </c>
      <c r="F2806" s="137">
        <f t="shared" ca="1" si="212"/>
        <v>0</v>
      </c>
      <c r="G2806" s="138" t="e">
        <f>IF(A2806&lt;&gt;"",IF(AND(#REF!="Padrão",$H$4=#REF!),BDI!$B$17,IF(AND(#REF!="Padrão",$H$4=#REF!),BDI!#REF!,IF(AND(#REF!="Diferenciado",$H$4=#REF!),BDI!$E$17,IF(AND(#REF!="Diferenciado",$H$4=#REF!),BDI!#REF!,IF(#REF!="ZERO",0))))),"")</f>
        <v>#REF!</v>
      </c>
      <c r="H2806" s="139" t="e">
        <f t="shared" ca="1" si="213"/>
        <v>#REF!</v>
      </c>
      <c r="I2806" s="137" t="e">
        <f t="shared" ca="1" si="214"/>
        <v>#REF!</v>
      </c>
      <c r="J2806" s="117"/>
      <c r="K2806" s="116">
        <v>0</v>
      </c>
      <c r="M2806" s="136" t="e">
        <f ca="1">OFFSET(INDEX([1]Composições!I:R,MATCH([1]Orçamentária!I2806,[1]Composições!I:I,0),8),2,0)</f>
        <v>#REF!</v>
      </c>
      <c r="N2806" t="e">
        <v>#REF!</v>
      </c>
      <c r="Q2806" t="e">
        <v>#REF!</v>
      </c>
    </row>
    <row r="2807" spans="1:17" hidden="1" x14ac:dyDescent="0.25">
      <c r="A2807" s="114" t="s">
        <v>5977</v>
      </c>
      <c r="B2807" s="115" t="s">
        <v>5978</v>
      </c>
      <c r="C2807" s="116" t="s">
        <v>16</v>
      </c>
      <c r="D2807" s="116">
        <v>0</v>
      </c>
      <c r="E2807" s="136" t="s">
        <v>416</v>
      </c>
      <c r="F2807" s="137" t="str">
        <f t="shared" si="212"/>
        <v/>
      </c>
      <c r="G2807" s="138" t="e">
        <f>IF(A2807&lt;&gt;"",IF(AND(#REF!="Padrão",$H$4=#REF!),BDI!$B$17,IF(AND(#REF!="Padrão",$H$4=#REF!),BDI!#REF!,IF(AND(#REF!="Diferenciado",$H$4=#REF!),BDI!$E$17,IF(AND(#REF!="Diferenciado",$H$4=#REF!),BDI!#REF!,IF(#REF!="ZERO",0))))),"")</f>
        <v>#REF!</v>
      </c>
      <c r="H2807" s="139" t="str">
        <f t="shared" si="213"/>
        <v/>
      </c>
      <c r="I2807" s="137" t="str">
        <f t="shared" si="214"/>
        <v/>
      </c>
      <c r="J2807" s="117"/>
      <c r="K2807" s="116">
        <v>0</v>
      </c>
      <c r="M2807" s="136" t="s">
        <v>416</v>
      </c>
      <c r="N2807" t="e">
        <v>#REF!</v>
      </c>
      <c r="Q2807" t="s">
        <v>416</v>
      </c>
    </row>
    <row r="2808" spans="1:17" hidden="1" x14ac:dyDescent="0.25">
      <c r="A2808" s="114" t="s">
        <v>5979</v>
      </c>
      <c r="B2808" s="115" t="s">
        <v>5980</v>
      </c>
      <c r="C2808" s="116" t="s">
        <v>16</v>
      </c>
      <c r="D2808" s="116">
        <v>0</v>
      </c>
      <c r="E2808" s="136" t="s">
        <v>416</v>
      </c>
      <c r="F2808" s="137" t="str">
        <f t="shared" si="212"/>
        <v/>
      </c>
      <c r="G2808" s="138" t="e">
        <f>IF(A2808&lt;&gt;"",IF(AND(#REF!="Padrão",$H$4=#REF!),BDI!$B$17,IF(AND(#REF!="Padrão",$H$4=#REF!),BDI!#REF!,IF(AND(#REF!="Diferenciado",$H$4=#REF!),BDI!$E$17,IF(AND(#REF!="Diferenciado",$H$4=#REF!),BDI!#REF!,IF(#REF!="ZERO",0))))),"")</f>
        <v>#REF!</v>
      </c>
      <c r="H2808" s="139" t="str">
        <f t="shared" si="213"/>
        <v/>
      </c>
      <c r="I2808" s="137" t="str">
        <f t="shared" si="214"/>
        <v/>
      </c>
      <c r="J2808" s="117"/>
      <c r="K2808" s="116">
        <v>0</v>
      </c>
      <c r="M2808" s="136" t="s">
        <v>416</v>
      </c>
      <c r="N2808" t="e">
        <v>#REF!</v>
      </c>
      <c r="Q2808" t="s">
        <v>416</v>
      </c>
    </row>
    <row r="2809" spans="1:17" hidden="1" x14ac:dyDescent="0.25">
      <c r="A2809" s="114" t="s">
        <v>5981</v>
      </c>
      <c r="B2809" s="115" t="s">
        <v>5982</v>
      </c>
      <c r="C2809" s="116" t="s">
        <v>16</v>
      </c>
      <c r="D2809" s="116">
        <v>0</v>
      </c>
      <c r="E2809" s="136" t="s">
        <v>416</v>
      </c>
      <c r="F2809" s="137" t="str">
        <f t="shared" si="212"/>
        <v/>
      </c>
      <c r="G2809" s="138" t="e">
        <f>IF(A2809&lt;&gt;"",IF(AND(#REF!="Padrão",$H$4=#REF!),BDI!$B$17,IF(AND(#REF!="Padrão",$H$4=#REF!),BDI!#REF!,IF(AND(#REF!="Diferenciado",$H$4=#REF!),BDI!$E$17,IF(AND(#REF!="Diferenciado",$H$4=#REF!),BDI!#REF!,IF(#REF!="ZERO",0))))),"")</f>
        <v>#REF!</v>
      </c>
      <c r="H2809" s="139" t="str">
        <f t="shared" si="213"/>
        <v/>
      </c>
      <c r="I2809" s="137" t="str">
        <f t="shared" si="214"/>
        <v/>
      </c>
      <c r="J2809" s="117"/>
      <c r="K2809" s="116">
        <v>0</v>
      </c>
      <c r="M2809" s="136" t="s">
        <v>416</v>
      </c>
      <c r="N2809" t="e">
        <v>#REF!</v>
      </c>
      <c r="Q2809" t="s">
        <v>416</v>
      </c>
    </row>
    <row r="2810" spans="1:17" hidden="1" x14ac:dyDescent="0.25">
      <c r="A2810" s="114" t="s">
        <v>5983</v>
      </c>
      <c r="B2810" s="115" t="s">
        <v>5984</v>
      </c>
      <c r="C2810" s="116" t="s">
        <v>16</v>
      </c>
      <c r="D2810" s="116">
        <v>0</v>
      </c>
      <c r="E2810" s="136" t="s">
        <v>416</v>
      </c>
      <c r="F2810" s="137" t="str">
        <f t="shared" si="212"/>
        <v/>
      </c>
      <c r="G2810" s="138" t="e">
        <f>IF(A2810&lt;&gt;"",IF(AND(#REF!="Padrão",$H$4=#REF!),BDI!$B$17,IF(AND(#REF!="Padrão",$H$4=#REF!),BDI!#REF!,IF(AND(#REF!="Diferenciado",$H$4=#REF!),BDI!$E$17,IF(AND(#REF!="Diferenciado",$H$4=#REF!),BDI!#REF!,IF(#REF!="ZERO",0))))),"")</f>
        <v>#REF!</v>
      </c>
      <c r="H2810" s="139" t="str">
        <f t="shared" si="213"/>
        <v/>
      </c>
      <c r="I2810" s="137" t="str">
        <f t="shared" si="214"/>
        <v/>
      </c>
      <c r="J2810" s="117"/>
      <c r="K2810" s="116">
        <v>0</v>
      </c>
      <c r="M2810" s="136" t="s">
        <v>416</v>
      </c>
      <c r="N2810" t="e">
        <v>#REF!</v>
      </c>
      <c r="Q2810" t="s">
        <v>416</v>
      </c>
    </row>
    <row r="2811" spans="1:17" hidden="1" x14ac:dyDescent="0.25">
      <c r="A2811" s="114" t="s">
        <v>5985</v>
      </c>
      <c r="B2811" s="115" t="s">
        <v>5986</v>
      </c>
      <c r="C2811" s="116" t="s">
        <v>16</v>
      </c>
      <c r="D2811" s="116">
        <v>0</v>
      </c>
      <c r="E2811" s="136" t="s">
        <v>416</v>
      </c>
      <c r="F2811" s="137" t="str">
        <f t="shared" si="212"/>
        <v/>
      </c>
      <c r="G2811" s="138" t="e">
        <f>IF(A2811&lt;&gt;"",IF(AND(#REF!="Padrão",$H$4=#REF!),BDI!$B$17,IF(AND(#REF!="Padrão",$H$4=#REF!),BDI!#REF!,IF(AND(#REF!="Diferenciado",$H$4=#REF!),BDI!$E$17,IF(AND(#REF!="Diferenciado",$H$4=#REF!),BDI!#REF!,IF(#REF!="ZERO",0))))),"")</f>
        <v>#REF!</v>
      </c>
      <c r="H2811" s="139" t="str">
        <f t="shared" si="213"/>
        <v/>
      </c>
      <c r="I2811" s="137" t="str">
        <f t="shared" si="214"/>
        <v/>
      </c>
      <c r="J2811" s="117"/>
      <c r="K2811" s="116">
        <v>0</v>
      </c>
      <c r="M2811" s="136" t="s">
        <v>416</v>
      </c>
      <c r="N2811" t="e">
        <v>#REF!</v>
      </c>
      <c r="Q2811" t="s">
        <v>416</v>
      </c>
    </row>
    <row r="2812" spans="1:17" hidden="1" x14ac:dyDescent="0.25">
      <c r="A2812" s="114" t="s">
        <v>5987</v>
      </c>
      <c r="B2812" s="115" t="s">
        <v>3183</v>
      </c>
      <c r="C2812" s="116" t="s">
        <v>16</v>
      </c>
      <c r="D2812" s="116">
        <v>0</v>
      </c>
      <c r="E2812" s="136">
        <f ca="1">OFFSET(INDEX(Composições!A:J,MATCH(Orçamentária!A2812,Composições!A:A,0),8),2,0)</f>
        <v>53.399499999999996</v>
      </c>
      <c r="F2812" s="137">
        <f t="shared" ca="1" si="212"/>
        <v>0</v>
      </c>
      <c r="G2812" s="138" t="e">
        <f>IF(A2812&lt;&gt;"",IF(AND(#REF!="Padrão",$H$4=#REF!),BDI!$B$17,IF(AND(#REF!="Padrão",$H$4=#REF!),BDI!#REF!,IF(AND(#REF!="Diferenciado",$H$4=#REF!),BDI!$E$17,IF(AND(#REF!="Diferenciado",$H$4=#REF!),BDI!#REF!,IF(#REF!="ZERO",0))))),"")</f>
        <v>#REF!</v>
      </c>
      <c r="H2812" s="139" t="e">
        <f t="shared" ca="1" si="213"/>
        <v>#REF!</v>
      </c>
      <c r="I2812" s="137" t="e">
        <f t="shared" ca="1" si="214"/>
        <v>#REF!</v>
      </c>
      <c r="J2812" s="117"/>
      <c r="K2812" s="116">
        <v>0</v>
      </c>
      <c r="M2812" s="136" t="e">
        <f ca="1">OFFSET(INDEX([1]Composições!I:R,MATCH([1]Orçamentária!I2812,[1]Composições!I:I,0),8),2,0)</f>
        <v>#REF!</v>
      </c>
      <c r="N2812" t="e">
        <v>#REF!</v>
      </c>
      <c r="Q2812" t="e">
        <v>#REF!</v>
      </c>
    </row>
    <row r="2813" spans="1:17" hidden="1" x14ac:dyDescent="0.25">
      <c r="A2813" s="114" t="s">
        <v>5988</v>
      </c>
      <c r="B2813" s="115" t="s">
        <v>5989</v>
      </c>
      <c r="C2813" s="116" t="s">
        <v>16</v>
      </c>
      <c r="D2813" s="116">
        <v>0</v>
      </c>
      <c r="E2813" s="136">
        <f ca="1">OFFSET(INDEX(Composições!A:J,MATCH(Orçamentária!A2813,Composições!A:A,0),8),2,0)</f>
        <v>61.645499999999998</v>
      </c>
      <c r="F2813" s="137">
        <f t="shared" ca="1" si="212"/>
        <v>0</v>
      </c>
      <c r="G2813" s="138" t="e">
        <f>IF(A2813&lt;&gt;"",IF(AND(#REF!="Padrão",$H$4=#REF!),BDI!$B$17,IF(AND(#REF!="Padrão",$H$4=#REF!),BDI!#REF!,IF(AND(#REF!="Diferenciado",$H$4=#REF!),BDI!$E$17,IF(AND(#REF!="Diferenciado",$H$4=#REF!),BDI!#REF!,IF(#REF!="ZERO",0))))),"")</f>
        <v>#REF!</v>
      </c>
      <c r="H2813" s="139" t="e">
        <f t="shared" ca="1" si="213"/>
        <v>#REF!</v>
      </c>
      <c r="I2813" s="137" t="e">
        <f t="shared" ca="1" si="214"/>
        <v>#REF!</v>
      </c>
      <c r="J2813" s="117"/>
      <c r="K2813" s="116">
        <v>0</v>
      </c>
      <c r="M2813" s="136" t="e">
        <f ca="1">OFFSET(INDEX([1]Composições!I:R,MATCH([1]Orçamentária!I2813,[1]Composições!I:I,0),8),2,0)</f>
        <v>#REF!</v>
      </c>
      <c r="N2813" t="e">
        <v>#REF!</v>
      </c>
      <c r="Q2813" t="e">
        <v>#REF!</v>
      </c>
    </row>
    <row r="2814" spans="1:17" hidden="1" x14ac:dyDescent="0.25">
      <c r="A2814" s="114" t="s">
        <v>5990</v>
      </c>
      <c r="B2814" s="115" t="s">
        <v>5991</v>
      </c>
      <c r="C2814" s="116" t="s">
        <v>16</v>
      </c>
      <c r="D2814" s="116">
        <v>0</v>
      </c>
      <c r="E2814" s="136">
        <f ca="1">OFFSET(INDEX(Composições!A:J,MATCH(Orçamentária!A2814,Composições!A:A,0),8),2,0)</f>
        <v>149.46350000000001</v>
      </c>
      <c r="F2814" s="137">
        <f t="shared" ca="1" si="212"/>
        <v>0</v>
      </c>
      <c r="G2814" s="138" t="e">
        <f>IF(A2814&lt;&gt;"",IF(AND(#REF!="Padrão",$H$4=#REF!),BDI!$B$17,IF(AND(#REF!="Padrão",$H$4=#REF!),BDI!#REF!,IF(AND(#REF!="Diferenciado",$H$4=#REF!),BDI!$E$17,IF(AND(#REF!="Diferenciado",$H$4=#REF!),BDI!#REF!,IF(#REF!="ZERO",0))))),"")</f>
        <v>#REF!</v>
      </c>
      <c r="H2814" s="139" t="e">
        <f t="shared" ca="1" si="213"/>
        <v>#REF!</v>
      </c>
      <c r="I2814" s="137" t="e">
        <f t="shared" ca="1" si="214"/>
        <v>#REF!</v>
      </c>
      <c r="J2814" s="117"/>
      <c r="K2814" s="116">
        <v>0</v>
      </c>
      <c r="M2814" s="136" t="e">
        <f ca="1">OFFSET(INDEX([1]Composições!I:R,MATCH([1]Orçamentária!I2814,[1]Composições!I:I,0),8),2,0)</f>
        <v>#REF!</v>
      </c>
      <c r="N2814" t="e">
        <v>#REF!</v>
      </c>
      <c r="Q2814" t="e">
        <v>#REF!</v>
      </c>
    </row>
    <row r="2815" spans="1:17" hidden="1" x14ac:dyDescent="0.25">
      <c r="A2815" s="114" t="s">
        <v>5992</v>
      </c>
      <c r="B2815" s="115" t="s">
        <v>5993</v>
      </c>
      <c r="C2815" s="116" t="s">
        <v>16</v>
      </c>
      <c r="D2815" s="116">
        <v>0</v>
      </c>
      <c r="E2815" s="136">
        <f ca="1">OFFSET(INDEX(Composições!A:J,MATCH(Orçamentária!A2815,Composições!A:A,0),8),2,0)</f>
        <v>230.4795</v>
      </c>
      <c r="F2815" s="137">
        <f t="shared" ca="1" si="212"/>
        <v>0</v>
      </c>
      <c r="G2815" s="138" t="e">
        <f>IF(A2815&lt;&gt;"",IF(AND(#REF!="Padrão",$H$4=#REF!),BDI!$B$17,IF(AND(#REF!="Padrão",$H$4=#REF!),BDI!#REF!,IF(AND(#REF!="Diferenciado",$H$4=#REF!),BDI!$E$17,IF(AND(#REF!="Diferenciado",$H$4=#REF!),BDI!#REF!,IF(#REF!="ZERO",0))))),"")</f>
        <v>#REF!</v>
      </c>
      <c r="H2815" s="139" t="e">
        <f t="shared" ca="1" si="213"/>
        <v>#REF!</v>
      </c>
      <c r="I2815" s="137" t="e">
        <f t="shared" ca="1" si="214"/>
        <v>#REF!</v>
      </c>
      <c r="J2815" s="117"/>
      <c r="K2815" s="116">
        <v>0</v>
      </c>
      <c r="M2815" s="136" t="e">
        <f ca="1">OFFSET(INDEX([1]Composições!I:R,MATCH([1]Orçamentária!I2815,[1]Composições!I:I,0),8),2,0)</f>
        <v>#REF!</v>
      </c>
      <c r="N2815" t="e">
        <v>#REF!</v>
      </c>
      <c r="Q2815" t="e">
        <v>#REF!</v>
      </c>
    </row>
    <row r="2816" spans="1:17" hidden="1" x14ac:dyDescent="0.25">
      <c r="A2816" s="114" t="s">
        <v>5994</v>
      </c>
      <c r="B2816" s="115" t="s">
        <v>5995</v>
      </c>
      <c r="C2816" s="116" t="s">
        <v>16</v>
      </c>
      <c r="D2816" s="116">
        <v>0</v>
      </c>
      <c r="E2816" s="136">
        <f ca="1">OFFSET(INDEX(Composições!A:J,MATCH(Orçamentária!A2816,Composições!A:A,0),8),2,0)</f>
        <v>53.399499999999996</v>
      </c>
      <c r="F2816" s="137">
        <f t="shared" ca="1" si="212"/>
        <v>0</v>
      </c>
      <c r="G2816" s="138" t="e">
        <f>IF(A2816&lt;&gt;"",IF(AND(#REF!="Padrão",$H$4=#REF!),BDI!$B$17,IF(AND(#REF!="Padrão",$H$4=#REF!),BDI!#REF!,IF(AND(#REF!="Diferenciado",$H$4=#REF!),BDI!$E$17,IF(AND(#REF!="Diferenciado",$H$4=#REF!),BDI!#REF!,IF(#REF!="ZERO",0))))),"")</f>
        <v>#REF!</v>
      </c>
      <c r="H2816" s="139" t="e">
        <f t="shared" ca="1" si="213"/>
        <v>#REF!</v>
      </c>
      <c r="I2816" s="137" t="e">
        <f t="shared" ca="1" si="214"/>
        <v>#REF!</v>
      </c>
      <c r="J2816" s="117"/>
      <c r="K2816" s="116">
        <v>0</v>
      </c>
      <c r="M2816" s="136" t="e">
        <f ca="1">OFFSET(INDEX([1]Composições!I:R,MATCH([1]Orçamentária!I2816,[1]Composições!I:I,0),8),2,0)</f>
        <v>#REF!</v>
      </c>
      <c r="N2816" t="e">
        <v>#REF!</v>
      </c>
      <c r="Q2816" t="e">
        <v>#REF!</v>
      </c>
    </row>
    <row r="2817" spans="1:17" hidden="1" x14ac:dyDescent="0.25">
      <c r="A2817" s="114" t="s">
        <v>5996</v>
      </c>
      <c r="B2817" s="115" t="s">
        <v>5997</v>
      </c>
      <c r="C2817" s="116" t="s">
        <v>16</v>
      </c>
      <c r="D2817" s="116">
        <v>0</v>
      </c>
      <c r="E2817" s="136">
        <f ca="1">OFFSET(INDEX(Composições!A:J,MATCH(Orçamentária!A2817,Composições!A:A,0),8),2,0)</f>
        <v>102.0585</v>
      </c>
      <c r="F2817" s="137">
        <f t="shared" ca="1" si="212"/>
        <v>0</v>
      </c>
      <c r="G2817" s="138" t="e">
        <f>IF(A2817&lt;&gt;"",IF(AND(#REF!="Padrão",$H$4=#REF!),BDI!$B$17,IF(AND(#REF!="Padrão",$H$4=#REF!),BDI!#REF!,IF(AND(#REF!="Diferenciado",$H$4=#REF!),BDI!$E$17,IF(AND(#REF!="Diferenciado",$H$4=#REF!),BDI!#REF!,IF(#REF!="ZERO",0))))),"")</f>
        <v>#REF!</v>
      </c>
      <c r="H2817" s="139" t="e">
        <f t="shared" ca="1" si="213"/>
        <v>#REF!</v>
      </c>
      <c r="I2817" s="137" t="e">
        <f t="shared" ca="1" si="214"/>
        <v>#REF!</v>
      </c>
      <c r="J2817" s="117"/>
      <c r="K2817" s="116">
        <v>0</v>
      </c>
      <c r="M2817" s="136" t="e">
        <f ca="1">OFFSET(INDEX([1]Composições!I:R,MATCH([1]Orçamentária!I2817,[1]Composições!I:I,0),8),2,0)</f>
        <v>#REF!</v>
      </c>
      <c r="N2817" t="e">
        <v>#REF!</v>
      </c>
      <c r="Q2817" t="e">
        <v>#REF!</v>
      </c>
    </row>
    <row r="2818" spans="1:17" hidden="1" x14ac:dyDescent="0.25">
      <c r="A2818" s="114" t="s">
        <v>5998</v>
      </c>
      <c r="B2818" s="115" t="s">
        <v>5999</v>
      </c>
      <c r="C2818" s="116" t="s">
        <v>16</v>
      </c>
      <c r="D2818" s="116">
        <v>0</v>
      </c>
      <c r="E2818" s="136">
        <f ca="1">OFFSET(INDEX(Composições!A:J,MATCH(Orçamentária!A2818,Composições!A:A,0),8),2,0)</f>
        <v>80.835499999999996</v>
      </c>
      <c r="F2818" s="137">
        <f t="shared" ca="1" si="212"/>
        <v>0</v>
      </c>
      <c r="G2818" s="138" t="e">
        <f>IF(A2818&lt;&gt;"",IF(AND(#REF!="Padrão",$H$4=#REF!),BDI!$B$17,IF(AND(#REF!="Padrão",$H$4=#REF!),BDI!#REF!,IF(AND(#REF!="Diferenciado",$H$4=#REF!),BDI!$E$17,IF(AND(#REF!="Diferenciado",$H$4=#REF!),BDI!#REF!,IF(#REF!="ZERO",0))))),"")</f>
        <v>#REF!</v>
      </c>
      <c r="H2818" s="139" t="e">
        <f t="shared" ca="1" si="213"/>
        <v>#REF!</v>
      </c>
      <c r="I2818" s="137" t="e">
        <f t="shared" ca="1" si="214"/>
        <v>#REF!</v>
      </c>
      <c r="J2818" s="117"/>
      <c r="K2818" s="116">
        <v>0</v>
      </c>
      <c r="M2818" s="136" t="e">
        <f ca="1">OFFSET(INDEX([1]Composições!I:R,MATCH([1]Orçamentária!I2818,[1]Composições!I:I,0),8),2,0)</f>
        <v>#REF!</v>
      </c>
      <c r="N2818" t="e">
        <v>#REF!</v>
      </c>
      <c r="Q2818" t="e">
        <v>#REF!</v>
      </c>
    </row>
    <row r="2819" spans="1:17" hidden="1" x14ac:dyDescent="0.25">
      <c r="A2819" s="114" t="s">
        <v>6000</v>
      </c>
      <c r="B2819" s="115" t="s">
        <v>6001</v>
      </c>
      <c r="C2819" s="116" t="s">
        <v>16</v>
      </c>
      <c r="D2819" s="116">
        <v>0</v>
      </c>
      <c r="E2819" s="136">
        <f ca="1">OFFSET(INDEX(Composições!A:J,MATCH(Orçamentária!A2819,Composições!A:A,0),8),2,0)</f>
        <v>59.317999999999998</v>
      </c>
      <c r="F2819" s="137">
        <f t="shared" ca="1" si="212"/>
        <v>0</v>
      </c>
      <c r="G2819" s="138" t="e">
        <f>IF(A2819&lt;&gt;"",IF(AND(#REF!="Padrão",$H$4=#REF!),BDI!$B$17,IF(AND(#REF!="Padrão",$H$4=#REF!),BDI!#REF!,IF(AND(#REF!="Diferenciado",$H$4=#REF!),BDI!$E$17,IF(AND(#REF!="Diferenciado",$H$4=#REF!),BDI!#REF!,IF(#REF!="ZERO",0))))),"")</f>
        <v>#REF!</v>
      </c>
      <c r="H2819" s="139" t="e">
        <f t="shared" ca="1" si="213"/>
        <v>#REF!</v>
      </c>
      <c r="I2819" s="137" t="e">
        <f t="shared" ca="1" si="214"/>
        <v>#REF!</v>
      </c>
      <c r="J2819" s="117"/>
      <c r="K2819" s="116">
        <v>0</v>
      </c>
      <c r="M2819" s="136" t="e">
        <f ca="1">OFFSET(INDEX([1]Composições!I:R,MATCH([1]Orçamentária!I2819,[1]Composições!I:I,0),8),2,0)</f>
        <v>#REF!</v>
      </c>
      <c r="N2819" t="e">
        <v>#REF!</v>
      </c>
      <c r="Q2819" t="e">
        <v>#REF!</v>
      </c>
    </row>
    <row r="2820" spans="1:17" hidden="1" x14ac:dyDescent="0.25">
      <c r="A2820" s="114" t="s">
        <v>6002</v>
      </c>
      <c r="B2820" s="115" t="s">
        <v>6003</v>
      </c>
      <c r="C2820" s="116" t="s">
        <v>16</v>
      </c>
      <c r="D2820" s="116">
        <v>0</v>
      </c>
      <c r="E2820" s="136">
        <f ca="1">OFFSET(INDEX(Composições!A:J,MATCH(Orçamentária!A2820,Composições!A:A,0),8),2,0)</f>
        <v>35.625</v>
      </c>
      <c r="F2820" s="137">
        <f t="shared" ca="1" si="212"/>
        <v>0</v>
      </c>
      <c r="G2820" s="138" t="e">
        <f>IF(A2820&lt;&gt;"",IF(AND(#REF!="Padrão",$H$4=#REF!),BDI!$B$17,IF(AND(#REF!="Padrão",$H$4=#REF!),BDI!#REF!,IF(AND(#REF!="Diferenciado",$H$4=#REF!),BDI!$E$17,IF(AND(#REF!="Diferenciado",$H$4=#REF!),BDI!#REF!,IF(#REF!="ZERO",0))))),"")</f>
        <v>#REF!</v>
      </c>
      <c r="H2820" s="139" t="e">
        <f t="shared" ca="1" si="213"/>
        <v>#REF!</v>
      </c>
      <c r="I2820" s="137" t="e">
        <f t="shared" ca="1" si="214"/>
        <v>#REF!</v>
      </c>
      <c r="J2820" s="117"/>
      <c r="K2820" s="116">
        <v>0</v>
      </c>
      <c r="M2820" s="136" t="e">
        <f ca="1">OFFSET(INDEX([1]Composições!I:R,MATCH([1]Orçamentária!I2820,[1]Composições!I:I,0),8),2,0)</f>
        <v>#REF!</v>
      </c>
      <c r="N2820" t="e">
        <v>#REF!</v>
      </c>
      <c r="Q2820" t="e">
        <v>#REF!</v>
      </c>
    </row>
    <row r="2821" spans="1:17" hidden="1" x14ac:dyDescent="0.25">
      <c r="A2821" s="114" t="s">
        <v>6004</v>
      </c>
      <c r="B2821" s="115" t="s">
        <v>6005</v>
      </c>
      <c r="C2821" s="116" t="s">
        <v>16</v>
      </c>
      <c r="D2821" s="116">
        <v>0</v>
      </c>
      <c r="E2821" s="136">
        <f ca="1">OFFSET(INDEX(Composições!A:J,MATCH(Orçamentária!A2821,Composições!A:A,0),8),2,0)</f>
        <v>294.81349999999998</v>
      </c>
      <c r="F2821" s="137">
        <f t="shared" ca="1" si="212"/>
        <v>0</v>
      </c>
      <c r="G2821" s="138" t="e">
        <f>IF(A2821&lt;&gt;"",IF(AND(#REF!="Padrão",$H$4=#REF!),BDI!$B$17,IF(AND(#REF!="Padrão",$H$4=#REF!),BDI!#REF!,IF(AND(#REF!="Diferenciado",$H$4=#REF!),BDI!$E$17,IF(AND(#REF!="Diferenciado",$H$4=#REF!),BDI!#REF!,IF(#REF!="ZERO",0))))),"")</f>
        <v>#REF!</v>
      </c>
      <c r="H2821" s="139" t="e">
        <f t="shared" ca="1" si="213"/>
        <v>#REF!</v>
      </c>
      <c r="I2821" s="137" t="e">
        <f t="shared" ca="1" si="214"/>
        <v>#REF!</v>
      </c>
      <c r="J2821" s="117"/>
      <c r="K2821" s="116">
        <v>0</v>
      </c>
      <c r="M2821" s="136" t="e">
        <f ca="1">OFFSET(INDEX([1]Composições!I:R,MATCH([1]Orçamentária!I2821,[1]Composições!I:I,0),8),2,0)</f>
        <v>#REF!</v>
      </c>
      <c r="N2821" t="e">
        <v>#REF!</v>
      </c>
      <c r="Q2821" t="e">
        <v>#REF!</v>
      </c>
    </row>
    <row r="2822" spans="1:17" hidden="1" x14ac:dyDescent="0.25">
      <c r="A2822" s="114" t="s">
        <v>6006</v>
      </c>
      <c r="B2822" s="115" t="s">
        <v>6007</v>
      </c>
      <c r="C2822" s="116" t="s">
        <v>16</v>
      </c>
      <c r="D2822" s="116">
        <v>0</v>
      </c>
      <c r="E2822" s="136">
        <f ca="1">OFFSET(INDEX(Composições!A:J,MATCH(Orçamentária!A2822,Composições!A:A,0),8),2,0)</f>
        <v>142.14849999999998</v>
      </c>
      <c r="F2822" s="137">
        <f t="shared" ca="1" si="212"/>
        <v>0</v>
      </c>
      <c r="G2822" s="138" t="e">
        <f>IF(A2822&lt;&gt;"",IF(AND(#REF!="Padrão",$H$4=#REF!),BDI!$B$17,IF(AND(#REF!="Padrão",$H$4=#REF!),BDI!#REF!,IF(AND(#REF!="Diferenciado",$H$4=#REF!),BDI!$E$17,IF(AND(#REF!="Diferenciado",$H$4=#REF!),BDI!#REF!,IF(#REF!="ZERO",0))))),"")</f>
        <v>#REF!</v>
      </c>
      <c r="H2822" s="139" t="e">
        <f t="shared" ca="1" si="213"/>
        <v>#REF!</v>
      </c>
      <c r="I2822" s="137" t="e">
        <f t="shared" ca="1" si="214"/>
        <v>#REF!</v>
      </c>
      <c r="J2822" s="117"/>
      <c r="K2822" s="116">
        <v>0</v>
      </c>
      <c r="M2822" s="136" t="e">
        <f ca="1">OFFSET(INDEX([1]Composições!I:R,MATCH([1]Orçamentária!I2822,[1]Composições!I:I,0),8),2,0)</f>
        <v>#REF!</v>
      </c>
      <c r="N2822" t="e">
        <v>#REF!</v>
      </c>
      <c r="Q2822" t="e">
        <v>#REF!</v>
      </c>
    </row>
    <row r="2823" spans="1:17" hidden="1" x14ac:dyDescent="0.25">
      <c r="A2823" s="114" t="s">
        <v>6008</v>
      </c>
      <c r="B2823" s="115" t="s">
        <v>6009</v>
      </c>
      <c r="C2823" s="116" t="s">
        <v>16</v>
      </c>
      <c r="D2823" s="116">
        <v>0</v>
      </c>
      <c r="E2823" s="136">
        <f ca="1">OFFSET(INDEX(Composições!A:J,MATCH(Orçamentária!A2823,Composições!A:A,0),8),2,0)</f>
        <v>356.92449999999997</v>
      </c>
      <c r="F2823" s="137">
        <f t="shared" ca="1" si="212"/>
        <v>0</v>
      </c>
      <c r="G2823" s="138" t="e">
        <f>IF(A2823&lt;&gt;"",IF(AND(#REF!="Padrão",$H$4=#REF!),BDI!$B$17,IF(AND(#REF!="Padrão",$H$4=#REF!),BDI!#REF!,IF(AND(#REF!="Diferenciado",$H$4=#REF!),BDI!$E$17,IF(AND(#REF!="Diferenciado",$H$4=#REF!),BDI!#REF!,IF(#REF!="ZERO",0))))),"")</f>
        <v>#REF!</v>
      </c>
      <c r="H2823" s="139" t="e">
        <f t="shared" ca="1" si="213"/>
        <v>#REF!</v>
      </c>
      <c r="I2823" s="137" t="e">
        <f t="shared" ca="1" si="214"/>
        <v>#REF!</v>
      </c>
      <c r="J2823" s="117"/>
      <c r="K2823" s="116">
        <v>0</v>
      </c>
      <c r="M2823" s="136" t="e">
        <f ca="1">OFFSET(INDEX([1]Composições!I:R,MATCH([1]Orçamentária!I2823,[1]Composições!I:I,0),8),2,0)</f>
        <v>#REF!</v>
      </c>
      <c r="N2823" t="e">
        <v>#REF!</v>
      </c>
      <c r="Q2823" t="e">
        <v>#REF!</v>
      </c>
    </row>
    <row r="2824" spans="1:17" hidden="1" x14ac:dyDescent="0.25">
      <c r="A2824" s="114" t="s">
        <v>6010</v>
      </c>
      <c r="B2824" s="115" t="s">
        <v>6011</v>
      </c>
      <c r="C2824" s="116" t="s">
        <v>16</v>
      </c>
      <c r="D2824" s="116">
        <v>0</v>
      </c>
      <c r="E2824" s="136">
        <f ca="1">OFFSET(INDEX(Composições!A:J,MATCH(Orçamentária!A2824,Composições!A:A,0),8),2,0)</f>
        <v>37.572499999999998</v>
      </c>
      <c r="F2824" s="137">
        <f t="shared" ca="1" si="212"/>
        <v>0</v>
      </c>
      <c r="G2824" s="138" t="e">
        <f>IF(A2824&lt;&gt;"",IF(AND(#REF!="Padrão",$H$4=#REF!),BDI!$B$17,IF(AND(#REF!="Padrão",$H$4=#REF!),BDI!#REF!,IF(AND(#REF!="Diferenciado",$H$4=#REF!),BDI!$E$17,IF(AND(#REF!="Diferenciado",$H$4=#REF!),BDI!#REF!,IF(#REF!="ZERO",0))))),"")</f>
        <v>#REF!</v>
      </c>
      <c r="H2824" s="139" t="e">
        <f t="shared" ca="1" si="213"/>
        <v>#REF!</v>
      </c>
      <c r="I2824" s="137" t="e">
        <f t="shared" ca="1" si="214"/>
        <v>#REF!</v>
      </c>
      <c r="J2824" s="117"/>
      <c r="K2824" s="116">
        <v>0</v>
      </c>
      <c r="M2824" s="136" t="e">
        <f ca="1">OFFSET(INDEX([1]Composições!I:R,MATCH([1]Orçamentária!I2824,[1]Composições!I:I,0),8),2,0)</f>
        <v>#REF!</v>
      </c>
      <c r="N2824" t="e">
        <v>#REF!</v>
      </c>
      <c r="Q2824" t="e">
        <v>#REF!</v>
      </c>
    </row>
    <row r="2825" spans="1:17" hidden="1" x14ac:dyDescent="0.25">
      <c r="A2825" s="114" t="s">
        <v>6012</v>
      </c>
      <c r="B2825" s="115" t="s">
        <v>6013</v>
      </c>
      <c r="C2825" s="116" t="s">
        <v>16</v>
      </c>
      <c r="D2825" s="116">
        <v>0</v>
      </c>
      <c r="E2825" s="136">
        <f ca="1">OFFSET(INDEX(Composições!A:J,MATCH(Orçamentária!A2825,Composições!A:A,0),8),2,0)</f>
        <v>743.69799999999998</v>
      </c>
      <c r="F2825" s="137">
        <f t="shared" ca="1" si="212"/>
        <v>0</v>
      </c>
      <c r="G2825" s="138" t="e">
        <f>IF(A2825&lt;&gt;"",IF(AND(#REF!="Padrão",$H$4=#REF!),BDI!$B$17,IF(AND(#REF!="Padrão",$H$4=#REF!),BDI!#REF!,IF(AND(#REF!="Diferenciado",$H$4=#REF!),BDI!$E$17,IF(AND(#REF!="Diferenciado",$H$4=#REF!),BDI!#REF!,IF(#REF!="ZERO",0))))),"")</f>
        <v>#REF!</v>
      </c>
      <c r="H2825" s="139" t="e">
        <f t="shared" ca="1" si="213"/>
        <v>#REF!</v>
      </c>
      <c r="I2825" s="137" t="e">
        <f t="shared" ca="1" si="214"/>
        <v>#REF!</v>
      </c>
      <c r="J2825" s="117"/>
      <c r="K2825" s="116">
        <v>0</v>
      </c>
      <c r="M2825" s="136" t="e">
        <f ca="1">OFFSET(INDEX([1]Composições!I:R,MATCH([1]Orçamentária!I2825,[1]Composições!I:I,0),8),2,0)</f>
        <v>#REF!</v>
      </c>
      <c r="N2825" t="e">
        <v>#REF!</v>
      </c>
      <c r="Q2825" t="e">
        <v>#REF!</v>
      </c>
    </row>
    <row r="2826" spans="1:17" hidden="1" x14ac:dyDescent="0.25">
      <c r="A2826" s="114" t="s">
        <v>6014</v>
      </c>
      <c r="B2826" s="115" t="s">
        <v>6015</v>
      </c>
      <c r="C2826" s="116" t="s">
        <v>16</v>
      </c>
      <c r="D2826" s="116">
        <v>0</v>
      </c>
      <c r="E2826" s="136" t="s">
        <v>416</v>
      </c>
      <c r="F2826" s="137" t="str">
        <f t="shared" si="212"/>
        <v/>
      </c>
      <c r="G2826" s="138" t="e">
        <f>IF(A2826&lt;&gt;"",IF(AND(#REF!="Padrão",$H$4=#REF!),BDI!$B$17,IF(AND(#REF!="Padrão",$H$4=#REF!),BDI!#REF!,IF(AND(#REF!="Diferenciado",$H$4=#REF!),BDI!$E$17,IF(AND(#REF!="Diferenciado",$H$4=#REF!),BDI!#REF!,IF(#REF!="ZERO",0))))),"")</f>
        <v>#REF!</v>
      </c>
      <c r="H2826" s="139" t="str">
        <f t="shared" si="213"/>
        <v/>
      </c>
      <c r="I2826" s="137" t="str">
        <f t="shared" si="214"/>
        <v/>
      </c>
      <c r="J2826" s="117"/>
      <c r="K2826" s="116">
        <v>0</v>
      </c>
      <c r="M2826" s="136" t="s">
        <v>416</v>
      </c>
      <c r="N2826" t="e">
        <v>#REF!</v>
      </c>
      <c r="Q2826" t="s">
        <v>416</v>
      </c>
    </row>
    <row r="2827" spans="1:17" hidden="1" x14ac:dyDescent="0.25">
      <c r="A2827" s="114" t="s">
        <v>6016</v>
      </c>
      <c r="B2827" s="115" t="s">
        <v>6017</v>
      </c>
      <c r="C2827" s="116" t="s">
        <v>16</v>
      </c>
      <c r="D2827" s="116">
        <v>0</v>
      </c>
      <c r="E2827" s="136" t="s">
        <v>416</v>
      </c>
      <c r="F2827" s="137" t="str">
        <f t="shared" si="212"/>
        <v/>
      </c>
      <c r="G2827" s="138" t="e">
        <f>IF(A2827&lt;&gt;"",IF(AND(#REF!="Padrão",$H$4=#REF!),BDI!$B$17,IF(AND(#REF!="Padrão",$H$4=#REF!),BDI!#REF!,IF(AND(#REF!="Diferenciado",$H$4=#REF!),BDI!$E$17,IF(AND(#REF!="Diferenciado",$H$4=#REF!),BDI!#REF!,IF(#REF!="ZERO",0))))),"")</f>
        <v>#REF!</v>
      </c>
      <c r="H2827" s="139" t="str">
        <f t="shared" si="213"/>
        <v/>
      </c>
      <c r="I2827" s="137" t="str">
        <f t="shared" si="214"/>
        <v/>
      </c>
      <c r="J2827" s="117"/>
      <c r="K2827" s="116">
        <v>0</v>
      </c>
      <c r="M2827" s="136" t="s">
        <v>416</v>
      </c>
      <c r="N2827" t="e">
        <v>#REF!</v>
      </c>
      <c r="Q2827" t="s">
        <v>416</v>
      </c>
    </row>
    <row r="2828" spans="1:17" hidden="1" x14ac:dyDescent="0.25">
      <c r="A2828" s="114" t="s">
        <v>6018</v>
      </c>
      <c r="B2828" s="115" t="s">
        <v>6019</v>
      </c>
      <c r="C2828" s="116" t="s">
        <v>16</v>
      </c>
      <c r="D2828" s="116">
        <v>0</v>
      </c>
      <c r="E2828" s="136">
        <f ca="1">OFFSET(INDEX(Composições!A:J,MATCH(Orçamentária!A2828,Composições!A:A,0),8),2,0)</f>
        <v>25.241499999999998</v>
      </c>
      <c r="F2828" s="137">
        <f t="shared" ca="1" si="212"/>
        <v>0</v>
      </c>
      <c r="G2828" s="138" t="e">
        <f>IF(A2828&lt;&gt;"",IF(AND(#REF!="Padrão",$H$4=#REF!),BDI!$B$17,IF(AND(#REF!="Padrão",$H$4=#REF!),BDI!#REF!,IF(AND(#REF!="Diferenciado",$H$4=#REF!),BDI!$E$17,IF(AND(#REF!="Diferenciado",$H$4=#REF!),BDI!#REF!,IF(#REF!="ZERO",0))))),"")</f>
        <v>#REF!</v>
      </c>
      <c r="H2828" s="139" t="e">
        <f t="shared" ca="1" si="213"/>
        <v>#REF!</v>
      </c>
      <c r="I2828" s="137" t="e">
        <f t="shared" ca="1" si="214"/>
        <v>#REF!</v>
      </c>
      <c r="J2828" s="117"/>
      <c r="K2828" s="116">
        <v>0</v>
      </c>
      <c r="M2828" s="136" t="e">
        <f ca="1">OFFSET(INDEX([1]Composições!I:R,MATCH([1]Orçamentária!I2828,[1]Composições!I:I,0),8),2,0)</f>
        <v>#REF!</v>
      </c>
      <c r="N2828" t="e">
        <v>#REF!</v>
      </c>
      <c r="Q2828" t="e">
        <v>#REF!</v>
      </c>
    </row>
    <row r="2829" spans="1:17" hidden="1" x14ac:dyDescent="0.25">
      <c r="A2829" s="114" t="s">
        <v>6020</v>
      </c>
      <c r="B2829" s="115" t="s">
        <v>6021</v>
      </c>
      <c r="C2829" s="116" t="s">
        <v>16</v>
      </c>
      <c r="D2829" s="116">
        <v>0</v>
      </c>
      <c r="E2829" s="136">
        <f ca="1">OFFSET(INDEX(Composições!A:J,MATCH(Orçamentária!A2829,Composições!A:A,0),8),2,0)</f>
        <v>30.1435</v>
      </c>
      <c r="F2829" s="137">
        <f t="shared" ca="1" si="212"/>
        <v>0</v>
      </c>
      <c r="G2829" s="138" t="e">
        <f>IF(A2829&lt;&gt;"",IF(AND(#REF!="Padrão",$H$4=#REF!),BDI!$B$17,IF(AND(#REF!="Padrão",$H$4=#REF!),BDI!#REF!,IF(AND(#REF!="Diferenciado",$H$4=#REF!),BDI!$E$17,IF(AND(#REF!="Diferenciado",$H$4=#REF!),BDI!#REF!,IF(#REF!="ZERO",0))))),"")</f>
        <v>#REF!</v>
      </c>
      <c r="H2829" s="139" t="e">
        <f t="shared" ca="1" si="213"/>
        <v>#REF!</v>
      </c>
      <c r="I2829" s="137" t="e">
        <f t="shared" ca="1" si="214"/>
        <v>#REF!</v>
      </c>
      <c r="J2829" s="117"/>
      <c r="K2829" s="116">
        <v>0</v>
      </c>
      <c r="M2829" s="136" t="e">
        <f ca="1">OFFSET(INDEX([1]Composições!I:R,MATCH([1]Orçamentária!I2829,[1]Composições!I:I,0),8),2,0)</f>
        <v>#REF!</v>
      </c>
      <c r="N2829" t="e">
        <v>#REF!</v>
      </c>
      <c r="Q2829" t="e">
        <v>#REF!</v>
      </c>
    </row>
    <row r="2830" spans="1:17" hidden="1" x14ac:dyDescent="0.25">
      <c r="A2830" s="114" t="s">
        <v>6022</v>
      </c>
      <c r="B2830" s="115" t="s">
        <v>6023</v>
      </c>
      <c r="C2830" s="116" t="s">
        <v>16</v>
      </c>
      <c r="D2830" s="116">
        <v>0</v>
      </c>
      <c r="E2830" s="136">
        <f ca="1">OFFSET(INDEX(Composições!A:J,MATCH(Orçamentária!A2830,Composições!A:A,0),8),2,0)</f>
        <v>23.588499999999996</v>
      </c>
      <c r="F2830" s="137">
        <f t="shared" ca="1" si="212"/>
        <v>0</v>
      </c>
      <c r="G2830" s="138" t="e">
        <f>IF(A2830&lt;&gt;"",IF(AND(#REF!="Padrão",$H$4=#REF!),BDI!$B$17,IF(AND(#REF!="Padrão",$H$4=#REF!),BDI!#REF!,IF(AND(#REF!="Diferenciado",$H$4=#REF!),BDI!$E$17,IF(AND(#REF!="Diferenciado",$H$4=#REF!),BDI!#REF!,IF(#REF!="ZERO",0))))),"")</f>
        <v>#REF!</v>
      </c>
      <c r="H2830" s="139" t="e">
        <f t="shared" ca="1" si="213"/>
        <v>#REF!</v>
      </c>
      <c r="I2830" s="137" t="e">
        <f t="shared" ca="1" si="214"/>
        <v>#REF!</v>
      </c>
      <c r="J2830" s="117"/>
      <c r="K2830" s="116">
        <v>0</v>
      </c>
      <c r="M2830" s="136" t="e">
        <f ca="1">OFFSET(INDEX([1]Composições!I:R,MATCH([1]Orçamentária!I2830,[1]Composições!I:I,0),8),2,0)</f>
        <v>#REF!</v>
      </c>
      <c r="N2830" t="e">
        <v>#REF!</v>
      </c>
      <c r="Q2830" t="e">
        <v>#REF!</v>
      </c>
    </row>
    <row r="2831" spans="1:17" hidden="1" x14ac:dyDescent="0.25">
      <c r="A2831" s="114" t="s">
        <v>6024</v>
      </c>
      <c r="B2831" s="115" t="s">
        <v>6025</v>
      </c>
      <c r="C2831" s="116" t="s">
        <v>16</v>
      </c>
      <c r="D2831" s="116">
        <v>0</v>
      </c>
      <c r="E2831" s="136">
        <f ca="1">OFFSET(INDEX(Composições!A:J,MATCH(Orçamentária!A2831,Composições!A:A,0),8),2,0)</f>
        <v>64.656999999999996</v>
      </c>
      <c r="F2831" s="137">
        <f t="shared" ca="1" si="212"/>
        <v>0</v>
      </c>
      <c r="G2831" s="138" t="e">
        <f>IF(A2831&lt;&gt;"",IF(AND(#REF!="Padrão",$H$4=#REF!),BDI!$B$17,IF(AND(#REF!="Padrão",$H$4=#REF!),BDI!#REF!,IF(AND(#REF!="Diferenciado",$H$4=#REF!),BDI!$E$17,IF(AND(#REF!="Diferenciado",$H$4=#REF!),BDI!#REF!,IF(#REF!="ZERO",0))))),"")</f>
        <v>#REF!</v>
      </c>
      <c r="H2831" s="139" t="e">
        <f t="shared" ca="1" si="213"/>
        <v>#REF!</v>
      </c>
      <c r="I2831" s="137" t="e">
        <f t="shared" ca="1" si="214"/>
        <v>#REF!</v>
      </c>
      <c r="J2831" s="117"/>
      <c r="K2831" s="116">
        <v>0</v>
      </c>
      <c r="M2831" s="136" t="e">
        <f ca="1">OFFSET(INDEX([1]Composições!I:R,MATCH([1]Orçamentária!I2831,[1]Composições!I:I,0),8),2,0)</f>
        <v>#REF!</v>
      </c>
      <c r="N2831" t="e">
        <v>#REF!</v>
      </c>
      <c r="Q2831" t="e">
        <v>#REF!</v>
      </c>
    </row>
    <row r="2832" spans="1:17" hidden="1" x14ac:dyDescent="0.25">
      <c r="A2832" s="114" t="s">
        <v>6026</v>
      </c>
      <c r="B2832" s="115" t="s">
        <v>7372</v>
      </c>
      <c r="C2832" s="116" t="s">
        <v>16</v>
      </c>
      <c r="D2832" s="116">
        <v>0</v>
      </c>
      <c r="E2832" s="136">
        <f ca="1">OFFSET(INDEX(Composições!A:J,MATCH(Orçamentária!A2832,Composições!A:A,0),8),2,0)</f>
        <v>115.10199999999999</v>
      </c>
      <c r="F2832" s="137">
        <f t="shared" ca="1" si="212"/>
        <v>0</v>
      </c>
      <c r="G2832" s="138" t="e">
        <f>IF(A2832&lt;&gt;"",IF(AND(#REF!="Padrão",$H$4=#REF!),BDI!$B$17,IF(AND(#REF!="Padrão",$H$4=#REF!),BDI!#REF!,IF(AND(#REF!="Diferenciado",$H$4=#REF!),BDI!$E$17,IF(AND(#REF!="Diferenciado",$H$4=#REF!),BDI!#REF!,IF(#REF!="ZERO",0))))),"")</f>
        <v>#REF!</v>
      </c>
      <c r="H2832" s="139" t="e">
        <f t="shared" ca="1" si="213"/>
        <v>#REF!</v>
      </c>
      <c r="I2832" s="137" t="e">
        <f t="shared" ca="1" si="214"/>
        <v>#REF!</v>
      </c>
      <c r="J2832" s="117"/>
      <c r="K2832" s="116">
        <v>0</v>
      </c>
      <c r="M2832" s="136" t="e">
        <f ca="1">OFFSET(INDEX([1]Composições!I:R,MATCH([1]Orçamentária!I2832,[1]Composições!I:I,0),8),2,0)</f>
        <v>#REF!</v>
      </c>
      <c r="N2832" t="e">
        <v>#REF!</v>
      </c>
      <c r="Q2832" t="e">
        <v>#REF!</v>
      </c>
    </row>
    <row r="2833" spans="1:17" hidden="1" x14ac:dyDescent="0.25">
      <c r="A2833" s="114" t="s">
        <v>6027</v>
      </c>
      <c r="B2833" s="115" t="s">
        <v>6028</v>
      </c>
      <c r="C2833" s="116" t="s">
        <v>16</v>
      </c>
      <c r="D2833" s="116">
        <v>0</v>
      </c>
      <c r="E2833" s="136">
        <f ca="1">OFFSET(INDEX(Composições!A:J,MATCH(Orçamentária!A2833,Composições!A:A,0),8),2,0)</f>
        <v>171</v>
      </c>
      <c r="F2833" s="137">
        <f t="shared" ca="1" si="212"/>
        <v>0</v>
      </c>
      <c r="G2833" s="138" t="e">
        <f>IF(A2833&lt;&gt;"",IF(AND(#REF!="Padrão",$H$4=#REF!),BDI!$B$17,IF(AND(#REF!="Padrão",$H$4=#REF!),BDI!#REF!,IF(AND(#REF!="Diferenciado",$H$4=#REF!),BDI!$E$17,IF(AND(#REF!="Diferenciado",$H$4=#REF!),BDI!#REF!,IF(#REF!="ZERO",0))))),"")</f>
        <v>#REF!</v>
      </c>
      <c r="H2833" s="139" t="e">
        <f t="shared" ca="1" si="213"/>
        <v>#REF!</v>
      </c>
      <c r="I2833" s="137" t="e">
        <f t="shared" ca="1" si="214"/>
        <v>#REF!</v>
      </c>
      <c r="J2833" s="117"/>
      <c r="K2833" s="116">
        <v>0</v>
      </c>
      <c r="M2833" s="136" t="e">
        <f ca="1">OFFSET(INDEX([1]Composições!I:R,MATCH([1]Orçamentária!I2833,[1]Composições!I:I,0),8),2,0)</f>
        <v>#REF!</v>
      </c>
      <c r="N2833" t="e">
        <v>#REF!</v>
      </c>
      <c r="Q2833" t="e">
        <v>#REF!</v>
      </c>
    </row>
    <row r="2834" spans="1:17" hidden="1" x14ac:dyDescent="0.25">
      <c r="A2834" s="114" t="s">
        <v>6029</v>
      </c>
      <c r="B2834" s="115" t="s">
        <v>6030</v>
      </c>
      <c r="C2834" s="116" t="s">
        <v>16</v>
      </c>
      <c r="D2834" s="116">
        <v>0</v>
      </c>
      <c r="E2834" s="136" t="s">
        <v>416</v>
      </c>
      <c r="F2834" s="137" t="str">
        <f t="shared" si="212"/>
        <v/>
      </c>
      <c r="G2834" s="138" t="e">
        <f>IF(A2834&lt;&gt;"",IF(AND(#REF!="Padrão",$H$4=#REF!),BDI!$B$17,IF(AND(#REF!="Padrão",$H$4=#REF!),BDI!#REF!,IF(AND(#REF!="Diferenciado",$H$4=#REF!),BDI!$E$17,IF(AND(#REF!="Diferenciado",$H$4=#REF!),BDI!#REF!,IF(#REF!="ZERO",0))))),"")</f>
        <v>#REF!</v>
      </c>
      <c r="H2834" s="139" t="str">
        <f t="shared" si="213"/>
        <v/>
      </c>
      <c r="I2834" s="137" t="str">
        <f t="shared" si="214"/>
        <v/>
      </c>
      <c r="J2834" s="117"/>
      <c r="K2834" s="116">
        <v>0</v>
      </c>
      <c r="M2834" s="136" t="s">
        <v>416</v>
      </c>
      <c r="N2834" t="e">
        <v>#REF!</v>
      </c>
      <c r="Q2834" t="s">
        <v>416</v>
      </c>
    </row>
    <row r="2835" spans="1:17" hidden="1" x14ac:dyDescent="0.25">
      <c r="A2835" s="114" t="s">
        <v>6031</v>
      </c>
      <c r="B2835" s="115" t="s">
        <v>6032</v>
      </c>
      <c r="C2835" s="116" t="s">
        <v>16</v>
      </c>
      <c r="D2835" s="116">
        <v>0</v>
      </c>
      <c r="E2835" s="136" t="s">
        <v>416</v>
      </c>
      <c r="F2835" s="137" t="str">
        <f t="shared" si="212"/>
        <v/>
      </c>
      <c r="G2835" s="138" t="e">
        <f>IF(A2835&lt;&gt;"",IF(AND(#REF!="Padrão",$H$4=#REF!),BDI!$B$17,IF(AND(#REF!="Padrão",$H$4=#REF!),BDI!#REF!,IF(AND(#REF!="Diferenciado",$H$4=#REF!),BDI!$E$17,IF(AND(#REF!="Diferenciado",$H$4=#REF!),BDI!#REF!,IF(#REF!="ZERO",0))))),"")</f>
        <v>#REF!</v>
      </c>
      <c r="H2835" s="139" t="str">
        <f t="shared" si="213"/>
        <v/>
      </c>
      <c r="I2835" s="137" t="str">
        <f t="shared" si="214"/>
        <v/>
      </c>
      <c r="J2835" s="117"/>
      <c r="K2835" s="116">
        <v>0</v>
      </c>
      <c r="M2835" s="136" t="s">
        <v>416</v>
      </c>
      <c r="N2835" t="e">
        <v>#REF!</v>
      </c>
      <c r="Q2835" t="s">
        <v>416</v>
      </c>
    </row>
    <row r="2836" spans="1:17" hidden="1" x14ac:dyDescent="0.25">
      <c r="A2836" s="114" t="s">
        <v>6033</v>
      </c>
      <c r="B2836" s="115" t="s">
        <v>6034</v>
      </c>
      <c r="C2836" s="116" t="s">
        <v>16</v>
      </c>
      <c r="D2836" s="116">
        <v>0</v>
      </c>
      <c r="E2836" s="136" t="s">
        <v>416</v>
      </c>
      <c r="F2836" s="137" t="str">
        <f t="shared" si="212"/>
        <v/>
      </c>
      <c r="G2836" s="138" t="e">
        <f>IF(A2836&lt;&gt;"",IF(AND(#REF!="Padrão",$H$4=#REF!),BDI!$B$17,IF(AND(#REF!="Padrão",$H$4=#REF!),BDI!#REF!,IF(AND(#REF!="Diferenciado",$H$4=#REF!),BDI!$E$17,IF(AND(#REF!="Diferenciado",$H$4=#REF!),BDI!#REF!,IF(#REF!="ZERO",0))))),"")</f>
        <v>#REF!</v>
      </c>
      <c r="H2836" s="139" t="str">
        <f t="shared" si="213"/>
        <v/>
      </c>
      <c r="I2836" s="137" t="str">
        <f t="shared" si="214"/>
        <v/>
      </c>
      <c r="J2836" s="117"/>
      <c r="K2836" s="116">
        <v>0</v>
      </c>
      <c r="M2836" s="136" t="s">
        <v>416</v>
      </c>
      <c r="N2836" t="e">
        <v>#REF!</v>
      </c>
      <c r="Q2836" t="s">
        <v>416</v>
      </c>
    </row>
    <row r="2837" spans="1:17" hidden="1" x14ac:dyDescent="0.25">
      <c r="A2837" s="114" t="s">
        <v>6035</v>
      </c>
      <c r="B2837" s="115" t="s">
        <v>6036</v>
      </c>
      <c r="C2837" s="116" t="s">
        <v>16</v>
      </c>
      <c r="D2837" s="116">
        <v>0</v>
      </c>
      <c r="E2837" s="136" t="s">
        <v>416</v>
      </c>
      <c r="F2837" s="137" t="str">
        <f t="shared" si="212"/>
        <v/>
      </c>
      <c r="G2837" s="138" t="e">
        <f>IF(A2837&lt;&gt;"",IF(AND(#REF!="Padrão",$H$4=#REF!),BDI!$B$17,IF(AND(#REF!="Padrão",$H$4=#REF!),BDI!#REF!,IF(AND(#REF!="Diferenciado",$H$4=#REF!),BDI!$E$17,IF(AND(#REF!="Diferenciado",$H$4=#REF!),BDI!#REF!,IF(#REF!="ZERO",0))))),"")</f>
        <v>#REF!</v>
      </c>
      <c r="H2837" s="139" t="str">
        <f t="shared" si="213"/>
        <v/>
      </c>
      <c r="I2837" s="137" t="str">
        <f t="shared" si="214"/>
        <v/>
      </c>
      <c r="J2837" s="117"/>
      <c r="K2837" s="116">
        <v>0</v>
      </c>
      <c r="M2837" s="136" t="s">
        <v>416</v>
      </c>
      <c r="N2837" t="e">
        <v>#REF!</v>
      </c>
      <c r="Q2837" t="s">
        <v>416</v>
      </c>
    </row>
    <row r="2838" spans="1:17" hidden="1" x14ac:dyDescent="0.25">
      <c r="A2838" s="114" t="s">
        <v>6037</v>
      </c>
      <c r="B2838" s="115" t="s">
        <v>6038</v>
      </c>
      <c r="C2838" s="116" t="s">
        <v>16</v>
      </c>
      <c r="D2838" s="116">
        <v>0</v>
      </c>
      <c r="E2838" s="136" t="s">
        <v>416</v>
      </c>
      <c r="F2838" s="137" t="str">
        <f t="shared" si="212"/>
        <v/>
      </c>
      <c r="G2838" s="138" t="e">
        <f>IF(A2838&lt;&gt;"",IF(AND(#REF!="Padrão",$H$4=#REF!),BDI!$B$17,IF(AND(#REF!="Padrão",$H$4=#REF!),BDI!#REF!,IF(AND(#REF!="Diferenciado",$H$4=#REF!),BDI!$E$17,IF(AND(#REF!="Diferenciado",$H$4=#REF!),BDI!#REF!,IF(#REF!="ZERO",0))))),"")</f>
        <v>#REF!</v>
      </c>
      <c r="H2838" s="139" t="str">
        <f t="shared" si="213"/>
        <v/>
      </c>
      <c r="I2838" s="137" t="str">
        <f t="shared" si="214"/>
        <v/>
      </c>
      <c r="J2838" s="117"/>
      <c r="K2838" s="116">
        <v>0</v>
      </c>
      <c r="M2838" s="136" t="s">
        <v>416</v>
      </c>
      <c r="N2838" t="e">
        <v>#REF!</v>
      </c>
      <c r="Q2838" t="s">
        <v>416</v>
      </c>
    </row>
    <row r="2839" spans="1:17" hidden="1" x14ac:dyDescent="0.25">
      <c r="A2839" s="114" t="s">
        <v>6039</v>
      </c>
      <c r="B2839" s="115" t="s">
        <v>6040</v>
      </c>
      <c r="C2839" s="116" t="s">
        <v>16</v>
      </c>
      <c r="D2839" s="116">
        <v>0</v>
      </c>
      <c r="E2839" s="136" t="s">
        <v>416</v>
      </c>
      <c r="F2839" s="137" t="str">
        <f t="shared" ref="F2839:F2902" si="215">IF(ISNUMBER(E2839),D2839*E2839,"")</f>
        <v/>
      </c>
      <c r="G2839" s="138" t="e">
        <f>IF(A2839&lt;&gt;"",IF(AND(#REF!="Padrão",$H$4=#REF!),BDI!$B$17,IF(AND(#REF!="Padrão",$H$4=#REF!),BDI!#REF!,IF(AND(#REF!="Diferenciado",$H$4=#REF!),BDI!$E$17,IF(AND(#REF!="Diferenciado",$H$4=#REF!),BDI!#REF!,IF(#REF!="ZERO",0))))),"")</f>
        <v>#REF!</v>
      </c>
      <c r="H2839" s="139" t="str">
        <f t="shared" ref="H2839:H2902" si="216">IF(ISNUMBER(E2839),ROUND(E2839*(1+G2839),2),"")</f>
        <v/>
      </c>
      <c r="I2839" s="137" t="str">
        <f t="shared" ref="I2839:I2902" si="217">IF(ISNUMBER(E2839),ROUND(H2839*D2839,2),"")</f>
        <v/>
      </c>
      <c r="J2839" s="117"/>
      <c r="K2839" s="116">
        <v>0</v>
      </c>
      <c r="M2839" s="136" t="s">
        <v>416</v>
      </c>
      <c r="N2839" t="e">
        <v>#REF!</v>
      </c>
      <c r="Q2839" t="s">
        <v>416</v>
      </c>
    </row>
    <row r="2840" spans="1:17" ht="25.5" hidden="1" x14ac:dyDescent="0.25">
      <c r="A2840" s="114" t="s">
        <v>6041</v>
      </c>
      <c r="B2840" s="115" t="s">
        <v>6042</v>
      </c>
      <c r="C2840" s="116" t="s">
        <v>16</v>
      </c>
      <c r="D2840" s="116">
        <v>0</v>
      </c>
      <c r="E2840" s="136" t="s">
        <v>416</v>
      </c>
      <c r="F2840" s="137" t="str">
        <f t="shared" si="215"/>
        <v/>
      </c>
      <c r="G2840" s="138" t="e">
        <f>IF(A2840&lt;&gt;"",IF(AND(#REF!="Padrão",$H$4=#REF!),BDI!$B$17,IF(AND(#REF!="Padrão",$H$4=#REF!),BDI!#REF!,IF(AND(#REF!="Diferenciado",$H$4=#REF!),BDI!$E$17,IF(AND(#REF!="Diferenciado",$H$4=#REF!),BDI!#REF!,IF(#REF!="ZERO",0))))),"")</f>
        <v>#REF!</v>
      </c>
      <c r="H2840" s="139" t="str">
        <f t="shared" si="216"/>
        <v/>
      </c>
      <c r="I2840" s="137" t="str">
        <f t="shared" si="217"/>
        <v/>
      </c>
      <c r="J2840" s="117"/>
      <c r="K2840" s="116">
        <v>0</v>
      </c>
      <c r="M2840" s="136" t="s">
        <v>416</v>
      </c>
      <c r="N2840" t="e">
        <v>#REF!</v>
      </c>
      <c r="Q2840" t="s">
        <v>416</v>
      </c>
    </row>
    <row r="2841" spans="1:17" ht="25.5" hidden="1" x14ac:dyDescent="0.25">
      <c r="A2841" s="114" t="s">
        <v>6043</v>
      </c>
      <c r="B2841" s="115" t="s">
        <v>6044</v>
      </c>
      <c r="C2841" s="116" t="s">
        <v>16</v>
      </c>
      <c r="D2841" s="116">
        <v>0</v>
      </c>
      <c r="E2841" s="136" t="s">
        <v>416</v>
      </c>
      <c r="F2841" s="137" t="str">
        <f t="shared" si="215"/>
        <v/>
      </c>
      <c r="G2841" s="138" t="e">
        <f>IF(A2841&lt;&gt;"",IF(AND(#REF!="Padrão",$H$4=#REF!),BDI!$B$17,IF(AND(#REF!="Padrão",$H$4=#REF!),BDI!#REF!,IF(AND(#REF!="Diferenciado",$H$4=#REF!),BDI!$E$17,IF(AND(#REF!="Diferenciado",$H$4=#REF!),BDI!#REF!,IF(#REF!="ZERO",0))))),"")</f>
        <v>#REF!</v>
      </c>
      <c r="H2841" s="139" t="str">
        <f t="shared" si="216"/>
        <v/>
      </c>
      <c r="I2841" s="137" t="str">
        <f t="shared" si="217"/>
        <v/>
      </c>
      <c r="J2841" s="117"/>
      <c r="K2841" s="116">
        <v>0</v>
      </c>
      <c r="M2841" s="136" t="s">
        <v>416</v>
      </c>
      <c r="N2841" t="e">
        <v>#REF!</v>
      </c>
      <c r="Q2841" t="s">
        <v>416</v>
      </c>
    </row>
    <row r="2842" spans="1:17" hidden="1" x14ac:dyDescent="0.25">
      <c r="A2842" s="114" t="s">
        <v>6045</v>
      </c>
      <c r="B2842" s="115" t="s">
        <v>3049</v>
      </c>
      <c r="C2842" s="116" t="s">
        <v>16</v>
      </c>
      <c r="D2842" s="116">
        <v>0</v>
      </c>
      <c r="E2842" s="136" t="s">
        <v>416</v>
      </c>
      <c r="F2842" s="137" t="str">
        <f t="shared" si="215"/>
        <v/>
      </c>
      <c r="G2842" s="138" t="e">
        <f>IF(A2842&lt;&gt;"",IF(AND(#REF!="Padrão",$H$4=#REF!),BDI!$B$17,IF(AND(#REF!="Padrão",$H$4=#REF!),BDI!#REF!,IF(AND(#REF!="Diferenciado",$H$4=#REF!),BDI!$E$17,IF(AND(#REF!="Diferenciado",$H$4=#REF!),BDI!#REF!,IF(#REF!="ZERO",0))))),"")</f>
        <v>#REF!</v>
      </c>
      <c r="H2842" s="139" t="str">
        <f t="shared" si="216"/>
        <v/>
      </c>
      <c r="I2842" s="137" t="str">
        <f t="shared" si="217"/>
        <v/>
      </c>
      <c r="J2842" s="117"/>
      <c r="K2842" s="116">
        <v>0</v>
      </c>
      <c r="M2842" s="136" t="s">
        <v>416</v>
      </c>
      <c r="N2842" t="e">
        <v>#REF!</v>
      </c>
      <c r="Q2842" t="s">
        <v>416</v>
      </c>
    </row>
    <row r="2843" spans="1:17" hidden="1" x14ac:dyDescent="0.25">
      <c r="A2843" s="114" t="s">
        <v>6046</v>
      </c>
      <c r="B2843" s="115" t="s">
        <v>5430</v>
      </c>
      <c r="C2843" s="116" t="s">
        <v>16</v>
      </c>
      <c r="D2843" s="116">
        <v>0</v>
      </c>
      <c r="E2843" s="136" t="s">
        <v>416</v>
      </c>
      <c r="F2843" s="137" t="str">
        <f t="shared" si="215"/>
        <v/>
      </c>
      <c r="G2843" s="138" t="e">
        <f>IF(A2843&lt;&gt;"",IF(AND(#REF!="Padrão",$H$4=#REF!),BDI!$B$17,IF(AND(#REF!="Padrão",$H$4=#REF!),BDI!#REF!,IF(AND(#REF!="Diferenciado",$H$4=#REF!),BDI!$E$17,IF(AND(#REF!="Diferenciado",$H$4=#REF!),BDI!#REF!,IF(#REF!="ZERO",0))))),"")</f>
        <v>#REF!</v>
      </c>
      <c r="H2843" s="139" t="str">
        <f t="shared" si="216"/>
        <v/>
      </c>
      <c r="I2843" s="137" t="str">
        <f t="shared" si="217"/>
        <v/>
      </c>
      <c r="J2843" s="117"/>
      <c r="K2843" s="116">
        <v>0</v>
      </c>
      <c r="M2843" s="136" t="s">
        <v>416</v>
      </c>
      <c r="N2843" t="e">
        <v>#REF!</v>
      </c>
      <c r="Q2843" t="s">
        <v>416</v>
      </c>
    </row>
    <row r="2844" spans="1:17" hidden="1" x14ac:dyDescent="0.25">
      <c r="A2844" s="114" t="s">
        <v>6047</v>
      </c>
      <c r="B2844" s="115" t="s">
        <v>6048</v>
      </c>
      <c r="C2844" s="116" t="s">
        <v>16</v>
      </c>
      <c r="D2844" s="116">
        <v>0</v>
      </c>
      <c r="E2844" s="136" t="s">
        <v>416</v>
      </c>
      <c r="F2844" s="137" t="str">
        <f t="shared" si="215"/>
        <v/>
      </c>
      <c r="G2844" s="138" t="e">
        <f>IF(A2844&lt;&gt;"",IF(AND(#REF!="Padrão",$H$4=#REF!),BDI!$B$17,IF(AND(#REF!="Padrão",$H$4=#REF!),BDI!#REF!,IF(AND(#REF!="Diferenciado",$H$4=#REF!),BDI!$E$17,IF(AND(#REF!="Diferenciado",$H$4=#REF!),BDI!#REF!,IF(#REF!="ZERO",0))))),"")</f>
        <v>#REF!</v>
      </c>
      <c r="H2844" s="139" t="str">
        <f t="shared" si="216"/>
        <v/>
      </c>
      <c r="I2844" s="137" t="str">
        <f t="shared" si="217"/>
        <v/>
      </c>
      <c r="J2844" s="117"/>
      <c r="K2844" s="116">
        <v>0</v>
      </c>
      <c r="M2844" s="136" t="s">
        <v>416</v>
      </c>
      <c r="N2844" t="e">
        <v>#REF!</v>
      </c>
      <c r="Q2844" t="s">
        <v>416</v>
      </c>
    </row>
    <row r="2845" spans="1:17" hidden="1" x14ac:dyDescent="0.25">
      <c r="A2845" s="114" t="s">
        <v>6049</v>
      </c>
      <c r="B2845" s="115" t="s">
        <v>6050</v>
      </c>
      <c r="C2845" s="116" t="s">
        <v>16</v>
      </c>
      <c r="D2845" s="116">
        <v>0</v>
      </c>
      <c r="E2845" s="136" t="s">
        <v>416</v>
      </c>
      <c r="F2845" s="137" t="str">
        <f t="shared" si="215"/>
        <v/>
      </c>
      <c r="G2845" s="138" t="e">
        <f>IF(A2845&lt;&gt;"",IF(AND(#REF!="Padrão",$H$4=#REF!),BDI!$B$17,IF(AND(#REF!="Padrão",$H$4=#REF!),BDI!#REF!,IF(AND(#REF!="Diferenciado",$H$4=#REF!),BDI!$E$17,IF(AND(#REF!="Diferenciado",$H$4=#REF!),BDI!#REF!,IF(#REF!="ZERO",0))))),"")</f>
        <v>#REF!</v>
      </c>
      <c r="H2845" s="139" t="str">
        <f t="shared" si="216"/>
        <v/>
      </c>
      <c r="I2845" s="137" t="str">
        <f t="shared" si="217"/>
        <v/>
      </c>
      <c r="J2845" s="117"/>
      <c r="K2845" s="116">
        <v>0</v>
      </c>
      <c r="M2845" s="136" t="s">
        <v>416</v>
      </c>
      <c r="N2845" t="e">
        <v>#REF!</v>
      </c>
      <c r="Q2845" t="s">
        <v>416</v>
      </c>
    </row>
    <row r="2846" spans="1:17" hidden="1" x14ac:dyDescent="0.25">
      <c r="A2846" s="114" t="s">
        <v>6051</v>
      </c>
      <c r="B2846" s="115" t="s">
        <v>6052</v>
      </c>
      <c r="C2846" s="116" t="s">
        <v>16</v>
      </c>
      <c r="D2846" s="116">
        <v>0</v>
      </c>
      <c r="E2846" s="136" t="s">
        <v>416</v>
      </c>
      <c r="F2846" s="137" t="str">
        <f t="shared" si="215"/>
        <v/>
      </c>
      <c r="G2846" s="138" t="e">
        <f>IF(A2846&lt;&gt;"",IF(AND(#REF!="Padrão",$H$4=#REF!),BDI!$B$17,IF(AND(#REF!="Padrão",$H$4=#REF!),BDI!#REF!,IF(AND(#REF!="Diferenciado",$H$4=#REF!),BDI!$E$17,IF(AND(#REF!="Diferenciado",$H$4=#REF!),BDI!#REF!,IF(#REF!="ZERO",0))))),"")</f>
        <v>#REF!</v>
      </c>
      <c r="H2846" s="139" t="str">
        <f t="shared" si="216"/>
        <v/>
      </c>
      <c r="I2846" s="137" t="str">
        <f t="shared" si="217"/>
        <v/>
      </c>
      <c r="J2846" s="117"/>
      <c r="K2846" s="116">
        <v>0</v>
      </c>
      <c r="M2846" s="136" t="s">
        <v>416</v>
      </c>
      <c r="N2846" t="e">
        <v>#REF!</v>
      </c>
      <c r="Q2846" t="s">
        <v>416</v>
      </c>
    </row>
    <row r="2847" spans="1:17" hidden="1" x14ac:dyDescent="0.25">
      <c r="A2847" s="114" t="s">
        <v>6053</v>
      </c>
      <c r="B2847" s="115" t="s">
        <v>6054</v>
      </c>
      <c r="C2847" s="116" t="s">
        <v>16</v>
      </c>
      <c r="D2847" s="116">
        <v>0</v>
      </c>
      <c r="E2847" s="136" t="s">
        <v>416</v>
      </c>
      <c r="F2847" s="137" t="str">
        <f t="shared" si="215"/>
        <v/>
      </c>
      <c r="G2847" s="138" t="e">
        <f>IF(A2847&lt;&gt;"",IF(AND(#REF!="Padrão",$H$4=#REF!),BDI!$B$17,IF(AND(#REF!="Padrão",$H$4=#REF!),BDI!#REF!,IF(AND(#REF!="Diferenciado",$H$4=#REF!),BDI!$E$17,IF(AND(#REF!="Diferenciado",$H$4=#REF!),BDI!#REF!,IF(#REF!="ZERO",0))))),"")</f>
        <v>#REF!</v>
      </c>
      <c r="H2847" s="139" t="str">
        <f t="shared" si="216"/>
        <v/>
      </c>
      <c r="I2847" s="137" t="str">
        <f t="shared" si="217"/>
        <v/>
      </c>
      <c r="J2847" s="117"/>
      <c r="K2847" s="116">
        <v>0</v>
      </c>
      <c r="M2847" s="136" t="s">
        <v>416</v>
      </c>
      <c r="N2847" t="e">
        <v>#REF!</v>
      </c>
      <c r="Q2847" t="s">
        <v>416</v>
      </c>
    </row>
    <row r="2848" spans="1:17" hidden="1" x14ac:dyDescent="0.25">
      <c r="A2848" s="114" t="s">
        <v>6055</v>
      </c>
      <c r="B2848" s="115" t="s">
        <v>6056</v>
      </c>
      <c r="C2848" s="116" t="s">
        <v>16</v>
      </c>
      <c r="D2848" s="116">
        <v>0</v>
      </c>
      <c r="E2848" s="136" t="s">
        <v>416</v>
      </c>
      <c r="F2848" s="137" t="str">
        <f t="shared" si="215"/>
        <v/>
      </c>
      <c r="G2848" s="138" t="e">
        <f>IF(A2848&lt;&gt;"",IF(AND(#REF!="Padrão",$H$4=#REF!),BDI!$B$17,IF(AND(#REF!="Padrão",$H$4=#REF!),BDI!#REF!,IF(AND(#REF!="Diferenciado",$H$4=#REF!),BDI!$E$17,IF(AND(#REF!="Diferenciado",$H$4=#REF!),BDI!#REF!,IF(#REF!="ZERO",0))))),"")</f>
        <v>#REF!</v>
      </c>
      <c r="H2848" s="139" t="str">
        <f t="shared" si="216"/>
        <v/>
      </c>
      <c r="I2848" s="137" t="str">
        <f t="shared" si="217"/>
        <v/>
      </c>
      <c r="J2848" s="117"/>
      <c r="K2848" s="116">
        <v>0</v>
      </c>
      <c r="M2848" s="136" t="s">
        <v>416</v>
      </c>
      <c r="N2848" t="e">
        <v>#REF!</v>
      </c>
      <c r="Q2848" t="s">
        <v>416</v>
      </c>
    </row>
    <row r="2849" spans="1:17" hidden="1" x14ac:dyDescent="0.25">
      <c r="A2849" s="114" t="s">
        <v>6057</v>
      </c>
      <c r="B2849" s="115" t="s">
        <v>6058</v>
      </c>
      <c r="C2849" s="116" t="s">
        <v>16</v>
      </c>
      <c r="D2849" s="116">
        <v>0</v>
      </c>
      <c r="E2849" s="136" t="s">
        <v>416</v>
      </c>
      <c r="F2849" s="137" t="str">
        <f t="shared" si="215"/>
        <v/>
      </c>
      <c r="G2849" s="138" t="e">
        <f>IF(A2849&lt;&gt;"",IF(AND(#REF!="Padrão",$H$4=#REF!),BDI!$B$17,IF(AND(#REF!="Padrão",$H$4=#REF!),BDI!#REF!,IF(AND(#REF!="Diferenciado",$H$4=#REF!),BDI!$E$17,IF(AND(#REF!="Diferenciado",$H$4=#REF!),BDI!#REF!,IF(#REF!="ZERO",0))))),"")</f>
        <v>#REF!</v>
      </c>
      <c r="H2849" s="139" t="str">
        <f t="shared" si="216"/>
        <v/>
      </c>
      <c r="I2849" s="137" t="str">
        <f t="shared" si="217"/>
        <v/>
      </c>
      <c r="J2849" s="117"/>
      <c r="K2849" s="116">
        <v>0</v>
      </c>
      <c r="M2849" s="136" t="s">
        <v>416</v>
      </c>
      <c r="N2849" t="e">
        <v>#REF!</v>
      </c>
      <c r="Q2849" t="s">
        <v>416</v>
      </c>
    </row>
    <row r="2850" spans="1:17" hidden="1" x14ac:dyDescent="0.25">
      <c r="A2850" s="114" t="s">
        <v>6059</v>
      </c>
      <c r="B2850" s="115" t="s">
        <v>6060</v>
      </c>
      <c r="C2850" s="116" t="s">
        <v>16</v>
      </c>
      <c r="D2850" s="116">
        <v>0</v>
      </c>
      <c r="E2850" s="136" t="s">
        <v>416</v>
      </c>
      <c r="F2850" s="137" t="str">
        <f t="shared" si="215"/>
        <v/>
      </c>
      <c r="G2850" s="138" t="e">
        <f>IF(A2850&lt;&gt;"",IF(AND(#REF!="Padrão",$H$4=#REF!),BDI!$B$17,IF(AND(#REF!="Padrão",$H$4=#REF!),BDI!#REF!,IF(AND(#REF!="Diferenciado",$H$4=#REF!),BDI!$E$17,IF(AND(#REF!="Diferenciado",$H$4=#REF!),BDI!#REF!,IF(#REF!="ZERO",0))))),"")</f>
        <v>#REF!</v>
      </c>
      <c r="H2850" s="139" t="str">
        <f t="shared" si="216"/>
        <v/>
      </c>
      <c r="I2850" s="137" t="str">
        <f t="shared" si="217"/>
        <v/>
      </c>
      <c r="J2850" s="117"/>
      <c r="K2850" s="116">
        <v>0</v>
      </c>
      <c r="M2850" s="136" t="s">
        <v>416</v>
      </c>
      <c r="N2850" t="e">
        <v>#REF!</v>
      </c>
      <c r="Q2850" t="s">
        <v>416</v>
      </c>
    </row>
    <row r="2851" spans="1:17" hidden="1" x14ac:dyDescent="0.25">
      <c r="A2851" s="114" t="s">
        <v>6061</v>
      </c>
      <c r="B2851" s="115" t="s">
        <v>5425</v>
      </c>
      <c r="C2851" s="116" t="s">
        <v>16</v>
      </c>
      <c r="D2851" s="116">
        <v>0</v>
      </c>
      <c r="E2851" s="136" t="s">
        <v>416</v>
      </c>
      <c r="F2851" s="137" t="str">
        <f t="shared" si="215"/>
        <v/>
      </c>
      <c r="G2851" s="138" t="e">
        <f>IF(A2851&lt;&gt;"",IF(AND(#REF!="Padrão",$H$4=#REF!),BDI!$B$17,IF(AND(#REF!="Padrão",$H$4=#REF!),BDI!#REF!,IF(AND(#REF!="Diferenciado",$H$4=#REF!),BDI!$E$17,IF(AND(#REF!="Diferenciado",$H$4=#REF!),BDI!#REF!,IF(#REF!="ZERO",0))))),"")</f>
        <v>#REF!</v>
      </c>
      <c r="H2851" s="139" t="str">
        <f t="shared" si="216"/>
        <v/>
      </c>
      <c r="I2851" s="137" t="str">
        <f t="shared" si="217"/>
        <v/>
      </c>
      <c r="J2851" s="117"/>
      <c r="K2851" s="116">
        <v>0</v>
      </c>
      <c r="M2851" s="136" t="s">
        <v>416</v>
      </c>
      <c r="N2851" t="e">
        <v>#REF!</v>
      </c>
      <c r="Q2851" t="s">
        <v>416</v>
      </c>
    </row>
    <row r="2852" spans="1:17" hidden="1" x14ac:dyDescent="0.25">
      <c r="A2852" s="114" t="s">
        <v>6062</v>
      </c>
      <c r="B2852" s="115" t="s">
        <v>6063</v>
      </c>
      <c r="C2852" s="116" t="s">
        <v>16</v>
      </c>
      <c r="D2852" s="116">
        <v>0</v>
      </c>
      <c r="E2852" s="136" t="s">
        <v>416</v>
      </c>
      <c r="F2852" s="137" t="str">
        <f t="shared" si="215"/>
        <v/>
      </c>
      <c r="G2852" s="138" t="e">
        <f>IF(A2852&lt;&gt;"",IF(AND(#REF!="Padrão",$H$4=#REF!),BDI!$B$17,IF(AND(#REF!="Padrão",$H$4=#REF!),BDI!#REF!,IF(AND(#REF!="Diferenciado",$H$4=#REF!),BDI!$E$17,IF(AND(#REF!="Diferenciado",$H$4=#REF!),BDI!#REF!,IF(#REF!="ZERO",0))))),"")</f>
        <v>#REF!</v>
      </c>
      <c r="H2852" s="139" t="str">
        <f t="shared" si="216"/>
        <v/>
      </c>
      <c r="I2852" s="137" t="str">
        <f t="shared" si="217"/>
        <v/>
      </c>
      <c r="J2852" s="117"/>
      <c r="K2852" s="116">
        <v>0</v>
      </c>
      <c r="M2852" s="136" t="s">
        <v>416</v>
      </c>
      <c r="N2852" t="e">
        <v>#REF!</v>
      </c>
      <c r="Q2852" t="s">
        <v>416</v>
      </c>
    </row>
    <row r="2853" spans="1:17" hidden="1" x14ac:dyDescent="0.25">
      <c r="A2853" s="114" t="s">
        <v>6064</v>
      </c>
      <c r="B2853" s="115" t="s">
        <v>6065</v>
      </c>
      <c r="C2853" s="116" t="s">
        <v>16</v>
      </c>
      <c r="D2853" s="116">
        <v>0</v>
      </c>
      <c r="E2853" s="136">
        <f ca="1">OFFSET(INDEX(Composições!A:J,MATCH(Orçamentária!A2853,Composições!A:A,0),8),2,0)</f>
        <v>21.555499999999999</v>
      </c>
      <c r="F2853" s="137">
        <f t="shared" ca="1" si="215"/>
        <v>0</v>
      </c>
      <c r="G2853" s="138" t="e">
        <f>IF(A2853&lt;&gt;"",IF(AND(#REF!="Padrão",$H$4=#REF!),BDI!$B$17,IF(AND(#REF!="Padrão",$H$4=#REF!),BDI!#REF!,IF(AND(#REF!="Diferenciado",$H$4=#REF!),BDI!$E$17,IF(AND(#REF!="Diferenciado",$H$4=#REF!),BDI!#REF!,IF(#REF!="ZERO",0))))),"")</f>
        <v>#REF!</v>
      </c>
      <c r="H2853" s="139" t="e">
        <f t="shared" ca="1" si="216"/>
        <v>#REF!</v>
      </c>
      <c r="I2853" s="137" t="e">
        <f t="shared" ca="1" si="217"/>
        <v>#REF!</v>
      </c>
      <c r="J2853" s="117"/>
      <c r="K2853" s="116">
        <v>0</v>
      </c>
      <c r="M2853" s="136" t="e">
        <f ca="1">OFFSET(INDEX([1]Composições!I:R,MATCH([1]Orçamentária!I2853,[1]Composições!I:I,0),8),2,0)</f>
        <v>#REF!</v>
      </c>
      <c r="N2853" t="e">
        <v>#REF!</v>
      </c>
      <c r="Q2853" t="e">
        <v>#REF!</v>
      </c>
    </row>
    <row r="2854" spans="1:17" hidden="1" x14ac:dyDescent="0.25">
      <c r="A2854" s="114" t="s">
        <v>6066</v>
      </c>
      <c r="B2854" s="115" t="s">
        <v>6067</v>
      </c>
      <c r="C2854" s="116" t="s">
        <v>16</v>
      </c>
      <c r="D2854" s="116">
        <v>0</v>
      </c>
      <c r="E2854" s="136">
        <f ca="1">OFFSET(INDEX(Composições!A:J,MATCH(Orçamentária!A2854,Composições!A:A,0),8),2,0)</f>
        <v>8.968</v>
      </c>
      <c r="F2854" s="137">
        <f t="shared" ca="1" si="215"/>
        <v>0</v>
      </c>
      <c r="G2854" s="138" t="e">
        <f>IF(A2854&lt;&gt;"",IF(AND(#REF!="Padrão",$H$4=#REF!),BDI!$B$17,IF(AND(#REF!="Padrão",$H$4=#REF!),BDI!#REF!,IF(AND(#REF!="Diferenciado",$H$4=#REF!),BDI!$E$17,IF(AND(#REF!="Diferenciado",$H$4=#REF!),BDI!#REF!,IF(#REF!="ZERO",0))))),"")</f>
        <v>#REF!</v>
      </c>
      <c r="H2854" s="139" t="e">
        <f t="shared" ca="1" si="216"/>
        <v>#REF!</v>
      </c>
      <c r="I2854" s="137" t="e">
        <f t="shared" ca="1" si="217"/>
        <v>#REF!</v>
      </c>
      <c r="J2854" s="117"/>
      <c r="K2854" s="116">
        <v>0</v>
      </c>
      <c r="M2854" s="136" t="e">
        <f ca="1">OFFSET(INDEX([1]Composições!I:R,MATCH([1]Orçamentária!I2854,[1]Composições!I:I,0),8),2,0)</f>
        <v>#REF!</v>
      </c>
      <c r="N2854" t="e">
        <v>#REF!</v>
      </c>
      <c r="Q2854" t="e">
        <v>#REF!</v>
      </c>
    </row>
    <row r="2855" spans="1:17" hidden="1" x14ac:dyDescent="0.25">
      <c r="A2855" s="114" t="s">
        <v>6068</v>
      </c>
      <c r="B2855" s="115" t="s">
        <v>6069</v>
      </c>
      <c r="C2855" s="116" t="s">
        <v>16</v>
      </c>
      <c r="D2855" s="116">
        <v>0</v>
      </c>
      <c r="E2855" s="136">
        <f ca="1">OFFSET(INDEX(Composições!A:J,MATCH(Orçamentária!A2855,Composições!A:A,0),8),2,0)</f>
        <v>17.242499999999996</v>
      </c>
      <c r="F2855" s="137">
        <f t="shared" ca="1" si="215"/>
        <v>0</v>
      </c>
      <c r="G2855" s="138" t="e">
        <f>IF(A2855&lt;&gt;"",IF(AND(#REF!="Padrão",$H$4=#REF!),BDI!$B$17,IF(AND(#REF!="Padrão",$H$4=#REF!),BDI!#REF!,IF(AND(#REF!="Diferenciado",$H$4=#REF!),BDI!$E$17,IF(AND(#REF!="Diferenciado",$H$4=#REF!),BDI!#REF!,IF(#REF!="ZERO",0))))),"")</f>
        <v>#REF!</v>
      </c>
      <c r="H2855" s="139" t="e">
        <f t="shared" ca="1" si="216"/>
        <v>#REF!</v>
      </c>
      <c r="I2855" s="137" t="e">
        <f t="shared" ca="1" si="217"/>
        <v>#REF!</v>
      </c>
      <c r="J2855" s="117"/>
      <c r="K2855" s="116">
        <v>0</v>
      </c>
      <c r="M2855" s="136" t="e">
        <f ca="1">OFFSET(INDEX([1]Composições!I:R,MATCH([1]Orçamentária!I2855,[1]Composições!I:I,0),8),2,0)</f>
        <v>#REF!</v>
      </c>
      <c r="N2855" t="e">
        <v>#REF!</v>
      </c>
      <c r="Q2855" t="e">
        <v>#REF!</v>
      </c>
    </row>
    <row r="2856" spans="1:17" hidden="1" x14ac:dyDescent="0.25">
      <c r="A2856" s="114" t="s">
        <v>6070</v>
      </c>
      <c r="B2856" s="115" t="s">
        <v>6071</v>
      </c>
      <c r="C2856" s="116" t="s">
        <v>16</v>
      </c>
      <c r="D2856" s="116">
        <v>0</v>
      </c>
      <c r="E2856" s="136" t="s">
        <v>416</v>
      </c>
      <c r="F2856" s="137" t="str">
        <f t="shared" si="215"/>
        <v/>
      </c>
      <c r="G2856" s="138" t="e">
        <f>IF(A2856&lt;&gt;"",IF(AND(#REF!="Padrão",$H$4=#REF!),BDI!$B$17,IF(AND(#REF!="Padrão",$H$4=#REF!),BDI!#REF!,IF(AND(#REF!="Diferenciado",$H$4=#REF!),BDI!$E$17,IF(AND(#REF!="Diferenciado",$H$4=#REF!),BDI!#REF!,IF(#REF!="ZERO",0))))),"")</f>
        <v>#REF!</v>
      </c>
      <c r="H2856" s="139" t="str">
        <f t="shared" si="216"/>
        <v/>
      </c>
      <c r="I2856" s="137" t="str">
        <f t="shared" si="217"/>
        <v/>
      </c>
      <c r="J2856" s="117"/>
      <c r="K2856" s="116">
        <v>0</v>
      </c>
      <c r="M2856" s="136" t="s">
        <v>416</v>
      </c>
      <c r="N2856" t="e">
        <v>#REF!</v>
      </c>
      <c r="Q2856" t="s">
        <v>416</v>
      </c>
    </row>
    <row r="2857" spans="1:17" hidden="1" x14ac:dyDescent="0.25">
      <c r="A2857" s="114" t="s">
        <v>6072</v>
      </c>
      <c r="B2857" s="115" t="s">
        <v>6073</v>
      </c>
      <c r="C2857" s="116" t="s">
        <v>16</v>
      </c>
      <c r="D2857" s="116">
        <v>0</v>
      </c>
      <c r="E2857" s="136">
        <f ca="1">OFFSET(INDEX(Composições!A:J,MATCH(Orçamentária!A2857,Composições!A:A,0),8),2,0)</f>
        <v>439.60300000000001</v>
      </c>
      <c r="F2857" s="137">
        <f t="shared" ca="1" si="215"/>
        <v>0</v>
      </c>
      <c r="G2857" s="138" t="e">
        <f>IF(A2857&lt;&gt;"",IF(AND(#REF!="Padrão",$H$4=#REF!),BDI!$B$17,IF(AND(#REF!="Padrão",$H$4=#REF!),BDI!#REF!,IF(AND(#REF!="Diferenciado",$H$4=#REF!),BDI!$E$17,IF(AND(#REF!="Diferenciado",$H$4=#REF!),BDI!#REF!,IF(#REF!="ZERO",0))))),"")</f>
        <v>#REF!</v>
      </c>
      <c r="H2857" s="139" t="e">
        <f t="shared" ca="1" si="216"/>
        <v>#REF!</v>
      </c>
      <c r="I2857" s="137" t="e">
        <f t="shared" ca="1" si="217"/>
        <v>#REF!</v>
      </c>
      <c r="J2857" s="117"/>
      <c r="K2857" s="116">
        <v>0</v>
      </c>
      <c r="M2857" s="136" t="e">
        <f ca="1">OFFSET(INDEX([1]Composições!I:R,MATCH([1]Orçamentária!I2857,[1]Composições!I:I,0),8),2,0)</f>
        <v>#REF!</v>
      </c>
      <c r="N2857" t="e">
        <v>#REF!</v>
      </c>
      <c r="Q2857" t="e">
        <v>#REF!</v>
      </c>
    </row>
    <row r="2858" spans="1:17" hidden="1" x14ac:dyDescent="0.25">
      <c r="A2858" s="114" t="s">
        <v>6074</v>
      </c>
      <c r="B2858" s="115" t="s">
        <v>6075</v>
      </c>
      <c r="C2858" s="116" t="s">
        <v>16</v>
      </c>
      <c r="D2858" s="116">
        <v>0</v>
      </c>
      <c r="E2858" s="136">
        <f ca="1">OFFSET(INDEX(Composições!A:J,MATCH(Orçamentária!A2858,Composições!A:A,0),8),2,0)</f>
        <v>360.66749999999996</v>
      </c>
      <c r="F2858" s="137">
        <f t="shared" ca="1" si="215"/>
        <v>0</v>
      </c>
      <c r="G2858" s="138" t="e">
        <f>IF(A2858&lt;&gt;"",IF(AND(#REF!="Padrão",$H$4=#REF!),BDI!$B$17,IF(AND(#REF!="Padrão",$H$4=#REF!),BDI!#REF!,IF(AND(#REF!="Diferenciado",$H$4=#REF!),BDI!$E$17,IF(AND(#REF!="Diferenciado",$H$4=#REF!),BDI!#REF!,IF(#REF!="ZERO",0))))),"")</f>
        <v>#REF!</v>
      </c>
      <c r="H2858" s="139" t="e">
        <f t="shared" ca="1" si="216"/>
        <v>#REF!</v>
      </c>
      <c r="I2858" s="137" t="e">
        <f t="shared" ca="1" si="217"/>
        <v>#REF!</v>
      </c>
      <c r="J2858" s="117"/>
      <c r="K2858" s="116">
        <v>0</v>
      </c>
      <c r="M2858" s="136" t="e">
        <f ca="1">OFFSET(INDEX([1]Composições!I:R,MATCH([1]Orçamentária!I2858,[1]Composições!I:I,0),8),2,0)</f>
        <v>#REF!</v>
      </c>
      <c r="N2858" t="e">
        <v>#REF!</v>
      </c>
      <c r="Q2858" t="e">
        <v>#REF!</v>
      </c>
    </row>
    <row r="2859" spans="1:17" hidden="1" x14ac:dyDescent="0.25">
      <c r="A2859" s="114" t="s">
        <v>6076</v>
      </c>
      <c r="B2859" s="115" t="s">
        <v>6077</v>
      </c>
      <c r="C2859" s="116" t="s">
        <v>16</v>
      </c>
      <c r="D2859" s="116">
        <v>0</v>
      </c>
      <c r="E2859" s="136">
        <f ca="1">OFFSET(INDEX(Composições!A:J,MATCH(Orçamentária!A2859,Composições!A:A,0),8),2,0)</f>
        <v>211.77399999999997</v>
      </c>
      <c r="F2859" s="137">
        <f t="shared" ca="1" si="215"/>
        <v>0</v>
      </c>
      <c r="G2859" s="138" t="e">
        <f>IF(A2859&lt;&gt;"",IF(AND(#REF!="Padrão",$H$4=#REF!),BDI!$B$17,IF(AND(#REF!="Padrão",$H$4=#REF!),BDI!#REF!,IF(AND(#REF!="Diferenciado",$H$4=#REF!),BDI!$E$17,IF(AND(#REF!="Diferenciado",$H$4=#REF!),BDI!#REF!,IF(#REF!="ZERO",0))))),"")</f>
        <v>#REF!</v>
      </c>
      <c r="H2859" s="139" t="e">
        <f t="shared" ca="1" si="216"/>
        <v>#REF!</v>
      </c>
      <c r="I2859" s="137" t="e">
        <f t="shared" ca="1" si="217"/>
        <v>#REF!</v>
      </c>
      <c r="J2859" s="117"/>
      <c r="K2859" s="116">
        <v>0</v>
      </c>
      <c r="M2859" s="136" t="e">
        <f ca="1">OFFSET(INDEX([1]Composições!I:R,MATCH([1]Orçamentária!I2859,[1]Composições!I:I,0),8),2,0)</f>
        <v>#REF!</v>
      </c>
      <c r="N2859" t="e">
        <v>#REF!</v>
      </c>
      <c r="Q2859" t="e">
        <v>#REF!</v>
      </c>
    </row>
    <row r="2860" spans="1:17" hidden="1" x14ac:dyDescent="0.25">
      <c r="A2860" s="114" t="s">
        <v>6078</v>
      </c>
      <c r="B2860" s="115" t="s">
        <v>6079</v>
      </c>
      <c r="C2860" s="116" t="s">
        <v>16</v>
      </c>
      <c r="D2860" s="116">
        <v>0</v>
      </c>
      <c r="E2860" s="136">
        <f ca="1">OFFSET(INDEX(Composições!A:J,MATCH(Orçamentária!A2860,Composições!A:A,0),8),2,0)</f>
        <v>564.03399999999999</v>
      </c>
      <c r="F2860" s="137">
        <f t="shared" ca="1" si="215"/>
        <v>0</v>
      </c>
      <c r="G2860" s="138" t="e">
        <f>IF(A2860&lt;&gt;"",IF(AND(#REF!="Padrão",$H$4=#REF!),BDI!$B$17,IF(AND(#REF!="Padrão",$H$4=#REF!),BDI!#REF!,IF(AND(#REF!="Diferenciado",$H$4=#REF!),BDI!$E$17,IF(AND(#REF!="Diferenciado",$H$4=#REF!),BDI!#REF!,IF(#REF!="ZERO",0))))),"")</f>
        <v>#REF!</v>
      </c>
      <c r="H2860" s="139" t="e">
        <f t="shared" ca="1" si="216"/>
        <v>#REF!</v>
      </c>
      <c r="I2860" s="137" t="e">
        <f t="shared" ca="1" si="217"/>
        <v>#REF!</v>
      </c>
      <c r="J2860" s="117"/>
      <c r="K2860" s="116">
        <v>0</v>
      </c>
      <c r="M2860" s="136" t="e">
        <f ca="1">OFFSET(INDEX([1]Composições!I:R,MATCH([1]Orçamentária!I2860,[1]Composições!I:I,0),8),2,0)</f>
        <v>#REF!</v>
      </c>
      <c r="N2860" t="e">
        <v>#REF!</v>
      </c>
      <c r="Q2860" t="e">
        <v>#REF!</v>
      </c>
    </row>
    <row r="2861" spans="1:17" hidden="1" x14ac:dyDescent="0.25">
      <c r="A2861" s="114" t="s">
        <v>6080</v>
      </c>
      <c r="B2861" s="115" t="s">
        <v>6081</v>
      </c>
      <c r="C2861" s="116" t="s">
        <v>16</v>
      </c>
      <c r="D2861" s="116">
        <v>0</v>
      </c>
      <c r="E2861" s="136">
        <f ca="1">OFFSET(INDEX(Composições!A:J,MATCH(Orçamentária!A2861,Composições!A:A,0),8),2,0)</f>
        <v>94.135499999999993</v>
      </c>
      <c r="F2861" s="137">
        <f t="shared" ca="1" si="215"/>
        <v>0</v>
      </c>
      <c r="G2861" s="138" t="e">
        <f>IF(A2861&lt;&gt;"",IF(AND(#REF!="Padrão",$H$4=#REF!),BDI!$B$17,IF(AND(#REF!="Padrão",$H$4=#REF!),BDI!#REF!,IF(AND(#REF!="Diferenciado",$H$4=#REF!),BDI!$E$17,IF(AND(#REF!="Diferenciado",$H$4=#REF!),BDI!#REF!,IF(#REF!="ZERO",0))))),"")</f>
        <v>#REF!</v>
      </c>
      <c r="H2861" s="139" t="e">
        <f t="shared" ca="1" si="216"/>
        <v>#REF!</v>
      </c>
      <c r="I2861" s="137" t="e">
        <f t="shared" ca="1" si="217"/>
        <v>#REF!</v>
      </c>
      <c r="J2861" s="117"/>
      <c r="K2861" s="116">
        <v>0</v>
      </c>
      <c r="M2861" s="136" t="e">
        <f ca="1">OFFSET(INDEX([1]Composições!I:R,MATCH([1]Orçamentária!I2861,[1]Composições!I:I,0),8),2,0)</f>
        <v>#REF!</v>
      </c>
      <c r="N2861" t="e">
        <v>#REF!</v>
      </c>
      <c r="Q2861" t="e">
        <v>#REF!</v>
      </c>
    </row>
    <row r="2862" spans="1:17" hidden="1" x14ac:dyDescent="0.25">
      <c r="A2862" s="114" t="s">
        <v>6082</v>
      </c>
      <c r="B2862" s="115" t="s">
        <v>5436</v>
      </c>
      <c r="C2862" s="116" t="s">
        <v>16</v>
      </c>
      <c r="D2862" s="116">
        <v>0</v>
      </c>
      <c r="E2862" s="136" t="s">
        <v>416</v>
      </c>
      <c r="F2862" s="137" t="str">
        <f t="shared" si="215"/>
        <v/>
      </c>
      <c r="G2862" s="138" t="e">
        <f>IF(A2862&lt;&gt;"",IF(AND(#REF!="Padrão",$H$4=#REF!),BDI!$B$17,IF(AND(#REF!="Padrão",$H$4=#REF!),BDI!#REF!,IF(AND(#REF!="Diferenciado",$H$4=#REF!),BDI!$E$17,IF(AND(#REF!="Diferenciado",$H$4=#REF!),BDI!#REF!,IF(#REF!="ZERO",0))))),"")</f>
        <v>#REF!</v>
      </c>
      <c r="H2862" s="139" t="str">
        <f t="shared" si="216"/>
        <v/>
      </c>
      <c r="I2862" s="137" t="str">
        <f t="shared" si="217"/>
        <v/>
      </c>
      <c r="J2862" s="117"/>
      <c r="K2862" s="116">
        <v>0</v>
      </c>
      <c r="M2862" s="136" t="s">
        <v>416</v>
      </c>
      <c r="N2862" t="e">
        <v>#REF!</v>
      </c>
      <c r="Q2862" t="s">
        <v>416</v>
      </c>
    </row>
    <row r="2863" spans="1:17" hidden="1" x14ac:dyDescent="0.25">
      <c r="A2863" s="114" t="s">
        <v>6083</v>
      </c>
      <c r="B2863" s="115" t="s">
        <v>5435</v>
      </c>
      <c r="C2863" s="116" t="s">
        <v>16</v>
      </c>
      <c r="D2863" s="116">
        <v>0</v>
      </c>
      <c r="E2863" s="136" t="s">
        <v>416</v>
      </c>
      <c r="F2863" s="137" t="str">
        <f t="shared" si="215"/>
        <v/>
      </c>
      <c r="G2863" s="138" t="e">
        <f>IF(A2863&lt;&gt;"",IF(AND(#REF!="Padrão",$H$4=#REF!),BDI!$B$17,IF(AND(#REF!="Padrão",$H$4=#REF!),BDI!#REF!,IF(AND(#REF!="Diferenciado",$H$4=#REF!),BDI!$E$17,IF(AND(#REF!="Diferenciado",$H$4=#REF!),BDI!#REF!,IF(#REF!="ZERO",0))))),"")</f>
        <v>#REF!</v>
      </c>
      <c r="H2863" s="139" t="str">
        <f t="shared" si="216"/>
        <v/>
      </c>
      <c r="I2863" s="137" t="str">
        <f t="shared" si="217"/>
        <v/>
      </c>
      <c r="J2863" s="117"/>
      <c r="K2863" s="116">
        <v>0</v>
      </c>
      <c r="M2863" s="136" t="s">
        <v>416</v>
      </c>
      <c r="N2863" t="e">
        <v>#REF!</v>
      </c>
      <c r="Q2863" t="s">
        <v>416</v>
      </c>
    </row>
    <row r="2864" spans="1:17" hidden="1" x14ac:dyDescent="0.25">
      <c r="A2864" s="114" t="s">
        <v>6084</v>
      </c>
      <c r="B2864" s="115" t="s">
        <v>1472</v>
      </c>
      <c r="C2864" s="116" t="s">
        <v>16</v>
      </c>
      <c r="D2864" s="116">
        <v>0</v>
      </c>
      <c r="E2864" s="136" t="s">
        <v>416</v>
      </c>
      <c r="F2864" s="137" t="str">
        <f t="shared" si="215"/>
        <v/>
      </c>
      <c r="G2864" s="138" t="e">
        <f>IF(A2864&lt;&gt;"",IF(AND(#REF!="Padrão",$H$4=#REF!),BDI!$B$17,IF(AND(#REF!="Padrão",$H$4=#REF!),BDI!#REF!,IF(AND(#REF!="Diferenciado",$H$4=#REF!),BDI!$E$17,IF(AND(#REF!="Diferenciado",$H$4=#REF!),BDI!#REF!,IF(#REF!="ZERO",0))))),"")</f>
        <v>#REF!</v>
      </c>
      <c r="H2864" s="139" t="str">
        <f t="shared" si="216"/>
        <v/>
      </c>
      <c r="I2864" s="137" t="str">
        <f t="shared" si="217"/>
        <v/>
      </c>
      <c r="J2864" s="117"/>
      <c r="K2864" s="116">
        <v>0</v>
      </c>
      <c r="M2864" s="136" t="s">
        <v>416</v>
      </c>
      <c r="N2864" t="e">
        <v>#REF!</v>
      </c>
      <c r="Q2864" t="s">
        <v>416</v>
      </c>
    </row>
    <row r="2865" spans="1:17" hidden="1" x14ac:dyDescent="0.25">
      <c r="A2865" s="114" t="s">
        <v>6085</v>
      </c>
      <c r="B2865" s="115" t="s">
        <v>5433</v>
      </c>
      <c r="C2865" s="116" t="s">
        <v>16</v>
      </c>
      <c r="D2865" s="116">
        <v>0</v>
      </c>
      <c r="E2865" s="136" t="s">
        <v>416</v>
      </c>
      <c r="F2865" s="137" t="str">
        <f t="shared" si="215"/>
        <v/>
      </c>
      <c r="G2865" s="138" t="e">
        <f>IF(A2865&lt;&gt;"",IF(AND(#REF!="Padrão",$H$4=#REF!),BDI!$B$17,IF(AND(#REF!="Padrão",$H$4=#REF!),BDI!#REF!,IF(AND(#REF!="Diferenciado",$H$4=#REF!),BDI!$E$17,IF(AND(#REF!="Diferenciado",$H$4=#REF!),BDI!#REF!,IF(#REF!="ZERO",0))))),"")</f>
        <v>#REF!</v>
      </c>
      <c r="H2865" s="139" t="str">
        <f t="shared" si="216"/>
        <v/>
      </c>
      <c r="I2865" s="137" t="str">
        <f t="shared" si="217"/>
        <v/>
      </c>
      <c r="J2865" s="117"/>
      <c r="K2865" s="116">
        <v>0</v>
      </c>
      <c r="M2865" s="136" t="s">
        <v>416</v>
      </c>
      <c r="N2865" t="e">
        <v>#REF!</v>
      </c>
      <c r="Q2865" t="s">
        <v>416</v>
      </c>
    </row>
    <row r="2866" spans="1:17" hidden="1" x14ac:dyDescent="0.25">
      <c r="A2866" s="114" t="s">
        <v>6086</v>
      </c>
      <c r="B2866" s="115" t="s">
        <v>1474</v>
      </c>
      <c r="C2866" s="116" t="s">
        <v>16</v>
      </c>
      <c r="D2866" s="116">
        <v>0</v>
      </c>
      <c r="E2866" s="136" t="s">
        <v>416</v>
      </c>
      <c r="F2866" s="137" t="str">
        <f t="shared" si="215"/>
        <v/>
      </c>
      <c r="G2866" s="138" t="e">
        <f>IF(A2866&lt;&gt;"",IF(AND(#REF!="Padrão",$H$4=#REF!),BDI!$B$17,IF(AND(#REF!="Padrão",$H$4=#REF!),BDI!#REF!,IF(AND(#REF!="Diferenciado",$H$4=#REF!),BDI!$E$17,IF(AND(#REF!="Diferenciado",$H$4=#REF!),BDI!#REF!,IF(#REF!="ZERO",0))))),"")</f>
        <v>#REF!</v>
      </c>
      <c r="H2866" s="139" t="str">
        <f t="shared" si="216"/>
        <v/>
      </c>
      <c r="I2866" s="137" t="str">
        <f t="shared" si="217"/>
        <v/>
      </c>
      <c r="J2866" s="117"/>
      <c r="K2866" s="116">
        <v>0</v>
      </c>
      <c r="M2866" s="136" t="s">
        <v>416</v>
      </c>
      <c r="N2866" t="e">
        <v>#REF!</v>
      </c>
      <c r="Q2866" t="s">
        <v>416</v>
      </c>
    </row>
    <row r="2867" spans="1:17" hidden="1" x14ac:dyDescent="0.25">
      <c r="A2867" s="114" t="s">
        <v>6087</v>
      </c>
      <c r="B2867" s="115" t="s">
        <v>1473</v>
      </c>
      <c r="C2867" s="116" t="s">
        <v>16</v>
      </c>
      <c r="D2867" s="116">
        <v>0</v>
      </c>
      <c r="E2867" s="136" t="s">
        <v>416</v>
      </c>
      <c r="F2867" s="137" t="str">
        <f t="shared" si="215"/>
        <v/>
      </c>
      <c r="G2867" s="138" t="e">
        <f>IF(A2867&lt;&gt;"",IF(AND(#REF!="Padrão",$H$4=#REF!),BDI!$B$17,IF(AND(#REF!="Padrão",$H$4=#REF!),BDI!#REF!,IF(AND(#REF!="Diferenciado",$H$4=#REF!),BDI!$E$17,IF(AND(#REF!="Diferenciado",$H$4=#REF!),BDI!#REF!,IF(#REF!="ZERO",0))))),"")</f>
        <v>#REF!</v>
      </c>
      <c r="H2867" s="139" t="str">
        <f t="shared" si="216"/>
        <v/>
      </c>
      <c r="I2867" s="137" t="str">
        <f t="shared" si="217"/>
        <v/>
      </c>
      <c r="J2867" s="117"/>
      <c r="K2867" s="116">
        <v>0</v>
      </c>
      <c r="M2867" s="136" t="s">
        <v>416</v>
      </c>
      <c r="N2867" t="e">
        <v>#REF!</v>
      </c>
      <c r="Q2867" t="s">
        <v>416</v>
      </c>
    </row>
    <row r="2868" spans="1:17" hidden="1" x14ac:dyDescent="0.25">
      <c r="A2868" s="114" t="s">
        <v>6088</v>
      </c>
      <c r="B2868" s="115" t="s">
        <v>7365</v>
      </c>
      <c r="C2868" s="116" t="s">
        <v>69</v>
      </c>
      <c r="D2868" s="116">
        <v>0</v>
      </c>
      <c r="E2868" s="136">
        <f ca="1">OFFSET(INDEX(Composições!A:J,MATCH(Orçamentária!A2868,Composições!A:A,0),8),2,0)</f>
        <v>56.097499999999997</v>
      </c>
      <c r="F2868" s="137">
        <f t="shared" ca="1" si="215"/>
        <v>0</v>
      </c>
      <c r="G2868" s="138" t="e">
        <f>IF(A2868&lt;&gt;"",IF(AND(#REF!="Padrão",$H$4=#REF!),BDI!$B$17,IF(AND(#REF!="Padrão",$H$4=#REF!),BDI!#REF!,IF(AND(#REF!="Diferenciado",$H$4=#REF!),BDI!$E$17,IF(AND(#REF!="Diferenciado",$H$4=#REF!),BDI!#REF!,IF(#REF!="ZERO",0))))),"")</f>
        <v>#REF!</v>
      </c>
      <c r="H2868" s="139" t="e">
        <f t="shared" ca="1" si="216"/>
        <v>#REF!</v>
      </c>
      <c r="I2868" s="137" t="e">
        <f t="shared" ca="1" si="217"/>
        <v>#REF!</v>
      </c>
      <c r="J2868" s="117"/>
      <c r="K2868" s="116">
        <v>0</v>
      </c>
      <c r="M2868" s="136" t="e">
        <f ca="1">OFFSET(INDEX([1]Composições!I:R,MATCH([1]Orçamentária!I2868,[1]Composições!I:I,0),8),2,0)</f>
        <v>#REF!</v>
      </c>
      <c r="N2868" t="e">
        <v>#REF!</v>
      </c>
      <c r="Q2868" t="e">
        <v>#REF!</v>
      </c>
    </row>
    <row r="2869" spans="1:17" hidden="1" x14ac:dyDescent="0.25">
      <c r="A2869" s="114" t="s">
        <v>6089</v>
      </c>
      <c r="B2869" s="115" t="s">
        <v>6090</v>
      </c>
      <c r="C2869" s="116" t="s">
        <v>69</v>
      </c>
      <c r="D2869" s="116">
        <v>0</v>
      </c>
      <c r="E2869" s="136">
        <f ca="1">OFFSET(INDEX(Composições!A:J,MATCH(Orçamentária!A2869,Composições!A:A,0),8),2,0)</f>
        <v>71.202500000000001</v>
      </c>
      <c r="F2869" s="137">
        <f t="shared" ca="1" si="215"/>
        <v>0</v>
      </c>
      <c r="G2869" s="138" t="e">
        <f>IF(A2869&lt;&gt;"",IF(AND(#REF!="Padrão",$H$4=#REF!),BDI!$B$17,IF(AND(#REF!="Padrão",$H$4=#REF!),BDI!#REF!,IF(AND(#REF!="Diferenciado",$H$4=#REF!),BDI!$E$17,IF(AND(#REF!="Diferenciado",$H$4=#REF!),BDI!#REF!,IF(#REF!="ZERO",0))))),"")</f>
        <v>#REF!</v>
      </c>
      <c r="H2869" s="139" t="e">
        <f t="shared" ca="1" si="216"/>
        <v>#REF!</v>
      </c>
      <c r="I2869" s="137" t="e">
        <f t="shared" ca="1" si="217"/>
        <v>#REF!</v>
      </c>
      <c r="J2869" s="117"/>
      <c r="K2869" s="116">
        <v>0</v>
      </c>
      <c r="M2869" s="136" t="e">
        <f ca="1">OFFSET(INDEX([1]Composições!I:R,MATCH([1]Orçamentária!I2869,[1]Composições!I:I,0),8),2,0)</f>
        <v>#REF!</v>
      </c>
      <c r="N2869" t="e">
        <v>#REF!</v>
      </c>
      <c r="Q2869" t="e">
        <v>#REF!</v>
      </c>
    </row>
    <row r="2870" spans="1:17" hidden="1" x14ac:dyDescent="0.25">
      <c r="A2870" s="114" t="s">
        <v>6091</v>
      </c>
      <c r="B2870" s="115" t="s">
        <v>7366</v>
      </c>
      <c r="C2870" s="116" t="s">
        <v>69</v>
      </c>
      <c r="D2870" s="116">
        <v>0</v>
      </c>
      <c r="E2870" s="136">
        <f ca="1">OFFSET(INDEX(Composições!A:J,MATCH(Orçamentária!A2870,Composições!A:A,0),8),2,0)</f>
        <v>139.63099999999997</v>
      </c>
      <c r="F2870" s="137">
        <f t="shared" ca="1" si="215"/>
        <v>0</v>
      </c>
      <c r="G2870" s="138" t="e">
        <f>IF(A2870&lt;&gt;"",IF(AND(#REF!="Padrão",$H$4=#REF!),BDI!$B$17,IF(AND(#REF!="Padrão",$H$4=#REF!),BDI!#REF!,IF(AND(#REF!="Diferenciado",$H$4=#REF!),BDI!$E$17,IF(AND(#REF!="Diferenciado",$H$4=#REF!),BDI!#REF!,IF(#REF!="ZERO",0))))),"")</f>
        <v>#REF!</v>
      </c>
      <c r="H2870" s="139" t="e">
        <f t="shared" ca="1" si="216"/>
        <v>#REF!</v>
      </c>
      <c r="I2870" s="137" t="e">
        <f t="shared" ca="1" si="217"/>
        <v>#REF!</v>
      </c>
      <c r="J2870" s="117"/>
      <c r="K2870" s="116">
        <v>0</v>
      </c>
      <c r="M2870" s="136" t="e">
        <f ca="1">OFFSET(INDEX([1]Composições!I:R,MATCH([1]Orçamentária!I2870,[1]Composições!I:I,0),8),2,0)</f>
        <v>#REF!</v>
      </c>
      <c r="N2870" t="e">
        <v>#REF!</v>
      </c>
      <c r="Q2870" t="e">
        <v>#REF!</v>
      </c>
    </row>
    <row r="2871" spans="1:17" hidden="1" x14ac:dyDescent="0.25">
      <c r="A2871" s="114" t="s">
        <v>6092</v>
      </c>
      <c r="B2871" s="115" t="s">
        <v>7367</v>
      </c>
      <c r="C2871" s="116" t="s">
        <v>69</v>
      </c>
      <c r="D2871" s="116">
        <v>0</v>
      </c>
      <c r="E2871" s="136">
        <f ca="1">OFFSET(INDEX(Composições!A:J,MATCH(Orçamentária!A2871,Composições!A:A,0),8),2,0)</f>
        <v>103.398</v>
      </c>
      <c r="F2871" s="137">
        <f t="shared" ca="1" si="215"/>
        <v>0</v>
      </c>
      <c r="G2871" s="138" t="e">
        <f>IF(A2871&lt;&gt;"",IF(AND(#REF!="Padrão",$H$4=#REF!),BDI!$B$17,IF(AND(#REF!="Padrão",$H$4=#REF!),BDI!#REF!,IF(AND(#REF!="Diferenciado",$H$4=#REF!),BDI!$E$17,IF(AND(#REF!="Diferenciado",$H$4=#REF!),BDI!#REF!,IF(#REF!="ZERO",0))))),"")</f>
        <v>#REF!</v>
      </c>
      <c r="H2871" s="139" t="e">
        <f t="shared" ca="1" si="216"/>
        <v>#REF!</v>
      </c>
      <c r="I2871" s="137" t="e">
        <f t="shared" ca="1" si="217"/>
        <v>#REF!</v>
      </c>
      <c r="J2871" s="117"/>
      <c r="K2871" s="116">
        <v>0</v>
      </c>
      <c r="M2871" s="136" t="e">
        <f ca="1">OFFSET(INDEX([1]Composições!I:R,MATCH([1]Orçamentária!I2871,[1]Composições!I:I,0),8),2,0)</f>
        <v>#REF!</v>
      </c>
      <c r="N2871" t="e">
        <v>#REF!</v>
      </c>
      <c r="Q2871" t="e">
        <v>#REF!</v>
      </c>
    </row>
    <row r="2872" spans="1:17" hidden="1" x14ac:dyDescent="0.25">
      <c r="A2872" s="114" t="s">
        <v>6093</v>
      </c>
      <c r="B2872" s="115" t="s">
        <v>7368</v>
      </c>
      <c r="C2872" s="116" t="s">
        <v>69</v>
      </c>
      <c r="D2872" s="116">
        <v>0</v>
      </c>
      <c r="E2872" s="136">
        <f ca="1">OFFSET(INDEX(Composições!A:J,MATCH(Orçamentária!A2872,Composições!A:A,0),8),2,0)</f>
        <v>202.49250000000001</v>
      </c>
      <c r="F2872" s="137">
        <f t="shared" ca="1" si="215"/>
        <v>0</v>
      </c>
      <c r="G2872" s="138" t="e">
        <f>IF(A2872&lt;&gt;"",IF(AND(#REF!="Padrão",$H$4=#REF!),BDI!$B$17,IF(AND(#REF!="Padrão",$H$4=#REF!),BDI!#REF!,IF(AND(#REF!="Diferenciado",$H$4=#REF!),BDI!$E$17,IF(AND(#REF!="Diferenciado",$H$4=#REF!),BDI!#REF!,IF(#REF!="ZERO",0))))),"")</f>
        <v>#REF!</v>
      </c>
      <c r="H2872" s="139" t="e">
        <f t="shared" ca="1" si="216"/>
        <v>#REF!</v>
      </c>
      <c r="I2872" s="137" t="e">
        <f t="shared" ca="1" si="217"/>
        <v>#REF!</v>
      </c>
      <c r="J2872" s="117"/>
      <c r="K2872" s="116">
        <v>0</v>
      </c>
      <c r="M2872" s="136" t="e">
        <f ca="1">OFFSET(INDEX([1]Composições!I:R,MATCH([1]Orçamentária!I2872,[1]Composições!I:I,0),8),2,0)</f>
        <v>#REF!</v>
      </c>
      <c r="N2872" t="e">
        <v>#REF!</v>
      </c>
      <c r="Q2872" t="e">
        <v>#REF!</v>
      </c>
    </row>
    <row r="2873" spans="1:17" hidden="1" x14ac:dyDescent="0.25">
      <c r="A2873" s="114" t="s">
        <v>6094</v>
      </c>
      <c r="B2873" s="115" t="s">
        <v>7369</v>
      </c>
      <c r="C2873" s="116" t="s">
        <v>69</v>
      </c>
      <c r="D2873" s="116">
        <v>0</v>
      </c>
      <c r="E2873" s="136">
        <f ca="1">OFFSET(INDEX(Composições!A:J,MATCH(Orçamentária!A2873,Composições!A:A,0),8),2,0)</f>
        <v>285.27550000000002</v>
      </c>
      <c r="F2873" s="137">
        <f t="shared" ca="1" si="215"/>
        <v>0</v>
      </c>
      <c r="G2873" s="138" t="e">
        <f>IF(A2873&lt;&gt;"",IF(AND(#REF!="Padrão",$H$4=#REF!),BDI!$B$17,IF(AND(#REF!="Padrão",$H$4=#REF!),BDI!#REF!,IF(AND(#REF!="Diferenciado",$H$4=#REF!),BDI!$E$17,IF(AND(#REF!="Diferenciado",$H$4=#REF!),BDI!#REF!,IF(#REF!="ZERO",0))))),"")</f>
        <v>#REF!</v>
      </c>
      <c r="H2873" s="139" t="e">
        <f t="shared" ca="1" si="216"/>
        <v>#REF!</v>
      </c>
      <c r="I2873" s="137" t="e">
        <f t="shared" ca="1" si="217"/>
        <v>#REF!</v>
      </c>
      <c r="J2873" s="117"/>
      <c r="K2873" s="116">
        <v>0</v>
      </c>
      <c r="M2873" s="136" t="e">
        <f ca="1">OFFSET(INDEX([1]Composições!I:R,MATCH([1]Orçamentária!I2873,[1]Composições!I:I,0),8),2,0)</f>
        <v>#REF!</v>
      </c>
      <c r="N2873" t="e">
        <v>#REF!</v>
      </c>
      <c r="Q2873" t="e">
        <v>#REF!</v>
      </c>
    </row>
    <row r="2874" spans="1:17" hidden="1" x14ac:dyDescent="0.25">
      <c r="A2874" s="114" t="s">
        <v>6095</v>
      </c>
      <c r="B2874" s="115" t="s">
        <v>7370</v>
      </c>
      <c r="C2874" s="116" t="s">
        <v>69</v>
      </c>
      <c r="D2874" s="116">
        <v>0</v>
      </c>
      <c r="E2874" s="136">
        <f ca="1">OFFSET(INDEX(Composições!A:J,MATCH(Orçamentária!A2874,Composições!A:A,0),8),2,0)</f>
        <v>417.0215</v>
      </c>
      <c r="F2874" s="137">
        <f t="shared" ca="1" si="215"/>
        <v>0</v>
      </c>
      <c r="G2874" s="138" t="e">
        <f>IF(A2874&lt;&gt;"",IF(AND(#REF!="Padrão",$H$4=#REF!),BDI!$B$17,IF(AND(#REF!="Padrão",$H$4=#REF!),BDI!#REF!,IF(AND(#REF!="Diferenciado",$H$4=#REF!),BDI!$E$17,IF(AND(#REF!="Diferenciado",$H$4=#REF!),BDI!#REF!,IF(#REF!="ZERO",0))))),"")</f>
        <v>#REF!</v>
      </c>
      <c r="H2874" s="139" t="e">
        <f t="shared" ca="1" si="216"/>
        <v>#REF!</v>
      </c>
      <c r="I2874" s="137" t="e">
        <f t="shared" ca="1" si="217"/>
        <v>#REF!</v>
      </c>
      <c r="J2874" s="117"/>
      <c r="K2874" s="116">
        <v>0</v>
      </c>
      <c r="M2874" s="136" t="e">
        <f ca="1">OFFSET(INDEX([1]Composições!I:R,MATCH([1]Orçamentária!I2874,[1]Composições!I:I,0),8),2,0)</f>
        <v>#REF!</v>
      </c>
      <c r="N2874" t="e">
        <v>#REF!</v>
      </c>
      <c r="Q2874" t="e">
        <v>#REF!</v>
      </c>
    </row>
    <row r="2875" spans="1:17" hidden="1" x14ac:dyDescent="0.25">
      <c r="A2875" s="114" t="s">
        <v>6096</v>
      </c>
      <c r="B2875" s="115" t="s">
        <v>7371</v>
      </c>
      <c r="C2875" s="116" t="s">
        <v>69</v>
      </c>
      <c r="D2875" s="116">
        <v>0</v>
      </c>
      <c r="E2875" s="136">
        <f ca="1">OFFSET(INDEX(Composições!A:J,MATCH(Orçamentária!A2875,Composições!A:A,0),8),2,0)</f>
        <v>614.92549999999994</v>
      </c>
      <c r="F2875" s="137">
        <f t="shared" ca="1" si="215"/>
        <v>0</v>
      </c>
      <c r="G2875" s="138" t="e">
        <f>IF(A2875&lt;&gt;"",IF(AND(#REF!="Padrão",$H$4=#REF!),BDI!$B$17,IF(AND(#REF!="Padrão",$H$4=#REF!),BDI!#REF!,IF(AND(#REF!="Diferenciado",$H$4=#REF!),BDI!$E$17,IF(AND(#REF!="Diferenciado",$H$4=#REF!),BDI!#REF!,IF(#REF!="ZERO",0))))),"")</f>
        <v>#REF!</v>
      </c>
      <c r="H2875" s="139" t="e">
        <f t="shared" ca="1" si="216"/>
        <v>#REF!</v>
      </c>
      <c r="I2875" s="137" t="e">
        <f t="shared" ca="1" si="217"/>
        <v>#REF!</v>
      </c>
      <c r="J2875" s="117"/>
      <c r="K2875" s="116">
        <v>0</v>
      </c>
      <c r="M2875" s="136" t="e">
        <f ca="1">OFFSET(INDEX([1]Composições!I:R,MATCH([1]Orçamentária!I2875,[1]Composições!I:I,0),8),2,0)</f>
        <v>#REF!</v>
      </c>
      <c r="N2875" t="e">
        <v>#REF!</v>
      </c>
      <c r="Q2875" t="e">
        <v>#REF!</v>
      </c>
    </row>
    <row r="2876" spans="1:17" hidden="1" x14ac:dyDescent="0.25">
      <c r="A2876" s="114" t="s">
        <v>6097</v>
      </c>
      <c r="B2876" s="115" t="s">
        <v>6098</v>
      </c>
      <c r="C2876" s="116" t="s">
        <v>69</v>
      </c>
      <c r="D2876" s="116">
        <v>0</v>
      </c>
      <c r="E2876" s="136">
        <f ca="1">OFFSET(INDEX(Composições!A:J,MATCH(Orçamentária!A2876,Composições!A:A,0),8),2,0)</f>
        <v>13.034000000000001</v>
      </c>
      <c r="F2876" s="137">
        <f t="shared" ca="1" si="215"/>
        <v>0</v>
      </c>
      <c r="G2876" s="138" t="e">
        <f>IF(A2876&lt;&gt;"",IF(AND(#REF!="Padrão",$H$4=#REF!),BDI!$B$17,IF(AND(#REF!="Padrão",$H$4=#REF!),BDI!#REF!,IF(AND(#REF!="Diferenciado",$H$4=#REF!),BDI!$E$17,IF(AND(#REF!="Diferenciado",$H$4=#REF!),BDI!#REF!,IF(#REF!="ZERO",0))))),"")</f>
        <v>#REF!</v>
      </c>
      <c r="H2876" s="139" t="e">
        <f t="shared" ca="1" si="216"/>
        <v>#REF!</v>
      </c>
      <c r="I2876" s="137" t="e">
        <f t="shared" ca="1" si="217"/>
        <v>#REF!</v>
      </c>
      <c r="J2876" s="117"/>
      <c r="K2876" s="116">
        <v>0</v>
      </c>
      <c r="M2876" s="136" t="e">
        <f ca="1">OFFSET(INDEX([1]Composições!I:R,MATCH([1]Orçamentária!I2876,[1]Composições!I:I,0),8),2,0)</f>
        <v>#REF!</v>
      </c>
      <c r="N2876" t="e">
        <v>#REF!</v>
      </c>
      <c r="Q2876" t="e">
        <v>#REF!</v>
      </c>
    </row>
    <row r="2877" spans="1:17" hidden="1" x14ac:dyDescent="0.25">
      <c r="A2877" s="114" t="s">
        <v>6099</v>
      </c>
      <c r="B2877" s="115" t="s">
        <v>6100</v>
      </c>
      <c r="C2877" s="116" t="s">
        <v>69</v>
      </c>
      <c r="D2877" s="116">
        <v>0</v>
      </c>
      <c r="E2877" s="136">
        <f ca="1">OFFSET(INDEX(Composições!A:J,MATCH(Orçamentária!A2877,Composições!A:A,0),8),2,0)</f>
        <v>22.448499999999999</v>
      </c>
      <c r="F2877" s="137">
        <f t="shared" ca="1" si="215"/>
        <v>0</v>
      </c>
      <c r="G2877" s="138" t="e">
        <f>IF(A2877&lt;&gt;"",IF(AND(#REF!="Padrão",$H$4=#REF!),BDI!$B$17,IF(AND(#REF!="Padrão",$H$4=#REF!),BDI!#REF!,IF(AND(#REF!="Diferenciado",$H$4=#REF!),BDI!$E$17,IF(AND(#REF!="Diferenciado",$H$4=#REF!),BDI!#REF!,IF(#REF!="ZERO",0))))),"")</f>
        <v>#REF!</v>
      </c>
      <c r="H2877" s="139" t="e">
        <f t="shared" ca="1" si="216"/>
        <v>#REF!</v>
      </c>
      <c r="I2877" s="137" t="e">
        <f t="shared" ca="1" si="217"/>
        <v>#REF!</v>
      </c>
      <c r="J2877" s="117"/>
      <c r="K2877" s="116">
        <v>0</v>
      </c>
      <c r="M2877" s="136" t="e">
        <f ca="1">OFFSET(INDEX([1]Composições!I:R,MATCH([1]Orçamentária!I2877,[1]Composições!I:I,0),8),2,0)</f>
        <v>#REF!</v>
      </c>
      <c r="N2877" t="e">
        <v>#REF!</v>
      </c>
      <c r="Q2877" t="e">
        <v>#REF!</v>
      </c>
    </row>
    <row r="2878" spans="1:17" hidden="1" x14ac:dyDescent="0.25">
      <c r="A2878" s="114" t="s">
        <v>6101</v>
      </c>
      <c r="B2878" s="115" t="s">
        <v>6102</v>
      </c>
      <c r="C2878" s="116" t="s">
        <v>69</v>
      </c>
      <c r="D2878" s="116">
        <v>0</v>
      </c>
      <c r="E2878" s="136">
        <f ca="1">OFFSET(INDEX(Composições!A:J,MATCH(Orçamentária!A2878,Composições!A:A,0),8),2,0)</f>
        <v>49.580499999999994</v>
      </c>
      <c r="F2878" s="137">
        <f t="shared" ca="1" si="215"/>
        <v>0</v>
      </c>
      <c r="G2878" s="138" t="e">
        <f>IF(A2878&lt;&gt;"",IF(AND(#REF!="Padrão",$H$4=#REF!),BDI!$B$17,IF(AND(#REF!="Padrão",$H$4=#REF!),BDI!#REF!,IF(AND(#REF!="Diferenciado",$H$4=#REF!),BDI!$E$17,IF(AND(#REF!="Diferenciado",$H$4=#REF!),BDI!#REF!,IF(#REF!="ZERO",0))))),"")</f>
        <v>#REF!</v>
      </c>
      <c r="H2878" s="139" t="e">
        <f t="shared" ca="1" si="216"/>
        <v>#REF!</v>
      </c>
      <c r="I2878" s="137" t="e">
        <f t="shared" ca="1" si="217"/>
        <v>#REF!</v>
      </c>
      <c r="J2878" s="117"/>
      <c r="K2878" s="116">
        <v>0</v>
      </c>
      <c r="M2878" s="136" t="e">
        <f ca="1">OFFSET(INDEX([1]Composições!I:R,MATCH([1]Orçamentária!I2878,[1]Composições!I:I,0),8),2,0)</f>
        <v>#REF!</v>
      </c>
      <c r="N2878" t="e">
        <v>#REF!</v>
      </c>
      <c r="Q2878" t="e">
        <v>#REF!</v>
      </c>
    </row>
    <row r="2879" spans="1:17" hidden="1" x14ac:dyDescent="0.25">
      <c r="A2879" s="114" t="s">
        <v>6103</v>
      </c>
      <c r="B2879" s="115" t="s">
        <v>6104</v>
      </c>
      <c r="C2879" s="116" t="s">
        <v>69</v>
      </c>
      <c r="D2879" s="116">
        <v>0</v>
      </c>
      <c r="E2879" s="136">
        <f ca="1">OFFSET(INDEX(Composições!A:J,MATCH(Orçamentária!A2879,Composições!A:A,0),8),2,0)</f>
        <v>19.456</v>
      </c>
      <c r="F2879" s="137">
        <f t="shared" ca="1" si="215"/>
        <v>0</v>
      </c>
      <c r="G2879" s="138" t="e">
        <f>IF(A2879&lt;&gt;"",IF(AND(#REF!="Padrão",$H$4=#REF!),BDI!$B$17,IF(AND(#REF!="Padrão",$H$4=#REF!),BDI!#REF!,IF(AND(#REF!="Diferenciado",$H$4=#REF!),BDI!$E$17,IF(AND(#REF!="Diferenciado",$H$4=#REF!),BDI!#REF!,IF(#REF!="ZERO",0))))),"")</f>
        <v>#REF!</v>
      </c>
      <c r="H2879" s="139" t="e">
        <f t="shared" ca="1" si="216"/>
        <v>#REF!</v>
      </c>
      <c r="I2879" s="137" t="e">
        <f t="shared" ca="1" si="217"/>
        <v>#REF!</v>
      </c>
      <c r="J2879" s="117"/>
      <c r="K2879" s="116">
        <v>0</v>
      </c>
      <c r="M2879" s="136" t="e">
        <f ca="1">OFFSET(INDEX([1]Composições!I:R,MATCH([1]Orçamentária!I2879,[1]Composições!I:I,0),8),2,0)</f>
        <v>#REF!</v>
      </c>
      <c r="N2879" t="e">
        <v>#REF!</v>
      </c>
      <c r="Q2879" t="e">
        <v>#REF!</v>
      </c>
    </row>
    <row r="2880" spans="1:17" hidden="1" x14ac:dyDescent="0.25">
      <c r="A2880" s="114" t="s">
        <v>6105</v>
      </c>
      <c r="B2880" s="115" t="s">
        <v>6106</v>
      </c>
      <c r="C2880" s="116" t="s">
        <v>69</v>
      </c>
      <c r="D2880" s="116">
        <v>0</v>
      </c>
      <c r="E2880" s="136">
        <f ca="1">OFFSET(INDEX(Composições!A:J,MATCH(Orçamentária!A2880,Composições!A:A,0),8),2,0)</f>
        <v>25.336500000000001</v>
      </c>
      <c r="F2880" s="137">
        <f t="shared" ca="1" si="215"/>
        <v>0</v>
      </c>
      <c r="G2880" s="138" t="e">
        <f>IF(A2880&lt;&gt;"",IF(AND(#REF!="Padrão",$H$4=#REF!),BDI!$B$17,IF(AND(#REF!="Padrão",$H$4=#REF!),BDI!#REF!,IF(AND(#REF!="Diferenciado",$H$4=#REF!),BDI!$E$17,IF(AND(#REF!="Diferenciado",$H$4=#REF!),BDI!#REF!,IF(#REF!="ZERO",0))))),"")</f>
        <v>#REF!</v>
      </c>
      <c r="H2880" s="139" t="e">
        <f t="shared" ca="1" si="216"/>
        <v>#REF!</v>
      </c>
      <c r="I2880" s="137" t="e">
        <f t="shared" ca="1" si="217"/>
        <v>#REF!</v>
      </c>
      <c r="J2880" s="117"/>
      <c r="K2880" s="116">
        <v>0</v>
      </c>
      <c r="M2880" s="136" t="e">
        <f ca="1">OFFSET(INDEX([1]Composições!I:R,MATCH([1]Orçamentária!I2880,[1]Composições!I:I,0),8),2,0)</f>
        <v>#REF!</v>
      </c>
      <c r="N2880" t="e">
        <v>#REF!</v>
      </c>
      <c r="Q2880" t="e">
        <v>#REF!</v>
      </c>
    </row>
    <row r="2881" spans="1:17" hidden="1" x14ac:dyDescent="0.25">
      <c r="A2881" s="114" t="s">
        <v>6107</v>
      </c>
      <c r="B2881" s="115" t="s">
        <v>6108</v>
      </c>
      <c r="C2881" s="116" t="s">
        <v>69</v>
      </c>
      <c r="D2881" s="116">
        <v>0</v>
      </c>
      <c r="E2881" s="136">
        <f ca="1">OFFSET(INDEX(Composições!A:J,MATCH(Orçamentária!A2881,Composições!A:A,0),8),2,0)</f>
        <v>34.019500000000001</v>
      </c>
      <c r="F2881" s="137">
        <f t="shared" ca="1" si="215"/>
        <v>0</v>
      </c>
      <c r="G2881" s="138" t="e">
        <f>IF(A2881&lt;&gt;"",IF(AND(#REF!="Padrão",$H$4=#REF!),BDI!$B$17,IF(AND(#REF!="Padrão",$H$4=#REF!),BDI!#REF!,IF(AND(#REF!="Diferenciado",$H$4=#REF!),BDI!$E$17,IF(AND(#REF!="Diferenciado",$H$4=#REF!),BDI!#REF!,IF(#REF!="ZERO",0))))),"")</f>
        <v>#REF!</v>
      </c>
      <c r="H2881" s="139" t="e">
        <f t="shared" ca="1" si="216"/>
        <v>#REF!</v>
      </c>
      <c r="I2881" s="137" t="e">
        <f t="shared" ca="1" si="217"/>
        <v>#REF!</v>
      </c>
      <c r="J2881" s="117"/>
      <c r="K2881" s="116">
        <v>0</v>
      </c>
      <c r="M2881" s="136" t="e">
        <f ca="1">OFFSET(INDEX([1]Composições!I:R,MATCH([1]Orçamentária!I2881,[1]Composições!I:I,0),8),2,0)</f>
        <v>#REF!</v>
      </c>
      <c r="N2881" t="e">
        <v>#REF!</v>
      </c>
      <c r="Q2881" t="e">
        <v>#REF!</v>
      </c>
    </row>
    <row r="2882" spans="1:17" hidden="1" x14ac:dyDescent="0.25">
      <c r="A2882" s="114" t="s">
        <v>6109</v>
      </c>
      <c r="B2882" s="115" t="s">
        <v>6110</v>
      </c>
      <c r="C2882" s="116" t="s">
        <v>69</v>
      </c>
      <c r="D2882" s="116">
        <v>0</v>
      </c>
      <c r="E2882" s="136">
        <f ca="1">OFFSET(INDEX(Composições!A:J,MATCH(Orçamentária!A2882,Composições!A:A,0),8),2,0)</f>
        <v>71.497</v>
      </c>
      <c r="F2882" s="137">
        <f t="shared" ca="1" si="215"/>
        <v>0</v>
      </c>
      <c r="G2882" s="138" t="e">
        <f>IF(A2882&lt;&gt;"",IF(AND(#REF!="Padrão",$H$4=#REF!),BDI!$B$17,IF(AND(#REF!="Padrão",$H$4=#REF!),BDI!#REF!,IF(AND(#REF!="Diferenciado",$H$4=#REF!),BDI!$E$17,IF(AND(#REF!="Diferenciado",$H$4=#REF!),BDI!#REF!,IF(#REF!="ZERO",0))))),"")</f>
        <v>#REF!</v>
      </c>
      <c r="H2882" s="139" t="e">
        <f t="shared" ca="1" si="216"/>
        <v>#REF!</v>
      </c>
      <c r="I2882" s="137" t="e">
        <f t="shared" ca="1" si="217"/>
        <v>#REF!</v>
      </c>
      <c r="J2882" s="117"/>
      <c r="K2882" s="116">
        <v>0</v>
      </c>
      <c r="M2882" s="136" t="e">
        <f ca="1">OFFSET(INDEX([1]Composições!I:R,MATCH([1]Orçamentária!I2882,[1]Composições!I:I,0),8),2,0)</f>
        <v>#REF!</v>
      </c>
      <c r="N2882" t="e">
        <v>#REF!</v>
      </c>
      <c r="Q2882" t="e">
        <v>#REF!</v>
      </c>
    </row>
    <row r="2883" spans="1:17" hidden="1" x14ac:dyDescent="0.25">
      <c r="A2883" s="114" t="s">
        <v>6111</v>
      </c>
      <c r="B2883" s="115" t="s">
        <v>6112</v>
      </c>
      <c r="C2883" s="116" t="s">
        <v>69</v>
      </c>
      <c r="D2883" s="116">
        <v>0</v>
      </c>
      <c r="E2883" s="136">
        <f ca="1">OFFSET(INDEX(Composições!A:J,MATCH(Orçamentária!A2883,Composições!A:A,0),8),2,0)</f>
        <v>100.0445</v>
      </c>
      <c r="F2883" s="137">
        <f t="shared" ca="1" si="215"/>
        <v>0</v>
      </c>
      <c r="G2883" s="138" t="e">
        <f>IF(A2883&lt;&gt;"",IF(AND(#REF!="Padrão",$H$4=#REF!),BDI!$B$17,IF(AND(#REF!="Padrão",$H$4=#REF!),BDI!#REF!,IF(AND(#REF!="Diferenciado",$H$4=#REF!),BDI!$E$17,IF(AND(#REF!="Diferenciado",$H$4=#REF!),BDI!#REF!,IF(#REF!="ZERO",0))))),"")</f>
        <v>#REF!</v>
      </c>
      <c r="H2883" s="139" t="e">
        <f t="shared" ca="1" si="216"/>
        <v>#REF!</v>
      </c>
      <c r="I2883" s="137" t="e">
        <f t="shared" ca="1" si="217"/>
        <v>#REF!</v>
      </c>
      <c r="J2883" s="117"/>
      <c r="K2883" s="116">
        <v>0</v>
      </c>
      <c r="M2883" s="136" t="e">
        <f ca="1">OFFSET(INDEX([1]Composições!I:R,MATCH([1]Orçamentária!I2883,[1]Composições!I:I,0),8),2,0)</f>
        <v>#REF!</v>
      </c>
      <c r="N2883" t="e">
        <v>#REF!</v>
      </c>
      <c r="Q2883" t="e">
        <v>#REF!</v>
      </c>
    </row>
    <row r="2884" spans="1:17" hidden="1" x14ac:dyDescent="0.25">
      <c r="A2884" s="114" t="s">
        <v>6113</v>
      </c>
      <c r="B2884" s="115" t="s">
        <v>6114</v>
      </c>
      <c r="C2884" s="116" t="s">
        <v>69</v>
      </c>
      <c r="D2884" s="116">
        <v>0</v>
      </c>
      <c r="E2884" s="136">
        <f ca="1">OFFSET(INDEX(Composições!A:J,MATCH(Orçamentária!A2884,Composições!A:A,0),8),2,0)</f>
        <v>114.94049999999999</v>
      </c>
      <c r="F2884" s="137">
        <f t="shared" ca="1" si="215"/>
        <v>0</v>
      </c>
      <c r="G2884" s="138" t="e">
        <f>IF(A2884&lt;&gt;"",IF(AND(#REF!="Padrão",$H$4=#REF!),BDI!$B$17,IF(AND(#REF!="Padrão",$H$4=#REF!),BDI!#REF!,IF(AND(#REF!="Diferenciado",$H$4=#REF!),BDI!$E$17,IF(AND(#REF!="Diferenciado",$H$4=#REF!),BDI!#REF!,IF(#REF!="ZERO",0))))),"")</f>
        <v>#REF!</v>
      </c>
      <c r="H2884" s="139" t="e">
        <f t="shared" ca="1" si="216"/>
        <v>#REF!</v>
      </c>
      <c r="I2884" s="137" t="e">
        <f t="shared" ca="1" si="217"/>
        <v>#REF!</v>
      </c>
      <c r="J2884" s="117"/>
      <c r="K2884" s="116">
        <v>0</v>
      </c>
      <c r="M2884" s="136" t="e">
        <f ca="1">OFFSET(INDEX([1]Composições!I:R,MATCH([1]Orçamentária!I2884,[1]Composições!I:I,0),8),2,0)</f>
        <v>#REF!</v>
      </c>
      <c r="N2884" t="e">
        <v>#REF!</v>
      </c>
      <c r="Q2884" t="e">
        <v>#REF!</v>
      </c>
    </row>
    <row r="2885" spans="1:17" hidden="1" x14ac:dyDescent="0.25">
      <c r="A2885" s="114" t="s">
        <v>6115</v>
      </c>
      <c r="B2885" s="115" t="s">
        <v>6116</v>
      </c>
      <c r="C2885" s="116" t="s">
        <v>16</v>
      </c>
      <c r="D2885" s="116">
        <v>0</v>
      </c>
      <c r="E2885" s="136">
        <f ca="1">OFFSET(INDEX(Composições!A:J,MATCH(Orçamentária!A2885,Composições!A:A,0),8),2,0)</f>
        <v>35.0075</v>
      </c>
      <c r="F2885" s="137">
        <f t="shared" ca="1" si="215"/>
        <v>0</v>
      </c>
      <c r="G2885" s="138" t="e">
        <f>IF(A2885&lt;&gt;"",IF(AND(#REF!="Padrão",$H$4=#REF!),BDI!$B$17,IF(AND(#REF!="Padrão",$H$4=#REF!),BDI!#REF!,IF(AND(#REF!="Diferenciado",$H$4=#REF!),BDI!$E$17,IF(AND(#REF!="Diferenciado",$H$4=#REF!),BDI!#REF!,IF(#REF!="ZERO",0))))),"")</f>
        <v>#REF!</v>
      </c>
      <c r="H2885" s="139" t="e">
        <f t="shared" ca="1" si="216"/>
        <v>#REF!</v>
      </c>
      <c r="I2885" s="137" t="e">
        <f t="shared" ca="1" si="217"/>
        <v>#REF!</v>
      </c>
      <c r="J2885" s="117"/>
      <c r="K2885" s="116">
        <v>0</v>
      </c>
      <c r="M2885" s="136" t="e">
        <f ca="1">OFFSET(INDEX([1]Composições!I:R,MATCH([1]Orçamentária!I2885,[1]Composições!I:I,0),8),2,0)</f>
        <v>#REF!</v>
      </c>
      <c r="N2885" t="e">
        <v>#REF!</v>
      </c>
      <c r="Q2885" t="e">
        <v>#REF!</v>
      </c>
    </row>
    <row r="2886" spans="1:17" hidden="1" x14ac:dyDescent="0.25">
      <c r="A2886" s="114" t="s">
        <v>6117</v>
      </c>
      <c r="B2886" s="115" t="s">
        <v>6118</v>
      </c>
      <c r="C2886" s="116" t="s">
        <v>16</v>
      </c>
      <c r="D2886" s="116">
        <v>0</v>
      </c>
      <c r="E2886" s="136">
        <f ca="1">OFFSET(INDEX(Composições!A:J,MATCH(Orçamentária!A2886,Composições!A:A,0),8),2,0)</f>
        <v>53.58</v>
      </c>
      <c r="F2886" s="137">
        <f t="shared" ca="1" si="215"/>
        <v>0</v>
      </c>
      <c r="G2886" s="138" t="e">
        <f>IF(A2886&lt;&gt;"",IF(AND(#REF!="Padrão",$H$4=#REF!),BDI!$B$17,IF(AND(#REF!="Padrão",$H$4=#REF!),BDI!#REF!,IF(AND(#REF!="Diferenciado",$H$4=#REF!),BDI!$E$17,IF(AND(#REF!="Diferenciado",$H$4=#REF!),BDI!#REF!,IF(#REF!="ZERO",0))))),"")</f>
        <v>#REF!</v>
      </c>
      <c r="H2886" s="139" t="e">
        <f t="shared" ca="1" si="216"/>
        <v>#REF!</v>
      </c>
      <c r="I2886" s="137" t="e">
        <f t="shared" ca="1" si="217"/>
        <v>#REF!</v>
      </c>
      <c r="J2886" s="117"/>
      <c r="K2886" s="116">
        <v>0</v>
      </c>
      <c r="M2886" s="136" t="e">
        <f ca="1">OFFSET(INDEX([1]Composições!I:R,MATCH([1]Orçamentária!I2886,[1]Composições!I:I,0),8),2,0)</f>
        <v>#REF!</v>
      </c>
      <c r="N2886" t="e">
        <v>#REF!</v>
      </c>
      <c r="Q2886" t="e">
        <v>#REF!</v>
      </c>
    </row>
    <row r="2887" spans="1:17" hidden="1" x14ac:dyDescent="0.25">
      <c r="A2887" s="114" t="s">
        <v>6119</v>
      </c>
      <c r="B2887" s="115" t="s">
        <v>6120</v>
      </c>
      <c r="C2887" s="116" t="s">
        <v>16</v>
      </c>
      <c r="D2887" s="116">
        <v>0</v>
      </c>
      <c r="E2887" s="136">
        <f ca="1">OFFSET(INDEX(Composições!A:J,MATCH(Orçamentária!A2887,Composições!A:A,0),8),2,0)</f>
        <v>87.162499999999994</v>
      </c>
      <c r="F2887" s="137">
        <f t="shared" ca="1" si="215"/>
        <v>0</v>
      </c>
      <c r="G2887" s="138" t="e">
        <f>IF(A2887&lt;&gt;"",IF(AND(#REF!="Padrão",$H$4=#REF!),BDI!$B$17,IF(AND(#REF!="Padrão",$H$4=#REF!),BDI!#REF!,IF(AND(#REF!="Diferenciado",$H$4=#REF!),BDI!$E$17,IF(AND(#REF!="Diferenciado",$H$4=#REF!),BDI!#REF!,IF(#REF!="ZERO",0))))),"")</f>
        <v>#REF!</v>
      </c>
      <c r="H2887" s="139" t="e">
        <f t="shared" ca="1" si="216"/>
        <v>#REF!</v>
      </c>
      <c r="I2887" s="137" t="e">
        <f t="shared" ca="1" si="217"/>
        <v>#REF!</v>
      </c>
      <c r="J2887" s="117"/>
      <c r="K2887" s="116">
        <v>0</v>
      </c>
      <c r="M2887" s="136" t="e">
        <f ca="1">OFFSET(INDEX([1]Composições!I:R,MATCH([1]Orçamentária!I2887,[1]Composições!I:I,0),8),2,0)</f>
        <v>#REF!</v>
      </c>
      <c r="N2887" t="e">
        <v>#REF!</v>
      </c>
      <c r="Q2887" t="e">
        <v>#REF!</v>
      </c>
    </row>
    <row r="2888" spans="1:17" hidden="1" x14ac:dyDescent="0.25">
      <c r="A2888" s="114" t="s">
        <v>6121</v>
      </c>
      <c r="B2888" s="115" t="s">
        <v>6122</v>
      </c>
      <c r="C2888" s="116" t="s">
        <v>16</v>
      </c>
      <c r="D2888" s="116">
        <v>0</v>
      </c>
      <c r="E2888" s="136" t="s">
        <v>416</v>
      </c>
      <c r="F2888" s="137" t="str">
        <f t="shared" si="215"/>
        <v/>
      </c>
      <c r="G2888" s="138" t="e">
        <f>IF(A2888&lt;&gt;"",IF(AND(#REF!="Padrão",$H$4=#REF!),BDI!$B$17,IF(AND(#REF!="Padrão",$H$4=#REF!),BDI!#REF!,IF(AND(#REF!="Diferenciado",$H$4=#REF!),BDI!$E$17,IF(AND(#REF!="Diferenciado",$H$4=#REF!),BDI!#REF!,IF(#REF!="ZERO",0))))),"")</f>
        <v>#REF!</v>
      </c>
      <c r="H2888" s="139" t="str">
        <f t="shared" si="216"/>
        <v/>
      </c>
      <c r="I2888" s="137" t="str">
        <f t="shared" si="217"/>
        <v/>
      </c>
      <c r="J2888" s="117"/>
      <c r="K2888" s="116">
        <v>0</v>
      </c>
      <c r="M2888" s="136" t="s">
        <v>416</v>
      </c>
      <c r="N2888" t="e">
        <v>#REF!</v>
      </c>
      <c r="Q2888" t="s">
        <v>416</v>
      </c>
    </row>
    <row r="2889" spans="1:17" hidden="1" x14ac:dyDescent="0.25">
      <c r="A2889" s="114" t="s">
        <v>6123</v>
      </c>
      <c r="B2889" s="115" t="s">
        <v>6124</v>
      </c>
      <c r="C2889" s="116" t="s">
        <v>16</v>
      </c>
      <c r="D2889" s="116">
        <v>0</v>
      </c>
      <c r="E2889" s="136" t="s">
        <v>416</v>
      </c>
      <c r="F2889" s="137" t="str">
        <f t="shared" si="215"/>
        <v/>
      </c>
      <c r="G2889" s="138" t="e">
        <f>IF(A2889&lt;&gt;"",IF(AND(#REF!="Padrão",$H$4=#REF!),BDI!$B$17,IF(AND(#REF!="Padrão",$H$4=#REF!),BDI!#REF!,IF(AND(#REF!="Diferenciado",$H$4=#REF!),BDI!$E$17,IF(AND(#REF!="Diferenciado",$H$4=#REF!),BDI!#REF!,IF(#REF!="ZERO",0))))),"")</f>
        <v>#REF!</v>
      </c>
      <c r="H2889" s="139" t="str">
        <f t="shared" si="216"/>
        <v/>
      </c>
      <c r="I2889" s="137" t="str">
        <f t="shared" si="217"/>
        <v/>
      </c>
      <c r="J2889" s="117"/>
      <c r="K2889" s="116">
        <v>0</v>
      </c>
      <c r="M2889" s="136" t="s">
        <v>416</v>
      </c>
      <c r="N2889" t="e">
        <v>#REF!</v>
      </c>
      <c r="Q2889" t="s">
        <v>416</v>
      </c>
    </row>
    <row r="2890" spans="1:17" hidden="1" x14ac:dyDescent="0.25">
      <c r="A2890" s="114" t="s">
        <v>6125</v>
      </c>
      <c r="B2890" s="115" t="s">
        <v>6126</v>
      </c>
      <c r="C2890" s="116" t="s">
        <v>69</v>
      </c>
      <c r="D2890" s="116">
        <v>0</v>
      </c>
      <c r="E2890" s="136">
        <f ca="1">OFFSET(INDEX(Composições!A:J,MATCH(Orçamentária!A2890,Composições!A:A,0),8),2,0)</f>
        <v>316.77749999999997</v>
      </c>
      <c r="F2890" s="137">
        <f t="shared" ca="1" si="215"/>
        <v>0</v>
      </c>
      <c r="G2890" s="138" t="e">
        <f>IF(A2890&lt;&gt;"",IF(AND(#REF!="Padrão",$H$4=#REF!),BDI!$B$17,IF(AND(#REF!="Padrão",$H$4=#REF!),BDI!#REF!,IF(AND(#REF!="Diferenciado",$H$4=#REF!),BDI!$E$17,IF(AND(#REF!="Diferenciado",$H$4=#REF!),BDI!#REF!,IF(#REF!="ZERO",0))))),"")</f>
        <v>#REF!</v>
      </c>
      <c r="H2890" s="139" t="e">
        <f t="shared" ca="1" si="216"/>
        <v>#REF!</v>
      </c>
      <c r="I2890" s="137" t="e">
        <f t="shared" ca="1" si="217"/>
        <v>#REF!</v>
      </c>
      <c r="J2890" s="117"/>
      <c r="K2890" s="116">
        <v>0</v>
      </c>
      <c r="M2890" s="136" t="e">
        <f ca="1">OFFSET(INDEX([1]Composições!I:R,MATCH([1]Orçamentária!I2890,[1]Composições!I:I,0),8),2,0)</f>
        <v>#REF!</v>
      </c>
      <c r="N2890" t="e">
        <v>#REF!</v>
      </c>
      <c r="Q2890" t="e">
        <v>#REF!</v>
      </c>
    </row>
    <row r="2891" spans="1:17" hidden="1" x14ac:dyDescent="0.25">
      <c r="A2891" s="114" t="s">
        <v>6127</v>
      </c>
      <c r="B2891" s="115" t="s">
        <v>7361</v>
      </c>
      <c r="C2891" s="116" t="s">
        <v>69</v>
      </c>
      <c r="D2891" s="116">
        <v>0</v>
      </c>
      <c r="E2891" s="136">
        <f ca="1">OFFSET(INDEX(Composições!A:J,MATCH(Orçamentária!A2891,Composições!A:A,0),8),2,0)</f>
        <v>14.648999999999999</v>
      </c>
      <c r="F2891" s="137">
        <f t="shared" ca="1" si="215"/>
        <v>0</v>
      </c>
      <c r="G2891" s="138" t="e">
        <f>IF(A2891&lt;&gt;"",IF(AND(#REF!="Padrão",$H$4=#REF!),BDI!$B$17,IF(AND(#REF!="Padrão",$H$4=#REF!),BDI!#REF!,IF(AND(#REF!="Diferenciado",$H$4=#REF!),BDI!$E$17,IF(AND(#REF!="Diferenciado",$H$4=#REF!),BDI!#REF!,IF(#REF!="ZERO",0))))),"")</f>
        <v>#REF!</v>
      </c>
      <c r="H2891" s="139" t="e">
        <f t="shared" ca="1" si="216"/>
        <v>#REF!</v>
      </c>
      <c r="I2891" s="137" t="e">
        <f t="shared" ca="1" si="217"/>
        <v>#REF!</v>
      </c>
      <c r="J2891" s="117"/>
      <c r="K2891" s="116">
        <v>0</v>
      </c>
      <c r="M2891" s="136" t="e">
        <f ca="1">OFFSET(INDEX([1]Composições!I:R,MATCH([1]Orçamentária!I2891,[1]Composições!I:I,0),8),2,0)</f>
        <v>#REF!</v>
      </c>
      <c r="N2891" t="e">
        <v>#REF!</v>
      </c>
      <c r="Q2891" t="e">
        <v>#REF!</v>
      </c>
    </row>
    <row r="2892" spans="1:17" hidden="1" x14ac:dyDescent="0.25">
      <c r="A2892" s="114" t="s">
        <v>6128</v>
      </c>
      <c r="B2892" s="115" t="s">
        <v>7362</v>
      </c>
      <c r="C2892" s="116" t="s">
        <v>69</v>
      </c>
      <c r="D2892" s="116">
        <v>0</v>
      </c>
      <c r="E2892" s="136">
        <f ca="1">OFFSET(INDEX(Composições!A:J,MATCH(Orçamentária!A2892,Composições!A:A,0),8),2,0)</f>
        <v>38.294499999999999</v>
      </c>
      <c r="F2892" s="137">
        <f t="shared" ca="1" si="215"/>
        <v>0</v>
      </c>
      <c r="G2892" s="138" t="e">
        <f>IF(A2892&lt;&gt;"",IF(AND(#REF!="Padrão",$H$4=#REF!),BDI!$B$17,IF(AND(#REF!="Padrão",$H$4=#REF!),BDI!#REF!,IF(AND(#REF!="Diferenciado",$H$4=#REF!),BDI!$E$17,IF(AND(#REF!="Diferenciado",$H$4=#REF!),BDI!#REF!,IF(#REF!="ZERO",0))))),"")</f>
        <v>#REF!</v>
      </c>
      <c r="H2892" s="139" t="e">
        <f t="shared" ca="1" si="216"/>
        <v>#REF!</v>
      </c>
      <c r="I2892" s="137" t="e">
        <f t="shared" ca="1" si="217"/>
        <v>#REF!</v>
      </c>
      <c r="J2892" s="117"/>
      <c r="K2892" s="116">
        <v>0</v>
      </c>
      <c r="M2892" s="136" t="e">
        <f ca="1">OFFSET(INDEX([1]Composições!I:R,MATCH([1]Orçamentária!I2892,[1]Composições!I:I,0),8),2,0)</f>
        <v>#REF!</v>
      </c>
      <c r="N2892" t="e">
        <v>#REF!</v>
      </c>
      <c r="Q2892" t="e">
        <v>#REF!</v>
      </c>
    </row>
    <row r="2893" spans="1:17" hidden="1" x14ac:dyDescent="0.25">
      <c r="A2893" s="114" t="s">
        <v>6129</v>
      </c>
      <c r="B2893" s="115" t="s">
        <v>6130</v>
      </c>
      <c r="C2893" s="116" t="s">
        <v>69</v>
      </c>
      <c r="D2893" s="116">
        <v>0</v>
      </c>
      <c r="E2893" s="136">
        <f ca="1">OFFSET(INDEX(Composições!A:J,MATCH(Orçamentária!A2893,Composições!A:A,0),8),2,0)</f>
        <v>6.4029999999999996</v>
      </c>
      <c r="F2893" s="137">
        <f t="shared" ca="1" si="215"/>
        <v>0</v>
      </c>
      <c r="G2893" s="138" t="e">
        <f>IF(A2893&lt;&gt;"",IF(AND(#REF!="Padrão",$H$4=#REF!),BDI!$B$17,IF(AND(#REF!="Padrão",$H$4=#REF!),BDI!#REF!,IF(AND(#REF!="Diferenciado",$H$4=#REF!),BDI!$E$17,IF(AND(#REF!="Diferenciado",$H$4=#REF!),BDI!#REF!,IF(#REF!="ZERO",0))))),"")</f>
        <v>#REF!</v>
      </c>
      <c r="H2893" s="139" t="e">
        <f t="shared" ca="1" si="216"/>
        <v>#REF!</v>
      </c>
      <c r="I2893" s="137" t="e">
        <f t="shared" ca="1" si="217"/>
        <v>#REF!</v>
      </c>
      <c r="J2893" s="117"/>
      <c r="K2893" s="116">
        <v>0</v>
      </c>
      <c r="M2893" s="136" t="e">
        <f ca="1">OFFSET(INDEX([1]Composições!I:R,MATCH([1]Orçamentária!I2893,[1]Composições!I:I,0),8),2,0)</f>
        <v>#REF!</v>
      </c>
      <c r="N2893" t="e">
        <v>#REF!</v>
      </c>
      <c r="Q2893" t="e">
        <v>#REF!</v>
      </c>
    </row>
    <row r="2894" spans="1:17" hidden="1" x14ac:dyDescent="0.25">
      <c r="A2894" s="114" t="s">
        <v>6131</v>
      </c>
      <c r="B2894" s="115" t="s">
        <v>7363</v>
      </c>
      <c r="C2894" s="116" t="s">
        <v>69</v>
      </c>
      <c r="D2894" s="116">
        <v>0</v>
      </c>
      <c r="E2894" s="136">
        <f ca="1">OFFSET(INDEX(Composições!A:J,MATCH(Orçamentária!A2894,Composições!A:A,0),8),2,0)</f>
        <v>10.563999999999998</v>
      </c>
      <c r="F2894" s="137">
        <f t="shared" ca="1" si="215"/>
        <v>0</v>
      </c>
      <c r="G2894" s="138" t="e">
        <f>IF(A2894&lt;&gt;"",IF(AND(#REF!="Padrão",$H$4=#REF!),BDI!$B$17,IF(AND(#REF!="Padrão",$H$4=#REF!),BDI!#REF!,IF(AND(#REF!="Diferenciado",$H$4=#REF!),BDI!$E$17,IF(AND(#REF!="Diferenciado",$H$4=#REF!),BDI!#REF!,IF(#REF!="ZERO",0))))),"")</f>
        <v>#REF!</v>
      </c>
      <c r="H2894" s="139" t="e">
        <f t="shared" ca="1" si="216"/>
        <v>#REF!</v>
      </c>
      <c r="I2894" s="137" t="e">
        <f t="shared" ca="1" si="217"/>
        <v>#REF!</v>
      </c>
      <c r="J2894" s="117"/>
      <c r="K2894" s="116">
        <v>0</v>
      </c>
      <c r="M2894" s="136" t="e">
        <f ca="1">OFFSET(INDEX([1]Composições!I:R,MATCH([1]Orçamentária!I2894,[1]Composições!I:I,0),8),2,0)</f>
        <v>#REF!</v>
      </c>
      <c r="N2894" t="e">
        <v>#REF!</v>
      </c>
      <c r="Q2894" t="e">
        <v>#REF!</v>
      </c>
    </row>
    <row r="2895" spans="1:17" hidden="1" x14ac:dyDescent="0.25">
      <c r="A2895" s="114" t="s">
        <v>6132</v>
      </c>
      <c r="B2895" s="115" t="s">
        <v>7364</v>
      </c>
      <c r="C2895" s="116" t="s">
        <v>69</v>
      </c>
      <c r="D2895" s="116">
        <v>0</v>
      </c>
      <c r="E2895" s="136">
        <f ca="1">OFFSET(INDEX(Composições!A:J,MATCH(Orçamentária!A2895,Composições!A:A,0),8),2,0)</f>
        <v>13.87</v>
      </c>
      <c r="F2895" s="137">
        <f t="shared" ca="1" si="215"/>
        <v>0</v>
      </c>
      <c r="G2895" s="138" t="e">
        <f>IF(A2895&lt;&gt;"",IF(AND(#REF!="Padrão",$H$4=#REF!),BDI!$B$17,IF(AND(#REF!="Padrão",$H$4=#REF!),BDI!#REF!,IF(AND(#REF!="Diferenciado",$H$4=#REF!),BDI!$E$17,IF(AND(#REF!="Diferenciado",$H$4=#REF!),BDI!#REF!,IF(#REF!="ZERO",0))))),"")</f>
        <v>#REF!</v>
      </c>
      <c r="H2895" s="139" t="e">
        <f t="shared" ca="1" si="216"/>
        <v>#REF!</v>
      </c>
      <c r="I2895" s="137" t="e">
        <f t="shared" ca="1" si="217"/>
        <v>#REF!</v>
      </c>
      <c r="J2895" s="117"/>
      <c r="K2895" s="116">
        <v>0</v>
      </c>
      <c r="M2895" s="136" t="e">
        <f ca="1">OFFSET(INDEX([1]Composições!I:R,MATCH([1]Orçamentária!I2895,[1]Composições!I:I,0),8),2,0)</f>
        <v>#REF!</v>
      </c>
      <c r="N2895" t="e">
        <v>#REF!</v>
      </c>
      <c r="Q2895" t="e">
        <v>#REF!</v>
      </c>
    </row>
    <row r="2896" spans="1:17" hidden="1" x14ac:dyDescent="0.25">
      <c r="A2896" s="114" t="s">
        <v>6133</v>
      </c>
      <c r="B2896" s="115" t="s">
        <v>6134</v>
      </c>
      <c r="C2896" s="116" t="s">
        <v>69</v>
      </c>
      <c r="D2896" s="116">
        <v>0</v>
      </c>
      <c r="E2896" s="136">
        <f ca="1">OFFSET(INDEX(Composições!A:J,MATCH(Orçamentária!A2896,Composições!A:A,0),8),2,0)</f>
        <v>30.960500000000003</v>
      </c>
      <c r="F2896" s="137">
        <f t="shared" ca="1" si="215"/>
        <v>0</v>
      </c>
      <c r="G2896" s="138" t="e">
        <f>IF(A2896&lt;&gt;"",IF(AND(#REF!="Padrão",$H$4=#REF!),BDI!$B$17,IF(AND(#REF!="Padrão",$H$4=#REF!),BDI!#REF!,IF(AND(#REF!="Diferenciado",$H$4=#REF!),BDI!$E$17,IF(AND(#REF!="Diferenciado",$H$4=#REF!),BDI!#REF!,IF(#REF!="ZERO",0))))),"")</f>
        <v>#REF!</v>
      </c>
      <c r="H2896" s="139" t="e">
        <f t="shared" ca="1" si="216"/>
        <v>#REF!</v>
      </c>
      <c r="I2896" s="137" t="e">
        <f t="shared" ca="1" si="217"/>
        <v>#REF!</v>
      </c>
      <c r="J2896" s="117"/>
      <c r="K2896" s="116">
        <v>0</v>
      </c>
      <c r="M2896" s="136" t="e">
        <f ca="1">OFFSET(INDEX([1]Composições!I:R,MATCH([1]Orçamentária!I2896,[1]Composições!I:I,0),8),2,0)</f>
        <v>#REF!</v>
      </c>
      <c r="N2896" t="e">
        <v>#REF!</v>
      </c>
      <c r="Q2896" t="e">
        <v>#REF!</v>
      </c>
    </row>
    <row r="2897" spans="1:17" hidden="1" x14ac:dyDescent="0.25">
      <c r="A2897" s="114" t="s">
        <v>6135</v>
      </c>
      <c r="B2897" s="115" t="s">
        <v>6136</v>
      </c>
      <c r="C2897" s="116" t="s">
        <v>69</v>
      </c>
      <c r="D2897" s="116">
        <v>0</v>
      </c>
      <c r="E2897" s="136">
        <f ca="1">OFFSET(INDEX(Composições!A:J,MATCH(Orçamentária!A2897,Composições!A:A,0),8),2,0)</f>
        <v>20.985499999999998</v>
      </c>
      <c r="F2897" s="137">
        <f t="shared" ca="1" si="215"/>
        <v>0</v>
      </c>
      <c r="G2897" s="138" t="e">
        <f>IF(A2897&lt;&gt;"",IF(AND(#REF!="Padrão",$H$4=#REF!),BDI!$B$17,IF(AND(#REF!="Padrão",$H$4=#REF!),BDI!#REF!,IF(AND(#REF!="Diferenciado",$H$4=#REF!),BDI!$E$17,IF(AND(#REF!="Diferenciado",$H$4=#REF!),BDI!#REF!,IF(#REF!="ZERO",0))))),"")</f>
        <v>#REF!</v>
      </c>
      <c r="H2897" s="139" t="e">
        <f t="shared" ca="1" si="216"/>
        <v>#REF!</v>
      </c>
      <c r="I2897" s="137" t="e">
        <f t="shared" ca="1" si="217"/>
        <v>#REF!</v>
      </c>
      <c r="J2897" s="117"/>
      <c r="K2897" s="116">
        <v>0</v>
      </c>
      <c r="M2897" s="136" t="e">
        <f ca="1">OFFSET(INDEX([1]Composições!I:R,MATCH([1]Orçamentária!I2897,[1]Composições!I:I,0),8),2,0)</f>
        <v>#REF!</v>
      </c>
      <c r="N2897" t="e">
        <v>#REF!</v>
      </c>
      <c r="Q2897" t="e">
        <v>#REF!</v>
      </c>
    </row>
    <row r="2898" spans="1:17" hidden="1" x14ac:dyDescent="0.25">
      <c r="A2898" s="114" t="s">
        <v>6137</v>
      </c>
      <c r="B2898" s="115" t="s">
        <v>6138</v>
      </c>
      <c r="C2898" s="116" t="s">
        <v>69</v>
      </c>
      <c r="D2898" s="116">
        <v>0</v>
      </c>
      <c r="E2898" s="136">
        <f ca="1">OFFSET(INDEX(Composições!A:J,MATCH(Orçamentária!A2898,Composições!A:A,0),8),2,0)</f>
        <v>60.704999999999998</v>
      </c>
      <c r="F2898" s="137">
        <f t="shared" ca="1" si="215"/>
        <v>0</v>
      </c>
      <c r="G2898" s="138" t="e">
        <f>IF(A2898&lt;&gt;"",IF(AND(#REF!="Padrão",$H$4=#REF!),BDI!$B$17,IF(AND(#REF!="Padrão",$H$4=#REF!),BDI!#REF!,IF(AND(#REF!="Diferenciado",$H$4=#REF!),BDI!$E$17,IF(AND(#REF!="Diferenciado",$H$4=#REF!),BDI!#REF!,IF(#REF!="ZERO",0))))),"")</f>
        <v>#REF!</v>
      </c>
      <c r="H2898" s="139" t="e">
        <f t="shared" ca="1" si="216"/>
        <v>#REF!</v>
      </c>
      <c r="I2898" s="137" t="e">
        <f t="shared" ca="1" si="217"/>
        <v>#REF!</v>
      </c>
      <c r="J2898" s="117"/>
      <c r="K2898" s="116">
        <v>0</v>
      </c>
      <c r="M2898" s="136" t="e">
        <f ca="1">OFFSET(INDEX([1]Composições!I:R,MATCH([1]Orçamentária!I2898,[1]Composições!I:I,0),8),2,0)</f>
        <v>#REF!</v>
      </c>
      <c r="N2898" t="e">
        <v>#REF!</v>
      </c>
      <c r="Q2898" t="e">
        <v>#REF!</v>
      </c>
    </row>
    <row r="2899" spans="1:17" hidden="1" x14ac:dyDescent="0.25">
      <c r="A2899" s="114" t="s">
        <v>6139</v>
      </c>
      <c r="B2899" s="115" t="s">
        <v>6140</v>
      </c>
      <c r="C2899" s="116" t="s">
        <v>69</v>
      </c>
      <c r="D2899" s="116">
        <v>0</v>
      </c>
      <c r="E2899" s="136">
        <f ca="1">OFFSET(INDEX(Composições!A:J,MATCH(Orçamentária!A2899,Composições!A:A,0),8),2,0)</f>
        <v>44.308</v>
      </c>
      <c r="F2899" s="137">
        <f t="shared" ca="1" si="215"/>
        <v>0</v>
      </c>
      <c r="G2899" s="138" t="e">
        <f>IF(A2899&lt;&gt;"",IF(AND(#REF!="Padrão",$H$4=#REF!),BDI!$B$17,IF(AND(#REF!="Padrão",$H$4=#REF!),BDI!#REF!,IF(AND(#REF!="Diferenciado",$H$4=#REF!),BDI!$E$17,IF(AND(#REF!="Diferenciado",$H$4=#REF!),BDI!#REF!,IF(#REF!="ZERO",0))))),"")</f>
        <v>#REF!</v>
      </c>
      <c r="H2899" s="139" t="e">
        <f t="shared" ca="1" si="216"/>
        <v>#REF!</v>
      </c>
      <c r="I2899" s="137" t="e">
        <f t="shared" ca="1" si="217"/>
        <v>#REF!</v>
      </c>
      <c r="J2899" s="117"/>
      <c r="K2899" s="116">
        <v>0</v>
      </c>
      <c r="M2899" s="136" t="e">
        <f ca="1">OFFSET(INDEX([1]Composições!I:R,MATCH([1]Orçamentária!I2899,[1]Composições!I:I,0),8),2,0)</f>
        <v>#REF!</v>
      </c>
      <c r="N2899" t="e">
        <v>#REF!</v>
      </c>
      <c r="Q2899" t="e">
        <v>#REF!</v>
      </c>
    </row>
    <row r="2900" spans="1:17" hidden="1" x14ac:dyDescent="0.25">
      <c r="A2900" s="114" t="s">
        <v>6141</v>
      </c>
      <c r="B2900" s="115" t="s">
        <v>6142</v>
      </c>
      <c r="C2900" s="116" t="s">
        <v>69</v>
      </c>
      <c r="D2900" s="116">
        <v>0</v>
      </c>
      <c r="E2900" s="136">
        <f ca="1">OFFSET(INDEX(Composições!A:J,MATCH(Orçamentária!A2900,Composições!A:A,0),8),2,0)</f>
        <v>0</v>
      </c>
      <c r="F2900" s="137">
        <f t="shared" ca="1" si="215"/>
        <v>0</v>
      </c>
      <c r="G2900" s="138" t="e">
        <f>IF(A2900&lt;&gt;"",IF(AND(#REF!="Padrão",$H$4=#REF!),BDI!$B$17,IF(AND(#REF!="Padrão",$H$4=#REF!),BDI!#REF!,IF(AND(#REF!="Diferenciado",$H$4=#REF!),BDI!$E$17,IF(AND(#REF!="Diferenciado",$H$4=#REF!),BDI!#REF!,IF(#REF!="ZERO",0))))),"")</f>
        <v>#REF!</v>
      </c>
      <c r="H2900" s="139" t="e">
        <f t="shared" ca="1" si="216"/>
        <v>#REF!</v>
      </c>
      <c r="I2900" s="137" t="e">
        <f t="shared" ca="1" si="217"/>
        <v>#REF!</v>
      </c>
      <c r="J2900" s="117"/>
      <c r="K2900" s="116">
        <v>0</v>
      </c>
      <c r="M2900" s="136" t="e">
        <f ca="1">OFFSET(INDEX([1]Composições!I:R,MATCH([1]Orçamentária!I2900,[1]Composições!I:I,0),8),2,0)</f>
        <v>#REF!</v>
      </c>
      <c r="N2900" t="e">
        <v>#REF!</v>
      </c>
      <c r="Q2900" t="e">
        <v>#REF!</v>
      </c>
    </row>
    <row r="2901" spans="1:17" hidden="1" x14ac:dyDescent="0.25">
      <c r="A2901" s="114" t="s">
        <v>6143</v>
      </c>
      <c r="B2901" s="115" t="s">
        <v>6144</v>
      </c>
      <c r="C2901" s="116" t="s">
        <v>69</v>
      </c>
      <c r="D2901" s="116">
        <v>0</v>
      </c>
      <c r="E2901" s="136">
        <f ca="1">OFFSET(INDEX(Composições!A:J,MATCH(Orçamentária!A2901,Composições!A:A,0),8),2,0)</f>
        <v>10.041499999999999</v>
      </c>
      <c r="F2901" s="137">
        <f t="shared" ca="1" si="215"/>
        <v>0</v>
      </c>
      <c r="G2901" s="138" t="e">
        <f>IF(A2901&lt;&gt;"",IF(AND(#REF!="Padrão",$H$4=#REF!),BDI!$B$17,IF(AND(#REF!="Padrão",$H$4=#REF!),BDI!#REF!,IF(AND(#REF!="Diferenciado",$H$4=#REF!),BDI!$E$17,IF(AND(#REF!="Diferenciado",$H$4=#REF!),BDI!#REF!,IF(#REF!="ZERO",0))))),"")</f>
        <v>#REF!</v>
      </c>
      <c r="H2901" s="139" t="e">
        <f t="shared" ca="1" si="216"/>
        <v>#REF!</v>
      </c>
      <c r="I2901" s="137" t="e">
        <f t="shared" ca="1" si="217"/>
        <v>#REF!</v>
      </c>
      <c r="J2901" s="117"/>
      <c r="K2901" s="116">
        <v>0</v>
      </c>
      <c r="M2901" s="136" t="e">
        <f ca="1">OFFSET(INDEX([1]Composições!I:R,MATCH([1]Orçamentária!I2901,[1]Composições!I:I,0),8),2,0)</f>
        <v>#REF!</v>
      </c>
      <c r="N2901" t="e">
        <v>#REF!</v>
      </c>
      <c r="Q2901" t="e">
        <v>#REF!</v>
      </c>
    </row>
    <row r="2902" spans="1:17" hidden="1" x14ac:dyDescent="0.25">
      <c r="A2902" s="114" t="s">
        <v>6145</v>
      </c>
      <c r="B2902" s="115" t="s">
        <v>6146</v>
      </c>
      <c r="C2902" s="116" t="s">
        <v>69</v>
      </c>
      <c r="D2902" s="116">
        <v>0</v>
      </c>
      <c r="E2902" s="136">
        <f ca="1">OFFSET(INDEX(Composições!A:J,MATCH(Orçamentária!A2902,Composições!A:A,0),8),2,0)</f>
        <v>0</v>
      </c>
      <c r="F2902" s="137">
        <f t="shared" ca="1" si="215"/>
        <v>0</v>
      </c>
      <c r="G2902" s="138" t="e">
        <f>IF(A2902&lt;&gt;"",IF(AND(#REF!="Padrão",$H$4=#REF!),BDI!$B$17,IF(AND(#REF!="Padrão",$H$4=#REF!),BDI!#REF!,IF(AND(#REF!="Diferenciado",$H$4=#REF!),BDI!$E$17,IF(AND(#REF!="Diferenciado",$H$4=#REF!),BDI!#REF!,IF(#REF!="ZERO",0))))),"")</f>
        <v>#REF!</v>
      </c>
      <c r="H2902" s="139" t="e">
        <f t="shared" ca="1" si="216"/>
        <v>#REF!</v>
      </c>
      <c r="I2902" s="137" t="e">
        <f t="shared" ca="1" si="217"/>
        <v>#REF!</v>
      </c>
      <c r="J2902" s="117"/>
      <c r="K2902" s="116">
        <v>0</v>
      </c>
      <c r="M2902" s="136" t="e">
        <f ca="1">OFFSET(INDEX([1]Composições!I:R,MATCH([1]Orçamentária!I2902,[1]Composições!I:I,0),8),2,0)</f>
        <v>#REF!</v>
      </c>
      <c r="N2902" t="e">
        <v>#REF!</v>
      </c>
      <c r="Q2902" t="e">
        <v>#REF!</v>
      </c>
    </row>
    <row r="2903" spans="1:17" hidden="1" x14ac:dyDescent="0.25">
      <c r="A2903" s="114" t="s">
        <v>6147</v>
      </c>
      <c r="B2903" s="115" t="s">
        <v>6148</v>
      </c>
      <c r="C2903" s="116" t="s">
        <v>69</v>
      </c>
      <c r="D2903" s="116">
        <v>0</v>
      </c>
      <c r="E2903" s="136" t="s">
        <v>416</v>
      </c>
      <c r="F2903" s="137" t="str">
        <f t="shared" ref="F2903:F2966" si="218">IF(ISNUMBER(E2903),D2903*E2903,"")</f>
        <v/>
      </c>
      <c r="G2903" s="138" t="e">
        <f>IF(A2903&lt;&gt;"",IF(AND(#REF!="Padrão",$H$4=#REF!),BDI!$B$17,IF(AND(#REF!="Padrão",$H$4=#REF!),BDI!#REF!,IF(AND(#REF!="Diferenciado",$H$4=#REF!),BDI!$E$17,IF(AND(#REF!="Diferenciado",$H$4=#REF!),BDI!#REF!,IF(#REF!="ZERO",0))))),"")</f>
        <v>#REF!</v>
      </c>
      <c r="H2903" s="139" t="str">
        <f t="shared" ref="H2903:H2966" si="219">IF(ISNUMBER(E2903),ROUND(E2903*(1+G2903),2),"")</f>
        <v/>
      </c>
      <c r="I2903" s="137" t="str">
        <f t="shared" ref="I2903:I2966" si="220">IF(ISNUMBER(E2903),ROUND(H2903*D2903,2),"")</f>
        <v/>
      </c>
      <c r="J2903" s="117"/>
      <c r="K2903" s="116">
        <v>0</v>
      </c>
      <c r="M2903" s="136" t="s">
        <v>416</v>
      </c>
      <c r="N2903" t="e">
        <v>#REF!</v>
      </c>
      <c r="Q2903" t="s">
        <v>416</v>
      </c>
    </row>
    <row r="2904" spans="1:17" hidden="1" x14ac:dyDescent="0.25">
      <c r="A2904" s="114" t="s">
        <v>6149</v>
      </c>
      <c r="B2904" s="115" t="s">
        <v>7355</v>
      </c>
      <c r="C2904" s="116" t="s">
        <v>69</v>
      </c>
      <c r="D2904" s="116">
        <v>0</v>
      </c>
      <c r="E2904" s="136">
        <f ca="1">OFFSET(INDEX(Composições!A:J,MATCH(Orçamentária!A2904,Composições!A:A,0),8),2,0)</f>
        <v>3.6385000000000001</v>
      </c>
      <c r="F2904" s="137">
        <f t="shared" ca="1" si="218"/>
        <v>0</v>
      </c>
      <c r="G2904" s="138" t="e">
        <f>IF(A2904&lt;&gt;"",IF(AND(#REF!="Padrão",$H$4=#REF!),BDI!$B$17,IF(AND(#REF!="Padrão",$H$4=#REF!),BDI!#REF!,IF(AND(#REF!="Diferenciado",$H$4=#REF!),BDI!$E$17,IF(AND(#REF!="Diferenciado",$H$4=#REF!),BDI!#REF!,IF(#REF!="ZERO",0))))),"")</f>
        <v>#REF!</v>
      </c>
      <c r="H2904" s="139" t="e">
        <f t="shared" ca="1" si="219"/>
        <v>#REF!</v>
      </c>
      <c r="I2904" s="137" t="e">
        <f t="shared" ca="1" si="220"/>
        <v>#REF!</v>
      </c>
      <c r="J2904" s="117"/>
      <c r="K2904" s="116">
        <v>0</v>
      </c>
      <c r="M2904" s="136" t="e">
        <f ca="1">OFFSET(INDEX([1]Composições!I:R,MATCH([1]Orçamentária!I2904,[1]Composições!I:I,0),8),2,0)</f>
        <v>#REF!</v>
      </c>
      <c r="N2904" t="e">
        <v>#REF!</v>
      </c>
      <c r="Q2904" t="e">
        <v>#REF!</v>
      </c>
    </row>
    <row r="2905" spans="1:17" hidden="1" x14ac:dyDescent="0.25">
      <c r="A2905" s="114" t="s">
        <v>6150</v>
      </c>
      <c r="B2905" s="115" t="s">
        <v>7356</v>
      </c>
      <c r="C2905" s="116" t="s">
        <v>69</v>
      </c>
      <c r="D2905" s="116">
        <v>0</v>
      </c>
      <c r="E2905" s="136">
        <f ca="1">OFFSET(INDEX(Composições!A:J,MATCH(Orçamentária!A2905,Composições!A:A,0),8),2,0)</f>
        <v>4.1040000000000001</v>
      </c>
      <c r="F2905" s="137">
        <f t="shared" ca="1" si="218"/>
        <v>0</v>
      </c>
      <c r="G2905" s="138" t="e">
        <f>IF(A2905&lt;&gt;"",IF(AND(#REF!="Padrão",$H$4=#REF!),BDI!$B$17,IF(AND(#REF!="Padrão",$H$4=#REF!),BDI!#REF!,IF(AND(#REF!="Diferenciado",$H$4=#REF!),BDI!$E$17,IF(AND(#REF!="Diferenciado",$H$4=#REF!),BDI!#REF!,IF(#REF!="ZERO",0))))),"")</f>
        <v>#REF!</v>
      </c>
      <c r="H2905" s="139" t="e">
        <f t="shared" ca="1" si="219"/>
        <v>#REF!</v>
      </c>
      <c r="I2905" s="137" t="e">
        <f t="shared" ca="1" si="220"/>
        <v>#REF!</v>
      </c>
      <c r="J2905" s="117"/>
      <c r="K2905" s="116">
        <v>0</v>
      </c>
      <c r="M2905" s="136" t="e">
        <f ca="1">OFFSET(INDEX([1]Composições!I:R,MATCH([1]Orçamentária!I2905,[1]Composições!I:I,0),8),2,0)</f>
        <v>#REF!</v>
      </c>
      <c r="N2905" t="e">
        <v>#REF!</v>
      </c>
      <c r="Q2905" t="e">
        <v>#REF!</v>
      </c>
    </row>
    <row r="2906" spans="1:17" hidden="1" x14ac:dyDescent="0.25">
      <c r="A2906" s="114" t="s">
        <v>6151</v>
      </c>
      <c r="B2906" s="115" t="s">
        <v>7357</v>
      </c>
      <c r="C2906" s="116" t="s">
        <v>69</v>
      </c>
      <c r="D2906" s="116">
        <v>0</v>
      </c>
      <c r="E2906" s="136">
        <f ca="1">OFFSET(INDEX(Composições!A:J,MATCH(Orçamentária!A2906,Composições!A:A,0),8),2,0)</f>
        <v>8.8539999999999992</v>
      </c>
      <c r="F2906" s="137">
        <f t="shared" ca="1" si="218"/>
        <v>0</v>
      </c>
      <c r="G2906" s="138" t="e">
        <f>IF(A2906&lt;&gt;"",IF(AND(#REF!="Padrão",$H$4=#REF!),BDI!$B$17,IF(AND(#REF!="Padrão",$H$4=#REF!),BDI!#REF!,IF(AND(#REF!="Diferenciado",$H$4=#REF!),BDI!$E$17,IF(AND(#REF!="Diferenciado",$H$4=#REF!),BDI!#REF!,IF(#REF!="ZERO",0))))),"")</f>
        <v>#REF!</v>
      </c>
      <c r="H2906" s="139" t="e">
        <f t="shared" ca="1" si="219"/>
        <v>#REF!</v>
      </c>
      <c r="I2906" s="137" t="e">
        <f t="shared" ca="1" si="220"/>
        <v>#REF!</v>
      </c>
      <c r="J2906" s="117"/>
      <c r="K2906" s="116">
        <v>0</v>
      </c>
      <c r="M2906" s="136" t="e">
        <f ca="1">OFFSET(INDEX([1]Composições!I:R,MATCH([1]Orçamentária!I2906,[1]Composições!I:I,0),8),2,0)</f>
        <v>#REF!</v>
      </c>
      <c r="N2906" t="e">
        <v>#REF!</v>
      </c>
      <c r="Q2906" t="e">
        <v>#REF!</v>
      </c>
    </row>
    <row r="2907" spans="1:17" hidden="1" x14ac:dyDescent="0.25">
      <c r="A2907" s="114" t="s">
        <v>6152</v>
      </c>
      <c r="B2907" s="115" t="s">
        <v>7358</v>
      </c>
      <c r="C2907" s="116" t="s">
        <v>69</v>
      </c>
      <c r="D2907" s="116">
        <v>0</v>
      </c>
      <c r="E2907" s="136">
        <f ca="1">OFFSET(INDEX(Composições!A:J,MATCH(Orçamentária!A2907,Composições!A:A,0),8),2,0)</f>
        <v>13.907999999999999</v>
      </c>
      <c r="F2907" s="137">
        <f t="shared" ca="1" si="218"/>
        <v>0</v>
      </c>
      <c r="G2907" s="138" t="e">
        <f>IF(A2907&lt;&gt;"",IF(AND(#REF!="Padrão",$H$4=#REF!),BDI!$B$17,IF(AND(#REF!="Padrão",$H$4=#REF!),BDI!#REF!,IF(AND(#REF!="Diferenciado",$H$4=#REF!),BDI!$E$17,IF(AND(#REF!="Diferenciado",$H$4=#REF!),BDI!#REF!,IF(#REF!="ZERO",0))))),"")</f>
        <v>#REF!</v>
      </c>
      <c r="H2907" s="139" t="e">
        <f t="shared" ca="1" si="219"/>
        <v>#REF!</v>
      </c>
      <c r="I2907" s="137" t="e">
        <f t="shared" ca="1" si="220"/>
        <v>#REF!</v>
      </c>
      <c r="J2907" s="117"/>
      <c r="K2907" s="116">
        <v>0</v>
      </c>
      <c r="M2907" s="136" t="e">
        <f ca="1">OFFSET(INDEX([1]Composições!I:R,MATCH([1]Orçamentária!I2907,[1]Composições!I:I,0),8),2,0)</f>
        <v>#REF!</v>
      </c>
      <c r="N2907" t="e">
        <v>#REF!</v>
      </c>
      <c r="Q2907" t="e">
        <v>#REF!</v>
      </c>
    </row>
    <row r="2908" spans="1:17" hidden="1" x14ac:dyDescent="0.25">
      <c r="A2908" s="114" t="s">
        <v>6153</v>
      </c>
      <c r="B2908" s="115" t="s">
        <v>7359</v>
      </c>
      <c r="C2908" s="116" t="s">
        <v>69</v>
      </c>
      <c r="D2908" s="116">
        <v>0</v>
      </c>
      <c r="E2908" s="136">
        <f ca="1">OFFSET(INDEX(Composições!A:J,MATCH(Orçamentária!A2908,Composições!A:A,0),8),2,0)</f>
        <v>15.256999999999998</v>
      </c>
      <c r="F2908" s="137">
        <f t="shared" ca="1" si="218"/>
        <v>0</v>
      </c>
      <c r="G2908" s="138" t="e">
        <f>IF(A2908&lt;&gt;"",IF(AND(#REF!="Padrão",$H$4=#REF!),BDI!$B$17,IF(AND(#REF!="Padrão",$H$4=#REF!),BDI!#REF!,IF(AND(#REF!="Diferenciado",$H$4=#REF!),BDI!$E$17,IF(AND(#REF!="Diferenciado",$H$4=#REF!),BDI!#REF!,IF(#REF!="ZERO",0))))),"")</f>
        <v>#REF!</v>
      </c>
      <c r="H2908" s="139" t="e">
        <f t="shared" ca="1" si="219"/>
        <v>#REF!</v>
      </c>
      <c r="I2908" s="137" t="e">
        <f t="shared" ca="1" si="220"/>
        <v>#REF!</v>
      </c>
      <c r="J2908" s="117"/>
      <c r="K2908" s="116">
        <v>0</v>
      </c>
      <c r="M2908" s="136" t="e">
        <f ca="1">OFFSET(INDEX([1]Composições!I:R,MATCH([1]Orçamentária!I2908,[1]Composições!I:I,0),8),2,0)</f>
        <v>#REF!</v>
      </c>
      <c r="N2908" t="e">
        <v>#REF!</v>
      </c>
      <c r="Q2908" t="e">
        <v>#REF!</v>
      </c>
    </row>
    <row r="2909" spans="1:17" hidden="1" x14ac:dyDescent="0.25">
      <c r="A2909" s="114" t="s">
        <v>6154</v>
      </c>
      <c r="B2909" s="115" t="s">
        <v>7360</v>
      </c>
      <c r="C2909" s="116" t="s">
        <v>69</v>
      </c>
      <c r="D2909" s="116">
        <v>0</v>
      </c>
      <c r="E2909" s="136">
        <f ca="1">OFFSET(INDEX(Composições!A:J,MATCH(Orçamentária!A2909,Composições!A:A,0),8),2,0)</f>
        <v>25.099</v>
      </c>
      <c r="F2909" s="137">
        <f t="shared" ca="1" si="218"/>
        <v>0</v>
      </c>
      <c r="G2909" s="138" t="e">
        <f>IF(A2909&lt;&gt;"",IF(AND(#REF!="Padrão",$H$4=#REF!),BDI!$B$17,IF(AND(#REF!="Padrão",$H$4=#REF!),BDI!#REF!,IF(AND(#REF!="Diferenciado",$H$4=#REF!),BDI!$E$17,IF(AND(#REF!="Diferenciado",$H$4=#REF!),BDI!#REF!,IF(#REF!="ZERO",0))))),"")</f>
        <v>#REF!</v>
      </c>
      <c r="H2909" s="139" t="e">
        <f t="shared" ca="1" si="219"/>
        <v>#REF!</v>
      </c>
      <c r="I2909" s="137" t="e">
        <f t="shared" ca="1" si="220"/>
        <v>#REF!</v>
      </c>
      <c r="J2909" s="117"/>
      <c r="K2909" s="116">
        <v>0</v>
      </c>
      <c r="M2909" s="136" t="e">
        <f ca="1">OFFSET(INDEX([1]Composições!I:R,MATCH([1]Orçamentária!I2909,[1]Composições!I:I,0),8),2,0)</f>
        <v>#REF!</v>
      </c>
      <c r="N2909" t="e">
        <v>#REF!</v>
      </c>
      <c r="Q2909" t="e">
        <v>#REF!</v>
      </c>
    </row>
    <row r="2910" spans="1:17" hidden="1" x14ac:dyDescent="0.25">
      <c r="A2910" s="114" t="s">
        <v>6155</v>
      </c>
      <c r="B2910" s="115" t="s">
        <v>6156</v>
      </c>
      <c r="C2910" s="116" t="s">
        <v>69</v>
      </c>
      <c r="D2910" s="116">
        <v>0</v>
      </c>
      <c r="E2910" s="136">
        <f ca="1">OFFSET(INDEX(Composições!A:J,MATCH(Orçamentária!A2910,Composições!A:A,0),8),2,0)</f>
        <v>41.581499999999998</v>
      </c>
      <c r="F2910" s="137">
        <f t="shared" ca="1" si="218"/>
        <v>0</v>
      </c>
      <c r="G2910" s="138" t="e">
        <f>IF(A2910&lt;&gt;"",IF(AND(#REF!="Padrão",$H$4=#REF!),BDI!$B$17,IF(AND(#REF!="Padrão",$H$4=#REF!),BDI!#REF!,IF(AND(#REF!="Diferenciado",$H$4=#REF!),BDI!$E$17,IF(AND(#REF!="Diferenciado",$H$4=#REF!),BDI!#REF!,IF(#REF!="ZERO",0))))),"")</f>
        <v>#REF!</v>
      </c>
      <c r="H2910" s="139" t="e">
        <f t="shared" ca="1" si="219"/>
        <v>#REF!</v>
      </c>
      <c r="I2910" s="137" t="e">
        <f t="shared" ca="1" si="220"/>
        <v>#REF!</v>
      </c>
      <c r="J2910" s="117"/>
      <c r="K2910" s="116">
        <v>0</v>
      </c>
      <c r="M2910" s="136" t="e">
        <f ca="1">OFFSET(INDEX([1]Composições!I:R,MATCH([1]Orçamentária!I2910,[1]Composições!I:I,0),8),2,0)</f>
        <v>#REF!</v>
      </c>
      <c r="N2910" t="e">
        <v>#REF!</v>
      </c>
      <c r="Q2910" t="e">
        <v>#REF!</v>
      </c>
    </row>
    <row r="2911" spans="1:17" hidden="1" x14ac:dyDescent="0.25">
      <c r="A2911" s="114" t="s">
        <v>6157</v>
      </c>
      <c r="B2911" s="115" t="s">
        <v>6158</v>
      </c>
      <c r="C2911" s="116" t="s">
        <v>69</v>
      </c>
      <c r="D2911" s="116">
        <v>0</v>
      </c>
      <c r="E2911" s="136">
        <f ca="1">OFFSET(INDEX(Composições!A:J,MATCH(Orçamentária!A2911,Composições!A:A,0),8),2,0)</f>
        <v>57.854999999999997</v>
      </c>
      <c r="F2911" s="137">
        <f t="shared" ca="1" si="218"/>
        <v>0</v>
      </c>
      <c r="G2911" s="138" t="e">
        <f>IF(A2911&lt;&gt;"",IF(AND(#REF!="Padrão",$H$4=#REF!),BDI!$B$17,IF(AND(#REF!="Padrão",$H$4=#REF!),BDI!#REF!,IF(AND(#REF!="Diferenciado",$H$4=#REF!),BDI!$E$17,IF(AND(#REF!="Diferenciado",$H$4=#REF!),BDI!#REF!,IF(#REF!="ZERO",0))))),"")</f>
        <v>#REF!</v>
      </c>
      <c r="H2911" s="139" t="e">
        <f t="shared" ca="1" si="219"/>
        <v>#REF!</v>
      </c>
      <c r="I2911" s="137" t="e">
        <f t="shared" ca="1" si="220"/>
        <v>#REF!</v>
      </c>
      <c r="J2911" s="117"/>
      <c r="K2911" s="116">
        <v>0</v>
      </c>
      <c r="M2911" s="136" t="e">
        <f ca="1">OFFSET(INDEX([1]Composições!I:R,MATCH([1]Orçamentária!I2911,[1]Composições!I:I,0),8),2,0)</f>
        <v>#REF!</v>
      </c>
      <c r="N2911" t="e">
        <v>#REF!</v>
      </c>
      <c r="Q2911" t="e">
        <v>#REF!</v>
      </c>
    </row>
    <row r="2912" spans="1:17" hidden="1" x14ac:dyDescent="0.25">
      <c r="A2912" s="114" t="s">
        <v>6159</v>
      </c>
      <c r="B2912" s="115" t="s">
        <v>6160</v>
      </c>
      <c r="C2912" s="116" t="s">
        <v>69</v>
      </c>
      <c r="D2912" s="116">
        <v>0</v>
      </c>
      <c r="E2912" s="136">
        <f ca="1">OFFSET(INDEX(Composições!A:J,MATCH(Orçamentária!A2912,Composições!A:A,0),8),2,0)</f>
        <v>90.534999999999997</v>
      </c>
      <c r="F2912" s="137">
        <f t="shared" ca="1" si="218"/>
        <v>0</v>
      </c>
      <c r="G2912" s="138" t="e">
        <f>IF(A2912&lt;&gt;"",IF(AND(#REF!="Padrão",$H$4=#REF!),BDI!$B$17,IF(AND(#REF!="Padrão",$H$4=#REF!),BDI!#REF!,IF(AND(#REF!="Diferenciado",$H$4=#REF!),BDI!$E$17,IF(AND(#REF!="Diferenciado",$H$4=#REF!),BDI!#REF!,IF(#REF!="ZERO",0))))),"")</f>
        <v>#REF!</v>
      </c>
      <c r="H2912" s="139" t="e">
        <f t="shared" ca="1" si="219"/>
        <v>#REF!</v>
      </c>
      <c r="I2912" s="137" t="e">
        <f t="shared" ca="1" si="220"/>
        <v>#REF!</v>
      </c>
      <c r="J2912" s="117"/>
      <c r="K2912" s="116">
        <v>0</v>
      </c>
      <c r="M2912" s="136" t="e">
        <f ca="1">OFFSET(INDEX([1]Composições!I:R,MATCH([1]Orçamentária!I2912,[1]Composições!I:I,0),8),2,0)</f>
        <v>#REF!</v>
      </c>
      <c r="N2912" t="e">
        <v>#REF!</v>
      </c>
      <c r="Q2912" t="e">
        <v>#REF!</v>
      </c>
    </row>
    <row r="2913" spans="1:17" hidden="1" x14ac:dyDescent="0.25">
      <c r="A2913" s="114" t="s">
        <v>6161</v>
      </c>
      <c r="B2913" s="115" t="s">
        <v>6162</v>
      </c>
      <c r="C2913" s="116" t="s">
        <v>16</v>
      </c>
      <c r="D2913" s="116">
        <v>0</v>
      </c>
      <c r="E2913" s="136" t="s">
        <v>416</v>
      </c>
      <c r="F2913" s="137" t="str">
        <f t="shared" si="218"/>
        <v/>
      </c>
      <c r="G2913" s="138" t="e">
        <f>IF(A2913&lt;&gt;"",IF(AND(#REF!="Padrão",$H$4=#REF!),BDI!$B$17,IF(AND(#REF!="Padrão",$H$4=#REF!),BDI!#REF!,IF(AND(#REF!="Diferenciado",$H$4=#REF!),BDI!$E$17,IF(AND(#REF!="Diferenciado",$H$4=#REF!),BDI!#REF!,IF(#REF!="ZERO",0))))),"")</f>
        <v>#REF!</v>
      </c>
      <c r="H2913" s="139" t="str">
        <f t="shared" si="219"/>
        <v/>
      </c>
      <c r="I2913" s="137" t="str">
        <f t="shared" si="220"/>
        <v/>
      </c>
      <c r="J2913" s="117"/>
      <c r="K2913" s="116">
        <v>0</v>
      </c>
      <c r="M2913" s="136" t="s">
        <v>416</v>
      </c>
      <c r="N2913" t="e">
        <v>#REF!</v>
      </c>
      <c r="Q2913" t="s">
        <v>416</v>
      </c>
    </row>
    <row r="2914" spans="1:17" hidden="1" x14ac:dyDescent="0.25">
      <c r="A2914" s="114" t="s">
        <v>6163</v>
      </c>
      <c r="B2914" s="115" t="s">
        <v>6164</v>
      </c>
      <c r="C2914" s="116" t="s">
        <v>16</v>
      </c>
      <c r="D2914" s="116">
        <v>0</v>
      </c>
      <c r="E2914" s="136" t="s">
        <v>416</v>
      </c>
      <c r="F2914" s="137" t="str">
        <f t="shared" si="218"/>
        <v/>
      </c>
      <c r="G2914" s="138" t="e">
        <f>IF(A2914&lt;&gt;"",IF(AND(#REF!="Padrão",$H$4=#REF!),BDI!$B$17,IF(AND(#REF!="Padrão",$H$4=#REF!),BDI!#REF!,IF(AND(#REF!="Diferenciado",$H$4=#REF!),BDI!$E$17,IF(AND(#REF!="Diferenciado",$H$4=#REF!),BDI!#REF!,IF(#REF!="ZERO",0))))),"")</f>
        <v>#REF!</v>
      </c>
      <c r="H2914" s="139" t="str">
        <f t="shared" si="219"/>
        <v/>
      </c>
      <c r="I2914" s="137" t="str">
        <f t="shared" si="220"/>
        <v/>
      </c>
      <c r="J2914" s="117"/>
      <c r="K2914" s="116">
        <v>0</v>
      </c>
      <c r="M2914" s="136" t="s">
        <v>416</v>
      </c>
      <c r="N2914" t="e">
        <v>#REF!</v>
      </c>
      <c r="Q2914" t="s">
        <v>416</v>
      </c>
    </row>
    <row r="2915" spans="1:17" hidden="1" x14ac:dyDescent="0.25">
      <c r="A2915" s="114" t="s">
        <v>6165</v>
      </c>
      <c r="B2915" s="115" t="s">
        <v>6166</v>
      </c>
      <c r="C2915" s="116" t="s">
        <v>16</v>
      </c>
      <c r="D2915" s="116">
        <v>0</v>
      </c>
      <c r="E2915" s="136" t="s">
        <v>416</v>
      </c>
      <c r="F2915" s="137" t="str">
        <f t="shared" si="218"/>
        <v/>
      </c>
      <c r="G2915" s="138" t="e">
        <f>IF(A2915&lt;&gt;"",IF(AND(#REF!="Padrão",$H$4=#REF!),BDI!$B$17,IF(AND(#REF!="Padrão",$H$4=#REF!),BDI!#REF!,IF(AND(#REF!="Diferenciado",$H$4=#REF!),BDI!$E$17,IF(AND(#REF!="Diferenciado",$H$4=#REF!),BDI!#REF!,IF(#REF!="ZERO",0))))),"")</f>
        <v>#REF!</v>
      </c>
      <c r="H2915" s="139" t="str">
        <f t="shared" si="219"/>
        <v/>
      </c>
      <c r="I2915" s="137" t="str">
        <f t="shared" si="220"/>
        <v/>
      </c>
      <c r="J2915" s="117"/>
      <c r="K2915" s="116">
        <v>0</v>
      </c>
      <c r="M2915" s="136" t="s">
        <v>416</v>
      </c>
      <c r="N2915" t="e">
        <v>#REF!</v>
      </c>
      <c r="Q2915" t="s">
        <v>416</v>
      </c>
    </row>
    <row r="2916" spans="1:17" hidden="1" x14ac:dyDescent="0.25">
      <c r="A2916" s="114" t="s">
        <v>6167</v>
      </c>
      <c r="B2916" s="115" t="s">
        <v>6168</v>
      </c>
      <c r="C2916" s="116" t="s">
        <v>16</v>
      </c>
      <c r="D2916" s="116">
        <v>0</v>
      </c>
      <c r="E2916" s="136" t="s">
        <v>416</v>
      </c>
      <c r="F2916" s="137" t="str">
        <f t="shared" si="218"/>
        <v/>
      </c>
      <c r="G2916" s="138" t="e">
        <f>IF(A2916&lt;&gt;"",IF(AND(#REF!="Padrão",$H$4=#REF!),BDI!$B$17,IF(AND(#REF!="Padrão",$H$4=#REF!),BDI!#REF!,IF(AND(#REF!="Diferenciado",$H$4=#REF!),BDI!$E$17,IF(AND(#REF!="Diferenciado",$H$4=#REF!),BDI!#REF!,IF(#REF!="ZERO",0))))),"")</f>
        <v>#REF!</v>
      </c>
      <c r="H2916" s="139" t="str">
        <f t="shared" si="219"/>
        <v/>
      </c>
      <c r="I2916" s="137" t="str">
        <f t="shared" si="220"/>
        <v/>
      </c>
      <c r="J2916" s="117"/>
      <c r="K2916" s="116">
        <v>0</v>
      </c>
      <c r="M2916" s="136" t="s">
        <v>416</v>
      </c>
      <c r="N2916" t="e">
        <v>#REF!</v>
      </c>
      <c r="Q2916" t="s">
        <v>416</v>
      </c>
    </row>
    <row r="2917" spans="1:17" hidden="1" x14ac:dyDescent="0.25">
      <c r="A2917" s="114" t="s">
        <v>6169</v>
      </c>
      <c r="B2917" s="115" t="s">
        <v>6170</v>
      </c>
      <c r="C2917" s="116" t="s">
        <v>16</v>
      </c>
      <c r="D2917" s="116">
        <v>0</v>
      </c>
      <c r="E2917" s="136" t="s">
        <v>416</v>
      </c>
      <c r="F2917" s="137" t="str">
        <f t="shared" si="218"/>
        <v/>
      </c>
      <c r="G2917" s="138" t="e">
        <f>IF(A2917&lt;&gt;"",IF(AND(#REF!="Padrão",$H$4=#REF!),BDI!$B$17,IF(AND(#REF!="Padrão",$H$4=#REF!),BDI!#REF!,IF(AND(#REF!="Diferenciado",$H$4=#REF!),BDI!$E$17,IF(AND(#REF!="Diferenciado",$H$4=#REF!),BDI!#REF!,IF(#REF!="ZERO",0))))),"")</f>
        <v>#REF!</v>
      </c>
      <c r="H2917" s="139" t="str">
        <f t="shared" si="219"/>
        <v/>
      </c>
      <c r="I2917" s="137" t="str">
        <f t="shared" si="220"/>
        <v/>
      </c>
      <c r="J2917" s="117"/>
      <c r="K2917" s="116">
        <v>0</v>
      </c>
      <c r="M2917" s="136" t="s">
        <v>416</v>
      </c>
      <c r="N2917" t="e">
        <v>#REF!</v>
      </c>
      <c r="Q2917" t="s">
        <v>416</v>
      </c>
    </row>
    <row r="2918" spans="1:17" hidden="1" x14ac:dyDescent="0.25">
      <c r="A2918" s="114" t="s">
        <v>6171</v>
      </c>
      <c r="B2918" s="115" t="s">
        <v>6587</v>
      </c>
      <c r="C2918" s="116" t="s">
        <v>1683</v>
      </c>
      <c r="D2918" s="116">
        <v>0</v>
      </c>
      <c r="E2918" s="136" t="s">
        <v>416</v>
      </c>
      <c r="F2918" s="137" t="str">
        <f t="shared" si="218"/>
        <v/>
      </c>
      <c r="G2918" s="138" t="e">
        <f>IF(A2918&lt;&gt;"",IF(AND(#REF!="Padrão",$H$4=#REF!),BDI!$B$17,IF(AND(#REF!="Padrão",$H$4=#REF!),BDI!#REF!,IF(AND(#REF!="Diferenciado",$H$4=#REF!),BDI!$E$17,IF(AND(#REF!="Diferenciado",$H$4=#REF!),BDI!#REF!,IF(#REF!="ZERO",0))))),"")</f>
        <v>#REF!</v>
      </c>
      <c r="H2918" s="139" t="str">
        <f t="shared" si="219"/>
        <v/>
      </c>
      <c r="I2918" s="137" t="str">
        <f t="shared" si="220"/>
        <v/>
      </c>
      <c r="J2918" s="117"/>
      <c r="K2918" s="116">
        <v>0</v>
      </c>
      <c r="M2918" s="136" t="s">
        <v>416</v>
      </c>
      <c r="N2918" t="e">
        <v>#REF!</v>
      </c>
      <c r="Q2918" t="s">
        <v>416</v>
      </c>
    </row>
    <row r="2919" spans="1:17" hidden="1" x14ac:dyDescent="0.25">
      <c r="A2919" s="114" t="s">
        <v>6172</v>
      </c>
      <c r="B2919" s="115" t="s">
        <v>6173</v>
      </c>
      <c r="C2919" s="116" t="s">
        <v>16</v>
      </c>
      <c r="D2919" s="116">
        <v>0</v>
      </c>
      <c r="E2919" s="136" t="s">
        <v>416</v>
      </c>
      <c r="F2919" s="137" t="str">
        <f t="shared" si="218"/>
        <v/>
      </c>
      <c r="G2919" s="138" t="e">
        <f>IF(A2919&lt;&gt;"",IF(AND(#REF!="Padrão",$H$4=#REF!),BDI!$B$17,IF(AND(#REF!="Padrão",$H$4=#REF!),BDI!#REF!,IF(AND(#REF!="Diferenciado",$H$4=#REF!),BDI!$E$17,IF(AND(#REF!="Diferenciado",$H$4=#REF!),BDI!#REF!,IF(#REF!="ZERO",0))))),"")</f>
        <v>#REF!</v>
      </c>
      <c r="H2919" s="139" t="str">
        <f t="shared" si="219"/>
        <v/>
      </c>
      <c r="I2919" s="137" t="str">
        <f t="shared" si="220"/>
        <v/>
      </c>
      <c r="J2919" s="117"/>
      <c r="K2919" s="116">
        <v>0</v>
      </c>
      <c r="M2919" s="136" t="s">
        <v>416</v>
      </c>
      <c r="N2919" t="e">
        <v>#REF!</v>
      </c>
      <c r="Q2919" t="s">
        <v>416</v>
      </c>
    </row>
    <row r="2920" spans="1:17" hidden="1" x14ac:dyDescent="0.25">
      <c r="A2920" s="114" t="s">
        <v>6174</v>
      </c>
      <c r="B2920" s="115" t="s">
        <v>6175</v>
      </c>
      <c r="C2920" s="116" t="s">
        <v>16</v>
      </c>
      <c r="D2920" s="116">
        <v>0</v>
      </c>
      <c r="E2920" s="136" t="s">
        <v>416</v>
      </c>
      <c r="F2920" s="137" t="str">
        <f t="shared" si="218"/>
        <v/>
      </c>
      <c r="G2920" s="138" t="e">
        <f>IF(A2920&lt;&gt;"",IF(AND(#REF!="Padrão",$H$4=#REF!),BDI!$B$17,IF(AND(#REF!="Padrão",$H$4=#REF!),BDI!#REF!,IF(AND(#REF!="Diferenciado",$H$4=#REF!),BDI!$E$17,IF(AND(#REF!="Diferenciado",$H$4=#REF!),BDI!#REF!,IF(#REF!="ZERO",0))))),"")</f>
        <v>#REF!</v>
      </c>
      <c r="H2920" s="139" t="str">
        <f t="shared" si="219"/>
        <v/>
      </c>
      <c r="I2920" s="137" t="str">
        <f t="shared" si="220"/>
        <v/>
      </c>
      <c r="J2920" s="117"/>
      <c r="K2920" s="116">
        <v>0</v>
      </c>
      <c r="M2920" s="136" t="s">
        <v>416</v>
      </c>
      <c r="N2920" t="e">
        <v>#REF!</v>
      </c>
      <c r="Q2920" t="s">
        <v>416</v>
      </c>
    </row>
    <row r="2921" spans="1:17" hidden="1" x14ac:dyDescent="0.25">
      <c r="A2921" s="114" t="s">
        <v>6176</v>
      </c>
      <c r="B2921" s="115" t="s">
        <v>3033</v>
      </c>
      <c r="C2921" s="116" t="s">
        <v>16</v>
      </c>
      <c r="D2921" s="116">
        <v>0</v>
      </c>
      <c r="E2921" s="136" t="s">
        <v>416</v>
      </c>
      <c r="F2921" s="137" t="str">
        <f t="shared" si="218"/>
        <v/>
      </c>
      <c r="G2921" s="138" t="e">
        <f>IF(A2921&lt;&gt;"",IF(AND(#REF!="Padrão",$H$4=#REF!),BDI!$B$17,IF(AND(#REF!="Padrão",$H$4=#REF!),BDI!#REF!,IF(AND(#REF!="Diferenciado",$H$4=#REF!),BDI!$E$17,IF(AND(#REF!="Diferenciado",$H$4=#REF!),BDI!#REF!,IF(#REF!="ZERO",0))))),"")</f>
        <v>#REF!</v>
      </c>
      <c r="H2921" s="139" t="str">
        <f t="shared" si="219"/>
        <v/>
      </c>
      <c r="I2921" s="137" t="str">
        <f t="shared" si="220"/>
        <v/>
      </c>
      <c r="J2921" s="117"/>
      <c r="K2921" s="116">
        <v>0</v>
      </c>
      <c r="M2921" s="136" t="s">
        <v>416</v>
      </c>
      <c r="N2921" t="e">
        <v>#REF!</v>
      </c>
      <c r="Q2921" t="s">
        <v>416</v>
      </c>
    </row>
    <row r="2922" spans="1:17" hidden="1" x14ac:dyDescent="0.25">
      <c r="A2922" s="114" t="s">
        <v>6177</v>
      </c>
      <c r="B2922" s="115" t="s">
        <v>3034</v>
      </c>
      <c r="C2922" s="116" t="s">
        <v>16</v>
      </c>
      <c r="D2922" s="116">
        <v>0</v>
      </c>
      <c r="E2922" s="136" t="s">
        <v>416</v>
      </c>
      <c r="F2922" s="137" t="str">
        <f t="shared" si="218"/>
        <v/>
      </c>
      <c r="G2922" s="138" t="e">
        <f>IF(A2922&lt;&gt;"",IF(AND(#REF!="Padrão",$H$4=#REF!),BDI!$B$17,IF(AND(#REF!="Padrão",$H$4=#REF!),BDI!#REF!,IF(AND(#REF!="Diferenciado",$H$4=#REF!),BDI!$E$17,IF(AND(#REF!="Diferenciado",$H$4=#REF!),BDI!#REF!,IF(#REF!="ZERO",0))))),"")</f>
        <v>#REF!</v>
      </c>
      <c r="H2922" s="139" t="str">
        <f t="shared" si="219"/>
        <v/>
      </c>
      <c r="I2922" s="137" t="str">
        <f t="shared" si="220"/>
        <v/>
      </c>
      <c r="J2922" s="117"/>
      <c r="K2922" s="116">
        <v>0</v>
      </c>
      <c r="M2922" s="136" t="s">
        <v>416</v>
      </c>
      <c r="N2922" t="e">
        <v>#REF!</v>
      </c>
      <c r="Q2922" t="s">
        <v>416</v>
      </c>
    </row>
    <row r="2923" spans="1:17" hidden="1" x14ac:dyDescent="0.25">
      <c r="A2923" s="114" t="s">
        <v>6178</v>
      </c>
      <c r="B2923" s="115" t="s">
        <v>6179</v>
      </c>
      <c r="C2923" s="116" t="s">
        <v>16</v>
      </c>
      <c r="D2923" s="116">
        <v>0</v>
      </c>
      <c r="E2923" s="136">
        <f ca="1">OFFSET(INDEX(Composições!A:J,MATCH(Orçamentária!A2923,Composições!A:A,0),8),2,0)</f>
        <v>37.173500000000004</v>
      </c>
      <c r="F2923" s="137">
        <f t="shared" ca="1" si="218"/>
        <v>0</v>
      </c>
      <c r="G2923" s="138" t="e">
        <f>IF(A2923&lt;&gt;"",IF(AND(#REF!="Padrão",$H$4=#REF!),BDI!$B$17,IF(AND(#REF!="Padrão",$H$4=#REF!),BDI!#REF!,IF(AND(#REF!="Diferenciado",$H$4=#REF!),BDI!$E$17,IF(AND(#REF!="Diferenciado",$H$4=#REF!),BDI!#REF!,IF(#REF!="ZERO",0))))),"")</f>
        <v>#REF!</v>
      </c>
      <c r="H2923" s="139" t="e">
        <f t="shared" ca="1" si="219"/>
        <v>#REF!</v>
      </c>
      <c r="I2923" s="137" t="e">
        <f t="shared" ca="1" si="220"/>
        <v>#REF!</v>
      </c>
      <c r="J2923" s="117"/>
      <c r="K2923" s="116">
        <v>0</v>
      </c>
      <c r="M2923" s="136" t="e">
        <f ca="1">OFFSET(INDEX([1]Composições!I:R,MATCH([1]Orçamentária!I2923,[1]Composições!I:I,0),8),2,0)</f>
        <v>#REF!</v>
      </c>
      <c r="N2923" t="e">
        <v>#REF!</v>
      </c>
      <c r="Q2923" t="e">
        <v>#REF!</v>
      </c>
    </row>
    <row r="2924" spans="1:17" hidden="1" x14ac:dyDescent="0.25">
      <c r="A2924" s="114" t="s">
        <v>6180</v>
      </c>
      <c r="B2924" s="115" t="s">
        <v>6181</v>
      </c>
      <c r="C2924" s="116" t="s">
        <v>16</v>
      </c>
      <c r="D2924" s="116">
        <v>0</v>
      </c>
      <c r="E2924" s="136">
        <f ca="1">OFFSET(INDEX(Composições!A:J,MATCH(Orçamentária!A2924,Composições!A:A,0),8),2,0)</f>
        <v>50.786999999999999</v>
      </c>
      <c r="F2924" s="137">
        <f t="shared" ca="1" si="218"/>
        <v>0</v>
      </c>
      <c r="G2924" s="138" t="e">
        <f>IF(A2924&lt;&gt;"",IF(AND(#REF!="Padrão",$H$4=#REF!),BDI!$B$17,IF(AND(#REF!="Padrão",$H$4=#REF!),BDI!#REF!,IF(AND(#REF!="Diferenciado",$H$4=#REF!),BDI!$E$17,IF(AND(#REF!="Diferenciado",$H$4=#REF!),BDI!#REF!,IF(#REF!="ZERO",0))))),"")</f>
        <v>#REF!</v>
      </c>
      <c r="H2924" s="139" t="e">
        <f t="shared" ca="1" si="219"/>
        <v>#REF!</v>
      </c>
      <c r="I2924" s="137" t="e">
        <f t="shared" ca="1" si="220"/>
        <v>#REF!</v>
      </c>
      <c r="J2924" s="117"/>
      <c r="K2924" s="116">
        <v>0</v>
      </c>
      <c r="M2924" s="136" t="e">
        <f ca="1">OFFSET(INDEX([1]Composições!I:R,MATCH([1]Orçamentária!I2924,[1]Composições!I:I,0),8),2,0)</f>
        <v>#REF!</v>
      </c>
      <c r="N2924" t="e">
        <v>#REF!</v>
      </c>
      <c r="Q2924" t="e">
        <v>#REF!</v>
      </c>
    </row>
    <row r="2925" spans="1:17" hidden="1" x14ac:dyDescent="0.25">
      <c r="A2925" s="114" t="s">
        <v>6182</v>
      </c>
      <c r="B2925" s="115" t="s">
        <v>1475</v>
      </c>
      <c r="C2925" s="116" t="s">
        <v>16</v>
      </c>
      <c r="D2925" s="116">
        <v>0</v>
      </c>
      <c r="E2925" s="136" t="s">
        <v>416</v>
      </c>
      <c r="F2925" s="137" t="str">
        <f t="shared" si="218"/>
        <v/>
      </c>
      <c r="G2925" s="138" t="e">
        <f>IF(A2925&lt;&gt;"",IF(AND(#REF!="Padrão",$H$4=#REF!),BDI!$B$17,IF(AND(#REF!="Padrão",$H$4=#REF!),BDI!#REF!,IF(AND(#REF!="Diferenciado",$H$4=#REF!),BDI!$E$17,IF(AND(#REF!="Diferenciado",$H$4=#REF!),BDI!#REF!,IF(#REF!="ZERO",0))))),"")</f>
        <v>#REF!</v>
      </c>
      <c r="H2925" s="139" t="str">
        <f t="shared" si="219"/>
        <v/>
      </c>
      <c r="I2925" s="137" t="str">
        <f t="shared" si="220"/>
        <v/>
      </c>
      <c r="J2925" s="117"/>
      <c r="K2925" s="116">
        <v>0</v>
      </c>
      <c r="M2925" s="136" t="s">
        <v>416</v>
      </c>
      <c r="N2925" t="e">
        <v>#REF!</v>
      </c>
      <c r="Q2925" t="s">
        <v>416</v>
      </c>
    </row>
    <row r="2926" spans="1:17" hidden="1" x14ac:dyDescent="0.25">
      <c r="A2926" s="114" t="s">
        <v>6183</v>
      </c>
      <c r="B2926" s="115" t="s">
        <v>6184</v>
      </c>
      <c r="C2926" s="116" t="s">
        <v>16</v>
      </c>
      <c r="D2926" s="116">
        <v>0</v>
      </c>
      <c r="E2926" s="136">
        <f ca="1">OFFSET(INDEX(Composições!A:J,MATCH(Orçamentária!A2926,Composições!A:A,0),8),2,0)</f>
        <v>56.439499999999995</v>
      </c>
      <c r="F2926" s="137">
        <f t="shared" ca="1" si="218"/>
        <v>0</v>
      </c>
      <c r="G2926" s="138" t="e">
        <f>IF(A2926&lt;&gt;"",IF(AND(#REF!="Padrão",$H$4=#REF!),BDI!$B$17,IF(AND(#REF!="Padrão",$H$4=#REF!),BDI!#REF!,IF(AND(#REF!="Diferenciado",$H$4=#REF!),BDI!$E$17,IF(AND(#REF!="Diferenciado",$H$4=#REF!),BDI!#REF!,IF(#REF!="ZERO",0))))),"")</f>
        <v>#REF!</v>
      </c>
      <c r="H2926" s="139" t="e">
        <f t="shared" ca="1" si="219"/>
        <v>#REF!</v>
      </c>
      <c r="I2926" s="137" t="e">
        <f t="shared" ca="1" si="220"/>
        <v>#REF!</v>
      </c>
      <c r="J2926" s="117"/>
      <c r="K2926" s="116">
        <v>0</v>
      </c>
      <c r="M2926" s="136" t="e">
        <f ca="1">OFFSET(INDEX([1]Composições!I:R,MATCH([1]Orçamentária!I2926,[1]Composições!I:I,0),8),2,0)</f>
        <v>#REF!</v>
      </c>
      <c r="N2926" t="e">
        <v>#REF!</v>
      </c>
      <c r="Q2926" t="e">
        <v>#REF!</v>
      </c>
    </row>
    <row r="2927" spans="1:17" hidden="1" x14ac:dyDescent="0.25">
      <c r="A2927" s="114" t="s">
        <v>6185</v>
      </c>
      <c r="B2927" s="115" t="s">
        <v>6186</v>
      </c>
      <c r="C2927" s="116" t="s">
        <v>16</v>
      </c>
      <c r="D2927" s="116">
        <v>0</v>
      </c>
      <c r="E2927" s="136">
        <f ca="1">OFFSET(INDEX(Composições!A:J,MATCH(Orçamentária!A2927,Composições!A:A,0),8),2,0)</f>
        <v>144.82749999999999</v>
      </c>
      <c r="F2927" s="137">
        <f t="shared" ca="1" si="218"/>
        <v>0</v>
      </c>
      <c r="G2927" s="138" t="e">
        <f>IF(A2927&lt;&gt;"",IF(AND(#REF!="Padrão",$H$4=#REF!),BDI!$B$17,IF(AND(#REF!="Padrão",$H$4=#REF!),BDI!#REF!,IF(AND(#REF!="Diferenciado",$H$4=#REF!),BDI!$E$17,IF(AND(#REF!="Diferenciado",$H$4=#REF!),BDI!#REF!,IF(#REF!="ZERO",0))))),"")</f>
        <v>#REF!</v>
      </c>
      <c r="H2927" s="139" t="e">
        <f t="shared" ca="1" si="219"/>
        <v>#REF!</v>
      </c>
      <c r="I2927" s="137" t="e">
        <f t="shared" ca="1" si="220"/>
        <v>#REF!</v>
      </c>
      <c r="J2927" s="117"/>
      <c r="K2927" s="116">
        <v>0</v>
      </c>
      <c r="M2927" s="136" t="e">
        <f ca="1">OFFSET(INDEX([1]Composições!I:R,MATCH([1]Orçamentária!I2927,[1]Composições!I:I,0),8),2,0)</f>
        <v>#REF!</v>
      </c>
      <c r="N2927" t="e">
        <v>#REF!</v>
      </c>
      <c r="Q2927" t="e">
        <v>#REF!</v>
      </c>
    </row>
    <row r="2928" spans="1:17" hidden="1" x14ac:dyDescent="0.25">
      <c r="A2928" s="114" t="s">
        <v>6187</v>
      </c>
      <c r="B2928" s="115" t="s">
        <v>6188</v>
      </c>
      <c r="C2928" s="116" t="s">
        <v>16</v>
      </c>
      <c r="D2928" s="116">
        <v>0</v>
      </c>
      <c r="E2928" s="136" t="s">
        <v>416</v>
      </c>
      <c r="F2928" s="137" t="str">
        <f t="shared" si="218"/>
        <v/>
      </c>
      <c r="G2928" s="138" t="e">
        <f>IF(A2928&lt;&gt;"",IF(AND(#REF!="Padrão",$H$4=#REF!),BDI!$B$17,IF(AND(#REF!="Padrão",$H$4=#REF!),BDI!#REF!,IF(AND(#REF!="Diferenciado",$H$4=#REF!),BDI!$E$17,IF(AND(#REF!="Diferenciado",$H$4=#REF!),BDI!#REF!,IF(#REF!="ZERO",0))))),"")</f>
        <v>#REF!</v>
      </c>
      <c r="H2928" s="139" t="str">
        <f t="shared" si="219"/>
        <v/>
      </c>
      <c r="I2928" s="137" t="str">
        <f t="shared" si="220"/>
        <v/>
      </c>
      <c r="J2928" s="117"/>
      <c r="K2928" s="116">
        <v>0</v>
      </c>
      <c r="M2928" s="136" t="s">
        <v>416</v>
      </c>
      <c r="N2928" t="e">
        <v>#REF!</v>
      </c>
      <c r="Q2928" t="s">
        <v>416</v>
      </c>
    </row>
    <row r="2929" spans="1:17" hidden="1" x14ac:dyDescent="0.25">
      <c r="A2929" s="114" t="s">
        <v>6189</v>
      </c>
      <c r="B2929" s="115" t="s">
        <v>6190</v>
      </c>
      <c r="C2929" s="116" t="s">
        <v>16</v>
      </c>
      <c r="D2929" s="116">
        <v>0</v>
      </c>
      <c r="E2929" s="136">
        <f ca="1">OFFSET(INDEX(Composições!A:J,MATCH(Orçamentária!A2929,Composições!A:A,0),8),2,0)</f>
        <v>81.585999999999999</v>
      </c>
      <c r="F2929" s="137">
        <f t="shared" ca="1" si="218"/>
        <v>0</v>
      </c>
      <c r="G2929" s="138" t="e">
        <f>IF(A2929&lt;&gt;"",IF(AND(#REF!="Padrão",$H$4=#REF!),BDI!$B$17,IF(AND(#REF!="Padrão",$H$4=#REF!),BDI!#REF!,IF(AND(#REF!="Diferenciado",$H$4=#REF!),BDI!$E$17,IF(AND(#REF!="Diferenciado",$H$4=#REF!),BDI!#REF!,IF(#REF!="ZERO",0))))),"")</f>
        <v>#REF!</v>
      </c>
      <c r="H2929" s="139" t="e">
        <f t="shared" ca="1" si="219"/>
        <v>#REF!</v>
      </c>
      <c r="I2929" s="137" t="e">
        <f t="shared" ca="1" si="220"/>
        <v>#REF!</v>
      </c>
      <c r="J2929" s="117"/>
      <c r="K2929" s="116">
        <v>0</v>
      </c>
      <c r="M2929" s="136" t="e">
        <f ca="1">OFFSET(INDEX([1]Composições!I:R,MATCH([1]Orçamentária!I2929,[1]Composições!I:I,0),8),2,0)</f>
        <v>#REF!</v>
      </c>
      <c r="N2929" t="e">
        <v>#REF!</v>
      </c>
      <c r="Q2929" t="e">
        <v>#REF!</v>
      </c>
    </row>
    <row r="2930" spans="1:17" hidden="1" x14ac:dyDescent="0.25">
      <c r="A2930" s="114" t="s">
        <v>6191</v>
      </c>
      <c r="B2930" s="115" t="s">
        <v>6192</v>
      </c>
      <c r="C2930" s="116" t="s">
        <v>16</v>
      </c>
      <c r="D2930" s="116">
        <v>0</v>
      </c>
      <c r="E2930" s="136">
        <f ca="1">OFFSET(INDEX(Composições!A:J,MATCH(Orçamentária!A2930,Composições!A:A,0),8),2,0)</f>
        <v>259.90099999999995</v>
      </c>
      <c r="F2930" s="137">
        <f t="shared" ca="1" si="218"/>
        <v>0</v>
      </c>
      <c r="G2930" s="138" t="e">
        <f>IF(A2930&lt;&gt;"",IF(AND(#REF!="Padrão",$H$4=#REF!),BDI!$B$17,IF(AND(#REF!="Padrão",$H$4=#REF!),BDI!#REF!,IF(AND(#REF!="Diferenciado",$H$4=#REF!),BDI!$E$17,IF(AND(#REF!="Diferenciado",$H$4=#REF!),BDI!#REF!,IF(#REF!="ZERO",0))))),"")</f>
        <v>#REF!</v>
      </c>
      <c r="H2930" s="139" t="e">
        <f t="shared" ca="1" si="219"/>
        <v>#REF!</v>
      </c>
      <c r="I2930" s="137" t="e">
        <f t="shared" ca="1" si="220"/>
        <v>#REF!</v>
      </c>
      <c r="J2930" s="117"/>
      <c r="K2930" s="116">
        <v>0</v>
      </c>
      <c r="M2930" s="136" t="e">
        <f ca="1">OFFSET(INDEX([1]Composições!I:R,MATCH([1]Orçamentária!I2930,[1]Composições!I:I,0),8),2,0)</f>
        <v>#REF!</v>
      </c>
      <c r="N2930" t="e">
        <v>#REF!</v>
      </c>
      <c r="Q2930" t="e">
        <v>#REF!</v>
      </c>
    </row>
    <row r="2931" spans="1:17" hidden="1" x14ac:dyDescent="0.25">
      <c r="A2931" s="114" t="s">
        <v>6193</v>
      </c>
      <c r="B2931" s="115" t="s">
        <v>6194</v>
      </c>
      <c r="C2931" s="116" t="s">
        <v>16</v>
      </c>
      <c r="D2931" s="116">
        <v>0</v>
      </c>
      <c r="E2931" s="136">
        <f ca="1">OFFSET(INDEX(Composições!A:J,MATCH(Orçamentária!A2931,Composições!A:A,0),8),2,0)</f>
        <v>314.88699999999994</v>
      </c>
      <c r="F2931" s="137">
        <f t="shared" ca="1" si="218"/>
        <v>0</v>
      </c>
      <c r="G2931" s="138" t="e">
        <f>IF(A2931&lt;&gt;"",IF(AND(#REF!="Padrão",$H$4=#REF!),BDI!$B$17,IF(AND(#REF!="Padrão",$H$4=#REF!),BDI!#REF!,IF(AND(#REF!="Diferenciado",$H$4=#REF!),BDI!$E$17,IF(AND(#REF!="Diferenciado",$H$4=#REF!),BDI!#REF!,IF(#REF!="ZERO",0))))),"")</f>
        <v>#REF!</v>
      </c>
      <c r="H2931" s="139" t="e">
        <f t="shared" ca="1" si="219"/>
        <v>#REF!</v>
      </c>
      <c r="I2931" s="137" t="e">
        <f t="shared" ca="1" si="220"/>
        <v>#REF!</v>
      </c>
      <c r="J2931" s="117"/>
      <c r="K2931" s="116">
        <v>0</v>
      </c>
      <c r="M2931" s="136" t="e">
        <f ca="1">OFFSET(INDEX([1]Composições!I:R,MATCH([1]Orçamentária!I2931,[1]Composições!I:I,0),8),2,0)</f>
        <v>#REF!</v>
      </c>
      <c r="N2931" t="e">
        <v>#REF!</v>
      </c>
      <c r="Q2931" t="e">
        <v>#REF!</v>
      </c>
    </row>
    <row r="2932" spans="1:17" hidden="1" x14ac:dyDescent="0.25">
      <c r="A2932" s="114" t="s">
        <v>6195</v>
      </c>
      <c r="B2932" s="115" t="s">
        <v>6196</v>
      </c>
      <c r="C2932" s="116" t="s">
        <v>16</v>
      </c>
      <c r="D2932" s="116">
        <v>0</v>
      </c>
      <c r="E2932" s="136">
        <f ca="1">OFFSET(INDEX(Composições!A:J,MATCH(Orçamentária!A2932,Composições!A:A,0),8),2,0)</f>
        <v>546.49699999999996</v>
      </c>
      <c r="F2932" s="137">
        <f t="shared" ca="1" si="218"/>
        <v>0</v>
      </c>
      <c r="G2932" s="138" t="e">
        <f>IF(A2932&lt;&gt;"",IF(AND(#REF!="Padrão",$H$4=#REF!),BDI!$B$17,IF(AND(#REF!="Padrão",$H$4=#REF!),BDI!#REF!,IF(AND(#REF!="Diferenciado",$H$4=#REF!),BDI!$E$17,IF(AND(#REF!="Diferenciado",$H$4=#REF!),BDI!#REF!,IF(#REF!="ZERO",0))))),"")</f>
        <v>#REF!</v>
      </c>
      <c r="H2932" s="139" t="e">
        <f t="shared" ca="1" si="219"/>
        <v>#REF!</v>
      </c>
      <c r="I2932" s="137" t="e">
        <f t="shared" ca="1" si="220"/>
        <v>#REF!</v>
      </c>
      <c r="J2932" s="117"/>
      <c r="K2932" s="116">
        <v>0</v>
      </c>
      <c r="M2932" s="136" t="e">
        <f ca="1">OFFSET(INDEX([1]Composições!I:R,MATCH([1]Orçamentária!I2932,[1]Composições!I:I,0),8),2,0)</f>
        <v>#REF!</v>
      </c>
      <c r="N2932" t="e">
        <v>#REF!</v>
      </c>
      <c r="Q2932" t="e">
        <v>#REF!</v>
      </c>
    </row>
    <row r="2933" spans="1:17" hidden="1" x14ac:dyDescent="0.25">
      <c r="A2933" s="114" t="s">
        <v>6197</v>
      </c>
      <c r="B2933" s="115" t="s">
        <v>6198</v>
      </c>
      <c r="C2933" s="116" t="s">
        <v>16</v>
      </c>
      <c r="D2933" s="116">
        <v>0</v>
      </c>
      <c r="E2933" s="136">
        <f ca="1">OFFSET(INDEX(Composições!A:J,MATCH(Orçamentária!A2933,Composições!A:A,0),8),2,0)</f>
        <v>143.8965</v>
      </c>
      <c r="F2933" s="137">
        <f t="shared" ca="1" si="218"/>
        <v>0</v>
      </c>
      <c r="G2933" s="138" t="e">
        <f>IF(A2933&lt;&gt;"",IF(AND(#REF!="Padrão",$H$4=#REF!),BDI!$B$17,IF(AND(#REF!="Padrão",$H$4=#REF!),BDI!#REF!,IF(AND(#REF!="Diferenciado",$H$4=#REF!),BDI!$E$17,IF(AND(#REF!="Diferenciado",$H$4=#REF!),BDI!#REF!,IF(#REF!="ZERO",0))))),"")</f>
        <v>#REF!</v>
      </c>
      <c r="H2933" s="139" t="e">
        <f t="shared" ca="1" si="219"/>
        <v>#REF!</v>
      </c>
      <c r="I2933" s="137" t="e">
        <f t="shared" ca="1" si="220"/>
        <v>#REF!</v>
      </c>
      <c r="J2933" s="117"/>
      <c r="K2933" s="116">
        <v>0</v>
      </c>
      <c r="M2933" s="136" t="e">
        <f ca="1">OFFSET(INDEX([1]Composições!I:R,MATCH([1]Orçamentária!I2933,[1]Composições!I:I,0),8),2,0)</f>
        <v>#REF!</v>
      </c>
      <c r="N2933" t="e">
        <v>#REF!</v>
      </c>
      <c r="Q2933" t="e">
        <v>#REF!</v>
      </c>
    </row>
    <row r="2934" spans="1:17" hidden="1" x14ac:dyDescent="0.25">
      <c r="A2934" s="114" t="s">
        <v>6199</v>
      </c>
      <c r="B2934" s="115" t="s">
        <v>6200</v>
      </c>
      <c r="C2934" s="116" t="s">
        <v>16</v>
      </c>
      <c r="D2934" s="116">
        <v>0</v>
      </c>
      <c r="E2934" s="136">
        <f ca="1">OFFSET(INDEX(Composições!A:J,MATCH(Orçamentária!A2934,Composições!A:A,0),8),2,0)</f>
        <v>230.58399999999997</v>
      </c>
      <c r="F2934" s="137">
        <f t="shared" ca="1" si="218"/>
        <v>0</v>
      </c>
      <c r="G2934" s="138" t="e">
        <f>IF(A2934&lt;&gt;"",IF(AND(#REF!="Padrão",$H$4=#REF!),BDI!$B$17,IF(AND(#REF!="Padrão",$H$4=#REF!),BDI!#REF!,IF(AND(#REF!="Diferenciado",$H$4=#REF!),BDI!$E$17,IF(AND(#REF!="Diferenciado",$H$4=#REF!),BDI!#REF!,IF(#REF!="ZERO",0))))),"")</f>
        <v>#REF!</v>
      </c>
      <c r="H2934" s="139" t="e">
        <f t="shared" ca="1" si="219"/>
        <v>#REF!</v>
      </c>
      <c r="I2934" s="137" t="e">
        <f t="shared" ca="1" si="220"/>
        <v>#REF!</v>
      </c>
      <c r="J2934" s="117"/>
      <c r="K2934" s="116">
        <v>0</v>
      </c>
      <c r="M2934" s="136" t="e">
        <f ca="1">OFFSET(INDEX([1]Composições!I:R,MATCH([1]Orçamentária!I2934,[1]Composições!I:I,0),8),2,0)</f>
        <v>#REF!</v>
      </c>
      <c r="N2934" t="e">
        <v>#REF!</v>
      </c>
      <c r="Q2934" t="e">
        <v>#REF!</v>
      </c>
    </row>
    <row r="2935" spans="1:17" hidden="1" x14ac:dyDescent="0.25">
      <c r="A2935" s="114" t="s">
        <v>6201</v>
      </c>
      <c r="B2935" s="115" t="s">
        <v>6202</v>
      </c>
      <c r="C2935" s="116" t="s">
        <v>16</v>
      </c>
      <c r="D2935" s="116">
        <v>0</v>
      </c>
      <c r="E2935" s="136" t="s">
        <v>416</v>
      </c>
      <c r="F2935" s="137" t="str">
        <f t="shared" si="218"/>
        <v/>
      </c>
      <c r="G2935" s="138" t="e">
        <f>IF(A2935&lt;&gt;"",IF(AND(#REF!="Padrão",$H$4=#REF!),BDI!$B$17,IF(AND(#REF!="Padrão",$H$4=#REF!),BDI!#REF!,IF(AND(#REF!="Diferenciado",$H$4=#REF!),BDI!$E$17,IF(AND(#REF!="Diferenciado",$H$4=#REF!),BDI!#REF!,IF(#REF!="ZERO",0))))),"")</f>
        <v>#REF!</v>
      </c>
      <c r="H2935" s="139" t="str">
        <f t="shared" si="219"/>
        <v/>
      </c>
      <c r="I2935" s="137" t="str">
        <f t="shared" si="220"/>
        <v/>
      </c>
      <c r="J2935" s="117"/>
      <c r="K2935" s="116">
        <v>0</v>
      </c>
      <c r="M2935" s="136" t="s">
        <v>416</v>
      </c>
      <c r="N2935" t="e">
        <v>#REF!</v>
      </c>
      <c r="Q2935" t="s">
        <v>416</v>
      </c>
    </row>
    <row r="2936" spans="1:17" hidden="1" x14ac:dyDescent="0.25">
      <c r="A2936" s="114" t="s">
        <v>6203</v>
      </c>
      <c r="B2936" s="115" t="s">
        <v>5437</v>
      </c>
      <c r="C2936" s="116" t="s">
        <v>16</v>
      </c>
      <c r="D2936" s="116">
        <v>0</v>
      </c>
      <c r="E2936" s="136">
        <f ca="1">OFFSET(INDEX(Composições!A:J,MATCH(Orçamentária!A2936,Composições!A:A,0),8),2,0)</f>
        <v>46.777999999999999</v>
      </c>
      <c r="F2936" s="137">
        <f t="shared" ca="1" si="218"/>
        <v>0</v>
      </c>
      <c r="G2936" s="138" t="e">
        <f>IF(A2936&lt;&gt;"",IF(AND(#REF!="Padrão",$H$4=#REF!),BDI!$B$17,IF(AND(#REF!="Padrão",$H$4=#REF!),BDI!#REF!,IF(AND(#REF!="Diferenciado",$H$4=#REF!),BDI!$E$17,IF(AND(#REF!="Diferenciado",$H$4=#REF!),BDI!#REF!,IF(#REF!="ZERO",0))))),"")</f>
        <v>#REF!</v>
      </c>
      <c r="H2936" s="139" t="e">
        <f t="shared" ca="1" si="219"/>
        <v>#REF!</v>
      </c>
      <c r="I2936" s="137" t="e">
        <f t="shared" ca="1" si="220"/>
        <v>#REF!</v>
      </c>
      <c r="J2936" s="117"/>
      <c r="K2936" s="116">
        <v>0</v>
      </c>
      <c r="M2936" s="136" t="e">
        <f ca="1">OFFSET(INDEX([1]Composições!I:R,MATCH([1]Orçamentária!I2936,[1]Composições!I:I,0),8),2,0)</f>
        <v>#REF!</v>
      </c>
      <c r="N2936" t="e">
        <v>#REF!</v>
      </c>
      <c r="Q2936" t="e">
        <v>#REF!</v>
      </c>
    </row>
    <row r="2937" spans="1:17" hidden="1" x14ac:dyDescent="0.25">
      <c r="A2937" s="114" t="s">
        <v>6204</v>
      </c>
      <c r="B2937" s="115" t="s">
        <v>5431</v>
      </c>
      <c r="C2937" s="116" t="s">
        <v>16</v>
      </c>
      <c r="D2937" s="116">
        <v>0</v>
      </c>
      <c r="E2937" s="136">
        <f ca="1">OFFSET(INDEX(Composições!A:J,MATCH(Orçamentária!A2937,Composições!A:A,0),8),2,0)</f>
        <v>157.49099999999999</v>
      </c>
      <c r="F2937" s="137">
        <f t="shared" ca="1" si="218"/>
        <v>0</v>
      </c>
      <c r="G2937" s="138" t="e">
        <f>IF(A2937&lt;&gt;"",IF(AND(#REF!="Padrão",$H$4=#REF!),BDI!$B$17,IF(AND(#REF!="Padrão",$H$4=#REF!),BDI!#REF!,IF(AND(#REF!="Diferenciado",$H$4=#REF!),BDI!$E$17,IF(AND(#REF!="Diferenciado",$H$4=#REF!),BDI!#REF!,IF(#REF!="ZERO",0))))),"")</f>
        <v>#REF!</v>
      </c>
      <c r="H2937" s="139" t="e">
        <f t="shared" ca="1" si="219"/>
        <v>#REF!</v>
      </c>
      <c r="I2937" s="137" t="e">
        <f t="shared" ca="1" si="220"/>
        <v>#REF!</v>
      </c>
      <c r="J2937" s="117"/>
      <c r="K2937" s="116">
        <v>0</v>
      </c>
      <c r="M2937" s="136" t="e">
        <f ca="1">OFFSET(INDEX([1]Composições!I:R,MATCH([1]Orçamentária!I2937,[1]Composições!I:I,0),8),2,0)</f>
        <v>#REF!</v>
      </c>
      <c r="N2937" t="e">
        <v>#REF!</v>
      </c>
      <c r="Q2937" t="e">
        <v>#REF!</v>
      </c>
    </row>
    <row r="2938" spans="1:17" hidden="1" x14ac:dyDescent="0.25">
      <c r="A2938" s="114" t="s">
        <v>6205</v>
      </c>
      <c r="B2938" s="115" t="s">
        <v>2658</v>
      </c>
      <c r="C2938" s="116" t="s">
        <v>16</v>
      </c>
      <c r="D2938" s="116">
        <v>0</v>
      </c>
      <c r="E2938" s="136">
        <f ca="1">OFFSET(INDEX(Composições!A:J,MATCH(Orçamentária!A2938,Composições!A:A,0),8),2,0)</f>
        <v>94.847999999999999</v>
      </c>
      <c r="F2938" s="137">
        <f t="shared" ca="1" si="218"/>
        <v>0</v>
      </c>
      <c r="G2938" s="138" t="e">
        <f>IF(A2938&lt;&gt;"",IF(AND(#REF!="Padrão",$H$4=#REF!),BDI!$B$17,IF(AND(#REF!="Padrão",$H$4=#REF!),BDI!#REF!,IF(AND(#REF!="Diferenciado",$H$4=#REF!),BDI!$E$17,IF(AND(#REF!="Diferenciado",$H$4=#REF!),BDI!#REF!,IF(#REF!="ZERO",0))))),"")</f>
        <v>#REF!</v>
      </c>
      <c r="H2938" s="139" t="e">
        <f t="shared" ca="1" si="219"/>
        <v>#REF!</v>
      </c>
      <c r="I2938" s="137" t="e">
        <f t="shared" ca="1" si="220"/>
        <v>#REF!</v>
      </c>
      <c r="J2938" s="117"/>
      <c r="K2938" s="116">
        <v>0</v>
      </c>
      <c r="M2938" s="136" t="e">
        <f ca="1">OFFSET(INDEX([1]Composições!I:R,MATCH([1]Orçamentária!I2938,[1]Composições!I:I,0),8),2,0)</f>
        <v>#REF!</v>
      </c>
      <c r="N2938" t="e">
        <v>#REF!</v>
      </c>
      <c r="Q2938" t="e">
        <v>#REF!</v>
      </c>
    </row>
    <row r="2939" spans="1:17" hidden="1" x14ac:dyDescent="0.25">
      <c r="A2939" s="114" t="s">
        <v>6206</v>
      </c>
      <c r="B2939" s="115" t="s">
        <v>7354</v>
      </c>
      <c r="C2939" s="116" t="s">
        <v>16</v>
      </c>
      <c r="D2939" s="116">
        <v>0</v>
      </c>
      <c r="E2939" s="136" t="s">
        <v>416</v>
      </c>
      <c r="F2939" s="137" t="str">
        <f t="shared" si="218"/>
        <v/>
      </c>
      <c r="G2939" s="138" t="e">
        <f>IF(A2939&lt;&gt;"",IF(AND(#REF!="Padrão",$H$4=#REF!),BDI!$B$17,IF(AND(#REF!="Padrão",$H$4=#REF!),BDI!#REF!,IF(AND(#REF!="Diferenciado",$H$4=#REF!),BDI!$E$17,IF(AND(#REF!="Diferenciado",$H$4=#REF!),BDI!#REF!,IF(#REF!="ZERO",0))))),"")</f>
        <v>#REF!</v>
      </c>
      <c r="H2939" s="139" t="str">
        <f t="shared" si="219"/>
        <v/>
      </c>
      <c r="I2939" s="137" t="str">
        <f t="shared" si="220"/>
        <v/>
      </c>
      <c r="J2939" s="117"/>
      <c r="K2939" s="116">
        <v>0</v>
      </c>
      <c r="M2939" s="136" t="s">
        <v>416</v>
      </c>
      <c r="N2939" t="e">
        <v>#REF!</v>
      </c>
      <c r="Q2939" t="s">
        <v>416</v>
      </c>
    </row>
    <row r="2940" spans="1:17" hidden="1" x14ac:dyDescent="0.25">
      <c r="A2940" s="114" t="s">
        <v>6207</v>
      </c>
      <c r="B2940" s="115" t="s">
        <v>7353</v>
      </c>
      <c r="C2940" s="116" t="s">
        <v>16</v>
      </c>
      <c r="D2940" s="116">
        <v>0</v>
      </c>
      <c r="E2940" s="136">
        <f ca="1">OFFSET(INDEX(Composições!A:J,MATCH(Orçamentária!A2940,Composições!A:A,0),8),2,0)</f>
        <v>301.72000000000003</v>
      </c>
      <c r="F2940" s="137">
        <f t="shared" ca="1" si="218"/>
        <v>0</v>
      </c>
      <c r="G2940" s="138" t="e">
        <f>IF(A2940&lt;&gt;"",IF(AND(#REF!="Padrão",$H$4=#REF!),BDI!$B$17,IF(AND(#REF!="Padrão",$H$4=#REF!),BDI!#REF!,IF(AND(#REF!="Diferenciado",$H$4=#REF!),BDI!$E$17,IF(AND(#REF!="Diferenciado",$H$4=#REF!),BDI!#REF!,IF(#REF!="ZERO",0))))),"")</f>
        <v>#REF!</v>
      </c>
      <c r="H2940" s="139" t="e">
        <f t="shared" ca="1" si="219"/>
        <v>#REF!</v>
      </c>
      <c r="I2940" s="137" t="e">
        <f t="shared" ca="1" si="220"/>
        <v>#REF!</v>
      </c>
      <c r="J2940" s="117"/>
      <c r="K2940" s="116">
        <v>0</v>
      </c>
      <c r="M2940" s="136" t="e">
        <f ca="1">OFFSET(INDEX([1]Composições!I:R,MATCH([1]Orçamentária!I2940,[1]Composições!I:I,0),8),2,0)</f>
        <v>#REF!</v>
      </c>
      <c r="N2940" t="e">
        <v>#REF!</v>
      </c>
      <c r="Q2940" t="e">
        <v>#REF!</v>
      </c>
    </row>
    <row r="2941" spans="1:17" hidden="1" x14ac:dyDescent="0.25">
      <c r="A2941" s="114" t="s">
        <v>6208</v>
      </c>
      <c r="B2941" s="115" t="s">
        <v>6209</v>
      </c>
      <c r="C2941" s="116" t="s">
        <v>16</v>
      </c>
      <c r="D2941" s="116">
        <v>0</v>
      </c>
      <c r="E2941" s="136" t="s">
        <v>416</v>
      </c>
      <c r="F2941" s="137" t="str">
        <f t="shared" si="218"/>
        <v/>
      </c>
      <c r="G2941" s="138" t="e">
        <f>IF(A2941&lt;&gt;"",IF(AND(#REF!="Padrão",$H$4=#REF!),BDI!$B$17,IF(AND(#REF!="Padrão",$H$4=#REF!),BDI!#REF!,IF(AND(#REF!="Diferenciado",$H$4=#REF!),BDI!$E$17,IF(AND(#REF!="Diferenciado",$H$4=#REF!),BDI!#REF!,IF(#REF!="ZERO",0))))),"")</f>
        <v>#REF!</v>
      </c>
      <c r="H2941" s="139" t="str">
        <f t="shared" si="219"/>
        <v/>
      </c>
      <c r="I2941" s="137" t="str">
        <f t="shared" si="220"/>
        <v/>
      </c>
      <c r="J2941" s="117"/>
      <c r="K2941" s="116">
        <v>0</v>
      </c>
      <c r="M2941" s="136" t="s">
        <v>416</v>
      </c>
      <c r="N2941" t="e">
        <v>#REF!</v>
      </c>
      <c r="Q2941" t="s">
        <v>416</v>
      </c>
    </row>
    <row r="2942" spans="1:17" hidden="1" x14ac:dyDescent="0.25">
      <c r="A2942" s="114" t="s">
        <v>6210</v>
      </c>
      <c r="B2942" s="115" t="s">
        <v>6211</v>
      </c>
      <c r="C2942" s="116" t="s">
        <v>16</v>
      </c>
      <c r="D2942" s="116">
        <v>0</v>
      </c>
      <c r="E2942" s="136" t="s">
        <v>416</v>
      </c>
      <c r="F2942" s="137" t="str">
        <f t="shared" si="218"/>
        <v/>
      </c>
      <c r="G2942" s="138" t="e">
        <f>IF(A2942&lt;&gt;"",IF(AND(#REF!="Padrão",$H$4=#REF!),BDI!$B$17,IF(AND(#REF!="Padrão",$H$4=#REF!),BDI!#REF!,IF(AND(#REF!="Diferenciado",$H$4=#REF!),BDI!$E$17,IF(AND(#REF!="Diferenciado",$H$4=#REF!),BDI!#REF!,IF(#REF!="ZERO",0))))),"")</f>
        <v>#REF!</v>
      </c>
      <c r="H2942" s="139" t="str">
        <f t="shared" si="219"/>
        <v/>
      </c>
      <c r="I2942" s="137" t="str">
        <f t="shared" si="220"/>
        <v/>
      </c>
      <c r="J2942" s="117"/>
      <c r="K2942" s="116">
        <v>0</v>
      </c>
      <c r="M2942" s="136" t="s">
        <v>416</v>
      </c>
      <c r="N2942" t="e">
        <v>#REF!</v>
      </c>
      <c r="Q2942" t="s">
        <v>416</v>
      </c>
    </row>
    <row r="2943" spans="1:17" hidden="1" x14ac:dyDescent="0.25">
      <c r="A2943" s="114" t="s">
        <v>6212</v>
      </c>
      <c r="B2943" s="115" t="s">
        <v>7352</v>
      </c>
      <c r="C2943" s="116" t="s">
        <v>16</v>
      </c>
      <c r="D2943" s="116">
        <v>0</v>
      </c>
      <c r="E2943" s="136" t="s">
        <v>416</v>
      </c>
      <c r="F2943" s="137" t="str">
        <f t="shared" si="218"/>
        <v/>
      </c>
      <c r="G2943" s="138" t="e">
        <f>IF(A2943&lt;&gt;"",IF(AND(#REF!="Padrão",$H$4=#REF!),BDI!$B$17,IF(AND(#REF!="Padrão",$H$4=#REF!),BDI!#REF!,IF(AND(#REF!="Diferenciado",$H$4=#REF!),BDI!$E$17,IF(AND(#REF!="Diferenciado",$H$4=#REF!),BDI!#REF!,IF(#REF!="ZERO",0))))),"")</f>
        <v>#REF!</v>
      </c>
      <c r="H2943" s="139" t="str">
        <f t="shared" si="219"/>
        <v/>
      </c>
      <c r="I2943" s="137" t="str">
        <f t="shared" si="220"/>
        <v/>
      </c>
      <c r="J2943" s="117"/>
      <c r="K2943" s="116">
        <v>0</v>
      </c>
      <c r="M2943" s="136" t="s">
        <v>416</v>
      </c>
      <c r="N2943" t="e">
        <v>#REF!</v>
      </c>
      <c r="Q2943" t="s">
        <v>416</v>
      </c>
    </row>
    <row r="2944" spans="1:17" hidden="1" x14ac:dyDescent="0.25">
      <c r="A2944" s="114" t="s">
        <v>6213</v>
      </c>
      <c r="B2944" s="115" t="s">
        <v>6214</v>
      </c>
      <c r="C2944" s="116" t="s">
        <v>16</v>
      </c>
      <c r="D2944" s="116">
        <v>0</v>
      </c>
      <c r="E2944" s="136" t="s">
        <v>416</v>
      </c>
      <c r="F2944" s="137" t="str">
        <f t="shared" si="218"/>
        <v/>
      </c>
      <c r="G2944" s="138" t="e">
        <f>IF(A2944&lt;&gt;"",IF(AND(#REF!="Padrão",$H$4=#REF!),BDI!$B$17,IF(AND(#REF!="Padrão",$H$4=#REF!),BDI!#REF!,IF(AND(#REF!="Diferenciado",$H$4=#REF!),BDI!$E$17,IF(AND(#REF!="Diferenciado",$H$4=#REF!),BDI!#REF!,IF(#REF!="ZERO",0))))),"")</f>
        <v>#REF!</v>
      </c>
      <c r="H2944" s="139" t="str">
        <f t="shared" si="219"/>
        <v/>
      </c>
      <c r="I2944" s="137" t="str">
        <f t="shared" si="220"/>
        <v/>
      </c>
      <c r="J2944" s="117"/>
      <c r="K2944" s="116">
        <v>0</v>
      </c>
      <c r="M2944" s="136" t="s">
        <v>416</v>
      </c>
      <c r="N2944" t="e">
        <v>#REF!</v>
      </c>
      <c r="Q2944" t="s">
        <v>416</v>
      </c>
    </row>
    <row r="2945" spans="1:17" hidden="1" x14ac:dyDescent="0.25">
      <c r="A2945" s="114" t="s">
        <v>6215</v>
      </c>
      <c r="B2945" s="115" t="s">
        <v>6216</v>
      </c>
      <c r="C2945" s="116" t="s">
        <v>16</v>
      </c>
      <c r="D2945" s="116">
        <v>0</v>
      </c>
      <c r="E2945" s="136">
        <f ca="1">OFFSET(INDEX(Composições!A:J,MATCH(Orçamentária!A2945,Composições!A:A,0),8),2,0)</f>
        <v>11.038999999999998</v>
      </c>
      <c r="F2945" s="137">
        <f t="shared" ca="1" si="218"/>
        <v>0</v>
      </c>
      <c r="G2945" s="138" t="e">
        <f>IF(A2945&lt;&gt;"",IF(AND(#REF!="Padrão",$H$4=#REF!),BDI!$B$17,IF(AND(#REF!="Padrão",$H$4=#REF!),BDI!#REF!,IF(AND(#REF!="Diferenciado",$H$4=#REF!),BDI!$E$17,IF(AND(#REF!="Diferenciado",$H$4=#REF!),BDI!#REF!,IF(#REF!="ZERO",0))))),"")</f>
        <v>#REF!</v>
      </c>
      <c r="H2945" s="139" t="e">
        <f t="shared" ca="1" si="219"/>
        <v>#REF!</v>
      </c>
      <c r="I2945" s="137" t="e">
        <f t="shared" ca="1" si="220"/>
        <v>#REF!</v>
      </c>
      <c r="J2945" s="117"/>
      <c r="K2945" s="116">
        <v>0</v>
      </c>
      <c r="M2945" s="136" t="e">
        <f ca="1">OFFSET(INDEX([1]Composições!I:R,MATCH([1]Orçamentária!I2945,[1]Composições!I:I,0),8),2,0)</f>
        <v>#REF!</v>
      </c>
      <c r="N2945" t="e">
        <v>#REF!</v>
      </c>
      <c r="Q2945" t="e">
        <v>#REF!</v>
      </c>
    </row>
    <row r="2946" spans="1:17" hidden="1" x14ac:dyDescent="0.25">
      <c r="A2946" s="114" t="s">
        <v>6217</v>
      </c>
      <c r="B2946" s="115" t="s">
        <v>7351</v>
      </c>
      <c r="C2946" s="116" t="s">
        <v>16</v>
      </c>
      <c r="D2946" s="116">
        <v>0</v>
      </c>
      <c r="E2946" s="136">
        <f ca="1">OFFSET(INDEX(Composições!A:J,MATCH(Orçamentária!A2946,Composições!A:A,0),8),2,0)</f>
        <v>278.39749999999998</v>
      </c>
      <c r="F2946" s="137">
        <f t="shared" ca="1" si="218"/>
        <v>0</v>
      </c>
      <c r="G2946" s="138" t="e">
        <f>IF(A2946&lt;&gt;"",IF(AND(#REF!="Padrão",$H$4=#REF!),BDI!$B$17,IF(AND(#REF!="Padrão",$H$4=#REF!),BDI!#REF!,IF(AND(#REF!="Diferenciado",$H$4=#REF!),BDI!$E$17,IF(AND(#REF!="Diferenciado",$H$4=#REF!),BDI!#REF!,IF(#REF!="ZERO",0))))),"")</f>
        <v>#REF!</v>
      </c>
      <c r="H2946" s="139" t="e">
        <f t="shared" ca="1" si="219"/>
        <v>#REF!</v>
      </c>
      <c r="I2946" s="137" t="e">
        <f t="shared" ca="1" si="220"/>
        <v>#REF!</v>
      </c>
      <c r="J2946" s="117"/>
      <c r="K2946" s="116">
        <v>0</v>
      </c>
      <c r="M2946" s="136" t="e">
        <f ca="1">OFFSET(INDEX([1]Composições!I:R,MATCH([1]Orçamentária!I2946,[1]Composições!I:I,0),8),2,0)</f>
        <v>#REF!</v>
      </c>
      <c r="N2946" t="e">
        <v>#REF!</v>
      </c>
      <c r="Q2946" t="e">
        <v>#REF!</v>
      </c>
    </row>
    <row r="2947" spans="1:17" hidden="1" x14ac:dyDescent="0.25">
      <c r="A2947" s="114" t="s">
        <v>6218</v>
      </c>
      <c r="B2947" s="115" t="s">
        <v>7350</v>
      </c>
      <c r="C2947" s="116" t="s">
        <v>16</v>
      </c>
      <c r="D2947" s="116">
        <v>0</v>
      </c>
      <c r="E2947" s="136" t="s">
        <v>416</v>
      </c>
      <c r="F2947" s="137" t="str">
        <f t="shared" si="218"/>
        <v/>
      </c>
      <c r="G2947" s="138" t="e">
        <f>IF(A2947&lt;&gt;"",IF(AND(#REF!="Padrão",$H$4=#REF!),BDI!$B$17,IF(AND(#REF!="Padrão",$H$4=#REF!),BDI!#REF!,IF(AND(#REF!="Diferenciado",$H$4=#REF!),BDI!$E$17,IF(AND(#REF!="Diferenciado",$H$4=#REF!),BDI!#REF!,IF(#REF!="ZERO",0))))),"")</f>
        <v>#REF!</v>
      </c>
      <c r="H2947" s="139" t="str">
        <f t="shared" si="219"/>
        <v/>
      </c>
      <c r="I2947" s="137" t="str">
        <f t="shared" si="220"/>
        <v/>
      </c>
      <c r="J2947" s="117"/>
      <c r="K2947" s="116">
        <v>0</v>
      </c>
      <c r="M2947" s="136" t="s">
        <v>416</v>
      </c>
      <c r="N2947" t="e">
        <v>#REF!</v>
      </c>
      <c r="Q2947" t="s">
        <v>416</v>
      </c>
    </row>
    <row r="2948" spans="1:17" hidden="1" x14ac:dyDescent="0.25">
      <c r="A2948" s="114" t="s">
        <v>6219</v>
      </c>
      <c r="B2948" s="115" t="s">
        <v>7349</v>
      </c>
      <c r="C2948" s="116" t="s">
        <v>16</v>
      </c>
      <c r="D2948" s="116">
        <v>0</v>
      </c>
      <c r="E2948" s="136">
        <f ca="1">OFFSET(INDEX(Composições!A:J,MATCH(Orçamentária!A2948,Composições!A:A,0),8),2,0)</f>
        <v>4887.1324999999997</v>
      </c>
      <c r="F2948" s="137">
        <f t="shared" ca="1" si="218"/>
        <v>0</v>
      </c>
      <c r="G2948" s="138" t="e">
        <f>IF(A2948&lt;&gt;"",IF(AND(#REF!="Padrão",$H$4=#REF!),BDI!$B$17,IF(AND(#REF!="Padrão",$H$4=#REF!),BDI!#REF!,IF(AND(#REF!="Diferenciado",$H$4=#REF!),BDI!$E$17,IF(AND(#REF!="Diferenciado",$H$4=#REF!),BDI!#REF!,IF(#REF!="ZERO",0))))),"")</f>
        <v>#REF!</v>
      </c>
      <c r="H2948" s="139" t="e">
        <f t="shared" ca="1" si="219"/>
        <v>#REF!</v>
      </c>
      <c r="I2948" s="137" t="e">
        <f t="shared" ca="1" si="220"/>
        <v>#REF!</v>
      </c>
      <c r="J2948" s="117"/>
      <c r="K2948" s="116">
        <v>0</v>
      </c>
      <c r="M2948" s="136" t="e">
        <f ca="1">OFFSET(INDEX([1]Composições!I:R,MATCH([1]Orçamentária!I2948,[1]Composições!I:I,0),8),2,0)</f>
        <v>#REF!</v>
      </c>
      <c r="N2948" t="e">
        <v>#REF!</v>
      </c>
      <c r="Q2948" t="e">
        <v>#REF!</v>
      </c>
    </row>
    <row r="2949" spans="1:17" hidden="1" x14ac:dyDescent="0.25">
      <c r="A2949" s="114" t="s">
        <v>6220</v>
      </c>
      <c r="B2949" s="115" t="s">
        <v>6221</v>
      </c>
      <c r="C2949" s="116" t="s">
        <v>16</v>
      </c>
      <c r="D2949" s="116">
        <v>0</v>
      </c>
      <c r="E2949" s="136" t="s">
        <v>416</v>
      </c>
      <c r="F2949" s="137" t="str">
        <f t="shared" si="218"/>
        <v/>
      </c>
      <c r="G2949" s="138" t="e">
        <f>IF(A2949&lt;&gt;"",IF(AND(#REF!="Padrão",$H$4=#REF!),BDI!$B$17,IF(AND(#REF!="Padrão",$H$4=#REF!),BDI!#REF!,IF(AND(#REF!="Diferenciado",$H$4=#REF!),BDI!$E$17,IF(AND(#REF!="Diferenciado",$H$4=#REF!),BDI!#REF!,IF(#REF!="ZERO",0))))),"")</f>
        <v>#REF!</v>
      </c>
      <c r="H2949" s="139" t="str">
        <f t="shared" si="219"/>
        <v/>
      </c>
      <c r="I2949" s="137" t="str">
        <f t="shared" si="220"/>
        <v/>
      </c>
      <c r="J2949" s="117"/>
      <c r="K2949" s="116">
        <v>0</v>
      </c>
      <c r="M2949" s="136" t="s">
        <v>416</v>
      </c>
      <c r="N2949" t="e">
        <v>#REF!</v>
      </c>
      <c r="Q2949" t="s">
        <v>416</v>
      </c>
    </row>
    <row r="2950" spans="1:17" hidden="1" x14ac:dyDescent="0.25">
      <c r="A2950" s="114" t="s">
        <v>6222</v>
      </c>
      <c r="B2950" s="115" t="s">
        <v>7348</v>
      </c>
      <c r="C2950" s="116" t="s">
        <v>16</v>
      </c>
      <c r="D2950" s="116">
        <v>0</v>
      </c>
      <c r="E2950" s="136" t="s">
        <v>416</v>
      </c>
      <c r="F2950" s="137" t="str">
        <f t="shared" si="218"/>
        <v/>
      </c>
      <c r="G2950" s="138" t="e">
        <f>IF(A2950&lt;&gt;"",IF(AND(#REF!="Padrão",$H$4=#REF!),BDI!$B$17,IF(AND(#REF!="Padrão",$H$4=#REF!),BDI!#REF!,IF(AND(#REF!="Diferenciado",$H$4=#REF!),BDI!$E$17,IF(AND(#REF!="Diferenciado",$H$4=#REF!),BDI!#REF!,IF(#REF!="ZERO",0))))),"")</f>
        <v>#REF!</v>
      </c>
      <c r="H2950" s="139" t="str">
        <f t="shared" si="219"/>
        <v/>
      </c>
      <c r="I2950" s="137" t="str">
        <f t="shared" si="220"/>
        <v/>
      </c>
      <c r="J2950" s="117"/>
      <c r="K2950" s="116">
        <v>0</v>
      </c>
      <c r="M2950" s="136" t="s">
        <v>416</v>
      </c>
      <c r="N2950" t="e">
        <v>#REF!</v>
      </c>
      <c r="Q2950" t="s">
        <v>416</v>
      </c>
    </row>
    <row r="2951" spans="1:17" hidden="1" x14ac:dyDescent="0.25">
      <c r="A2951" s="114" t="s">
        <v>6223</v>
      </c>
      <c r="B2951" s="115" t="s">
        <v>7347</v>
      </c>
      <c r="C2951" s="116" t="s">
        <v>16</v>
      </c>
      <c r="D2951" s="116">
        <v>0</v>
      </c>
      <c r="E2951" s="136" t="s">
        <v>416</v>
      </c>
      <c r="F2951" s="137" t="str">
        <f t="shared" si="218"/>
        <v/>
      </c>
      <c r="G2951" s="138" t="e">
        <f>IF(A2951&lt;&gt;"",IF(AND(#REF!="Padrão",$H$4=#REF!),BDI!$B$17,IF(AND(#REF!="Padrão",$H$4=#REF!),BDI!#REF!,IF(AND(#REF!="Diferenciado",$H$4=#REF!),BDI!$E$17,IF(AND(#REF!="Diferenciado",$H$4=#REF!),BDI!#REF!,IF(#REF!="ZERO",0))))),"")</f>
        <v>#REF!</v>
      </c>
      <c r="H2951" s="139" t="str">
        <f t="shared" si="219"/>
        <v/>
      </c>
      <c r="I2951" s="137" t="str">
        <f t="shared" si="220"/>
        <v/>
      </c>
      <c r="J2951" s="117"/>
      <c r="K2951" s="116">
        <v>0</v>
      </c>
      <c r="M2951" s="136" t="s">
        <v>416</v>
      </c>
      <c r="N2951" t="e">
        <v>#REF!</v>
      </c>
      <c r="Q2951" t="s">
        <v>416</v>
      </c>
    </row>
    <row r="2952" spans="1:17" hidden="1" x14ac:dyDescent="0.25">
      <c r="A2952" s="114" t="s">
        <v>6224</v>
      </c>
      <c r="B2952" s="115" t="s">
        <v>7346</v>
      </c>
      <c r="C2952" s="116" t="s">
        <v>16</v>
      </c>
      <c r="D2952" s="116">
        <v>0</v>
      </c>
      <c r="E2952" s="136" t="s">
        <v>416</v>
      </c>
      <c r="F2952" s="137" t="str">
        <f t="shared" si="218"/>
        <v/>
      </c>
      <c r="G2952" s="138" t="e">
        <f>IF(A2952&lt;&gt;"",IF(AND(#REF!="Padrão",$H$4=#REF!),BDI!$B$17,IF(AND(#REF!="Padrão",$H$4=#REF!),BDI!#REF!,IF(AND(#REF!="Diferenciado",$H$4=#REF!),BDI!$E$17,IF(AND(#REF!="Diferenciado",$H$4=#REF!),BDI!#REF!,IF(#REF!="ZERO",0))))),"")</f>
        <v>#REF!</v>
      </c>
      <c r="H2952" s="139" t="str">
        <f t="shared" si="219"/>
        <v/>
      </c>
      <c r="I2952" s="137" t="str">
        <f t="shared" si="220"/>
        <v/>
      </c>
      <c r="J2952" s="117"/>
      <c r="K2952" s="116">
        <v>0</v>
      </c>
      <c r="M2952" s="136" t="s">
        <v>416</v>
      </c>
      <c r="N2952" t="e">
        <v>#REF!</v>
      </c>
      <c r="Q2952" t="s">
        <v>416</v>
      </c>
    </row>
    <row r="2953" spans="1:17" hidden="1" x14ac:dyDescent="0.25">
      <c r="A2953" s="114" t="s">
        <v>6225</v>
      </c>
      <c r="B2953" s="115" t="s">
        <v>7345</v>
      </c>
      <c r="C2953" s="116" t="s">
        <v>16</v>
      </c>
      <c r="D2953" s="116">
        <v>0</v>
      </c>
      <c r="E2953" s="136" t="s">
        <v>416</v>
      </c>
      <c r="F2953" s="137" t="str">
        <f t="shared" si="218"/>
        <v/>
      </c>
      <c r="G2953" s="138" t="e">
        <f>IF(A2953&lt;&gt;"",IF(AND(#REF!="Padrão",$H$4=#REF!),BDI!$B$17,IF(AND(#REF!="Padrão",$H$4=#REF!),BDI!#REF!,IF(AND(#REF!="Diferenciado",$H$4=#REF!),BDI!$E$17,IF(AND(#REF!="Diferenciado",$H$4=#REF!),BDI!#REF!,IF(#REF!="ZERO",0))))),"")</f>
        <v>#REF!</v>
      </c>
      <c r="H2953" s="139" t="str">
        <f t="shared" si="219"/>
        <v/>
      </c>
      <c r="I2953" s="137" t="str">
        <f t="shared" si="220"/>
        <v/>
      </c>
      <c r="J2953" s="117"/>
      <c r="K2953" s="116">
        <v>0</v>
      </c>
      <c r="M2953" s="136" t="s">
        <v>416</v>
      </c>
      <c r="N2953" t="e">
        <v>#REF!</v>
      </c>
      <c r="Q2953" t="s">
        <v>416</v>
      </c>
    </row>
    <row r="2954" spans="1:17" hidden="1" x14ac:dyDescent="0.25">
      <c r="A2954" s="114" t="s">
        <v>6226</v>
      </c>
      <c r="B2954" s="115" t="s">
        <v>7344</v>
      </c>
      <c r="C2954" s="116" t="s">
        <v>16</v>
      </c>
      <c r="D2954" s="116">
        <v>0</v>
      </c>
      <c r="E2954" s="136" t="s">
        <v>416</v>
      </c>
      <c r="F2954" s="137" t="str">
        <f t="shared" si="218"/>
        <v/>
      </c>
      <c r="G2954" s="138" t="e">
        <f>IF(A2954&lt;&gt;"",IF(AND(#REF!="Padrão",$H$4=#REF!),BDI!$B$17,IF(AND(#REF!="Padrão",$H$4=#REF!),BDI!#REF!,IF(AND(#REF!="Diferenciado",$H$4=#REF!),BDI!$E$17,IF(AND(#REF!="Diferenciado",$H$4=#REF!),BDI!#REF!,IF(#REF!="ZERO",0))))),"")</f>
        <v>#REF!</v>
      </c>
      <c r="H2954" s="139" t="str">
        <f t="shared" si="219"/>
        <v/>
      </c>
      <c r="I2954" s="137" t="str">
        <f t="shared" si="220"/>
        <v/>
      </c>
      <c r="J2954" s="117"/>
      <c r="K2954" s="116">
        <v>0</v>
      </c>
      <c r="M2954" s="136" t="s">
        <v>416</v>
      </c>
      <c r="N2954" t="e">
        <v>#REF!</v>
      </c>
      <c r="Q2954" t="s">
        <v>416</v>
      </c>
    </row>
    <row r="2955" spans="1:17" hidden="1" x14ac:dyDescent="0.25">
      <c r="A2955" s="114" t="s">
        <v>6227</v>
      </c>
      <c r="B2955" s="115" t="s">
        <v>7343</v>
      </c>
      <c r="C2955" s="116" t="s">
        <v>16</v>
      </c>
      <c r="D2955" s="116">
        <v>0</v>
      </c>
      <c r="E2955" s="136" t="s">
        <v>416</v>
      </c>
      <c r="F2955" s="137" t="str">
        <f t="shared" si="218"/>
        <v/>
      </c>
      <c r="G2955" s="138" t="e">
        <f>IF(A2955&lt;&gt;"",IF(AND(#REF!="Padrão",$H$4=#REF!),BDI!$B$17,IF(AND(#REF!="Padrão",$H$4=#REF!),BDI!#REF!,IF(AND(#REF!="Diferenciado",$H$4=#REF!),BDI!$E$17,IF(AND(#REF!="Diferenciado",$H$4=#REF!),BDI!#REF!,IF(#REF!="ZERO",0))))),"")</f>
        <v>#REF!</v>
      </c>
      <c r="H2955" s="139" t="str">
        <f t="shared" si="219"/>
        <v/>
      </c>
      <c r="I2955" s="137" t="str">
        <f t="shared" si="220"/>
        <v/>
      </c>
      <c r="J2955" s="117"/>
      <c r="K2955" s="116">
        <v>0</v>
      </c>
      <c r="M2955" s="136" t="s">
        <v>416</v>
      </c>
      <c r="N2955" t="e">
        <v>#REF!</v>
      </c>
      <c r="Q2955" t="s">
        <v>416</v>
      </c>
    </row>
    <row r="2956" spans="1:17" hidden="1" x14ac:dyDescent="0.25">
      <c r="A2956" s="114" t="s">
        <v>6228</v>
      </c>
      <c r="B2956" s="115" t="s">
        <v>7342</v>
      </c>
      <c r="C2956" s="116" t="s">
        <v>16</v>
      </c>
      <c r="D2956" s="116">
        <v>0</v>
      </c>
      <c r="E2956" s="136" t="s">
        <v>416</v>
      </c>
      <c r="F2956" s="137" t="str">
        <f t="shared" si="218"/>
        <v/>
      </c>
      <c r="G2956" s="138" t="e">
        <f>IF(A2956&lt;&gt;"",IF(AND(#REF!="Padrão",$H$4=#REF!),BDI!$B$17,IF(AND(#REF!="Padrão",$H$4=#REF!),BDI!#REF!,IF(AND(#REF!="Diferenciado",$H$4=#REF!),BDI!$E$17,IF(AND(#REF!="Diferenciado",$H$4=#REF!),BDI!#REF!,IF(#REF!="ZERO",0))))),"")</f>
        <v>#REF!</v>
      </c>
      <c r="H2956" s="139" t="str">
        <f t="shared" si="219"/>
        <v/>
      </c>
      <c r="I2956" s="137" t="str">
        <f t="shared" si="220"/>
        <v/>
      </c>
      <c r="J2956" s="117"/>
      <c r="K2956" s="116">
        <v>0</v>
      </c>
      <c r="M2956" s="136" t="s">
        <v>416</v>
      </c>
      <c r="N2956" t="e">
        <v>#REF!</v>
      </c>
      <c r="Q2956" t="s">
        <v>416</v>
      </c>
    </row>
    <row r="2957" spans="1:17" hidden="1" x14ac:dyDescent="0.25">
      <c r="A2957" s="114" t="s">
        <v>6229</v>
      </c>
      <c r="B2957" s="115" t="s">
        <v>7341</v>
      </c>
      <c r="C2957" s="116" t="s">
        <v>16</v>
      </c>
      <c r="D2957" s="116">
        <v>0</v>
      </c>
      <c r="E2957" s="136" t="s">
        <v>416</v>
      </c>
      <c r="F2957" s="137" t="str">
        <f t="shared" si="218"/>
        <v/>
      </c>
      <c r="G2957" s="138" t="e">
        <f>IF(A2957&lt;&gt;"",IF(AND(#REF!="Padrão",$H$4=#REF!),BDI!$B$17,IF(AND(#REF!="Padrão",$H$4=#REF!),BDI!#REF!,IF(AND(#REF!="Diferenciado",$H$4=#REF!),BDI!$E$17,IF(AND(#REF!="Diferenciado",$H$4=#REF!),BDI!#REF!,IF(#REF!="ZERO",0))))),"")</f>
        <v>#REF!</v>
      </c>
      <c r="H2957" s="139" t="str">
        <f t="shared" si="219"/>
        <v/>
      </c>
      <c r="I2957" s="137" t="str">
        <f t="shared" si="220"/>
        <v/>
      </c>
      <c r="J2957" s="117"/>
      <c r="K2957" s="116">
        <v>0</v>
      </c>
      <c r="M2957" s="136" t="s">
        <v>416</v>
      </c>
      <c r="N2957" t="e">
        <v>#REF!</v>
      </c>
      <c r="Q2957" t="s">
        <v>416</v>
      </c>
    </row>
    <row r="2958" spans="1:17" hidden="1" x14ac:dyDescent="0.25">
      <c r="A2958" s="114" t="s">
        <v>6230</v>
      </c>
      <c r="B2958" s="115" t="s">
        <v>7340</v>
      </c>
      <c r="C2958" s="116" t="s">
        <v>16</v>
      </c>
      <c r="D2958" s="116">
        <v>0</v>
      </c>
      <c r="E2958" s="136" t="s">
        <v>416</v>
      </c>
      <c r="F2958" s="137" t="str">
        <f t="shared" si="218"/>
        <v/>
      </c>
      <c r="G2958" s="138" t="e">
        <f>IF(A2958&lt;&gt;"",IF(AND(#REF!="Padrão",$H$4=#REF!),BDI!$B$17,IF(AND(#REF!="Padrão",$H$4=#REF!),BDI!#REF!,IF(AND(#REF!="Diferenciado",$H$4=#REF!),BDI!$E$17,IF(AND(#REF!="Diferenciado",$H$4=#REF!),BDI!#REF!,IF(#REF!="ZERO",0))))),"")</f>
        <v>#REF!</v>
      </c>
      <c r="H2958" s="139" t="str">
        <f t="shared" si="219"/>
        <v/>
      </c>
      <c r="I2958" s="137" t="str">
        <f t="shared" si="220"/>
        <v/>
      </c>
      <c r="J2958" s="117"/>
      <c r="K2958" s="116">
        <v>0</v>
      </c>
      <c r="M2958" s="136" t="s">
        <v>416</v>
      </c>
      <c r="N2958" t="e">
        <v>#REF!</v>
      </c>
      <c r="Q2958" t="s">
        <v>416</v>
      </c>
    </row>
    <row r="2959" spans="1:17" hidden="1" x14ac:dyDescent="0.25">
      <c r="A2959" s="114" t="s">
        <v>6231</v>
      </c>
      <c r="B2959" s="115" t="s">
        <v>7339</v>
      </c>
      <c r="C2959" s="116" t="s">
        <v>16</v>
      </c>
      <c r="D2959" s="116">
        <v>0</v>
      </c>
      <c r="E2959" s="136" t="s">
        <v>416</v>
      </c>
      <c r="F2959" s="137" t="str">
        <f t="shared" si="218"/>
        <v/>
      </c>
      <c r="G2959" s="138" t="e">
        <f>IF(A2959&lt;&gt;"",IF(AND(#REF!="Padrão",$H$4=#REF!),BDI!$B$17,IF(AND(#REF!="Padrão",$H$4=#REF!),BDI!#REF!,IF(AND(#REF!="Diferenciado",$H$4=#REF!),BDI!$E$17,IF(AND(#REF!="Diferenciado",$H$4=#REF!),BDI!#REF!,IF(#REF!="ZERO",0))))),"")</f>
        <v>#REF!</v>
      </c>
      <c r="H2959" s="139" t="str">
        <f t="shared" si="219"/>
        <v/>
      </c>
      <c r="I2959" s="137" t="str">
        <f t="shared" si="220"/>
        <v/>
      </c>
      <c r="J2959" s="117"/>
      <c r="K2959" s="116">
        <v>0</v>
      </c>
      <c r="M2959" s="136" t="s">
        <v>416</v>
      </c>
      <c r="N2959" t="e">
        <v>#REF!</v>
      </c>
      <c r="Q2959" t="s">
        <v>416</v>
      </c>
    </row>
    <row r="2960" spans="1:17" hidden="1" x14ac:dyDescent="0.25">
      <c r="A2960" s="114" t="s">
        <v>6232</v>
      </c>
      <c r="B2960" s="115" t="s">
        <v>7338</v>
      </c>
      <c r="C2960" s="116" t="s">
        <v>16</v>
      </c>
      <c r="D2960" s="116">
        <v>0</v>
      </c>
      <c r="E2960" s="136" t="s">
        <v>416</v>
      </c>
      <c r="F2960" s="137" t="str">
        <f t="shared" si="218"/>
        <v/>
      </c>
      <c r="G2960" s="138" t="e">
        <f>IF(A2960&lt;&gt;"",IF(AND(#REF!="Padrão",$H$4=#REF!),BDI!$B$17,IF(AND(#REF!="Padrão",$H$4=#REF!),BDI!#REF!,IF(AND(#REF!="Diferenciado",$H$4=#REF!),BDI!$E$17,IF(AND(#REF!="Diferenciado",$H$4=#REF!),BDI!#REF!,IF(#REF!="ZERO",0))))),"")</f>
        <v>#REF!</v>
      </c>
      <c r="H2960" s="139" t="str">
        <f t="shared" si="219"/>
        <v/>
      </c>
      <c r="I2960" s="137" t="str">
        <f t="shared" si="220"/>
        <v/>
      </c>
      <c r="J2960" s="117"/>
      <c r="K2960" s="116">
        <v>0</v>
      </c>
      <c r="M2960" s="136" t="s">
        <v>416</v>
      </c>
      <c r="N2960" t="e">
        <v>#REF!</v>
      </c>
      <c r="Q2960" t="s">
        <v>416</v>
      </c>
    </row>
    <row r="2961" spans="1:17" hidden="1" x14ac:dyDescent="0.25">
      <c r="A2961" s="114" t="s">
        <v>6233</v>
      </c>
      <c r="B2961" s="115" t="s">
        <v>7337</v>
      </c>
      <c r="C2961" s="116" t="s">
        <v>16</v>
      </c>
      <c r="D2961" s="116">
        <v>0</v>
      </c>
      <c r="E2961" s="136" t="s">
        <v>416</v>
      </c>
      <c r="F2961" s="137" t="str">
        <f t="shared" si="218"/>
        <v/>
      </c>
      <c r="G2961" s="138" t="e">
        <f>IF(A2961&lt;&gt;"",IF(AND(#REF!="Padrão",$H$4=#REF!),BDI!$B$17,IF(AND(#REF!="Padrão",$H$4=#REF!),BDI!#REF!,IF(AND(#REF!="Diferenciado",$H$4=#REF!),BDI!$E$17,IF(AND(#REF!="Diferenciado",$H$4=#REF!),BDI!#REF!,IF(#REF!="ZERO",0))))),"")</f>
        <v>#REF!</v>
      </c>
      <c r="H2961" s="139" t="str">
        <f t="shared" si="219"/>
        <v/>
      </c>
      <c r="I2961" s="137" t="str">
        <f t="shared" si="220"/>
        <v/>
      </c>
      <c r="J2961" s="117"/>
      <c r="K2961" s="116">
        <v>0</v>
      </c>
      <c r="M2961" s="136" t="s">
        <v>416</v>
      </c>
      <c r="N2961" t="e">
        <v>#REF!</v>
      </c>
      <c r="Q2961" t="s">
        <v>416</v>
      </c>
    </row>
    <row r="2962" spans="1:17" hidden="1" x14ac:dyDescent="0.25">
      <c r="A2962" s="114" t="s">
        <v>6234</v>
      </c>
      <c r="B2962" s="115" t="s">
        <v>7336</v>
      </c>
      <c r="C2962" s="116" t="s">
        <v>16</v>
      </c>
      <c r="D2962" s="116">
        <v>0</v>
      </c>
      <c r="E2962" s="136" t="s">
        <v>416</v>
      </c>
      <c r="F2962" s="137" t="str">
        <f t="shared" si="218"/>
        <v/>
      </c>
      <c r="G2962" s="138" t="e">
        <f>IF(A2962&lt;&gt;"",IF(AND(#REF!="Padrão",$H$4=#REF!),BDI!$B$17,IF(AND(#REF!="Padrão",$H$4=#REF!),BDI!#REF!,IF(AND(#REF!="Diferenciado",$H$4=#REF!),BDI!$E$17,IF(AND(#REF!="Diferenciado",$H$4=#REF!),BDI!#REF!,IF(#REF!="ZERO",0))))),"")</f>
        <v>#REF!</v>
      </c>
      <c r="H2962" s="139" t="str">
        <f t="shared" si="219"/>
        <v/>
      </c>
      <c r="I2962" s="137" t="str">
        <f t="shared" si="220"/>
        <v/>
      </c>
      <c r="J2962" s="117"/>
      <c r="K2962" s="116">
        <v>0</v>
      </c>
      <c r="M2962" s="136" t="s">
        <v>416</v>
      </c>
      <c r="N2962" t="e">
        <v>#REF!</v>
      </c>
      <c r="Q2962" t="s">
        <v>416</v>
      </c>
    </row>
    <row r="2963" spans="1:17" hidden="1" x14ac:dyDescent="0.25">
      <c r="A2963" s="114" t="s">
        <v>6235</v>
      </c>
      <c r="B2963" s="115" t="s">
        <v>7335</v>
      </c>
      <c r="C2963" s="116" t="s">
        <v>16</v>
      </c>
      <c r="D2963" s="116">
        <v>0</v>
      </c>
      <c r="E2963" s="136" t="s">
        <v>416</v>
      </c>
      <c r="F2963" s="137" t="str">
        <f t="shared" si="218"/>
        <v/>
      </c>
      <c r="G2963" s="138" t="e">
        <f>IF(A2963&lt;&gt;"",IF(AND(#REF!="Padrão",$H$4=#REF!),BDI!$B$17,IF(AND(#REF!="Padrão",$H$4=#REF!),BDI!#REF!,IF(AND(#REF!="Diferenciado",$H$4=#REF!),BDI!$E$17,IF(AND(#REF!="Diferenciado",$H$4=#REF!),BDI!#REF!,IF(#REF!="ZERO",0))))),"")</f>
        <v>#REF!</v>
      </c>
      <c r="H2963" s="139" t="str">
        <f t="shared" si="219"/>
        <v/>
      </c>
      <c r="I2963" s="137" t="str">
        <f t="shared" si="220"/>
        <v/>
      </c>
      <c r="J2963" s="117"/>
      <c r="K2963" s="116">
        <v>0</v>
      </c>
      <c r="M2963" s="136" t="s">
        <v>416</v>
      </c>
      <c r="N2963" t="e">
        <v>#REF!</v>
      </c>
      <c r="Q2963" t="s">
        <v>416</v>
      </c>
    </row>
    <row r="2964" spans="1:17" hidden="1" x14ac:dyDescent="0.25">
      <c r="A2964" s="114" t="s">
        <v>6236</v>
      </c>
      <c r="B2964" s="115" t="s">
        <v>7334</v>
      </c>
      <c r="C2964" s="116" t="s">
        <v>16</v>
      </c>
      <c r="D2964" s="116">
        <v>0</v>
      </c>
      <c r="E2964" s="136" t="s">
        <v>416</v>
      </c>
      <c r="F2964" s="137" t="str">
        <f t="shared" si="218"/>
        <v/>
      </c>
      <c r="G2964" s="138" t="e">
        <f>IF(A2964&lt;&gt;"",IF(AND(#REF!="Padrão",$H$4=#REF!),BDI!$B$17,IF(AND(#REF!="Padrão",$H$4=#REF!),BDI!#REF!,IF(AND(#REF!="Diferenciado",$H$4=#REF!),BDI!$E$17,IF(AND(#REF!="Diferenciado",$H$4=#REF!),BDI!#REF!,IF(#REF!="ZERO",0))))),"")</f>
        <v>#REF!</v>
      </c>
      <c r="H2964" s="139" t="str">
        <f t="shared" si="219"/>
        <v/>
      </c>
      <c r="I2964" s="137" t="str">
        <f t="shared" si="220"/>
        <v/>
      </c>
      <c r="J2964" s="117"/>
      <c r="K2964" s="116">
        <v>0</v>
      </c>
      <c r="M2964" s="136" t="s">
        <v>416</v>
      </c>
      <c r="N2964" t="e">
        <v>#REF!</v>
      </c>
      <c r="Q2964" t="s">
        <v>416</v>
      </c>
    </row>
    <row r="2965" spans="1:17" hidden="1" x14ac:dyDescent="0.25">
      <c r="A2965" s="114" t="s">
        <v>6237</v>
      </c>
      <c r="B2965" s="115" t="s">
        <v>7333</v>
      </c>
      <c r="C2965" s="116" t="s">
        <v>16</v>
      </c>
      <c r="D2965" s="116">
        <v>0</v>
      </c>
      <c r="E2965" s="136" t="s">
        <v>416</v>
      </c>
      <c r="F2965" s="137" t="str">
        <f t="shared" si="218"/>
        <v/>
      </c>
      <c r="G2965" s="138" t="e">
        <f>IF(A2965&lt;&gt;"",IF(AND(#REF!="Padrão",$H$4=#REF!),BDI!$B$17,IF(AND(#REF!="Padrão",$H$4=#REF!),BDI!#REF!,IF(AND(#REF!="Diferenciado",$H$4=#REF!),BDI!$E$17,IF(AND(#REF!="Diferenciado",$H$4=#REF!),BDI!#REF!,IF(#REF!="ZERO",0))))),"")</f>
        <v>#REF!</v>
      </c>
      <c r="H2965" s="139" t="str">
        <f t="shared" si="219"/>
        <v/>
      </c>
      <c r="I2965" s="137" t="str">
        <f t="shared" si="220"/>
        <v/>
      </c>
      <c r="J2965" s="117"/>
      <c r="K2965" s="116">
        <v>0</v>
      </c>
      <c r="M2965" s="136" t="s">
        <v>416</v>
      </c>
      <c r="N2965" t="e">
        <v>#REF!</v>
      </c>
      <c r="Q2965" t="s">
        <v>416</v>
      </c>
    </row>
    <row r="2966" spans="1:17" hidden="1" x14ac:dyDescent="0.25">
      <c r="A2966" s="114" t="s">
        <v>6238</v>
      </c>
      <c r="B2966" s="115" t="s">
        <v>7332</v>
      </c>
      <c r="C2966" s="116" t="s">
        <v>16</v>
      </c>
      <c r="D2966" s="116">
        <v>0</v>
      </c>
      <c r="E2966" s="136" t="s">
        <v>416</v>
      </c>
      <c r="F2966" s="137" t="str">
        <f t="shared" si="218"/>
        <v/>
      </c>
      <c r="G2966" s="138" t="e">
        <f>IF(A2966&lt;&gt;"",IF(AND(#REF!="Padrão",$H$4=#REF!),BDI!$B$17,IF(AND(#REF!="Padrão",$H$4=#REF!),BDI!#REF!,IF(AND(#REF!="Diferenciado",$H$4=#REF!),BDI!$E$17,IF(AND(#REF!="Diferenciado",$H$4=#REF!),BDI!#REF!,IF(#REF!="ZERO",0))))),"")</f>
        <v>#REF!</v>
      </c>
      <c r="H2966" s="139" t="str">
        <f t="shared" si="219"/>
        <v/>
      </c>
      <c r="I2966" s="137" t="str">
        <f t="shared" si="220"/>
        <v/>
      </c>
      <c r="J2966" s="117"/>
      <c r="K2966" s="116">
        <v>0</v>
      </c>
      <c r="M2966" s="136" t="s">
        <v>416</v>
      </c>
      <c r="N2966" t="e">
        <v>#REF!</v>
      </c>
      <c r="Q2966" t="s">
        <v>416</v>
      </c>
    </row>
    <row r="2967" spans="1:17" hidden="1" x14ac:dyDescent="0.25">
      <c r="A2967" s="114" t="s">
        <v>6239</v>
      </c>
      <c r="B2967" s="115" t="s">
        <v>7331</v>
      </c>
      <c r="C2967" s="116" t="s">
        <v>16</v>
      </c>
      <c r="D2967" s="116">
        <v>0</v>
      </c>
      <c r="E2967" s="136" t="s">
        <v>416</v>
      </c>
      <c r="F2967" s="137" t="str">
        <f t="shared" ref="F2967:F3030" si="221">IF(ISNUMBER(E2967),D2967*E2967,"")</f>
        <v/>
      </c>
      <c r="G2967" s="138" t="e">
        <f>IF(A2967&lt;&gt;"",IF(AND(#REF!="Padrão",$H$4=#REF!),BDI!$B$17,IF(AND(#REF!="Padrão",$H$4=#REF!),BDI!#REF!,IF(AND(#REF!="Diferenciado",$H$4=#REF!),BDI!$E$17,IF(AND(#REF!="Diferenciado",$H$4=#REF!),BDI!#REF!,IF(#REF!="ZERO",0))))),"")</f>
        <v>#REF!</v>
      </c>
      <c r="H2967" s="139" t="str">
        <f t="shared" ref="H2967:H3030" si="222">IF(ISNUMBER(E2967),ROUND(E2967*(1+G2967),2),"")</f>
        <v/>
      </c>
      <c r="I2967" s="137" t="str">
        <f t="shared" ref="I2967:I3030" si="223">IF(ISNUMBER(E2967),ROUND(H2967*D2967,2),"")</f>
        <v/>
      </c>
      <c r="J2967" s="117"/>
      <c r="K2967" s="116">
        <v>0</v>
      </c>
      <c r="M2967" s="136" t="s">
        <v>416</v>
      </c>
      <c r="N2967" t="e">
        <v>#REF!</v>
      </c>
      <c r="Q2967" t="s">
        <v>416</v>
      </c>
    </row>
    <row r="2968" spans="1:17" hidden="1" x14ac:dyDescent="0.25">
      <c r="A2968" s="114" t="s">
        <v>6240</v>
      </c>
      <c r="B2968" s="115" t="s">
        <v>7330</v>
      </c>
      <c r="C2968" s="116" t="s">
        <v>16</v>
      </c>
      <c r="D2968" s="116">
        <v>0</v>
      </c>
      <c r="E2968" s="136" t="s">
        <v>416</v>
      </c>
      <c r="F2968" s="137" t="str">
        <f t="shared" si="221"/>
        <v/>
      </c>
      <c r="G2968" s="138" t="e">
        <f>IF(A2968&lt;&gt;"",IF(AND(#REF!="Padrão",$H$4=#REF!),BDI!$B$17,IF(AND(#REF!="Padrão",$H$4=#REF!),BDI!#REF!,IF(AND(#REF!="Diferenciado",$H$4=#REF!),BDI!$E$17,IF(AND(#REF!="Diferenciado",$H$4=#REF!),BDI!#REF!,IF(#REF!="ZERO",0))))),"")</f>
        <v>#REF!</v>
      </c>
      <c r="H2968" s="139" t="str">
        <f t="shared" si="222"/>
        <v/>
      </c>
      <c r="I2968" s="137" t="str">
        <f t="shared" si="223"/>
        <v/>
      </c>
      <c r="J2968" s="117"/>
      <c r="K2968" s="116">
        <v>0</v>
      </c>
      <c r="M2968" s="136" t="s">
        <v>416</v>
      </c>
      <c r="N2968" t="e">
        <v>#REF!</v>
      </c>
      <c r="Q2968" t="s">
        <v>416</v>
      </c>
    </row>
    <row r="2969" spans="1:17" hidden="1" x14ac:dyDescent="0.25">
      <c r="A2969" s="114" t="s">
        <v>6241</v>
      </c>
      <c r="B2969" s="115" t="s">
        <v>6242</v>
      </c>
      <c r="C2969" s="116" t="s">
        <v>16</v>
      </c>
      <c r="D2969" s="116">
        <v>0</v>
      </c>
      <c r="E2969" s="136" t="s">
        <v>416</v>
      </c>
      <c r="F2969" s="137" t="str">
        <f t="shared" si="221"/>
        <v/>
      </c>
      <c r="G2969" s="138" t="e">
        <f>IF(A2969&lt;&gt;"",IF(AND(#REF!="Padrão",$H$4=#REF!),BDI!$B$17,IF(AND(#REF!="Padrão",$H$4=#REF!),BDI!#REF!,IF(AND(#REF!="Diferenciado",$H$4=#REF!),BDI!$E$17,IF(AND(#REF!="Diferenciado",$H$4=#REF!),BDI!#REF!,IF(#REF!="ZERO",0))))),"")</f>
        <v>#REF!</v>
      </c>
      <c r="H2969" s="139" t="str">
        <f t="shared" si="222"/>
        <v/>
      </c>
      <c r="I2969" s="137" t="str">
        <f t="shared" si="223"/>
        <v/>
      </c>
      <c r="J2969" s="117"/>
      <c r="K2969" s="116">
        <v>0</v>
      </c>
      <c r="M2969" s="136" t="s">
        <v>416</v>
      </c>
      <c r="N2969" t="e">
        <v>#REF!</v>
      </c>
      <c r="Q2969" t="s">
        <v>416</v>
      </c>
    </row>
    <row r="2970" spans="1:17" hidden="1" x14ac:dyDescent="0.25">
      <c r="A2970" s="114" t="s">
        <v>6243</v>
      </c>
      <c r="B2970" s="115" t="s">
        <v>6244</v>
      </c>
      <c r="C2970" s="116" t="s">
        <v>16</v>
      </c>
      <c r="D2970" s="116">
        <v>0</v>
      </c>
      <c r="E2970" s="136" t="s">
        <v>416</v>
      </c>
      <c r="F2970" s="137" t="str">
        <f t="shared" si="221"/>
        <v/>
      </c>
      <c r="G2970" s="138" t="e">
        <f>IF(A2970&lt;&gt;"",IF(AND(#REF!="Padrão",$H$4=#REF!),BDI!$B$17,IF(AND(#REF!="Padrão",$H$4=#REF!),BDI!#REF!,IF(AND(#REF!="Diferenciado",$H$4=#REF!),BDI!$E$17,IF(AND(#REF!="Diferenciado",$H$4=#REF!),BDI!#REF!,IF(#REF!="ZERO",0))))),"")</f>
        <v>#REF!</v>
      </c>
      <c r="H2970" s="139" t="str">
        <f t="shared" si="222"/>
        <v/>
      </c>
      <c r="I2970" s="137" t="str">
        <f t="shared" si="223"/>
        <v/>
      </c>
      <c r="J2970" s="117"/>
      <c r="K2970" s="116">
        <v>0</v>
      </c>
      <c r="M2970" s="136" t="s">
        <v>416</v>
      </c>
      <c r="N2970" t="e">
        <v>#REF!</v>
      </c>
      <c r="Q2970" t="s">
        <v>416</v>
      </c>
    </row>
    <row r="2971" spans="1:17" hidden="1" x14ac:dyDescent="0.25">
      <c r="A2971" s="114" t="s">
        <v>6245</v>
      </c>
      <c r="B2971" s="115" t="s">
        <v>6246</v>
      </c>
      <c r="C2971" s="116" t="s">
        <v>16</v>
      </c>
      <c r="D2971" s="116">
        <v>0</v>
      </c>
      <c r="E2971" s="136" t="s">
        <v>416</v>
      </c>
      <c r="F2971" s="137" t="str">
        <f t="shared" si="221"/>
        <v/>
      </c>
      <c r="G2971" s="138" t="e">
        <f>IF(A2971&lt;&gt;"",IF(AND(#REF!="Padrão",$H$4=#REF!),BDI!$B$17,IF(AND(#REF!="Padrão",$H$4=#REF!),BDI!#REF!,IF(AND(#REF!="Diferenciado",$H$4=#REF!),BDI!$E$17,IF(AND(#REF!="Diferenciado",$H$4=#REF!),BDI!#REF!,IF(#REF!="ZERO",0))))),"")</f>
        <v>#REF!</v>
      </c>
      <c r="H2971" s="139" t="str">
        <f t="shared" si="222"/>
        <v/>
      </c>
      <c r="I2971" s="137" t="str">
        <f t="shared" si="223"/>
        <v/>
      </c>
      <c r="J2971" s="117"/>
      <c r="K2971" s="116">
        <v>0</v>
      </c>
      <c r="M2971" s="136" t="s">
        <v>416</v>
      </c>
      <c r="N2971" t="e">
        <v>#REF!</v>
      </c>
      <c r="Q2971" t="s">
        <v>416</v>
      </c>
    </row>
    <row r="2972" spans="1:17" hidden="1" x14ac:dyDescent="0.25">
      <c r="A2972" s="114" t="s">
        <v>6247</v>
      </c>
      <c r="B2972" s="115" t="s">
        <v>6248</v>
      </c>
      <c r="C2972" s="116" t="s">
        <v>16</v>
      </c>
      <c r="D2972" s="116">
        <v>0</v>
      </c>
      <c r="E2972" s="136" t="s">
        <v>416</v>
      </c>
      <c r="F2972" s="137" t="str">
        <f t="shared" si="221"/>
        <v/>
      </c>
      <c r="G2972" s="138" t="e">
        <f>IF(A2972&lt;&gt;"",IF(AND(#REF!="Padrão",$H$4=#REF!),BDI!$B$17,IF(AND(#REF!="Padrão",$H$4=#REF!),BDI!#REF!,IF(AND(#REF!="Diferenciado",$H$4=#REF!),BDI!$E$17,IF(AND(#REF!="Diferenciado",$H$4=#REF!),BDI!#REF!,IF(#REF!="ZERO",0))))),"")</f>
        <v>#REF!</v>
      </c>
      <c r="H2972" s="139" t="str">
        <f t="shared" si="222"/>
        <v/>
      </c>
      <c r="I2972" s="137" t="str">
        <f t="shared" si="223"/>
        <v/>
      </c>
      <c r="J2972" s="117"/>
      <c r="K2972" s="116">
        <v>0</v>
      </c>
      <c r="M2972" s="136" t="s">
        <v>416</v>
      </c>
      <c r="N2972" t="e">
        <v>#REF!</v>
      </c>
      <c r="Q2972" t="s">
        <v>416</v>
      </c>
    </row>
    <row r="2973" spans="1:17" hidden="1" x14ac:dyDescent="0.25">
      <c r="A2973" s="114" t="s">
        <v>6249</v>
      </c>
      <c r="B2973" s="115" t="s">
        <v>6250</v>
      </c>
      <c r="C2973" s="116" t="s">
        <v>16</v>
      </c>
      <c r="D2973" s="116">
        <v>0</v>
      </c>
      <c r="E2973" s="136" t="s">
        <v>416</v>
      </c>
      <c r="F2973" s="137" t="str">
        <f t="shared" si="221"/>
        <v/>
      </c>
      <c r="G2973" s="138" t="e">
        <f>IF(A2973&lt;&gt;"",IF(AND(#REF!="Padrão",$H$4=#REF!),BDI!$B$17,IF(AND(#REF!="Padrão",$H$4=#REF!),BDI!#REF!,IF(AND(#REF!="Diferenciado",$H$4=#REF!),BDI!$E$17,IF(AND(#REF!="Diferenciado",$H$4=#REF!),BDI!#REF!,IF(#REF!="ZERO",0))))),"")</f>
        <v>#REF!</v>
      </c>
      <c r="H2973" s="139" t="str">
        <f t="shared" si="222"/>
        <v/>
      </c>
      <c r="I2973" s="137" t="str">
        <f t="shared" si="223"/>
        <v/>
      </c>
      <c r="J2973" s="117"/>
      <c r="K2973" s="116">
        <v>0</v>
      </c>
      <c r="M2973" s="136" t="s">
        <v>416</v>
      </c>
      <c r="N2973" t="e">
        <v>#REF!</v>
      </c>
      <c r="Q2973" t="s">
        <v>416</v>
      </c>
    </row>
    <row r="2974" spans="1:17" hidden="1" x14ac:dyDescent="0.25">
      <c r="A2974" s="114" t="s">
        <v>6251</v>
      </c>
      <c r="B2974" s="115" t="s">
        <v>6252</v>
      </c>
      <c r="C2974" s="116" t="s">
        <v>16</v>
      </c>
      <c r="D2974" s="116">
        <v>0</v>
      </c>
      <c r="E2974" s="136" t="s">
        <v>416</v>
      </c>
      <c r="F2974" s="137" t="str">
        <f t="shared" si="221"/>
        <v/>
      </c>
      <c r="G2974" s="138" t="e">
        <f>IF(A2974&lt;&gt;"",IF(AND(#REF!="Padrão",$H$4=#REF!),BDI!$B$17,IF(AND(#REF!="Padrão",$H$4=#REF!),BDI!#REF!,IF(AND(#REF!="Diferenciado",$H$4=#REF!),BDI!$E$17,IF(AND(#REF!="Diferenciado",$H$4=#REF!),BDI!#REF!,IF(#REF!="ZERO",0))))),"")</f>
        <v>#REF!</v>
      </c>
      <c r="H2974" s="139" t="str">
        <f t="shared" si="222"/>
        <v/>
      </c>
      <c r="I2974" s="137" t="str">
        <f t="shared" si="223"/>
        <v/>
      </c>
      <c r="J2974" s="117"/>
      <c r="K2974" s="116">
        <v>0</v>
      </c>
      <c r="M2974" s="136" t="s">
        <v>416</v>
      </c>
      <c r="N2974" t="e">
        <v>#REF!</v>
      </c>
      <c r="Q2974" t="s">
        <v>416</v>
      </c>
    </row>
    <row r="2975" spans="1:17" hidden="1" x14ac:dyDescent="0.25">
      <c r="A2975" s="114" t="s">
        <v>6253</v>
      </c>
      <c r="B2975" s="115" t="s">
        <v>7329</v>
      </c>
      <c r="C2975" s="116" t="s">
        <v>16</v>
      </c>
      <c r="D2975" s="116">
        <v>0</v>
      </c>
      <c r="E2975" s="136">
        <f ca="1">OFFSET(INDEX(Composições!A:J,MATCH(Orçamentária!A2975,Composições!A:A,0),8),2,0)</f>
        <v>2.8119999999999998</v>
      </c>
      <c r="F2975" s="137">
        <f t="shared" ca="1" si="221"/>
        <v>0</v>
      </c>
      <c r="G2975" s="138" t="e">
        <f>IF(A2975&lt;&gt;"",IF(AND(#REF!="Padrão",$H$4=#REF!),BDI!$B$17,IF(AND(#REF!="Padrão",$H$4=#REF!),BDI!#REF!,IF(AND(#REF!="Diferenciado",$H$4=#REF!),BDI!$E$17,IF(AND(#REF!="Diferenciado",$H$4=#REF!),BDI!#REF!,IF(#REF!="ZERO",0))))),"")</f>
        <v>#REF!</v>
      </c>
      <c r="H2975" s="139" t="e">
        <f t="shared" ca="1" si="222"/>
        <v>#REF!</v>
      </c>
      <c r="I2975" s="137" t="e">
        <f t="shared" ca="1" si="223"/>
        <v>#REF!</v>
      </c>
      <c r="J2975" s="117"/>
      <c r="K2975" s="116">
        <v>0</v>
      </c>
      <c r="M2975" s="136" t="e">
        <f ca="1">OFFSET(INDEX([1]Composições!I:R,MATCH([1]Orçamentária!I2975,[1]Composições!I:I,0),8),2,0)</f>
        <v>#REF!</v>
      </c>
      <c r="N2975" t="e">
        <v>#REF!</v>
      </c>
      <c r="Q2975" t="e">
        <v>#REF!</v>
      </c>
    </row>
    <row r="2976" spans="1:17" ht="25.5" hidden="1" x14ac:dyDescent="0.25">
      <c r="A2976" s="114" t="s">
        <v>6254</v>
      </c>
      <c r="B2976" s="115" t="s">
        <v>6255</v>
      </c>
      <c r="C2976" s="116" t="s">
        <v>16</v>
      </c>
      <c r="D2976" s="116">
        <v>0</v>
      </c>
      <c r="E2976" s="136" t="s">
        <v>416</v>
      </c>
      <c r="F2976" s="137" t="str">
        <f t="shared" si="221"/>
        <v/>
      </c>
      <c r="G2976" s="138" t="e">
        <f>IF(A2976&lt;&gt;"",IF(AND(#REF!="Padrão",$H$4=#REF!),BDI!$B$17,IF(AND(#REF!="Padrão",$H$4=#REF!),BDI!#REF!,IF(AND(#REF!="Diferenciado",$H$4=#REF!),BDI!$E$17,IF(AND(#REF!="Diferenciado",$H$4=#REF!),BDI!#REF!,IF(#REF!="ZERO",0))))),"")</f>
        <v>#REF!</v>
      </c>
      <c r="H2976" s="139" t="str">
        <f t="shared" si="222"/>
        <v/>
      </c>
      <c r="I2976" s="137" t="str">
        <f t="shared" si="223"/>
        <v/>
      </c>
      <c r="J2976" s="117"/>
      <c r="K2976" s="116">
        <v>0</v>
      </c>
      <c r="M2976" s="136" t="s">
        <v>416</v>
      </c>
      <c r="N2976" t="e">
        <v>#REF!</v>
      </c>
      <c r="Q2976" t="s">
        <v>416</v>
      </c>
    </row>
    <row r="2977" spans="1:17" hidden="1" x14ac:dyDescent="0.25">
      <c r="A2977" s="114" t="s">
        <v>6256</v>
      </c>
      <c r="B2977" s="115" t="s">
        <v>6257</v>
      </c>
      <c r="C2977" s="116" t="s">
        <v>16</v>
      </c>
      <c r="D2977" s="116">
        <v>0</v>
      </c>
      <c r="E2977" s="136" t="s">
        <v>416</v>
      </c>
      <c r="F2977" s="137" t="str">
        <f t="shared" si="221"/>
        <v/>
      </c>
      <c r="G2977" s="138" t="e">
        <f>IF(A2977&lt;&gt;"",IF(AND(#REF!="Padrão",$H$4=#REF!),BDI!$B$17,IF(AND(#REF!="Padrão",$H$4=#REF!),BDI!#REF!,IF(AND(#REF!="Diferenciado",$H$4=#REF!),BDI!$E$17,IF(AND(#REF!="Diferenciado",$H$4=#REF!),BDI!#REF!,IF(#REF!="ZERO",0))))),"")</f>
        <v>#REF!</v>
      </c>
      <c r="H2977" s="139" t="str">
        <f t="shared" si="222"/>
        <v/>
      </c>
      <c r="I2977" s="137" t="str">
        <f t="shared" si="223"/>
        <v/>
      </c>
      <c r="J2977" s="117"/>
      <c r="K2977" s="116">
        <v>0</v>
      </c>
      <c r="M2977" s="136" t="s">
        <v>416</v>
      </c>
      <c r="N2977" t="e">
        <v>#REF!</v>
      </c>
      <c r="Q2977" t="s">
        <v>416</v>
      </c>
    </row>
    <row r="2978" spans="1:17" hidden="1" x14ac:dyDescent="0.25">
      <c r="A2978" s="114" t="s">
        <v>6258</v>
      </c>
      <c r="B2978" s="115" t="s">
        <v>6259</v>
      </c>
      <c r="C2978" s="116" t="s">
        <v>16</v>
      </c>
      <c r="D2978" s="116">
        <v>0</v>
      </c>
      <c r="E2978" s="136">
        <f ca="1">OFFSET(INDEX(Composições!A:J,MATCH(Orçamentária!A2978,Composições!A:A,0),8),2,0)</f>
        <v>108.05299999999998</v>
      </c>
      <c r="F2978" s="137">
        <f t="shared" ca="1" si="221"/>
        <v>0</v>
      </c>
      <c r="G2978" s="138" t="e">
        <f>IF(A2978&lt;&gt;"",IF(AND(#REF!="Padrão",$H$4=#REF!),BDI!$B$17,IF(AND(#REF!="Padrão",$H$4=#REF!),BDI!#REF!,IF(AND(#REF!="Diferenciado",$H$4=#REF!),BDI!$E$17,IF(AND(#REF!="Diferenciado",$H$4=#REF!),BDI!#REF!,IF(#REF!="ZERO",0))))),"")</f>
        <v>#REF!</v>
      </c>
      <c r="H2978" s="139" t="e">
        <f t="shared" ca="1" si="222"/>
        <v>#REF!</v>
      </c>
      <c r="I2978" s="137" t="e">
        <f t="shared" ca="1" si="223"/>
        <v>#REF!</v>
      </c>
      <c r="J2978" s="117"/>
      <c r="K2978" s="116">
        <v>0</v>
      </c>
      <c r="M2978" s="136" t="e">
        <f ca="1">OFFSET(INDEX([1]Composições!I:R,MATCH([1]Orçamentária!I2978,[1]Composições!I:I,0),8),2,0)</f>
        <v>#REF!</v>
      </c>
      <c r="N2978" t="e">
        <v>#REF!</v>
      </c>
      <c r="Q2978" t="e">
        <v>#REF!</v>
      </c>
    </row>
    <row r="2979" spans="1:17" hidden="1" x14ac:dyDescent="0.25">
      <c r="A2979" s="114" t="s">
        <v>6260</v>
      </c>
      <c r="B2979" s="115" t="s">
        <v>6261</v>
      </c>
      <c r="C2979" s="116" t="s">
        <v>16</v>
      </c>
      <c r="D2979" s="116">
        <v>0</v>
      </c>
      <c r="E2979" s="136">
        <f ca="1">OFFSET(INDEX(Composições!A:J,MATCH(Orçamentária!A2979,Composições!A:A,0),8),2,0)</f>
        <v>455.90499999999997</v>
      </c>
      <c r="F2979" s="137">
        <f t="shared" ca="1" si="221"/>
        <v>0</v>
      </c>
      <c r="G2979" s="138" t="e">
        <f>IF(A2979&lt;&gt;"",IF(AND(#REF!="Padrão",$H$4=#REF!),BDI!$B$17,IF(AND(#REF!="Padrão",$H$4=#REF!),BDI!#REF!,IF(AND(#REF!="Diferenciado",$H$4=#REF!),BDI!$E$17,IF(AND(#REF!="Diferenciado",$H$4=#REF!),BDI!#REF!,IF(#REF!="ZERO",0))))),"")</f>
        <v>#REF!</v>
      </c>
      <c r="H2979" s="139" t="e">
        <f t="shared" ca="1" si="222"/>
        <v>#REF!</v>
      </c>
      <c r="I2979" s="137" t="e">
        <f t="shared" ca="1" si="223"/>
        <v>#REF!</v>
      </c>
      <c r="J2979" s="117"/>
      <c r="K2979" s="116">
        <v>0</v>
      </c>
      <c r="M2979" s="136" t="e">
        <f ca="1">OFFSET(INDEX([1]Composições!I:R,MATCH([1]Orçamentária!I2979,[1]Composições!I:I,0),8),2,0)</f>
        <v>#REF!</v>
      </c>
      <c r="N2979" t="e">
        <v>#REF!</v>
      </c>
      <c r="Q2979" t="e">
        <v>#REF!</v>
      </c>
    </row>
    <row r="2980" spans="1:17" hidden="1" x14ac:dyDescent="0.25">
      <c r="A2980" s="114" t="s">
        <v>6262</v>
      </c>
      <c r="B2980" s="115" t="s">
        <v>7328</v>
      </c>
      <c r="C2980" s="116" t="s">
        <v>16</v>
      </c>
      <c r="D2980" s="116">
        <v>0</v>
      </c>
      <c r="E2980" s="136">
        <f ca="1">OFFSET(INDEX(Composições!A:J,MATCH(Orçamentária!A2980,Composições!A:A,0),8),2,0)</f>
        <v>5.4339999999999993</v>
      </c>
      <c r="F2980" s="137">
        <f t="shared" ca="1" si="221"/>
        <v>0</v>
      </c>
      <c r="G2980" s="138" t="e">
        <f>IF(A2980&lt;&gt;"",IF(AND(#REF!="Padrão",$H$4=#REF!),BDI!$B$17,IF(AND(#REF!="Padrão",$H$4=#REF!),BDI!#REF!,IF(AND(#REF!="Diferenciado",$H$4=#REF!),BDI!$E$17,IF(AND(#REF!="Diferenciado",$H$4=#REF!),BDI!#REF!,IF(#REF!="ZERO",0))))),"")</f>
        <v>#REF!</v>
      </c>
      <c r="H2980" s="139" t="e">
        <f t="shared" ca="1" si="222"/>
        <v>#REF!</v>
      </c>
      <c r="I2980" s="137" t="e">
        <f t="shared" ca="1" si="223"/>
        <v>#REF!</v>
      </c>
      <c r="J2980" s="117"/>
      <c r="K2980" s="116">
        <v>0</v>
      </c>
      <c r="M2980" s="136" t="e">
        <f ca="1">OFFSET(INDEX([1]Composições!I:R,MATCH([1]Orçamentária!I2980,[1]Composições!I:I,0),8),2,0)</f>
        <v>#REF!</v>
      </c>
      <c r="N2980" t="e">
        <v>#REF!</v>
      </c>
      <c r="Q2980" t="e">
        <v>#REF!</v>
      </c>
    </row>
    <row r="2981" spans="1:17" hidden="1" x14ac:dyDescent="0.25">
      <c r="A2981" s="114" t="s">
        <v>6263</v>
      </c>
      <c r="B2981" s="115" t="s">
        <v>6264</v>
      </c>
      <c r="C2981" s="116" t="s">
        <v>16</v>
      </c>
      <c r="D2981" s="116">
        <v>0</v>
      </c>
      <c r="E2981" s="136">
        <f ca="1">OFFSET(INDEX(Composições!A:J,MATCH(Orçamentária!A2981,Composições!A:A,0),8),2,0)</f>
        <v>33.981500000000004</v>
      </c>
      <c r="F2981" s="137">
        <f t="shared" ca="1" si="221"/>
        <v>0</v>
      </c>
      <c r="G2981" s="138" t="e">
        <f>IF(A2981&lt;&gt;"",IF(AND(#REF!="Padrão",$H$4=#REF!),BDI!$B$17,IF(AND(#REF!="Padrão",$H$4=#REF!),BDI!#REF!,IF(AND(#REF!="Diferenciado",$H$4=#REF!),BDI!$E$17,IF(AND(#REF!="Diferenciado",$H$4=#REF!),BDI!#REF!,IF(#REF!="ZERO",0))))),"")</f>
        <v>#REF!</v>
      </c>
      <c r="H2981" s="139" t="e">
        <f t="shared" ca="1" si="222"/>
        <v>#REF!</v>
      </c>
      <c r="I2981" s="137" t="e">
        <f t="shared" ca="1" si="223"/>
        <v>#REF!</v>
      </c>
      <c r="J2981" s="117"/>
      <c r="K2981" s="116">
        <v>0</v>
      </c>
      <c r="M2981" s="136" t="e">
        <f ca="1">OFFSET(INDEX([1]Composições!I:R,MATCH([1]Orçamentária!I2981,[1]Composições!I:I,0),8),2,0)</f>
        <v>#REF!</v>
      </c>
      <c r="N2981" t="e">
        <v>#REF!</v>
      </c>
      <c r="Q2981" t="e">
        <v>#REF!</v>
      </c>
    </row>
    <row r="2982" spans="1:17" hidden="1" x14ac:dyDescent="0.25">
      <c r="A2982" s="114" t="s">
        <v>6265</v>
      </c>
      <c r="B2982" s="115" t="s">
        <v>6266</v>
      </c>
      <c r="C2982" s="116" t="s">
        <v>16</v>
      </c>
      <c r="D2982" s="116">
        <v>0</v>
      </c>
      <c r="E2982" s="136">
        <f ca="1">OFFSET(INDEX(Composições!A:J,MATCH(Orçamentária!A2982,Composições!A:A,0),8),2,0)</f>
        <v>11.798999999999999</v>
      </c>
      <c r="F2982" s="137">
        <f t="shared" ca="1" si="221"/>
        <v>0</v>
      </c>
      <c r="G2982" s="138" t="e">
        <f>IF(A2982&lt;&gt;"",IF(AND(#REF!="Padrão",$H$4=#REF!),BDI!$B$17,IF(AND(#REF!="Padrão",$H$4=#REF!),BDI!#REF!,IF(AND(#REF!="Diferenciado",$H$4=#REF!),BDI!$E$17,IF(AND(#REF!="Diferenciado",$H$4=#REF!),BDI!#REF!,IF(#REF!="ZERO",0))))),"")</f>
        <v>#REF!</v>
      </c>
      <c r="H2982" s="139" t="e">
        <f t="shared" ca="1" si="222"/>
        <v>#REF!</v>
      </c>
      <c r="I2982" s="137" t="e">
        <f t="shared" ca="1" si="223"/>
        <v>#REF!</v>
      </c>
      <c r="J2982" s="117"/>
      <c r="K2982" s="116">
        <v>0</v>
      </c>
      <c r="M2982" s="136" t="e">
        <f ca="1">OFFSET(INDEX([1]Composições!I:R,MATCH([1]Orçamentária!I2982,[1]Composições!I:I,0),8),2,0)</f>
        <v>#REF!</v>
      </c>
      <c r="N2982" t="e">
        <v>#REF!</v>
      </c>
      <c r="Q2982" t="e">
        <v>#REF!</v>
      </c>
    </row>
    <row r="2983" spans="1:17" hidden="1" x14ac:dyDescent="0.25">
      <c r="A2983" s="114" t="s">
        <v>6267</v>
      </c>
      <c r="B2983" s="115" t="s">
        <v>6268</v>
      </c>
      <c r="C2983" s="116" t="s">
        <v>16</v>
      </c>
      <c r="D2983" s="116">
        <v>0</v>
      </c>
      <c r="E2983" s="136" t="s">
        <v>416</v>
      </c>
      <c r="F2983" s="137" t="str">
        <f t="shared" si="221"/>
        <v/>
      </c>
      <c r="G2983" s="138" t="e">
        <f>IF(A2983&lt;&gt;"",IF(AND(#REF!="Padrão",$H$4=#REF!),BDI!$B$17,IF(AND(#REF!="Padrão",$H$4=#REF!),BDI!#REF!,IF(AND(#REF!="Diferenciado",$H$4=#REF!),BDI!$E$17,IF(AND(#REF!="Diferenciado",$H$4=#REF!),BDI!#REF!,IF(#REF!="ZERO",0))))),"")</f>
        <v>#REF!</v>
      </c>
      <c r="H2983" s="139" t="str">
        <f t="shared" si="222"/>
        <v/>
      </c>
      <c r="I2983" s="137" t="str">
        <f t="shared" si="223"/>
        <v/>
      </c>
      <c r="J2983" s="117"/>
      <c r="K2983" s="116">
        <v>0</v>
      </c>
      <c r="M2983" s="136" t="s">
        <v>416</v>
      </c>
      <c r="N2983" t="e">
        <v>#REF!</v>
      </c>
      <c r="Q2983" t="s">
        <v>416</v>
      </c>
    </row>
    <row r="2984" spans="1:17" hidden="1" x14ac:dyDescent="0.25">
      <c r="A2984" s="114" t="s">
        <v>6269</v>
      </c>
      <c r="B2984" s="115" t="s">
        <v>6270</v>
      </c>
      <c r="C2984" s="116" t="s">
        <v>16</v>
      </c>
      <c r="D2984" s="116">
        <v>0</v>
      </c>
      <c r="E2984" s="136">
        <f ca="1">OFFSET(INDEX(Composições!A:J,MATCH(Orçamentária!A2984,Composições!A:A,0),8),2,0)</f>
        <v>15.874499999999999</v>
      </c>
      <c r="F2984" s="137">
        <f t="shared" ca="1" si="221"/>
        <v>0</v>
      </c>
      <c r="G2984" s="138" t="e">
        <f>IF(A2984&lt;&gt;"",IF(AND(#REF!="Padrão",$H$4=#REF!),BDI!$B$17,IF(AND(#REF!="Padrão",$H$4=#REF!),BDI!#REF!,IF(AND(#REF!="Diferenciado",$H$4=#REF!),BDI!$E$17,IF(AND(#REF!="Diferenciado",$H$4=#REF!),BDI!#REF!,IF(#REF!="ZERO",0))))),"")</f>
        <v>#REF!</v>
      </c>
      <c r="H2984" s="139" t="e">
        <f t="shared" ca="1" si="222"/>
        <v>#REF!</v>
      </c>
      <c r="I2984" s="137" t="e">
        <f t="shared" ca="1" si="223"/>
        <v>#REF!</v>
      </c>
      <c r="J2984" s="117"/>
      <c r="K2984" s="116">
        <v>0</v>
      </c>
      <c r="M2984" s="136" t="e">
        <f ca="1">OFFSET(INDEX([1]Composições!I:R,MATCH([1]Orçamentária!I2984,[1]Composições!I:I,0),8),2,0)</f>
        <v>#REF!</v>
      </c>
      <c r="N2984" t="e">
        <v>#REF!</v>
      </c>
      <c r="Q2984" t="e">
        <v>#REF!</v>
      </c>
    </row>
    <row r="2985" spans="1:17" hidden="1" x14ac:dyDescent="0.25">
      <c r="A2985" s="114" t="s">
        <v>6271</v>
      </c>
      <c r="B2985" s="115" t="s">
        <v>7326</v>
      </c>
      <c r="C2985" s="116" t="s">
        <v>16</v>
      </c>
      <c r="D2985" s="116">
        <v>0</v>
      </c>
      <c r="E2985" s="136">
        <f ca="1">OFFSET(INDEX(Composições!A:J,MATCH(Orçamentária!A2985,Composições!A:A,0),8),2,0)</f>
        <v>18.534500000000001</v>
      </c>
      <c r="F2985" s="137">
        <f t="shared" ca="1" si="221"/>
        <v>0</v>
      </c>
      <c r="G2985" s="138" t="e">
        <f>IF(A2985&lt;&gt;"",IF(AND(#REF!="Padrão",$H$4=#REF!),BDI!$B$17,IF(AND(#REF!="Padrão",$H$4=#REF!),BDI!#REF!,IF(AND(#REF!="Diferenciado",$H$4=#REF!),BDI!$E$17,IF(AND(#REF!="Diferenciado",$H$4=#REF!),BDI!#REF!,IF(#REF!="ZERO",0))))),"")</f>
        <v>#REF!</v>
      </c>
      <c r="H2985" s="139" t="e">
        <f t="shared" ca="1" si="222"/>
        <v>#REF!</v>
      </c>
      <c r="I2985" s="137" t="e">
        <f t="shared" ca="1" si="223"/>
        <v>#REF!</v>
      </c>
      <c r="J2985" s="117"/>
      <c r="K2985" s="116">
        <v>0</v>
      </c>
      <c r="M2985" s="136" t="e">
        <f ca="1">OFFSET(INDEX([1]Composições!I:R,MATCH([1]Orçamentária!I2985,[1]Composições!I:I,0),8),2,0)</f>
        <v>#REF!</v>
      </c>
      <c r="N2985" t="e">
        <v>#REF!</v>
      </c>
      <c r="Q2985" t="e">
        <v>#REF!</v>
      </c>
    </row>
    <row r="2986" spans="1:17" hidden="1" x14ac:dyDescent="0.25">
      <c r="A2986" s="114" t="s">
        <v>6272</v>
      </c>
      <c r="B2986" s="115" t="s">
        <v>7327</v>
      </c>
      <c r="C2986" s="116" t="s">
        <v>16</v>
      </c>
      <c r="D2986" s="116">
        <v>0</v>
      </c>
      <c r="E2986" s="136" t="s">
        <v>416</v>
      </c>
      <c r="F2986" s="137" t="str">
        <f t="shared" si="221"/>
        <v/>
      </c>
      <c r="G2986" s="138" t="e">
        <f>IF(A2986&lt;&gt;"",IF(AND(#REF!="Padrão",$H$4=#REF!),BDI!$B$17,IF(AND(#REF!="Padrão",$H$4=#REF!),BDI!#REF!,IF(AND(#REF!="Diferenciado",$H$4=#REF!),BDI!$E$17,IF(AND(#REF!="Diferenciado",$H$4=#REF!),BDI!#REF!,IF(#REF!="ZERO",0))))),"")</f>
        <v>#REF!</v>
      </c>
      <c r="H2986" s="139" t="str">
        <f t="shared" si="222"/>
        <v/>
      </c>
      <c r="I2986" s="137" t="str">
        <f t="shared" si="223"/>
        <v/>
      </c>
      <c r="J2986" s="117"/>
      <c r="K2986" s="116">
        <v>0</v>
      </c>
      <c r="M2986" s="136" t="s">
        <v>416</v>
      </c>
      <c r="N2986" t="e">
        <v>#REF!</v>
      </c>
      <c r="Q2986" t="s">
        <v>416</v>
      </c>
    </row>
    <row r="2987" spans="1:17" hidden="1" x14ac:dyDescent="0.25">
      <c r="A2987" s="114" t="s">
        <v>6273</v>
      </c>
      <c r="B2987" s="115" t="s">
        <v>6274</v>
      </c>
      <c r="C2987" s="116" t="s">
        <v>16</v>
      </c>
      <c r="D2987" s="116">
        <v>0</v>
      </c>
      <c r="E2987" s="136" t="s">
        <v>416</v>
      </c>
      <c r="F2987" s="137" t="str">
        <f t="shared" si="221"/>
        <v/>
      </c>
      <c r="G2987" s="138" t="e">
        <f>IF(A2987&lt;&gt;"",IF(AND(#REF!="Padrão",$H$4=#REF!),BDI!$B$17,IF(AND(#REF!="Padrão",$H$4=#REF!),BDI!#REF!,IF(AND(#REF!="Diferenciado",$H$4=#REF!),BDI!$E$17,IF(AND(#REF!="Diferenciado",$H$4=#REF!),BDI!#REF!,IF(#REF!="ZERO",0))))),"")</f>
        <v>#REF!</v>
      </c>
      <c r="H2987" s="139" t="str">
        <f t="shared" si="222"/>
        <v/>
      </c>
      <c r="I2987" s="137" t="str">
        <f t="shared" si="223"/>
        <v/>
      </c>
      <c r="J2987" s="117"/>
      <c r="K2987" s="116">
        <v>0</v>
      </c>
      <c r="M2987" s="136" t="s">
        <v>416</v>
      </c>
      <c r="N2987" t="e">
        <v>#REF!</v>
      </c>
      <c r="Q2987" t="s">
        <v>416</v>
      </c>
    </row>
    <row r="2988" spans="1:17" hidden="1" x14ac:dyDescent="0.25">
      <c r="A2988" s="114" t="s">
        <v>6275</v>
      </c>
      <c r="B2988" s="115" t="s">
        <v>7324</v>
      </c>
      <c r="C2988" s="116" t="s">
        <v>16</v>
      </c>
      <c r="D2988" s="116">
        <v>0</v>
      </c>
      <c r="E2988" s="136" t="s">
        <v>416</v>
      </c>
      <c r="F2988" s="137" t="str">
        <f t="shared" si="221"/>
        <v/>
      </c>
      <c r="G2988" s="138" t="e">
        <f>IF(A2988&lt;&gt;"",IF(AND(#REF!="Padrão",$H$4=#REF!),BDI!$B$17,IF(AND(#REF!="Padrão",$H$4=#REF!),BDI!#REF!,IF(AND(#REF!="Diferenciado",$H$4=#REF!),BDI!$E$17,IF(AND(#REF!="Diferenciado",$H$4=#REF!),BDI!#REF!,IF(#REF!="ZERO",0))))),"")</f>
        <v>#REF!</v>
      </c>
      <c r="H2988" s="139" t="str">
        <f t="shared" si="222"/>
        <v/>
      </c>
      <c r="I2988" s="137" t="str">
        <f t="shared" si="223"/>
        <v/>
      </c>
      <c r="J2988" s="117"/>
      <c r="K2988" s="116">
        <v>0</v>
      </c>
      <c r="M2988" s="136" t="s">
        <v>416</v>
      </c>
      <c r="N2988" t="e">
        <v>#REF!</v>
      </c>
      <c r="Q2988" t="s">
        <v>416</v>
      </c>
    </row>
    <row r="2989" spans="1:17" hidden="1" x14ac:dyDescent="0.25">
      <c r="A2989" s="114" t="s">
        <v>6276</v>
      </c>
      <c r="B2989" s="115" t="s">
        <v>7325</v>
      </c>
      <c r="C2989" s="116" t="s">
        <v>16</v>
      </c>
      <c r="D2989" s="116">
        <v>0</v>
      </c>
      <c r="E2989" s="136" t="s">
        <v>416</v>
      </c>
      <c r="F2989" s="137" t="str">
        <f t="shared" si="221"/>
        <v/>
      </c>
      <c r="G2989" s="138" t="e">
        <f>IF(A2989&lt;&gt;"",IF(AND(#REF!="Padrão",$H$4=#REF!),BDI!$B$17,IF(AND(#REF!="Padrão",$H$4=#REF!),BDI!#REF!,IF(AND(#REF!="Diferenciado",$H$4=#REF!),BDI!$E$17,IF(AND(#REF!="Diferenciado",$H$4=#REF!),BDI!#REF!,IF(#REF!="ZERO",0))))),"")</f>
        <v>#REF!</v>
      </c>
      <c r="H2989" s="139" t="str">
        <f t="shared" si="222"/>
        <v/>
      </c>
      <c r="I2989" s="137" t="str">
        <f t="shared" si="223"/>
        <v/>
      </c>
      <c r="J2989" s="117"/>
      <c r="K2989" s="116">
        <v>0</v>
      </c>
      <c r="M2989" s="136" t="s">
        <v>416</v>
      </c>
      <c r="N2989" t="e">
        <v>#REF!</v>
      </c>
      <c r="Q2989" t="s">
        <v>416</v>
      </c>
    </row>
    <row r="2990" spans="1:17" hidden="1" x14ac:dyDescent="0.25">
      <c r="A2990" s="114" t="s">
        <v>6277</v>
      </c>
      <c r="B2990" s="115" t="s">
        <v>6278</v>
      </c>
      <c r="C2990" s="116" t="s">
        <v>16</v>
      </c>
      <c r="D2990" s="116">
        <v>0</v>
      </c>
      <c r="E2990" s="136">
        <f ca="1">OFFSET(INDEX(Composições!A:J,MATCH(Orçamentária!A2990,Composições!A:A,0),8),2,0)</f>
        <v>131.63200000000001</v>
      </c>
      <c r="F2990" s="137">
        <f t="shared" ca="1" si="221"/>
        <v>0</v>
      </c>
      <c r="G2990" s="138" t="e">
        <f>IF(A2990&lt;&gt;"",IF(AND(#REF!="Padrão",$H$4=#REF!),BDI!$B$17,IF(AND(#REF!="Padrão",$H$4=#REF!),BDI!#REF!,IF(AND(#REF!="Diferenciado",$H$4=#REF!),BDI!$E$17,IF(AND(#REF!="Diferenciado",$H$4=#REF!),BDI!#REF!,IF(#REF!="ZERO",0))))),"")</f>
        <v>#REF!</v>
      </c>
      <c r="H2990" s="139" t="e">
        <f t="shared" ca="1" si="222"/>
        <v>#REF!</v>
      </c>
      <c r="I2990" s="137" t="e">
        <f t="shared" ca="1" si="223"/>
        <v>#REF!</v>
      </c>
      <c r="J2990" s="117"/>
      <c r="K2990" s="116">
        <v>0</v>
      </c>
      <c r="M2990" s="136" t="e">
        <f ca="1">OFFSET(INDEX([1]Composições!I:R,MATCH([1]Orçamentária!I2990,[1]Composições!I:I,0),8),2,0)</f>
        <v>#REF!</v>
      </c>
      <c r="N2990" t="e">
        <v>#REF!</v>
      </c>
      <c r="Q2990" t="e">
        <v>#REF!</v>
      </c>
    </row>
    <row r="2991" spans="1:17" hidden="1" x14ac:dyDescent="0.25">
      <c r="A2991" s="114" t="s">
        <v>6279</v>
      </c>
      <c r="B2991" s="115" t="s">
        <v>6280</v>
      </c>
      <c r="C2991" s="116" t="s">
        <v>16</v>
      </c>
      <c r="D2991" s="116">
        <v>0</v>
      </c>
      <c r="E2991" s="136">
        <f ca="1">OFFSET(INDEX(Composições!A:J,MATCH(Orçamentária!A2991,Composições!A:A,0),8),2,0)</f>
        <v>0</v>
      </c>
      <c r="F2991" s="137">
        <f t="shared" ca="1" si="221"/>
        <v>0</v>
      </c>
      <c r="G2991" s="138" t="e">
        <f>IF(A2991&lt;&gt;"",IF(AND(#REF!="Padrão",$H$4=#REF!),BDI!$B$17,IF(AND(#REF!="Padrão",$H$4=#REF!),BDI!#REF!,IF(AND(#REF!="Diferenciado",$H$4=#REF!),BDI!$E$17,IF(AND(#REF!="Diferenciado",$H$4=#REF!),BDI!#REF!,IF(#REF!="ZERO",0))))),"")</f>
        <v>#REF!</v>
      </c>
      <c r="H2991" s="139" t="e">
        <f t="shared" ca="1" si="222"/>
        <v>#REF!</v>
      </c>
      <c r="I2991" s="137" t="e">
        <f t="shared" ca="1" si="223"/>
        <v>#REF!</v>
      </c>
      <c r="J2991" s="117"/>
      <c r="K2991" s="116">
        <v>0</v>
      </c>
      <c r="M2991" s="136" t="e">
        <f ca="1">OFFSET(INDEX([1]Composições!I:R,MATCH([1]Orçamentária!I2991,[1]Composições!I:I,0),8),2,0)</f>
        <v>#REF!</v>
      </c>
      <c r="N2991" t="e">
        <v>#REF!</v>
      </c>
      <c r="Q2991" t="e">
        <v>#REF!</v>
      </c>
    </row>
    <row r="2992" spans="1:17" hidden="1" x14ac:dyDescent="0.25">
      <c r="A2992" s="114" t="s">
        <v>6281</v>
      </c>
      <c r="B2992" s="115" t="s">
        <v>6282</v>
      </c>
      <c r="C2992" s="116" t="s">
        <v>16</v>
      </c>
      <c r="D2992" s="116">
        <v>0</v>
      </c>
      <c r="E2992" s="136">
        <f ca="1">OFFSET(INDEX(Composições!A:J,MATCH(Orçamentária!A2992,Composições!A:A,0),8),2,0)</f>
        <v>308.35099999999994</v>
      </c>
      <c r="F2992" s="137">
        <f t="shared" ca="1" si="221"/>
        <v>0</v>
      </c>
      <c r="G2992" s="138" t="e">
        <f>IF(A2992&lt;&gt;"",IF(AND(#REF!="Padrão",$H$4=#REF!),BDI!$B$17,IF(AND(#REF!="Padrão",$H$4=#REF!),BDI!#REF!,IF(AND(#REF!="Diferenciado",$H$4=#REF!),BDI!$E$17,IF(AND(#REF!="Diferenciado",$H$4=#REF!),BDI!#REF!,IF(#REF!="ZERO",0))))),"")</f>
        <v>#REF!</v>
      </c>
      <c r="H2992" s="139" t="e">
        <f t="shared" ca="1" si="222"/>
        <v>#REF!</v>
      </c>
      <c r="I2992" s="137" t="e">
        <f t="shared" ca="1" si="223"/>
        <v>#REF!</v>
      </c>
      <c r="J2992" s="117"/>
      <c r="K2992" s="116">
        <v>0</v>
      </c>
      <c r="M2992" s="136" t="e">
        <f ca="1">OFFSET(INDEX([1]Composições!I:R,MATCH([1]Orçamentária!I2992,[1]Composições!I:I,0),8),2,0)</f>
        <v>#REF!</v>
      </c>
      <c r="N2992" t="e">
        <v>#REF!</v>
      </c>
      <c r="Q2992" t="e">
        <v>#REF!</v>
      </c>
    </row>
    <row r="2993" spans="1:17" hidden="1" x14ac:dyDescent="0.25">
      <c r="A2993" s="114" t="s">
        <v>6283</v>
      </c>
      <c r="B2993" s="115" t="s">
        <v>6284</v>
      </c>
      <c r="C2993" s="116" t="s">
        <v>16</v>
      </c>
      <c r="D2993" s="116">
        <v>0</v>
      </c>
      <c r="E2993" s="136">
        <f ca="1">OFFSET(INDEX(Composições!A:J,MATCH(Orçamentária!A2993,Composições!A:A,0),8),2,0)</f>
        <v>34.855499999999999</v>
      </c>
      <c r="F2993" s="137">
        <f t="shared" ca="1" si="221"/>
        <v>0</v>
      </c>
      <c r="G2993" s="138" t="e">
        <f>IF(A2993&lt;&gt;"",IF(AND(#REF!="Padrão",$H$4=#REF!),BDI!$B$17,IF(AND(#REF!="Padrão",$H$4=#REF!),BDI!#REF!,IF(AND(#REF!="Diferenciado",$H$4=#REF!),BDI!$E$17,IF(AND(#REF!="Diferenciado",$H$4=#REF!),BDI!#REF!,IF(#REF!="ZERO",0))))),"")</f>
        <v>#REF!</v>
      </c>
      <c r="H2993" s="139" t="e">
        <f t="shared" ca="1" si="222"/>
        <v>#REF!</v>
      </c>
      <c r="I2993" s="137" t="e">
        <f t="shared" ca="1" si="223"/>
        <v>#REF!</v>
      </c>
      <c r="J2993" s="117"/>
      <c r="K2993" s="116">
        <v>0</v>
      </c>
      <c r="M2993" s="136" t="e">
        <f ca="1">OFFSET(INDEX([1]Composições!I:R,MATCH([1]Orçamentária!I2993,[1]Composições!I:I,0),8),2,0)</f>
        <v>#REF!</v>
      </c>
      <c r="N2993" t="e">
        <v>#REF!</v>
      </c>
      <c r="Q2993" t="e">
        <v>#REF!</v>
      </c>
    </row>
    <row r="2994" spans="1:17" hidden="1" x14ac:dyDescent="0.25">
      <c r="A2994" s="114" t="s">
        <v>6285</v>
      </c>
      <c r="B2994" s="115" t="s">
        <v>7323</v>
      </c>
      <c r="C2994" s="116" t="s">
        <v>16</v>
      </c>
      <c r="D2994" s="116">
        <v>0</v>
      </c>
      <c r="E2994" s="136">
        <f ca="1">OFFSET(INDEX(Composições!A:J,MATCH(Orçamentária!A2994,Composições!A:A,0),8),2,0)</f>
        <v>40.47</v>
      </c>
      <c r="F2994" s="137">
        <f t="shared" ca="1" si="221"/>
        <v>0</v>
      </c>
      <c r="G2994" s="138" t="e">
        <f>IF(A2994&lt;&gt;"",IF(AND(#REF!="Padrão",$H$4=#REF!),BDI!$B$17,IF(AND(#REF!="Padrão",$H$4=#REF!),BDI!#REF!,IF(AND(#REF!="Diferenciado",$H$4=#REF!),BDI!$E$17,IF(AND(#REF!="Diferenciado",$H$4=#REF!),BDI!#REF!,IF(#REF!="ZERO",0))))),"")</f>
        <v>#REF!</v>
      </c>
      <c r="H2994" s="139" t="e">
        <f t="shared" ca="1" si="222"/>
        <v>#REF!</v>
      </c>
      <c r="I2994" s="137" t="e">
        <f t="shared" ca="1" si="223"/>
        <v>#REF!</v>
      </c>
      <c r="J2994" s="117"/>
      <c r="K2994" s="116">
        <v>0</v>
      </c>
      <c r="M2994" s="136" t="e">
        <f ca="1">OFFSET(INDEX([1]Composições!I:R,MATCH([1]Orçamentária!I2994,[1]Composições!I:I,0),8),2,0)</f>
        <v>#REF!</v>
      </c>
      <c r="N2994" t="e">
        <v>#REF!</v>
      </c>
      <c r="Q2994" t="e">
        <v>#REF!</v>
      </c>
    </row>
    <row r="2995" spans="1:17" hidden="1" x14ac:dyDescent="0.25">
      <c r="A2995" s="114" t="s">
        <v>6286</v>
      </c>
      <c r="B2995" s="115" t="s">
        <v>7322</v>
      </c>
      <c r="C2995" s="116" t="s">
        <v>16</v>
      </c>
      <c r="D2995" s="116">
        <v>0</v>
      </c>
      <c r="E2995" s="136">
        <f ca="1">OFFSET(INDEX(Composições!A:J,MATCH(Orçamentária!A2995,Composições!A:A,0),8),2,0)</f>
        <v>45.276999999999994</v>
      </c>
      <c r="F2995" s="137">
        <f t="shared" ca="1" si="221"/>
        <v>0</v>
      </c>
      <c r="G2995" s="138" t="e">
        <f>IF(A2995&lt;&gt;"",IF(AND(#REF!="Padrão",$H$4=#REF!),BDI!$B$17,IF(AND(#REF!="Padrão",$H$4=#REF!),BDI!#REF!,IF(AND(#REF!="Diferenciado",$H$4=#REF!),BDI!$E$17,IF(AND(#REF!="Diferenciado",$H$4=#REF!),BDI!#REF!,IF(#REF!="ZERO",0))))),"")</f>
        <v>#REF!</v>
      </c>
      <c r="H2995" s="139" t="e">
        <f t="shared" ca="1" si="222"/>
        <v>#REF!</v>
      </c>
      <c r="I2995" s="137" t="e">
        <f t="shared" ca="1" si="223"/>
        <v>#REF!</v>
      </c>
      <c r="J2995" s="117"/>
      <c r="K2995" s="116">
        <v>0</v>
      </c>
      <c r="M2995" s="136" t="e">
        <f ca="1">OFFSET(INDEX([1]Composições!I:R,MATCH([1]Orçamentária!I2995,[1]Composições!I:I,0),8),2,0)</f>
        <v>#REF!</v>
      </c>
      <c r="N2995" t="e">
        <v>#REF!</v>
      </c>
      <c r="Q2995" t="e">
        <v>#REF!</v>
      </c>
    </row>
    <row r="2996" spans="1:17" hidden="1" x14ac:dyDescent="0.25">
      <c r="A2996" s="114" t="s">
        <v>6287</v>
      </c>
      <c r="B2996" s="115" t="s">
        <v>7321</v>
      </c>
      <c r="C2996" s="116" t="s">
        <v>16</v>
      </c>
      <c r="D2996" s="116">
        <v>0</v>
      </c>
      <c r="E2996" s="136">
        <f ca="1">OFFSET(INDEX(Composições!A:J,MATCH(Orçamentária!A2996,Composições!A:A,0),8),2,0)</f>
        <v>12.169499999999999</v>
      </c>
      <c r="F2996" s="137">
        <f t="shared" ca="1" si="221"/>
        <v>0</v>
      </c>
      <c r="G2996" s="138" t="e">
        <f>IF(A2996&lt;&gt;"",IF(AND(#REF!="Padrão",$H$4=#REF!),BDI!$B$17,IF(AND(#REF!="Padrão",$H$4=#REF!),BDI!#REF!,IF(AND(#REF!="Diferenciado",$H$4=#REF!),BDI!$E$17,IF(AND(#REF!="Diferenciado",$H$4=#REF!),BDI!#REF!,IF(#REF!="ZERO",0))))),"")</f>
        <v>#REF!</v>
      </c>
      <c r="H2996" s="139" t="e">
        <f t="shared" ca="1" si="222"/>
        <v>#REF!</v>
      </c>
      <c r="I2996" s="137" t="e">
        <f t="shared" ca="1" si="223"/>
        <v>#REF!</v>
      </c>
      <c r="J2996" s="117"/>
      <c r="K2996" s="116">
        <v>0</v>
      </c>
      <c r="M2996" s="136" t="e">
        <f ca="1">OFFSET(INDEX([1]Composições!I:R,MATCH([1]Orçamentária!I2996,[1]Composições!I:I,0),8),2,0)</f>
        <v>#REF!</v>
      </c>
      <c r="N2996" t="e">
        <v>#REF!</v>
      </c>
      <c r="Q2996" t="e">
        <v>#REF!</v>
      </c>
    </row>
    <row r="2997" spans="1:17" hidden="1" x14ac:dyDescent="0.25">
      <c r="A2997" s="114" t="s">
        <v>6288</v>
      </c>
      <c r="B2997" s="115" t="s">
        <v>6289</v>
      </c>
      <c r="C2997" s="116" t="s">
        <v>16</v>
      </c>
      <c r="D2997" s="116">
        <v>0</v>
      </c>
      <c r="E2997" s="136" t="s">
        <v>416</v>
      </c>
      <c r="F2997" s="137" t="str">
        <f t="shared" si="221"/>
        <v/>
      </c>
      <c r="G2997" s="138" t="e">
        <f>IF(A2997&lt;&gt;"",IF(AND(#REF!="Padrão",$H$4=#REF!),BDI!$B$17,IF(AND(#REF!="Padrão",$H$4=#REF!),BDI!#REF!,IF(AND(#REF!="Diferenciado",$H$4=#REF!),BDI!$E$17,IF(AND(#REF!="Diferenciado",$H$4=#REF!),BDI!#REF!,IF(#REF!="ZERO",0))))),"")</f>
        <v>#REF!</v>
      </c>
      <c r="H2997" s="139" t="str">
        <f t="shared" si="222"/>
        <v/>
      </c>
      <c r="I2997" s="137" t="str">
        <f t="shared" si="223"/>
        <v/>
      </c>
      <c r="J2997" s="117"/>
      <c r="K2997" s="116">
        <v>0</v>
      </c>
      <c r="M2997" s="136" t="s">
        <v>416</v>
      </c>
      <c r="N2997" t="e">
        <v>#REF!</v>
      </c>
      <c r="Q2997" t="s">
        <v>416</v>
      </c>
    </row>
    <row r="2998" spans="1:17" hidden="1" x14ac:dyDescent="0.25">
      <c r="A2998" s="114" t="s">
        <v>6290</v>
      </c>
      <c r="B2998" s="115" t="s">
        <v>6291</v>
      </c>
      <c r="C2998" s="116" t="s">
        <v>16</v>
      </c>
      <c r="D2998" s="116">
        <v>0</v>
      </c>
      <c r="E2998" s="136" t="s">
        <v>416</v>
      </c>
      <c r="F2998" s="137" t="str">
        <f t="shared" si="221"/>
        <v/>
      </c>
      <c r="G2998" s="138" t="e">
        <f>IF(A2998&lt;&gt;"",IF(AND(#REF!="Padrão",$H$4=#REF!),BDI!$B$17,IF(AND(#REF!="Padrão",$H$4=#REF!),BDI!#REF!,IF(AND(#REF!="Diferenciado",$H$4=#REF!),BDI!$E$17,IF(AND(#REF!="Diferenciado",$H$4=#REF!),BDI!#REF!,IF(#REF!="ZERO",0))))),"")</f>
        <v>#REF!</v>
      </c>
      <c r="H2998" s="139" t="str">
        <f t="shared" si="222"/>
        <v/>
      </c>
      <c r="I2998" s="137" t="str">
        <f t="shared" si="223"/>
        <v/>
      </c>
      <c r="J2998" s="117"/>
      <c r="K2998" s="116">
        <v>0</v>
      </c>
      <c r="M2998" s="136" t="s">
        <v>416</v>
      </c>
      <c r="N2998" t="e">
        <v>#REF!</v>
      </c>
      <c r="Q2998" t="s">
        <v>416</v>
      </c>
    </row>
    <row r="2999" spans="1:17" hidden="1" x14ac:dyDescent="0.25">
      <c r="A2999" s="114" t="s">
        <v>6292</v>
      </c>
      <c r="B2999" s="115" t="s">
        <v>6293</v>
      </c>
      <c r="C2999" s="116" t="s">
        <v>16</v>
      </c>
      <c r="D2999" s="116">
        <v>0</v>
      </c>
      <c r="E2999" s="136" t="s">
        <v>416</v>
      </c>
      <c r="F2999" s="137" t="str">
        <f t="shared" si="221"/>
        <v/>
      </c>
      <c r="G2999" s="138" t="e">
        <f>IF(A2999&lt;&gt;"",IF(AND(#REF!="Padrão",$H$4=#REF!),BDI!$B$17,IF(AND(#REF!="Padrão",$H$4=#REF!),BDI!#REF!,IF(AND(#REF!="Diferenciado",$H$4=#REF!),BDI!$E$17,IF(AND(#REF!="Diferenciado",$H$4=#REF!),BDI!#REF!,IF(#REF!="ZERO",0))))),"")</f>
        <v>#REF!</v>
      </c>
      <c r="H2999" s="139" t="str">
        <f t="shared" si="222"/>
        <v/>
      </c>
      <c r="I2999" s="137" t="str">
        <f t="shared" si="223"/>
        <v/>
      </c>
      <c r="J2999" s="117"/>
      <c r="K2999" s="116">
        <v>0</v>
      </c>
      <c r="M2999" s="136" t="s">
        <v>416</v>
      </c>
      <c r="N2999" t="e">
        <v>#REF!</v>
      </c>
      <c r="Q2999" t="s">
        <v>416</v>
      </c>
    </row>
    <row r="3000" spans="1:17" hidden="1" x14ac:dyDescent="0.25">
      <c r="A3000" s="114" t="s">
        <v>6294</v>
      </c>
      <c r="B3000" s="115" t="s">
        <v>6295</v>
      </c>
      <c r="C3000" s="116" t="s">
        <v>16</v>
      </c>
      <c r="D3000" s="116">
        <v>0</v>
      </c>
      <c r="E3000" s="136" t="s">
        <v>416</v>
      </c>
      <c r="F3000" s="137" t="str">
        <f t="shared" si="221"/>
        <v/>
      </c>
      <c r="G3000" s="138" t="e">
        <f>IF(A3000&lt;&gt;"",IF(AND(#REF!="Padrão",$H$4=#REF!),BDI!$B$17,IF(AND(#REF!="Padrão",$H$4=#REF!),BDI!#REF!,IF(AND(#REF!="Diferenciado",$H$4=#REF!),BDI!$E$17,IF(AND(#REF!="Diferenciado",$H$4=#REF!),BDI!#REF!,IF(#REF!="ZERO",0))))),"")</f>
        <v>#REF!</v>
      </c>
      <c r="H3000" s="139" t="str">
        <f t="shared" si="222"/>
        <v/>
      </c>
      <c r="I3000" s="137" t="str">
        <f t="shared" si="223"/>
        <v/>
      </c>
      <c r="J3000" s="117"/>
      <c r="K3000" s="116">
        <v>0</v>
      </c>
      <c r="M3000" s="136" t="s">
        <v>416</v>
      </c>
      <c r="N3000" t="e">
        <v>#REF!</v>
      </c>
      <c r="Q3000" t="s">
        <v>416</v>
      </c>
    </row>
    <row r="3001" spans="1:17" hidden="1" x14ac:dyDescent="0.25">
      <c r="A3001" s="114" t="s">
        <v>6296</v>
      </c>
      <c r="B3001" s="115" t="s">
        <v>7320</v>
      </c>
      <c r="C3001" s="116" t="s">
        <v>16</v>
      </c>
      <c r="D3001" s="116">
        <v>0</v>
      </c>
      <c r="E3001" s="136">
        <f ca="1">OFFSET(INDEX(Composições!A:J,MATCH(Orçamentária!A3001,Composições!A:A,0),8),2,0)</f>
        <v>5.89</v>
      </c>
      <c r="F3001" s="137">
        <f t="shared" ca="1" si="221"/>
        <v>0</v>
      </c>
      <c r="G3001" s="138" t="e">
        <f>IF(A3001&lt;&gt;"",IF(AND(#REF!="Padrão",$H$4=#REF!),BDI!$B$17,IF(AND(#REF!="Padrão",$H$4=#REF!),BDI!#REF!,IF(AND(#REF!="Diferenciado",$H$4=#REF!),BDI!$E$17,IF(AND(#REF!="Diferenciado",$H$4=#REF!),BDI!#REF!,IF(#REF!="ZERO",0))))),"")</f>
        <v>#REF!</v>
      </c>
      <c r="H3001" s="139" t="e">
        <f t="shared" ca="1" si="222"/>
        <v>#REF!</v>
      </c>
      <c r="I3001" s="137" t="e">
        <f t="shared" ca="1" si="223"/>
        <v>#REF!</v>
      </c>
      <c r="J3001" s="117"/>
      <c r="K3001" s="116">
        <v>0</v>
      </c>
      <c r="M3001" s="136" t="e">
        <f ca="1">OFFSET(INDEX([1]Composições!I:R,MATCH([1]Orçamentária!I3001,[1]Composições!I:I,0),8),2,0)</f>
        <v>#REF!</v>
      </c>
      <c r="N3001" t="e">
        <v>#REF!</v>
      </c>
      <c r="Q3001" t="e">
        <v>#REF!</v>
      </c>
    </row>
    <row r="3002" spans="1:17" hidden="1" x14ac:dyDescent="0.25">
      <c r="A3002" s="114" t="s">
        <v>6297</v>
      </c>
      <c r="B3002" s="115" t="s">
        <v>7319</v>
      </c>
      <c r="C3002" s="116" t="s">
        <v>16</v>
      </c>
      <c r="D3002" s="116">
        <v>0</v>
      </c>
      <c r="E3002" s="136">
        <f ca="1">OFFSET(INDEX(Composições!A:J,MATCH(Orçamentária!A3002,Composições!A:A,0),8),2,0)</f>
        <v>26.875499999999999</v>
      </c>
      <c r="F3002" s="137">
        <f t="shared" ca="1" si="221"/>
        <v>0</v>
      </c>
      <c r="G3002" s="138" t="e">
        <f>IF(A3002&lt;&gt;"",IF(AND(#REF!="Padrão",$H$4=#REF!),BDI!$B$17,IF(AND(#REF!="Padrão",$H$4=#REF!),BDI!#REF!,IF(AND(#REF!="Diferenciado",$H$4=#REF!),BDI!$E$17,IF(AND(#REF!="Diferenciado",$H$4=#REF!),BDI!#REF!,IF(#REF!="ZERO",0))))),"")</f>
        <v>#REF!</v>
      </c>
      <c r="H3002" s="139" t="e">
        <f t="shared" ca="1" si="222"/>
        <v>#REF!</v>
      </c>
      <c r="I3002" s="137" t="e">
        <f t="shared" ca="1" si="223"/>
        <v>#REF!</v>
      </c>
      <c r="J3002" s="117"/>
      <c r="K3002" s="116">
        <v>0</v>
      </c>
      <c r="M3002" s="136" t="e">
        <f ca="1">OFFSET(INDEX([1]Composições!I:R,MATCH([1]Orçamentária!I3002,[1]Composições!I:I,0),8),2,0)</f>
        <v>#REF!</v>
      </c>
      <c r="N3002" t="e">
        <v>#REF!</v>
      </c>
      <c r="Q3002" t="e">
        <v>#REF!</v>
      </c>
    </row>
    <row r="3003" spans="1:17" hidden="1" x14ac:dyDescent="0.25">
      <c r="A3003" s="114" t="s">
        <v>6298</v>
      </c>
      <c r="B3003" s="115" t="s">
        <v>7318</v>
      </c>
      <c r="C3003" s="116" t="s">
        <v>16</v>
      </c>
      <c r="D3003" s="116">
        <v>0</v>
      </c>
      <c r="E3003" s="136">
        <f ca="1">OFFSET(INDEX(Composições!A:J,MATCH(Orçamentária!A3003,Composições!A:A,0),8),2,0)</f>
        <v>4.085</v>
      </c>
      <c r="F3003" s="137">
        <f t="shared" ca="1" si="221"/>
        <v>0</v>
      </c>
      <c r="G3003" s="138" t="e">
        <f>IF(A3003&lt;&gt;"",IF(AND(#REF!="Padrão",$H$4=#REF!),BDI!$B$17,IF(AND(#REF!="Padrão",$H$4=#REF!),BDI!#REF!,IF(AND(#REF!="Diferenciado",$H$4=#REF!),BDI!$E$17,IF(AND(#REF!="Diferenciado",$H$4=#REF!),BDI!#REF!,IF(#REF!="ZERO",0))))),"")</f>
        <v>#REF!</v>
      </c>
      <c r="H3003" s="139" t="e">
        <f t="shared" ca="1" si="222"/>
        <v>#REF!</v>
      </c>
      <c r="I3003" s="137" t="e">
        <f t="shared" ca="1" si="223"/>
        <v>#REF!</v>
      </c>
      <c r="J3003" s="117"/>
      <c r="K3003" s="116">
        <v>0</v>
      </c>
      <c r="M3003" s="136" t="e">
        <f ca="1">OFFSET(INDEX([1]Composições!I:R,MATCH([1]Orçamentária!I3003,[1]Composições!I:I,0),8),2,0)</f>
        <v>#REF!</v>
      </c>
      <c r="N3003" t="e">
        <v>#REF!</v>
      </c>
      <c r="Q3003" t="e">
        <v>#REF!</v>
      </c>
    </row>
    <row r="3004" spans="1:17" hidden="1" x14ac:dyDescent="0.25">
      <c r="A3004" s="114" t="s">
        <v>6299</v>
      </c>
      <c r="B3004" s="115" t="s">
        <v>6300</v>
      </c>
      <c r="C3004" s="116" t="s">
        <v>16</v>
      </c>
      <c r="D3004" s="116">
        <v>0</v>
      </c>
      <c r="E3004" s="136">
        <f ca="1">OFFSET(INDEX(Composições!A:J,MATCH(Orçamentária!A3004,Composições!A:A,0),8),2,0)</f>
        <v>3.7239999999999998</v>
      </c>
      <c r="F3004" s="137">
        <f t="shared" ca="1" si="221"/>
        <v>0</v>
      </c>
      <c r="G3004" s="138" t="e">
        <f>IF(A3004&lt;&gt;"",IF(AND(#REF!="Padrão",$H$4=#REF!),BDI!$B$17,IF(AND(#REF!="Padrão",$H$4=#REF!),BDI!#REF!,IF(AND(#REF!="Diferenciado",$H$4=#REF!),BDI!$E$17,IF(AND(#REF!="Diferenciado",$H$4=#REF!),BDI!#REF!,IF(#REF!="ZERO",0))))),"")</f>
        <v>#REF!</v>
      </c>
      <c r="H3004" s="139" t="e">
        <f t="shared" ca="1" si="222"/>
        <v>#REF!</v>
      </c>
      <c r="I3004" s="137" t="e">
        <f t="shared" ca="1" si="223"/>
        <v>#REF!</v>
      </c>
      <c r="J3004" s="117"/>
      <c r="K3004" s="116">
        <v>0</v>
      </c>
      <c r="M3004" s="136" t="e">
        <f ca="1">OFFSET(INDEX([1]Composições!I:R,MATCH([1]Orçamentária!I3004,[1]Composições!I:I,0),8),2,0)</f>
        <v>#REF!</v>
      </c>
      <c r="N3004" t="e">
        <v>#REF!</v>
      </c>
      <c r="Q3004" t="e">
        <v>#REF!</v>
      </c>
    </row>
    <row r="3005" spans="1:17" hidden="1" x14ac:dyDescent="0.25">
      <c r="A3005" s="114" t="s">
        <v>6301</v>
      </c>
      <c r="B3005" s="115" t="s">
        <v>6302</v>
      </c>
      <c r="C3005" s="116" t="s">
        <v>16</v>
      </c>
      <c r="D3005" s="116">
        <v>0</v>
      </c>
      <c r="E3005" s="136" t="s">
        <v>416</v>
      </c>
      <c r="F3005" s="137" t="str">
        <f t="shared" si="221"/>
        <v/>
      </c>
      <c r="G3005" s="138" t="e">
        <f>IF(A3005&lt;&gt;"",IF(AND(#REF!="Padrão",$H$4=#REF!),BDI!$B$17,IF(AND(#REF!="Padrão",$H$4=#REF!),BDI!#REF!,IF(AND(#REF!="Diferenciado",$H$4=#REF!),BDI!$E$17,IF(AND(#REF!="Diferenciado",$H$4=#REF!),BDI!#REF!,IF(#REF!="ZERO",0))))),"")</f>
        <v>#REF!</v>
      </c>
      <c r="H3005" s="139" t="str">
        <f t="shared" si="222"/>
        <v/>
      </c>
      <c r="I3005" s="137" t="str">
        <f t="shared" si="223"/>
        <v/>
      </c>
      <c r="J3005" s="117"/>
      <c r="K3005" s="116">
        <v>0</v>
      </c>
      <c r="M3005" s="136" t="s">
        <v>416</v>
      </c>
      <c r="N3005" t="e">
        <v>#REF!</v>
      </c>
      <c r="Q3005" t="s">
        <v>416</v>
      </c>
    </row>
    <row r="3006" spans="1:17" hidden="1" x14ac:dyDescent="0.25">
      <c r="A3006" s="114" t="s">
        <v>6303</v>
      </c>
      <c r="B3006" s="115" t="s">
        <v>6304</v>
      </c>
      <c r="C3006" s="116" t="s">
        <v>16</v>
      </c>
      <c r="D3006" s="116">
        <v>0</v>
      </c>
      <c r="E3006" s="136" t="s">
        <v>416</v>
      </c>
      <c r="F3006" s="137" t="str">
        <f t="shared" si="221"/>
        <v/>
      </c>
      <c r="G3006" s="138" t="e">
        <f>IF(A3006&lt;&gt;"",IF(AND(#REF!="Padrão",$H$4=#REF!),BDI!$B$17,IF(AND(#REF!="Padrão",$H$4=#REF!),BDI!#REF!,IF(AND(#REF!="Diferenciado",$H$4=#REF!),BDI!$E$17,IF(AND(#REF!="Diferenciado",$H$4=#REF!),BDI!#REF!,IF(#REF!="ZERO",0))))),"")</f>
        <v>#REF!</v>
      </c>
      <c r="H3006" s="139" t="str">
        <f t="shared" si="222"/>
        <v/>
      </c>
      <c r="I3006" s="137" t="str">
        <f t="shared" si="223"/>
        <v/>
      </c>
      <c r="J3006" s="117"/>
      <c r="K3006" s="116">
        <v>0</v>
      </c>
      <c r="M3006" s="136" t="s">
        <v>416</v>
      </c>
      <c r="N3006" t="e">
        <v>#REF!</v>
      </c>
      <c r="Q3006" t="s">
        <v>416</v>
      </c>
    </row>
    <row r="3007" spans="1:17" hidden="1" x14ac:dyDescent="0.25">
      <c r="A3007" s="114" t="s">
        <v>6305</v>
      </c>
      <c r="B3007" s="115" t="s">
        <v>6306</v>
      </c>
      <c r="C3007" s="116" t="s">
        <v>16</v>
      </c>
      <c r="D3007" s="116">
        <v>0</v>
      </c>
      <c r="E3007" s="136" t="s">
        <v>416</v>
      </c>
      <c r="F3007" s="137" t="str">
        <f t="shared" si="221"/>
        <v/>
      </c>
      <c r="G3007" s="138" t="e">
        <f>IF(A3007&lt;&gt;"",IF(AND(#REF!="Padrão",$H$4=#REF!),BDI!$B$17,IF(AND(#REF!="Padrão",$H$4=#REF!),BDI!#REF!,IF(AND(#REF!="Diferenciado",$H$4=#REF!),BDI!$E$17,IF(AND(#REF!="Diferenciado",$H$4=#REF!),BDI!#REF!,IF(#REF!="ZERO",0))))),"")</f>
        <v>#REF!</v>
      </c>
      <c r="H3007" s="139" t="str">
        <f t="shared" si="222"/>
        <v/>
      </c>
      <c r="I3007" s="137" t="str">
        <f t="shared" si="223"/>
        <v/>
      </c>
      <c r="J3007" s="117"/>
      <c r="K3007" s="116">
        <v>0</v>
      </c>
      <c r="M3007" s="136" t="s">
        <v>416</v>
      </c>
      <c r="N3007" t="e">
        <v>#REF!</v>
      </c>
      <c r="Q3007" t="s">
        <v>416</v>
      </c>
    </row>
    <row r="3008" spans="1:17" hidden="1" x14ac:dyDescent="0.25">
      <c r="A3008" s="114" t="s">
        <v>6307</v>
      </c>
      <c r="B3008" s="115" t="s">
        <v>6308</v>
      </c>
      <c r="C3008" s="116" t="s">
        <v>16</v>
      </c>
      <c r="D3008" s="116">
        <v>0</v>
      </c>
      <c r="E3008" s="136" t="s">
        <v>416</v>
      </c>
      <c r="F3008" s="137" t="str">
        <f t="shared" si="221"/>
        <v/>
      </c>
      <c r="G3008" s="138" t="e">
        <f>IF(A3008&lt;&gt;"",IF(AND(#REF!="Padrão",$H$4=#REF!),BDI!$B$17,IF(AND(#REF!="Padrão",$H$4=#REF!),BDI!#REF!,IF(AND(#REF!="Diferenciado",$H$4=#REF!),BDI!$E$17,IF(AND(#REF!="Diferenciado",$H$4=#REF!),BDI!#REF!,IF(#REF!="ZERO",0))))),"")</f>
        <v>#REF!</v>
      </c>
      <c r="H3008" s="139" t="str">
        <f t="shared" si="222"/>
        <v/>
      </c>
      <c r="I3008" s="137" t="str">
        <f t="shared" si="223"/>
        <v/>
      </c>
      <c r="J3008" s="117"/>
      <c r="K3008" s="116">
        <v>0</v>
      </c>
      <c r="M3008" s="136" t="s">
        <v>416</v>
      </c>
      <c r="N3008" t="e">
        <v>#REF!</v>
      </c>
      <c r="Q3008" t="s">
        <v>416</v>
      </c>
    </row>
    <row r="3009" spans="1:17" hidden="1" x14ac:dyDescent="0.25">
      <c r="A3009" s="114" t="s">
        <v>6309</v>
      </c>
      <c r="B3009" s="115" t="s">
        <v>7317</v>
      </c>
      <c r="C3009" s="116" t="s">
        <v>16</v>
      </c>
      <c r="D3009" s="116">
        <v>0</v>
      </c>
      <c r="E3009" s="136" t="s">
        <v>416</v>
      </c>
      <c r="F3009" s="137" t="str">
        <f t="shared" si="221"/>
        <v/>
      </c>
      <c r="G3009" s="138" t="e">
        <f>IF(A3009&lt;&gt;"",IF(AND(#REF!="Padrão",$H$4=#REF!),BDI!$B$17,IF(AND(#REF!="Padrão",$H$4=#REF!),BDI!#REF!,IF(AND(#REF!="Diferenciado",$H$4=#REF!),BDI!$E$17,IF(AND(#REF!="Diferenciado",$H$4=#REF!),BDI!#REF!,IF(#REF!="ZERO",0))))),"")</f>
        <v>#REF!</v>
      </c>
      <c r="H3009" s="139" t="str">
        <f t="shared" si="222"/>
        <v/>
      </c>
      <c r="I3009" s="137" t="str">
        <f t="shared" si="223"/>
        <v/>
      </c>
      <c r="J3009" s="117"/>
      <c r="K3009" s="116">
        <v>0</v>
      </c>
      <c r="M3009" s="136" t="s">
        <v>416</v>
      </c>
      <c r="N3009" t="e">
        <v>#REF!</v>
      </c>
      <c r="Q3009" t="s">
        <v>416</v>
      </c>
    </row>
    <row r="3010" spans="1:17" hidden="1" x14ac:dyDescent="0.25">
      <c r="A3010" s="114" t="s">
        <v>6310</v>
      </c>
      <c r="B3010" s="115" t="s">
        <v>7316</v>
      </c>
      <c r="C3010" s="116" t="s">
        <v>16</v>
      </c>
      <c r="D3010" s="116">
        <v>0</v>
      </c>
      <c r="E3010" s="136" t="s">
        <v>416</v>
      </c>
      <c r="F3010" s="137" t="str">
        <f t="shared" si="221"/>
        <v/>
      </c>
      <c r="G3010" s="138" t="e">
        <f>IF(A3010&lt;&gt;"",IF(AND(#REF!="Padrão",$H$4=#REF!),BDI!$B$17,IF(AND(#REF!="Padrão",$H$4=#REF!),BDI!#REF!,IF(AND(#REF!="Diferenciado",$H$4=#REF!),BDI!$E$17,IF(AND(#REF!="Diferenciado",$H$4=#REF!),BDI!#REF!,IF(#REF!="ZERO",0))))),"")</f>
        <v>#REF!</v>
      </c>
      <c r="H3010" s="139" t="str">
        <f t="shared" si="222"/>
        <v/>
      </c>
      <c r="I3010" s="137" t="str">
        <f t="shared" si="223"/>
        <v/>
      </c>
      <c r="J3010" s="117"/>
      <c r="K3010" s="116">
        <v>0</v>
      </c>
      <c r="M3010" s="136" t="s">
        <v>416</v>
      </c>
      <c r="N3010" t="e">
        <v>#REF!</v>
      </c>
      <c r="Q3010" t="s">
        <v>416</v>
      </c>
    </row>
    <row r="3011" spans="1:17" hidden="1" x14ac:dyDescent="0.25">
      <c r="A3011" s="114" t="s">
        <v>6311</v>
      </c>
      <c r="B3011" s="115" t="s">
        <v>7315</v>
      </c>
      <c r="C3011" s="116" t="s">
        <v>16</v>
      </c>
      <c r="D3011" s="116">
        <v>0</v>
      </c>
      <c r="E3011" s="136">
        <f ca="1">OFFSET(INDEX(Composições!A:J,MATCH(Orçamentária!A3011,Composições!A:A,0),8),2,0)</f>
        <v>2.9830000000000001</v>
      </c>
      <c r="F3011" s="137">
        <f t="shared" ca="1" si="221"/>
        <v>0</v>
      </c>
      <c r="G3011" s="138" t="e">
        <f>IF(A3011&lt;&gt;"",IF(AND(#REF!="Padrão",$H$4=#REF!),BDI!$B$17,IF(AND(#REF!="Padrão",$H$4=#REF!),BDI!#REF!,IF(AND(#REF!="Diferenciado",$H$4=#REF!),BDI!$E$17,IF(AND(#REF!="Diferenciado",$H$4=#REF!),BDI!#REF!,IF(#REF!="ZERO",0))))),"")</f>
        <v>#REF!</v>
      </c>
      <c r="H3011" s="139" t="e">
        <f t="shared" ca="1" si="222"/>
        <v>#REF!</v>
      </c>
      <c r="I3011" s="137" t="e">
        <f t="shared" ca="1" si="223"/>
        <v>#REF!</v>
      </c>
      <c r="J3011" s="117"/>
      <c r="K3011" s="116">
        <v>0</v>
      </c>
      <c r="M3011" s="136" t="e">
        <f ca="1">OFFSET(INDEX([1]Composições!I:R,MATCH([1]Orçamentária!I3011,[1]Composições!I:I,0),8),2,0)</f>
        <v>#REF!</v>
      </c>
      <c r="N3011" t="e">
        <v>#REF!</v>
      </c>
      <c r="Q3011" t="e">
        <v>#REF!</v>
      </c>
    </row>
    <row r="3012" spans="1:17" hidden="1" x14ac:dyDescent="0.25">
      <c r="A3012" s="114" t="s">
        <v>6312</v>
      </c>
      <c r="B3012" s="115" t="s">
        <v>7314</v>
      </c>
      <c r="C3012" s="116" t="s">
        <v>16</v>
      </c>
      <c r="D3012" s="116">
        <v>0</v>
      </c>
      <c r="E3012" s="136">
        <f ca="1">OFFSET(INDEX(Composições!A:J,MATCH(Orçamentária!A3012,Composições!A:A,0),8),2,0)</f>
        <v>6.3459999999999992</v>
      </c>
      <c r="F3012" s="137">
        <f t="shared" ca="1" si="221"/>
        <v>0</v>
      </c>
      <c r="G3012" s="138" t="e">
        <f>IF(A3012&lt;&gt;"",IF(AND(#REF!="Padrão",$H$4=#REF!),BDI!$B$17,IF(AND(#REF!="Padrão",$H$4=#REF!),BDI!#REF!,IF(AND(#REF!="Diferenciado",$H$4=#REF!),BDI!$E$17,IF(AND(#REF!="Diferenciado",$H$4=#REF!),BDI!#REF!,IF(#REF!="ZERO",0))))),"")</f>
        <v>#REF!</v>
      </c>
      <c r="H3012" s="139" t="e">
        <f t="shared" ca="1" si="222"/>
        <v>#REF!</v>
      </c>
      <c r="I3012" s="137" t="e">
        <f t="shared" ca="1" si="223"/>
        <v>#REF!</v>
      </c>
      <c r="J3012" s="117"/>
      <c r="K3012" s="116">
        <v>0</v>
      </c>
      <c r="M3012" s="136" t="e">
        <f ca="1">OFFSET(INDEX([1]Composições!I:R,MATCH([1]Orçamentária!I3012,[1]Composições!I:I,0),8),2,0)</f>
        <v>#REF!</v>
      </c>
      <c r="N3012" t="e">
        <v>#REF!</v>
      </c>
      <c r="Q3012" t="e">
        <v>#REF!</v>
      </c>
    </row>
    <row r="3013" spans="1:17" hidden="1" x14ac:dyDescent="0.25">
      <c r="A3013" s="114" t="s">
        <v>6313</v>
      </c>
      <c r="B3013" s="115" t="s">
        <v>7313</v>
      </c>
      <c r="C3013" s="116" t="s">
        <v>16</v>
      </c>
      <c r="D3013" s="116">
        <v>0</v>
      </c>
      <c r="E3013" s="136">
        <f ca="1">OFFSET(INDEX(Composições!A:J,MATCH(Orçamentária!A3013,Composições!A:A,0),8),2,0)</f>
        <v>28.604499999999998</v>
      </c>
      <c r="F3013" s="137">
        <f t="shared" ca="1" si="221"/>
        <v>0</v>
      </c>
      <c r="G3013" s="138" t="e">
        <f>IF(A3013&lt;&gt;"",IF(AND(#REF!="Padrão",$H$4=#REF!),BDI!$B$17,IF(AND(#REF!="Padrão",$H$4=#REF!),BDI!#REF!,IF(AND(#REF!="Diferenciado",$H$4=#REF!),BDI!$E$17,IF(AND(#REF!="Diferenciado",$H$4=#REF!),BDI!#REF!,IF(#REF!="ZERO",0))))),"")</f>
        <v>#REF!</v>
      </c>
      <c r="H3013" s="139" t="e">
        <f t="shared" ca="1" si="222"/>
        <v>#REF!</v>
      </c>
      <c r="I3013" s="137" t="e">
        <f t="shared" ca="1" si="223"/>
        <v>#REF!</v>
      </c>
      <c r="J3013" s="117"/>
      <c r="K3013" s="116">
        <v>0</v>
      </c>
      <c r="M3013" s="136" t="e">
        <f ca="1">OFFSET(INDEX([1]Composições!I:R,MATCH([1]Orçamentária!I3013,[1]Composições!I:I,0),8),2,0)</f>
        <v>#REF!</v>
      </c>
      <c r="N3013" t="e">
        <v>#REF!</v>
      </c>
      <c r="Q3013" t="e">
        <v>#REF!</v>
      </c>
    </row>
    <row r="3014" spans="1:17" hidden="1" x14ac:dyDescent="0.25">
      <c r="A3014" s="114" t="s">
        <v>6314</v>
      </c>
      <c r="B3014" s="115" t="s">
        <v>7312</v>
      </c>
      <c r="C3014" s="116" t="s">
        <v>16</v>
      </c>
      <c r="D3014" s="116">
        <v>0</v>
      </c>
      <c r="E3014" s="136">
        <f ca="1">OFFSET(INDEX(Composições!A:J,MATCH(Orçamentária!A3014,Composições!A:A,0),8),2,0)</f>
        <v>30.59</v>
      </c>
      <c r="F3014" s="137">
        <f t="shared" ca="1" si="221"/>
        <v>0</v>
      </c>
      <c r="G3014" s="138" t="e">
        <f>IF(A3014&lt;&gt;"",IF(AND(#REF!="Padrão",$H$4=#REF!),BDI!$B$17,IF(AND(#REF!="Padrão",$H$4=#REF!),BDI!#REF!,IF(AND(#REF!="Diferenciado",$H$4=#REF!),BDI!$E$17,IF(AND(#REF!="Diferenciado",$H$4=#REF!),BDI!#REF!,IF(#REF!="ZERO",0))))),"")</f>
        <v>#REF!</v>
      </c>
      <c r="H3014" s="139" t="e">
        <f t="shared" ca="1" si="222"/>
        <v>#REF!</v>
      </c>
      <c r="I3014" s="137" t="e">
        <f t="shared" ca="1" si="223"/>
        <v>#REF!</v>
      </c>
      <c r="J3014" s="117"/>
      <c r="K3014" s="116">
        <v>0</v>
      </c>
      <c r="M3014" s="136" t="e">
        <f ca="1">OFFSET(INDEX([1]Composições!I:R,MATCH([1]Orçamentária!I3014,[1]Composições!I:I,0),8),2,0)</f>
        <v>#REF!</v>
      </c>
      <c r="N3014" t="e">
        <v>#REF!</v>
      </c>
      <c r="Q3014" t="e">
        <v>#REF!</v>
      </c>
    </row>
    <row r="3015" spans="1:17" hidden="1" x14ac:dyDescent="0.25">
      <c r="A3015" s="114" t="s">
        <v>6315</v>
      </c>
      <c r="B3015" s="115" t="s">
        <v>7311</v>
      </c>
      <c r="C3015" s="116" t="s">
        <v>16</v>
      </c>
      <c r="D3015" s="116">
        <v>0</v>
      </c>
      <c r="E3015" s="136" t="s">
        <v>416</v>
      </c>
      <c r="F3015" s="137" t="str">
        <f t="shared" si="221"/>
        <v/>
      </c>
      <c r="G3015" s="138" t="e">
        <f>IF(A3015&lt;&gt;"",IF(AND(#REF!="Padrão",$H$4=#REF!),BDI!$B$17,IF(AND(#REF!="Padrão",$H$4=#REF!),BDI!#REF!,IF(AND(#REF!="Diferenciado",$H$4=#REF!),BDI!$E$17,IF(AND(#REF!="Diferenciado",$H$4=#REF!),BDI!#REF!,IF(#REF!="ZERO",0))))),"")</f>
        <v>#REF!</v>
      </c>
      <c r="H3015" s="139" t="str">
        <f t="shared" si="222"/>
        <v/>
      </c>
      <c r="I3015" s="137" t="str">
        <f t="shared" si="223"/>
        <v/>
      </c>
      <c r="J3015" s="117"/>
      <c r="K3015" s="116">
        <v>0</v>
      </c>
      <c r="M3015" s="136" t="s">
        <v>416</v>
      </c>
      <c r="N3015" t="e">
        <v>#REF!</v>
      </c>
      <c r="Q3015" t="s">
        <v>416</v>
      </c>
    </row>
    <row r="3016" spans="1:17" hidden="1" x14ac:dyDescent="0.25">
      <c r="A3016" s="114" t="s">
        <v>6316</v>
      </c>
      <c r="B3016" s="115" t="s">
        <v>7310</v>
      </c>
      <c r="C3016" s="116" t="s">
        <v>16</v>
      </c>
      <c r="D3016" s="116">
        <v>0</v>
      </c>
      <c r="E3016" s="136" t="s">
        <v>416</v>
      </c>
      <c r="F3016" s="137" t="str">
        <f t="shared" si="221"/>
        <v/>
      </c>
      <c r="G3016" s="138" t="e">
        <f>IF(A3016&lt;&gt;"",IF(AND(#REF!="Padrão",$H$4=#REF!),BDI!$B$17,IF(AND(#REF!="Padrão",$H$4=#REF!),BDI!#REF!,IF(AND(#REF!="Diferenciado",$H$4=#REF!),BDI!$E$17,IF(AND(#REF!="Diferenciado",$H$4=#REF!),BDI!#REF!,IF(#REF!="ZERO",0))))),"")</f>
        <v>#REF!</v>
      </c>
      <c r="H3016" s="139" t="str">
        <f t="shared" si="222"/>
        <v/>
      </c>
      <c r="I3016" s="137" t="str">
        <f t="shared" si="223"/>
        <v/>
      </c>
      <c r="J3016" s="117"/>
      <c r="K3016" s="116">
        <v>0</v>
      </c>
      <c r="M3016" s="136" t="s">
        <v>416</v>
      </c>
      <c r="N3016" t="e">
        <v>#REF!</v>
      </c>
      <c r="Q3016" t="s">
        <v>416</v>
      </c>
    </row>
    <row r="3017" spans="1:17" hidden="1" x14ac:dyDescent="0.25">
      <c r="A3017" s="114" t="s">
        <v>6317</v>
      </c>
      <c r="B3017" s="115" t="s">
        <v>6318</v>
      </c>
      <c r="C3017" s="116" t="s">
        <v>16</v>
      </c>
      <c r="D3017" s="116">
        <v>0</v>
      </c>
      <c r="E3017" s="136" t="s">
        <v>416</v>
      </c>
      <c r="F3017" s="137" t="str">
        <f t="shared" si="221"/>
        <v/>
      </c>
      <c r="G3017" s="138" t="e">
        <f>IF(A3017&lt;&gt;"",IF(AND(#REF!="Padrão",$H$4=#REF!),BDI!$B$17,IF(AND(#REF!="Padrão",$H$4=#REF!),BDI!#REF!,IF(AND(#REF!="Diferenciado",$H$4=#REF!),BDI!$E$17,IF(AND(#REF!="Diferenciado",$H$4=#REF!),BDI!#REF!,IF(#REF!="ZERO",0))))),"")</f>
        <v>#REF!</v>
      </c>
      <c r="H3017" s="139" t="str">
        <f t="shared" si="222"/>
        <v/>
      </c>
      <c r="I3017" s="137" t="str">
        <f t="shared" si="223"/>
        <v/>
      </c>
      <c r="J3017" s="117"/>
      <c r="K3017" s="116">
        <v>0</v>
      </c>
      <c r="M3017" s="136" t="s">
        <v>416</v>
      </c>
      <c r="N3017" t="e">
        <v>#REF!</v>
      </c>
      <c r="Q3017" t="s">
        <v>416</v>
      </c>
    </row>
    <row r="3018" spans="1:17" hidden="1" x14ac:dyDescent="0.25">
      <c r="A3018" s="114" t="s">
        <v>6319</v>
      </c>
      <c r="B3018" s="115" t="s">
        <v>7309</v>
      </c>
      <c r="C3018" s="116" t="s">
        <v>69</v>
      </c>
      <c r="D3018" s="116">
        <v>0</v>
      </c>
      <c r="E3018" s="136">
        <f ca="1">OFFSET(INDEX(Composições!A:J,MATCH(Orçamentária!A3018,Composições!A:A,0),8),2,0)</f>
        <v>10.754</v>
      </c>
      <c r="F3018" s="137">
        <f t="shared" ca="1" si="221"/>
        <v>0</v>
      </c>
      <c r="G3018" s="138" t="e">
        <f>IF(A3018&lt;&gt;"",IF(AND(#REF!="Padrão",$H$4=#REF!),BDI!$B$17,IF(AND(#REF!="Padrão",$H$4=#REF!),BDI!#REF!,IF(AND(#REF!="Diferenciado",$H$4=#REF!),BDI!$E$17,IF(AND(#REF!="Diferenciado",$H$4=#REF!),BDI!#REF!,IF(#REF!="ZERO",0))))),"")</f>
        <v>#REF!</v>
      </c>
      <c r="H3018" s="139" t="e">
        <f t="shared" ca="1" si="222"/>
        <v>#REF!</v>
      </c>
      <c r="I3018" s="137" t="e">
        <f t="shared" ca="1" si="223"/>
        <v>#REF!</v>
      </c>
      <c r="J3018" s="117"/>
      <c r="K3018" s="116">
        <v>0</v>
      </c>
      <c r="M3018" s="136" t="e">
        <f ca="1">OFFSET(INDEX([1]Composições!I:R,MATCH([1]Orçamentária!I3018,[1]Composições!I:I,0),8),2,0)</f>
        <v>#REF!</v>
      </c>
      <c r="N3018" t="e">
        <v>#REF!</v>
      </c>
      <c r="Q3018" t="e">
        <v>#REF!</v>
      </c>
    </row>
    <row r="3019" spans="1:17" hidden="1" x14ac:dyDescent="0.25">
      <c r="A3019" s="114" t="s">
        <v>6320</v>
      </c>
      <c r="B3019" s="115" t="s">
        <v>7308</v>
      </c>
      <c r="C3019" s="116" t="s">
        <v>69</v>
      </c>
      <c r="D3019" s="116">
        <v>0</v>
      </c>
      <c r="E3019" s="136">
        <f ca="1">OFFSET(INDEX(Composições!A:J,MATCH(Orçamentária!A3019,Composições!A:A,0),8),2,0)</f>
        <v>43.272499999999994</v>
      </c>
      <c r="F3019" s="137">
        <f t="shared" ca="1" si="221"/>
        <v>0</v>
      </c>
      <c r="G3019" s="138" t="e">
        <f>IF(A3019&lt;&gt;"",IF(AND(#REF!="Padrão",$H$4=#REF!),BDI!$B$17,IF(AND(#REF!="Padrão",$H$4=#REF!),BDI!#REF!,IF(AND(#REF!="Diferenciado",$H$4=#REF!),BDI!$E$17,IF(AND(#REF!="Diferenciado",$H$4=#REF!),BDI!#REF!,IF(#REF!="ZERO",0))))),"")</f>
        <v>#REF!</v>
      </c>
      <c r="H3019" s="139" t="e">
        <f t="shared" ca="1" si="222"/>
        <v>#REF!</v>
      </c>
      <c r="I3019" s="137" t="e">
        <f t="shared" ca="1" si="223"/>
        <v>#REF!</v>
      </c>
      <c r="J3019" s="117"/>
      <c r="K3019" s="116">
        <v>0</v>
      </c>
      <c r="M3019" s="136" t="e">
        <f ca="1">OFFSET(INDEX([1]Composições!I:R,MATCH([1]Orçamentária!I3019,[1]Composições!I:I,0),8),2,0)</f>
        <v>#REF!</v>
      </c>
      <c r="N3019" t="e">
        <v>#REF!</v>
      </c>
      <c r="Q3019" t="e">
        <v>#REF!</v>
      </c>
    </row>
    <row r="3020" spans="1:17" hidden="1" x14ac:dyDescent="0.25">
      <c r="A3020" s="114" t="s">
        <v>6321</v>
      </c>
      <c r="B3020" s="115" t="s">
        <v>7307</v>
      </c>
      <c r="C3020" s="116" t="s">
        <v>16</v>
      </c>
      <c r="D3020" s="116">
        <v>0</v>
      </c>
      <c r="E3020" s="136">
        <f ca="1">OFFSET(INDEX(Composições!A:J,MATCH(Orçamentária!A3020,Composições!A:A,0),8),2,0)</f>
        <v>24.0825</v>
      </c>
      <c r="F3020" s="137">
        <f t="shared" ca="1" si="221"/>
        <v>0</v>
      </c>
      <c r="G3020" s="138" t="e">
        <f>IF(A3020&lt;&gt;"",IF(AND(#REF!="Padrão",$H$4=#REF!),BDI!$B$17,IF(AND(#REF!="Padrão",$H$4=#REF!),BDI!#REF!,IF(AND(#REF!="Diferenciado",$H$4=#REF!),BDI!$E$17,IF(AND(#REF!="Diferenciado",$H$4=#REF!),BDI!#REF!,IF(#REF!="ZERO",0))))),"")</f>
        <v>#REF!</v>
      </c>
      <c r="H3020" s="139" t="e">
        <f t="shared" ca="1" si="222"/>
        <v>#REF!</v>
      </c>
      <c r="I3020" s="137" t="e">
        <f t="shared" ca="1" si="223"/>
        <v>#REF!</v>
      </c>
      <c r="J3020" s="117"/>
      <c r="K3020" s="116">
        <v>0</v>
      </c>
      <c r="M3020" s="136" t="e">
        <f ca="1">OFFSET(INDEX([1]Composições!I:R,MATCH([1]Orçamentária!I3020,[1]Composições!I:I,0),8),2,0)</f>
        <v>#REF!</v>
      </c>
      <c r="N3020" t="e">
        <v>#REF!</v>
      </c>
      <c r="Q3020" t="e">
        <v>#REF!</v>
      </c>
    </row>
    <row r="3021" spans="1:17" hidden="1" x14ac:dyDescent="0.25">
      <c r="A3021" s="114" t="s">
        <v>6322</v>
      </c>
      <c r="B3021" s="115" t="s">
        <v>7306</v>
      </c>
      <c r="C3021" s="116" t="s">
        <v>16</v>
      </c>
      <c r="D3021" s="116">
        <v>0</v>
      </c>
      <c r="E3021" s="136" t="s">
        <v>416</v>
      </c>
      <c r="F3021" s="137" t="str">
        <f t="shared" si="221"/>
        <v/>
      </c>
      <c r="G3021" s="138" t="e">
        <f>IF(A3021&lt;&gt;"",IF(AND(#REF!="Padrão",$H$4=#REF!),BDI!$B$17,IF(AND(#REF!="Padrão",$H$4=#REF!),BDI!#REF!,IF(AND(#REF!="Diferenciado",$H$4=#REF!),BDI!$E$17,IF(AND(#REF!="Diferenciado",$H$4=#REF!),BDI!#REF!,IF(#REF!="ZERO",0))))),"")</f>
        <v>#REF!</v>
      </c>
      <c r="H3021" s="139" t="str">
        <f t="shared" si="222"/>
        <v/>
      </c>
      <c r="I3021" s="137" t="str">
        <f t="shared" si="223"/>
        <v/>
      </c>
      <c r="J3021" s="117"/>
      <c r="K3021" s="116">
        <v>0</v>
      </c>
      <c r="M3021" s="136" t="s">
        <v>416</v>
      </c>
      <c r="N3021" t="e">
        <v>#REF!</v>
      </c>
      <c r="Q3021" t="s">
        <v>416</v>
      </c>
    </row>
    <row r="3022" spans="1:17" hidden="1" x14ac:dyDescent="0.25">
      <c r="A3022" s="114" t="s">
        <v>6323</v>
      </c>
      <c r="B3022" s="115" t="s">
        <v>7305</v>
      </c>
      <c r="C3022" s="116" t="s">
        <v>16</v>
      </c>
      <c r="D3022" s="116">
        <v>0</v>
      </c>
      <c r="E3022" s="136">
        <f ca="1">OFFSET(INDEX(Composições!A:J,MATCH(Orçamentária!A3022,Composições!A:A,0),8),2,0)</f>
        <v>7.7424999999999997</v>
      </c>
      <c r="F3022" s="137">
        <f t="shared" ca="1" si="221"/>
        <v>0</v>
      </c>
      <c r="G3022" s="138" t="e">
        <f>IF(A3022&lt;&gt;"",IF(AND(#REF!="Padrão",$H$4=#REF!),BDI!$B$17,IF(AND(#REF!="Padrão",$H$4=#REF!),BDI!#REF!,IF(AND(#REF!="Diferenciado",$H$4=#REF!),BDI!$E$17,IF(AND(#REF!="Diferenciado",$H$4=#REF!),BDI!#REF!,IF(#REF!="ZERO",0))))),"")</f>
        <v>#REF!</v>
      </c>
      <c r="H3022" s="139" t="e">
        <f t="shared" ca="1" si="222"/>
        <v>#REF!</v>
      </c>
      <c r="I3022" s="137" t="e">
        <f t="shared" ca="1" si="223"/>
        <v>#REF!</v>
      </c>
      <c r="J3022" s="117"/>
      <c r="K3022" s="116">
        <v>0</v>
      </c>
      <c r="M3022" s="136" t="e">
        <f ca="1">OFFSET(INDEX([1]Composições!I:R,MATCH([1]Orçamentária!I3022,[1]Composições!I:I,0),8),2,0)</f>
        <v>#REF!</v>
      </c>
      <c r="N3022" t="e">
        <v>#REF!</v>
      </c>
      <c r="Q3022" t="e">
        <v>#REF!</v>
      </c>
    </row>
    <row r="3023" spans="1:17" hidden="1" x14ac:dyDescent="0.25">
      <c r="A3023" s="114" t="s">
        <v>6324</v>
      </c>
      <c r="B3023" s="115" t="s">
        <v>7304</v>
      </c>
      <c r="C3023" s="116" t="s">
        <v>16</v>
      </c>
      <c r="D3023" s="116">
        <v>0</v>
      </c>
      <c r="E3023" s="136" t="s">
        <v>416</v>
      </c>
      <c r="F3023" s="137" t="str">
        <f t="shared" si="221"/>
        <v/>
      </c>
      <c r="G3023" s="138" t="e">
        <f>IF(A3023&lt;&gt;"",IF(AND(#REF!="Padrão",$H$4=#REF!),BDI!$B$17,IF(AND(#REF!="Padrão",$H$4=#REF!),BDI!#REF!,IF(AND(#REF!="Diferenciado",$H$4=#REF!),BDI!$E$17,IF(AND(#REF!="Diferenciado",$H$4=#REF!),BDI!#REF!,IF(#REF!="ZERO",0))))),"")</f>
        <v>#REF!</v>
      </c>
      <c r="H3023" s="139" t="str">
        <f t="shared" si="222"/>
        <v/>
      </c>
      <c r="I3023" s="137" t="str">
        <f t="shared" si="223"/>
        <v/>
      </c>
      <c r="J3023" s="117"/>
      <c r="K3023" s="116">
        <v>0</v>
      </c>
      <c r="M3023" s="136" t="s">
        <v>416</v>
      </c>
      <c r="N3023" t="e">
        <v>#REF!</v>
      </c>
      <c r="Q3023" t="s">
        <v>416</v>
      </c>
    </row>
    <row r="3024" spans="1:17" hidden="1" x14ac:dyDescent="0.25">
      <c r="A3024" s="114" t="s">
        <v>6325</v>
      </c>
      <c r="B3024" s="115" t="s">
        <v>6326</v>
      </c>
      <c r="C3024" s="116" t="s">
        <v>16</v>
      </c>
      <c r="D3024" s="116">
        <v>0</v>
      </c>
      <c r="E3024" s="136">
        <f ca="1">OFFSET(INDEX(Composições!A:J,MATCH(Orçamentária!A3024,Composições!A:A,0),8),2,0)</f>
        <v>10.620999999999999</v>
      </c>
      <c r="F3024" s="137">
        <f t="shared" ca="1" si="221"/>
        <v>0</v>
      </c>
      <c r="G3024" s="138" t="e">
        <f>IF(A3024&lt;&gt;"",IF(AND(#REF!="Padrão",$H$4=#REF!),BDI!$B$17,IF(AND(#REF!="Padrão",$H$4=#REF!),BDI!#REF!,IF(AND(#REF!="Diferenciado",$H$4=#REF!),BDI!$E$17,IF(AND(#REF!="Diferenciado",$H$4=#REF!),BDI!#REF!,IF(#REF!="ZERO",0))))),"")</f>
        <v>#REF!</v>
      </c>
      <c r="H3024" s="139" t="e">
        <f t="shared" ca="1" si="222"/>
        <v>#REF!</v>
      </c>
      <c r="I3024" s="137" t="e">
        <f t="shared" ca="1" si="223"/>
        <v>#REF!</v>
      </c>
      <c r="J3024" s="117"/>
      <c r="K3024" s="116">
        <v>0</v>
      </c>
      <c r="M3024" s="136" t="e">
        <f ca="1">OFFSET(INDEX([1]Composições!I:R,MATCH([1]Orçamentária!I3024,[1]Composições!I:I,0),8),2,0)</f>
        <v>#REF!</v>
      </c>
      <c r="N3024" t="e">
        <v>#REF!</v>
      </c>
      <c r="Q3024" t="e">
        <v>#REF!</v>
      </c>
    </row>
    <row r="3025" spans="1:17" hidden="1" x14ac:dyDescent="0.25">
      <c r="A3025" s="114" t="s">
        <v>6327</v>
      </c>
      <c r="B3025" s="115" t="s">
        <v>6328</v>
      </c>
      <c r="C3025" s="116" t="s">
        <v>16</v>
      </c>
      <c r="D3025" s="116">
        <v>0</v>
      </c>
      <c r="E3025" s="136">
        <f ca="1">OFFSET(INDEX(Composições!A:J,MATCH(Orçamentária!A3025,Composições!A:A,0),8),2,0)</f>
        <v>7.2770000000000001</v>
      </c>
      <c r="F3025" s="137">
        <f t="shared" ca="1" si="221"/>
        <v>0</v>
      </c>
      <c r="G3025" s="138" t="e">
        <f>IF(A3025&lt;&gt;"",IF(AND(#REF!="Padrão",$H$4=#REF!),BDI!$B$17,IF(AND(#REF!="Padrão",$H$4=#REF!),BDI!#REF!,IF(AND(#REF!="Diferenciado",$H$4=#REF!),BDI!$E$17,IF(AND(#REF!="Diferenciado",$H$4=#REF!),BDI!#REF!,IF(#REF!="ZERO",0))))),"")</f>
        <v>#REF!</v>
      </c>
      <c r="H3025" s="139" t="e">
        <f t="shared" ca="1" si="222"/>
        <v>#REF!</v>
      </c>
      <c r="I3025" s="137" t="e">
        <f t="shared" ca="1" si="223"/>
        <v>#REF!</v>
      </c>
      <c r="J3025" s="117"/>
      <c r="K3025" s="116">
        <v>0</v>
      </c>
      <c r="M3025" s="136" t="e">
        <f ca="1">OFFSET(INDEX([1]Composições!I:R,MATCH([1]Orçamentária!I3025,[1]Composições!I:I,0),8),2,0)</f>
        <v>#REF!</v>
      </c>
      <c r="N3025" t="e">
        <v>#REF!</v>
      </c>
      <c r="Q3025" t="e">
        <v>#REF!</v>
      </c>
    </row>
    <row r="3026" spans="1:17" hidden="1" x14ac:dyDescent="0.25">
      <c r="A3026" s="114" t="s">
        <v>6329</v>
      </c>
      <c r="B3026" s="115" t="s">
        <v>6330</v>
      </c>
      <c r="C3026" s="116" t="s">
        <v>16</v>
      </c>
      <c r="D3026" s="116">
        <v>0</v>
      </c>
      <c r="E3026" s="136">
        <f ca="1">OFFSET(INDEX(Composições!A:J,MATCH(Orçamentária!A3026,Composições!A:A,0),8),2,0)</f>
        <v>16.1785</v>
      </c>
      <c r="F3026" s="137">
        <f t="shared" ca="1" si="221"/>
        <v>0</v>
      </c>
      <c r="G3026" s="138" t="e">
        <f>IF(A3026&lt;&gt;"",IF(AND(#REF!="Padrão",$H$4=#REF!),BDI!$B$17,IF(AND(#REF!="Padrão",$H$4=#REF!),BDI!#REF!,IF(AND(#REF!="Diferenciado",$H$4=#REF!),BDI!$E$17,IF(AND(#REF!="Diferenciado",$H$4=#REF!),BDI!#REF!,IF(#REF!="ZERO",0))))),"")</f>
        <v>#REF!</v>
      </c>
      <c r="H3026" s="139" t="e">
        <f t="shared" ca="1" si="222"/>
        <v>#REF!</v>
      </c>
      <c r="I3026" s="137" t="e">
        <f t="shared" ca="1" si="223"/>
        <v>#REF!</v>
      </c>
      <c r="J3026" s="117"/>
      <c r="K3026" s="116">
        <v>0</v>
      </c>
      <c r="M3026" s="136" t="e">
        <f ca="1">OFFSET(INDEX([1]Composições!I:R,MATCH([1]Orçamentária!I3026,[1]Composições!I:I,0),8),2,0)</f>
        <v>#REF!</v>
      </c>
      <c r="N3026" t="e">
        <v>#REF!</v>
      </c>
      <c r="Q3026" t="e">
        <v>#REF!</v>
      </c>
    </row>
    <row r="3027" spans="1:17" hidden="1" x14ac:dyDescent="0.25">
      <c r="A3027" s="114" t="s">
        <v>6331</v>
      </c>
      <c r="B3027" s="115" t="s">
        <v>6332</v>
      </c>
      <c r="C3027" s="116" t="s">
        <v>16</v>
      </c>
      <c r="D3027" s="116">
        <v>0</v>
      </c>
      <c r="E3027" s="136">
        <f ca="1">OFFSET(INDEX(Composições!A:J,MATCH(Orçamentária!A3027,Composições!A:A,0),8),2,0)</f>
        <v>257.04149999999998</v>
      </c>
      <c r="F3027" s="137">
        <f t="shared" ca="1" si="221"/>
        <v>0</v>
      </c>
      <c r="G3027" s="138" t="e">
        <f>IF(A3027&lt;&gt;"",IF(AND(#REF!="Padrão",$H$4=#REF!),BDI!$B$17,IF(AND(#REF!="Padrão",$H$4=#REF!),BDI!#REF!,IF(AND(#REF!="Diferenciado",$H$4=#REF!),BDI!$E$17,IF(AND(#REF!="Diferenciado",$H$4=#REF!),BDI!#REF!,IF(#REF!="ZERO",0))))),"")</f>
        <v>#REF!</v>
      </c>
      <c r="H3027" s="139" t="e">
        <f t="shared" ca="1" si="222"/>
        <v>#REF!</v>
      </c>
      <c r="I3027" s="137" t="e">
        <f t="shared" ca="1" si="223"/>
        <v>#REF!</v>
      </c>
      <c r="J3027" s="117"/>
      <c r="K3027" s="116">
        <v>0</v>
      </c>
      <c r="M3027" s="136" t="e">
        <f ca="1">OFFSET(INDEX([1]Composições!I:R,MATCH([1]Orçamentária!I3027,[1]Composições!I:I,0),8),2,0)</f>
        <v>#REF!</v>
      </c>
      <c r="N3027" t="e">
        <v>#REF!</v>
      </c>
      <c r="Q3027" t="e">
        <v>#REF!</v>
      </c>
    </row>
    <row r="3028" spans="1:17" hidden="1" x14ac:dyDescent="0.25">
      <c r="A3028" s="114" t="s">
        <v>6333</v>
      </c>
      <c r="B3028" s="115" t="s">
        <v>6334</v>
      </c>
      <c r="C3028" s="116" t="s">
        <v>16</v>
      </c>
      <c r="D3028" s="116">
        <v>0</v>
      </c>
      <c r="E3028" s="136">
        <f ca="1">OFFSET(INDEX(Composições!A:J,MATCH(Orçamentária!A3028,Composições!A:A,0),8),2,0)</f>
        <v>137.96849999999998</v>
      </c>
      <c r="F3028" s="137">
        <f t="shared" ca="1" si="221"/>
        <v>0</v>
      </c>
      <c r="G3028" s="138" t="e">
        <f>IF(A3028&lt;&gt;"",IF(AND(#REF!="Padrão",$H$4=#REF!),BDI!$B$17,IF(AND(#REF!="Padrão",$H$4=#REF!),BDI!#REF!,IF(AND(#REF!="Diferenciado",$H$4=#REF!),BDI!$E$17,IF(AND(#REF!="Diferenciado",$H$4=#REF!),BDI!#REF!,IF(#REF!="ZERO",0))))),"")</f>
        <v>#REF!</v>
      </c>
      <c r="H3028" s="139" t="e">
        <f t="shared" ca="1" si="222"/>
        <v>#REF!</v>
      </c>
      <c r="I3028" s="137" t="e">
        <f t="shared" ca="1" si="223"/>
        <v>#REF!</v>
      </c>
      <c r="J3028" s="117"/>
      <c r="K3028" s="116">
        <v>0</v>
      </c>
      <c r="M3028" s="136" t="e">
        <f ca="1">OFFSET(INDEX([1]Composições!I:R,MATCH([1]Orçamentária!I3028,[1]Composições!I:I,0),8),2,0)</f>
        <v>#REF!</v>
      </c>
      <c r="N3028" t="e">
        <v>#REF!</v>
      </c>
      <c r="Q3028" t="e">
        <v>#REF!</v>
      </c>
    </row>
    <row r="3029" spans="1:17" hidden="1" x14ac:dyDescent="0.25">
      <c r="A3029" s="114" t="s">
        <v>6335</v>
      </c>
      <c r="B3029" s="115" t="s">
        <v>6336</v>
      </c>
      <c r="C3029" s="116" t="s">
        <v>16</v>
      </c>
      <c r="D3029" s="116">
        <v>0</v>
      </c>
      <c r="E3029" s="136">
        <f ca="1">OFFSET(INDEX(Composições!A:J,MATCH(Orçamentária!A3029,Composições!A:A,0),8),2,0)</f>
        <v>406.30549999999999</v>
      </c>
      <c r="F3029" s="137">
        <f t="shared" ca="1" si="221"/>
        <v>0</v>
      </c>
      <c r="G3029" s="138" t="e">
        <f>IF(A3029&lt;&gt;"",IF(AND(#REF!="Padrão",$H$4=#REF!),BDI!$B$17,IF(AND(#REF!="Padrão",$H$4=#REF!),BDI!#REF!,IF(AND(#REF!="Diferenciado",$H$4=#REF!),BDI!$E$17,IF(AND(#REF!="Diferenciado",$H$4=#REF!),BDI!#REF!,IF(#REF!="ZERO",0))))),"")</f>
        <v>#REF!</v>
      </c>
      <c r="H3029" s="139" t="e">
        <f t="shared" ca="1" si="222"/>
        <v>#REF!</v>
      </c>
      <c r="I3029" s="137" t="e">
        <f t="shared" ca="1" si="223"/>
        <v>#REF!</v>
      </c>
      <c r="J3029" s="117"/>
      <c r="K3029" s="116">
        <v>0</v>
      </c>
      <c r="M3029" s="136" t="e">
        <f ca="1">OFFSET(INDEX([1]Composições!I:R,MATCH([1]Orçamentária!I3029,[1]Composições!I:I,0),8),2,0)</f>
        <v>#REF!</v>
      </c>
      <c r="N3029" t="e">
        <v>#REF!</v>
      </c>
      <c r="Q3029" t="e">
        <v>#REF!</v>
      </c>
    </row>
    <row r="3030" spans="1:17" hidden="1" x14ac:dyDescent="0.25">
      <c r="A3030" s="114" t="s">
        <v>6337</v>
      </c>
      <c r="B3030" s="115" t="s">
        <v>7303</v>
      </c>
      <c r="C3030" s="116" t="s">
        <v>16</v>
      </c>
      <c r="D3030" s="116">
        <v>0</v>
      </c>
      <c r="E3030" s="136">
        <f ca="1">OFFSET(INDEX(Composições!A:J,MATCH(Orçamentária!A3030,Composições!A:A,0),8),2,0)</f>
        <v>36.308999999999997</v>
      </c>
      <c r="F3030" s="137">
        <f t="shared" ca="1" si="221"/>
        <v>0</v>
      </c>
      <c r="G3030" s="138" t="e">
        <f>IF(A3030&lt;&gt;"",IF(AND(#REF!="Padrão",$H$4=#REF!),BDI!$B$17,IF(AND(#REF!="Padrão",$H$4=#REF!),BDI!#REF!,IF(AND(#REF!="Diferenciado",$H$4=#REF!),BDI!$E$17,IF(AND(#REF!="Diferenciado",$H$4=#REF!),BDI!#REF!,IF(#REF!="ZERO",0))))),"")</f>
        <v>#REF!</v>
      </c>
      <c r="H3030" s="139" t="e">
        <f t="shared" ca="1" si="222"/>
        <v>#REF!</v>
      </c>
      <c r="I3030" s="137" t="e">
        <f t="shared" ca="1" si="223"/>
        <v>#REF!</v>
      </c>
      <c r="J3030" s="117"/>
      <c r="K3030" s="116">
        <v>0</v>
      </c>
      <c r="M3030" s="136" t="e">
        <f ca="1">OFFSET(INDEX([1]Composições!I:R,MATCH([1]Orçamentária!I3030,[1]Composições!I:I,0),8),2,0)</f>
        <v>#REF!</v>
      </c>
      <c r="N3030" t="e">
        <v>#REF!</v>
      </c>
      <c r="Q3030" t="e">
        <v>#REF!</v>
      </c>
    </row>
    <row r="3031" spans="1:17" hidden="1" x14ac:dyDescent="0.25">
      <c r="A3031" s="114" t="s">
        <v>6338</v>
      </c>
      <c r="B3031" s="115" t="s">
        <v>7302</v>
      </c>
      <c r="C3031" s="116" t="s">
        <v>16</v>
      </c>
      <c r="D3031" s="116">
        <v>0</v>
      </c>
      <c r="E3031" s="136">
        <f ca="1">OFFSET(INDEX(Composições!A:J,MATCH(Orçamentária!A3031,Composições!A:A,0),8),2,0)</f>
        <v>11.266999999999999</v>
      </c>
      <c r="F3031" s="137">
        <f t="shared" ref="F3031:F3094" ca="1" si="224">IF(ISNUMBER(E3031),D3031*E3031,"")</f>
        <v>0</v>
      </c>
      <c r="G3031" s="138" t="e">
        <f>IF(A3031&lt;&gt;"",IF(AND(#REF!="Padrão",$H$4=#REF!),BDI!$B$17,IF(AND(#REF!="Padrão",$H$4=#REF!),BDI!#REF!,IF(AND(#REF!="Diferenciado",$H$4=#REF!),BDI!$E$17,IF(AND(#REF!="Diferenciado",$H$4=#REF!),BDI!#REF!,IF(#REF!="ZERO",0))))),"")</f>
        <v>#REF!</v>
      </c>
      <c r="H3031" s="139" t="e">
        <f t="shared" ref="H3031:H3094" ca="1" si="225">IF(ISNUMBER(E3031),ROUND(E3031*(1+G3031),2),"")</f>
        <v>#REF!</v>
      </c>
      <c r="I3031" s="137" t="e">
        <f t="shared" ref="I3031:I3094" ca="1" si="226">IF(ISNUMBER(E3031),ROUND(H3031*D3031,2),"")</f>
        <v>#REF!</v>
      </c>
      <c r="J3031" s="117"/>
      <c r="K3031" s="116">
        <v>0</v>
      </c>
      <c r="M3031" s="136" t="e">
        <f ca="1">OFFSET(INDEX([1]Composições!I:R,MATCH([1]Orçamentária!I3031,[1]Composições!I:I,0),8),2,0)</f>
        <v>#REF!</v>
      </c>
      <c r="N3031" t="e">
        <v>#REF!</v>
      </c>
      <c r="Q3031" t="e">
        <v>#REF!</v>
      </c>
    </row>
    <row r="3032" spans="1:17" hidden="1" x14ac:dyDescent="0.25">
      <c r="A3032" s="114" t="s">
        <v>6339</v>
      </c>
      <c r="B3032" s="115" t="s">
        <v>7301</v>
      </c>
      <c r="C3032" s="116" t="s">
        <v>16</v>
      </c>
      <c r="D3032" s="116">
        <v>0</v>
      </c>
      <c r="E3032" s="136">
        <f ca="1">OFFSET(INDEX(Composições!A:J,MATCH(Orçamentária!A3032,Composições!A:A,0),8),2,0)</f>
        <v>15.000499999999999</v>
      </c>
      <c r="F3032" s="137">
        <f t="shared" ca="1" si="224"/>
        <v>0</v>
      </c>
      <c r="G3032" s="138" t="e">
        <f>IF(A3032&lt;&gt;"",IF(AND(#REF!="Padrão",$H$4=#REF!),BDI!$B$17,IF(AND(#REF!="Padrão",$H$4=#REF!),BDI!#REF!,IF(AND(#REF!="Diferenciado",$H$4=#REF!),BDI!$E$17,IF(AND(#REF!="Diferenciado",$H$4=#REF!),BDI!#REF!,IF(#REF!="ZERO",0))))),"")</f>
        <v>#REF!</v>
      </c>
      <c r="H3032" s="139" t="e">
        <f t="shared" ca="1" si="225"/>
        <v>#REF!</v>
      </c>
      <c r="I3032" s="137" t="e">
        <f t="shared" ca="1" si="226"/>
        <v>#REF!</v>
      </c>
      <c r="J3032" s="117"/>
      <c r="K3032" s="116">
        <v>0</v>
      </c>
      <c r="M3032" s="136" t="e">
        <f ca="1">OFFSET(INDEX([1]Composições!I:R,MATCH([1]Orçamentária!I3032,[1]Composições!I:I,0),8),2,0)</f>
        <v>#REF!</v>
      </c>
      <c r="N3032" t="e">
        <v>#REF!</v>
      </c>
      <c r="Q3032" t="e">
        <v>#REF!</v>
      </c>
    </row>
    <row r="3033" spans="1:17" ht="25.5" hidden="1" x14ac:dyDescent="0.25">
      <c r="A3033" s="114" t="s">
        <v>6340</v>
      </c>
      <c r="B3033" s="115" t="s">
        <v>6341</v>
      </c>
      <c r="C3033" s="116" t="s">
        <v>16</v>
      </c>
      <c r="D3033" s="116">
        <v>0</v>
      </c>
      <c r="E3033" s="136">
        <f ca="1">OFFSET(INDEX(Composições!A:J,MATCH(Orçamentária!A3033,Composições!A:A,0),8),2,0)</f>
        <v>68.989000000000004</v>
      </c>
      <c r="F3033" s="137">
        <f t="shared" ca="1" si="224"/>
        <v>0</v>
      </c>
      <c r="G3033" s="138" t="e">
        <f>IF(A3033&lt;&gt;"",IF(AND(#REF!="Padrão",$H$4=#REF!),BDI!$B$17,IF(AND(#REF!="Padrão",$H$4=#REF!),BDI!#REF!,IF(AND(#REF!="Diferenciado",$H$4=#REF!),BDI!$E$17,IF(AND(#REF!="Diferenciado",$H$4=#REF!),BDI!#REF!,IF(#REF!="ZERO",0))))),"")</f>
        <v>#REF!</v>
      </c>
      <c r="H3033" s="139" t="e">
        <f t="shared" ca="1" si="225"/>
        <v>#REF!</v>
      </c>
      <c r="I3033" s="137" t="e">
        <f t="shared" ca="1" si="226"/>
        <v>#REF!</v>
      </c>
      <c r="J3033" s="117"/>
      <c r="K3033" s="116">
        <v>0</v>
      </c>
      <c r="M3033" s="136" t="e">
        <f ca="1">OFFSET(INDEX([1]Composições!I:R,MATCH([1]Orçamentária!I3033,[1]Composições!I:I,0),8),2,0)</f>
        <v>#REF!</v>
      </c>
      <c r="N3033" t="e">
        <v>#REF!</v>
      </c>
      <c r="Q3033" t="e">
        <v>#REF!</v>
      </c>
    </row>
    <row r="3034" spans="1:17" ht="25.5" hidden="1" x14ac:dyDescent="0.25">
      <c r="A3034" s="114" t="s">
        <v>6342</v>
      </c>
      <c r="B3034" s="115" t="s">
        <v>6343</v>
      </c>
      <c r="C3034" s="116" t="s">
        <v>16</v>
      </c>
      <c r="D3034" s="116">
        <v>0</v>
      </c>
      <c r="E3034" s="136">
        <f ca="1">OFFSET(INDEX(Composições!A:J,MATCH(Orçamentária!A3034,Composições!A:A,0),8),2,0)</f>
        <v>92.482499999999987</v>
      </c>
      <c r="F3034" s="137">
        <f t="shared" ca="1" si="224"/>
        <v>0</v>
      </c>
      <c r="G3034" s="138" t="e">
        <f>IF(A3034&lt;&gt;"",IF(AND(#REF!="Padrão",$H$4=#REF!),BDI!$B$17,IF(AND(#REF!="Padrão",$H$4=#REF!),BDI!#REF!,IF(AND(#REF!="Diferenciado",$H$4=#REF!),BDI!$E$17,IF(AND(#REF!="Diferenciado",$H$4=#REF!),BDI!#REF!,IF(#REF!="ZERO",0))))),"")</f>
        <v>#REF!</v>
      </c>
      <c r="H3034" s="139" t="e">
        <f t="shared" ca="1" si="225"/>
        <v>#REF!</v>
      </c>
      <c r="I3034" s="137" t="e">
        <f t="shared" ca="1" si="226"/>
        <v>#REF!</v>
      </c>
      <c r="J3034" s="117"/>
      <c r="K3034" s="116">
        <v>0</v>
      </c>
      <c r="M3034" s="136" t="e">
        <f ca="1">OFFSET(INDEX([1]Composições!I:R,MATCH([1]Orçamentária!I3034,[1]Composições!I:I,0),8),2,0)</f>
        <v>#REF!</v>
      </c>
      <c r="N3034" t="e">
        <v>#REF!</v>
      </c>
      <c r="Q3034" t="e">
        <v>#REF!</v>
      </c>
    </row>
    <row r="3035" spans="1:17" hidden="1" x14ac:dyDescent="0.25">
      <c r="A3035" s="114" t="s">
        <v>6344</v>
      </c>
      <c r="B3035" s="115" t="s">
        <v>6345</v>
      </c>
      <c r="C3035" s="116" t="s">
        <v>16</v>
      </c>
      <c r="D3035" s="116">
        <v>0</v>
      </c>
      <c r="E3035" s="136">
        <f ca="1">OFFSET(INDEX(Composições!A:J,MATCH(Orçamentária!A3035,Composições!A:A,0),8),2,0)</f>
        <v>101.441</v>
      </c>
      <c r="F3035" s="137">
        <f t="shared" ca="1" si="224"/>
        <v>0</v>
      </c>
      <c r="G3035" s="138" t="e">
        <f>IF(A3035&lt;&gt;"",IF(AND(#REF!="Padrão",$H$4=#REF!),BDI!$B$17,IF(AND(#REF!="Padrão",$H$4=#REF!),BDI!#REF!,IF(AND(#REF!="Diferenciado",$H$4=#REF!),BDI!$E$17,IF(AND(#REF!="Diferenciado",$H$4=#REF!),BDI!#REF!,IF(#REF!="ZERO",0))))),"")</f>
        <v>#REF!</v>
      </c>
      <c r="H3035" s="139" t="e">
        <f t="shared" ca="1" si="225"/>
        <v>#REF!</v>
      </c>
      <c r="I3035" s="137" t="e">
        <f t="shared" ca="1" si="226"/>
        <v>#REF!</v>
      </c>
      <c r="J3035" s="117"/>
      <c r="K3035" s="116">
        <v>0</v>
      </c>
      <c r="M3035" s="136" t="e">
        <f ca="1">OFFSET(INDEX([1]Composições!I:R,MATCH([1]Orçamentária!I3035,[1]Composições!I:I,0),8),2,0)</f>
        <v>#REF!</v>
      </c>
      <c r="N3035" t="e">
        <v>#REF!</v>
      </c>
      <c r="Q3035" t="e">
        <v>#REF!</v>
      </c>
    </row>
    <row r="3036" spans="1:17" hidden="1" x14ac:dyDescent="0.25">
      <c r="A3036" s="114" t="s">
        <v>6346</v>
      </c>
      <c r="B3036" s="115" t="s">
        <v>6347</v>
      </c>
      <c r="C3036" s="116" t="s">
        <v>16</v>
      </c>
      <c r="D3036" s="116">
        <v>0</v>
      </c>
      <c r="E3036" s="136">
        <f ca="1">OFFSET(INDEX(Composições!A:J,MATCH(Orçamentária!A3036,Composições!A:A,0),8),2,0)</f>
        <v>260.01499999999999</v>
      </c>
      <c r="F3036" s="137">
        <f t="shared" ca="1" si="224"/>
        <v>0</v>
      </c>
      <c r="G3036" s="138" t="e">
        <f>IF(A3036&lt;&gt;"",IF(AND(#REF!="Padrão",$H$4=#REF!),BDI!$B$17,IF(AND(#REF!="Padrão",$H$4=#REF!),BDI!#REF!,IF(AND(#REF!="Diferenciado",$H$4=#REF!),BDI!$E$17,IF(AND(#REF!="Diferenciado",$H$4=#REF!),BDI!#REF!,IF(#REF!="ZERO",0))))),"")</f>
        <v>#REF!</v>
      </c>
      <c r="H3036" s="139" t="e">
        <f t="shared" ca="1" si="225"/>
        <v>#REF!</v>
      </c>
      <c r="I3036" s="137" t="e">
        <f t="shared" ca="1" si="226"/>
        <v>#REF!</v>
      </c>
      <c r="J3036" s="117"/>
      <c r="K3036" s="116">
        <v>0</v>
      </c>
      <c r="M3036" s="136" t="e">
        <f ca="1">OFFSET(INDEX([1]Composições!I:R,MATCH([1]Orçamentária!I3036,[1]Composições!I:I,0),8),2,0)</f>
        <v>#REF!</v>
      </c>
      <c r="N3036" t="e">
        <v>#REF!</v>
      </c>
      <c r="Q3036" t="e">
        <v>#REF!</v>
      </c>
    </row>
    <row r="3037" spans="1:17" hidden="1" x14ac:dyDescent="0.25">
      <c r="A3037" s="114" t="s">
        <v>6348</v>
      </c>
      <c r="B3037" s="115" t="s">
        <v>6349</v>
      </c>
      <c r="C3037" s="116" t="s">
        <v>16</v>
      </c>
      <c r="D3037" s="116">
        <v>0</v>
      </c>
      <c r="E3037" s="136">
        <f ca="1">OFFSET(INDEX(Composições!A:J,MATCH(Orçamentária!A3037,Composições!A:A,0),8),2,0)</f>
        <v>365.01850000000002</v>
      </c>
      <c r="F3037" s="137">
        <f t="shared" ca="1" si="224"/>
        <v>0</v>
      </c>
      <c r="G3037" s="138" t="e">
        <f>IF(A3037&lt;&gt;"",IF(AND(#REF!="Padrão",$H$4=#REF!),BDI!$B$17,IF(AND(#REF!="Padrão",$H$4=#REF!),BDI!#REF!,IF(AND(#REF!="Diferenciado",$H$4=#REF!),BDI!$E$17,IF(AND(#REF!="Diferenciado",$H$4=#REF!),BDI!#REF!,IF(#REF!="ZERO",0))))),"")</f>
        <v>#REF!</v>
      </c>
      <c r="H3037" s="139" t="e">
        <f t="shared" ca="1" si="225"/>
        <v>#REF!</v>
      </c>
      <c r="I3037" s="137" t="e">
        <f t="shared" ca="1" si="226"/>
        <v>#REF!</v>
      </c>
      <c r="J3037" s="117"/>
      <c r="K3037" s="116">
        <v>0</v>
      </c>
      <c r="M3037" s="136" t="e">
        <f ca="1">OFFSET(INDEX([1]Composições!I:R,MATCH([1]Orçamentária!I3037,[1]Composições!I:I,0),8),2,0)</f>
        <v>#REF!</v>
      </c>
      <c r="N3037" t="e">
        <v>#REF!</v>
      </c>
      <c r="Q3037" t="e">
        <v>#REF!</v>
      </c>
    </row>
    <row r="3038" spans="1:17" hidden="1" x14ac:dyDescent="0.25">
      <c r="A3038" s="114" t="s">
        <v>6350</v>
      </c>
      <c r="B3038" s="115" t="s">
        <v>6351</v>
      </c>
      <c r="C3038" s="116" t="s">
        <v>16</v>
      </c>
      <c r="D3038" s="116">
        <v>0</v>
      </c>
      <c r="E3038" s="136">
        <f ca="1">OFFSET(INDEX(Composições!A:J,MATCH(Orçamentária!A3038,Composições!A:A,0),8),2,0)</f>
        <v>33.126499999999993</v>
      </c>
      <c r="F3038" s="137">
        <f t="shared" ca="1" si="224"/>
        <v>0</v>
      </c>
      <c r="G3038" s="138" t="e">
        <f>IF(A3038&lt;&gt;"",IF(AND(#REF!="Padrão",$H$4=#REF!),BDI!$B$17,IF(AND(#REF!="Padrão",$H$4=#REF!),BDI!#REF!,IF(AND(#REF!="Diferenciado",$H$4=#REF!),BDI!$E$17,IF(AND(#REF!="Diferenciado",$H$4=#REF!),BDI!#REF!,IF(#REF!="ZERO",0))))),"")</f>
        <v>#REF!</v>
      </c>
      <c r="H3038" s="139" t="e">
        <f t="shared" ca="1" si="225"/>
        <v>#REF!</v>
      </c>
      <c r="I3038" s="137" t="e">
        <f t="shared" ca="1" si="226"/>
        <v>#REF!</v>
      </c>
      <c r="J3038" s="117"/>
      <c r="K3038" s="116">
        <v>0</v>
      </c>
      <c r="M3038" s="136" t="e">
        <f ca="1">OFFSET(INDEX([1]Composições!I:R,MATCH([1]Orçamentária!I3038,[1]Composições!I:I,0),8),2,0)</f>
        <v>#REF!</v>
      </c>
      <c r="N3038" t="e">
        <v>#REF!</v>
      </c>
      <c r="Q3038" t="e">
        <v>#REF!</v>
      </c>
    </row>
    <row r="3039" spans="1:17" ht="25.5" hidden="1" x14ac:dyDescent="0.25">
      <c r="A3039" s="114" t="s">
        <v>6352</v>
      </c>
      <c r="B3039" s="115" t="s">
        <v>6353</v>
      </c>
      <c r="C3039" s="116" t="s">
        <v>16</v>
      </c>
      <c r="D3039" s="116">
        <v>0</v>
      </c>
      <c r="E3039" s="136">
        <f ca="1">OFFSET(INDEX(Composições!A:J,MATCH(Orçamentária!A3039,Composições!A:A,0),8),2,0)</f>
        <v>167.83649999999997</v>
      </c>
      <c r="F3039" s="137">
        <f t="shared" ca="1" si="224"/>
        <v>0</v>
      </c>
      <c r="G3039" s="138" t="e">
        <f>IF(A3039&lt;&gt;"",IF(AND(#REF!="Padrão",$H$4=#REF!),BDI!$B$17,IF(AND(#REF!="Padrão",$H$4=#REF!),BDI!#REF!,IF(AND(#REF!="Diferenciado",$H$4=#REF!),BDI!$E$17,IF(AND(#REF!="Diferenciado",$H$4=#REF!),BDI!#REF!,IF(#REF!="ZERO",0))))),"")</f>
        <v>#REF!</v>
      </c>
      <c r="H3039" s="139" t="e">
        <f t="shared" ca="1" si="225"/>
        <v>#REF!</v>
      </c>
      <c r="I3039" s="137" t="e">
        <f t="shared" ca="1" si="226"/>
        <v>#REF!</v>
      </c>
      <c r="J3039" s="117"/>
      <c r="K3039" s="116">
        <v>0</v>
      </c>
      <c r="M3039" s="136" t="e">
        <f ca="1">OFFSET(INDEX([1]Composições!I:R,MATCH([1]Orçamentária!I3039,[1]Composições!I:I,0),8),2,0)</f>
        <v>#REF!</v>
      </c>
      <c r="N3039" t="e">
        <v>#REF!</v>
      </c>
      <c r="Q3039" t="e">
        <v>#REF!</v>
      </c>
    </row>
    <row r="3040" spans="1:17" hidden="1" x14ac:dyDescent="0.25">
      <c r="A3040" s="114" t="s">
        <v>6354</v>
      </c>
      <c r="B3040" s="115" t="s">
        <v>6355</v>
      </c>
      <c r="C3040" s="116" t="s">
        <v>16</v>
      </c>
      <c r="D3040" s="116">
        <v>0</v>
      </c>
      <c r="E3040" s="136">
        <f ca="1">OFFSET(INDEX(Composições!A:J,MATCH(Orçamentária!A3040,Composições!A:A,0),8),2,0)</f>
        <v>41.714499999999994</v>
      </c>
      <c r="F3040" s="137">
        <f t="shared" ca="1" si="224"/>
        <v>0</v>
      </c>
      <c r="G3040" s="138" t="e">
        <f>IF(A3040&lt;&gt;"",IF(AND(#REF!="Padrão",$H$4=#REF!),BDI!$B$17,IF(AND(#REF!="Padrão",$H$4=#REF!),BDI!#REF!,IF(AND(#REF!="Diferenciado",$H$4=#REF!),BDI!$E$17,IF(AND(#REF!="Diferenciado",$H$4=#REF!),BDI!#REF!,IF(#REF!="ZERO",0))))),"")</f>
        <v>#REF!</v>
      </c>
      <c r="H3040" s="139" t="e">
        <f t="shared" ca="1" si="225"/>
        <v>#REF!</v>
      </c>
      <c r="I3040" s="137" t="e">
        <f t="shared" ca="1" si="226"/>
        <v>#REF!</v>
      </c>
      <c r="J3040" s="117"/>
      <c r="K3040" s="116">
        <v>0</v>
      </c>
      <c r="M3040" s="136" t="e">
        <f ca="1">OFFSET(INDEX([1]Composições!I:R,MATCH([1]Orçamentária!I3040,[1]Composições!I:I,0),8),2,0)</f>
        <v>#REF!</v>
      </c>
      <c r="N3040" t="e">
        <v>#REF!</v>
      </c>
      <c r="Q3040" t="e">
        <v>#REF!</v>
      </c>
    </row>
    <row r="3041" spans="1:17" hidden="1" x14ac:dyDescent="0.25">
      <c r="A3041" s="114" t="s">
        <v>6356</v>
      </c>
      <c r="B3041" s="115" t="s">
        <v>6357</v>
      </c>
      <c r="C3041" s="116" t="s">
        <v>16</v>
      </c>
      <c r="D3041" s="116">
        <v>0</v>
      </c>
      <c r="E3041" s="136">
        <f ca="1">OFFSET(INDEX(Composições!A:J,MATCH(Orçamentária!A3041,Composições!A:A,0),8),2,0)</f>
        <v>9.386000000000001</v>
      </c>
      <c r="F3041" s="137">
        <f t="shared" ca="1" si="224"/>
        <v>0</v>
      </c>
      <c r="G3041" s="138" t="e">
        <f>IF(A3041&lt;&gt;"",IF(AND(#REF!="Padrão",$H$4=#REF!),BDI!$B$17,IF(AND(#REF!="Padrão",$H$4=#REF!),BDI!#REF!,IF(AND(#REF!="Diferenciado",$H$4=#REF!),BDI!$E$17,IF(AND(#REF!="Diferenciado",$H$4=#REF!),BDI!#REF!,IF(#REF!="ZERO",0))))),"")</f>
        <v>#REF!</v>
      </c>
      <c r="H3041" s="139" t="e">
        <f t="shared" ca="1" si="225"/>
        <v>#REF!</v>
      </c>
      <c r="I3041" s="137" t="e">
        <f t="shared" ca="1" si="226"/>
        <v>#REF!</v>
      </c>
      <c r="J3041" s="117"/>
      <c r="K3041" s="116">
        <v>0</v>
      </c>
      <c r="M3041" s="136" t="e">
        <f ca="1">OFFSET(INDEX([1]Composições!I:R,MATCH([1]Orçamentária!I3041,[1]Composições!I:I,0),8),2,0)</f>
        <v>#REF!</v>
      </c>
      <c r="N3041" t="e">
        <v>#REF!</v>
      </c>
      <c r="Q3041" t="e">
        <v>#REF!</v>
      </c>
    </row>
    <row r="3042" spans="1:17" hidden="1" x14ac:dyDescent="0.25">
      <c r="A3042" s="114" t="s">
        <v>6358</v>
      </c>
      <c r="B3042" s="115" t="s">
        <v>6359</v>
      </c>
      <c r="C3042" s="116" t="s">
        <v>16</v>
      </c>
      <c r="D3042" s="116">
        <v>0</v>
      </c>
      <c r="E3042" s="136">
        <f ca="1">OFFSET(INDEX(Composições!A:J,MATCH(Orçamentária!A3042,Composições!A:A,0),8),2,0)</f>
        <v>125.45699999999999</v>
      </c>
      <c r="F3042" s="137">
        <f t="shared" ca="1" si="224"/>
        <v>0</v>
      </c>
      <c r="G3042" s="138" t="e">
        <f>IF(A3042&lt;&gt;"",IF(AND(#REF!="Padrão",$H$4=#REF!),BDI!$B$17,IF(AND(#REF!="Padrão",$H$4=#REF!),BDI!#REF!,IF(AND(#REF!="Diferenciado",$H$4=#REF!),BDI!$E$17,IF(AND(#REF!="Diferenciado",$H$4=#REF!),BDI!#REF!,IF(#REF!="ZERO",0))))),"")</f>
        <v>#REF!</v>
      </c>
      <c r="H3042" s="139" t="e">
        <f t="shared" ca="1" si="225"/>
        <v>#REF!</v>
      </c>
      <c r="I3042" s="137" t="e">
        <f t="shared" ca="1" si="226"/>
        <v>#REF!</v>
      </c>
      <c r="J3042" s="117"/>
      <c r="K3042" s="116">
        <v>0</v>
      </c>
      <c r="M3042" s="136" t="e">
        <f ca="1">OFFSET(INDEX([1]Composições!I:R,MATCH([1]Orçamentária!I3042,[1]Composições!I:I,0),8),2,0)</f>
        <v>#REF!</v>
      </c>
      <c r="N3042" t="e">
        <v>#REF!</v>
      </c>
      <c r="Q3042" t="e">
        <v>#REF!</v>
      </c>
    </row>
    <row r="3043" spans="1:17" hidden="1" x14ac:dyDescent="0.25">
      <c r="A3043" s="114" t="s">
        <v>6360</v>
      </c>
      <c r="B3043" s="115" t="s">
        <v>6361</v>
      </c>
      <c r="C3043" s="116" t="s">
        <v>16</v>
      </c>
      <c r="D3043" s="116">
        <v>0</v>
      </c>
      <c r="E3043" s="136">
        <f ca="1">OFFSET(INDEX(Composições!A:J,MATCH(Orçamentária!A3043,Composições!A:A,0),8),2,0)</f>
        <v>66.072499999999991</v>
      </c>
      <c r="F3043" s="137">
        <f t="shared" ca="1" si="224"/>
        <v>0</v>
      </c>
      <c r="G3043" s="138" t="e">
        <f>IF(A3043&lt;&gt;"",IF(AND(#REF!="Padrão",$H$4=#REF!),BDI!$B$17,IF(AND(#REF!="Padrão",$H$4=#REF!),BDI!#REF!,IF(AND(#REF!="Diferenciado",$H$4=#REF!),BDI!$E$17,IF(AND(#REF!="Diferenciado",$H$4=#REF!),BDI!#REF!,IF(#REF!="ZERO",0))))),"")</f>
        <v>#REF!</v>
      </c>
      <c r="H3043" s="139" t="e">
        <f t="shared" ca="1" si="225"/>
        <v>#REF!</v>
      </c>
      <c r="I3043" s="137" t="e">
        <f t="shared" ca="1" si="226"/>
        <v>#REF!</v>
      </c>
      <c r="J3043" s="117"/>
      <c r="K3043" s="116">
        <v>0</v>
      </c>
      <c r="M3043" s="136" t="e">
        <f ca="1">OFFSET(INDEX([1]Composições!I:R,MATCH([1]Orçamentária!I3043,[1]Composições!I:I,0),8),2,0)</f>
        <v>#REF!</v>
      </c>
      <c r="N3043" t="e">
        <v>#REF!</v>
      </c>
      <c r="Q3043" t="e">
        <v>#REF!</v>
      </c>
    </row>
    <row r="3044" spans="1:17" hidden="1" x14ac:dyDescent="0.25">
      <c r="A3044" s="114" t="s">
        <v>6362</v>
      </c>
      <c r="B3044" s="115" t="s">
        <v>7300</v>
      </c>
      <c r="C3044" s="116" t="s">
        <v>16</v>
      </c>
      <c r="D3044" s="116">
        <v>0</v>
      </c>
      <c r="E3044" s="136">
        <f ca="1">OFFSET(INDEX(Composições!A:J,MATCH(Orçamentária!A3044,Composições!A:A,0),8),2,0)</f>
        <v>73.140499999999989</v>
      </c>
      <c r="F3044" s="137">
        <f t="shared" ca="1" si="224"/>
        <v>0</v>
      </c>
      <c r="G3044" s="138" t="e">
        <f>IF(A3044&lt;&gt;"",IF(AND(#REF!="Padrão",$H$4=#REF!),BDI!$B$17,IF(AND(#REF!="Padrão",$H$4=#REF!),BDI!#REF!,IF(AND(#REF!="Diferenciado",$H$4=#REF!),BDI!$E$17,IF(AND(#REF!="Diferenciado",$H$4=#REF!),BDI!#REF!,IF(#REF!="ZERO",0))))),"")</f>
        <v>#REF!</v>
      </c>
      <c r="H3044" s="139" t="e">
        <f t="shared" ca="1" si="225"/>
        <v>#REF!</v>
      </c>
      <c r="I3044" s="137" t="e">
        <f t="shared" ca="1" si="226"/>
        <v>#REF!</v>
      </c>
      <c r="J3044" s="117"/>
      <c r="K3044" s="116">
        <v>0</v>
      </c>
      <c r="M3044" s="136" t="e">
        <f ca="1">OFFSET(INDEX([1]Composições!I:R,MATCH([1]Orçamentária!I3044,[1]Composições!I:I,0),8),2,0)</f>
        <v>#REF!</v>
      </c>
      <c r="N3044" t="e">
        <v>#REF!</v>
      </c>
      <c r="Q3044" t="e">
        <v>#REF!</v>
      </c>
    </row>
    <row r="3045" spans="1:17" hidden="1" x14ac:dyDescent="0.25">
      <c r="A3045" s="114" t="s">
        <v>6363</v>
      </c>
      <c r="B3045" s="115" t="s">
        <v>7299</v>
      </c>
      <c r="C3045" s="116" t="s">
        <v>16</v>
      </c>
      <c r="D3045" s="116">
        <v>0</v>
      </c>
      <c r="E3045" s="136">
        <f ca="1">OFFSET(INDEX(Composições!A:J,MATCH(Orçamentária!A3045,Composições!A:A,0),8),2,0)</f>
        <v>3.363</v>
      </c>
      <c r="F3045" s="137">
        <f t="shared" ca="1" si="224"/>
        <v>0</v>
      </c>
      <c r="G3045" s="138" t="e">
        <f>IF(A3045&lt;&gt;"",IF(AND(#REF!="Padrão",$H$4=#REF!),BDI!$B$17,IF(AND(#REF!="Padrão",$H$4=#REF!),BDI!#REF!,IF(AND(#REF!="Diferenciado",$H$4=#REF!),BDI!$E$17,IF(AND(#REF!="Diferenciado",$H$4=#REF!),BDI!#REF!,IF(#REF!="ZERO",0))))),"")</f>
        <v>#REF!</v>
      </c>
      <c r="H3045" s="139" t="e">
        <f t="shared" ca="1" si="225"/>
        <v>#REF!</v>
      </c>
      <c r="I3045" s="137" t="e">
        <f t="shared" ca="1" si="226"/>
        <v>#REF!</v>
      </c>
      <c r="J3045" s="117"/>
      <c r="K3045" s="116">
        <v>0</v>
      </c>
      <c r="M3045" s="136" t="e">
        <f ca="1">OFFSET(INDEX([1]Composições!I:R,MATCH([1]Orçamentária!I3045,[1]Composições!I:I,0),8),2,0)</f>
        <v>#REF!</v>
      </c>
      <c r="N3045" t="e">
        <v>#REF!</v>
      </c>
      <c r="Q3045" t="e">
        <v>#REF!</v>
      </c>
    </row>
    <row r="3046" spans="1:17" hidden="1" x14ac:dyDescent="0.25">
      <c r="A3046" s="114" t="s">
        <v>6364</v>
      </c>
      <c r="B3046" s="115" t="s">
        <v>7298</v>
      </c>
      <c r="C3046" s="116" t="s">
        <v>16</v>
      </c>
      <c r="D3046" s="116">
        <v>0</v>
      </c>
      <c r="E3046" s="136">
        <f ca="1">OFFSET(INDEX(Composições!A:J,MATCH(Orçamentária!A3046,Composições!A:A,0),8),2,0)</f>
        <v>6.7449999999999992</v>
      </c>
      <c r="F3046" s="137">
        <f t="shared" ca="1" si="224"/>
        <v>0</v>
      </c>
      <c r="G3046" s="138" t="e">
        <f>IF(A3046&lt;&gt;"",IF(AND(#REF!="Padrão",$H$4=#REF!),BDI!$B$17,IF(AND(#REF!="Padrão",$H$4=#REF!),BDI!#REF!,IF(AND(#REF!="Diferenciado",$H$4=#REF!),BDI!$E$17,IF(AND(#REF!="Diferenciado",$H$4=#REF!),BDI!#REF!,IF(#REF!="ZERO",0))))),"")</f>
        <v>#REF!</v>
      </c>
      <c r="H3046" s="139" t="e">
        <f t="shared" ca="1" si="225"/>
        <v>#REF!</v>
      </c>
      <c r="I3046" s="137" t="e">
        <f t="shared" ca="1" si="226"/>
        <v>#REF!</v>
      </c>
      <c r="J3046" s="117"/>
      <c r="K3046" s="116">
        <v>0</v>
      </c>
      <c r="M3046" s="136" t="e">
        <f ca="1">OFFSET(INDEX([1]Composições!I:R,MATCH([1]Orçamentária!I3046,[1]Composições!I:I,0),8),2,0)</f>
        <v>#REF!</v>
      </c>
      <c r="N3046" t="e">
        <v>#REF!</v>
      </c>
      <c r="Q3046" t="e">
        <v>#REF!</v>
      </c>
    </row>
    <row r="3047" spans="1:17" hidden="1" x14ac:dyDescent="0.25">
      <c r="A3047" s="114" t="s">
        <v>6365</v>
      </c>
      <c r="B3047" s="115" t="s">
        <v>7297</v>
      </c>
      <c r="C3047" s="116" t="s">
        <v>16</v>
      </c>
      <c r="D3047" s="116">
        <v>0</v>
      </c>
      <c r="E3047" s="136">
        <f ca="1">OFFSET(INDEX(Composições!A:J,MATCH(Orçamentária!A3047,Composições!A:A,0),8),2,0)</f>
        <v>1.653</v>
      </c>
      <c r="F3047" s="137">
        <f t="shared" ca="1" si="224"/>
        <v>0</v>
      </c>
      <c r="G3047" s="138" t="e">
        <f>IF(A3047&lt;&gt;"",IF(AND(#REF!="Padrão",$H$4=#REF!),BDI!$B$17,IF(AND(#REF!="Padrão",$H$4=#REF!),BDI!#REF!,IF(AND(#REF!="Diferenciado",$H$4=#REF!),BDI!$E$17,IF(AND(#REF!="Diferenciado",$H$4=#REF!),BDI!#REF!,IF(#REF!="ZERO",0))))),"")</f>
        <v>#REF!</v>
      </c>
      <c r="H3047" s="139" t="e">
        <f t="shared" ca="1" si="225"/>
        <v>#REF!</v>
      </c>
      <c r="I3047" s="137" t="e">
        <f t="shared" ca="1" si="226"/>
        <v>#REF!</v>
      </c>
      <c r="J3047" s="117"/>
      <c r="K3047" s="116">
        <v>0</v>
      </c>
      <c r="M3047" s="136" t="e">
        <f ca="1">OFFSET(INDEX([1]Composições!I:R,MATCH([1]Orçamentária!I3047,[1]Composições!I:I,0),8),2,0)</f>
        <v>#REF!</v>
      </c>
      <c r="N3047" t="e">
        <v>#REF!</v>
      </c>
      <c r="Q3047" t="e">
        <v>#REF!</v>
      </c>
    </row>
    <row r="3048" spans="1:17" hidden="1" x14ac:dyDescent="0.25">
      <c r="A3048" s="114" t="s">
        <v>6366</v>
      </c>
      <c r="B3048" s="115" t="s">
        <v>7296</v>
      </c>
      <c r="C3048" s="116" t="s">
        <v>16</v>
      </c>
      <c r="D3048" s="116">
        <v>0</v>
      </c>
      <c r="E3048" s="136">
        <f ca="1">OFFSET(INDEX(Composições!A:J,MATCH(Orçamentária!A3048,Composições!A:A,0),8),2,0)</f>
        <v>3.6859999999999999</v>
      </c>
      <c r="F3048" s="137">
        <f t="shared" ca="1" si="224"/>
        <v>0</v>
      </c>
      <c r="G3048" s="138" t="e">
        <f>IF(A3048&lt;&gt;"",IF(AND(#REF!="Padrão",$H$4=#REF!),BDI!$B$17,IF(AND(#REF!="Padrão",$H$4=#REF!),BDI!#REF!,IF(AND(#REF!="Diferenciado",$H$4=#REF!),BDI!$E$17,IF(AND(#REF!="Diferenciado",$H$4=#REF!),BDI!#REF!,IF(#REF!="ZERO",0))))),"")</f>
        <v>#REF!</v>
      </c>
      <c r="H3048" s="139" t="e">
        <f t="shared" ca="1" si="225"/>
        <v>#REF!</v>
      </c>
      <c r="I3048" s="137" t="e">
        <f t="shared" ca="1" si="226"/>
        <v>#REF!</v>
      </c>
      <c r="J3048" s="117"/>
      <c r="K3048" s="116">
        <v>0</v>
      </c>
      <c r="M3048" s="136" t="e">
        <f ca="1">OFFSET(INDEX([1]Composições!I:R,MATCH([1]Orçamentária!I3048,[1]Composições!I:I,0),8),2,0)</f>
        <v>#REF!</v>
      </c>
      <c r="N3048" t="e">
        <v>#REF!</v>
      </c>
      <c r="Q3048" t="e">
        <v>#REF!</v>
      </c>
    </row>
    <row r="3049" spans="1:17" hidden="1" x14ac:dyDescent="0.25">
      <c r="A3049" s="114" t="s">
        <v>6367</v>
      </c>
      <c r="B3049" s="115" t="s">
        <v>6368</v>
      </c>
      <c r="C3049" s="116" t="s">
        <v>16</v>
      </c>
      <c r="D3049" s="116">
        <v>0</v>
      </c>
      <c r="E3049" s="136">
        <f ca="1">OFFSET(INDEX(Composições!A:J,MATCH(Orçamentária!A3049,Composições!A:A,0),8),2,0)</f>
        <v>11.818</v>
      </c>
      <c r="F3049" s="137">
        <f t="shared" ca="1" si="224"/>
        <v>0</v>
      </c>
      <c r="G3049" s="138" t="e">
        <f>IF(A3049&lt;&gt;"",IF(AND(#REF!="Padrão",$H$4=#REF!),BDI!$B$17,IF(AND(#REF!="Padrão",$H$4=#REF!),BDI!#REF!,IF(AND(#REF!="Diferenciado",$H$4=#REF!),BDI!$E$17,IF(AND(#REF!="Diferenciado",$H$4=#REF!),BDI!#REF!,IF(#REF!="ZERO",0))))),"")</f>
        <v>#REF!</v>
      </c>
      <c r="H3049" s="139" t="e">
        <f t="shared" ca="1" si="225"/>
        <v>#REF!</v>
      </c>
      <c r="I3049" s="137" t="e">
        <f t="shared" ca="1" si="226"/>
        <v>#REF!</v>
      </c>
      <c r="J3049" s="117"/>
      <c r="K3049" s="116">
        <v>0</v>
      </c>
      <c r="M3049" s="136" t="e">
        <f ca="1">OFFSET(INDEX([1]Composições!I:R,MATCH([1]Orçamentária!I3049,[1]Composições!I:I,0),8),2,0)</f>
        <v>#REF!</v>
      </c>
      <c r="N3049" t="e">
        <v>#REF!</v>
      </c>
      <c r="Q3049" t="e">
        <v>#REF!</v>
      </c>
    </row>
    <row r="3050" spans="1:17" hidden="1" x14ac:dyDescent="0.25">
      <c r="A3050" s="114" t="s">
        <v>6369</v>
      </c>
      <c r="B3050" s="115" t="s">
        <v>6370</v>
      </c>
      <c r="C3050" s="116" t="s">
        <v>16</v>
      </c>
      <c r="D3050" s="116">
        <v>0</v>
      </c>
      <c r="E3050" s="136">
        <f ca="1">OFFSET(INDEX(Composições!A:J,MATCH(Orçamentária!A3050,Composições!A:A,0),8),2,0)</f>
        <v>0</v>
      </c>
      <c r="F3050" s="137">
        <f t="shared" ca="1" si="224"/>
        <v>0</v>
      </c>
      <c r="G3050" s="138" t="e">
        <f>IF(A3050&lt;&gt;"",IF(AND(#REF!="Padrão",$H$4=#REF!),BDI!$B$17,IF(AND(#REF!="Padrão",$H$4=#REF!),BDI!#REF!,IF(AND(#REF!="Diferenciado",$H$4=#REF!),BDI!$E$17,IF(AND(#REF!="Diferenciado",$H$4=#REF!),BDI!#REF!,IF(#REF!="ZERO",0))))),"")</f>
        <v>#REF!</v>
      </c>
      <c r="H3050" s="139" t="e">
        <f t="shared" ca="1" si="225"/>
        <v>#REF!</v>
      </c>
      <c r="I3050" s="137" t="e">
        <f t="shared" ca="1" si="226"/>
        <v>#REF!</v>
      </c>
      <c r="J3050" s="117"/>
      <c r="K3050" s="116">
        <v>0</v>
      </c>
      <c r="M3050" s="136" t="e">
        <f ca="1">OFFSET(INDEX([1]Composições!I:R,MATCH([1]Orçamentária!I3050,[1]Composições!I:I,0),8),2,0)</f>
        <v>#REF!</v>
      </c>
      <c r="N3050" t="e">
        <v>#REF!</v>
      </c>
      <c r="Q3050" t="e">
        <v>#REF!</v>
      </c>
    </row>
    <row r="3051" spans="1:17" hidden="1" x14ac:dyDescent="0.25">
      <c r="A3051" s="114" t="s">
        <v>6371</v>
      </c>
      <c r="B3051" s="115" t="s">
        <v>7295</v>
      </c>
      <c r="C3051" s="116" t="s">
        <v>16</v>
      </c>
      <c r="D3051" s="116">
        <v>0</v>
      </c>
      <c r="E3051" s="136">
        <f ca="1">OFFSET(INDEX(Composições!A:J,MATCH(Orçamentária!A3051,Composições!A:A,0),8),2,0)</f>
        <v>13.195499999999999</v>
      </c>
      <c r="F3051" s="137">
        <f t="shared" ca="1" si="224"/>
        <v>0</v>
      </c>
      <c r="G3051" s="138" t="e">
        <f>IF(A3051&lt;&gt;"",IF(AND(#REF!="Padrão",$H$4=#REF!),BDI!$B$17,IF(AND(#REF!="Padrão",$H$4=#REF!),BDI!#REF!,IF(AND(#REF!="Diferenciado",$H$4=#REF!),BDI!$E$17,IF(AND(#REF!="Diferenciado",$H$4=#REF!),BDI!#REF!,IF(#REF!="ZERO",0))))),"")</f>
        <v>#REF!</v>
      </c>
      <c r="H3051" s="139" t="e">
        <f t="shared" ca="1" si="225"/>
        <v>#REF!</v>
      </c>
      <c r="I3051" s="137" t="e">
        <f t="shared" ca="1" si="226"/>
        <v>#REF!</v>
      </c>
      <c r="J3051" s="117"/>
      <c r="K3051" s="116">
        <v>0</v>
      </c>
      <c r="M3051" s="136" t="e">
        <f ca="1">OFFSET(INDEX([1]Composições!I:R,MATCH([1]Orçamentária!I3051,[1]Composições!I:I,0),8),2,0)</f>
        <v>#REF!</v>
      </c>
      <c r="N3051" t="e">
        <v>#REF!</v>
      </c>
      <c r="Q3051" t="e">
        <v>#REF!</v>
      </c>
    </row>
    <row r="3052" spans="1:17" hidden="1" x14ac:dyDescent="0.25">
      <c r="A3052" s="114" t="s">
        <v>6372</v>
      </c>
      <c r="B3052" s="115" t="s">
        <v>7294</v>
      </c>
      <c r="C3052" s="116" t="s">
        <v>16</v>
      </c>
      <c r="D3052" s="116">
        <v>0</v>
      </c>
      <c r="E3052" s="136">
        <f ca="1">OFFSET(INDEX(Composições!A:J,MATCH(Orçamentária!A3052,Composições!A:A,0),8),2,0)</f>
        <v>71.0505</v>
      </c>
      <c r="F3052" s="137">
        <f t="shared" ca="1" si="224"/>
        <v>0</v>
      </c>
      <c r="G3052" s="138" t="e">
        <f>IF(A3052&lt;&gt;"",IF(AND(#REF!="Padrão",$H$4=#REF!),BDI!$B$17,IF(AND(#REF!="Padrão",$H$4=#REF!),BDI!#REF!,IF(AND(#REF!="Diferenciado",$H$4=#REF!),BDI!$E$17,IF(AND(#REF!="Diferenciado",$H$4=#REF!),BDI!#REF!,IF(#REF!="ZERO",0))))),"")</f>
        <v>#REF!</v>
      </c>
      <c r="H3052" s="139" t="e">
        <f t="shared" ca="1" si="225"/>
        <v>#REF!</v>
      </c>
      <c r="I3052" s="137" t="e">
        <f t="shared" ca="1" si="226"/>
        <v>#REF!</v>
      </c>
      <c r="J3052" s="117"/>
      <c r="K3052" s="116">
        <v>0</v>
      </c>
      <c r="M3052" s="136" t="e">
        <f ca="1">OFFSET(INDEX([1]Composições!I:R,MATCH([1]Orçamentária!I3052,[1]Composições!I:I,0),8),2,0)</f>
        <v>#REF!</v>
      </c>
      <c r="N3052" t="e">
        <v>#REF!</v>
      </c>
      <c r="Q3052" t="e">
        <v>#REF!</v>
      </c>
    </row>
    <row r="3053" spans="1:17" hidden="1" x14ac:dyDescent="0.25">
      <c r="A3053" s="114" t="s">
        <v>6373</v>
      </c>
      <c r="B3053" s="115" t="s">
        <v>7293</v>
      </c>
      <c r="C3053" s="116" t="s">
        <v>16</v>
      </c>
      <c r="D3053" s="116">
        <v>0</v>
      </c>
      <c r="E3053" s="136">
        <f ca="1">OFFSET(INDEX(Composições!A:J,MATCH(Orçamentária!A3053,Composições!A:A,0),8),2,0)</f>
        <v>170.83850000000001</v>
      </c>
      <c r="F3053" s="137">
        <f t="shared" ca="1" si="224"/>
        <v>0</v>
      </c>
      <c r="G3053" s="138" t="e">
        <f>IF(A3053&lt;&gt;"",IF(AND(#REF!="Padrão",$H$4=#REF!),BDI!$B$17,IF(AND(#REF!="Padrão",$H$4=#REF!),BDI!#REF!,IF(AND(#REF!="Diferenciado",$H$4=#REF!),BDI!$E$17,IF(AND(#REF!="Diferenciado",$H$4=#REF!),BDI!#REF!,IF(#REF!="ZERO",0))))),"")</f>
        <v>#REF!</v>
      </c>
      <c r="H3053" s="139" t="e">
        <f t="shared" ca="1" si="225"/>
        <v>#REF!</v>
      </c>
      <c r="I3053" s="137" t="e">
        <f t="shared" ca="1" si="226"/>
        <v>#REF!</v>
      </c>
      <c r="J3053" s="117"/>
      <c r="K3053" s="116">
        <v>0</v>
      </c>
      <c r="M3053" s="136" t="e">
        <f ca="1">OFFSET(INDEX([1]Composições!I:R,MATCH([1]Orçamentária!I3053,[1]Composições!I:I,0),8),2,0)</f>
        <v>#REF!</v>
      </c>
      <c r="N3053" t="e">
        <v>#REF!</v>
      </c>
      <c r="Q3053" t="e">
        <v>#REF!</v>
      </c>
    </row>
    <row r="3054" spans="1:17" hidden="1" x14ac:dyDescent="0.25">
      <c r="A3054" s="114" t="s">
        <v>6374</v>
      </c>
      <c r="B3054" s="115" t="s">
        <v>6375</v>
      </c>
      <c r="C3054" s="116" t="s">
        <v>69</v>
      </c>
      <c r="D3054" s="116">
        <v>0</v>
      </c>
      <c r="E3054" s="136" t="s">
        <v>416</v>
      </c>
      <c r="F3054" s="137" t="str">
        <f t="shared" si="224"/>
        <v/>
      </c>
      <c r="G3054" s="138" t="e">
        <f>IF(A3054&lt;&gt;"",IF(AND(#REF!="Padrão",$H$4=#REF!),BDI!$B$17,IF(AND(#REF!="Padrão",$H$4=#REF!),BDI!#REF!,IF(AND(#REF!="Diferenciado",$H$4=#REF!),BDI!$E$17,IF(AND(#REF!="Diferenciado",$H$4=#REF!),BDI!#REF!,IF(#REF!="ZERO",0))))),"")</f>
        <v>#REF!</v>
      </c>
      <c r="H3054" s="139" t="str">
        <f t="shared" si="225"/>
        <v/>
      </c>
      <c r="I3054" s="137" t="str">
        <f t="shared" si="226"/>
        <v/>
      </c>
      <c r="J3054" s="117"/>
      <c r="K3054" s="116">
        <v>0</v>
      </c>
      <c r="M3054" s="136" t="s">
        <v>416</v>
      </c>
      <c r="N3054" t="e">
        <v>#REF!</v>
      </c>
      <c r="Q3054" t="s">
        <v>416</v>
      </c>
    </row>
    <row r="3055" spans="1:17" hidden="1" x14ac:dyDescent="0.25">
      <c r="A3055" s="114" t="s">
        <v>6376</v>
      </c>
      <c r="B3055" s="115" t="s">
        <v>6377</v>
      </c>
      <c r="C3055" s="116" t="s">
        <v>69</v>
      </c>
      <c r="D3055" s="116">
        <v>0</v>
      </c>
      <c r="E3055" s="136" t="s">
        <v>416</v>
      </c>
      <c r="F3055" s="137" t="str">
        <f t="shared" si="224"/>
        <v/>
      </c>
      <c r="G3055" s="138" t="e">
        <f>IF(A3055&lt;&gt;"",IF(AND(#REF!="Padrão",$H$4=#REF!),BDI!$B$17,IF(AND(#REF!="Padrão",$H$4=#REF!),BDI!#REF!,IF(AND(#REF!="Diferenciado",$H$4=#REF!),BDI!$E$17,IF(AND(#REF!="Diferenciado",$H$4=#REF!),BDI!#REF!,IF(#REF!="ZERO",0))))),"")</f>
        <v>#REF!</v>
      </c>
      <c r="H3055" s="139" t="str">
        <f t="shared" si="225"/>
        <v/>
      </c>
      <c r="I3055" s="137" t="str">
        <f t="shared" si="226"/>
        <v/>
      </c>
      <c r="J3055" s="117"/>
      <c r="K3055" s="116">
        <v>0</v>
      </c>
      <c r="M3055" s="136" t="s">
        <v>416</v>
      </c>
      <c r="N3055" t="e">
        <v>#REF!</v>
      </c>
      <c r="Q3055" t="s">
        <v>416</v>
      </c>
    </row>
    <row r="3056" spans="1:17" hidden="1" x14ac:dyDescent="0.25">
      <c r="A3056" s="114" t="s">
        <v>6378</v>
      </c>
      <c r="B3056" s="115" t="s">
        <v>6379</v>
      </c>
      <c r="C3056" s="116" t="s">
        <v>16</v>
      </c>
      <c r="D3056" s="116">
        <v>0</v>
      </c>
      <c r="E3056" s="136" t="s">
        <v>416</v>
      </c>
      <c r="F3056" s="137" t="str">
        <f t="shared" si="224"/>
        <v/>
      </c>
      <c r="G3056" s="138" t="e">
        <f>IF(A3056&lt;&gt;"",IF(AND(#REF!="Padrão",$H$4=#REF!),BDI!$B$17,IF(AND(#REF!="Padrão",$H$4=#REF!),BDI!#REF!,IF(AND(#REF!="Diferenciado",$H$4=#REF!),BDI!$E$17,IF(AND(#REF!="Diferenciado",$H$4=#REF!),BDI!#REF!,IF(#REF!="ZERO",0))))),"")</f>
        <v>#REF!</v>
      </c>
      <c r="H3056" s="139" t="str">
        <f t="shared" si="225"/>
        <v/>
      </c>
      <c r="I3056" s="137" t="str">
        <f t="shared" si="226"/>
        <v/>
      </c>
      <c r="J3056" s="117"/>
      <c r="K3056" s="116">
        <v>0</v>
      </c>
      <c r="M3056" s="136" t="s">
        <v>416</v>
      </c>
      <c r="N3056" t="e">
        <v>#REF!</v>
      </c>
      <c r="Q3056" t="s">
        <v>416</v>
      </c>
    </row>
    <row r="3057" spans="1:17" hidden="1" x14ac:dyDescent="0.25">
      <c r="A3057" s="114" t="s">
        <v>6380</v>
      </c>
      <c r="B3057" s="115" t="s">
        <v>7292</v>
      </c>
      <c r="C3057" s="116" t="s">
        <v>69</v>
      </c>
      <c r="D3057" s="116">
        <v>0</v>
      </c>
      <c r="E3057" s="136" t="s">
        <v>416</v>
      </c>
      <c r="F3057" s="137" t="str">
        <f t="shared" si="224"/>
        <v/>
      </c>
      <c r="G3057" s="138" t="e">
        <f>IF(A3057&lt;&gt;"",IF(AND(#REF!="Padrão",$H$4=#REF!),BDI!$B$17,IF(AND(#REF!="Padrão",$H$4=#REF!),BDI!#REF!,IF(AND(#REF!="Diferenciado",$H$4=#REF!),BDI!$E$17,IF(AND(#REF!="Diferenciado",$H$4=#REF!),BDI!#REF!,IF(#REF!="ZERO",0))))),"")</f>
        <v>#REF!</v>
      </c>
      <c r="H3057" s="139" t="str">
        <f t="shared" si="225"/>
        <v/>
      </c>
      <c r="I3057" s="137" t="str">
        <f t="shared" si="226"/>
        <v/>
      </c>
      <c r="J3057" s="117"/>
      <c r="K3057" s="116">
        <v>0</v>
      </c>
      <c r="M3057" s="136" t="s">
        <v>416</v>
      </c>
      <c r="N3057" t="e">
        <v>#REF!</v>
      </c>
      <c r="Q3057" t="s">
        <v>416</v>
      </c>
    </row>
    <row r="3058" spans="1:17" hidden="1" x14ac:dyDescent="0.25">
      <c r="A3058" s="114" t="s">
        <v>6381</v>
      </c>
      <c r="B3058" s="115" t="s">
        <v>6382</v>
      </c>
      <c r="C3058" s="116" t="s">
        <v>16</v>
      </c>
      <c r="D3058" s="116">
        <v>0</v>
      </c>
      <c r="E3058" s="136" t="s">
        <v>416</v>
      </c>
      <c r="F3058" s="137" t="str">
        <f t="shared" si="224"/>
        <v/>
      </c>
      <c r="G3058" s="138" t="e">
        <f>IF(A3058&lt;&gt;"",IF(AND(#REF!="Padrão",$H$4=#REF!),BDI!$B$17,IF(AND(#REF!="Padrão",$H$4=#REF!),BDI!#REF!,IF(AND(#REF!="Diferenciado",$H$4=#REF!),BDI!$E$17,IF(AND(#REF!="Diferenciado",$H$4=#REF!),BDI!#REF!,IF(#REF!="ZERO",0))))),"")</f>
        <v>#REF!</v>
      </c>
      <c r="H3058" s="139" t="str">
        <f t="shared" si="225"/>
        <v/>
      </c>
      <c r="I3058" s="137" t="str">
        <f t="shared" si="226"/>
        <v/>
      </c>
      <c r="J3058" s="117"/>
      <c r="K3058" s="116">
        <v>0</v>
      </c>
      <c r="M3058" s="136" t="s">
        <v>416</v>
      </c>
      <c r="N3058" t="e">
        <v>#REF!</v>
      </c>
      <c r="Q3058" t="s">
        <v>416</v>
      </c>
    </row>
    <row r="3059" spans="1:17" hidden="1" x14ac:dyDescent="0.25">
      <c r="A3059" s="114" t="s">
        <v>6383</v>
      </c>
      <c r="B3059" s="115" t="s">
        <v>6384</v>
      </c>
      <c r="C3059" s="116" t="s">
        <v>16</v>
      </c>
      <c r="D3059" s="116">
        <v>0</v>
      </c>
      <c r="E3059" s="136" t="s">
        <v>416</v>
      </c>
      <c r="F3059" s="137" t="str">
        <f t="shared" si="224"/>
        <v/>
      </c>
      <c r="G3059" s="138" t="e">
        <f>IF(A3059&lt;&gt;"",IF(AND(#REF!="Padrão",$H$4=#REF!),BDI!$B$17,IF(AND(#REF!="Padrão",$H$4=#REF!),BDI!#REF!,IF(AND(#REF!="Diferenciado",$H$4=#REF!),BDI!$E$17,IF(AND(#REF!="Diferenciado",$H$4=#REF!),BDI!#REF!,IF(#REF!="ZERO",0))))),"")</f>
        <v>#REF!</v>
      </c>
      <c r="H3059" s="139" t="str">
        <f t="shared" si="225"/>
        <v/>
      </c>
      <c r="I3059" s="137" t="str">
        <f t="shared" si="226"/>
        <v/>
      </c>
      <c r="J3059" s="117"/>
      <c r="K3059" s="116">
        <v>0</v>
      </c>
      <c r="M3059" s="136" t="s">
        <v>416</v>
      </c>
      <c r="N3059" t="e">
        <v>#REF!</v>
      </c>
      <c r="Q3059" t="s">
        <v>416</v>
      </c>
    </row>
    <row r="3060" spans="1:17" ht="25.5" hidden="1" x14ac:dyDescent="0.25">
      <c r="A3060" s="114" t="s">
        <v>6385</v>
      </c>
      <c r="B3060" s="115" t="s">
        <v>6386</v>
      </c>
      <c r="C3060" s="116" t="s">
        <v>16</v>
      </c>
      <c r="D3060" s="116">
        <v>0</v>
      </c>
      <c r="E3060" s="136" t="s">
        <v>416</v>
      </c>
      <c r="F3060" s="137" t="str">
        <f t="shared" si="224"/>
        <v/>
      </c>
      <c r="G3060" s="138" t="e">
        <f>IF(A3060&lt;&gt;"",IF(AND(#REF!="Padrão",$H$4=#REF!),BDI!$B$17,IF(AND(#REF!="Padrão",$H$4=#REF!),BDI!#REF!,IF(AND(#REF!="Diferenciado",$H$4=#REF!),BDI!$E$17,IF(AND(#REF!="Diferenciado",$H$4=#REF!),BDI!#REF!,IF(#REF!="ZERO",0))))),"")</f>
        <v>#REF!</v>
      </c>
      <c r="H3060" s="139" t="str">
        <f t="shared" si="225"/>
        <v/>
      </c>
      <c r="I3060" s="137" t="str">
        <f t="shared" si="226"/>
        <v/>
      </c>
      <c r="J3060" s="117"/>
      <c r="K3060" s="116">
        <v>0</v>
      </c>
      <c r="M3060" s="136" t="s">
        <v>416</v>
      </c>
      <c r="N3060" t="e">
        <v>#REF!</v>
      </c>
      <c r="Q3060" t="s">
        <v>416</v>
      </c>
    </row>
    <row r="3061" spans="1:17" hidden="1" x14ac:dyDescent="0.25">
      <c r="A3061" s="114" t="s">
        <v>6387</v>
      </c>
      <c r="B3061" s="115" t="s">
        <v>6388</v>
      </c>
      <c r="C3061" s="116" t="s">
        <v>16</v>
      </c>
      <c r="D3061" s="116">
        <v>0</v>
      </c>
      <c r="E3061" s="136" t="s">
        <v>416</v>
      </c>
      <c r="F3061" s="137" t="str">
        <f t="shared" si="224"/>
        <v/>
      </c>
      <c r="G3061" s="138" t="e">
        <f>IF(A3061&lt;&gt;"",IF(AND(#REF!="Padrão",$H$4=#REF!),BDI!$B$17,IF(AND(#REF!="Padrão",$H$4=#REF!),BDI!#REF!,IF(AND(#REF!="Diferenciado",$H$4=#REF!),BDI!$E$17,IF(AND(#REF!="Diferenciado",$H$4=#REF!),BDI!#REF!,IF(#REF!="ZERO",0))))),"")</f>
        <v>#REF!</v>
      </c>
      <c r="H3061" s="139" t="str">
        <f t="shared" si="225"/>
        <v/>
      </c>
      <c r="I3061" s="137" t="str">
        <f t="shared" si="226"/>
        <v/>
      </c>
      <c r="J3061" s="117"/>
      <c r="K3061" s="116">
        <v>0</v>
      </c>
      <c r="M3061" s="136" t="s">
        <v>416</v>
      </c>
      <c r="N3061" t="e">
        <v>#REF!</v>
      </c>
      <c r="Q3061" t="s">
        <v>416</v>
      </c>
    </row>
    <row r="3062" spans="1:17" hidden="1" x14ac:dyDescent="0.25">
      <c r="A3062" s="114" t="s">
        <v>6389</v>
      </c>
      <c r="B3062" s="115" t="s">
        <v>6390</v>
      </c>
      <c r="C3062" s="116" t="s">
        <v>16</v>
      </c>
      <c r="D3062" s="116">
        <v>0</v>
      </c>
      <c r="E3062" s="136" t="s">
        <v>416</v>
      </c>
      <c r="F3062" s="137" t="str">
        <f t="shared" si="224"/>
        <v/>
      </c>
      <c r="G3062" s="138" t="e">
        <f>IF(A3062&lt;&gt;"",IF(AND(#REF!="Padrão",$H$4=#REF!),BDI!$B$17,IF(AND(#REF!="Padrão",$H$4=#REF!),BDI!#REF!,IF(AND(#REF!="Diferenciado",$H$4=#REF!),BDI!$E$17,IF(AND(#REF!="Diferenciado",$H$4=#REF!),BDI!#REF!,IF(#REF!="ZERO",0))))),"")</f>
        <v>#REF!</v>
      </c>
      <c r="H3062" s="139" t="str">
        <f t="shared" si="225"/>
        <v/>
      </c>
      <c r="I3062" s="137" t="str">
        <f t="shared" si="226"/>
        <v/>
      </c>
      <c r="J3062" s="117"/>
      <c r="K3062" s="116">
        <v>0</v>
      </c>
      <c r="M3062" s="136" t="s">
        <v>416</v>
      </c>
      <c r="N3062" t="e">
        <v>#REF!</v>
      </c>
      <c r="Q3062" t="s">
        <v>416</v>
      </c>
    </row>
    <row r="3063" spans="1:17" hidden="1" x14ac:dyDescent="0.25">
      <c r="A3063" s="114" t="s">
        <v>6391</v>
      </c>
      <c r="B3063" s="115" t="s">
        <v>6392</v>
      </c>
      <c r="C3063" s="116" t="s">
        <v>16</v>
      </c>
      <c r="D3063" s="116">
        <v>0</v>
      </c>
      <c r="E3063" s="136" t="s">
        <v>416</v>
      </c>
      <c r="F3063" s="137" t="str">
        <f t="shared" si="224"/>
        <v/>
      </c>
      <c r="G3063" s="138" t="e">
        <f>IF(A3063&lt;&gt;"",IF(AND(#REF!="Padrão",$H$4=#REF!),BDI!$B$17,IF(AND(#REF!="Padrão",$H$4=#REF!),BDI!#REF!,IF(AND(#REF!="Diferenciado",$H$4=#REF!),BDI!$E$17,IF(AND(#REF!="Diferenciado",$H$4=#REF!),BDI!#REF!,IF(#REF!="ZERO",0))))),"")</f>
        <v>#REF!</v>
      </c>
      <c r="H3063" s="139" t="str">
        <f t="shared" si="225"/>
        <v/>
      </c>
      <c r="I3063" s="137" t="str">
        <f t="shared" si="226"/>
        <v/>
      </c>
      <c r="J3063" s="117"/>
      <c r="K3063" s="116">
        <v>0</v>
      </c>
      <c r="M3063" s="136" t="s">
        <v>416</v>
      </c>
      <c r="N3063" t="e">
        <v>#REF!</v>
      </c>
      <c r="Q3063" t="s">
        <v>416</v>
      </c>
    </row>
    <row r="3064" spans="1:17" hidden="1" x14ac:dyDescent="0.25">
      <c r="A3064" s="114" t="s">
        <v>6393</v>
      </c>
      <c r="B3064" s="115" t="s">
        <v>6394</v>
      </c>
      <c r="C3064" s="116" t="s">
        <v>16</v>
      </c>
      <c r="D3064" s="116">
        <v>0</v>
      </c>
      <c r="E3064" s="136" t="s">
        <v>416</v>
      </c>
      <c r="F3064" s="137" t="str">
        <f t="shared" si="224"/>
        <v/>
      </c>
      <c r="G3064" s="138" t="e">
        <f>IF(A3064&lt;&gt;"",IF(AND(#REF!="Padrão",$H$4=#REF!),BDI!$B$17,IF(AND(#REF!="Padrão",$H$4=#REF!),BDI!#REF!,IF(AND(#REF!="Diferenciado",$H$4=#REF!),BDI!$E$17,IF(AND(#REF!="Diferenciado",$H$4=#REF!),BDI!#REF!,IF(#REF!="ZERO",0))))),"")</f>
        <v>#REF!</v>
      </c>
      <c r="H3064" s="139" t="str">
        <f t="shared" si="225"/>
        <v/>
      </c>
      <c r="I3064" s="137" t="str">
        <f t="shared" si="226"/>
        <v/>
      </c>
      <c r="J3064" s="117"/>
      <c r="K3064" s="116">
        <v>0</v>
      </c>
      <c r="M3064" s="136" t="s">
        <v>416</v>
      </c>
      <c r="N3064" t="e">
        <v>#REF!</v>
      </c>
      <c r="Q3064" t="s">
        <v>416</v>
      </c>
    </row>
    <row r="3065" spans="1:17" hidden="1" x14ac:dyDescent="0.25">
      <c r="A3065" s="114" t="s">
        <v>6395</v>
      </c>
      <c r="B3065" s="115" t="s">
        <v>6396</v>
      </c>
      <c r="C3065" s="116" t="s">
        <v>16</v>
      </c>
      <c r="D3065" s="116">
        <v>0</v>
      </c>
      <c r="E3065" s="136" t="s">
        <v>416</v>
      </c>
      <c r="F3065" s="137" t="str">
        <f t="shared" si="224"/>
        <v/>
      </c>
      <c r="G3065" s="138" t="e">
        <f>IF(A3065&lt;&gt;"",IF(AND(#REF!="Padrão",$H$4=#REF!),BDI!$B$17,IF(AND(#REF!="Padrão",$H$4=#REF!),BDI!#REF!,IF(AND(#REF!="Diferenciado",$H$4=#REF!),BDI!$E$17,IF(AND(#REF!="Diferenciado",$H$4=#REF!),BDI!#REF!,IF(#REF!="ZERO",0))))),"")</f>
        <v>#REF!</v>
      </c>
      <c r="H3065" s="139" t="str">
        <f t="shared" si="225"/>
        <v/>
      </c>
      <c r="I3065" s="137" t="str">
        <f t="shared" si="226"/>
        <v/>
      </c>
      <c r="J3065" s="117"/>
      <c r="K3065" s="116">
        <v>0</v>
      </c>
      <c r="M3065" s="136" t="s">
        <v>416</v>
      </c>
      <c r="N3065" t="e">
        <v>#REF!</v>
      </c>
      <c r="Q3065" t="s">
        <v>416</v>
      </c>
    </row>
    <row r="3066" spans="1:17" hidden="1" x14ac:dyDescent="0.25">
      <c r="A3066" s="114" t="s">
        <v>6397</v>
      </c>
      <c r="B3066" s="115" t="s">
        <v>6398</v>
      </c>
      <c r="C3066" s="116" t="s">
        <v>16</v>
      </c>
      <c r="D3066" s="116">
        <v>0</v>
      </c>
      <c r="E3066" s="136" t="s">
        <v>416</v>
      </c>
      <c r="F3066" s="137" t="str">
        <f t="shared" si="224"/>
        <v/>
      </c>
      <c r="G3066" s="138" t="e">
        <f>IF(A3066&lt;&gt;"",IF(AND(#REF!="Padrão",$H$4=#REF!),BDI!$B$17,IF(AND(#REF!="Padrão",$H$4=#REF!),BDI!#REF!,IF(AND(#REF!="Diferenciado",$H$4=#REF!),BDI!$E$17,IF(AND(#REF!="Diferenciado",$H$4=#REF!),BDI!#REF!,IF(#REF!="ZERO",0))))),"")</f>
        <v>#REF!</v>
      </c>
      <c r="H3066" s="139" t="str">
        <f t="shared" si="225"/>
        <v/>
      </c>
      <c r="I3066" s="137" t="str">
        <f t="shared" si="226"/>
        <v/>
      </c>
      <c r="J3066" s="117"/>
      <c r="K3066" s="116">
        <v>0</v>
      </c>
      <c r="M3066" s="136" t="s">
        <v>416</v>
      </c>
      <c r="N3066" t="e">
        <v>#REF!</v>
      </c>
      <c r="Q3066" t="s">
        <v>416</v>
      </c>
    </row>
    <row r="3067" spans="1:17" hidden="1" x14ac:dyDescent="0.25">
      <c r="A3067" s="114" t="s">
        <v>6399</v>
      </c>
      <c r="B3067" s="115" t="s">
        <v>6400</v>
      </c>
      <c r="C3067" s="116" t="s">
        <v>16</v>
      </c>
      <c r="D3067" s="116">
        <v>0</v>
      </c>
      <c r="E3067" s="136" t="s">
        <v>416</v>
      </c>
      <c r="F3067" s="137" t="str">
        <f t="shared" si="224"/>
        <v/>
      </c>
      <c r="G3067" s="138" t="e">
        <f>IF(A3067&lt;&gt;"",IF(AND(#REF!="Padrão",$H$4=#REF!),BDI!$B$17,IF(AND(#REF!="Padrão",$H$4=#REF!),BDI!#REF!,IF(AND(#REF!="Diferenciado",$H$4=#REF!),BDI!$E$17,IF(AND(#REF!="Diferenciado",$H$4=#REF!),BDI!#REF!,IF(#REF!="ZERO",0))))),"")</f>
        <v>#REF!</v>
      </c>
      <c r="H3067" s="139" t="str">
        <f t="shared" si="225"/>
        <v/>
      </c>
      <c r="I3067" s="137" t="str">
        <f t="shared" si="226"/>
        <v/>
      </c>
      <c r="J3067" s="117"/>
      <c r="K3067" s="116">
        <v>0</v>
      </c>
      <c r="M3067" s="136" t="s">
        <v>416</v>
      </c>
      <c r="N3067" t="e">
        <v>#REF!</v>
      </c>
      <c r="Q3067" t="s">
        <v>416</v>
      </c>
    </row>
    <row r="3068" spans="1:17" hidden="1" x14ac:dyDescent="0.25">
      <c r="A3068" s="114" t="s">
        <v>6401</v>
      </c>
      <c r="B3068" s="115" t="s">
        <v>6402</v>
      </c>
      <c r="C3068" s="116" t="s">
        <v>16</v>
      </c>
      <c r="D3068" s="116">
        <v>0</v>
      </c>
      <c r="E3068" s="136" t="s">
        <v>416</v>
      </c>
      <c r="F3068" s="137" t="str">
        <f t="shared" si="224"/>
        <v/>
      </c>
      <c r="G3068" s="138" t="e">
        <f>IF(A3068&lt;&gt;"",IF(AND(#REF!="Padrão",$H$4=#REF!),BDI!$B$17,IF(AND(#REF!="Padrão",$H$4=#REF!),BDI!#REF!,IF(AND(#REF!="Diferenciado",$H$4=#REF!),BDI!$E$17,IF(AND(#REF!="Diferenciado",$H$4=#REF!),BDI!#REF!,IF(#REF!="ZERO",0))))),"")</f>
        <v>#REF!</v>
      </c>
      <c r="H3068" s="139" t="str">
        <f t="shared" si="225"/>
        <v/>
      </c>
      <c r="I3068" s="137" t="str">
        <f t="shared" si="226"/>
        <v/>
      </c>
      <c r="J3068" s="117"/>
      <c r="K3068" s="116">
        <v>0</v>
      </c>
      <c r="M3068" s="136" t="s">
        <v>416</v>
      </c>
      <c r="N3068" t="e">
        <v>#REF!</v>
      </c>
      <c r="Q3068" t="s">
        <v>416</v>
      </c>
    </row>
    <row r="3069" spans="1:17" hidden="1" x14ac:dyDescent="0.25">
      <c r="A3069" s="114" t="s">
        <v>6403</v>
      </c>
      <c r="B3069" s="115" t="s">
        <v>6404</v>
      </c>
      <c r="C3069" s="116" t="s">
        <v>16</v>
      </c>
      <c r="D3069" s="116">
        <v>0</v>
      </c>
      <c r="E3069" s="136" t="s">
        <v>416</v>
      </c>
      <c r="F3069" s="137" t="str">
        <f t="shared" si="224"/>
        <v/>
      </c>
      <c r="G3069" s="138" t="e">
        <f>IF(A3069&lt;&gt;"",IF(AND(#REF!="Padrão",$H$4=#REF!),BDI!$B$17,IF(AND(#REF!="Padrão",$H$4=#REF!),BDI!#REF!,IF(AND(#REF!="Diferenciado",$H$4=#REF!),BDI!$E$17,IF(AND(#REF!="Diferenciado",$H$4=#REF!),BDI!#REF!,IF(#REF!="ZERO",0))))),"")</f>
        <v>#REF!</v>
      </c>
      <c r="H3069" s="139" t="str">
        <f t="shared" si="225"/>
        <v/>
      </c>
      <c r="I3069" s="137" t="str">
        <f t="shared" si="226"/>
        <v/>
      </c>
      <c r="J3069" s="117"/>
      <c r="K3069" s="116">
        <v>0</v>
      </c>
      <c r="M3069" s="136" t="s">
        <v>416</v>
      </c>
      <c r="N3069" t="e">
        <v>#REF!</v>
      </c>
      <c r="Q3069" t="s">
        <v>416</v>
      </c>
    </row>
    <row r="3070" spans="1:17" hidden="1" x14ac:dyDescent="0.25">
      <c r="A3070" s="114" t="s">
        <v>6405</v>
      </c>
      <c r="B3070" s="115" t="s">
        <v>6406</v>
      </c>
      <c r="C3070" s="116" t="s">
        <v>16</v>
      </c>
      <c r="D3070" s="116">
        <v>0</v>
      </c>
      <c r="E3070" s="136" t="s">
        <v>416</v>
      </c>
      <c r="F3070" s="137" t="str">
        <f t="shared" si="224"/>
        <v/>
      </c>
      <c r="G3070" s="138" t="e">
        <f>IF(A3070&lt;&gt;"",IF(AND(#REF!="Padrão",$H$4=#REF!),BDI!$B$17,IF(AND(#REF!="Padrão",$H$4=#REF!),BDI!#REF!,IF(AND(#REF!="Diferenciado",$H$4=#REF!),BDI!$E$17,IF(AND(#REF!="Diferenciado",$H$4=#REF!),BDI!#REF!,IF(#REF!="ZERO",0))))),"")</f>
        <v>#REF!</v>
      </c>
      <c r="H3070" s="139" t="str">
        <f t="shared" si="225"/>
        <v/>
      </c>
      <c r="I3070" s="137" t="str">
        <f t="shared" si="226"/>
        <v/>
      </c>
      <c r="J3070" s="117"/>
      <c r="K3070" s="116">
        <v>0</v>
      </c>
      <c r="M3070" s="136" t="s">
        <v>416</v>
      </c>
      <c r="N3070" t="e">
        <v>#REF!</v>
      </c>
      <c r="Q3070" t="s">
        <v>416</v>
      </c>
    </row>
    <row r="3071" spans="1:17" hidden="1" x14ac:dyDescent="0.25">
      <c r="A3071" s="114" t="s">
        <v>6407</v>
      </c>
      <c r="B3071" s="115" t="s">
        <v>6408</v>
      </c>
      <c r="C3071" s="116" t="s">
        <v>16</v>
      </c>
      <c r="D3071" s="116">
        <v>0</v>
      </c>
      <c r="E3071" s="136" t="s">
        <v>416</v>
      </c>
      <c r="F3071" s="137" t="str">
        <f t="shared" si="224"/>
        <v/>
      </c>
      <c r="G3071" s="138" t="e">
        <f>IF(A3071&lt;&gt;"",IF(AND(#REF!="Padrão",$H$4=#REF!),BDI!$B$17,IF(AND(#REF!="Padrão",$H$4=#REF!),BDI!#REF!,IF(AND(#REF!="Diferenciado",$H$4=#REF!),BDI!$E$17,IF(AND(#REF!="Diferenciado",$H$4=#REF!),BDI!#REF!,IF(#REF!="ZERO",0))))),"")</f>
        <v>#REF!</v>
      </c>
      <c r="H3071" s="139" t="str">
        <f t="shared" si="225"/>
        <v/>
      </c>
      <c r="I3071" s="137" t="str">
        <f t="shared" si="226"/>
        <v/>
      </c>
      <c r="J3071" s="117"/>
      <c r="K3071" s="116">
        <v>0</v>
      </c>
      <c r="M3071" s="136" t="s">
        <v>416</v>
      </c>
      <c r="N3071" t="e">
        <v>#REF!</v>
      </c>
      <c r="Q3071" t="s">
        <v>416</v>
      </c>
    </row>
    <row r="3072" spans="1:17" hidden="1" x14ac:dyDescent="0.25">
      <c r="A3072" s="114" t="s">
        <v>6409</v>
      </c>
      <c r="B3072" s="115" t="s">
        <v>7291</v>
      </c>
      <c r="C3072" s="116" t="s">
        <v>16</v>
      </c>
      <c r="D3072" s="116">
        <v>0</v>
      </c>
      <c r="E3072" s="136" t="s">
        <v>416</v>
      </c>
      <c r="F3072" s="137" t="str">
        <f t="shared" si="224"/>
        <v/>
      </c>
      <c r="G3072" s="138" t="e">
        <f>IF(A3072&lt;&gt;"",IF(AND(#REF!="Padrão",$H$4=#REF!),BDI!$B$17,IF(AND(#REF!="Padrão",$H$4=#REF!),BDI!#REF!,IF(AND(#REF!="Diferenciado",$H$4=#REF!),BDI!$E$17,IF(AND(#REF!="Diferenciado",$H$4=#REF!),BDI!#REF!,IF(#REF!="ZERO",0))))),"")</f>
        <v>#REF!</v>
      </c>
      <c r="H3072" s="139" t="str">
        <f t="shared" si="225"/>
        <v/>
      </c>
      <c r="I3072" s="137" t="str">
        <f t="shared" si="226"/>
        <v/>
      </c>
      <c r="J3072" s="117"/>
      <c r="K3072" s="116">
        <v>0</v>
      </c>
      <c r="M3072" s="136" t="s">
        <v>416</v>
      </c>
      <c r="N3072" t="e">
        <v>#REF!</v>
      </c>
      <c r="Q3072" t="s">
        <v>416</v>
      </c>
    </row>
    <row r="3073" spans="1:17" hidden="1" x14ac:dyDescent="0.25">
      <c r="A3073" s="114" t="s">
        <v>6410</v>
      </c>
      <c r="B3073" s="115" t="s">
        <v>6411</v>
      </c>
      <c r="C3073" s="116" t="s">
        <v>16</v>
      </c>
      <c r="D3073" s="116">
        <v>0</v>
      </c>
      <c r="E3073" s="136" t="s">
        <v>416</v>
      </c>
      <c r="F3073" s="137" t="str">
        <f t="shared" si="224"/>
        <v/>
      </c>
      <c r="G3073" s="138" t="e">
        <f>IF(A3073&lt;&gt;"",IF(AND(#REF!="Padrão",$H$4=#REF!),BDI!$B$17,IF(AND(#REF!="Padrão",$H$4=#REF!),BDI!#REF!,IF(AND(#REF!="Diferenciado",$H$4=#REF!),BDI!$E$17,IF(AND(#REF!="Diferenciado",$H$4=#REF!),BDI!#REF!,IF(#REF!="ZERO",0))))),"")</f>
        <v>#REF!</v>
      </c>
      <c r="H3073" s="139" t="str">
        <f t="shared" si="225"/>
        <v/>
      </c>
      <c r="I3073" s="137" t="str">
        <f t="shared" si="226"/>
        <v/>
      </c>
      <c r="J3073" s="117"/>
      <c r="K3073" s="116">
        <v>0</v>
      </c>
      <c r="M3073" s="136" t="s">
        <v>416</v>
      </c>
      <c r="N3073" t="e">
        <v>#REF!</v>
      </c>
      <c r="Q3073" t="s">
        <v>416</v>
      </c>
    </row>
    <row r="3074" spans="1:17" hidden="1" x14ac:dyDescent="0.25">
      <c r="A3074" s="114" t="s">
        <v>6412</v>
      </c>
      <c r="B3074" s="115" t="s">
        <v>7290</v>
      </c>
      <c r="C3074" s="116" t="s">
        <v>16</v>
      </c>
      <c r="D3074" s="116">
        <v>0</v>
      </c>
      <c r="E3074" s="136" t="s">
        <v>416</v>
      </c>
      <c r="F3074" s="137" t="str">
        <f t="shared" si="224"/>
        <v/>
      </c>
      <c r="G3074" s="138" t="e">
        <f>IF(A3074&lt;&gt;"",IF(AND(#REF!="Padrão",$H$4=#REF!),BDI!$B$17,IF(AND(#REF!="Padrão",$H$4=#REF!),BDI!#REF!,IF(AND(#REF!="Diferenciado",$H$4=#REF!),BDI!$E$17,IF(AND(#REF!="Diferenciado",$H$4=#REF!),BDI!#REF!,IF(#REF!="ZERO",0))))),"")</f>
        <v>#REF!</v>
      </c>
      <c r="H3074" s="139" t="str">
        <f t="shared" si="225"/>
        <v/>
      </c>
      <c r="I3074" s="137" t="str">
        <f t="shared" si="226"/>
        <v/>
      </c>
      <c r="J3074" s="117"/>
      <c r="K3074" s="116">
        <v>0</v>
      </c>
      <c r="M3074" s="136" t="s">
        <v>416</v>
      </c>
      <c r="N3074" t="e">
        <v>#REF!</v>
      </c>
      <c r="Q3074" t="s">
        <v>416</v>
      </c>
    </row>
    <row r="3075" spans="1:17" hidden="1" x14ac:dyDescent="0.25">
      <c r="A3075" s="114" t="s">
        <v>6413</v>
      </c>
      <c r="B3075" s="115" t="s">
        <v>7289</v>
      </c>
      <c r="C3075" s="116" t="s">
        <v>16</v>
      </c>
      <c r="D3075" s="116">
        <v>0</v>
      </c>
      <c r="E3075" s="136" t="s">
        <v>416</v>
      </c>
      <c r="F3075" s="137" t="str">
        <f t="shared" si="224"/>
        <v/>
      </c>
      <c r="G3075" s="138" t="e">
        <f>IF(A3075&lt;&gt;"",IF(AND(#REF!="Padrão",$H$4=#REF!),BDI!$B$17,IF(AND(#REF!="Padrão",$H$4=#REF!),BDI!#REF!,IF(AND(#REF!="Diferenciado",$H$4=#REF!),BDI!$E$17,IF(AND(#REF!="Diferenciado",$H$4=#REF!),BDI!#REF!,IF(#REF!="ZERO",0))))),"")</f>
        <v>#REF!</v>
      </c>
      <c r="H3075" s="139" t="str">
        <f t="shared" si="225"/>
        <v/>
      </c>
      <c r="I3075" s="137" t="str">
        <f t="shared" si="226"/>
        <v/>
      </c>
      <c r="J3075" s="117"/>
      <c r="K3075" s="116">
        <v>0</v>
      </c>
      <c r="M3075" s="136" t="s">
        <v>416</v>
      </c>
      <c r="N3075" t="e">
        <v>#REF!</v>
      </c>
      <c r="Q3075" t="s">
        <v>416</v>
      </c>
    </row>
    <row r="3076" spans="1:17" hidden="1" x14ac:dyDescent="0.25">
      <c r="A3076" s="114" t="s">
        <v>6414</v>
      </c>
      <c r="B3076" s="115" t="s">
        <v>6415</v>
      </c>
      <c r="C3076" s="116" t="s">
        <v>16</v>
      </c>
      <c r="D3076" s="116">
        <v>0</v>
      </c>
      <c r="E3076" s="136" t="s">
        <v>416</v>
      </c>
      <c r="F3076" s="137" t="str">
        <f t="shared" si="224"/>
        <v/>
      </c>
      <c r="G3076" s="138" t="e">
        <f>IF(A3076&lt;&gt;"",IF(AND(#REF!="Padrão",$H$4=#REF!),BDI!$B$17,IF(AND(#REF!="Padrão",$H$4=#REF!),BDI!#REF!,IF(AND(#REF!="Diferenciado",$H$4=#REF!),BDI!$E$17,IF(AND(#REF!="Diferenciado",$H$4=#REF!),BDI!#REF!,IF(#REF!="ZERO",0))))),"")</f>
        <v>#REF!</v>
      </c>
      <c r="H3076" s="139" t="str">
        <f t="shared" si="225"/>
        <v/>
      </c>
      <c r="I3076" s="137" t="str">
        <f t="shared" si="226"/>
        <v/>
      </c>
      <c r="J3076" s="117"/>
      <c r="K3076" s="116">
        <v>0</v>
      </c>
      <c r="M3076" s="136" t="s">
        <v>416</v>
      </c>
      <c r="N3076" t="e">
        <v>#REF!</v>
      </c>
      <c r="Q3076" t="s">
        <v>416</v>
      </c>
    </row>
    <row r="3077" spans="1:17" hidden="1" x14ac:dyDescent="0.25">
      <c r="A3077" s="114" t="s">
        <v>6416</v>
      </c>
      <c r="B3077" s="115" t="s">
        <v>6417</v>
      </c>
      <c r="C3077" s="116" t="s">
        <v>16</v>
      </c>
      <c r="D3077" s="116">
        <v>0</v>
      </c>
      <c r="E3077" s="136" t="s">
        <v>416</v>
      </c>
      <c r="F3077" s="137" t="str">
        <f t="shared" si="224"/>
        <v/>
      </c>
      <c r="G3077" s="138" t="e">
        <f>IF(A3077&lt;&gt;"",IF(AND(#REF!="Padrão",$H$4=#REF!),BDI!$B$17,IF(AND(#REF!="Padrão",$H$4=#REF!),BDI!#REF!,IF(AND(#REF!="Diferenciado",$H$4=#REF!),BDI!$E$17,IF(AND(#REF!="Diferenciado",$H$4=#REF!),BDI!#REF!,IF(#REF!="ZERO",0))))),"")</f>
        <v>#REF!</v>
      </c>
      <c r="H3077" s="139" t="str">
        <f t="shared" si="225"/>
        <v/>
      </c>
      <c r="I3077" s="137" t="str">
        <f t="shared" si="226"/>
        <v/>
      </c>
      <c r="J3077" s="117"/>
      <c r="K3077" s="116">
        <v>0</v>
      </c>
      <c r="M3077" s="136" t="s">
        <v>416</v>
      </c>
      <c r="N3077" t="e">
        <v>#REF!</v>
      </c>
      <c r="Q3077" t="s">
        <v>416</v>
      </c>
    </row>
    <row r="3078" spans="1:17" hidden="1" x14ac:dyDescent="0.25">
      <c r="A3078" s="114" t="s">
        <v>6418</v>
      </c>
      <c r="B3078" s="115" t="s">
        <v>6419</v>
      </c>
      <c r="C3078" s="116" t="s">
        <v>16</v>
      </c>
      <c r="D3078" s="116">
        <v>0</v>
      </c>
      <c r="E3078" s="136" t="s">
        <v>416</v>
      </c>
      <c r="F3078" s="137" t="str">
        <f t="shared" si="224"/>
        <v/>
      </c>
      <c r="G3078" s="138" t="e">
        <f>IF(A3078&lt;&gt;"",IF(AND(#REF!="Padrão",$H$4=#REF!),BDI!$B$17,IF(AND(#REF!="Padrão",$H$4=#REF!),BDI!#REF!,IF(AND(#REF!="Diferenciado",$H$4=#REF!),BDI!$E$17,IF(AND(#REF!="Diferenciado",$H$4=#REF!),BDI!#REF!,IF(#REF!="ZERO",0))))),"")</f>
        <v>#REF!</v>
      </c>
      <c r="H3078" s="139" t="str">
        <f t="shared" si="225"/>
        <v/>
      </c>
      <c r="I3078" s="137" t="str">
        <f t="shared" si="226"/>
        <v/>
      </c>
      <c r="J3078" s="117"/>
      <c r="K3078" s="116">
        <v>0</v>
      </c>
      <c r="M3078" s="136" t="s">
        <v>416</v>
      </c>
      <c r="N3078" t="e">
        <v>#REF!</v>
      </c>
      <c r="Q3078" t="s">
        <v>416</v>
      </c>
    </row>
    <row r="3079" spans="1:17" hidden="1" x14ac:dyDescent="0.25">
      <c r="A3079" s="114" t="s">
        <v>6420</v>
      </c>
      <c r="B3079" s="115" t="s">
        <v>6421</v>
      </c>
      <c r="C3079" s="116" t="s">
        <v>16</v>
      </c>
      <c r="D3079" s="116">
        <v>0</v>
      </c>
      <c r="E3079" s="136" t="s">
        <v>416</v>
      </c>
      <c r="F3079" s="137" t="str">
        <f t="shared" si="224"/>
        <v/>
      </c>
      <c r="G3079" s="138" t="e">
        <f>IF(A3079&lt;&gt;"",IF(AND(#REF!="Padrão",$H$4=#REF!),BDI!$B$17,IF(AND(#REF!="Padrão",$H$4=#REF!),BDI!#REF!,IF(AND(#REF!="Diferenciado",$H$4=#REF!),BDI!$E$17,IF(AND(#REF!="Diferenciado",$H$4=#REF!),BDI!#REF!,IF(#REF!="ZERO",0))))),"")</f>
        <v>#REF!</v>
      </c>
      <c r="H3079" s="139" t="str">
        <f t="shared" si="225"/>
        <v/>
      </c>
      <c r="I3079" s="137" t="str">
        <f t="shared" si="226"/>
        <v/>
      </c>
      <c r="J3079" s="117"/>
      <c r="K3079" s="116">
        <v>0</v>
      </c>
      <c r="M3079" s="136" t="s">
        <v>416</v>
      </c>
      <c r="N3079" t="e">
        <v>#REF!</v>
      </c>
      <c r="Q3079" t="s">
        <v>416</v>
      </c>
    </row>
    <row r="3080" spans="1:17" hidden="1" x14ac:dyDescent="0.25">
      <c r="A3080" s="114" t="s">
        <v>6422</v>
      </c>
      <c r="B3080" s="115" t="s">
        <v>7288</v>
      </c>
      <c r="C3080" s="116" t="s">
        <v>1683</v>
      </c>
      <c r="D3080" s="116">
        <v>0</v>
      </c>
      <c r="E3080" s="136" t="s">
        <v>416</v>
      </c>
      <c r="F3080" s="137" t="str">
        <f t="shared" si="224"/>
        <v/>
      </c>
      <c r="G3080" s="138" t="e">
        <f>IF(A3080&lt;&gt;"",IF(AND(#REF!="Padrão",$H$4=#REF!),BDI!$B$17,IF(AND(#REF!="Padrão",$H$4=#REF!),BDI!#REF!,IF(AND(#REF!="Diferenciado",$H$4=#REF!),BDI!$E$17,IF(AND(#REF!="Diferenciado",$H$4=#REF!),BDI!#REF!,IF(#REF!="ZERO",0))))),"")</f>
        <v>#REF!</v>
      </c>
      <c r="H3080" s="139" t="str">
        <f t="shared" si="225"/>
        <v/>
      </c>
      <c r="I3080" s="137" t="str">
        <f t="shared" si="226"/>
        <v/>
      </c>
      <c r="J3080" s="117"/>
      <c r="K3080" s="116">
        <v>0</v>
      </c>
      <c r="M3080" s="136" t="s">
        <v>416</v>
      </c>
      <c r="N3080" t="e">
        <v>#REF!</v>
      </c>
      <c r="Q3080" t="s">
        <v>416</v>
      </c>
    </row>
    <row r="3081" spans="1:17" hidden="1" x14ac:dyDescent="0.25">
      <c r="A3081" s="114" t="s">
        <v>6423</v>
      </c>
      <c r="B3081" s="115" t="s">
        <v>6424</v>
      </c>
      <c r="C3081" s="116" t="s">
        <v>16</v>
      </c>
      <c r="D3081" s="116">
        <v>0</v>
      </c>
      <c r="E3081" s="136" t="s">
        <v>416</v>
      </c>
      <c r="F3081" s="137" t="str">
        <f t="shared" si="224"/>
        <v/>
      </c>
      <c r="G3081" s="138" t="e">
        <f>IF(A3081&lt;&gt;"",IF(AND(#REF!="Padrão",$H$4=#REF!),BDI!$B$17,IF(AND(#REF!="Padrão",$H$4=#REF!),BDI!#REF!,IF(AND(#REF!="Diferenciado",$H$4=#REF!),BDI!$E$17,IF(AND(#REF!="Diferenciado",$H$4=#REF!),BDI!#REF!,IF(#REF!="ZERO",0))))),"")</f>
        <v>#REF!</v>
      </c>
      <c r="H3081" s="139" t="str">
        <f t="shared" si="225"/>
        <v/>
      </c>
      <c r="I3081" s="137" t="str">
        <f t="shared" si="226"/>
        <v/>
      </c>
      <c r="J3081" s="117"/>
      <c r="K3081" s="116">
        <v>0</v>
      </c>
      <c r="M3081" s="136" t="s">
        <v>416</v>
      </c>
      <c r="N3081" t="e">
        <v>#REF!</v>
      </c>
      <c r="Q3081" t="s">
        <v>416</v>
      </c>
    </row>
    <row r="3082" spans="1:17" ht="25.5" hidden="1" x14ac:dyDescent="0.25">
      <c r="A3082" s="114" t="s">
        <v>6425</v>
      </c>
      <c r="B3082" s="115" t="s">
        <v>6426</v>
      </c>
      <c r="C3082" s="116" t="s">
        <v>2373</v>
      </c>
      <c r="D3082" s="116">
        <v>0</v>
      </c>
      <c r="E3082" s="136" t="s">
        <v>416</v>
      </c>
      <c r="F3082" s="137" t="str">
        <f t="shared" si="224"/>
        <v/>
      </c>
      <c r="G3082" s="138" t="e">
        <f>IF(A3082&lt;&gt;"",IF(AND(#REF!="Padrão",$H$4=#REF!),BDI!$B$17,IF(AND(#REF!="Padrão",$H$4=#REF!),BDI!#REF!,IF(AND(#REF!="Diferenciado",$H$4=#REF!),BDI!$E$17,IF(AND(#REF!="Diferenciado",$H$4=#REF!),BDI!#REF!,IF(#REF!="ZERO",0))))),"")</f>
        <v>#REF!</v>
      </c>
      <c r="H3082" s="139" t="str">
        <f t="shared" si="225"/>
        <v/>
      </c>
      <c r="I3082" s="137" t="str">
        <f t="shared" si="226"/>
        <v/>
      </c>
      <c r="J3082" s="117"/>
      <c r="K3082" s="116">
        <v>0</v>
      </c>
      <c r="M3082" s="136" t="s">
        <v>416</v>
      </c>
      <c r="N3082" t="e">
        <v>#REF!</v>
      </c>
      <c r="Q3082" t="s">
        <v>416</v>
      </c>
    </row>
    <row r="3083" spans="1:17" hidden="1" x14ac:dyDescent="0.25">
      <c r="A3083" s="114" t="s">
        <v>6427</v>
      </c>
      <c r="B3083" s="115" t="s">
        <v>6428</v>
      </c>
      <c r="C3083" s="116" t="s">
        <v>2373</v>
      </c>
      <c r="D3083" s="116">
        <v>0</v>
      </c>
      <c r="E3083" s="136" t="s">
        <v>416</v>
      </c>
      <c r="F3083" s="137" t="str">
        <f t="shared" si="224"/>
        <v/>
      </c>
      <c r="G3083" s="138" t="e">
        <f>IF(A3083&lt;&gt;"",IF(AND(#REF!="Padrão",$H$4=#REF!),BDI!$B$17,IF(AND(#REF!="Padrão",$H$4=#REF!),BDI!#REF!,IF(AND(#REF!="Diferenciado",$H$4=#REF!),BDI!$E$17,IF(AND(#REF!="Diferenciado",$H$4=#REF!),BDI!#REF!,IF(#REF!="ZERO",0))))),"")</f>
        <v>#REF!</v>
      </c>
      <c r="H3083" s="139" t="str">
        <f t="shared" si="225"/>
        <v/>
      </c>
      <c r="I3083" s="137" t="str">
        <f t="shared" si="226"/>
        <v/>
      </c>
      <c r="J3083" s="117"/>
      <c r="K3083" s="116">
        <v>0</v>
      </c>
      <c r="M3083" s="136" t="s">
        <v>416</v>
      </c>
      <c r="N3083" t="e">
        <v>#REF!</v>
      </c>
      <c r="Q3083" t="s">
        <v>416</v>
      </c>
    </row>
    <row r="3084" spans="1:17" hidden="1" x14ac:dyDescent="0.25">
      <c r="A3084" s="114" t="s">
        <v>6429</v>
      </c>
      <c r="B3084" s="115" t="s">
        <v>6430</v>
      </c>
      <c r="C3084" s="116" t="s">
        <v>16</v>
      </c>
      <c r="D3084" s="116">
        <v>0</v>
      </c>
      <c r="E3084" s="136" t="s">
        <v>416</v>
      </c>
      <c r="F3084" s="137" t="str">
        <f t="shared" si="224"/>
        <v/>
      </c>
      <c r="G3084" s="138" t="e">
        <f>IF(A3084&lt;&gt;"",IF(AND(#REF!="Padrão",$H$4=#REF!),BDI!$B$17,IF(AND(#REF!="Padrão",$H$4=#REF!),BDI!#REF!,IF(AND(#REF!="Diferenciado",$H$4=#REF!),BDI!$E$17,IF(AND(#REF!="Diferenciado",$H$4=#REF!),BDI!#REF!,IF(#REF!="ZERO",0))))),"")</f>
        <v>#REF!</v>
      </c>
      <c r="H3084" s="139" t="str">
        <f t="shared" si="225"/>
        <v/>
      </c>
      <c r="I3084" s="137" t="str">
        <f t="shared" si="226"/>
        <v/>
      </c>
      <c r="J3084" s="117"/>
      <c r="K3084" s="116">
        <v>0</v>
      </c>
      <c r="M3084" s="136" t="s">
        <v>416</v>
      </c>
      <c r="N3084" t="e">
        <v>#REF!</v>
      </c>
      <c r="Q3084" t="s">
        <v>416</v>
      </c>
    </row>
    <row r="3085" spans="1:17" hidden="1" x14ac:dyDescent="0.25">
      <c r="A3085" s="114" t="s">
        <v>6431</v>
      </c>
      <c r="B3085" s="115" t="s">
        <v>6432</v>
      </c>
      <c r="C3085" s="116" t="s">
        <v>2373</v>
      </c>
      <c r="D3085" s="116">
        <v>0</v>
      </c>
      <c r="E3085" s="136" t="s">
        <v>416</v>
      </c>
      <c r="F3085" s="137" t="str">
        <f t="shared" si="224"/>
        <v/>
      </c>
      <c r="G3085" s="138" t="e">
        <f>IF(A3085&lt;&gt;"",IF(AND(#REF!="Padrão",$H$4=#REF!),BDI!$B$17,IF(AND(#REF!="Padrão",$H$4=#REF!),BDI!#REF!,IF(AND(#REF!="Diferenciado",$H$4=#REF!),BDI!$E$17,IF(AND(#REF!="Diferenciado",$H$4=#REF!),BDI!#REF!,IF(#REF!="ZERO",0))))),"")</f>
        <v>#REF!</v>
      </c>
      <c r="H3085" s="139" t="str">
        <f t="shared" si="225"/>
        <v/>
      </c>
      <c r="I3085" s="137" t="str">
        <f t="shared" si="226"/>
        <v/>
      </c>
      <c r="J3085" s="117"/>
      <c r="K3085" s="116">
        <v>0</v>
      </c>
      <c r="M3085" s="136" t="s">
        <v>416</v>
      </c>
      <c r="N3085" t="e">
        <v>#REF!</v>
      </c>
      <c r="Q3085" t="s">
        <v>416</v>
      </c>
    </row>
    <row r="3086" spans="1:17" hidden="1" x14ac:dyDescent="0.25">
      <c r="A3086" s="114" t="s">
        <v>6433</v>
      </c>
      <c r="B3086" s="115" t="s">
        <v>6434</v>
      </c>
      <c r="C3086" s="116" t="s">
        <v>69</v>
      </c>
      <c r="D3086" s="116">
        <v>0</v>
      </c>
      <c r="E3086" s="136" t="s">
        <v>416</v>
      </c>
      <c r="F3086" s="137" t="str">
        <f t="shared" si="224"/>
        <v/>
      </c>
      <c r="G3086" s="138" t="e">
        <f>IF(A3086&lt;&gt;"",IF(AND(#REF!="Padrão",$H$4=#REF!),BDI!$B$17,IF(AND(#REF!="Padrão",$H$4=#REF!),BDI!#REF!,IF(AND(#REF!="Diferenciado",$H$4=#REF!),BDI!$E$17,IF(AND(#REF!="Diferenciado",$H$4=#REF!),BDI!#REF!,IF(#REF!="ZERO",0))))),"")</f>
        <v>#REF!</v>
      </c>
      <c r="H3086" s="139" t="str">
        <f t="shared" si="225"/>
        <v/>
      </c>
      <c r="I3086" s="137" t="str">
        <f t="shared" si="226"/>
        <v/>
      </c>
      <c r="J3086" s="117"/>
      <c r="K3086" s="116">
        <v>0</v>
      </c>
      <c r="M3086" s="136" t="s">
        <v>416</v>
      </c>
      <c r="N3086" t="e">
        <v>#REF!</v>
      </c>
      <c r="Q3086" t="s">
        <v>416</v>
      </c>
    </row>
    <row r="3087" spans="1:17" hidden="1" x14ac:dyDescent="0.25">
      <c r="A3087" s="114" t="s">
        <v>6435</v>
      </c>
      <c r="B3087" s="115" t="s">
        <v>6436</v>
      </c>
      <c r="C3087" s="116" t="s">
        <v>16</v>
      </c>
      <c r="D3087" s="116">
        <v>0</v>
      </c>
      <c r="E3087" s="136" t="s">
        <v>416</v>
      </c>
      <c r="F3087" s="137" t="str">
        <f t="shared" si="224"/>
        <v/>
      </c>
      <c r="G3087" s="138" t="e">
        <f>IF(A3087&lt;&gt;"",IF(AND(#REF!="Padrão",$H$4=#REF!),BDI!$B$17,IF(AND(#REF!="Padrão",$H$4=#REF!),BDI!#REF!,IF(AND(#REF!="Diferenciado",$H$4=#REF!),BDI!$E$17,IF(AND(#REF!="Diferenciado",$H$4=#REF!),BDI!#REF!,IF(#REF!="ZERO",0))))),"")</f>
        <v>#REF!</v>
      </c>
      <c r="H3087" s="139" t="str">
        <f t="shared" si="225"/>
        <v/>
      </c>
      <c r="I3087" s="137" t="str">
        <f t="shared" si="226"/>
        <v/>
      </c>
      <c r="J3087" s="117"/>
      <c r="K3087" s="116">
        <v>0</v>
      </c>
      <c r="M3087" s="136" t="s">
        <v>416</v>
      </c>
      <c r="N3087" t="e">
        <v>#REF!</v>
      </c>
      <c r="Q3087" t="s">
        <v>416</v>
      </c>
    </row>
    <row r="3088" spans="1:17" hidden="1" x14ac:dyDescent="0.25">
      <c r="A3088" s="114" t="s">
        <v>6437</v>
      </c>
      <c r="B3088" s="115" t="s">
        <v>6438</v>
      </c>
      <c r="C3088" s="116" t="s">
        <v>16</v>
      </c>
      <c r="D3088" s="116">
        <v>0</v>
      </c>
      <c r="E3088" s="136" t="s">
        <v>416</v>
      </c>
      <c r="F3088" s="137" t="str">
        <f t="shared" si="224"/>
        <v/>
      </c>
      <c r="G3088" s="138" t="e">
        <f>IF(A3088&lt;&gt;"",IF(AND(#REF!="Padrão",$H$4=#REF!),BDI!$B$17,IF(AND(#REF!="Padrão",$H$4=#REF!),BDI!#REF!,IF(AND(#REF!="Diferenciado",$H$4=#REF!),BDI!$E$17,IF(AND(#REF!="Diferenciado",$H$4=#REF!),BDI!#REF!,IF(#REF!="ZERO",0))))),"")</f>
        <v>#REF!</v>
      </c>
      <c r="H3088" s="139" t="str">
        <f t="shared" si="225"/>
        <v/>
      </c>
      <c r="I3088" s="137" t="str">
        <f t="shared" si="226"/>
        <v/>
      </c>
      <c r="J3088" s="117"/>
      <c r="K3088" s="116">
        <v>0</v>
      </c>
      <c r="M3088" s="136" t="s">
        <v>416</v>
      </c>
      <c r="N3088" t="e">
        <v>#REF!</v>
      </c>
      <c r="Q3088" t="s">
        <v>416</v>
      </c>
    </row>
    <row r="3089" spans="1:17" hidden="1" x14ac:dyDescent="0.25">
      <c r="A3089" s="114" t="s">
        <v>6439</v>
      </c>
      <c r="B3089" s="115" t="s">
        <v>6440</v>
      </c>
      <c r="C3089" s="116" t="s">
        <v>2177</v>
      </c>
      <c r="D3089" s="116">
        <v>0</v>
      </c>
      <c r="E3089" s="136">
        <f ca="1">OFFSET(INDEX(Composições!A:J,MATCH(Orçamentária!A3089,Composições!A:A,0),8),2,0)</f>
        <v>12375.49610285</v>
      </c>
      <c r="F3089" s="137">
        <f t="shared" ca="1" si="224"/>
        <v>0</v>
      </c>
      <c r="G3089" s="138" t="e">
        <f>IF(A3089&lt;&gt;"",IF(AND(#REF!="Padrão",$H$4=#REF!),BDI!$B$17,IF(AND(#REF!="Padrão",$H$4=#REF!),BDI!#REF!,IF(AND(#REF!="Diferenciado",$H$4=#REF!),BDI!$E$17,IF(AND(#REF!="Diferenciado",$H$4=#REF!),BDI!#REF!,IF(#REF!="ZERO",0))))),"")</f>
        <v>#REF!</v>
      </c>
      <c r="H3089" s="139" t="e">
        <f t="shared" ca="1" si="225"/>
        <v>#REF!</v>
      </c>
      <c r="I3089" s="137" t="e">
        <f t="shared" ca="1" si="226"/>
        <v>#REF!</v>
      </c>
      <c r="J3089" s="117"/>
      <c r="K3089" s="116">
        <v>0</v>
      </c>
      <c r="M3089" s="136" t="e">
        <f ca="1">OFFSET(INDEX([1]Composições!I:R,MATCH([1]Orçamentária!I3089,[1]Composições!I:I,0),8),2,0)</f>
        <v>#REF!</v>
      </c>
      <c r="N3089" t="e">
        <v>#REF!</v>
      </c>
      <c r="Q3089" t="e">
        <v>#REF!</v>
      </c>
    </row>
    <row r="3090" spans="1:17" hidden="1" x14ac:dyDescent="0.25">
      <c r="A3090" s="114" t="s">
        <v>6441</v>
      </c>
      <c r="B3090" s="115" t="s">
        <v>6442</v>
      </c>
      <c r="C3090" s="116" t="s">
        <v>2177</v>
      </c>
      <c r="D3090" s="116">
        <v>0</v>
      </c>
      <c r="E3090" s="136">
        <f ca="1">OFFSET(INDEX(Composições!A:J,MATCH(Orçamentária!A3090,Composições!A:A,0),8),2,0)</f>
        <v>12375.49610285</v>
      </c>
      <c r="F3090" s="137">
        <f t="shared" ca="1" si="224"/>
        <v>0</v>
      </c>
      <c r="G3090" s="138" t="e">
        <f>IF(A3090&lt;&gt;"",IF(AND(#REF!="Padrão",$H$4=#REF!),BDI!$B$17,IF(AND(#REF!="Padrão",$H$4=#REF!),BDI!#REF!,IF(AND(#REF!="Diferenciado",$H$4=#REF!),BDI!$E$17,IF(AND(#REF!="Diferenciado",$H$4=#REF!),BDI!#REF!,IF(#REF!="ZERO",0))))),"")</f>
        <v>#REF!</v>
      </c>
      <c r="H3090" s="139" t="e">
        <f t="shared" ca="1" si="225"/>
        <v>#REF!</v>
      </c>
      <c r="I3090" s="137" t="e">
        <f t="shared" ca="1" si="226"/>
        <v>#REF!</v>
      </c>
      <c r="J3090" s="117"/>
      <c r="K3090" s="116">
        <v>0</v>
      </c>
      <c r="M3090" s="136" t="e">
        <f ca="1">OFFSET(INDEX([1]Composições!I:R,MATCH([1]Orçamentária!I3090,[1]Composições!I:I,0),8),2,0)</f>
        <v>#REF!</v>
      </c>
      <c r="N3090" t="e">
        <v>#REF!</v>
      </c>
      <c r="Q3090" t="e">
        <v>#REF!</v>
      </c>
    </row>
    <row r="3091" spans="1:17" hidden="1" x14ac:dyDescent="0.25">
      <c r="A3091" s="114" t="s">
        <v>6443</v>
      </c>
      <c r="B3091" s="115" t="s">
        <v>6444</v>
      </c>
      <c r="C3091" s="116" t="s">
        <v>2177</v>
      </c>
      <c r="D3091" s="116">
        <v>0</v>
      </c>
      <c r="E3091" s="136">
        <f ca="1">OFFSET(INDEX(Composições!A:J,MATCH(Orçamentária!A3091,Composições!A:A,0),8),2,0)</f>
        <v>2294.4844096499996</v>
      </c>
      <c r="F3091" s="137">
        <f t="shared" ca="1" si="224"/>
        <v>0</v>
      </c>
      <c r="G3091" s="138" t="e">
        <f>IF(A3091&lt;&gt;"",IF(AND(#REF!="Padrão",$H$4=#REF!),BDI!$B$17,IF(AND(#REF!="Padrão",$H$4=#REF!),BDI!#REF!,IF(AND(#REF!="Diferenciado",$H$4=#REF!),BDI!$E$17,IF(AND(#REF!="Diferenciado",$H$4=#REF!),BDI!#REF!,IF(#REF!="ZERO",0))))),"")</f>
        <v>#REF!</v>
      </c>
      <c r="H3091" s="139" t="e">
        <f t="shared" ca="1" si="225"/>
        <v>#REF!</v>
      </c>
      <c r="I3091" s="137" t="e">
        <f t="shared" ca="1" si="226"/>
        <v>#REF!</v>
      </c>
      <c r="J3091" s="117"/>
      <c r="K3091" s="116">
        <v>0</v>
      </c>
      <c r="M3091" s="136" t="e">
        <f ca="1">OFFSET(INDEX([1]Composições!I:R,MATCH([1]Orçamentária!I3091,[1]Composições!I:I,0),8),2,0)</f>
        <v>#REF!</v>
      </c>
      <c r="N3091" t="e">
        <v>#REF!</v>
      </c>
      <c r="Q3091" t="e">
        <v>#REF!</v>
      </c>
    </row>
    <row r="3092" spans="1:17" hidden="1" x14ac:dyDescent="0.25">
      <c r="A3092" s="114" t="s">
        <v>6445</v>
      </c>
      <c r="B3092" s="115" t="s">
        <v>6446</v>
      </c>
      <c r="C3092" s="116" t="s">
        <v>2177</v>
      </c>
      <c r="D3092" s="116">
        <v>0</v>
      </c>
      <c r="E3092" s="136">
        <f ca="1">OFFSET(INDEX(Composições!A:J,MATCH(Orçamentária!A3092,Composições!A:A,0),8),2,0)</f>
        <v>2805.6959339499999</v>
      </c>
      <c r="F3092" s="137">
        <f t="shared" ca="1" si="224"/>
        <v>0</v>
      </c>
      <c r="G3092" s="138" t="e">
        <f>IF(A3092&lt;&gt;"",IF(AND(#REF!="Padrão",$H$4=#REF!),BDI!$B$17,IF(AND(#REF!="Padrão",$H$4=#REF!),BDI!#REF!,IF(AND(#REF!="Diferenciado",$H$4=#REF!),BDI!$E$17,IF(AND(#REF!="Diferenciado",$H$4=#REF!),BDI!#REF!,IF(#REF!="ZERO",0))))),"")</f>
        <v>#REF!</v>
      </c>
      <c r="H3092" s="139" t="e">
        <f t="shared" ca="1" si="225"/>
        <v>#REF!</v>
      </c>
      <c r="I3092" s="137" t="e">
        <f t="shared" ca="1" si="226"/>
        <v>#REF!</v>
      </c>
      <c r="J3092" s="117"/>
      <c r="K3092" s="116">
        <v>0</v>
      </c>
      <c r="M3092" s="136" t="e">
        <f ca="1">OFFSET(INDEX([1]Composições!I:R,MATCH([1]Orçamentária!I3092,[1]Composições!I:I,0),8),2,0)</f>
        <v>#REF!</v>
      </c>
      <c r="N3092" t="e">
        <v>#REF!</v>
      </c>
      <c r="Q3092" t="e">
        <v>#REF!</v>
      </c>
    </row>
    <row r="3093" spans="1:17" hidden="1" x14ac:dyDescent="0.25">
      <c r="A3093" s="114" t="s">
        <v>6447</v>
      </c>
      <c r="B3093" s="115" t="s">
        <v>6448</v>
      </c>
      <c r="C3093" s="116" t="s">
        <v>2177</v>
      </c>
      <c r="D3093" s="116">
        <v>0</v>
      </c>
      <c r="E3093" s="136">
        <f ca="1">OFFSET(INDEX(Composições!A:J,MATCH(Orçamentária!A3093,Composições!A:A,0),8),2,0)</f>
        <v>1331.7358580499999</v>
      </c>
      <c r="F3093" s="137">
        <f t="shared" ca="1" si="224"/>
        <v>0</v>
      </c>
      <c r="G3093" s="138" t="e">
        <f>IF(A3093&lt;&gt;"",IF(AND(#REF!="Padrão",$H$4=#REF!),BDI!$B$17,IF(AND(#REF!="Padrão",$H$4=#REF!),BDI!#REF!,IF(AND(#REF!="Diferenciado",$H$4=#REF!),BDI!$E$17,IF(AND(#REF!="Diferenciado",$H$4=#REF!),BDI!#REF!,IF(#REF!="ZERO",0))))),"")</f>
        <v>#REF!</v>
      </c>
      <c r="H3093" s="139" t="e">
        <f t="shared" ca="1" si="225"/>
        <v>#REF!</v>
      </c>
      <c r="I3093" s="137" t="e">
        <f t="shared" ca="1" si="226"/>
        <v>#REF!</v>
      </c>
      <c r="J3093" s="117"/>
      <c r="K3093" s="116">
        <v>0</v>
      </c>
      <c r="M3093" s="136" t="e">
        <f ca="1">OFFSET(INDEX([1]Composições!I:R,MATCH([1]Orçamentária!I3093,[1]Composições!I:I,0),8),2,0)</f>
        <v>#REF!</v>
      </c>
      <c r="N3093" t="e">
        <v>#REF!</v>
      </c>
      <c r="Q3093" t="e">
        <v>#REF!</v>
      </c>
    </row>
    <row r="3094" spans="1:17" hidden="1" x14ac:dyDescent="0.25">
      <c r="A3094" s="114" t="s">
        <v>6449</v>
      </c>
      <c r="B3094" s="115" t="s">
        <v>6450</v>
      </c>
      <c r="C3094" s="116" t="s">
        <v>2177</v>
      </c>
      <c r="D3094" s="116">
        <v>0</v>
      </c>
      <c r="E3094" s="136">
        <f ca="1">OFFSET(INDEX(Composições!A:J,MATCH(Orçamentária!A3094,Composições!A:A,0),8),2,0)</f>
        <v>2805.6959339499999</v>
      </c>
      <c r="F3094" s="137">
        <f t="shared" ca="1" si="224"/>
        <v>0</v>
      </c>
      <c r="G3094" s="138" t="e">
        <f>IF(A3094&lt;&gt;"",IF(AND(#REF!="Padrão",$H$4=#REF!),BDI!$B$17,IF(AND(#REF!="Padrão",$H$4=#REF!),BDI!#REF!,IF(AND(#REF!="Diferenciado",$H$4=#REF!),BDI!$E$17,IF(AND(#REF!="Diferenciado",$H$4=#REF!),BDI!#REF!,IF(#REF!="ZERO",0))))),"")</f>
        <v>#REF!</v>
      </c>
      <c r="H3094" s="139" t="e">
        <f t="shared" ca="1" si="225"/>
        <v>#REF!</v>
      </c>
      <c r="I3094" s="137" t="e">
        <f t="shared" ca="1" si="226"/>
        <v>#REF!</v>
      </c>
      <c r="J3094" s="117"/>
      <c r="K3094" s="116">
        <v>0</v>
      </c>
      <c r="M3094" s="136" t="e">
        <f ca="1">OFFSET(INDEX([1]Composições!I:R,MATCH([1]Orçamentária!I3094,[1]Composições!I:I,0),8),2,0)</f>
        <v>#REF!</v>
      </c>
      <c r="N3094" t="e">
        <v>#REF!</v>
      </c>
      <c r="Q3094" t="e">
        <v>#REF!</v>
      </c>
    </row>
    <row r="3095" spans="1:17" hidden="1" x14ac:dyDescent="0.25">
      <c r="A3095" s="114" t="s">
        <v>6451</v>
      </c>
      <c r="B3095" s="115" t="s">
        <v>6452</v>
      </c>
      <c r="C3095" s="116" t="s">
        <v>2177</v>
      </c>
      <c r="D3095" s="116">
        <v>0</v>
      </c>
      <c r="E3095" s="136">
        <f ca="1">OFFSET(INDEX(Composições!A:J,MATCH(Orçamentária!A3095,Composições!A:A,0),8),2,0)</f>
        <v>2805.6959339499999</v>
      </c>
      <c r="F3095" s="137">
        <f t="shared" ref="F3095:F3119" ca="1" si="227">IF(ISNUMBER(E3095),D3095*E3095,"")</f>
        <v>0</v>
      </c>
      <c r="G3095" s="138" t="e">
        <f>IF(A3095&lt;&gt;"",IF(AND(#REF!="Padrão",$H$4=#REF!),BDI!$B$17,IF(AND(#REF!="Padrão",$H$4=#REF!),BDI!#REF!,IF(AND(#REF!="Diferenciado",$H$4=#REF!),BDI!$E$17,IF(AND(#REF!="Diferenciado",$H$4=#REF!),BDI!#REF!,IF(#REF!="ZERO",0))))),"")</f>
        <v>#REF!</v>
      </c>
      <c r="H3095" s="139" t="e">
        <f t="shared" ref="H3095:H3119" ca="1" si="228">IF(ISNUMBER(E3095),ROUND(E3095*(1+G3095),2),"")</f>
        <v>#REF!</v>
      </c>
      <c r="I3095" s="137" t="e">
        <f t="shared" ref="I3095:I3119" ca="1" si="229">IF(ISNUMBER(E3095),ROUND(H3095*D3095,2),"")</f>
        <v>#REF!</v>
      </c>
      <c r="J3095" s="117"/>
      <c r="K3095" s="116">
        <v>0</v>
      </c>
      <c r="M3095" s="136" t="e">
        <f ca="1">OFFSET(INDEX([1]Composições!I:R,MATCH([1]Orçamentária!I3095,[1]Composições!I:I,0),8),2,0)</f>
        <v>#REF!</v>
      </c>
      <c r="N3095" t="e">
        <v>#REF!</v>
      </c>
      <c r="Q3095" t="e">
        <v>#REF!</v>
      </c>
    </row>
    <row r="3096" spans="1:17" hidden="1" x14ac:dyDescent="0.25">
      <c r="A3096" s="114" t="s">
        <v>6453</v>
      </c>
      <c r="B3096" s="115" t="s">
        <v>6454</v>
      </c>
      <c r="C3096" s="116" t="s">
        <v>2177</v>
      </c>
      <c r="D3096" s="116">
        <v>0</v>
      </c>
      <c r="E3096" s="136">
        <f ca="1">OFFSET(INDEX(Composições!A:J,MATCH(Orçamentária!A3096,Composições!A:A,0),8),2,0)</f>
        <v>2215.9129886000001</v>
      </c>
      <c r="F3096" s="137">
        <f t="shared" ca="1" si="227"/>
        <v>0</v>
      </c>
      <c r="G3096" s="138" t="e">
        <f>IF(A3096&lt;&gt;"",IF(AND(#REF!="Padrão",$H$4=#REF!),BDI!$B$17,IF(AND(#REF!="Padrão",$H$4=#REF!),BDI!#REF!,IF(AND(#REF!="Diferenciado",$H$4=#REF!),BDI!$E$17,IF(AND(#REF!="Diferenciado",$H$4=#REF!),BDI!#REF!,IF(#REF!="ZERO",0))))),"")</f>
        <v>#REF!</v>
      </c>
      <c r="H3096" s="139" t="e">
        <f t="shared" ca="1" si="228"/>
        <v>#REF!</v>
      </c>
      <c r="I3096" s="137" t="e">
        <f t="shared" ca="1" si="229"/>
        <v>#REF!</v>
      </c>
      <c r="J3096" s="117"/>
      <c r="K3096" s="116">
        <v>0</v>
      </c>
      <c r="M3096" s="136" t="e">
        <f ca="1">OFFSET(INDEX([1]Composições!I:R,MATCH([1]Orçamentária!I3096,[1]Composições!I:I,0),8),2,0)</f>
        <v>#REF!</v>
      </c>
      <c r="N3096" t="e">
        <v>#REF!</v>
      </c>
      <c r="Q3096" t="e">
        <v>#REF!</v>
      </c>
    </row>
    <row r="3097" spans="1:17" hidden="1" x14ac:dyDescent="0.25">
      <c r="A3097" s="114" t="s">
        <v>6455</v>
      </c>
      <c r="B3097" s="115" t="s">
        <v>6456</v>
      </c>
      <c r="C3097" s="116" t="s">
        <v>2177</v>
      </c>
      <c r="D3097" s="116">
        <v>0</v>
      </c>
      <c r="E3097" s="136">
        <f ca="1">OFFSET(INDEX(Composições!A:J,MATCH(Orçamentária!A3097,Composições!A:A,0),8),2,0)</f>
        <v>2215.9129886000001</v>
      </c>
      <c r="F3097" s="137">
        <f t="shared" ca="1" si="227"/>
        <v>0</v>
      </c>
      <c r="G3097" s="138" t="e">
        <f>IF(A3097&lt;&gt;"",IF(AND(#REF!="Padrão",$H$4=#REF!),BDI!$B$17,IF(AND(#REF!="Padrão",$H$4=#REF!),BDI!#REF!,IF(AND(#REF!="Diferenciado",$H$4=#REF!),BDI!$E$17,IF(AND(#REF!="Diferenciado",$H$4=#REF!),BDI!#REF!,IF(#REF!="ZERO",0))))),"")</f>
        <v>#REF!</v>
      </c>
      <c r="H3097" s="139" t="e">
        <f t="shared" ca="1" si="228"/>
        <v>#REF!</v>
      </c>
      <c r="I3097" s="137" t="e">
        <f t="shared" ca="1" si="229"/>
        <v>#REF!</v>
      </c>
      <c r="J3097" s="117"/>
      <c r="K3097" s="116">
        <v>0</v>
      </c>
      <c r="M3097" s="136" t="e">
        <f ca="1">OFFSET(INDEX([1]Composições!I:R,MATCH([1]Orçamentária!I3097,[1]Composições!I:I,0),8),2,0)</f>
        <v>#REF!</v>
      </c>
      <c r="N3097" t="e">
        <v>#REF!</v>
      </c>
      <c r="Q3097" t="e">
        <v>#REF!</v>
      </c>
    </row>
    <row r="3098" spans="1:17" hidden="1" x14ac:dyDescent="0.25">
      <c r="A3098" s="114" t="s">
        <v>6457</v>
      </c>
      <c r="B3098" s="115" t="s">
        <v>6458</v>
      </c>
      <c r="C3098" s="116" t="s">
        <v>2177</v>
      </c>
      <c r="D3098" s="116">
        <v>0</v>
      </c>
      <c r="E3098" s="136">
        <f ca="1">OFFSET(INDEX(Composições!A:J,MATCH(Orçamentária!A3098,Composições!A:A,0),8),2,0)</f>
        <v>2215.9129886000001</v>
      </c>
      <c r="F3098" s="137">
        <f t="shared" ca="1" si="227"/>
        <v>0</v>
      </c>
      <c r="G3098" s="138" t="e">
        <f>IF(A3098&lt;&gt;"",IF(AND(#REF!="Padrão",$H$4=#REF!),BDI!$B$17,IF(AND(#REF!="Padrão",$H$4=#REF!),BDI!#REF!,IF(AND(#REF!="Diferenciado",$H$4=#REF!),BDI!$E$17,IF(AND(#REF!="Diferenciado",$H$4=#REF!),BDI!#REF!,IF(#REF!="ZERO",0))))),"")</f>
        <v>#REF!</v>
      </c>
      <c r="H3098" s="139" t="e">
        <f t="shared" ca="1" si="228"/>
        <v>#REF!</v>
      </c>
      <c r="I3098" s="137" t="e">
        <f t="shared" ca="1" si="229"/>
        <v>#REF!</v>
      </c>
      <c r="J3098" s="117"/>
      <c r="K3098" s="116">
        <v>0</v>
      </c>
      <c r="M3098" s="136" t="e">
        <f ca="1">OFFSET(INDEX([1]Composições!I:R,MATCH([1]Orçamentária!I3098,[1]Composições!I:I,0),8),2,0)</f>
        <v>#REF!</v>
      </c>
      <c r="N3098" t="e">
        <v>#REF!</v>
      </c>
      <c r="Q3098" t="e">
        <v>#REF!</v>
      </c>
    </row>
    <row r="3099" spans="1:17" hidden="1" x14ac:dyDescent="0.25">
      <c r="A3099" s="114" t="s">
        <v>6459</v>
      </c>
      <c r="B3099" s="115" t="s">
        <v>6460</v>
      </c>
      <c r="C3099" s="116" t="s">
        <v>16</v>
      </c>
      <c r="D3099" s="116">
        <v>0</v>
      </c>
      <c r="E3099" s="136" t="s">
        <v>416</v>
      </c>
      <c r="F3099" s="137" t="str">
        <f t="shared" si="227"/>
        <v/>
      </c>
      <c r="G3099" s="138" t="e">
        <f>IF(A3099&lt;&gt;"",IF(AND(#REF!="Padrão",$H$4=#REF!),BDI!$B$17,IF(AND(#REF!="Padrão",$H$4=#REF!),BDI!#REF!,IF(AND(#REF!="Diferenciado",$H$4=#REF!),BDI!$E$17,IF(AND(#REF!="Diferenciado",$H$4=#REF!),BDI!#REF!,IF(#REF!="ZERO",0))))),"")</f>
        <v>#REF!</v>
      </c>
      <c r="H3099" s="139" t="str">
        <f t="shared" si="228"/>
        <v/>
      </c>
      <c r="I3099" s="137" t="str">
        <f t="shared" si="229"/>
        <v/>
      </c>
      <c r="J3099" s="117"/>
      <c r="K3099" s="116">
        <v>0</v>
      </c>
      <c r="M3099" s="136" t="s">
        <v>416</v>
      </c>
      <c r="N3099" t="e">
        <v>#REF!</v>
      </c>
      <c r="Q3099" t="s">
        <v>416</v>
      </c>
    </row>
    <row r="3100" spans="1:17" hidden="1" x14ac:dyDescent="0.25">
      <c r="A3100" s="114" t="s">
        <v>6461</v>
      </c>
      <c r="B3100" s="115" t="s">
        <v>7287</v>
      </c>
      <c r="C3100" s="116" t="s">
        <v>16</v>
      </c>
      <c r="D3100" s="116">
        <v>0</v>
      </c>
      <c r="E3100" s="136">
        <f ca="1">OFFSET(INDEX(Composições!A:J,MATCH(Orçamentária!A3100,Composições!A:A,0),8),2,0)</f>
        <v>584.62049999999999</v>
      </c>
      <c r="F3100" s="137">
        <f t="shared" ca="1" si="227"/>
        <v>0</v>
      </c>
      <c r="G3100" s="138" t="e">
        <f>IF(A3100&lt;&gt;"",IF(AND(#REF!="Padrão",$H$4=#REF!),BDI!$B$17,IF(AND(#REF!="Padrão",$H$4=#REF!),BDI!#REF!,IF(AND(#REF!="Diferenciado",$H$4=#REF!),BDI!$E$17,IF(AND(#REF!="Diferenciado",$H$4=#REF!),BDI!#REF!,IF(#REF!="ZERO",0))))),"")</f>
        <v>#REF!</v>
      </c>
      <c r="H3100" s="139" t="e">
        <f t="shared" ca="1" si="228"/>
        <v>#REF!</v>
      </c>
      <c r="I3100" s="137" t="e">
        <f t="shared" ca="1" si="229"/>
        <v>#REF!</v>
      </c>
      <c r="J3100" s="117"/>
      <c r="K3100" s="116">
        <v>0</v>
      </c>
      <c r="M3100" s="136" t="e">
        <f ca="1">OFFSET(INDEX([1]Composições!I:R,MATCH([1]Orçamentária!I3100,[1]Composições!I:I,0),8),2,0)</f>
        <v>#REF!</v>
      </c>
      <c r="N3100" t="e">
        <v>#REF!</v>
      </c>
      <c r="Q3100" t="e">
        <v>#REF!</v>
      </c>
    </row>
    <row r="3101" spans="1:17" hidden="1" x14ac:dyDescent="0.25">
      <c r="A3101" s="114" t="s">
        <v>6462</v>
      </c>
      <c r="B3101" s="115" t="s">
        <v>6463</v>
      </c>
      <c r="C3101" s="116" t="s">
        <v>16</v>
      </c>
      <c r="D3101" s="116">
        <v>0</v>
      </c>
      <c r="E3101" s="136">
        <f ca="1">OFFSET(INDEX(Composições!A:J,MATCH(Orçamentária!A3101,Composições!A:A,0),8),2,0)</f>
        <v>172.62450000000001</v>
      </c>
      <c r="F3101" s="137">
        <f t="shared" ca="1" si="227"/>
        <v>0</v>
      </c>
      <c r="G3101" s="138" t="e">
        <f>IF(A3101&lt;&gt;"",IF(AND(#REF!="Padrão",$H$4=#REF!),BDI!$B$17,IF(AND(#REF!="Padrão",$H$4=#REF!),BDI!#REF!,IF(AND(#REF!="Diferenciado",$H$4=#REF!),BDI!$E$17,IF(AND(#REF!="Diferenciado",$H$4=#REF!),BDI!#REF!,IF(#REF!="ZERO",0))))),"")</f>
        <v>#REF!</v>
      </c>
      <c r="H3101" s="139" t="e">
        <f t="shared" ca="1" si="228"/>
        <v>#REF!</v>
      </c>
      <c r="I3101" s="137" t="e">
        <f t="shared" ca="1" si="229"/>
        <v>#REF!</v>
      </c>
      <c r="J3101" s="117"/>
      <c r="K3101" s="116">
        <v>0</v>
      </c>
      <c r="M3101" s="136" t="e">
        <f ca="1">OFFSET(INDEX([1]Composições!I:R,MATCH([1]Orçamentária!I3101,[1]Composições!I:I,0),8),2,0)</f>
        <v>#REF!</v>
      </c>
      <c r="N3101" t="e">
        <v>#REF!</v>
      </c>
      <c r="Q3101" t="e">
        <v>#REF!</v>
      </c>
    </row>
    <row r="3102" spans="1:17" hidden="1" x14ac:dyDescent="0.25">
      <c r="A3102" s="114" t="s">
        <v>6464</v>
      </c>
      <c r="B3102" s="115" t="s">
        <v>6465</v>
      </c>
      <c r="C3102" s="116" t="s">
        <v>16</v>
      </c>
      <c r="D3102" s="116">
        <v>0</v>
      </c>
      <c r="E3102" s="136" t="s">
        <v>416</v>
      </c>
      <c r="F3102" s="137" t="str">
        <f t="shared" si="227"/>
        <v/>
      </c>
      <c r="G3102" s="138" t="e">
        <f>IF(A3102&lt;&gt;"",IF(AND(#REF!="Padrão",$H$4=#REF!),BDI!$B$17,IF(AND(#REF!="Padrão",$H$4=#REF!),BDI!#REF!,IF(AND(#REF!="Diferenciado",$H$4=#REF!),BDI!$E$17,IF(AND(#REF!="Diferenciado",$H$4=#REF!),BDI!#REF!,IF(#REF!="ZERO",0))))),"")</f>
        <v>#REF!</v>
      </c>
      <c r="H3102" s="139" t="str">
        <f t="shared" si="228"/>
        <v/>
      </c>
      <c r="I3102" s="137" t="str">
        <f t="shared" si="229"/>
        <v/>
      </c>
      <c r="J3102" s="117"/>
      <c r="K3102" s="116">
        <v>0</v>
      </c>
      <c r="M3102" s="136" t="s">
        <v>416</v>
      </c>
      <c r="N3102" t="e">
        <v>#REF!</v>
      </c>
      <c r="Q3102" t="s">
        <v>416</v>
      </c>
    </row>
    <row r="3103" spans="1:17" hidden="1" x14ac:dyDescent="0.25">
      <c r="A3103" s="114" t="s">
        <v>6466</v>
      </c>
      <c r="B3103" s="115" t="s">
        <v>6467</v>
      </c>
      <c r="C3103" s="116" t="s">
        <v>16</v>
      </c>
      <c r="D3103" s="116">
        <v>0</v>
      </c>
      <c r="E3103" s="136" t="s">
        <v>416</v>
      </c>
      <c r="F3103" s="137" t="str">
        <f t="shared" si="227"/>
        <v/>
      </c>
      <c r="G3103" s="138" t="e">
        <f>IF(A3103&lt;&gt;"",IF(AND(#REF!="Padrão",$H$4=#REF!),BDI!$B$17,IF(AND(#REF!="Padrão",$H$4=#REF!),BDI!#REF!,IF(AND(#REF!="Diferenciado",$H$4=#REF!),BDI!$E$17,IF(AND(#REF!="Diferenciado",$H$4=#REF!),BDI!#REF!,IF(#REF!="ZERO",0))))),"")</f>
        <v>#REF!</v>
      </c>
      <c r="H3103" s="139" t="str">
        <f t="shared" si="228"/>
        <v/>
      </c>
      <c r="I3103" s="137" t="str">
        <f t="shared" si="229"/>
        <v/>
      </c>
      <c r="J3103" s="117"/>
      <c r="K3103" s="116">
        <v>0</v>
      </c>
      <c r="M3103" s="136" t="s">
        <v>416</v>
      </c>
      <c r="N3103" t="e">
        <v>#REF!</v>
      </c>
      <c r="Q3103" t="s">
        <v>416</v>
      </c>
    </row>
    <row r="3104" spans="1:17" hidden="1" x14ac:dyDescent="0.25">
      <c r="A3104" s="114" t="s">
        <v>6468</v>
      </c>
      <c r="B3104" s="115" t="s">
        <v>6469</v>
      </c>
      <c r="C3104" s="116" t="s">
        <v>16</v>
      </c>
      <c r="D3104" s="116">
        <v>0</v>
      </c>
      <c r="E3104" s="136" t="s">
        <v>416</v>
      </c>
      <c r="F3104" s="137" t="str">
        <f t="shared" si="227"/>
        <v/>
      </c>
      <c r="G3104" s="138" t="e">
        <f>IF(A3104&lt;&gt;"",IF(AND(#REF!="Padrão",$H$4=#REF!),BDI!$B$17,IF(AND(#REF!="Padrão",$H$4=#REF!),BDI!#REF!,IF(AND(#REF!="Diferenciado",$H$4=#REF!),BDI!$E$17,IF(AND(#REF!="Diferenciado",$H$4=#REF!),BDI!#REF!,IF(#REF!="ZERO",0))))),"")</f>
        <v>#REF!</v>
      </c>
      <c r="H3104" s="139" t="str">
        <f t="shared" si="228"/>
        <v/>
      </c>
      <c r="I3104" s="137" t="str">
        <f t="shared" si="229"/>
        <v/>
      </c>
      <c r="J3104" s="117"/>
      <c r="K3104" s="116">
        <v>0</v>
      </c>
      <c r="M3104" s="136" t="s">
        <v>416</v>
      </c>
      <c r="N3104" t="e">
        <v>#REF!</v>
      </c>
      <c r="Q3104" t="s">
        <v>416</v>
      </c>
    </row>
    <row r="3105" spans="1:17" hidden="1" x14ac:dyDescent="0.25">
      <c r="A3105" s="114" t="s">
        <v>6470</v>
      </c>
      <c r="B3105" s="115" t="s">
        <v>6471</v>
      </c>
      <c r="C3105" s="116" t="s">
        <v>16</v>
      </c>
      <c r="D3105" s="116">
        <v>0</v>
      </c>
      <c r="E3105" s="136" t="s">
        <v>416</v>
      </c>
      <c r="F3105" s="137" t="str">
        <f t="shared" si="227"/>
        <v/>
      </c>
      <c r="G3105" s="138" t="e">
        <f>IF(A3105&lt;&gt;"",IF(AND(#REF!="Padrão",$H$4=#REF!),BDI!$B$17,IF(AND(#REF!="Padrão",$H$4=#REF!),BDI!#REF!,IF(AND(#REF!="Diferenciado",$H$4=#REF!),BDI!$E$17,IF(AND(#REF!="Diferenciado",$H$4=#REF!),BDI!#REF!,IF(#REF!="ZERO",0))))),"")</f>
        <v>#REF!</v>
      </c>
      <c r="H3105" s="139" t="str">
        <f t="shared" si="228"/>
        <v/>
      </c>
      <c r="I3105" s="137" t="str">
        <f t="shared" si="229"/>
        <v/>
      </c>
      <c r="J3105" s="117"/>
      <c r="K3105" s="116">
        <v>0</v>
      </c>
      <c r="M3105" s="136" t="s">
        <v>416</v>
      </c>
      <c r="N3105" t="e">
        <v>#REF!</v>
      </c>
      <c r="Q3105" t="s">
        <v>416</v>
      </c>
    </row>
    <row r="3106" spans="1:17" hidden="1" x14ac:dyDescent="0.25">
      <c r="A3106" s="114" t="s">
        <v>6472</v>
      </c>
      <c r="B3106" s="115" t="s">
        <v>6473</v>
      </c>
      <c r="C3106" s="116" t="s">
        <v>16</v>
      </c>
      <c r="D3106" s="116">
        <v>0</v>
      </c>
      <c r="E3106" s="136" t="s">
        <v>416</v>
      </c>
      <c r="F3106" s="137" t="str">
        <f t="shared" si="227"/>
        <v/>
      </c>
      <c r="G3106" s="138" t="e">
        <f>IF(A3106&lt;&gt;"",IF(AND(#REF!="Padrão",$H$4=#REF!),BDI!$B$17,IF(AND(#REF!="Padrão",$H$4=#REF!),BDI!#REF!,IF(AND(#REF!="Diferenciado",$H$4=#REF!),BDI!$E$17,IF(AND(#REF!="Diferenciado",$H$4=#REF!),BDI!#REF!,IF(#REF!="ZERO",0))))),"")</f>
        <v>#REF!</v>
      </c>
      <c r="H3106" s="139" t="str">
        <f t="shared" si="228"/>
        <v/>
      </c>
      <c r="I3106" s="137" t="str">
        <f t="shared" si="229"/>
        <v/>
      </c>
      <c r="J3106" s="117"/>
      <c r="K3106" s="116">
        <v>0</v>
      </c>
      <c r="M3106" s="136" t="s">
        <v>416</v>
      </c>
      <c r="N3106" t="e">
        <v>#REF!</v>
      </c>
      <c r="Q3106" t="s">
        <v>416</v>
      </c>
    </row>
    <row r="3107" spans="1:17" hidden="1" x14ac:dyDescent="0.25">
      <c r="A3107" s="114" t="s">
        <v>6474</v>
      </c>
      <c r="B3107" s="115" t="s">
        <v>6475</v>
      </c>
      <c r="C3107" s="116" t="s">
        <v>16</v>
      </c>
      <c r="D3107" s="116">
        <v>0</v>
      </c>
      <c r="E3107" s="136" t="s">
        <v>416</v>
      </c>
      <c r="F3107" s="137" t="str">
        <f t="shared" si="227"/>
        <v/>
      </c>
      <c r="G3107" s="138" t="e">
        <f>IF(A3107&lt;&gt;"",IF(AND(#REF!="Padrão",$H$4=#REF!),BDI!$B$17,IF(AND(#REF!="Padrão",$H$4=#REF!),BDI!#REF!,IF(AND(#REF!="Diferenciado",$H$4=#REF!),BDI!$E$17,IF(AND(#REF!="Diferenciado",$H$4=#REF!),BDI!#REF!,IF(#REF!="ZERO",0))))),"")</f>
        <v>#REF!</v>
      </c>
      <c r="H3107" s="139" t="str">
        <f t="shared" si="228"/>
        <v/>
      </c>
      <c r="I3107" s="137" t="str">
        <f t="shared" si="229"/>
        <v/>
      </c>
      <c r="J3107" s="117"/>
      <c r="K3107" s="116">
        <v>0</v>
      </c>
      <c r="M3107" s="136" t="s">
        <v>416</v>
      </c>
      <c r="N3107" t="e">
        <v>#REF!</v>
      </c>
      <c r="Q3107" t="s">
        <v>416</v>
      </c>
    </row>
    <row r="3108" spans="1:17" hidden="1" x14ac:dyDescent="0.25">
      <c r="A3108" s="114" t="s">
        <v>6476</v>
      </c>
      <c r="B3108" s="115" t="s">
        <v>6477</v>
      </c>
      <c r="C3108" s="116" t="s">
        <v>16</v>
      </c>
      <c r="D3108" s="116">
        <v>0</v>
      </c>
      <c r="E3108" s="136" t="s">
        <v>416</v>
      </c>
      <c r="F3108" s="137" t="str">
        <f t="shared" si="227"/>
        <v/>
      </c>
      <c r="G3108" s="138" t="e">
        <f>IF(A3108&lt;&gt;"",IF(AND(#REF!="Padrão",$H$4=#REF!),BDI!$B$17,IF(AND(#REF!="Padrão",$H$4=#REF!),BDI!#REF!,IF(AND(#REF!="Diferenciado",$H$4=#REF!),BDI!$E$17,IF(AND(#REF!="Diferenciado",$H$4=#REF!),BDI!#REF!,IF(#REF!="ZERO",0))))),"")</f>
        <v>#REF!</v>
      </c>
      <c r="H3108" s="139" t="str">
        <f t="shared" si="228"/>
        <v/>
      </c>
      <c r="I3108" s="137" t="str">
        <f t="shared" si="229"/>
        <v/>
      </c>
      <c r="J3108" s="117"/>
      <c r="K3108" s="116">
        <v>0</v>
      </c>
      <c r="M3108" s="136" t="s">
        <v>416</v>
      </c>
      <c r="N3108" t="e">
        <v>#REF!</v>
      </c>
      <c r="Q3108" t="s">
        <v>416</v>
      </c>
    </row>
    <row r="3109" spans="1:17" hidden="1" x14ac:dyDescent="0.25">
      <c r="A3109" s="114" t="s">
        <v>6478</v>
      </c>
      <c r="B3109" s="115" t="s">
        <v>6479</v>
      </c>
      <c r="C3109" s="116" t="s">
        <v>16</v>
      </c>
      <c r="D3109" s="116">
        <v>0</v>
      </c>
      <c r="E3109" s="136" t="s">
        <v>416</v>
      </c>
      <c r="F3109" s="137" t="str">
        <f t="shared" si="227"/>
        <v/>
      </c>
      <c r="G3109" s="138" t="e">
        <f>IF(A3109&lt;&gt;"",IF(AND(#REF!="Padrão",$H$4=#REF!),BDI!$B$17,IF(AND(#REF!="Padrão",$H$4=#REF!),BDI!#REF!,IF(AND(#REF!="Diferenciado",$H$4=#REF!),BDI!$E$17,IF(AND(#REF!="Diferenciado",$H$4=#REF!),BDI!#REF!,IF(#REF!="ZERO",0))))),"")</f>
        <v>#REF!</v>
      </c>
      <c r="H3109" s="139" t="str">
        <f t="shared" si="228"/>
        <v/>
      </c>
      <c r="I3109" s="137" t="str">
        <f t="shared" si="229"/>
        <v/>
      </c>
      <c r="J3109" s="117"/>
      <c r="K3109" s="116">
        <v>0</v>
      </c>
      <c r="M3109" s="136" t="s">
        <v>416</v>
      </c>
      <c r="N3109" t="e">
        <v>#REF!</v>
      </c>
      <c r="Q3109" t="s">
        <v>416</v>
      </c>
    </row>
    <row r="3110" spans="1:17" hidden="1" x14ac:dyDescent="0.25">
      <c r="A3110" s="114" t="s">
        <v>6480</v>
      </c>
      <c r="B3110" s="115" t="s">
        <v>6481</v>
      </c>
      <c r="C3110" s="116" t="s">
        <v>16</v>
      </c>
      <c r="D3110" s="116">
        <v>0</v>
      </c>
      <c r="E3110" s="136" t="s">
        <v>416</v>
      </c>
      <c r="F3110" s="137" t="str">
        <f t="shared" si="227"/>
        <v/>
      </c>
      <c r="G3110" s="138" t="e">
        <f>IF(A3110&lt;&gt;"",IF(AND(#REF!="Padrão",$H$4=#REF!),BDI!$B$17,IF(AND(#REF!="Padrão",$H$4=#REF!),BDI!#REF!,IF(AND(#REF!="Diferenciado",$H$4=#REF!),BDI!$E$17,IF(AND(#REF!="Diferenciado",$H$4=#REF!),BDI!#REF!,IF(#REF!="ZERO",0))))),"")</f>
        <v>#REF!</v>
      </c>
      <c r="H3110" s="139" t="str">
        <f t="shared" si="228"/>
        <v/>
      </c>
      <c r="I3110" s="137" t="str">
        <f t="shared" si="229"/>
        <v/>
      </c>
      <c r="J3110" s="117"/>
      <c r="K3110" s="116">
        <v>0</v>
      </c>
      <c r="M3110" s="136" t="s">
        <v>416</v>
      </c>
      <c r="N3110" t="e">
        <v>#REF!</v>
      </c>
      <c r="Q3110" t="s">
        <v>416</v>
      </c>
    </row>
    <row r="3111" spans="1:17" hidden="1" x14ac:dyDescent="0.25">
      <c r="A3111" s="114" t="s">
        <v>6482</v>
      </c>
      <c r="B3111" s="115" t="s">
        <v>6483</v>
      </c>
      <c r="C3111" s="116" t="s">
        <v>16</v>
      </c>
      <c r="D3111" s="116">
        <v>0</v>
      </c>
      <c r="E3111" s="136" t="s">
        <v>416</v>
      </c>
      <c r="F3111" s="137" t="str">
        <f t="shared" si="227"/>
        <v/>
      </c>
      <c r="G3111" s="138" t="e">
        <f>IF(A3111&lt;&gt;"",IF(AND(#REF!="Padrão",$H$4=#REF!),BDI!$B$17,IF(AND(#REF!="Padrão",$H$4=#REF!),BDI!#REF!,IF(AND(#REF!="Diferenciado",$H$4=#REF!),BDI!$E$17,IF(AND(#REF!="Diferenciado",$H$4=#REF!),BDI!#REF!,IF(#REF!="ZERO",0))))),"")</f>
        <v>#REF!</v>
      </c>
      <c r="H3111" s="139" t="str">
        <f t="shared" si="228"/>
        <v/>
      </c>
      <c r="I3111" s="137" t="str">
        <f t="shared" si="229"/>
        <v/>
      </c>
      <c r="J3111" s="117"/>
      <c r="K3111" s="116">
        <v>0</v>
      </c>
      <c r="M3111" s="136" t="s">
        <v>416</v>
      </c>
      <c r="N3111" t="e">
        <v>#REF!</v>
      </c>
      <c r="Q3111" t="s">
        <v>416</v>
      </c>
    </row>
    <row r="3112" spans="1:17" hidden="1" x14ac:dyDescent="0.25">
      <c r="A3112" s="114" t="s">
        <v>6484</v>
      </c>
      <c r="B3112" s="115" t="s">
        <v>6485</v>
      </c>
      <c r="C3112" s="116" t="s">
        <v>16</v>
      </c>
      <c r="D3112" s="116">
        <v>0</v>
      </c>
      <c r="E3112" s="136" t="s">
        <v>416</v>
      </c>
      <c r="F3112" s="137" t="str">
        <f t="shared" si="227"/>
        <v/>
      </c>
      <c r="G3112" s="138" t="e">
        <f>IF(A3112&lt;&gt;"",IF(AND(#REF!="Padrão",$H$4=#REF!),BDI!$B$17,IF(AND(#REF!="Padrão",$H$4=#REF!),BDI!#REF!,IF(AND(#REF!="Diferenciado",$H$4=#REF!),BDI!$E$17,IF(AND(#REF!="Diferenciado",$H$4=#REF!),BDI!#REF!,IF(#REF!="ZERO",0))))),"")</f>
        <v>#REF!</v>
      </c>
      <c r="H3112" s="139" t="str">
        <f t="shared" si="228"/>
        <v/>
      </c>
      <c r="I3112" s="137" t="str">
        <f t="shared" si="229"/>
        <v/>
      </c>
      <c r="J3112" s="117"/>
      <c r="K3112" s="116">
        <v>0</v>
      </c>
      <c r="M3112" s="136" t="s">
        <v>416</v>
      </c>
      <c r="N3112" t="e">
        <v>#REF!</v>
      </c>
      <c r="Q3112" t="s">
        <v>416</v>
      </c>
    </row>
    <row r="3113" spans="1:17" hidden="1" x14ac:dyDescent="0.25">
      <c r="A3113" s="114" t="s">
        <v>6486</v>
      </c>
      <c r="B3113" s="115" t="s">
        <v>7283</v>
      </c>
      <c r="C3113" s="116" t="s">
        <v>16</v>
      </c>
      <c r="D3113" s="116">
        <v>0</v>
      </c>
      <c r="E3113" s="136" t="s">
        <v>416</v>
      </c>
      <c r="F3113" s="137" t="str">
        <f t="shared" si="227"/>
        <v/>
      </c>
      <c r="G3113" s="138" t="e">
        <f>IF(A3113&lt;&gt;"",IF(AND(#REF!="Padrão",$H$4=#REF!),BDI!$B$17,IF(AND(#REF!="Padrão",$H$4=#REF!),BDI!#REF!,IF(AND(#REF!="Diferenciado",$H$4=#REF!),BDI!$E$17,IF(AND(#REF!="Diferenciado",$H$4=#REF!),BDI!#REF!,IF(#REF!="ZERO",0))))),"")</f>
        <v>#REF!</v>
      </c>
      <c r="H3113" s="139" t="str">
        <f t="shared" si="228"/>
        <v/>
      </c>
      <c r="I3113" s="137" t="str">
        <f t="shared" si="229"/>
        <v/>
      </c>
      <c r="J3113" s="117"/>
      <c r="K3113" s="116">
        <v>0</v>
      </c>
      <c r="M3113" s="136" t="s">
        <v>416</v>
      </c>
      <c r="N3113" t="e">
        <v>#REF!</v>
      </c>
      <c r="Q3113" t="s">
        <v>416</v>
      </c>
    </row>
    <row r="3114" spans="1:17" hidden="1" x14ac:dyDescent="0.25">
      <c r="A3114" s="114" t="s">
        <v>6487</v>
      </c>
      <c r="B3114" s="115" t="s">
        <v>7284</v>
      </c>
      <c r="C3114" s="116" t="s">
        <v>16</v>
      </c>
      <c r="D3114" s="116">
        <v>0</v>
      </c>
      <c r="E3114" s="136" t="s">
        <v>416</v>
      </c>
      <c r="F3114" s="137" t="str">
        <f t="shared" si="227"/>
        <v/>
      </c>
      <c r="G3114" s="138" t="e">
        <f>IF(A3114&lt;&gt;"",IF(AND(#REF!="Padrão",$H$4=#REF!),BDI!$B$17,IF(AND(#REF!="Padrão",$H$4=#REF!),BDI!#REF!,IF(AND(#REF!="Diferenciado",$H$4=#REF!),BDI!$E$17,IF(AND(#REF!="Diferenciado",$H$4=#REF!),BDI!#REF!,IF(#REF!="ZERO",0))))),"")</f>
        <v>#REF!</v>
      </c>
      <c r="H3114" s="139" t="str">
        <f t="shared" si="228"/>
        <v/>
      </c>
      <c r="I3114" s="137" t="str">
        <f t="shared" si="229"/>
        <v/>
      </c>
      <c r="J3114" s="117"/>
      <c r="K3114" s="116">
        <v>0</v>
      </c>
      <c r="M3114" s="136" t="s">
        <v>416</v>
      </c>
      <c r="N3114" t="e">
        <v>#REF!</v>
      </c>
      <c r="Q3114" t="s">
        <v>416</v>
      </c>
    </row>
    <row r="3115" spans="1:17" hidden="1" x14ac:dyDescent="0.25">
      <c r="A3115" s="114" t="s">
        <v>6488</v>
      </c>
      <c r="B3115" s="115" t="s">
        <v>7285</v>
      </c>
      <c r="C3115" s="116" t="s">
        <v>16</v>
      </c>
      <c r="D3115" s="116">
        <v>0</v>
      </c>
      <c r="E3115" s="136" t="s">
        <v>416</v>
      </c>
      <c r="F3115" s="137" t="str">
        <f t="shared" si="227"/>
        <v/>
      </c>
      <c r="G3115" s="138" t="e">
        <f>IF(A3115&lt;&gt;"",IF(AND(#REF!="Padrão",$H$4=#REF!),BDI!$B$17,IF(AND(#REF!="Padrão",$H$4=#REF!),BDI!#REF!,IF(AND(#REF!="Diferenciado",$H$4=#REF!),BDI!$E$17,IF(AND(#REF!="Diferenciado",$H$4=#REF!),BDI!#REF!,IF(#REF!="ZERO",0))))),"")</f>
        <v>#REF!</v>
      </c>
      <c r="H3115" s="139" t="str">
        <f t="shared" si="228"/>
        <v/>
      </c>
      <c r="I3115" s="137" t="str">
        <f t="shared" si="229"/>
        <v/>
      </c>
      <c r="J3115" s="117"/>
      <c r="K3115" s="116">
        <v>0</v>
      </c>
      <c r="M3115" s="136" t="s">
        <v>416</v>
      </c>
      <c r="N3115" t="e">
        <v>#REF!</v>
      </c>
      <c r="Q3115" t="s">
        <v>416</v>
      </c>
    </row>
    <row r="3116" spans="1:17" hidden="1" x14ac:dyDescent="0.25">
      <c r="A3116" s="114" t="s">
        <v>6489</v>
      </c>
      <c r="B3116" s="115" t="s">
        <v>7286</v>
      </c>
      <c r="C3116" s="116" t="s">
        <v>16</v>
      </c>
      <c r="D3116" s="116">
        <v>0</v>
      </c>
      <c r="E3116" s="136">
        <f ca="1">OFFSET(INDEX(Composições!A:J,MATCH(Orçamentária!A3116,Composições!A:A,0),8),2,0)</f>
        <v>64.115499999999997</v>
      </c>
      <c r="F3116" s="137">
        <f t="shared" ca="1" si="227"/>
        <v>0</v>
      </c>
      <c r="G3116" s="138" t="e">
        <f>IF(A3116&lt;&gt;"",IF(AND(#REF!="Padrão",$H$4=#REF!),BDI!$B$17,IF(AND(#REF!="Padrão",$H$4=#REF!),BDI!#REF!,IF(AND(#REF!="Diferenciado",$H$4=#REF!),BDI!$E$17,IF(AND(#REF!="Diferenciado",$H$4=#REF!),BDI!#REF!,IF(#REF!="ZERO",0))))),"")</f>
        <v>#REF!</v>
      </c>
      <c r="H3116" s="139" t="e">
        <f t="shared" ca="1" si="228"/>
        <v>#REF!</v>
      </c>
      <c r="I3116" s="137" t="e">
        <f t="shared" ca="1" si="229"/>
        <v>#REF!</v>
      </c>
      <c r="J3116" s="117"/>
      <c r="K3116" s="116">
        <v>0</v>
      </c>
      <c r="M3116" s="136" t="e">
        <f ca="1">OFFSET(INDEX([1]Composições!I:R,MATCH([1]Orçamentária!I3116,[1]Composições!I:I,0),8),2,0)</f>
        <v>#REF!</v>
      </c>
      <c r="N3116" t="e">
        <v>#REF!</v>
      </c>
      <c r="Q3116" t="e">
        <v>#REF!</v>
      </c>
    </row>
    <row r="3117" spans="1:17" hidden="1" x14ac:dyDescent="0.25">
      <c r="A3117" s="114" t="s">
        <v>6490</v>
      </c>
      <c r="B3117" s="115" t="s">
        <v>6491</v>
      </c>
      <c r="C3117" s="116" t="s">
        <v>69</v>
      </c>
      <c r="D3117" s="116">
        <v>0</v>
      </c>
      <c r="E3117" s="136">
        <f ca="1">OFFSET(INDEX(Composições!A:J,MATCH(Orçamentária!A3117,Composições!A:A,0),8),2,0)</f>
        <v>54.786499999999997</v>
      </c>
      <c r="F3117" s="137">
        <f t="shared" ca="1" si="227"/>
        <v>0</v>
      </c>
      <c r="G3117" s="138" t="e">
        <f>IF(A3117&lt;&gt;"",IF(AND(#REF!="Padrão",$H$4=#REF!),BDI!$B$17,IF(AND(#REF!="Padrão",$H$4=#REF!),BDI!#REF!,IF(AND(#REF!="Diferenciado",$H$4=#REF!),BDI!$E$17,IF(AND(#REF!="Diferenciado",$H$4=#REF!),BDI!#REF!,IF(#REF!="ZERO",0))))),"")</f>
        <v>#REF!</v>
      </c>
      <c r="H3117" s="139" t="e">
        <f t="shared" ca="1" si="228"/>
        <v>#REF!</v>
      </c>
      <c r="I3117" s="137" t="e">
        <f t="shared" ca="1" si="229"/>
        <v>#REF!</v>
      </c>
      <c r="J3117" s="117"/>
      <c r="K3117" s="116">
        <v>0</v>
      </c>
      <c r="M3117" s="136" t="e">
        <f ca="1">OFFSET(INDEX([1]Composições!I:R,MATCH([1]Orçamentária!I3117,[1]Composições!I:I,0),8),2,0)</f>
        <v>#REF!</v>
      </c>
      <c r="N3117" t="e">
        <v>#REF!</v>
      </c>
      <c r="Q3117" t="e">
        <v>#REF!</v>
      </c>
    </row>
    <row r="3118" spans="1:17" hidden="1" x14ac:dyDescent="0.25">
      <c r="A3118" s="114" t="s">
        <v>6492</v>
      </c>
      <c r="B3118" s="115" t="s">
        <v>6493</v>
      </c>
      <c r="C3118" s="116" t="s">
        <v>16</v>
      </c>
      <c r="D3118" s="116">
        <v>0</v>
      </c>
      <c r="E3118" s="136" t="s">
        <v>416</v>
      </c>
      <c r="F3118" s="137" t="str">
        <f t="shared" si="227"/>
        <v/>
      </c>
      <c r="G3118" s="138" t="e">
        <f>IF(A3118&lt;&gt;"",IF(AND(#REF!="Padrão",$H$4=#REF!),BDI!$B$17,IF(AND(#REF!="Padrão",$H$4=#REF!),BDI!#REF!,IF(AND(#REF!="Diferenciado",$H$4=#REF!),BDI!$E$17,IF(AND(#REF!="Diferenciado",$H$4=#REF!),BDI!#REF!,IF(#REF!="ZERO",0))))),"")</f>
        <v>#REF!</v>
      </c>
      <c r="H3118" s="139" t="str">
        <f t="shared" si="228"/>
        <v/>
      </c>
      <c r="I3118" s="137" t="str">
        <f t="shared" si="229"/>
        <v/>
      </c>
      <c r="J3118" s="117"/>
      <c r="K3118" s="116">
        <v>0</v>
      </c>
      <c r="M3118" s="136" t="s">
        <v>416</v>
      </c>
      <c r="N3118" t="e">
        <v>#REF!</v>
      </c>
      <c r="Q3118" t="s">
        <v>416</v>
      </c>
    </row>
    <row r="3119" spans="1:17" hidden="1" x14ac:dyDescent="0.25">
      <c r="A3119" s="114" t="s">
        <v>6494</v>
      </c>
      <c r="B3119" s="115" t="s">
        <v>6495</v>
      </c>
      <c r="C3119" s="116" t="s">
        <v>16</v>
      </c>
      <c r="D3119" s="116">
        <v>0</v>
      </c>
      <c r="E3119" s="136" t="s">
        <v>416</v>
      </c>
      <c r="F3119" s="137" t="str">
        <f t="shared" si="227"/>
        <v/>
      </c>
      <c r="G3119" s="138" t="e">
        <f>IF(A3119&lt;&gt;"",IF(AND(#REF!="Padrão",$H$4=#REF!),BDI!$B$17,IF(AND(#REF!="Padrão",$H$4=#REF!),BDI!#REF!,IF(AND(#REF!="Diferenciado",$H$4=#REF!),BDI!$E$17,IF(AND(#REF!="Diferenciado",$H$4=#REF!),BDI!#REF!,IF(#REF!="ZERO",0))))),"")</f>
        <v>#REF!</v>
      </c>
      <c r="H3119" s="139" t="str">
        <f t="shared" si="228"/>
        <v/>
      </c>
      <c r="I3119" s="137" t="str">
        <f t="shared" si="229"/>
        <v/>
      </c>
      <c r="J3119" s="117"/>
      <c r="K3119" s="116">
        <v>0</v>
      </c>
      <c r="M3119" s="136" t="s">
        <v>416</v>
      </c>
      <c r="N3119" t="e">
        <v>#REF!</v>
      </c>
      <c r="Q3119" t="s">
        <v>416</v>
      </c>
    </row>
    <row r="3120" spans="1:17" hidden="1" x14ac:dyDescent="0.25">
      <c r="A3120" s="114" t="s">
        <v>6496</v>
      </c>
      <c r="B3120" s="115" t="s">
        <v>6588</v>
      </c>
      <c r="C3120" s="116" t="s">
        <v>1683</v>
      </c>
      <c r="D3120" s="116">
        <v>0</v>
      </c>
      <c r="E3120" s="136" t="s">
        <v>416</v>
      </c>
      <c r="F3120" s="137" t="str">
        <f t="shared" ref="F3120:F3128" si="230">IF(ISNUMBER(E3120),D3120*E3120,"")</f>
        <v/>
      </c>
      <c r="G3120" s="138" t="e">
        <f>IF(A3120&lt;&gt;"",IF(AND(#REF!="Padrão",$H$4=#REF!),BDI!$B$17,IF(AND(#REF!="Padrão",$H$4=#REF!),BDI!#REF!,IF(AND(#REF!="Diferenciado",$H$4=#REF!),BDI!$E$17,IF(AND(#REF!="Diferenciado",$H$4=#REF!),BDI!#REF!,IF(#REF!="ZERO",0))))),"")</f>
        <v>#REF!</v>
      </c>
      <c r="H3120" s="139" t="str">
        <f t="shared" ref="H3120:H3128" si="231">IF(ISNUMBER(E3120),ROUND(E3120*(1+G3120),2),"")</f>
        <v/>
      </c>
      <c r="I3120" s="137" t="str">
        <f t="shared" ref="I3120:I3128" si="232">IF(ISNUMBER(E3120),ROUND(H3120*D3120,2),"")</f>
        <v/>
      </c>
      <c r="J3120" s="117"/>
      <c r="K3120" s="116">
        <v>0</v>
      </c>
      <c r="M3120" s="136" t="s">
        <v>416</v>
      </c>
      <c r="N3120" t="e">
        <v>#REF!</v>
      </c>
      <c r="Q3120" t="s">
        <v>416</v>
      </c>
    </row>
    <row r="3121" spans="1:19" hidden="1" x14ac:dyDescent="0.25">
      <c r="A3121" s="114" t="s">
        <v>6497</v>
      </c>
      <c r="B3121" s="115" t="s">
        <v>6589</v>
      </c>
      <c r="C3121" s="116" t="s">
        <v>16</v>
      </c>
      <c r="D3121" s="116">
        <v>0</v>
      </c>
      <c r="E3121" s="136" t="s">
        <v>416</v>
      </c>
      <c r="F3121" s="137" t="str">
        <f t="shared" si="230"/>
        <v/>
      </c>
      <c r="G3121" s="138" t="e">
        <f>IF(A3121&lt;&gt;"",IF(AND(#REF!="Padrão",$H$4=#REF!),BDI!$B$17,IF(AND(#REF!="Padrão",$H$4=#REF!),BDI!#REF!,IF(AND(#REF!="Diferenciado",$H$4=#REF!),BDI!$E$17,IF(AND(#REF!="Diferenciado",$H$4=#REF!),BDI!#REF!,IF(#REF!="ZERO",0))))),"")</f>
        <v>#REF!</v>
      </c>
      <c r="H3121" s="139" t="str">
        <f t="shared" si="231"/>
        <v/>
      </c>
      <c r="I3121" s="137" t="str">
        <f t="shared" si="232"/>
        <v/>
      </c>
      <c r="J3121" s="117"/>
      <c r="K3121" s="116">
        <v>0</v>
      </c>
      <c r="M3121" s="136" t="s">
        <v>416</v>
      </c>
      <c r="N3121" t="e">
        <v>#REF!</v>
      </c>
      <c r="Q3121" t="s">
        <v>416</v>
      </c>
    </row>
    <row r="3122" spans="1:19" hidden="1" x14ac:dyDescent="0.25">
      <c r="A3122" s="114" t="s">
        <v>6498</v>
      </c>
      <c r="B3122" s="115" t="s">
        <v>6590</v>
      </c>
      <c r="C3122" s="116" t="s">
        <v>16</v>
      </c>
      <c r="D3122" s="116">
        <v>0</v>
      </c>
      <c r="E3122" s="136" t="s">
        <v>416</v>
      </c>
      <c r="F3122" s="137" t="str">
        <f t="shared" si="230"/>
        <v/>
      </c>
      <c r="G3122" s="138" t="e">
        <f>IF(A3122&lt;&gt;"",IF(AND(#REF!="Padrão",$H$4=#REF!),BDI!$B$17,IF(AND(#REF!="Padrão",$H$4=#REF!),BDI!#REF!,IF(AND(#REF!="Diferenciado",$H$4=#REF!),BDI!$E$17,IF(AND(#REF!="Diferenciado",$H$4=#REF!),BDI!#REF!,IF(#REF!="ZERO",0))))),"")</f>
        <v>#REF!</v>
      </c>
      <c r="H3122" s="139" t="str">
        <f t="shared" si="231"/>
        <v/>
      </c>
      <c r="I3122" s="137" t="str">
        <f t="shared" si="232"/>
        <v/>
      </c>
      <c r="J3122" s="117"/>
      <c r="K3122" s="116">
        <v>0</v>
      </c>
      <c r="M3122" s="136" t="s">
        <v>416</v>
      </c>
      <c r="N3122" t="e">
        <v>#REF!</v>
      </c>
      <c r="Q3122" t="s">
        <v>416</v>
      </c>
    </row>
    <row r="3123" spans="1:19" hidden="1" x14ac:dyDescent="0.25">
      <c r="A3123" s="114" t="s">
        <v>6499</v>
      </c>
      <c r="B3123" s="115" t="s">
        <v>6591</v>
      </c>
      <c r="C3123" s="116" t="s">
        <v>16</v>
      </c>
      <c r="D3123" s="116">
        <v>0</v>
      </c>
      <c r="E3123" s="136" t="s">
        <v>416</v>
      </c>
      <c r="F3123" s="137" t="str">
        <f t="shared" si="230"/>
        <v/>
      </c>
      <c r="G3123" s="138" t="e">
        <f>IF(A3123&lt;&gt;"",IF(AND(#REF!="Padrão",$H$4=#REF!),BDI!$B$17,IF(AND(#REF!="Padrão",$H$4=#REF!),BDI!#REF!,IF(AND(#REF!="Diferenciado",$H$4=#REF!),BDI!$E$17,IF(AND(#REF!="Diferenciado",$H$4=#REF!),BDI!#REF!,IF(#REF!="ZERO",0))))),"")</f>
        <v>#REF!</v>
      </c>
      <c r="H3123" s="139" t="str">
        <f t="shared" si="231"/>
        <v/>
      </c>
      <c r="I3123" s="137" t="str">
        <f t="shared" si="232"/>
        <v/>
      </c>
      <c r="J3123" s="117"/>
      <c r="K3123" s="116">
        <v>0</v>
      </c>
      <c r="M3123" s="136" t="s">
        <v>416</v>
      </c>
      <c r="N3123" t="e">
        <v>#REF!</v>
      </c>
      <c r="Q3123" t="s">
        <v>416</v>
      </c>
    </row>
    <row r="3124" spans="1:19" hidden="1" x14ac:dyDescent="0.25">
      <c r="A3124" s="114" t="s">
        <v>6500</v>
      </c>
      <c r="B3124" s="115" t="s">
        <v>6592</v>
      </c>
      <c r="C3124" s="116" t="s">
        <v>16</v>
      </c>
      <c r="D3124" s="116">
        <v>0</v>
      </c>
      <c r="E3124" s="136" t="s">
        <v>416</v>
      </c>
      <c r="F3124" s="137" t="str">
        <f t="shared" si="230"/>
        <v/>
      </c>
      <c r="G3124" s="138" t="e">
        <f>IF(A3124&lt;&gt;"",IF(AND(#REF!="Padrão",$H$4=#REF!),BDI!$B$17,IF(AND(#REF!="Padrão",$H$4=#REF!),BDI!#REF!,IF(AND(#REF!="Diferenciado",$H$4=#REF!),BDI!$E$17,IF(AND(#REF!="Diferenciado",$H$4=#REF!),BDI!#REF!,IF(#REF!="ZERO",0))))),"")</f>
        <v>#REF!</v>
      </c>
      <c r="H3124" s="139" t="str">
        <f t="shared" si="231"/>
        <v/>
      </c>
      <c r="I3124" s="137" t="str">
        <f t="shared" si="232"/>
        <v/>
      </c>
      <c r="J3124" s="117"/>
      <c r="K3124" s="116">
        <v>0</v>
      </c>
      <c r="M3124" s="136" t="s">
        <v>416</v>
      </c>
      <c r="N3124" t="e">
        <v>#REF!</v>
      </c>
      <c r="Q3124" t="s">
        <v>416</v>
      </c>
    </row>
    <row r="3125" spans="1:19" hidden="1" x14ac:dyDescent="0.25">
      <c r="A3125" s="114" t="s">
        <v>6501</v>
      </c>
      <c r="B3125" s="115" t="s">
        <v>6593</v>
      </c>
      <c r="C3125" s="116" t="s">
        <v>16</v>
      </c>
      <c r="D3125" s="116">
        <v>0</v>
      </c>
      <c r="E3125" s="136" t="s">
        <v>416</v>
      </c>
      <c r="F3125" s="137" t="str">
        <f t="shared" si="230"/>
        <v/>
      </c>
      <c r="G3125" s="138" t="e">
        <f>IF(A3125&lt;&gt;"",IF(AND(#REF!="Padrão",$H$4=#REF!),BDI!$B$17,IF(AND(#REF!="Padrão",$H$4=#REF!),BDI!#REF!,IF(AND(#REF!="Diferenciado",$H$4=#REF!),BDI!$E$17,IF(AND(#REF!="Diferenciado",$H$4=#REF!),BDI!#REF!,IF(#REF!="ZERO",0))))),"")</f>
        <v>#REF!</v>
      </c>
      <c r="H3125" s="139" t="str">
        <f t="shared" si="231"/>
        <v/>
      </c>
      <c r="I3125" s="137" t="str">
        <f t="shared" si="232"/>
        <v/>
      </c>
      <c r="J3125" s="117"/>
      <c r="K3125" s="116">
        <v>0</v>
      </c>
      <c r="M3125" s="136" t="s">
        <v>416</v>
      </c>
      <c r="N3125" t="e">
        <v>#REF!</v>
      </c>
      <c r="Q3125" t="s">
        <v>416</v>
      </c>
    </row>
    <row r="3126" spans="1:19" hidden="1" x14ac:dyDescent="0.25">
      <c r="A3126" s="114" t="s">
        <v>6502</v>
      </c>
      <c r="B3126" s="115" t="s">
        <v>6594</v>
      </c>
      <c r="C3126" s="116" t="s">
        <v>16</v>
      </c>
      <c r="D3126" s="116">
        <v>0</v>
      </c>
      <c r="E3126" s="136" t="s">
        <v>416</v>
      </c>
      <c r="F3126" s="137" t="str">
        <f t="shared" si="230"/>
        <v/>
      </c>
      <c r="G3126" s="138" t="e">
        <f>IF(A3126&lt;&gt;"",IF(AND(#REF!="Padrão",$H$4=#REF!),BDI!$B$17,IF(AND(#REF!="Padrão",$H$4=#REF!),BDI!#REF!,IF(AND(#REF!="Diferenciado",$H$4=#REF!),BDI!$E$17,IF(AND(#REF!="Diferenciado",$H$4=#REF!),BDI!#REF!,IF(#REF!="ZERO",0))))),"")</f>
        <v>#REF!</v>
      </c>
      <c r="H3126" s="139" t="str">
        <f t="shared" si="231"/>
        <v/>
      </c>
      <c r="I3126" s="137" t="str">
        <f t="shared" si="232"/>
        <v/>
      </c>
      <c r="J3126" s="117"/>
      <c r="K3126" s="116">
        <v>0</v>
      </c>
      <c r="M3126" s="136" t="s">
        <v>416</v>
      </c>
      <c r="N3126" t="e">
        <v>#REF!</v>
      </c>
      <c r="Q3126" t="s">
        <v>416</v>
      </c>
    </row>
    <row r="3127" spans="1:19" hidden="1" x14ac:dyDescent="0.25">
      <c r="A3127" s="114" t="s">
        <v>6503</v>
      </c>
      <c r="B3127" s="115" t="s">
        <v>6595</v>
      </c>
      <c r="C3127" s="116" t="s">
        <v>1683</v>
      </c>
      <c r="D3127" s="116">
        <v>0</v>
      </c>
      <c r="E3127" s="136" t="s">
        <v>416</v>
      </c>
      <c r="F3127" s="137" t="str">
        <f t="shared" si="230"/>
        <v/>
      </c>
      <c r="G3127" s="138" t="e">
        <f>IF(A3127&lt;&gt;"",IF(AND(#REF!="Padrão",$H$4=#REF!),BDI!$B$17,IF(AND(#REF!="Padrão",$H$4=#REF!),BDI!#REF!,IF(AND(#REF!="Diferenciado",$H$4=#REF!),BDI!$E$17,IF(AND(#REF!="Diferenciado",$H$4=#REF!),BDI!#REF!,IF(#REF!="ZERO",0))))),"")</f>
        <v>#REF!</v>
      </c>
      <c r="H3127" s="139" t="str">
        <f t="shared" si="231"/>
        <v/>
      </c>
      <c r="I3127" s="137" t="str">
        <f t="shared" si="232"/>
        <v/>
      </c>
      <c r="J3127" s="117"/>
      <c r="K3127" s="116">
        <v>0</v>
      </c>
      <c r="M3127" s="136" t="s">
        <v>416</v>
      </c>
      <c r="N3127" t="e">
        <v>#REF!</v>
      </c>
      <c r="Q3127" t="s">
        <v>416</v>
      </c>
    </row>
    <row r="3128" spans="1:19" hidden="1" x14ac:dyDescent="0.25">
      <c r="A3128" s="114" t="s">
        <v>6504</v>
      </c>
      <c r="B3128" s="115" t="s">
        <v>6596</v>
      </c>
      <c r="C3128" s="116" t="s">
        <v>16</v>
      </c>
      <c r="D3128" s="116">
        <v>0</v>
      </c>
      <c r="E3128" s="136" t="s">
        <v>416</v>
      </c>
      <c r="F3128" s="137" t="str">
        <f t="shared" si="230"/>
        <v/>
      </c>
      <c r="G3128" s="138" t="e">
        <f>IF(A3128&lt;&gt;"",IF(AND(#REF!="Padrão",$H$4=#REF!),BDI!$B$17,IF(AND(#REF!="Padrão",$H$4=#REF!),BDI!#REF!,IF(AND(#REF!="Diferenciado",$H$4=#REF!),BDI!$E$17,IF(AND(#REF!="Diferenciado",$H$4=#REF!),BDI!#REF!,IF(#REF!="ZERO",0))))),"")</f>
        <v>#REF!</v>
      </c>
      <c r="H3128" s="139" t="str">
        <f t="shared" si="231"/>
        <v/>
      </c>
      <c r="I3128" s="137" t="str">
        <f t="shared" si="232"/>
        <v/>
      </c>
      <c r="J3128" s="117"/>
      <c r="K3128" s="116">
        <v>0</v>
      </c>
      <c r="M3128" s="136" t="s">
        <v>416</v>
      </c>
      <c r="N3128" t="e">
        <v>#REF!</v>
      </c>
      <c r="Q3128" t="s">
        <v>416</v>
      </c>
    </row>
    <row r="3129" spans="1:19" hidden="1" x14ac:dyDescent="0.25">
      <c r="A3129" s="114" t="s">
        <v>6505</v>
      </c>
      <c r="B3129" s="115" t="s">
        <v>6603</v>
      </c>
      <c r="C3129" s="116" t="s">
        <v>16</v>
      </c>
      <c r="D3129" s="116">
        <v>0</v>
      </c>
      <c r="E3129" s="136" t="s">
        <v>416</v>
      </c>
      <c r="F3129" s="137" t="str">
        <f t="shared" ref="F3129:F3136" si="233">IF(ISNUMBER(E3129),D3129*E3129,"")</f>
        <v/>
      </c>
      <c r="G3129" s="138" t="e">
        <f>IF(A3129&lt;&gt;"",IF(AND(#REF!="Padrão",$H$4=#REF!),BDI!$B$17,IF(AND(#REF!="Padrão",$H$4=#REF!),BDI!#REF!,IF(AND(#REF!="Diferenciado",$H$4=#REF!),BDI!$E$17,IF(AND(#REF!="Diferenciado",$H$4=#REF!),BDI!#REF!,IF(#REF!="ZERO",0))))),"")</f>
        <v>#REF!</v>
      </c>
      <c r="H3129" s="139" t="str">
        <f t="shared" ref="H3129:H3136" si="234">IF(ISNUMBER(E3129),ROUND(E3129*(1+G3129),2),"")</f>
        <v/>
      </c>
      <c r="I3129" s="137" t="str">
        <f t="shared" ref="I3129:I3136" si="235">IF(ISNUMBER(E3129),ROUND(H3129*D3129,2),"")</f>
        <v/>
      </c>
      <c r="J3129" s="117"/>
      <c r="K3129" s="116">
        <v>0</v>
      </c>
      <c r="M3129" s="136" t="s">
        <v>416</v>
      </c>
      <c r="N3129" t="e">
        <v>#REF!</v>
      </c>
      <c r="Q3129" t="s">
        <v>416</v>
      </c>
    </row>
    <row r="3130" spans="1:19" hidden="1" x14ac:dyDescent="0.25">
      <c r="A3130" s="114" t="s">
        <v>6506</v>
      </c>
      <c r="B3130" s="115" t="s">
        <v>7282</v>
      </c>
      <c r="C3130" s="116" t="s">
        <v>16</v>
      </c>
      <c r="D3130" s="116">
        <v>0</v>
      </c>
      <c r="E3130" s="136" t="s">
        <v>416</v>
      </c>
      <c r="F3130" s="137" t="str">
        <f t="shared" si="233"/>
        <v/>
      </c>
      <c r="G3130" s="138" t="e">
        <f>IF(A3130&lt;&gt;"",IF(AND(#REF!="Padrão",$H$4=#REF!),BDI!$B$17,IF(AND(#REF!="Padrão",$H$4=#REF!),BDI!#REF!,IF(AND(#REF!="Diferenciado",$H$4=#REF!),BDI!$E$17,IF(AND(#REF!="Diferenciado",$H$4=#REF!),BDI!#REF!,IF(#REF!="ZERO",0))))),"")</f>
        <v>#REF!</v>
      </c>
      <c r="H3130" s="139" t="str">
        <f t="shared" si="234"/>
        <v/>
      </c>
      <c r="I3130" s="137" t="str">
        <f t="shared" si="235"/>
        <v/>
      </c>
      <c r="J3130" s="117"/>
      <c r="K3130" s="116">
        <v>0</v>
      </c>
      <c r="M3130" s="136" t="s">
        <v>416</v>
      </c>
      <c r="N3130" t="e">
        <v>#REF!</v>
      </c>
      <c r="Q3130" t="s">
        <v>416</v>
      </c>
    </row>
    <row r="3131" spans="1:19" hidden="1" x14ac:dyDescent="0.25">
      <c r="A3131" s="114" t="s">
        <v>6507</v>
      </c>
      <c r="B3131" s="115" t="s">
        <v>6602</v>
      </c>
      <c r="C3131" s="116" t="s">
        <v>16</v>
      </c>
      <c r="D3131" s="116">
        <v>0</v>
      </c>
      <c r="E3131" s="136" t="s">
        <v>416</v>
      </c>
      <c r="F3131" s="137" t="str">
        <f t="shared" si="233"/>
        <v/>
      </c>
      <c r="G3131" s="138" t="e">
        <f>IF(A3131&lt;&gt;"",IF(AND(#REF!="Padrão",$H$4=#REF!),BDI!$B$17,IF(AND(#REF!="Padrão",$H$4=#REF!),BDI!#REF!,IF(AND(#REF!="Diferenciado",$H$4=#REF!),BDI!$E$17,IF(AND(#REF!="Diferenciado",$H$4=#REF!),BDI!#REF!,IF(#REF!="ZERO",0))))),"")</f>
        <v>#REF!</v>
      </c>
      <c r="H3131" s="139" t="str">
        <f t="shared" si="234"/>
        <v/>
      </c>
      <c r="I3131" s="137" t="str">
        <f t="shared" si="235"/>
        <v/>
      </c>
      <c r="J3131" s="117"/>
      <c r="K3131" s="116">
        <v>0</v>
      </c>
      <c r="M3131" s="136" t="s">
        <v>416</v>
      </c>
      <c r="N3131" t="e">
        <v>#REF!</v>
      </c>
      <c r="Q3131" t="s">
        <v>416</v>
      </c>
    </row>
    <row r="3132" spans="1:19" x14ac:dyDescent="0.25">
      <c r="A3132" s="172" t="s">
        <v>6508</v>
      </c>
      <c r="B3132" s="173" t="s">
        <v>7934</v>
      </c>
      <c r="C3132" s="174" t="s">
        <v>16</v>
      </c>
      <c r="D3132" s="174">
        <v>1</v>
      </c>
      <c r="E3132" s="136">
        <f ca="1">OFFSET(INDEX(Composições!A:J,MATCH(Orçamentária!A3132,Composições!A:A,0),8),2,0)</f>
        <v>399.52749999999997</v>
      </c>
      <c r="F3132" s="137">
        <f t="shared" ca="1" si="233"/>
        <v>399.52749999999997</v>
      </c>
      <c r="G3132" s="138">
        <f>BDI!$B$17</f>
        <v>0.191</v>
      </c>
      <c r="H3132" s="139">
        <f t="shared" ca="1" si="234"/>
        <v>475.84</v>
      </c>
      <c r="I3132" s="137">
        <f t="shared" ca="1" si="235"/>
        <v>475.84</v>
      </c>
      <c r="J3132" s="117"/>
      <c r="K3132" s="253">
        <v>1</v>
      </c>
      <c r="L3132" s="236" t="str">
        <f>IF(D3132&lt;&gt;K3132,"ERRO","-")</f>
        <v>-</v>
      </c>
      <c r="M3132" s="136">
        <f ca="1">OFFSET(INDEX(Composições!A:S,MATCH(A3132,Composições!A:A,0),15),2,0)</f>
        <v>341.99554000000001</v>
      </c>
      <c r="N3132" s="237">
        <v>0.191</v>
      </c>
      <c r="O3132" s="236">
        <f ca="1">ROUND(M3132*(1+N3132),2)</f>
        <v>407.32</v>
      </c>
      <c r="P3132" s="238">
        <f ca="1">ROUND(K3132*O3132,2)</f>
        <v>407.32</v>
      </c>
      <c r="Q3132" s="236">
        <v>407.32</v>
      </c>
      <c r="R3132" s="236">
        <f ca="1">P3132-Q3132</f>
        <v>0</v>
      </c>
      <c r="S3132" s="239">
        <f ca="1">IF(ISNUMBER(O3132),1-P3132/$I3132,"")</f>
        <v>0.14399798251513107</v>
      </c>
    </row>
    <row r="3133" spans="1:19" hidden="1" x14ac:dyDescent="0.25">
      <c r="A3133" s="114" t="s">
        <v>6509</v>
      </c>
      <c r="B3133" s="115" t="s">
        <v>6601</v>
      </c>
      <c r="C3133" s="116" t="s">
        <v>16</v>
      </c>
      <c r="D3133" s="116">
        <v>0</v>
      </c>
      <c r="E3133" s="136" t="s">
        <v>416</v>
      </c>
      <c r="F3133" s="137" t="str">
        <f t="shared" si="233"/>
        <v/>
      </c>
      <c r="G3133" s="138" t="e">
        <f>IF(A3133&lt;&gt;"",IF(AND(#REF!="Padrão",$H$4=#REF!),BDI!$B$17,IF(AND(#REF!="Padrão",$H$4=#REF!),BDI!#REF!,IF(AND(#REF!="Diferenciado",$H$4=#REF!),BDI!$E$17,IF(AND(#REF!="Diferenciado",$H$4=#REF!),BDI!#REF!,IF(#REF!="ZERO",0))))),"")</f>
        <v>#REF!</v>
      </c>
      <c r="H3133" s="139" t="str">
        <f t="shared" si="234"/>
        <v/>
      </c>
      <c r="I3133" s="137" t="str">
        <f t="shared" si="235"/>
        <v/>
      </c>
      <c r="J3133" s="117"/>
      <c r="K3133" s="116">
        <v>0</v>
      </c>
      <c r="M3133" s="136" t="s">
        <v>416</v>
      </c>
      <c r="N3133" t="e">
        <v>#REF!</v>
      </c>
      <c r="Q3133" t="s">
        <v>416</v>
      </c>
    </row>
    <row r="3134" spans="1:19" ht="25.5" hidden="1" x14ac:dyDescent="0.25">
      <c r="A3134" s="114" t="s">
        <v>6510</v>
      </c>
      <c r="B3134" s="115" t="s">
        <v>6600</v>
      </c>
      <c r="C3134" s="116" t="s">
        <v>16</v>
      </c>
      <c r="D3134" s="116">
        <v>0</v>
      </c>
      <c r="E3134" s="136" t="s">
        <v>416</v>
      </c>
      <c r="F3134" s="137" t="str">
        <f t="shared" si="233"/>
        <v/>
      </c>
      <c r="G3134" s="138" t="e">
        <f>IF(A3134&lt;&gt;"",IF(AND(#REF!="Padrão",$H$4=#REF!),BDI!$B$17,IF(AND(#REF!="Padrão",$H$4=#REF!),BDI!#REF!,IF(AND(#REF!="Diferenciado",$H$4=#REF!),BDI!$E$17,IF(AND(#REF!="Diferenciado",$H$4=#REF!),BDI!#REF!,IF(#REF!="ZERO",0))))),"")</f>
        <v>#REF!</v>
      </c>
      <c r="H3134" s="139" t="str">
        <f t="shared" si="234"/>
        <v/>
      </c>
      <c r="I3134" s="137" t="str">
        <f t="shared" si="235"/>
        <v/>
      </c>
      <c r="J3134" s="117"/>
      <c r="K3134" s="116">
        <v>0</v>
      </c>
      <c r="M3134" s="136" t="s">
        <v>416</v>
      </c>
      <c r="N3134" t="e">
        <v>#REF!</v>
      </c>
      <c r="Q3134" t="s">
        <v>416</v>
      </c>
    </row>
    <row r="3135" spans="1:19" hidden="1" x14ac:dyDescent="0.25">
      <c r="A3135" s="114" t="s">
        <v>6511</v>
      </c>
      <c r="B3135" s="115" t="s">
        <v>6599</v>
      </c>
      <c r="C3135" s="116" t="s">
        <v>16</v>
      </c>
      <c r="D3135" s="116">
        <v>0</v>
      </c>
      <c r="E3135" s="136" t="s">
        <v>416</v>
      </c>
      <c r="F3135" s="137" t="str">
        <f t="shared" si="233"/>
        <v/>
      </c>
      <c r="G3135" s="138" t="e">
        <f>IF(A3135&lt;&gt;"",IF(AND(#REF!="Padrão",$H$4=#REF!),BDI!$B$17,IF(AND(#REF!="Padrão",$H$4=#REF!),BDI!#REF!,IF(AND(#REF!="Diferenciado",$H$4=#REF!),BDI!$E$17,IF(AND(#REF!="Diferenciado",$H$4=#REF!),BDI!#REF!,IF(#REF!="ZERO",0))))),"")</f>
        <v>#REF!</v>
      </c>
      <c r="H3135" s="139" t="str">
        <f t="shared" si="234"/>
        <v/>
      </c>
      <c r="I3135" s="137" t="str">
        <f t="shared" si="235"/>
        <v/>
      </c>
      <c r="J3135" s="117"/>
      <c r="K3135" s="116">
        <v>0</v>
      </c>
      <c r="M3135" s="136" t="s">
        <v>416</v>
      </c>
      <c r="N3135" t="e">
        <v>#REF!</v>
      </c>
      <c r="Q3135" t="s">
        <v>416</v>
      </c>
    </row>
    <row r="3136" spans="1:19" hidden="1" x14ac:dyDescent="0.25">
      <c r="A3136" s="114" t="s">
        <v>6512</v>
      </c>
      <c r="B3136" s="115" t="s">
        <v>6604</v>
      </c>
      <c r="C3136" s="116" t="s">
        <v>16</v>
      </c>
      <c r="D3136" s="116">
        <v>0</v>
      </c>
      <c r="E3136" s="136">
        <f ca="1">OFFSET(INDEX(Composições!A:J,MATCH(Orçamentária!A3136,Composições!A:A,0),8),2,0)</f>
        <v>47.417608440249602</v>
      </c>
      <c r="F3136" s="137">
        <f t="shared" ca="1" si="233"/>
        <v>0</v>
      </c>
      <c r="G3136" s="138" t="e">
        <f>IF(A3136&lt;&gt;"",IF(AND(#REF!="Padrão",$H$4=#REF!),BDI!$B$17,IF(AND(#REF!="Padrão",$H$4=#REF!),BDI!#REF!,IF(AND(#REF!="Diferenciado",$H$4=#REF!),BDI!$E$17,IF(AND(#REF!="Diferenciado",$H$4=#REF!),BDI!#REF!,IF(#REF!="ZERO",0))))),"")</f>
        <v>#REF!</v>
      </c>
      <c r="H3136" s="139" t="e">
        <f t="shared" ca="1" si="234"/>
        <v>#REF!</v>
      </c>
      <c r="I3136" s="137" t="e">
        <f t="shared" ca="1" si="235"/>
        <v>#REF!</v>
      </c>
      <c r="J3136" s="117"/>
      <c r="K3136" s="116">
        <v>0</v>
      </c>
      <c r="M3136" s="136" t="e">
        <f ca="1">OFFSET(INDEX([1]Composições!I:R,MATCH([1]Orçamentária!I3136,[1]Composições!I:I,0),8),2,0)</f>
        <v>#REF!</v>
      </c>
      <c r="N3136" t="e">
        <v>#REF!</v>
      </c>
      <c r="Q3136" t="e">
        <v>#REF!</v>
      </c>
    </row>
    <row r="3137" spans="1:17" hidden="1" x14ac:dyDescent="0.25">
      <c r="A3137" s="114" t="s">
        <v>6513</v>
      </c>
      <c r="B3137" s="115" t="s">
        <v>6607</v>
      </c>
      <c r="C3137" s="116" t="s">
        <v>16</v>
      </c>
      <c r="D3137" s="116">
        <v>0</v>
      </c>
      <c r="E3137" s="136">
        <f ca="1">OFFSET(INDEX(Composições!A:J,MATCH(Orçamentária!A3137,Composições!A:A,0),8),2,0)</f>
        <v>125.2379699</v>
      </c>
      <c r="F3137" s="137">
        <f ca="1">IF(ISNUMBER(E3137),D3137*E3137,"")</f>
        <v>0</v>
      </c>
      <c r="G3137" s="138" t="e">
        <f>IF(A3137&lt;&gt;"",IF(AND(#REF!="Padrão",$H$4=#REF!),BDI!$B$17,IF(AND(#REF!="Padrão",$H$4=#REF!),BDI!#REF!,IF(AND(#REF!="Diferenciado",$H$4=#REF!),BDI!$E$17,IF(AND(#REF!="Diferenciado",$H$4=#REF!),BDI!#REF!,IF(#REF!="ZERO",0))))),"")</f>
        <v>#REF!</v>
      </c>
      <c r="H3137" s="139" t="e">
        <f ca="1">IF(ISNUMBER(E3137),ROUND(E3137*(1+G3137),2),"")</f>
        <v>#REF!</v>
      </c>
      <c r="I3137" s="137" t="e">
        <f ca="1">IF(ISNUMBER(E3137),ROUND(H3137*D3137,2),"")</f>
        <v>#REF!</v>
      </c>
      <c r="J3137" s="117"/>
      <c r="K3137" s="116">
        <v>0</v>
      </c>
      <c r="M3137" s="136" t="e">
        <f ca="1">OFFSET(INDEX([1]Composições!I:R,MATCH([1]Orçamentária!I3137,[1]Composições!I:I,0),8),2,0)</f>
        <v>#REF!</v>
      </c>
      <c r="N3137" t="e">
        <v>#REF!</v>
      </c>
      <c r="Q3137" t="e">
        <v>#REF!</v>
      </c>
    </row>
    <row r="3138" spans="1:17" ht="25.5" hidden="1" x14ac:dyDescent="0.25">
      <c r="A3138" s="114" t="s">
        <v>6514</v>
      </c>
      <c r="B3138" s="115" t="s">
        <v>6598</v>
      </c>
      <c r="C3138" s="116" t="s">
        <v>4170</v>
      </c>
      <c r="D3138" s="116">
        <v>0</v>
      </c>
      <c r="E3138" s="136" t="s">
        <v>416</v>
      </c>
      <c r="F3138" s="137" t="str">
        <f>IF(ISNUMBER(E3138),D3138*E3138,"")</f>
        <v/>
      </c>
      <c r="G3138" s="138" t="e">
        <f>IF(A3138&lt;&gt;"",IF(AND(#REF!="Padrão",$H$4=#REF!),BDI!$B$17,IF(AND(#REF!="Padrão",$H$4=#REF!),BDI!#REF!,IF(AND(#REF!="Diferenciado",$H$4=#REF!),BDI!$E$17,IF(AND(#REF!="Diferenciado",$H$4=#REF!),BDI!#REF!,IF(#REF!="ZERO",0))))),"")</f>
        <v>#REF!</v>
      </c>
      <c r="H3138" s="139" t="str">
        <f>IF(ISNUMBER(E3138),ROUND(E3138*(1+G3138),2),"")</f>
        <v/>
      </c>
      <c r="I3138" s="137" t="str">
        <f>IF(ISNUMBER(E3138),ROUND(H3138*D3138,2),"")</f>
        <v/>
      </c>
      <c r="J3138" s="117"/>
      <c r="K3138" s="116">
        <v>0</v>
      </c>
      <c r="M3138" s="136" t="s">
        <v>416</v>
      </c>
      <c r="N3138" t="e">
        <v>#REF!</v>
      </c>
      <c r="Q3138" t="s">
        <v>416</v>
      </c>
    </row>
    <row r="3139" spans="1:17" hidden="1" x14ac:dyDescent="0.25">
      <c r="A3139" s="114" t="s">
        <v>6515</v>
      </c>
      <c r="B3139" s="115" t="s">
        <v>6597</v>
      </c>
      <c r="C3139" s="116" t="s">
        <v>70</v>
      </c>
      <c r="D3139" s="116">
        <v>0</v>
      </c>
      <c r="E3139" s="136" t="s">
        <v>416</v>
      </c>
      <c r="F3139" s="137" t="str">
        <f>IF(ISNUMBER(E3139),D3139*E3139,"")</f>
        <v/>
      </c>
      <c r="G3139" s="138" t="e">
        <f>IF(A3139&lt;&gt;"",IF(AND(#REF!="Padrão",$H$4=#REF!),BDI!$B$17,IF(AND(#REF!="Padrão",$H$4=#REF!),BDI!#REF!,IF(AND(#REF!="Diferenciado",$H$4=#REF!),BDI!$E$17,IF(AND(#REF!="Diferenciado",$H$4=#REF!),BDI!#REF!,IF(#REF!="ZERO",0))))),"")</f>
        <v>#REF!</v>
      </c>
      <c r="H3139" s="139" t="str">
        <f>IF(ISNUMBER(E3139),ROUND(E3139*(1+G3139),2),"")</f>
        <v/>
      </c>
      <c r="I3139" s="137" t="str">
        <f>IF(ISNUMBER(E3139),ROUND(H3139*D3139,2),"")</f>
        <v/>
      </c>
      <c r="J3139" s="117"/>
      <c r="K3139" s="116">
        <v>0</v>
      </c>
      <c r="M3139" s="136" t="s">
        <v>416</v>
      </c>
      <c r="N3139" t="e">
        <v>#REF!</v>
      </c>
      <c r="Q3139" t="s">
        <v>416</v>
      </c>
    </row>
    <row r="3140" spans="1:17" hidden="1" x14ac:dyDescent="0.25">
      <c r="A3140" s="114" t="s">
        <v>6516</v>
      </c>
      <c r="B3140" s="115" t="s">
        <v>6608</v>
      </c>
      <c r="C3140" s="116" t="s">
        <v>16</v>
      </c>
      <c r="D3140" s="116">
        <v>0</v>
      </c>
      <c r="E3140" s="136" t="s">
        <v>416</v>
      </c>
      <c r="F3140" s="137" t="str">
        <f t="shared" ref="F3140:F3203" si="236">IF(ISNUMBER(E3140),D3140*E3140,"")</f>
        <v/>
      </c>
      <c r="G3140" s="138" t="e">
        <f>IF(A3140&lt;&gt;"",IF(AND(#REF!="Padrão",$H$4=#REF!),BDI!$B$17,IF(AND(#REF!="Padrão",$H$4=#REF!),BDI!#REF!,IF(AND(#REF!="Diferenciado",$H$4=#REF!),BDI!$E$17,IF(AND(#REF!="Diferenciado",$H$4=#REF!),BDI!#REF!,IF(#REF!="ZERO",0))))),"")</f>
        <v>#REF!</v>
      </c>
      <c r="H3140" s="139" t="str">
        <f t="shared" ref="H3140:H3203" si="237">IF(ISNUMBER(E3140),ROUND(E3140*(1+G3140),2),"")</f>
        <v/>
      </c>
      <c r="I3140" s="137" t="str">
        <f t="shared" ref="I3140:I3203" si="238">IF(ISNUMBER(E3140),ROUND(H3140*D3140,2),"")</f>
        <v/>
      </c>
      <c r="J3140" s="117"/>
      <c r="K3140" s="116">
        <v>0</v>
      </c>
      <c r="M3140" s="136" t="s">
        <v>416</v>
      </c>
      <c r="N3140" t="e">
        <v>#REF!</v>
      </c>
      <c r="Q3140" t="s">
        <v>416</v>
      </c>
    </row>
    <row r="3141" spans="1:17" hidden="1" x14ac:dyDescent="0.25">
      <c r="A3141" s="114" t="s">
        <v>6517</v>
      </c>
      <c r="B3141" s="115" t="s">
        <v>6609</v>
      </c>
      <c r="C3141" s="116" t="s">
        <v>16</v>
      </c>
      <c r="D3141" s="116">
        <v>0</v>
      </c>
      <c r="E3141" s="136" t="s">
        <v>416</v>
      </c>
      <c r="F3141" s="137" t="str">
        <f t="shared" si="236"/>
        <v/>
      </c>
      <c r="G3141" s="138" t="e">
        <f>IF(A3141&lt;&gt;"",IF(AND(#REF!="Padrão",$H$4=#REF!),BDI!$B$17,IF(AND(#REF!="Padrão",$H$4=#REF!),BDI!#REF!,IF(AND(#REF!="Diferenciado",$H$4=#REF!),BDI!$E$17,IF(AND(#REF!="Diferenciado",$H$4=#REF!),BDI!#REF!,IF(#REF!="ZERO",0))))),"")</f>
        <v>#REF!</v>
      </c>
      <c r="H3141" s="139" t="str">
        <f t="shared" si="237"/>
        <v/>
      </c>
      <c r="I3141" s="137" t="str">
        <f t="shared" si="238"/>
        <v/>
      </c>
      <c r="J3141" s="117"/>
      <c r="K3141" s="116">
        <v>0</v>
      </c>
      <c r="M3141" s="136" t="s">
        <v>416</v>
      </c>
      <c r="N3141" t="e">
        <v>#REF!</v>
      </c>
      <c r="Q3141" t="s">
        <v>416</v>
      </c>
    </row>
    <row r="3142" spans="1:17" ht="25.5" hidden="1" x14ac:dyDescent="0.25">
      <c r="A3142" s="114" t="s">
        <v>6518</v>
      </c>
      <c r="B3142" s="115" t="s">
        <v>6610</v>
      </c>
      <c r="C3142" s="116" t="s">
        <v>16</v>
      </c>
      <c r="D3142" s="116">
        <v>0</v>
      </c>
      <c r="E3142" s="136" t="s">
        <v>416</v>
      </c>
      <c r="F3142" s="137" t="str">
        <f t="shared" si="236"/>
        <v/>
      </c>
      <c r="G3142" s="138" t="e">
        <f>IF(A3142&lt;&gt;"",IF(AND(#REF!="Padrão",$H$4=#REF!),BDI!$B$17,IF(AND(#REF!="Padrão",$H$4=#REF!),BDI!#REF!,IF(AND(#REF!="Diferenciado",$H$4=#REF!),BDI!$E$17,IF(AND(#REF!="Diferenciado",$H$4=#REF!),BDI!#REF!,IF(#REF!="ZERO",0))))),"")</f>
        <v>#REF!</v>
      </c>
      <c r="H3142" s="139" t="str">
        <f t="shared" si="237"/>
        <v/>
      </c>
      <c r="I3142" s="137" t="str">
        <f t="shared" si="238"/>
        <v/>
      </c>
      <c r="J3142" s="117"/>
      <c r="K3142" s="116">
        <v>0</v>
      </c>
      <c r="M3142" s="136" t="s">
        <v>416</v>
      </c>
      <c r="N3142" t="e">
        <v>#REF!</v>
      </c>
      <c r="Q3142" t="s">
        <v>416</v>
      </c>
    </row>
    <row r="3143" spans="1:17" ht="25.5" hidden="1" x14ac:dyDescent="0.25">
      <c r="A3143" s="114" t="s">
        <v>6519</v>
      </c>
      <c r="B3143" s="115" t="s">
        <v>6611</v>
      </c>
      <c r="C3143" s="116" t="s">
        <v>16</v>
      </c>
      <c r="D3143" s="116">
        <v>0</v>
      </c>
      <c r="E3143" s="136" t="s">
        <v>416</v>
      </c>
      <c r="F3143" s="137" t="str">
        <f t="shared" si="236"/>
        <v/>
      </c>
      <c r="G3143" s="138" t="e">
        <f>IF(A3143&lt;&gt;"",IF(AND(#REF!="Padrão",$H$4=#REF!),BDI!$B$17,IF(AND(#REF!="Padrão",$H$4=#REF!),BDI!#REF!,IF(AND(#REF!="Diferenciado",$H$4=#REF!),BDI!$E$17,IF(AND(#REF!="Diferenciado",$H$4=#REF!),BDI!#REF!,IF(#REF!="ZERO",0))))),"")</f>
        <v>#REF!</v>
      </c>
      <c r="H3143" s="139" t="str">
        <f t="shared" si="237"/>
        <v/>
      </c>
      <c r="I3143" s="137" t="str">
        <f t="shared" si="238"/>
        <v/>
      </c>
      <c r="J3143" s="117"/>
      <c r="K3143" s="116">
        <v>0</v>
      </c>
      <c r="M3143" s="136" t="s">
        <v>416</v>
      </c>
      <c r="N3143" t="e">
        <v>#REF!</v>
      </c>
      <c r="Q3143" t="s">
        <v>416</v>
      </c>
    </row>
    <row r="3144" spans="1:17" ht="25.5" hidden="1" x14ac:dyDescent="0.25">
      <c r="A3144" s="114" t="s">
        <v>6520</v>
      </c>
      <c r="B3144" s="115" t="s">
        <v>6612</v>
      </c>
      <c r="C3144" s="116" t="s">
        <v>16</v>
      </c>
      <c r="D3144" s="116">
        <v>0</v>
      </c>
      <c r="E3144" s="136" t="s">
        <v>416</v>
      </c>
      <c r="F3144" s="137" t="str">
        <f t="shared" si="236"/>
        <v/>
      </c>
      <c r="G3144" s="138" t="e">
        <f>IF(A3144&lt;&gt;"",IF(AND(#REF!="Padrão",$H$4=#REF!),BDI!$B$17,IF(AND(#REF!="Padrão",$H$4=#REF!),BDI!#REF!,IF(AND(#REF!="Diferenciado",$H$4=#REF!),BDI!$E$17,IF(AND(#REF!="Diferenciado",$H$4=#REF!),BDI!#REF!,IF(#REF!="ZERO",0))))),"")</f>
        <v>#REF!</v>
      </c>
      <c r="H3144" s="139" t="str">
        <f t="shared" si="237"/>
        <v/>
      </c>
      <c r="I3144" s="137" t="str">
        <f t="shared" si="238"/>
        <v/>
      </c>
      <c r="J3144" s="117"/>
      <c r="K3144" s="116">
        <v>0</v>
      </c>
      <c r="M3144" s="136" t="s">
        <v>416</v>
      </c>
      <c r="N3144" t="e">
        <v>#REF!</v>
      </c>
      <c r="Q3144" t="s">
        <v>416</v>
      </c>
    </row>
    <row r="3145" spans="1:17" ht="25.5" hidden="1" x14ac:dyDescent="0.25">
      <c r="A3145" s="114" t="s">
        <v>6521</v>
      </c>
      <c r="B3145" s="115" t="s">
        <v>6613</v>
      </c>
      <c r="C3145" s="116" t="s">
        <v>16</v>
      </c>
      <c r="D3145" s="116">
        <v>0</v>
      </c>
      <c r="E3145" s="136" t="s">
        <v>416</v>
      </c>
      <c r="F3145" s="137" t="str">
        <f t="shared" si="236"/>
        <v/>
      </c>
      <c r="G3145" s="138" t="e">
        <f>IF(A3145&lt;&gt;"",IF(AND(#REF!="Padrão",$H$4=#REF!),BDI!$B$17,IF(AND(#REF!="Padrão",$H$4=#REF!),BDI!#REF!,IF(AND(#REF!="Diferenciado",$H$4=#REF!),BDI!$E$17,IF(AND(#REF!="Diferenciado",$H$4=#REF!),BDI!#REF!,IF(#REF!="ZERO",0))))),"")</f>
        <v>#REF!</v>
      </c>
      <c r="H3145" s="139" t="str">
        <f t="shared" si="237"/>
        <v/>
      </c>
      <c r="I3145" s="137" t="str">
        <f t="shared" si="238"/>
        <v/>
      </c>
      <c r="J3145" s="117"/>
      <c r="K3145" s="116">
        <v>0</v>
      </c>
      <c r="M3145" s="136" t="s">
        <v>416</v>
      </c>
      <c r="N3145" t="e">
        <v>#REF!</v>
      </c>
      <c r="Q3145" t="s">
        <v>416</v>
      </c>
    </row>
    <row r="3146" spans="1:17" hidden="1" x14ac:dyDescent="0.25">
      <c r="A3146" s="114" t="s">
        <v>6522</v>
      </c>
      <c r="B3146" s="115" t="s">
        <v>6614</v>
      </c>
      <c r="C3146" s="116" t="s">
        <v>16</v>
      </c>
      <c r="D3146" s="116">
        <v>0</v>
      </c>
      <c r="E3146" s="136" t="s">
        <v>416</v>
      </c>
      <c r="F3146" s="137" t="str">
        <f t="shared" si="236"/>
        <v/>
      </c>
      <c r="G3146" s="138" t="e">
        <f>IF(A3146&lt;&gt;"",IF(AND(#REF!="Padrão",$H$4=#REF!),BDI!$B$17,IF(AND(#REF!="Padrão",$H$4=#REF!),BDI!#REF!,IF(AND(#REF!="Diferenciado",$H$4=#REF!),BDI!$E$17,IF(AND(#REF!="Diferenciado",$H$4=#REF!),BDI!#REF!,IF(#REF!="ZERO",0))))),"")</f>
        <v>#REF!</v>
      </c>
      <c r="H3146" s="139" t="str">
        <f t="shared" si="237"/>
        <v/>
      </c>
      <c r="I3146" s="137" t="str">
        <f t="shared" si="238"/>
        <v/>
      </c>
      <c r="J3146" s="117"/>
      <c r="K3146" s="116">
        <v>0</v>
      </c>
      <c r="M3146" s="136" t="s">
        <v>416</v>
      </c>
      <c r="N3146" t="e">
        <v>#REF!</v>
      </c>
      <c r="Q3146" t="s">
        <v>416</v>
      </c>
    </row>
    <row r="3147" spans="1:17" ht="25.5" hidden="1" x14ac:dyDescent="0.25">
      <c r="A3147" s="114" t="s">
        <v>6523</v>
      </c>
      <c r="B3147" s="115" t="s">
        <v>6615</v>
      </c>
      <c r="C3147" s="116" t="s">
        <v>16</v>
      </c>
      <c r="D3147" s="116">
        <v>0</v>
      </c>
      <c r="E3147" s="136" t="s">
        <v>416</v>
      </c>
      <c r="F3147" s="137" t="str">
        <f t="shared" si="236"/>
        <v/>
      </c>
      <c r="G3147" s="138" t="e">
        <f>IF(A3147&lt;&gt;"",IF(AND(#REF!="Padrão",$H$4=#REF!),BDI!$B$17,IF(AND(#REF!="Padrão",$H$4=#REF!),BDI!#REF!,IF(AND(#REF!="Diferenciado",$H$4=#REF!),BDI!$E$17,IF(AND(#REF!="Diferenciado",$H$4=#REF!),BDI!#REF!,IF(#REF!="ZERO",0))))),"")</f>
        <v>#REF!</v>
      </c>
      <c r="H3147" s="139" t="str">
        <f t="shared" si="237"/>
        <v/>
      </c>
      <c r="I3147" s="137" t="str">
        <f t="shared" si="238"/>
        <v/>
      </c>
      <c r="J3147" s="117"/>
      <c r="K3147" s="116">
        <v>0</v>
      </c>
      <c r="M3147" s="136" t="s">
        <v>416</v>
      </c>
      <c r="N3147" t="e">
        <v>#REF!</v>
      </c>
      <c r="Q3147" t="s">
        <v>416</v>
      </c>
    </row>
    <row r="3148" spans="1:17" ht="25.5" hidden="1" x14ac:dyDescent="0.25">
      <c r="A3148" s="114" t="s">
        <v>6524</v>
      </c>
      <c r="B3148" s="115" t="s">
        <v>6616</v>
      </c>
      <c r="C3148" s="116" t="s">
        <v>16</v>
      </c>
      <c r="D3148" s="116">
        <v>0</v>
      </c>
      <c r="E3148" s="136" t="s">
        <v>416</v>
      </c>
      <c r="F3148" s="137" t="str">
        <f t="shared" si="236"/>
        <v/>
      </c>
      <c r="G3148" s="138" t="e">
        <f>IF(A3148&lt;&gt;"",IF(AND(#REF!="Padrão",$H$4=#REF!),BDI!$B$17,IF(AND(#REF!="Padrão",$H$4=#REF!),BDI!#REF!,IF(AND(#REF!="Diferenciado",$H$4=#REF!),BDI!$E$17,IF(AND(#REF!="Diferenciado",$H$4=#REF!),BDI!#REF!,IF(#REF!="ZERO",0))))),"")</f>
        <v>#REF!</v>
      </c>
      <c r="H3148" s="139" t="str">
        <f t="shared" si="237"/>
        <v/>
      </c>
      <c r="I3148" s="137" t="str">
        <f t="shared" si="238"/>
        <v/>
      </c>
      <c r="J3148" s="117"/>
      <c r="K3148" s="116">
        <v>0</v>
      </c>
      <c r="M3148" s="136" t="s">
        <v>416</v>
      </c>
      <c r="N3148" t="e">
        <v>#REF!</v>
      </c>
      <c r="Q3148" t="s">
        <v>416</v>
      </c>
    </row>
    <row r="3149" spans="1:17" ht="25.5" hidden="1" x14ac:dyDescent="0.25">
      <c r="A3149" s="114" t="s">
        <v>6525</v>
      </c>
      <c r="B3149" s="115" t="s">
        <v>6617</v>
      </c>
      <c r="C3149" s="116" t="s">
        <v>16</v>
      </c>
      <c r="D3149" s="116">
        <v>0</v>
      </c>
      <c r="E3149" s="136" t="s">
        <v>416</v>
      </c>
      <c r="F3149" s="137" t="str">
        <f t="shared" si="236"/>
        <v/>
      </c>
      <c r="G3149" s="138" t="e">
        <f>IF(A3149&lt;&gt;"",IF(AND(#REF!="Padrão",$H$4=#REF!),BDI!$B$17,IF(AND(#REF!="Padrão",$H$4=#REF!),BDI!#REF!,IF(AND(#REF!="Diferenciado",$H$4=#REF!),BDI!$E$17,IF(AND(#REF!="Diferenciado",$H$4=#REF!),BDI!#REF!,IF(#REF!="ZERO",0))))),"")</f>
        <v>#REF!</v>
      </c>
      <c r="H3149" s="139" t="str">
        <f t="shared" si="237"/>
        <v/>
      </c>
      <c r="I3149" s="137" t="str">
        <f t="shared" si="238"/>
        <v/>
      </c>
      <c r="J3149" s="117"/>
      <c r="K3149" s="116">
        <v>0</v>
      </c>
      <c r="M3149" s="136" t="s">
        <v>416</v>
      </c>
      <c r="N3149" t="e">
        <v>#REF!</v>
      </c>
      <c r="Q3149" t="s">
        <v>416</v>
      </c>
    </row>
    <row r="3150" spans="1:17" hidden="1" x14ac:dyDescent="0.25">
      <c r="A3150" s="114" t="s">
        <v>6526</v>
      </c>
      <c r="B3150" s="115" t="s">
        <v>6618</v>
      </c>
      <c r="C3150" s="116" t="s">
        <v>16</v>
      </c>
      <c r="D3150" s="116">
        <v>0</v>
      </c>
      <c r="E3150" s="136" t="s">
        <v>416</v>
      </c>
      <c r="F3150" s="137" t="str">
        <f t="shared" si="236"/>
        <v/>
      </c>
      <c r="G3150" s="138" t="e">
        <f>IF(A3150&lt;&gt;"",IF(AND(#REF!="Padrão",$H$4=#REF!),BDI!$B$17,IF(AND(#REF!="Padrão",$H$4=#REF!),BDI!#REF!,IF(AND(#REF!="Diferenciado",$H$4=#REF!),BDI!$E$17,IF(AND(#REF!="Diferenciado",$H$4=#REF!),BDI!#REF!,IF(#REF!="ZERO",0))))),"")</f>
        <v>#REF!</v>
      </c>
      <c r="H3150" s="139" t="str">
        <f t="shared" si="237"/>
        <v/>
      </c>
      <c r="I3150" s="137" t="str">
        <f t="shared" si="238"/>
        <v/>
      </c>
      <c r="J3150" s="117"/>
      <c r="K3150" s="116">
        <v>0</v>
      </c>
      <c r="M3150" s="136" t="s">
        <v>416</v>
      </c>
      <c r="N3150" t="e">
        <v>#REF!</v>
      </c>
      <c r="Q3150" t="s">
        <v>416</v>
      </c>
    </row>
    <row r="3151" spans="1:17" hidden="1" x14ac:dyDescent="0.25">
      <c r="A3151" s="114" t="s">
        <v>6527</v>
      </c>
      <c r="B3151" s="115" t="s">
        <v>6619</v>
      </c>
      <c r="C3151" s="116" t="s">
        <v>16</v>
      </c>
      <c r="D3151" s="116">
        <v>0</v>
      </c>
      <c r="E3151" s="136" t="s">
        <v>416</v>
      </c>
      <c r="F3151" s="137" t="str">
        <f t="shared" si="236"/>
        <v/>
      </c>
      <c r="G3151" s="138" t="e">
        <f>IF(A3151&lt;&gt;"",IF(AND(#REF!="Padrão",$H$4=#REF!),BDI!$B$17,IF(AND(#REF!="Padrão",$H$4=#REF!),BDI!#REF!,IF(AND(#REF!="Diferenciado",$H$4=#REF!),BDI!$E$17,IF(AND(#REF!="Diferenciado",$H$4=#REF!),BDI!#REF!,IF(#REF!="ZERO",0))))),"")</f>
        <v>#REF!</v>
      </c>
      <c r="H3151" s="139" t="str">
        <f t="shared" si="237"/>
        <v/>
      </c>
      <c r="I3151" s="137" t="str">
        <f t="shared" si="238"/>
        <v/>
      </c>
      <c r="J3151" s="117"/>
      <c r="K3151" s="116">
        <v>0</v>
      </c>
      <c r="M3151" s="136" t="s">
        <v>416</v>
      </c>
      <c r="N3151" t="e">
        <v>#REF!</v>
      </c>
      <c r="Q3151" t="s">
        <v>416</v>
      </c>
    </row>
    <row r="3152" spans="1:17" hidden="1" x14ac:dyDescent="0.25">
      <c r="A3152" s="114" t="s">
        <v>6528</v>
      </c>
      <c r="B3152" s="115" t="s">
        <v>6620</v>
      </c>
      <c r="C3152" s="116" t="s">
        <v>16</v>
      </c>
      <c r="D3152" s="116">
        <v>0</v>
      </c>
      <c r="E3152" s="136" t="s">
        <v>416</v>
      </c>
      <c r="F3152" s="137" t="str">
        <f t="shared" si="236"/>
        <v/>
      </c>
      <c r="G3152" s="138" t="e">
        <f>IF(A3152&lt;&gt;"",IF(AND(#REF!="Padrão",$H$4=#REF!),BDI!$B$17,IF(AND(#REF!="Padrão",$H$4=#REF!),BDI!#REF!,IF(AND(#REF!="Diferenciado",$H$4=#REF!),BDI!$E$17,IF(AND(#REF!="Diferenciado",$H$4=#REF!),BDI!#REF!,IF(#REF!="ZERO",0))))),"")</f>
        <v>#REF!</v>
      </c>
      <c r="H3152" s="139" t="str">
        <f t="shared" si="237"/>
        <v/>
      </c>
      <c r="I3152" s="137" t="str">
        <f t="shared" si="238"/>
        <v/>
      </c>
      <c r="J3152" s="117"/>
      <c r="K3152" s="116">
        <v>0</v>
      </c>
      <c r="M3152" s="136" t="s">
        <v>416</v>
      </c>
      <c r="N3152" t="e">
        <v>#REF!</v>
      </c>
      <c r="Q3152" t="s">
        <v>416</v>
      </c>
    </row>
    <row r="3153" spans="1:17" hidden="1" x14ac:dyDescent="0.25">
      <c r="A3153" s="114" t="s">
        <v>6529</v>
      </c>
      <c r="B3153" s="115" t="s">
        <v>6621</v>
      </c>
      <c r="C3153" s="116" t="s">
        <v>16</v>
      </c>
      <c r="D3153" s="116">
        <v>0</v>
      </c>
      <c r="E3153" s="136" t="s">
        <v>416</v>
      </c>
      <c r="F3153" s="137" t="str">
        <f t="shared" si="236"/>
        <v/>
      </c>
      <c r="G3153" s="138" t="e">
        <f>IF(A3153&lt;&gt;"",IF(AND(#REF!="Padrão",$H$4=#REF!),BDI!$B$17,IF(AND(#REF!="Padrão",$H$4=#REF!),BDI!#REF!,IF(AND(#REF!="Diferenciado",$H$4=#REF!),BDI!$E$17,IF(AND(#REF!="Diferenciado",$H$4=#REF!),BDI!#REF!,IF(#REF!="ZERO",0))))),"")</f>
        <v>#REF!</v>
      </c>
      <c r="H3153" s="139" t="str">
        <f t="shared" si="237"/>
        <v/>
      </c>
      <c r="I3153" s="137" t="str">
        <f t="shared" si="238"/>
        <v/>
      </c>
      <c r="J3153" s="117"/>
      <c r="K3153" s="116">
        <v>0</v>
      </c>
      <c r="M3153" s="136" t="s">
        <v>416</v>
      </c>
      <c r="N3153" t="e">
        <v>#REF!</v>
      </c>
      <c r="Q3153" t="s">
        <v>416</v>
      </c>
    </row>
    <row r="3154" spans="1:17" hidden="1" x14ac:dyDescent="0.25">
      <c r="A3154" s="114" t="s">
        <v>6530</v>
      </c>
      <c r="B3154" s="115" t="s">
        <v>6622</v>
      </c>
      <c r="C3154" s="116" t="s">
        <v>16</v>
      </c>
      <c r="D3154" s="116">
        <v>0</v>
      </c>
      <c r="E3154" s="136" t="s">
        <v>416</v>
      </c>
      <c r="F3154" s="137" t="str">
        <f t="shared" si="236"/>
        <v/>
      </c>
      <c r="G3154" s="138" t="e">
        <f>IF(A3154&lt;&gt;"",IF(AND(#REF!="Padrão",$H$4=#REF!),BDI!$B$17,IF(AND(#REF!="Padrão",$H$4=#REF!),BDI!#REF!,IF(AND(#REF!="Diferenciado",$H$4=#REF!),BDI!$E$17,IF(AND(#REF!="Diferenciado",$H$4=#REF!),BDI!#REF!,IF(#REF!="ZERO",0))))),"")</f>
        <v>#REF!</v>
      </c>
      <c r="H3154" s="139" t="str">
        <f t="shared" si="237"/>
        <v/>
      </c>
      <c r="I3154" s="137" t="str">
        <f t="shared" si="238"/>
        <v/>
      </c>
      <c r="J3154" s="117"/>
      <c r="K3154" s="116">
        <v>0</v>
      </c>
      <c r="M3154" s="136" t="s">
        <v>416</v>
      </c>
      <c r="N3154" t="e">
        <v>#REF!</v>
      </c>
      <c r="Q3154" t="s">
        <v>416</v>
      </c>
    </row>
    <row r="3155" spans="1:17" hidden="1" x14ac:dyDescent="0.25">
      <c r="A3155" s="114" t="s">
        <v>6531</v>
      </c>
      <c r="B3155" s="115" t="s">
        <v>6623</v>
      </c>
      <c r="C3155" s="116" t="s">
        <v>16</v>
      </c>
      <c r="D3155" s="116">
        <v>0</v>
      </c>
      <c r="E3155" s="136" t="s">
        <v>416</v>
      </c>
      <c r="F3155" s="137" t="str">
        <f t="shared" si="236"/>
        <v/>
      </c>
      <c r="G3155" s="138" t="e">
        <f>IF(A3155&lt;&gt;"",IF(AND(#REF!="Padrão",$H$4=#REF!),BDI!$B$17,IF(AND(#REF!="Padrão",$H$4=#REF!),BDI!#REF!,IF(AND(#REF!="Diferenciado",$H$4=#REF!),BDI!$E$17,IF(AND(#REF!="Diferenciado",$H$4=#REF!),BDI!#REF!,IF(#REF!="ZERO",0))))),"")</f>
        <v>#REF!</v>
      </c>
      <c r="H3155" s="139" t="str">
        <f t="shared" si="237"/>
        <v/>
      </c>
      <c r="I3155" s="137" t="str">
        <f t="shared" si="238"/>
        <v/>
      </c>
      <c r="J3155" s="117"/>
      <c r="K3155" s="116">
        <v>0</v>
      </c>
      <c r="M3155" s="136" t="s">
        <v>416</v>
      </c>
      <c r="N3155" t="e">
        <v>#REF!</v>
      </c>
      <c r="Q3155" t="s">
        <v>416</v>
      </c>
    </row>
    <row r="3156" spans="1:17" hidden="1" x14ac:dyDescent="0.25">
      <c r="A3156" s="114" t="s">
        <v>6532</v>
      </c>
      <c r="B3156" s="115" t="s">
        <v>6624</v>
      </c>
      <c r="C3156" s="116" t="s">
        <v>16</v>
      </c>
      <c r="D3156" s="116">
        <v>0</v>
      </c>
      <c r="E3156" s="136" t="s">
        <v>416</v>
      </c>
      <c r="F3156" s="137" t="str">
        <f t="shared" si="236"/>
        <v/>
      </c>
      <c r="G3156" s="138" t="e">
        <f>IF(A3156&lt;&gt;"",IF(AND(#REF!="Padrão",$H$4=#REF!),BDI!$B$17,IF(AND(#REF!="Padrão",$H$4=#REF!),BDI!#REF!,IF(AND(#REF!="Diferenciado",$H$4=#REF!),BDI!$E$17,IF(AND(#REF!="Diferenciado",$H$4=#REF!),BDI!#REF!,IF(#REF!="ZERO",0))))),"")</f>
        <v>#REF!</v>
      </c>
      <c r="H3156" s="139" t="str">
        <f t="shared" si="237"/>
        <v/>
      </c>
      <c r="I3156" s="137" t="str">
        <f t="shared" si="238"/>
        <v/>
      </c>
      <c r="J3156" s="117"/>
      <c r="K3156" s="116">
        <v>0</v>
      </c>
      <c r="M3156" s="136" t="s">
        <v>416</v>
      </c>
      <c r="N3156" t="e">
        <v>#REF!</v>
      </c>
      <c r="Q3156" t="s">
        <v>416</v>
      </c>
    </row>
    <row r="3157" spans="1:17" hidden="1" x14ac:dyDescent="0.25">
      <c r="A3157" s="114" t="s">
        <v>6533</v>
      </c>
      <c r="B3157" s="115" t="s">
        <v>6625</v>
      </c>
      <c r="C3157" s="116" t="s">
        <v>16</v>
      </c>
      <c r="D3157" s="116">
        <v>0</v>
      </c>
      <c r="E3157" s="136" t="s">
        <v>416</v>
      </c>
      <c r="F3157" s="137" t="str">
        <f t="shared" si="236"/>
        <v/>
      </c>
      <c r="G3157" s="138" t="e">
        <f>IF(A3157&lt;&gt;"",IF(AND(#REF!="Padrão",$H$4=#REF!),BDI!$B$17,IF(AND(#REF!="Padrão",$H$4=#REF!),BDI!#REF!,IF(AND(#REF!="Diferenciado",$H$4=#REF!),BDI!$E$17,IF(AND(#REF!="Diferenciado",$H$4=#REF!),BDI!#REF!,IF(#REF!="ZERO",0))))),"")</f>
        <v>#REF!</v>
      </c>
      <c r="H3157" s="139" t="str">
        <f t="shared" si="237"/>
        <v/>
      </c>
      <c r="I3157" s="137" t="str">
        <f t="shared" si="238"/>
        <v/>
      </c>
      <c r="J3157" s="117"/>
      <c r="K3157" s="116">
        <v>0</v>
      </c>
      <c r="M3157" s="136" t="s">
        <v>416</v>
      </c>
      <c r="N3157" t="e">
        <v>#REF!</v>
      </c>
      <c r="Q3157" t="s">
        <v>416</v>
      </c>
    </row>
    <row r="3158" spans="1:17" hidden="1" x14ac:dyDescent="0.25">
      <c r="A3158" s="114" t="s">
        <v>6534</v>
      </c>
      <c r="B3158" s="115" t="s">
        <v>6626</v>
      </c>
      <c r="C3158" s="116" t="s">
        <v>16</v>
      </c>
      <c r="D3158" s="116">
        <v>0</v>
      </c>
      <c r="E3158" s="136" t="s">
        <v>416</v>
      </c>
      <c r="F3158" s="137" t="str">
        <f t="shared" si="236"/>
        <v/>
      </c>
      <c r="G3158" s="138" t="e">
        <f>IF(A3158&lt;&gt;"",IF(AND(#REF!="Padrão",$H$4=#REF!),BDI!$B$17,IF(AND(#REF!="Padrão",$H$4=#REF!),BDI!#REF!,IF(AND(#REF!="Diferenciado",$H$4=#REF!),BDI!$E$17,IF(AND(#REF!="Diferenciado",$H$4=#REF!),BDI!#REF!,IF(#REF!="ZERO",0))))),"")</f>
        <v>#REF!</v>
      </c>
      <c r="H3158" s="139" t="str">
        <f t="shared" si="237"/>
        <v/>
      </c>
      <c r="I3158" s="137" t="str">
        <f t="shared" si="238"/>
        <v/>
      </c>
      <c r="J3158" s="117"/>
      <c r="K3158" s="116">
        <v>0</v>
      </c>
      <c r="M3158" s="136" t="s">
        <v>416</v>
      </c>
      <c r="N3158" t="e">
        <v>#REF!</v>
      </c>
      <c r="Q3158" t="s">
        <v>416</v>
      </c>
    </row>
    <row r="3159" spans="1:17" hidden="1" x14ac:dyDescent="0.25">
      <c r="A3159" s="114" t="s">
        <v>6535</v>
      </c>
      <c r="B3159" s="115" t="s">
        <v>6627</v>
      </c>
      <c r="C3159" s="116" t="s">
        <v>16</v>
      </c>
      <c r="D3159" s="116">
        <v>0</v>
      </c>
      <c r="E3159" s="136" t="s">
        <v>416</v>
      </c>
      <c r="F3159" s="137" t="str">
        <f t="shared" si="236"/>
        <v/>
      </c>
      <c r="G3159" s="138" t="e">
        <f>IF(A3159&lt;&gt;"",IF(AND(#REF!="Padrão",$H$4=#REF!),BDI!$B$17,IF(AND(#REF!="Padrão",$H$4=#REF!),BDI!#REF!,IF(AND(#REF!="Diferenciado",$H$4=#REF!),BDI!$E$17,IF(AND(#REF!="Diferenciado",$H$4=#REF!),BDI!#REF!,IF(#REF!="ZERO",0))))),"")</f>
        <v>#REF!</v>
      </c>
      <c r="H3159" s="139" t="str">
        <f t="shared" si="237"/>
        <v/>
      </c>
      <c r="I3159" s="137" t="str">
        <f t="shared" si="238"/>
        <v/>
      </c>
      <c r="J3159" s="117"/>
      <c r="K3159" s="116">
        <v>0</v>
      </c>
      <c r="M3159" s="136" t="s">
        <v>416</v>
      </c>
      <c r="N3159" t="e">
        <v>#REF!</v>
      </c>
      <c r="Q3159" t="s">
        <v>416</v>
      </c>
    </row>
    <row r="3160" spans="1:17" hidden="1" x14ac:dyDescent="0.25">
      <c r="A3160" s="114" t="s">
        <v>6536</v>
      </c>
      <c r="B3160" s="115" t="s">
        <v>6628</v>
      </c>
      <c r="C3160" s="116" t="s">
        <v>16</v>
      </c>
      <c r="D3160" s="116">
        <v>0</v>
      </c>
      <c r="E3160" s="136" t="s">
        <v>416</v>
      </c>
      <c r="F3160" s="137" t="str">
        <f t="shared" si="236"/>
        <v/>
      </c>
      <c r="G3160" s="138" t="e">
        <f>IF(A3160&lt;&gt;"",IF(AND(#REF!="Padrão",$H$4=#REF!),BDI!$B$17,IF(AND(#REF!="Padrão",$H$4=#REF!),BDI!#REF!,IF(AND(#REF!="Diferenciado",$H$4=#REF!),BDI!$E$17,IF(AND(#REF!="Diferenciado",$H$4=#REF!),BDI!#REF!,IF(#REF!="ZERO",0))))),"")</f>
        <v>#REF!</v>
      </c>
      <c r="H3160" s="139" t="str">
        <f t="shared" si="237"/>
        <v/>
      </c>
      <c r="I3160" s="137" t="str">
        <f t="shared" si="238"/>
        <v/>
      </c>
      <c r="J3160" s="117"/>
      <c r="K3160" s="116">
        <v>0</v>
      </c>
      <c r="M3160" s="136" t="s">
        <v>416</v>
      </c>
      <c r="N3160" t="e">
        <v>#REF!</v>
      </c>
      <c r="Q3160" t="s">
        <v>416</v>
      </c>
    </row>
    <row r="3161" spans="1:17" hidden="1" x14ac:dyDescent="0.25">
      <c r="A3161" s="114" t="s">
        <v>6537</v>
      </c>
      <c r="B3161" s="115" t="s">
        <v>6629</v>
      </c>
      <c r="C3161" s="116" t="s">
        <v>16</v>
      </c>
      <c r="D3161" s="116">
        <v>0</v>
      </c>
      <c r="E3161" s="136" t="s">
        <v>416</v>
      </c>
      <c r="F3161" s="137" t="str">
        <f t="shared" si="236"/>
        <v/>
      </c>
      <c r="G3161" s="138" t="e">
        <f>IF(A3161&lt;&gt;"",IF(AND(#REF!="Padrão",$H$4=#REF!),BDI!$B$17,IF(AND(#REF!="Padrão",$H$4=#REF!),BDI!#REF!,IF(AND(#REF!="Diferenciado",$H$4=#REF!),BDI!$E$17,IF(AND(#REF!="Diferenciado",$H$4=#REF!),BDI!#REF!,IF(#REF!="ZERO",0))))),"")</f>
        <v>#REF!</v>
      </c>
      <c r="H3161" s="139" t="str">
        <f t="shared" si="237"/>
        <v/>
      </c>
      <c r="I3161" s="137" t="str">
        <f t="shared" si="238"/>
        <v/>
      </c>
      <c r="J3161" s="117"/>
      <c r="K3161" s="116">
        <v>0</v>
      </c>
      <c r="M3161" s="136" t="s">
        <v>416</v>
      </c>
      <c r="N3161" t="e">
        <v>#REF!</v>
      </c>
      <c r="Q3161" t="s">
        <v>416</v>
      </c>
    </row>
    <row r="3162" spans="1:17" hidden="1" x14ac:dyDescent="0.25">
      <c r="A3162" s="114" t="s">
        <v>6538</v>
      </c>
      <c r="B3162" s="115" t="s">
        <v>6630</v>
      </c>
      <c r="C3162" s="116" t="s">
        <v>16</v>
      </c>
      <c r="D3162" s="116">
        <v>0</v>
      </c>
      <c r="E3162" s="136" t="s">
        <v>416</v>
      </c>
      <c r="F3162" s="137" t="str">
        <f t="shared" si="236"/>
        <v/>
      </c>
      <c r="G3162" s="138" t="e">
        <f>IF(A3162&lt;&gt;"",IF(AND(#REF!="Padrão",$H$4=#REF!),BDI!$B$17,IF(AND(#REF!="Padrão",$H$4=#REF!),BDI!#REF!,IF(AND(#REF!="Diferenciado",$H$4=#REF!),BDI!$E$17,IF(AND(#REF!="Diferenciado",$H$4=#REF!),BDI!#REF!,IF(#REF!="ZERO",0))))),"")</f>
        <v>#REF!</v>
      </c>
      <c r="H3162" s="139" t="str">
        <f t="shared" si="237"/>
        <v/>
      </c>
      <c r="I3162" s="137" t="str">
        <f t="shared" si="238"/>
        <v/>
      </c>
      <c r="J3162" s="117"/>
      <c r="K3162" s="116">
        <v>0</v>
      </c>
      <c r="M3162" s="136" t="s">
        <v>416</v>
      </c>
      <c r="N3162" t="e">
        <v>#REF!</v>
      </c>
      <c r="Q3162" t="s">
        <v>416</v>
      </c>
    </row>
    <row r="3163" spans="1:17" hidden="1" x14ac:dyDescent="0.25">
      <c r="A3163" s="114" t="s">
        <v>6539</v>
      </c>
      <c r="B3163" s="115" t="s">
        <v>6631</v>
      </c>
      <c r="C3163" s="116" t="s">
        <v>16</v>
      </c>
      <c r="D3163" s="116">
        <v>0</v>
      </c>
      <c r="E3163" s="136" t="s">
        <v>416</v>
      </c>
      <c r="F3163" s="137" t="str">
        <f t="shared" si="236"/>
        <v/>
      </c>
      <c r="G3163" s="138" t="e">
        <f>IF(A3163&lt;&gt;"",IF(AND(#REF!="Padrão",$H$4=#REF!),BDI!$B$17,IF(AND(#REF!="Padrão",$H$4=#REF!),BDI!#REF!,IF(AND(#REF!="Diferenciado",$H$4=#REF!),BDI!$E$17,IF(AND(#REF!="Diferenciado",$H$4=#REF!),BDI!#REF!,IF(#REF!="ZERO",0))))),"")</f>
        <v>#REF!</v>
      </c>
      <c r="H3163" s="139" t="str">
        <f t="shared" si="237"/>
        <v/>
      </c>
      <c r="I3163" s="137" t="str">
        <f t="shared" si="238"/>
        <v/>
      </c>
      <c r="J3163" s="117"/>
      <c r="K3163" s="116">
        <v>0</v>
      </c>
      <c r="M3163" s="136" t="s">
        <v>416</v>
      </c>
      <c r="N3163" t="e">
        <v>#REF!</v>
      </c>
      <c r="Q3163" t="s">
        <v>416</v>
      </c>
    </row>
    <row r="3164" spans="1:17" hidden="1" x14ac:dyDescent="0.25">
      <c r="A3164" s="114" t="s">
        <v>6540</v>
      </c>
      <c r="B3164" s="115" t="s">
        <v>6808</v>
      </c>
      <c r="C3164" s="116" t="s">
        <v>6633</v>
      </c>
      <c r="D3164" s="116">
        <v>0</v>
      </c>
      <c r="E3164" s="136">
        <f ca="1">OFFSET(INDEX(Composições!A:J,MATCH(Orçamentária!A3164,Composições!A:A,0),8),2,0)</f>
        <v>0</v>
      </c>
      <c r="F3164" s="137">
        <f t="shared" ca="1" si="236"/>
        <v>0</v>
      </c>
      <c r="G3164" s="138" t="e">
        <f>IF(A3164&lt;&gt;"",IF(AND(#REF!="Padrão",$H$4=#REF!),BDI!$B$17,IF(AND(#REF!="Padrão",$H$4=#REF!),BDI!#REF!,IF(AND(#REF!="Diferenciado",$H$4=#REF!),BDI!$E$17,IF(AND(#REF!="Diferenciado",$H$4=#REF!),BDI!#REF!,IF(#REF!="ZERO",0))))),"")</f>
        <v>#REF!</v>
      </c>
      <c r="H3164" s="139" t="e">
        <f t="shared" ca="1" si="237"/>
        <v>#REF!</v>
      </c>
      <c r="I3164" s="137" t="e">
        <f t="shared" ca="1" si="238"/>
        <v>#REF!</v>
      </c>
      <c r="J3164" s="117"/>
      <c r="K3164" s="116">
        <v>0</v>
      </c>
      <c r="M3164" s="136" t="e">
        <f ca="1">OFFSET(INDEX([1]Composições!I:R,MATCH([1]Orçamentária!I3164,[1]Composições!I:I,0),8),2,0)</f>
        <v>#REF!</v>
      </c>
      <c r="N3164" t="e">
        <v>#REF!</v>
      </c>
      <c r="Q3164" t="e">
        <v>#REF!</v>
      </c>
    </row>
    <row r="3165" spans="1:17" hidden="1" x14ac:dyDescent="0.25">
      <c r="A3165" s="114" t="s">
        <v>6541</v>
      </c>
      <c r="B3165" s="115" t="s">
        <v>6634</v>
      </c>
      <c r="C3165" s="116" t="s">
        <v>16</v>
      </c>
      <c r="D3165" s="116">
        <v>0</v>
      </c>
      <c r="E3165" s="136" t="s">
        <v>416</v>
      </c>
      <c r="F3165" s="137" t="str">
        <f t="shared" si="236"/>
        <v/>
      </c>
      <c r="G3165" s="138" t="e">
        <f>IF(A3165&lt;&gt;"",IF(AND(#REF!="Padrão",$H$4=#REF!),BDI!$B$17,IF(AND(#REF!="Padrão",$H$4=#REF!),BDI!#REF!,IF(AND(#REF!="Diferenciado",$H$4=#REF!),BDI!$E$17,IF(AND(#REF!="Diferenciado",$H$4=#REF!),BDI!#REF!,IF(#REF!="ZERO",0))))),"")</f>
        <v>#REF!</v>
      </c>
      <c r="H3165" s="139" t="str">
        <f t="shared" si="237"/>
        <v/>
      </c>
      <c r="I3165" s="137" t="str">
        <f t="shared" si="238"/>
        <v/>
      </c>
      <c r="J3165" s="117"/>
      <c r="K3165" s="116">
        <v>0</v>
      </c>
      <c r="M3165" s="136" t="s">
        <v>416</v>
      </c>
      <c r="N3165" t="e">
        <v>#REF!</v>
      </c>
      <c r="Q3165" t="s">
        <v>416</v>
      </c>
    </row>
    <row r="3166" spans="1:17" hidden="1" x14ac:dyDescent="0.25">
      <c r="A3166" s="114" t="s">
        <v>6542</v>
      </c>
      <c r="B3166" s="115" t="s">
        <v>6635</v>
      </c>
      <c r="C3166" s="116" t="s">
        <v>16</v>
      </c>
      <c r="D3166" s="116">
        <v>0</v>
      </c>
      <c r="E3166" s="136" t="s">
        <v>416</v>
      </c>
      <c r="F3166" s="137" t="str">
        <f t="shared" si="236"/>
        <v/>
      </c>
      <c r="G3166" s="138" t="e">
        <f>IF(A3166&lt;&gt;"",IF(AND(#REF!="Padrão",$H$4=#REF!),BDI!$B$17,IF(AND(#REF!="Padrão",$H$4=#REF!),BDI!#REF!,IF(AND(#REF!="Diferenciado",$H$4=#REF!),BDI!$E$17,IF(AND(#REF!="Diferenciado",$H$4=#REF!),BDI!#REF!,IF(#REF!="ZERO",0))))),"")</f>
        <v>#REF!</v>
      </c>
      <c r="H3166" s="139" t="str">
        <f t="shared" si="237"/>
        <v/>
      </c>
      <c r="I3166" s="137" t="str">
        <f t="shared" si="238"/>
        <v/>
      </c>
      <c r="J3166" s="117"/>
      <c r="K3166" s="116">
        <v>0</v>
      </c>
      <c r="M3166" s="136" t="s">
        <v>416</v>
      </c>
      <c r="N3166" t="e">
        <v>#REF!</v>
      </c>
      <c r="Q3166" t="s">
        <v>416</v>
      </c>
    </row>
    <row r="3167" spans="1:17" hidden="1" x14ac:dyDescent="0.25">
      <c r="A3167" s="114" t="s">
        <v>6543</v>
      </c>
      <c r="B3167" s="115" t="s">
        <v>6636</v>
      </c>
      <c r="C3167" s="116" t="s">
        <v>16</v>
      </c>
      <c r="D3167" s="116">
        <v>0</v>
      </c>
      <c r="E3167" s="136" t="s">
        <v>416</v>
      </c>
      <c r="F3167" s="137" t="str">
        <f t="shared" si="236"/>
        <v/>
      </c>
      <c r="G3167" s="138" t="e">
        <f>IF(A3167&lt;&gt;"",IF(AND(#REF!="Padrão",$H$4=#REF!),BDI!$B$17,IF(AND(#REF!="Padrão",$H$4=#REF!),BDI!#REF!,IF(AND(#REF!="Diferenciado",$H$4=#REF!),BDI!$E$17,IF(AND(#REF!="Diferenciado",$H$4=#REF!),BDI!#REF!,IF(#REF!="ZERO",0))))),"")</f>
        <v>#REF!</v>
      </c>
      <c r="H3167" s="139" t="str">
        <f t="shared" si="237"/>
        <v/>
      </c>
      <c r="I3167" s="137" t="str">
        <f t="shared" si="238"/>
        <v/>
      </c>
      <c r="J3167" s="117"/>
      <c r="K3167" s="116">
        <v>0</v>
      </c>
      <c r="M3167" s="136" t="s">
        <v>416</v>
      </c>
      <c r="N3167" t="e">
        <v>#REF!</v>
      </c>
      <c r="Q3167" t="s">
        <v>416</v>
      </c>
    </row>
    <row r="3168" spans="1:17" hidden="1" x14ac:dyDescent="0.25">
      <c r="A3168" s="114" t="s">
        <v>6544</v>
      </c>
      <c r="B3168" s="115" t="s">
        <v>6637</v>
      </c>
      <c r="C3168" s="116" t="s">
        <v>16</v>
      </c>
      <c r="D3168" s="116">
        <v>0</v>
      </c>
      <c r="E3168" s="136" t="s">
        <v>416</v>
      </c>
      <c r="F3168" s="137" t="str">
        <f t="shared" si="236"/>
        <v/>
      </c>
      <c r="G3168" s="138" t="e">
        <f>IF(A3168&lt;&gt;"",IF(AND(#REF!="Padrão",$H$4=#REF!),BDI!$B$17,IF(AND(#REF!="Padrão",$H$4=#REF!),BDI!#REF!,IF(AND(#REF!="Diferenciado",$H$4=#REF!),BDI!$E$17,IF(AND(#REF!="Diferenciado",$H$4=#REF!),BDI!#REF!,IF(#REF!="ZERO",0))))),"")</f>
        <v>#REF!</v>
      </c>
      <c r="H3168" s="139" t="str">
        <f t="shared" si="237"/>
        <v/>
      </c>
      <c r="I3168" s="137" t="str">
        <f t="shared" si="238"/>
        <v/>
      </c>
      <c r="J3168" s="117"/>
      <c r="K3168" s="116">
        <v>0</v>
      </c>
      <c r="M3168" s="136" t="s">
        <v>416</v>
      </c>
      <c r="N3168" t="e">
        <v>#REF!</v>
      </c>
      <c r="Q3168" t="s">
        <v>416</v>
      </c>
    </row>
    <row r="3169" spans="1:17" hidden="1" x14ac:dyDescent="0.25">
      <c r="A3169" s="114" t="s">
        <v>6545</v>
      </c>
      <c r="B3169" s="115" t="s">
        <v>6638</v>
      </c>
      <c r="C3169" s="116" t="s">
        <v>16</v>
      </c>
      <c r="D3169" s="116">
        <v>0</v>
      </c>
      <c r="E3169" s="136" t="s">
        <v>416</v>
      </c>
      <c r="F3169" s="137" t="str">
        <f t="shared" si="236"/>
        <v/>
      </c>
      <c r="G3169" s="138" t="e">
        <f>IF(A3169&lt;&gt;"",IF(AND(#REF!="Padrão",$H$4=#REF!),BDI!$B$17,IF(AND(#REF!="Padrão",$H$4=#REF!),BDI!#REF!,IF(AND(#REF!="Diferenciado",$H$4=#REF!),BDI!$E$17,IF(AND(#REF!="Diferenciado",$H$4=#REF!),BDI!#REF!,IF(#REF!="ZERO",0))))),"")</f>
        <v>#REF!</v>
      </c>
      <c r="H3169" s="139" t="str">
        <f t="shared" si="237"/>
        <v/>
      </c>
      <c r="I3169" s="137" t="str">
        <f t="shared" si="238"/>
        <v/>
      </c>
      <c r="J3169" s="117"/>
      <c r="K3169" s="116">
        <v>0</v>
      </c>
      <c r="M3169" s="136" t="s">
        <v>416</v>
      </c>
      <c r="N3169" t="e">
        <v>#REF!</v>
      </c>
      <c r="Q3169" t="s">
        <v>416</v>
      </c>
    </row>
    <row r="3170" spans="1:17" hidden="1" x14ac:dyDescent="0.25">
      <c r="A3170" s="114" t="s">
        <v>6546</v>
      </c>
      <c r="B3170" s="115" t="s">
        <v>6639</v>
      </c>
      <c r="C3170" s="116" t="s">
        <v>16</v>
      </c>
      <c r="D3170" s="116">
        <v>0</v>
      </c>
      <c r="E3170" s="136" t="s">
        <v>416</v>
      </c>
      <c r="F3170" s="137" t="str">
        <f t="shared" si="236"/>
        <v/>
      </c>
      <c r="G3170" s="138" t="e">
        <f>IF(A3170&lt;&gt;"",IF(AND(#REF!="Padrão",$H$4=#REF!),BDI!$B$17,IF(AND(#REF!="Padrão",$H$4=#REF!),BDI!#REF!,IF(AND(#REF!="Diferenciado",$H$4=#REF!),BDI!$E$17,IF(AND(#REF!="Diferenciado",$H$4=#REF!),BDI!#REF!,IF(#REF!="ZERO",0))))),"")</f>
        <v>#REF!</v>
      </c>
      <c r="H3170" s="139" t="str">
        <f t="shared" si="237"/>
        <v/>
      </c>
      <c r="I3170" s="137" t="str">
        <f t="shared" si="238"/>
        <v/>
      </c>
      <c r="J3170" s="117"/>
      <c r="K3170" s="116">
        <v>0</v>
      </c>
      <c r="M3170" s="136" t="s">
        <v>416</v>
      </c>
      <c r="N3170" t="e">
        <v>#REF!</v>
      </c>
      <c r="Q3170" t="s">
        <v>416</v>
      </c>
    </row>
    <row r="3171" spans="1:17" hidden="1" x14ac:dyDescent="0.25">
      <c r="A3171" s="114" t="s">
        <v>6547</v>
      </c>
      <c r="B3171" s="115" t="s">
        <v>6640</v>
      </c>
      <c r="C3171" s="116" t="s">
        <v>16</v>
      </c>
      <c r="D3171" s="116">
        <v>0</v>
      </c>
      <c r="E3171" s="136" t="s">
        <v>416</v>
      </c>
      <c r="F3171" s="137" t="str">
        <f t="shared" si="236"/>
        <v/>
      </c>
      <c r="G3171" s="138" t="e">
        <f>IF(A3171&lt;&gt;"",IF(AND(#REF!="Padrão",$H$4=#REF!),BDI!$B$17,IF(AND(#REF!="Padrão",$H$4=#REF!),BDI!#REF!,IF(AND(#REF!="Diferenciado",$H$4=#REF!),BDI!$E$17,IF(AND(#REF!="Diferenciado",$H$4=#REF!),BDI!#REF!,IF(#REF!="ZERO",0))))),"")</f>
        <v>#REF!</v>
      </c>
      <c r="H3171" s="139" t="str">
        <f t="shared" si="237"/>
        <v/>
      </c>
      <c r="I3171" s="137" t="str">
        <f t="shared" si="238"/>
        <v/>
      </c>
      <c r="J3171" s="117"/>
      <c r="K3171" s="116">
        <v>0</v>
      </c>
      <c r="M3171" s="136" t="s">
        <v>416</v>
      </c>
      <c r="N3171" t="e">
        <v>#REF!</v>
      </c>
      <c r="Q3171" t="s">
        <v>416</v>
      </c>
    </row>
    <row r="3172" spans="1:17" hidden="1" x14ac:dyDescent="0.25">
      <c r="A3172" s="114" t="s">
        <v>6548</v>
      </c>
      <c r="B3172" s="115" t="s">
        <v>6809</v>
      </c>
      <c r="C3172" s="116" t="s">
        <v>6633</v>
      </c>
      <c r="D3172" s="116">
        <v>0</v>
      </c>
      <c r="E3172" s="136">
        <f ca="1">OFFSET(INDEX(Composições!A:J,MATCH(Orçamentária!A3172,Composições!A:A,0),8),2,0)</f>
        <v>0</v>
      </c>
      <c r="F3172" s="137">
        <f t="shared" ca="1" si="236"/>
        <v>0</v>
      </c>
      <c r="G3172" s="138" t="e">
        <f>IF(A3172&lt;&gt;"",IF(AND(#REF!="Padrão",$H$4=#REF!),BDI!$B$17,IF(AND(#REF!="Padrão",$H$4=#REF!),BDI!#REF!,IF(AND(#REF!="Diferenciado",$H$4=#REF!),BDI!$E$17,IF(AND(#REF!="Diferenciado",$H$4=#REF!),BDI!#REF!,IF(#REF!="ZERO",0))))),"")</f>
        <v>#REF!</v>
      </c>
      <c r="H3172" s="139" t="e">
        <f t="shared" ca="1" si="237"/>
        <v>#REF!</v>
      </c>
      <c r="I3172" s="137" t="e">
        <f t="shared" ca="1" si="238"/>
        <v>#REF!</v>
      </c>
      <c r="J3172" s="117"/>
      <c r="K3172" s="116">
        <v>0</v>
      </c>
      <c r="M3172" s="136" t="e">
        <f ca="1">OFFSET(INDEX([1]Composições!I:R,MATCH([1]Orçamentária!I3172,[1]Composições!I:I,0),8),2,0)</f>
        <v>#REF!</v>
      </c>
      <c r="N3172" t="e">
        <v>#REF!</v>
      </c>
      <c r="Q3172" t="e">
        <v>#REF!</v>
      </c>
    </row>
    <row r="3173" spans="1:17" hidden="1" x14ac:dyDescent="0.25">
      <c r="A3173" s="114" t="s">
        <v>6549</v>
      </c>
      <c r="B3173" s="115" t="s">
        <v>6642</v>
      </c>
      <c r="C3173" s="116" t="s">
        <v>16</v>
      </c>
      <c r="D3173" s="116">
        <v>0</v>
      </c>
      <c r="E3173" s="136" t="s">
        <v>416</v>
      </c>
      <c r="F3173" s="137" t="str">
        <f t="shared" si="236"/>
        <v/>
      </c>
      <c r="G3173" s="138" t="e">
        <f>IF(A3173&lt;&gt;"",IF(AND(#REF!="Padrão",$H$4=#REF!),BDI!$B$17,IF(AND(#REF!="Padrão",$H$4=#REF!),BDI!#REF!,IF(AND(#REF!="Diferenciado",$H$4=#REF!),BDI!$E$17,IF(AND(#REF!="Diferenciado",$H$4=#REF!),BDI!#REF!,IF(#REF!="ZERO",0))))),"")</f>
        <v>#REF!</v>
      </c>
      <c r="H3173" s="139" t="str">
        <f t="shared" si="237"/>
        <v/>
      </c>
      <c r="I3173" s="137" t="str">
        <f t="shared" si="238"/>
        <v/>
      </c>
      <c r="J3173" s="117"/>
      <c r="K3173" s="116">
        <v>0</v>
      </c>
      <c r="M3173" s="136" t="s">
        <v>416</v>
      </c>
      <c r="N3173" t="e">
        <v>#REF!</v>
      </c>
      <c r="Q3173" t="s">
        <v>416</v>
      </c>
    </row>
    <row r="3174" spans="1:17" hidden="1" x14ac:dyDescent="0.25">
      <c r="A3174" s="114" t="s">
        <v>6550</v>
      </c>
      <c r="B3174" s="115" t="s">
        <v>6643</v>
      </c>
      <c r="C3174" s="116" t="s">
        <v>16</v>
      </c>
      <c r="D3174" s="116">
        <v>0</v>
      </c>
      <c r="E3174" s="136" t="s">
        <v>416</v>
      </c>
      <c r="F3174" s="137" t="str">
        <f t="shared" si="236"/>
        <v/>
      </c>
      <c r="G3174" s="138" t="e">
        <f>IF(A3174&lt;&gt;"",IF(AND(#REF!="Padrão",$H$4=#REF!),BDI!$B$17,IF(AND(#REF!="Padrão",$H$4=#REF!),BDI!#REF!,IF(AND(#REF!="Diferenciado",$H$4=#REF!),BDI!$E$17,IF(AND(#REF!="Diferenciado",$H$4=#REF!),BDI!#REF!,IF(#REF!="ZERO",0))))),"")</f>
        <v>#REF!</v>
      </c>
      <c r="H3174" s="139" t="str">
        <f t="shared" si="237"/>
        <v/>
      </c>
      <c r="I3174" s="137" t="str">
        <f t="shared" si="238"/>
        <v/>
      </c>
      <c r="J3174" s="117"/>
      <c r="K3174" s="116">
        <v>0</v>
      </c>
      <c r="M3174" s="136" t="s">
        <v>416</v>
      </c>
      <c r="N3174" t="e">
        <v>#REF!</v>
      </c>
      <c r="Q3174" t="s">
        <v>416</v>
      </c>
    </row>
    <row r="3175" spans="1:17" hidden="1" x14ac:dyDescent="0.25">
      <c r="A3175" s="114" t="s">
        <v>6551</v>
      </c>
      <c r="B3175" s="115" t="s">
        <v>6644</v>
      </c>
      <c r="C3175" s="116" t="s">
        <v>16</v>
      </c>
      <c r="D3175" s="116">
        <v>0</v>
      </c>
      <c r="E3175" s="136" t="s">
        <v>416</v>
      </c>
      <c r="F3175" s="137" t="str">
        <f t="shared" si="236"/>
        <v/>
      </c>
      <c r="G3175" s="138" t="e">
        <f>IF(A3175&lt;&gt;"",IF(AND(#REF!="Padrão",$H$4=#REF!),BDI!$B$17,IF(AND(#REF!="Padrão",$H$4=#REF!),BDI!#REF!,IF(AND(#REF!="Diferenciado",$H$4=#REF!),BDI!$E$17,IF(AND(#REF!="Diferenciado",$H$4=#REF!),BDI!#REF!,IF(#REF!="ZERO",0))))),"")</f>
        <v>#REF!</v>
      </c>
      <c r="H3175" s="139" t="str">
        <f t="shared" si="237"/>
        <v/>
      </c>
      <c r="I3175" s="137" t="str">
        <f t="shared" si="238"/>
        <v/>
      </c>
      <c r="J3175" s="117"/>
      <c r="K3175" s="116">
        <v>0</v>
      </c>
      <c r="M3175" s="136" t="s">
        <v>416</v>
      </c>
      <c r="N3175" t="e">
        <v>#REF!</v>
      </c>
      <c r="Q3175" t="s">
        <v>416</v>
      </c>
    </row>
    <row r="3176" spans="1:17" hidden="1" x14ac:dyDescent="0.25">
      <c r="A3176" s="114" t="s">
        <v>6552</v>
      </c>
      <c r="B3176" s="115" t="s">
        <v>6645</v>
      </c>
      <c r="C3176" s="116" t="s">
        <v>16</v>
      </c>
      <c r="D3176" s="116">
        <v>0</v>
      </c>
      <c r="E3176" s="136" t="s">
        <v>416</v>
      </c>
      <c r="F3176" s="137" t="str">
        <f t="shared" si="236"/>
        <v/>
      </c>
      <c r="G3176" s="138" t="e">
        <f>IF(A3176&lt;&gt;"",IF(AND(#REF!="Padrão",$H$4=#REF!),BDI!$B$17,IF(AND(#REF!="Padrão",$H$4=#REF!),BDI!#REF!,IF(AND(#REF!="Diferenciado",$H$4=#REF!),BDI!$E$17,IF(AND(#REF!="Diferenciado",$H$4=#REF!),BDI!#REF!,IF(#REF!="ZERO",0))))),"")</f>
        <v>#REF!</v>
      </c>
      <c r="H3176" s="139" t="str">
        <f t="shared" si="237"/>
        <v/>
      </c>
      <c r="I3176" s="137" t="str">
        <f t="shared" si="238"/>
        <v/>
      </c>
      <c r="J3176" s="117"/>
      <c r="K3176" s="116">
        <v>0</v>
      </c>
      <c r="M3176" s="136" t="s">
        <v>416</v>
      </c>
      <c r="N3176" t="e">
        <v>#REF!</v>
      </c>
      <c r="Q3176" t="s">
        <v>416</v>
      </c>
    </row>
    <row r="3177" spans="1:17" hidden="1" x14ac:dyDescent="0.25">
      <c r="A3177" s="114" t="s">
        <v>6553</v>
      </c>
      <c r="B3177" s="115" t="s">
        <v>6646</v>
      </c>
      <c r="C3177" s="116" t="s">
        <v>16</v>
      </c>
      <c r="D3177" s="116">
        <v>0</v>
      </c>
      <c r="E3177" s="136" t="s">
        <v>416</v>
      </c>
      <c r="F3177" s="137" t="str">
        <f t="shared" si="236"/>
        <v/>
      </c>
      <c r="G3177" s="138" t="e">
        <f>IF(A3177&lt;&gt;"",IF(AND(#REF!="Padrão",$H$4=#REF!),BDI!$B$17,IF(AND(#REF!="Padrão",$H$4=#REF!),BDI!#REF!,IF(AND(#REF!="Diferenciado",$H$4=#REF!),BDI!$E$17,IF(AND(#REF!="Diferenciado",$H$4=#REF!),BDI!#REF!,IF(#REF!="ZERO",0))))),"")</f>
        <v>#REF!</v>
      </c>
      <c r="H3177" s="139" t="str">
        <f t="shared" si="237"/>
        <v/>
      </c>
      <c r="I3177" s="137" t="str">
        <f t="shared" si="238"/>
        <v/>
      </c>
      <c r="J3177" s="117"/>
      <c r="K3177" s="116">
        <v>0</v>
      </c>
      <c r="M3177" s="136" t="s">
        <v>416</v>
      </c>
      <c r="N3177" t="e">
        <v>#REF!</v>
      </c>
      <c r="Q3177" t="s">
        <v>416</v>
      </c>
    </row>
    <row r="3178" spans="1:17" hidden="1" x14ac:dyDescent="0.25">
      <c r="A3178" s="114" t="s">
        <v>6554</v>
      </c>
      <c r="B3178" s="115" t="s">
        <v>6647</v>
      </c>
      <c r="C3178" s="116" t="s">
        <v>16</v>
      </c>
      <c r="D3178" s="116">
        <v>0</v>
      </c>
      <c r="E3178" s="136" t="s">
        <v>416</v>
      </c>
      <c r="F3178" s="137" t="str">
        <f t="shared" si="236"/>
        <v/>
      </c>
      <c r="G3178" s="138" t="e">
        <f>IF(A3178&lt;&gt;"",IF(AND(#REF!="Padrão",$H$4=#REF!),BDI!$B$17,IF(AND(#REF!="Padrão",$H$4=#REF!),BDI!#REF!,IF(AND(#REF!="Diferenciado",$H$4=#REF!),BDI!$E$17,IF(AND(#REF!="Diferenciado",$H$4=#REF!),BDI!#REF!,IF(#REF!="ZERO",0))))),"")</f>
        <v>#REF!</v>
      </c>
      <c r="H3178" s="139" t="str">
        <f t="shared" si="237"/>
        <v/>
      </c>
      <c r="I3178" s="137" t="str">
        <f t="shared" si="238"/>
        <v/>
      </c>
      <c r="J3178" s="117"/>
      <c r="K3178" s="116">
        <v>0</v>
      </c>
      <c r="M3178" s="136" t="s">
        <v>416</v>
      </c>
      <c r="N3178" t="e">
        <v>#REF!</v>
      </c>
      <c r="Q3178" t="s">
        <v>416</v>
      </c>
    </row>
    <row r="3179" spans="1:17" hidden="1" x14ac:dyDescent="0.25">
      <c r="A3179" s="114" t="s">
        <v>6555</v>
      </c>
      <c r="B3179" s="115" t="s">
        <v>6648</v>
      </c>
      <c r="C3179" s="116" t="s">
        <v>16</v>
      </c>
      <c r="D3179" s="116">
        <v>0</v>
      </c>
      <c r="E3179" s="136" t="s">
        <v>416</v>
      </c>
      <c r="F3179" s="137" t="str">
        <f t="shared" si="236"/>
        <v/>
      </c>
      <c r="G3179" s="138" t="e">
        <f>IF(A3179&lt;&gt;"",IF(AND(#REF!="Padrão",$H$4=#REF!),BDI!$B$17,IF(AND(#REF!="Padrão",$H$4=#REF!),BDI!#REF!,IF(AND(#REF!="Diferenciado",$H$4=#REF!),BDI!$E$17,IF(AND(#REF!="Diferenciado",$H$4=#REF!),BDI!#REF!,IF(#REF!="ZERO",0))))),"")</f>
        <v>#REF!</v>
      </c>
      <c r="H3179" s="139" t="str">
        <f t="shared" si="237"/>
        <v/>
      </c>
      <c r="I3179" s="137" t="str">
        <f t="shared" si="238"/>
        <v/>
      </c>
      <c r="J3179" s="117"/>
      <c r="K3179" s="116">
        <v>0</v>
      </c>
      <c r="M3179" s="136" t="s">
        <v>416</v>
      </c>
      <c r="N3179" t="e">
        <v>#REF!</v>
      </c>
      <c r="Q3179" t="s">
        <v>416</v>
      </c>
    </row>
    <row r="3180" spans="1:17" hidden="1" x14ac:dyDescent="0.25">
      <c r="A3180" s="114" t="s">
        <v>6556</v>
      </c>
      <c r="B3180" s="115" t="s">
        <v>6649</v>
      </c>
      <c r="C3180" s="116" t="s">
        <v>16</v>
      </c>
      <c r="D3180" s="116">
        <v>0</v>
      </c>
      <c r="E3180" s="136" t="s">
        <v>416</v>
      </c>
      <c r="F3180" s="137" t="str">
        <f t="shared" si="236"/>
        <v/>
      </c>
      <c r="G3180" s="138" t="e">
        <f>IF(A3180&lt;&gt;"",IF(AND(#REF!="Padrão",$H$4=#REF!),BDI!$B$17,IF(AND(#REF!="Padrão",$H$4=#REF!),BDI!#REF!,IF(AND(#REF!="Diferenciado",$H$4=#REF!),BDI!$E$17,IF(AND(#REF!="Diferenciado",$H$4=#REF!),BDI!#REF!,IF(#REF!="ZERO",0))))),"")</f>
        <v>#REF!</v>
      </c>
      <c r="H3180" s="139" t="str">
        <f t="shared" si="237"/>
        <v/>
      </c>
      <c r="I3180" s="137" t="str">
        <f t="shared" si="238"/>
        <v/>
      </c>
      <c r="J3180" s="117"/>
      <c r="K3180" s="116">
        <v>0</v>
      </c>
      <c r="M3180" s="136" t="s">
        <v>416</v>
      </c>
      <c r="N3180" t="e">
        <v>#REF!</v>
      </c>
      <c r="Q3180" t="s">
        <v>416</v>
      </c>
    </row>
    <row r="3181" spans="1:17" hidden="1" x14ac:dyDescent="0.25">
      <c r="A3181" s="114" t="s">
        <v>6557</v>
      </c>
      <c r="B3181" s="115" t="s">
        <v>6650</v>
      </c>
      <c r="C3181" s="116" t="s">
        <v>16</v>
      </c>
      <c r="D3181" s="116">
        <v>0</v>
      </c>
      <c r="E3181" s="136" t="s">
        <v>416</v>
      </c>
      <c r="F3181" s="137" t="str">
        <f t="shared" si="236"/>
        <v/>
      </c>
      <c r="G3181" s="138" t="e">
        <f>IF(A3181&lt;&gt;"",IF(AND(#REF!="Padrão",$H$4=#REF!),BDI!$B$17,IF(AND(#REF!="Padrão",$H$4=#REF!),BDI!#REF!,IF(AND(#REF!="Diferenciado",$H$4=#REF!),BDI!$E$17,IF(AND(#REF!="Diferenciado",$H$4=#REF!),BDI!#REF!,IF(#REF!="ZERO",0))))),"")</f>
        <v>#REF!</v>
      </c>
      <c r="H3181" s="139" t="str">
        <f t="shared" si="237"/>
        <v/>
      </c>
      <c r="I3181" s="137" t="str">
        <f t="shared" si="238"/>
        <v/>
      </c>
      <c r="J3181" s="117"/>
      <c r="K3181" s="116">
        <v>0</v>
      </c>
      <c r="M3181" s="136" t="s">
        <v>416</v>
      </c>
      <c r="N3181" t="e">
        <v>#REF!</v>
      </c>
      <c r="Q3181" t="s">
        <v>416</v>
      </c>
    </row>
    <row r="3182" spans="1:17" hidden="1" x14ac:dyDescent="0.25">
      <c r="A3182" s="114" t="s">
        <v>6558</v>
      </c>
      <c r="B3182" s="115" t="s">
        <v>6651</v>
      </c>
      <c r="C3182" s="116" t="s">
        <v>16</v>
      </c>
      <c r="D3182" s="116">
        <v>0</v>
      </c>
      <c r="E3182" s="136" t="s">
        <v>416</v>
      </c>
      <c r="F3182" s="137" t="str">
        <f t="shared" si="236"/>
        <v/>
      </c>
      <c r="G3182" s="138" t="e">
        <f>IF(A3182&lt;&gt;"",IF(AND(#REF!="Padrão",$H$4=#REF!),BDI!$B$17,IF(AND(#REF!="Padrão",$H$4=#REF!),BDI!#REF!,IF(AND(#REF!="Diferenciado",$H$4=#REF!),BDI!$E$17,IF(AND(#REF!="Diferenciado",$H$4=#REF!),BDI!#REF!,IF(#REF!="ZERO",0))))),"")</f>
        <v>#REF!</v>
      </c>
      <c r="H3182" s="139" t="str">
        <f t="shared" si="237"/>
        <v/>
      </c>
      <c r="I3182" s="137" t="str">
        <f t="shared" si="238"/>
        <v/>
      </c>
      <c r="J3182" s="117"/>
      <c r="K3182" s="116">
        <v>0</v>
      </c>
      <c r="M3182" s="136" t="s">
        <v>416</v>
      </c>
      <c r="N3182" t="e">
        <v>#REF!</v>
      </c>
      <c r="Q3182" t="s">
        <v>416</v>
      </c>
    </row>
    <row r="3183" spans="1:17" hidden="1" x14ac:dyDescent="0.25">
      <c r="A3183" s="114" t="s">
        <v>6559</v>
      </c>
      <c r="B3183" s="115" t="s">
        <v>6652</v>
      </c>
      <c r="C3183" s="116" t="s">
        <v>16</v>
      </c>
      <c r="D3183" s="116">
        <v>0</v>
      </c>
      <c r="E3183" s="136" t="s">
        <v>416</v>
      </c>
      <c r="F3183" s="137" t="str">
        <f t="shared" si="236"/>
        <v/>
      </c>
      <c r="G3183" s="138" t="e">
        <f>IF(A3183&lt;&gt;"",IF(AND(#REF!="Padrão",$H$4=#REF!),BDI!$B$17,IF(AND(#REF!="Padrão",$H$4=#REF!),BDI!#REF!,IF(AND(#REF!="Diferenciado",$H$4=#REF!),BDI!$E$17,IF(AND(#REF!="Diferenciado",$H$4=#REF!),BDI!#REF!,IF(#REF!="ZERO",0))))),"")</f>
        <v>#REF!</v>
      </c>
      <c r="H3183" s="139" t="str">
        <f t="shared" si="237"/>
        <v/>
      </c>
      <c r="I3183" s="137" t="str">
        <f t="shared" si="238"/>
        <v/>
      </c>
      <c r="J3183" s="117"/>
      <c r="K3183" s="116">
        <v>0</v>
      </c>
      <c r="M3183" s="136" t="s">
        <v>416</v>
      </c>
      <c r="N3183" t="e">
        <v>#REF!</v>
      </c>
      <c r="Q3183" t="s">
        <v>416</v>
      </c>
    </row>
    <row r="3184" spans="1:17" hidden="1" x14ac:dyDescent="0.25">
      <c r="A3184" s="114" t="s">
        <v>6560</v>
      </c>
      <c r="B3184" s="115" t="s">
        <v>6653</v>
      </c>
      <c r="C3184" s="116" t="s">
        <v>16</v>
      </c>
      <c r="D3184" s="116">
        <v>0</v>
      </c>
      <c r="E3184" s="136" t="s">
        <v>416</v>
      </c>
      <c r="F3184" s="137" t="str">
        <f t="shared" si="236"/>
        <v/>
      </c>
      <c r="G3184" s="138" t="e">
        <f>IF(A3184&lt;&gt;"",IF(AND(#REF!="Padrão",$H$4=#REF!),BDI!$B$17,IF(AND(#REF!="Padrão",$H$4=#REF!),BDI!#REF!,IF(AND(#REF!="Diferenciado",$H$4=#REF!),BDI!$E$17,IF(AND(#REF!="Diferenciado",$H$4=#REF!),BDI!#REF!,IF(#REF!="ZERO",0))))),"")</f>
        <v>#REF!</v>
      </c>
      <c r="H3184" s="139" t="str">
        <f t="shared" si="237"/>
        <v/>
      </c>
      <c r="I3184" s="137" t="str">
        <f t="shared" si="238"/>
        <v/>
      </c>
      <c r="J3184" s="117"/>
      <c r="K3184" s="116">
        <v>0</v>
      </c>
      <c r="M3184" s="136" t="s">
        <v>416</v>
      </c>
      <c r="N3184" t="e">
        <v>#REF!</v>
      </c>
      <c r="Q3184" t="s">
        <v>416</v>
      </c>
    </row>
    <row r="3185" spans="1:17" hidden="1" x14ac:dyDescent="0.25">
      <c r="A3185" s="114" t="s">
        <v>6561</v>
      </c>
      <c r="B3185" s="115" t="s">
        <v>6810</v>
      </c>
      <c r="C3185" s="116" t="s">
        <v>6633</v>
      </c>
      <c r="D3185" s="116">
        <v>0</v>
      </c>
      <c r="E3185" s="136">
        <f ca="1">OFFSET(INDEX(Composições!A:J,MATCH(Orçamentária!A3185,Composições!A:A,0),8),2,0)</f>
        <v>0</v>
      </c>
      <c r="F3185" s="137">
        <f t="shared" ca="1" si="236"/>
        <v>0</v>
      </c>
      <c r="G3185" s="138" t="e">
        <f>IF(A3185&lt;&gt;"",IF(AND(#REF!="Padrão",$H$4=#REF!),BDI!$B$17,IF(AND(#REF!="Padrão",$H$4=#REF!),BDI!#REF!,IF(AND(#REF!="Diferenciado",$H$4=#REF!),BDI!$E$17,IF(AND(#REF!="Diferenciado",$H$4=#REF!),BDI!#REF!,IF(#REF!="ZERO",0))))),"")</f>
        <v>#REF!</v>
      </c>
      <c r="H3185" s="139" t="e">
        <f t="shared" ca="1" si="237"/>
        <v>#REF!</v>
      </c>
      <c r="I3185" s="137" t="e">
        <f t="shared" ca="1" si="238"/>
        <v>#REF!</v>
      </c>
      <c r="J3185" s="117"/>
      <c r="K3185" s="116">
        <v>0</v>
      </c>
      <c r="M3185" s="136" t="e">
        <f ca="1">OFFSET(INDEX([1]Composições!I:R,MATCH([1]Orçamentária!I3185,[1]Composições!I:I,0),8),2,0)</f>
        <v>#REF!</v>
      </c>
      <c r="N3185" t="e">
        <v>#REF!</v>
      </c>
      <c r="Q3185" t="e">
        <v>#REF!</v>
      </c>
    </row>
    <row r="3186" spans="1:17" hidden="1" x14ac:dyDescent="0.25">
      <c r="A3186" s="114" t="s">
        <v>6562</v>
      </c>
      <c r="B3186" s="115" t="s">
        <v>6655</v>
      </c>
      <c r="C3186" s="116" t="s">
        <v>16</v>
      </c>
      <c r="D3186" s="116">
        <v>0</v>
      </c>
      <c r="E3186" s="136" t="s">
        <v>416</v>
      </c>
      <c r="F3186" s="137" t="str">
        <f t="shared" si="236"/>
        <v/>
      </c>
      <c r="G3186" s="138" t="e">
        <f>IF(A3186&lt;&gt;"",IF(AND(#REF!="Padrão",$H$4=#REF!),BDI!$B$17,IF(AND(#REF!="Padrão",$H$4=#REF!),BDI!#REF!,IF(AND(#REF!="Diferenciado",$H$4=#REF!),BDI!$E$17,IF(AND(#REF!="Diferenciado",$H$4=#REF!),BDI!#REF!,IF(#REF!="ZERO",0))))),"")</f>
        <v>#REF!</v>
      </c>
      <c r="H3186" s="139" t="str">
        <f t="shared" si="237"/>
        <v/>
      </c>
      <c r="I3186" s="137" t="str">
        <f t="shared" si="238"/>
        <v/>
      </c>
      <c r="J3186" s="117"/>
      <c r="K3186" s="116">
        <v>0</v>
      </c>
      <c r="M3186" s="136" t="s">
        <v>416</v>
      </c>
      <c r="N3186" t="e">
        <v>#REF!</v>
      </c>
      <c r="Q3186" t="s">
        <v>416</v>
      </c>
    </row>
    <row r="3187" spans="1:17" hidden="1" x14ac:dyDescent="0.25">
      <c r="A3187" s="114" t="s">
        <v>6563</v>
      </c>
      <c r="B3187" s="115" t="s">
        <v>6656</v>
      </c>
      <c r="C3187" s="116" t="s">
        <v>16</v>
      </c>
      <c r="D3187" s="116">
        <v>0</v>
      </c>
      <c r="E3187" s="136" t="s">
        <v>416</v>
      </c>
      <c r="F3187" s="137" t="str">
        <f t="shared" si="236"/>
        <v/>
      </c>
      <c r="G3187" s="138" t="e">
        <f>IF(A3187&lt;&gt;"",IF(AND(#REF!="Padrão",$H$4=#REF!),BDI!$B$17,IF(AND(#REF!="Padrão",$H$4=#REF!),BDI!#REF!,IF(AND(#REF!="Diferenciado",$H$4=#REF!),BDI!$E$17,IF(AND(#REF!="Diferenciado",$H$4=#REF!),BDI!#REF!,IF(#REF!="ZERO",0))))),"")</f>
        <v>#REF!</v>
      </c>
      <c r="H3187" s="139" t="str">
        <f t="shared" si="237"/>
        <v/>
      </c>
      <c r="I3187" s="137" t="str">
        <f t="shared" si="238"/>
        <v/>
      </c>
      <c r="J3187" s="117"/>
      <c r="K3187" s="116">
        <v>0</v>
      </c>
      <c r="M3187" s="136" t="s">
        <v>416</v>
      </c>
      <c r="N3187" t="e">
        <v>#REF!</v>
      </c>
      <c r="Q3187" t="s">
        <v>416</v>
      </c>
    </row>
    <row r="3188" spans="1:17" hidden="1" x14ac:dyDescent="0.25">
      <c r="A3188" s="114" t="s">
        <v>6564</v>
      </c>
      <c r="B3188" s="115" t="s">
        <v>6657</v>
      </c>
      <c r="C3188" s="116" t="s">
        <v>16</v>
      </c>
      <c r="D3188" s="116">
        <v>0</v>
      </c>
      <c r="E3188" s="136" t="s">
        <v>416</v>
      </c>
      <c r="F3188" s="137" t="str">
        <f t="shared" si="236"/>
        <v/>
      </c>
      <c r="G3188" s="138" t="e">
        <f>IF(A3188&lt;&gt;"",IF(AND(#REF!="Padrão",$H$4=#REF!),BDI!$B$17,IF(AND(#REF!="Padrão",$H$4=#REF!),BDI!#REF!,IF(AND(#REF!="Diferenciado",$H$4=#REF!),BDI!$E$17,IF(AND(#REF!="Diferenciado",$H$4=#REF!),BDI!#REF!,IF(#REF!="ZERO",0))))),"")</f>
        <v>#REF!</v>
      </c>
      <c r="H3188" s="139" t="str">
        <f t="shared" si="237"/>
        <v/>
      </c>
      <c r="I3188" s="137" t="str">
        <f t="shared" si="238"/>
        <v/>
      </c>
      <c r="J3188" s="117"/>
      <c r="K3188" s="116">
        <v>0</v>
      </c>
      <c r="M3188" s="136" t="s">
        <v>416</v>
      </c>
      <c r="N3188" t="e">
        <v>#REF!</v>
      </c>
      <c r="Q3188" t="s">
        <v>416</v>
      </c>
    </row>
    <row r="3189" spans="1:17" hidden="1" x14ac:dyDescent="0.25">
      <c r="A3189" s="114" t="s">
        <v>6565</v>
      </c>
      <c r="B3189" s="115" t="s">
        <v>6658</v>
      </c>
      <c r="C3189" s="116" t="s">
        <v>16</v>
      </c>
      <c r="D3189" s="116">
        <v>0</v>
      </c>
      <c r="E3189" s="136" t="s">
        <v>416</v>
      </c>
      <c r="F3189" s="137" t="str">
        <f t="shared" si="236"/>
        <v/>
      </c>
      <c r="G3189" s="138" t="e">
        <f>IF(A3189&lt;&gt;"",IF(AND(#REF!="Padrão",$H$4=#REF!),BDI!$B$17,IF(AND(#REF!="Padrão",$H$4=#REF!),BDI!#REF!,IF(AND(#REF!="Diferenciado",$H$4=#REF!),BDI!$E$17,IF(AND(#REF!="Diferenciado",$H$4=#REF!),BDI!#REF!,IF(#REF!="ZERO",0))))),"")</f>
        <v>#REF!</v>
      </c>
      <c r="H3189" s="139" t="str">
        <f t="shared" si="237"/>
        <v/>
      </c>
      <c r="I3189" s="137" t="str">
        <f t="shared" si="238"/>
        <v/>
      </c>
      <c r="J3189" s="117"/>
      <c r="K3189" s="116">
        <v>0</v>
      </c>
      <c r="M3189" s="136" t="s">
        <v>416</v>
      </c>
      <c r="N3189" t="e">
        <v>#REF!</v>
      </c>
      <c r="Q3189" t="s">
        <v>416</v>
      </c>
    </row>
    <row r="3190" spans="1:17" hidden="1" x14ac:dyDescent="0.25">
      <c r="A3190" s="114" t="s">
        <v>6566</v>
      </c>
      <c r="B3190" s="115" t="s">
        <v>6659</v>
      </c>
      <c r="C3190" s="116" t="s">
        <v>16</v>
      </c>
      <c r="D3190" s="116">
        <v>0</v>
      </c>
      <c r="E3190" s="136" t="s">
        <v>416</v>
      </c>
      <c r="F3190" s="137" t="str">
        <f t="shared" si="236"/>
        <v/>
      </c>
      <c r="G3190" s="138" t="e">
        <f>IF(A3190&lt;&gt;"",IF(AND(#REF!="Padrão",$H$4=#REF!),BDI!$B$17,IF(AND(#REF!="Padrão",$H$4=#REF!),BDI!#REF!,IF(AND(#REF!="Diferenciado",$H$4=#REF!),BDI!$E$17,IF(AND(#REF!="Diferenciado",$H$4=#REF!),BDI!#REF!,IF(#REF!="ZERO",0))))),"")</f>
        <v>#REF!</v>
      </c>
      <c r="H3190" s="139" t="str">
        <f t="shared" si="237"/>
        <v/>
      </c>
      <c r="I3190" s="137" t="str">
        <f t="shared" si="238"/>
        <v/>
      </c>
      <c r="J3190" s="117"/>
      <c r="K3190" s="116">
        <v>0</v>
      </c>
      <c r="M3190" s="136" t="s">
        <v>416</v>
      </c>
      <c r="N3190" t="e">
        <v>#REF!</v>
      </c>
      <c r="Q3190" t="s">
        <v>416</v>
      </c>
    </row>
    <row r="3191" spans="1:17" hidden="1" x14ac:dyDescent="0.25">
      <c r="A3191" s="114" t="s">
        <v>6567</v>
      </c>
      <c r="B3191" s="115" t="s">
        <v>6660</v>
      </c>
      <c r="C3191" s="116" t="s">
        <v>28</v>
      </c>
      <c r="D3191" s="116">
        <v>0</v>
      </c>
      <c r="E3191" s="136" t="s">
        <v>416</v>
      </c>
      <c r="F3191" s="137" t="str">
        <f t="shared" si="236"/>
        <v/>
      </c>
      <c r="G3191" s="138" t="e">
        <f>IF(A3191&lt;&gt;"",IF(AND(#REF!="Padrão",$H$4=#REF!),BDI!$B$17,IF(AND(#REF!="Padrão",$H$4=#REF!),BDI!#REF!,IF(AND(#REF!="Diferenciado",$H$4=#REF!),BDI!$E$17,IF(AND(#REF!="Diferenciado",$H$4=#REF!),BDI!#REF!,IF(#REF!="ZERO",0))))),"")</f>
        <v>#REF!</v>
      </c>
      <c r="H3191" s="139" t="str">
        <f t="shared" si="237"/>
        <v/>
      </c>
      <c r="I3191" s="137" t="str">
        <f t="shared" si="238"/>
        <v/>
      </c>
      <c r="J3191" s="117"/>
      <c r="K3191" s="116">
        <v>0</v>
      </c>
      <c r="M3191" s="136" t="s">
        <v>416</v>
      </c>
      <c r="N3191" t="e">
        <v>#REF!</v>
      </c>
      <c r="Q3191" t="s">
        <v>416</v>
      </c>
    </row>
    <row r="3192" spans="1:17" hidden="1" x14ac:dyDescent="0.25">
      <c r="A3192" s="114" t="s">
        <v>6568</v>
      </c>
      <c r="B3192" s="115" t="s">
        <v>6661</v>
      </c>
      <c r="C3192" s="116" t="s">
        <v>16</v>
      </c>
      <c r="D3192" s="116">
        <v>0</v>
      </c>
      <c r="E3192" s="136" t="s">
        <v>416</v>
      </c>
      <c r="F3192" s="137" t="str">
        <f t="shared" si="236"/>
        <v/>
      </c>
      <c r="G3192" s="138" t="e">
        <f>IF(A3192&lt;&gt;"",IF(AND(#REF!="Padrão",$H$4=#REF!),BDI!$B$17,IF(AND(#REF!="Padrão",$H$4=#REF!),BDI!#REF!,IF(AND(#REF!="Diferenciado",$H$4=#REF!),BDI!$E$17,IF(AND(#REF!="Diferenciado",$H$4=#REF!),BDI!#REF!,IF(#REF!="ZERO",0))))),"")</f>
        <v>#REF!</v>
      </c>
      <c r="H3192" s="139" t="str">
        <f t="shared" si="237"/>
        <v/>
      </c>
      <c r="I3192" s="137" t="str">
        <f t="shared" si="238"/>
        <v/>
      </c>
      <c r="J3192" s="117"/>
      <c r="K3192" s="116">
        <v>0</v>
      </c>
      <c r="M3192" s="136" t="s">
        <v>416</v>
      </c>
      <c r="N3192" t="e">
        <v>#REF!</v>
      </c>
      <c r="Q3192" t="s">
        <v>416</v>
      </c>
    </row>
    <row r="3193" spans="1:17" hidden="1" x14ac:dyDescent="0.25">
      <c r="A3193" s="114" t="s">
        <v>6569</v>
      </c>
      <c r="B3193" s="115" t="s">
        <v>6662</v>
      </c>
      <c r="C3193" s="116" t="s">
        <v>6633</v>
      </c>
      <c r="D3193" s="116">
        <v>0</v>
      </c>
      <c r="E3193" s="136" t="s">
        <v>416</v>
      </c>
      <c r="F3193" s="137" t="str">
        <f t="shared" si="236"/>
        <v/>
      </c>
      <c r="G3193" s="138" t="e">
        <f>IF(A3193&lt;&gt;"",IF(AND(#REF!="Padrão",$H$4=#REF!),BDI!$B$17,IF(AND(#REF!="Padrão",$H$4=#REF!),BDI!#REF!,IF(AND(#REF!="Diferenciado",$H$4=#REF!),BDI!$E$17,IF(AND(#REF!="Diferenciado",$H$4=#REF!),BDI!#REF!,IF(#REF!="ZERO",0))))),"")</f>
        <v>#REF!</v>
      </c>
      <c r="H3193" s="139" t="str">
        <f t="shared" si="237"/>
        <v/>
      </c>
      <c r="I3193" s="137" t="str">
        <f t="shared" si="238"/>
        <v/>
      </c>
      <c r="J3193" s="117"/>
      <c r="K3193" s="116">
        <v>0</v>
      </c>
      <c r="M3193" s="136" t="s">
        <v>416</v>
      </c>
      <c r="N3193" t="e">
        <v>#REF!</v>
      </c>
      <c r="Q3193" t="s">
        <v>416</v>
      </c>
    </row>
    <row r="3194" spans="1:17" hidden="1" x14ac:dyDescent="0.25">
      <c r="A3194" s="114" t="s">
        <v>6570</v>
      </c>
      <c r="B3194" s="115" t="s">
        <v>6663</v>
      </c>
      <c r="C3194" s="116" t="s">
        <v>16</v>
      </c>
      <c r="D3194" s="116">
        <v>0</v>
      </c>
      <c r="E3194" s="136" t="s">
        <v>416</v>
      </c>
      <c r="F3194" s="137" t="str">
        <f t="shared" si="236"/>
        <v/>
      </c>
      <c r="G3194" s="138" t="e">
        <f>IF(A3194&lt;&gt;"",IF(AND(#REF!="Padrão",$H$4=#REF!),BDI!$B$17,IF(AND(#REF!="Padrão",$H$4=#REF!),BDI!#REF!,IF(AND(#REF!="Diferenciado",$H$4=#REF!),BDI!$E$17,IF(AND(#REF!="Diferenciado",$H$4=#REF!),BDI!#REF!,IF(#REF!="ZERO",0))))),"")</f>
        <v>#REF!</v>
      </c>
      <c r="H3194" s="139" t="str">
        <f t="shared" si="237"/>
        <v/>
      </c>
      <c r="I3194" s="137" t="str">
        <f t="shared" si="238"/>
        <v/>
      </c>
      <c r="J3194" s="117"/>
      <c r="K3194" s="116">
        <v>0</v>
      </c>
      <c r="M3194" s="136" t="s">
        <v>416</v>
      </c>
      <c r="N3194" t="e">
        <v>#REF!</v>
      </c>
      <c r="Q3194" t="s">
        <v>416</v>
      </c>
    </row>
    <row r="3195" spans="1:17" hidden="1" x14ac:dyDescent="0.25">
      <c r="A3195" s="114" t="s">
        <v>6571</v>
      </c>
      <c r="B3195" s="115" t="s">
        <v>6664</v>
      </c>
      <c r="C3195" s="116" t="s">
        <v>6633</v>
      </c>
      <c r="D3195" s="116">
        <v>0</v>
      </c>
      <c r="E3195" s="136" t="s">
        <v>416</v>
      </c>
      <c r="F3195" s="137" t="str">
        <f t="shared" si="236"/>
        <v/>
      </c>
      <c r="G3195" s="138" t="e">
        <f>IF(A3195&lt;&gt;"",IF(AND(#REF!="Padrão",$H$4=#REF!),BDI!$B$17,IF(AND(#REF!="Padrão",$H$4=#REF!),BDI!#REF!,IF(AND(#REF!="Diferenciado",$H$4=#REF!),BDI!$E$17,IF(AND(#REF!="Diferenciado",$H$4=#REF!),BDI!#REF!,IF(#REF!="ZERO",0))))),"")</f>
        <v>#REF!</v>
      </c>
      <c r="H3195" s="139" t="str">
        <f t="shared" si="237"/>
        <v/>
      </c>
      <c r="I3195" s="137" t="str">
        <f t="shared" si="238"/>
        <v/>
      </c>
      <c r="J3195" s="117"/>
      <c r="K3195" s="116">
        <v>0</v>
      </c>
      <c r="M3195" s="136" t="s">
        <v>416</v>
      </c>
      <c r="N3195" t="e">
        <v>#REF!</v>
      </c>
      <c r="Q3195" t="s">
        <v>416</v>
      </c>
    </row>
    <row r="3196" spans="1:17" hidden="1" x14ac:dyDescent="0.25">
      <c r="A3196" s="114" t="s">
        <v>6572</v>
      </c>
      <c r="B3196" s="115" t="s">
        <v>6665</v>
      </c>
      <c r="C3196" s="116" t="s">
        <v>16</v>
      </c>
      <c r="D3196" s="116">
        <v>0</v>
      </c>
      <c r="E3196" s="136" t="s">
        <v>416</v>
      </c>
      <c r="F3196" s="137" t="str">
        <f t="shared" si="236"/>
        <v/>
      </c>
      <c r="G3196" s="138" t="e">
        <f>IF(A3196&lt;&gt;"",IF(AND(#REF!="Padrão",$H$4=#REF!),BDI!$B$17,IF(AND(#REF!="Padrão",$H$4=#REF!),BDI!#REF!,IF(AND(#REF!="Diferenciado",$H$4=#REF!),BDI!$E$17,IF(AND(#REF!="Diferenciado",$H$4=#REF!),BDI!#REF!,IF(#REF!="ZERO",0))))),"")</f>
        <v>#REF!</v>
      </c>
      <c r="H3196" s="139" t="str">
        <f t="shared" si="237"/>
        <v/>
      </c>
      <c r="I3196" s="137" t="str">
        <f t="shared" si="238"/>
        <v/>
      </c>
      <c r="J3196" s="117"/>
      <c r="K3196" s="116">
        <v>0</v>
      </c>
      <c r="M3196" s="136" t="s">
        <v>416</v>
      </c>
      <c r="N3196" t="e">
        <v>#REF!</v>
      </c>
      <c r="Q3196" t="s">
        <v>416</v>
      </c>
    </row>
    <row r="3197" spans="1:17" hidden="1" x14ac:dyDescent="0.25">
      <c r="A3197" s="114" t="s">
        <v>6573</v>
      </c>
      <c r="B3197" s="115" t="s">
        <v>6666</v>
      </c>
      <c r="C3197" s="116" t="s">
        <v>16</v>
      </c>
      <c r="D3197" s="116">
        <v>0</v>
      </c>
      <c r="E3197" s="136" t="s">
        <v>416</v>
      </c>
      <c r="F3197" s="137" t="str">
        <f t="shared" si="236"/>
        <v/>
      </c>
      <c r="G3197" s="138" t="e">
        <f>IF(A3197&lt;&gt;"",IF(AND(#REF!="Padrão",$H$4=#REF!),BDI!$B$17,IF(AND(#REF!="Padrão",$H$4=#REF!),BDI!#REF!,IF(AND(#REF!="Diferenciado",$H$4=#REF!),BDI!$E$17,IF(AND(#REF!="Diferenciado",$H$4=#REF!),BDI!#REF!,IF(#REF!="ZERO",0))))),"")</f>
        <v>#REF!</v>
      </c>
      <c r="H3197" s="139" t="str">
        <f t="shared" si="237"/>
        <v/>
      </c>
      <c r="I3197" s="137" t="str">
        <f t="shared" si="238"/>
        <v/>
      </c>
      <c r="J3197" s="117"/>
      <c r="K3197" s="116">
        <v>0</v>
      </c>
      <c r="M3197" s="136" t="s">
        <v>416</v>
      </c>
      <c r="N3197" t="e">
        <v>#REF!</v>
      </c>
      <c r="Q3197" t="s">
        <v>416</v>
      </c>
    </row>
    <row r="3198" spans="1:17" hidden="1" x14ac:dyDescent="0.25">
      <c r="A3198" s="114" t="s">
        <v>6574</v>
      </c>
      <c r="B3198" s="115" t="s">
        <v>6667</v>
      </c>
      <c r="C3198" s="116" t="s">
        <v>16</v>
      </c>
      <c r="D3198" s="116">
        <v>0</v>
      </c>
      <c r="E3198" s="136" t="s">
        <v>416</v>
      </c>
      <c r="F3198" s="137" t="str">
        <f t="shared" si="236"/>
        <v/>
      </c>
      <c r="G3198" s="138" t="e">
        <f>IF(A3198&lt;&gt;"",IF(AND(#REF!="Padrão",$H$4=#REF!),BDI!$B$17,IF(AND(#REF!="Padrão",$H$4=#REF!),BDI!#REF!,IF(AND(#REF!="Diferenciado",$H$4=#REF!),BDI!$E$17,IF(AND(#REF!="Diferenciado",$H$4=#REF!),BDI!#REF!,IF(#REF!="ZERO",0))))),"")</f>
        <v>#REF!</v>
      </c>
      <c r="H3198" s="139" t="str">
        <f t="shared" si="237"/>
        <v/>
      </c>
      <c r="I3198" s="137" t="str">
        <f t="shared" si="238"/>
        <v/>
      </c>
      <c r="J3198" s="117"/>
      <c r="K3198" s="116">
        <v>0</v>
      </c>
      <c r="M3198" s="136" t="s">
        <v>416</v>
      </c>
      <c r="N3198" t="e">
        <v>#REF!</v>
      </c>
      <c r="Q3198" t="s">
        <v>416</v>
      </c>
    </row>
    <row r="3199" spans="1:17" hidden="1" x14ac:dyDescent="0.25">
      <c r="A3199" s="114" t="s">
        <v>6575</v>
      </c>
      <c r="B3199" s="115" t="s">
        <v>6668</v>
      </c>
      <c r="C3199" s="116" t="s">
        <v>16</v>
      </c>
      <c r="D3199" s="116">
        <v>0</v>
      </c>
      <c r="E3199" s="136" t="s">
        <v>416</v>
      </c>
      <c r="F3199" s="137" t="str">
        <f t="shared" si="236"/>
        <v/>
      </c>
      <c r="G3199" s="138" t="e">
        <f>IF(A3199&lt;&gt;"",IF(AND(#REF!="Padrão",$H$4=#REF!),BDI!$B$17,IF(AND(#REF!="Padrão",$H$4=#REF!),BDI!#REF!,IF(AND(#REF!="Diferenciado",$H$4=#REF!),BDI!$E$17,IF(AND(#REF!="Diferenciado",$H$4=#REF!),BDI!#REF!,IF(#REF!="ZERO",0))))),"")</f>
        <v>#REF!</v>
      </c>
      <c r="H3199" s="139" t="str">
        <f t="shared" si="237"/>
        <v/>
      </c>
      <c r="I3199" s="137" t="str">
        <f t="shared" si="238"/>
        <v/>
      </c>
      <c r="J3199" s="117"/>
      <c r="K3199" s="116">
        <v>0</v>
      </c>
      <c r="M3199" s="136" t="s">
        <v>416</v>
      </c>
      <c r="N3199" t="e">
        <v>#REF!</v>
      </c>
      <c r="Q3199" t="s">
        <v>416</v>
      </c>
    </row>
    <row r="3200" spans="1:17" hidden="1" x14ac:dyDescent="0.25">
      <c r="A3200" s="114" t="s">
        <v>6576</v>
      </c>
      <c r="B3200" s="115" t="s">
        <v>6669</v>
      </c>
      <c r="C3200" s="116" t="s">
        <v>16</v>
      </c>
      <c r="D3200" s="116">
        <v>0</v>
      </c>
      <c r="E3200" s="136" t="s">
        <v>416</v>
      </c>
      <c r="F3200" s="137" t="str">
        <f t="shared" si="236"/>
        <v/>
      </c>
      <c r="G3200" s="138" t="e">
        <f>IF(A3200&lt;&gt;"",IF(AND(#REF!="Padrão",$H$4=#REF!),BDI!$B$17,IF(AND(#REF!="Padrão",$H$4=#REF!),BDI!#REF!,IF(AND(#REF!="Diferenciado",$H$4=#REF!),BDI!$E$17,IF(AND(#REF!="Diferenciado",$H$4=#REF!),BDI!#REF!,IF(#REF!="ZERO",0))))),"")</f>
        <v>#REF!</v>
      </c>
      <c r="H3200" s="139" t="str">
        <f t="shared" si="237"/>
        <v/>
      </c>
      <c r="I3200" s="137" t="str">
        <f t="shared" si="238"/>
        <v/>
      </c>
      <c r="J3200" s="117"/>
      <c r="K3200" s="116">
        <v>0</v>
      </c>
      <c r="M3200" s="136" t="s">
        <v>416</v>
      </c>
      <c r="N3200" t="e">
        <v>#REF!</v>
      </c>
      <c r="Q3200" t="s">
        <v>416</v>
      </c>
    </row>
    <row r="3201" spans="1:17" hidden="1" x14ac:dyDescent="0.25">
      <c r="A3201" s="114" t="s">
        <v>6577</v>
      </c>
      <c r="B3201" s="115" t="s">
        <v>6670</v>
      </c>
      <c r="C3201" s="116" t="s">
        <v>16</v>
      </c>
      <c r="D3201" s="116">
        <v>0</v>
      </c>
      <c r="E3201" s="136" t="s">
        <v>416</v>
      </c>
      <c r="F3201" s="137" t="str">
        <f t="shared" si="236"/>
        <v/>
      </c>
      <c r="G3201" s="138" t="e">
        <f>IF(A3201&lt;&gt;"",IF(AND(#REF!="Padrão",$H$4=#REF!),BDI!$B$17,IF(AND(#REF!="Padrão",$H$4=#REF!),BDI!#REF!,IF(AND(#REF!="Diferenciado",$H$4=#REF!),BDI!$E$17,IF(AND(#REF!="Diferenciado",$H$4=#REF!),BDI!#REF!,IF(#REF!="ZERO",0))))),"")</f>
        <v>#REF!</v>
      </c>
      <c r="H3201" s="139" t="str">
        <f t="shared" si="237"/>
        <v/>
      </c>
      <c r="I3201" s="137" t="str">
        <f t="shared" si="238"/>
        <v/>
      </c>
      <c r="J3201" s="117"/>
      <c r="K3201" s="116">
        <v>0</v>
      </c>
      <c r="M3201" s="136" t="s">
        <v>416</v>
      </c>
      <c r="N3201" t="e">
        <v>#REF!</v>
      </c>
      <c r="Q3201" t="s">
        <v>416</v>
      </c>
    </row>
    <row r="3202" spans="1:17" hidden="1" x14ac:dyDescent="0.25">
      <c r="A3202" s="114" t="s">
        <v>6578</v>
      </c>
      <c r="B3202" s="115" t="s">
        <v>6671</v>
      </c>
      <c r="C3202" s="116" t="s">
        <v>16</v>
      </c>
      <c r="D3202" s="116">
        <v>0</v>
      </c>
      <c r="E3202" s="136" t="s">
        <v>416</v>
      </c>
      <c r="F3202" s="137" t="str">
        <f t="shared" si="236"/>
        <v/>
      </c>
      <c r="G3202" s="138" t="e">
        <f>IF(A3202&lt;&gt;"",IF(AND(#REF!="Padrão",$H$4=#REF!),BDI!$B$17,IF(AND(#REF!="Padrão",$H$4=#REF!),BDI!#REF!,IF(AND(#REF!="Diferenciado",$H$4=#REF!),BDI!$E$17,IF(AND(#REF!="Diferenciado",$H$4=#REF!),BDI!#REF!,IF(#REF!="ZERO",0))))),"")</f>
        <v>#REF!</v>
      </c>
      <c r="H3202" s="139" t="str">
        <f t="shared" si="237"/>
        <v/>
      </c>
      <c r="I3202" s="137" t="str">
        <f t="shared" si="238"/>
        <v/>
      </c>
      <c r="J3202" s="117"/>
      <c r="K3202" s="116">
        <v>0</v>
      </c>
      <c r="M3202" s="136" t="s">
        <v>416</v>
      </c>
      <c r="N3202" t="e">
        <v>#REF!</v>
      </c>
      <c r="Q3202" t="s">
        <v>416</v>
      </c>
    </row>
    <row r="3203" spans="1:17" hidden="1" x14ac:dyDescent="0.25">
      <c r="A3203" s="114" t="s">
        <v>6579</v>
      </c>
      <c r="B3203" s="115" t="s">
        <v>7281</v>
      </c>
      <c r="C3203" s="116" t="s">
        <v>16</v>
      </c>
      <c r="D3203" s="116">
        <v>0</v>
      </c>
      <c r="E3203" s="136" t="s">
        <v>416</v>
      </c>
      <c r="F3203" s="137" t="str">
        <f t="shared" si="236"/>
        <v/>
      </c>
      <c r="G3203" s="138" t="e">
        <f>IF(A3203&lt;&gt;"",IF(AND(#REF!="Padrão",$H$4=#REF!),BDI!$B$17,IF(AND(#REF!="Padrão",$H$4=#REF!),BDI!#REF!,IF(AND(#REF!="Diferenciado",$H$4=#REF!),BDI!$E$17,IF(AND(#REF!="Diferenciado",$H$4=#REF!),BDI!#REF!,IF(#REF!="ZERO",0))))),"")</f>
        <v>#REF!</v>
      </c>
      <c r="H3203" s="139" t="str">
        <f t="shared" si="237"/>
        <v/>
      </c>
      <c r="I3203" s="137" t="str">
        <f t="shared" si="238"/>
        <v/>
      </c>
      <c r="J3203" s="117"/>
      <c r="K3203" s="116">
        <v>0</v>
      </c>
      <c r="M3203" s="136" t="s">
        <v>416</v>
      </c>
      <c r="N3203" t="e">
        <v>#REF!</v>
      </c>
      <c r="Q3203" t="s">
        <v>416</v>
      </c>
    </row>
    <row r="3204" spans="1:17" hidden="1" x14ac:dyDescent="0.25">
      <c r="A3204" s="114" t="s">
        <v>6580</v>
      </c>
      <c r="B3204" s="115" t="s">
        <v>6672</v>
      </c>
      <c r="C3204" s="116" t="s">
        <v>69</v>
      </c>
      <c r="D3204" s="116">
        <v>0</v>
      </c>
      <c r="E3204" s="136" t="s">
        <v>416</v>
      </c>
      <c r="F3204" s="137" t="str">
        <f t="shared" ref="F3204:F3229" si="239">IF(ISNUMBER(E3204),D3204*E3204,"")</f>
        <v/>
      </c>
      <c r="G3204" s="138" t="e">
        <f>IF(A3204&lt;&gt;"",IF(AND(#REF!="Padrão",$H$4=#REF!),BDI!$B$17,IF(AND(#REF!="Padrão",$H$4=#REF!),BDI!#REF!,IF(AND(#REF!="Diferenciado",$H$4=#REF!),BDI!$E$17,IF(AND(#REF!="Diferenciado",$H$4=#REF!),BDI!#REF!,IF(#REF!="ZERO",0))))),"")</f>
        <v>#REF!</v>
      </c>
      <c r="H3204" s="139" t="str">
        <f t="shared" ref="H3204:H3229" si="240">IF(ISNUMBER(E3204),ROUND(E3204*(1+G3204),2),"")</f>
        <v/>
      </c>
      <c r="I3204" s="137" t="str">
        <f t="shared" ref="I3204:I3229" si="241">IF(ISNUMBER(E3204),ROUND(H3204*D3204,2),"")</f>
        <v/>
      </c>
      <c r="J3204" s="117"/>
      <c r="K3204" s="116">
        <v>0</v>
      </c>
      <c r="M3204" s="136" t="s">
        <v>416</v>
      </c>
      <c r="N3204" t="e">
        <v>#REF!</v>
      </c>
      <c r="Q3204" t="s">
        <v>416</v>
      </c>
    </row>
    <row r="3205" spans="1:17" hidden="1" x14ac:dyDescent="0.25">
      <c r="A3205" s="114" t="s">
        <v>6581</v>
      </c>
      <c r="B3205" s="115" t="s">
        <v>6673</v>
      </c>
      <c r="C3205" s="116" t="s">
        <v>69</v>
      </c>
      <c r="D3205" s="116">
        <v>0</v>
      </c>
      <c r="E3205" s="136" t="s">
        <v>416</v>
      </c>
      <c r="F3205" s="137" t="str">
        <f t="shared" si="239"/>
        <v/>
      </c>
      <c r="G3205" s="138" t="e">
        <f>IF(A3205&lt;&gt;"",IF(AND(#REF!="Padrão",$H$4=#REF!),BDI!$B$17,IF(AND(#REF!="Padrão",$H$4=#REF!),BDI!#REF!,IF(AND(#REF!="Diferenciado",$H$4=#REF!),BDI!$E$17,IF(AND(#REF!="Diferenciado",$H$4=#REF!),BDI!#REF!,IF(#REF!="ZERO",0))))),"")</f>
        <v>#REF!</v>
      </c>
      <c r="H3205" s="139" t="str">
        <f t="shared" si="240"/>
        <v/>
      </c>
      <c r="I3205" s="137" t="str">
        <f t="shared" si="241"/>
        <v/>
      </c>
      <c r="J3205" s="117"/>
      <c r="K3205" s="116">
        <v>0</v>
      </c>
      <c r="M3205" s="136" t="s">
        <v>416</v>
      </c>
      <c r="N3205" t="e">
        <v>#REF!</v>
      </c>
      <c r="Q3205" t="s">
        <v>416</v>
      </c>
    </row>
    <row r="3206" spans="1:17" hidden="1" x14ac:dyDescent="0.25">
      <c r="A3206" s="114" t="s">
        <v>6674</v>
      </c>
      <c r="B3206" s="115" t="s">
        <v>6675</v>
      </c>
      <c r="C3206" s="116" t="s">
        <v>69</v>
      </c>
      <c r="D3206" s="116">
        <v>0</v>
      </c>
      <c r="E3206" s="136" t="s">
        <v>416</v>
      </c>
      <c r="F3206" s="137" t="str">
        <f t="shared" si="239"/>
        <v/>
      </c>
      <c r="G3206" s="138" t="e">
        <f>IF(A3206&lt;&gt;"",IF(AND(#REF!="Padrão",$H$4=#REF!),BDI!$B$17,IF(AND(#REF!="Padrão",$H$4=#REF!),BDI!#REF!,IF(AND(#REF!="Diferenciado",$H$4=#REF!),BDI!$E$17,IF(AND(#REF!="Diferenciado",$H$4=#REF!),BDI!#REF!,IF(#REF!="ZERO",0))))),"")</f>
        <v>#REF!</v>
      </c>
      <c r="H3206" s="139" t="str">
        <f t="shared" si="240"/>
        <v/>
      </c>
      <c r="I3206" s="137" t="str">
        <f t="shared" si="241"/>
        <v/>
      </c>
      <c r="J3206" s="117"/>
      <c r="K3206" s="116">
        <v>0</v>
      </c>
      <c r="M3206" s="136" t="s">
        <v>416</v>
      </c>
      <c r="N3206" t="e">
        <v>#REF!</v>
      </c>
      <c r="Q3206" t="s">
        <v>416</v>
      </c>
    </row>
    <row r="3207" spans="1:17" hidden="1" x14ac:dyDescent="0.25">
      <c r="A3207" s="114" t="s">
        <v>6676</v>
      </c>
      <c r="B3207" s="115" t="s">
        <v>6677</v>
      </c>
      <c r="C3207" s="116" t="s">
        <v>69</v>
      </c>
      <c r="D3207" s="116">
        <v>0</v>
      </c>
      <c r="E3207" s="136" t="s">
        <v>416</v>
      </c>
      <c r="F3207" s="137" t="str">
        <f t="shared" si="239"/>
        <v/>
      </c>
      <c r="G3207" s="138" t="e">
        <f>IF(A3207&lt;&gt;"",IF(AND(#REF!="Padrão",$H$4=#REF!),BDI!$B$17,IF(AND(#REF!="Padrão",$H$4=#REF!),BDI!#REF!,IF(AND(#REF!="Diferenciado",$H$4=#REF!),BDI!$E$17,IF(AND(#REF!="Diferenciado",$H$4=#REF!),BDI!#REF!,IF(#REF!="ZERO",0))))),"")</f>
        <v>#REF!</v>
      </c>
      <c r="H3207" s="139" t="str">
        <f t="shared" si="240"/>
        <v/>
      </c>
      <c r="I3207" s="137" t="str">
        <f t="shared" si="241"/>
        <v/>
      </c>
      <c r="J3207" s="117"/>
      <c r="K3207" s="116">
        <v>0</v>
      </c>
      <c r="M3207" s="136" t="s">
        <v>416</v>
      </c>
      <c r="N3207" t="e">
        <v>#REF!</v>
      </c>
      <c r="Q3207" t="s">
        <v>416</v>
      </c>
    </row>
    <row r="3208" spans="1:17" hidden="1" x14ac:dyDescent="0.25">
      <c r="A3208" s="114" t="s">
        <v>6678</v>
      </c>
      <c r="B3208" s="115" t="s">
        <v>6679</v>
      </c>
      <c r="C3208" s="116" t="s">
        <v>16</v>
      </c>
      <c r="D3208" s="116">
        <v>0</v>
      </c>
      <c r="E3208" s="136">
        <f ca="1">OFFSET(INDEX(Composições!A:J,MATCH(Orçamentária!A3208,Composições!A:A,0),8),2,0)</f>
        <v>40.403500000000001</v>
      </c>
      <c r="F3208" s="137">
        <f t="shared" ca="1" si="239"/>
        <v>0</v>
      </c>
      <c r="G3208" s="138" t="e">
        <f>IF(A3208&lt;&gt;"",IF(AND(#REF!="Padrão",$H$4=#REF!),BDI!$B$17,IF(AND(#REF!="Padrão",$H$4=#REF!),BDI!#REF!,IF(AND(#REF!="Diferenciado",$H$4=#REF!),BDI!$E$17,IF(AND(#REF!="Diferenciado",$H$4=#REF!),BDI!#REF!,IF(#REF!="ZERO",0))))),"")</f>
        <v>#REF!</v>
      </c>
      <c r="H3208" s="139" t="e">
        <f t="shared" ca="1" si="240"/>
        <v>#REF!</v>
      </c>
      <c r="I3208" s="137" t="e">
        <f t="shared" ca="1" si="241"/>
        <v>#REF!</v>
      </c>
      <c r="J3208" s="117"/>
      <c r="K3208" s="116">
        <v>0</v>
      </c>
      <c r="M3208" s="136" t="e">
        <f ca="1">OFFSET(INDEX([1]Composições!I:R,MATCH([1]Orçamentária!I3208,[1]Composições!I:I,0),8),2,0)</f>
        <v>#REF!</v>
      </c>
      <c r="N3208" t="e">
        <v>#REF!</v>
      </c>
      <c r="Q3208" t="e">
        <v>#REF!</v>
      </c>
    </row>
    <row r="3209" spans="1:17" hidden="1" x14ac:dyDescent="0.25">
      <c r="A3209" s="114" t="s">
        <v>6680</v>
      </c>
      <c r="B3209" s="115" t="s">
        <v>6681</v>
      </c>
      <c r="C3209" s="116" t="s">
        <v>16</v>
      </c>
      <c r="D3209" s="116">
        <v>0</v>
      </c>
      <c r="E3209" s="136" t="s">
        <v>416</v>
      </c>
      <c r="F3209" s="137" t="str">
        <f t="shared" si="239"/>
        <v/>
      </c>
      <c r="G3209" s="138" t="e">
        <f>IF(A3209&lt;&gt;"",IF(AND(#REF!="Padrão",$H$4=#REF!),BDI!$B$17,IF(AND(#REF!="Padrão",$H$4=#REF!),BDI!#REF!,IF(AND(#REF!="Diferenciado",$H$4=#REF!),BDI!$E$17,IF(AND(#REF!="Diferenciado",$H$4=#REF!),BDI!#REF!,IF(#REF!="ZERO",0))))),"")</f>
        <v>#REF!</v>
      </c>
      <c r="H3209" s="139" t="str">
        <f t="shared" si="240"/>
        <v/>
      </c>
      <c r="I3209" s="137" t="str">
        <f t="shared" si="241"/>
        <v/>
      </c>
      <c r="J3209" s="117"/>
      <c r="K3209" s="116">
        <v>0</v>
      </c>
      <c r="M3209" s="136" t="s">
        <v>416</v>
      </c>
      <c r="N3209" t="e">
        <v>#REF!</v>
      </c>
      <c r="Q3209" t="s">
        <v>416</v>
      </c>
    </row>
    <row r="3210" spans="1:17" hidden="1" x14ac:dyDescent="0.25">
      <c r="A3210" s="114" t="s">
        <v>6682</v>
      </c>
      <c r="B3210" s="115" t="s">
        <v>6683</v>
      </c>
      <c r="C3210" s="116" t="s">
        <v>16</v>
      </c>
      <c r="D3210" s="116">
        <v>0</v>
      </c>
      <c r="E3210" s="136" t="s">
        <v>416</v>
      </c>
      <c r="F3210" s="137" t="str">
        <f t="shared" si="239"/>
        <v/>
      </c>
      <c r="G3210" s="138" t="e">
        <f>IF(A3210&lt;&gt;"",IF(AND(#REF!="Padrão",$H$4=#REF!),BDI!$B$17,IF(AND(#REF!="Padrão",$H$4=#REF!),BDI!#REF!,IF(AND(#REF!="Diferenciado",$H$4=#REF!),BDI!$E$17,IF(AND(#REF!="Diferenciado",$H$4=#REF!),BDI!#REF!,IF(#REF!="ZERO",0))))),"")</f>
        <v>#REF!</v>
      </c>
      <c r="H3210" s="139" t="str">
        <f t="shared" si="240"/>
        <v/>
      </c>
      <c r="I3210" s="137" t="str">
        <f t="shared" si="241"/>
        <v/>
      </c>
      <c r="J3210" s="117"/>
      <c r="K3210" s="116">
        <v>0</v>
      </c>
      <c r="M3210" s="136" t="s">
        <v>416</v>
      </c>
      <c r="N3210" t="e">
        <v>#REF!</v>
      </c>
      <c r="Q3210" t="s">
        <v>416</v>
      </c>
    </row>
    <row r="3211" spans="1:17" hidden="1" x14ac:dyDescent="0.25">
      <c r="A3211" s="114" t="s">
        <v>6684</v>
      </c>
      <c r="B3211" s="115" t="s">
        <v>6685</v>
      </c>
      <c r="C3211" s="116" t="s">
        <v>16</v>
      </c>
      <c r="D3211" s="116">
        <v>0</v>
      </c>
      <c r="E3211" s="136">
        <f ca="1">OFFSET(INDEX(Composições!A:J,MATCH(Orçamentária!A3211,Composições!A:A,0),8),2,0)</f>
        <v>68.989000000000004</v>
      </c>
      <c r="F3211" s="137">
        <f t="shared" ca="1" si="239"/>
        <v>0</v>
      </c>
      <c r="G3211" s="138" t="e">
        <f>IF(A3211&lt;&gt;"",IF(AND(#REF!="Padrão",$H$4=#REF!),BDI!$B$17,IF(AND(#REF!="Padrão",$H$4=#REF!),BDI!#REF!,IF(AND(#REF!="Diferenciado",$H$4=#REF!),BDI!$E$17,IF(AND(#REF!="Diferenciado",$H$4=#REF!),BDI!#REF!,IF(#REF!="ZERO",0))))),"")</f>
        <v>#REF!</v>
      </c>
      <c r="H3211" s="139" t="e">
        <f t="shared" ca="1" si="240"/>
        <v>#REF!</v>
      </c>
      <c r="I3211" s="137" t="e">
        <f t="shared" ca="1" si="241"/>
        <v>#REF!</v>
      </c>
      <c r="J3211" s="117"/>
      <c r="K3211" s="116">
        <v>0</v>
      </c>
      <c r="M3211" s="136" t="e">
        <f ca="1">OFFSET(INDEX([1]Composições!I:R,MATCH([1]Orçamentária!I3211,[1]Composições!I:I,0),8),2,0)</f>
        <v>#REF!</v>
      </c>
      <c r="N3211" t="e">
        <v>#REF!</v>
      </c>
      <c r="Q3211" t="e">
        <v>#REF!</v>
      </c>
    </row>
    <row r="3212" spans="1:17" hidden="1" x14ac:dyDescent="0.25">
      <c r="A3212" s="114" t="s">
        <v>6686</v>
      </c>
      <c r="B3212" s="115" t="s">
        <v>6687</v>
      </c>
      <c r="C3212" s="116" t="s">
        <v>69</v>
      </c>
      <c r="D3212" s="116">
        <v>0</v>
      </c>
      <c r="E3212" s="136">
        <f ca="1">OFFSET(INDEX(Composições!A:J,MATCH(Orçamentária!A3212,Composições!A:A,0),8),2,0)</f>
        <v>54.786499999999997</v>
      </c>
      <c r="F3212" s="137">
        <f t="shared" ca="1" si="239"/>
        <v>0</v>
      </c>
      <c r="G3212" s="138" t="e">
        <f>IF(A3212&lt;&gt;"",IF(AND(#REF!="Padrão",$H$4=#REF!),BDI!$B$17,IF(AND(#REF!="Padrão",$H$4=#REF!),BDI!#REF!,IF(AND(#REF!="Diferenciado",$H$4=#REF!),BDI!$E$17,IF(AND(#REF!="Diferenciado",$H$4=#REF!),BDI!#REF!,IF(#REF!="ZERO",0))))),"")</f>
        <v>#REF!</v>
      </c>
      <c r="H3212" s="139" t="e">
        <f t="shared" ca="1" si="240"/>
        <v>#REF!</v>
      </c>
      <c r="I3212" s="137" t="e">
        <f t="shared" ca="1" si="241"/>
        <v>#REF!</v>
      </c>
      <c r="J3212" s="117"/>
      <c r="K3212" s="116">
        <v>0</v>
      </c>
      <c r="M3212" s="136" t="e">
        <f ca="1">OFFSET(INDEX([1]Composições!I:R,MATCH([1]Orçamentária!I3212,[1]Composições!I:I,0),8),2,0)</f>
        <v>#REF!</v>
      </c>
      <c r="N3212" t="e">
        <v>#REF!</v>
      </c>
      <c r="Q3212" t="e">
        <v>#REF!</v>
      </c>
    </row>
    <row r="3213" spans="1:17" hidden="1" x14ac:dyDescent="0.25">
      <c r="A3213" s="114" t="s">
        <v>6688</v>
      </c>
      <c r="B3213" s="115" t="s">
        <v>5883</v>
      </c>
      <c r="C3213" s="116" t="s">
        <v>16</v>
      </c>
      <c r="D3213" s="116">
        <v>0</v>
      </c>
      <c r="E3213" s="136" t="s">
        <v>416</v>
      </c>
      <c r="F3213" s="137" t="str">
        <f t="shared" si="239"/>
        <v/>
      </c>
      <c r="G3213" s="138" t="e">
        <f>IF(A3213&lt;&gt;"",IF(AND(#REF!="Padrão",$H$4=#REF!),BDI!$B$17,IF(AND(#REF!="Padrão",$H$4=#REF!),BDI!#REF!,IF(AND(#REF!="Diferenciado",$H$4=#REF!),BDI!$E$17,IF(AND(#REF!="Diferenciado",$H$4=#REF!),BDI!#REF!,IF(#REF!="ZERO",0))))),"")</f>
        <v>#REF!</v>
      </c>
      <c r="H3213" s="139" t="str">
        <f t="shared" si="240"/>
        <v/>
      </c>
      <c r="I3213" s="137" t="str">
        <f t="shared" si="241"/>
        <v/>
      </c>
      <c r="J3213" s="117"/>
      <c r="K3213" s="116">
        <v>0</v>
      </c>
      <c r="M3213" s="136" t="s">
        <v>416</v>
      </c>
      <c r="N3213" t="e">
        <v>#REF!</v>
      </c>
      <c r="Q3213" t="s">
        <v>416</v>
      </c>
    </row>
    <row r="3214" spans="1:17" hidden="1" x14ac:dyDescent="0.25">
      <c r="A3214" s="114" t="s">
        <v>6689</v>
      </c>
      <c r="B3214" s="115" t="s">
        <v>6690</v>
      </c>
      <c r="C3214" s="116" t="s">
        <v>16</v>
      </c>
      <c r="D3214" s="116">
        <v>0</v>
      </c>
      <c r="E3214" s="136" t="s">
        <v>416</v>
      </c>
      <c r="F3214" s="137" t="str">
        <f t="shared" si="239"/>
        <v/>
      </c>
      <c r="G3214" s="138" t="e">
        <f>IF(A3214&lt;&gt;"",IF(AND(#REF!="Padrão",$H$4=#REF!),BDI!$B$17,IF(AND(#REF!="Padrão",$H$4=#REF!),BDI!#REF!,IF(AND(#REF!="Diferenciado",$H$4=#REF!),BDI!$E$17,IF(AND(#REF!="Diferenciado",$H$4=#REF!),BDI!#REF!,IF(#REF!="ZERO",0))))),"")</f>
        <v>#REF!</v>
      </c>
      <c r="H3214" s="139" t="str">
        <f t="shared" si="240"/>
        <v/>
      </c>
      <c r="I3214" s="137" t="str">
        <f t="shared" si="241"/>
        <v/>
      </c>
      <c r="J3214" s="117"/>
      <c r="K3214" s="116">
        <v>0</v>
      </c>
      <c r="M3214" s="136" t="s">
        <v>416</v>
      </c>
      <c r="N3214" t="e">
        <v>#REF!</v>
      </c>
      <c r="Q3214" t="s">
        <v>416</v>
      </c>
    </row>
    <row r="3215" spans="1:17" hidden="1" x14ac:dyDescent="0.25">
      <c r="A3215" s="114" t="s">
        <v>6691</v>
      </c>
      <c r="B3215" s="115" t="s">
        <v>6692</v>
      </c>
      <c r="C3215" s="116" t="s">
        <v>16</v>
      </c>
      <c r="D3215" s="116">
        <v>0</v>
      </c>
      <c r="E3215" s="136" t="s">
        <v>416</v>
      </c>
      <c r="F3215" s="137" t="str">
        <f t="shared" si="239"/>
        <v/>
      </c>
      <c r="G3215" s="138" t="e">
        <f>IF(A3215&lt;&gt;"",IF(AND(#REF!="Padrão",$H$4=#REF!),BDI!$B$17,IF(AND(#REF!="Padrão",$H$4=#REF!),BDI!#REF!,IF(AND(#REF!="Diferenciado",$H$4=#REF!),BDI!$E$17,IF(AND(#REF!="Diferenciado",$H$4=#REF!),BDI!#REF!,IF(#REF!="ZERO",0))))),"")</f>
        <v>#REF!</v>
      </c>
      <c r="H3215" s="139" t="str">
        <f t="shared" si="240"/>
        <v/>
      </c>
      <c r="I3215" s="137" t="str">
        <f t="shared" si="241"/>
        <v/>
      </c>
      <c r="J3215" s="117"/>
      <c r="K3215" s="116">
        <v>0</v>
      </c>
      <c r="M3215" s="136" t="s">
        <v>416</v>
      </c>
      <c r="N3215" t="e">
        <v>#REF!</v>
      </c>
      <c r="Q3215" t="s">
        <v>416</v>
      </c>
    </row>
    <row r="3216" spans="1:17" hidden="1" x14ac:dyDescent="0.25">
      <c r="A3216" s="114" t="s">
        <v>6693</v>
      </c>
      <c r="B3216" s="115" t="s">
        <v>6694</v>
      </c>
      <c r="C3216" s="116" t="s">
        <v>16</v>
      </c>
      <c r="D3216" s="116">
        <v>0</v>
      </c>
      <c r="E3216" s="136" t="s">
        <v>416</v>
      </c>
      <c r="F3216" s="137" t="str">
        <f t="shared" si="239"/>
        <v/>
      </c>
      <c r="G3216" s="138" t="e">
        <f>IF(A3216&lt;&gt;"",IF(AND(#REF!="Padrão",$H$4=#REF!),BDI!$B$17,IF(AND(#REF!="Padrão",$H$4=#REF!),BDI!#REF!,IF(AND(#REF!="Diferenciado",$H$4=#REF!),BDI!$E$17,IF(AND(#REF!="Diferenciado",$H$4=#REF!),BDI!#REF!,IF(#REF!="ZERO",0))))),"")</f>
        <v>#REF!</v>
      </c>
      <c r="H3216" s="139" t="str">
        <f t="shared" si="240"/>
        <v/>
      </c>
      <c r="I3216" s="137" t="str">
        <f t="shared" si="241"/>
        <v/>
      </c>
      <c r="J3216" s="117"/>
      <c r="K3216" s="116">
        <v>0</v>
      </c>
      <c r="M3216" s="136" t="s">
        <v>416</v>
      </c>
      <c r="N3216" t="e">
        <v>#REF!</v>
      </c>
      <c r="Q3216" t="s">
        <v>416</v>
      </c>
    </row>
    <row r="3217" spans="1:17" hidden="1" x14ac:dyDescent="0.25">
      <c r="A3217" s="114" t="s">
        <v>6695</v>
      </c>
      <c r="B3217" s="115" t="s">
        <v>6696</v>
      </c>
      <c r="C3217" s="116" t="s">
        <v>16</v>
      </c>
      <c r="D3217" s="116">
        <v>0</v>
      </c>
      <c r="E3217" s="136" t="s">
        <v>416</v>
      </c>
      <c r="F3217" s="137" t="str">
        <f t="shared" si="239"/>
        <v/>
      </c>
      <c r="G3217" s="138" t="e">
        <f>IF(A3217&lt;&gt;"",IF(AND(#REF!="Padrão",$H$4=#REF!),BDI!$B$17,IF(AND(#REF!="Padrão",$H$4=#REF!),BDI!#REF!,IF(AND(#REF!="Diferenciado",$H$4=#REF!),BDI!$E$17,IF(AND(#REF!="Diferenciado",$H$4=#REF!),BDI!#REF!,IF(#REF!="ZERO",0))))),"")</f>
        <v>#REF!</v>
      </c>
      <c r="H3217" s="139" t="str">
        <f t="shared" si="240"/>
        <v/>
      </c>
      <c r="I3217" s="137" t="str">
        <f t="shared" si="241"/>
        <v/>
      </c>
      <c r="J3217" s="117"/>
      <c r="K3217" s="116">
        <v>0</v>
      </c>
      <c r="M3217" s="136" t="s">
        <v>416</v>
      </c>
      <c r="N3217" t="e">
        <v>#REF!</v>
      </c>
      <c r="Q3217" t="s">
        <v>416</v>
      </c>
    </row>
    <row r="3218" spans="1:17" hidden="1" x14ac:dyDescent="0.25">
      <c r="A3218" s="114" t="s">
        <v>6697</v>
      </c>
      <c r="B3218" s="115" t="s">
        <v>3850</v>
      </c>
      <c r="C3218" s="116" t="s">
        <v>16</v>
      </c>
      <c r="D3218" s="116">
        <v>0</v>
      </c>
      <c r="E3218" s="136" t="s">
        <v>416</v>
      </c>
      <c r="F3218" s="137" t="str">
        <f t="shared" si="239"/>
        <v/>
      </c>
      <c r="G3218" s="138" t="e">
        <f>IF(A3218&lt;&gt;"",IF(AND(#REF!="Padrão",$H$4=#REF!),BDI!$B$17,IF(AND(#REF!="Padrão",$H$4=#REF!),BDI!#REF!,IF(AND(#REF!="Diferenciado",$H$4=#REF!),BDI!$E$17,IF(AND(#REF!="Diferenciado",$H$4=#REF!),BDI!#REF!,IF(#REF!="ZERO",0))))),"")</f>
        <v>#REF!</v>
      </c>
      <c r="H3218" s="139" t="str">
        <f t="shared" si="240"/>
        <v/>
      </c>
      <c r="I3218" s="137" t="str">
        <f t="shared" si="241"/>
        <v/>
      </c>
      <c r="J3218" s="117"/>
      <c r="K3218" s="116">
        <v>0</v>
      </c>
      <c r="M3218" s="136" t="s">
        <v>416</v>
      </c>
      <c r="N3218" t="e">
        <v>#REF!</v>
      </c>
      <c r="Q3218" t="s">
        <v>416</v>
      </c>
    </row>
    <row r="3219" spans="1:17" hidden="1" x14ac:dyDescent="0.25">
      <c r="A3219" s="114" t="s">
        <v>6698</v>
      </c>
      <c r="B3219" s="115" t="s">
        <v>6699</v>
      </c>
      <c r="C3219" s="116" t="s">
        <v>16</v>
      </c>
      <c r="D3219" s="116">
        <v>0</v>
      </c>
      <c r="E3219" s="136">
        <f ca="1">OFFSET(INDEX(Composições!A:J,MATCH(Orçamentária!A3219,Composições!A:A,0),8),2,0)</f>
        <v>5.8425000000000002</v>
      </c>
      <c r="F3219" s="137">
        <f t="shared" ca="1" si="239"/>
        <v>0</v>
      </c>
      <c r="G3219" s="138" t="e">
        <f>IF(A3219&lt;&gt;"",IF(AND(#REF!="Padrão",$H$4=#REF!),BDI!$B$17,IF(AND(#REF!="Padrão",$H$4=#REF!),BDI!#REF!,IF(AND(#REF!="Diferenciado",$H$4=#REF!),BDI!$E$17,IF(AND(#REF!="Diferenciado",$H$4=#REF!),BDI!#REF!,IF(#REF!="ZERO",0))))),"")</f>
        <v>#REF!</v>
      </c>
      <c r="H3219" s="139" t="e">
        <f t="shared" ca="1" si="240"/>
        <v>#REF!</v>
      </c>
      <c r="I3219" s="137" t="e">
        <f t="shared" ca="1" si="241"/>
        <v>#REF!</v>
      </c>
      <c r="J3219" s="117"/>
      <c r="K3219" s="116">
        <v>0</v>
      </c>
      <c r="M3219" s="136" t="e">
        <f ca="1">OFFSET(INDEX([1]Composições!I:R,MATCH([1]Orçamentária!I3219,[1]Composições!I:I,0),8),2,0)</f>
        <v>#REF!</v>
      </c>
      <c r="N3219" t="e">
        <v>#REF!</v>
      </c>
      <c r="Q3219" t="e">
        <v>#REF!</v>
      </c>
    </row>
    <row r="3220" spans="1:17" hidden="1" x14ac:dyDescent="0.25">
      <c r="A3220" s="114" t="s">
        <v>6700</v>
      </c>
      <c r="B3220" s="115" t="s">
        <v>6701</v>
      </c>
      <c r="C3220" s="116" t="s">
        <v>16</v>
      </c>
      <c r="D3220" s="116">
        <v>0</v>
      </c>
      <c r="E3220" s="136">
        <f ca="1">OFFSET(INDEX(Composições!A:J,MATCH(Orçamentária!A3220,Composições!A:A,0),8),2,0)</f>
        <v>0</v>
      </c>
      <c r="F3220" s="137">
        <f t="shared" ca="1" si="239"/>
        <v>0</v>
      </c>
      <c r="G3220" s="138" t="e">
        <f>IF(A3220&lt;&gt;"",IF(AND(#REF!="Padrão",$H$4=#REF!),BDI!$B$17,IF(AND(#REF!="Padrão",$H$4=#REF!),BDI!#REF!,IF(AND(#REF!="Diferenciado",$H$4=#REF!),BDI!$E$17,IF(AND(#REF!="Diferenciado",$H$4=#REF!),BDI!#REF!,IF(#REF!="ZERO",0))))),"")</f>
        <v>#REF!</v>
      </c>
      <c r="H3220" s="139" t="e">
        <f t="shared" ca="1" si="240"/>
        <v>#REF!</v>
      </c>
      <c r="I3220" s="137" t="e">
        <f t="shared" ca="1" si="241"/>
        <v>#REF!</v>
      </c>
      <c r="J3220" s="117"/>
      <c r="K3220" s="116">
        <v>0</v>
      </c>
      <c r="M3220" s="136" t="e">
        <f ca="1">OFFSET(INDEX([1]Composições!I:R,MATCH([1]Orçamentária!I3220,[1]Composições!I:I,0),8),2,0)</f>
        <v>#REF!</v>
      </c>
      <c r="N3220" t="e">
        <v>#REF!</v>
      </c>
      <c r="Q3220" t="e">
        <v>#REF!</v>
      </c>
    </row>
    <row r="3221" spans="1:17" hidden="1" x14ac:dyDescent="0.25">
      <c r="A3221" s="114" t="s">
        <v>6702</v>
      </c>
      <c r="B3221" s="115" t="s">
        <v>6703</v>
      </c>
      <c r="C3221" s="116" t="s">
        <v>16</v>
      </c>
      <c r="D3221" s="116">
        <v>0</v>
      </c>
      <c r="E3221" s="136" t="s">
        <v>416</v>
      </c>
      <c r="F3221" s="137" t="str">
        <f t="shared" si="239"/>
        <v/>
      </c>
      <c r="G3221" s="138" t="e">
        <f>IF(A3221&lt;&gt;"",IF(AND(#REF!="Padrão",$H$4=#REF!),BDI!$B$17,IF(AND(#REF!="Padrão",$H$4=#REF!),BDI!#REF!,IF(AND(#REF!="Diferenciado",$H$4=#REF!),BDI!$E$17,IF(AND(#REF!="Diferenciado",$H$4=#REF!),BDI!#REF!,IF(#REF!="ZERO",0))))),"")</f>
        <v>#REF!</v>
      </c>
      <c r="H3221" s="139" t="str">
        <f t="shared" si="240"/>
        <v/>
      </c>
      <c r="I3221" s="137" t="str">
        <f t="shared" si="241"/>
        <v/>
      </c>
      <c r="J3221" s="117"/>
      <c r="K3221" s="116">
        <v>0</v>
      </c>
      <c r="M3221" s="136" t="s">
        <v>416</v>
      </c>
      <c r="N3221" t="e">
        <v>#REF!</v>
      </c>
      <c r="Q3221" t="s">
        <v>416</v>
      </c>
    </row>
    <row r="3222" spans="1:17" hidden="1" x14ac:dyDescent="0.25">
      <c r="A3222" s="114" t="s">
        <v>6704</v>
      </c>
      <c r="B3222" s="115" t="s">
        <v>6705</v>
      </c>
      <c r="C3222" s="116" t="s">
        <v>16</v>
      </c>
      <c r="D3222" s="116">
        <v>0</v>
      </c>
      <c r="E3222" s="136">
        <f ca="1">OFFSET(INDEX(Composições!A:J,MATCH(Orçamentária!A3222,Composições!A:A,0),8),2,0)</f>
        <v>1.7669999999999999</v>
      </c>
      <c r="F3222" s="137">
        <f t="shared" ca="1" si="239"/>
        <v>0</v>
      </c>
      <c r="G3222" s="138" t="e">
        <f>IF(A3222&lt;&gt;"",IF(AND(#REF!="Padrão",$H$4=#REF!),BDI!$B$17,IF(AND(#REF!="Padrão",$H$4=#REF!),BDI!#REF!,IF(AND(#REF!="Diferenciado",$H$4=#REF!),BDI!$E$17,IF(AND(#REF!="Diferenciado",$H$4=#REF!),BDI!#REF!,IF(#REF!="ZERO",0))))),"")</f>
        <v>#REF!</v>
      </c>
      <c r="H3222" s="139" t="e">
        <f t="shared" ca="1" si="240"/>
        <v>#REF!</v>
      </c>
      <c r="I3222" s="137" t="e">
        <f t="shared" ca="1" si="241"/>
        <v>#REF!</v>
      </c>
      <c r="J3222" s="117"/>
      <c r="K3222" s="116">
        <v>0</v>
      </c>
      <c r="M3222" s="136" t="e">
        <f ca="1">OFFSET(INDEX([1]Composições!I:R,MATCH([1]Orçamentária!I3222,[1]Composições!I:I,0),8),2,0)</f>
        <v>#REF!</v>
      </c>
      <c r="N3222" t="e">
        <v>#REF!</v>
      </c>
      <c r="Q3222" t="e">
        <v>#REF!</v>
      </c>
    </row>
    <row r="3223" spans="1:17" hidden="1" x14ac:dyDescent="0.25">
      <c r="A3223" s="114" t="s">
        <v>6706</v>
      </c>
      <c r="B3223" s="115" t="s">
        <v>7280</v>
      </c>
      <c r="C3223" s="116" t="s">
        <v>16</v>
      </c>
      <c r="D3223" s="116">
        <v>0</v>
      </c>
      <c r="E3223" s="136" t="s">
        <v>416</v>
      </c>
      <c r="F3223" s="137" t="str">
        <f t="shared" si="239"/>
        <v/>
      </c>
      <c r="G3223" s="138" t="e">
        <f>IF(A3223&lt;&gt;"",IF(AND(#REF!="Padrão",$H$4=#REF!),BDI!$B$17,IF(AND(#REF!="Padrão",$H$4=#REF!),BDI!#REF!,IF(AND(#REF!="Diferenciado",$H$4=#REF!),BDI!$E$17,IF(AND(#REF!="Diferenciado",$H$4=#REF!),BDI!#REF!,IF(#REF!="ZERO",0))))),"")</f>
        <v>#REF!</v>
      </c>
      <c r="H3223" s="139" t="str">
        <f t="shared" si="240"/>
        <v/>
      </c>
      <c r="I3223" s="137" t="str">
        <f t="shared" si="241"/>
        <v/>
      </c>
      <c r="J3223" s="117"/>
      <c r="K3223" s="116">
        <v>0</v>
      </c>
      <c r="M3223" s="136" t="s">
        <v>416</v>
      </c>
      <c r="N3223" t="e">
        <v>#REF!</v>
      </c>
      <c r="Q3223" t="s">
        <v>416</v>
      </c>
    </row>
    <row r="3224" spans="1:17" hidden="1" x14ac:dyDescent="0.25">
      <c r="A3224" s="114" t="s">
        <v>6707</v>
      </c>
      <c r="B3224" s="115" t="s">
        <v>7279</v>
      </c>
      <c r="C3224" s="116" t="s">
        <v>16</v>
      </c>
      <c r="D3224" s="116">
        <v>0</v>
      </c>
      <c r="E3224" s="136" t="s">
        <v>416</v>
      </c>
      <c r="F3224" s="137" t="str">
        <f t="shared" si="239"/>
        <v/>
      </c>
      <c r="G3224" s="138" t="e">
        <f>IF(A3224&lt;&gt;"",IF(AND(#REF!="Padrão",$H$4=#REF!),BDI!$B$17,IF(AND(#REF!="Padrão",$H$4=#REF!),BDI!#REF!,IF(AND(#REF!="Diferenciado",$H$4=#REF!),BDI!$E$17,IF(AND(#REF!="Diferenciado",$H$4=#REF!),BDI!#REF!,IF(#REF!="ZERO",0))))),"")</f>
        <v>#REF!</v>
      </c>
      <c r="H3224" s="139" t="str">
        <f t="shared" si="240"/>
        <v/>
      </c>
      <c r="I3224" s="137" t="str">
        <f t="shared" si="241"/>
        <v/>
      </c>
      <c r="J3224" s="117"/>
      <c r="K3224" s="116">
        <v>0</v>
      </c>
      <c r="M3224" s="136" t="s">
        <v>416</v>
      </c>
      <c r="N3224" t="e">
        <v>#REF!</v>
      </c>
      <c r="Q3224" t="s">
        <v>416</v>
      </c>
    </row>
    <row r="3225" spans="1:17" hidden="1" x14ac:dyDescent="0.25">
      <c r="A3225" s="114" t="s">
        <v>6708</v>
      </c>
      <c r="B3225" s="115" t="s">
        <v>6709</v>
      </c>
      <c r="C3225" s="116" t="s">
        <v>6716</v>
      </c>
      <c r="D3225" s="116">
        <v>0</v>
      </c>
      <c r="E3225" s="136">
        <f ca="1">OFFSET(INDEX(Composições!A:J,MATCH(Orçamentária!A3225,Composições!A:A,0),8),2,0)</f>
        <v>48.449999999999996</v>
      </c>
      <c r="F3225" s="137">
        <f t="shared" ca="1" si="239"/>
        <v>0</v>
      </c>
      <c r="G3225" s="138" t="e">
        <f>IF(A3225&lt;&gt;"",IF(AND(#REF!="Padrão",$H$4=#REF!),BDI!$B$17,IF(AND(#REF!="Padrão",$H$4=#REF!),BDI!#REF!,IF(AND(#REF!="Diferenciado",$H$4=#REF!),BDI!$E$17,IF(AND(#REF!="Diferenciado",$H$4=#REF!),BDI!#REF!,IF(#REF!="ZERO",0))))),"")</f>
        <v>#REF!</v>
      </c>
      <c r="H3225" s="139" t="e">
        <f t="shared" ca="1" si="240"/>
        <v>#REF!</v>
      </c>
      <c r="I3225" s="137" t="e">
        <f t="shared" ca="1" si="241"/>
        <v>#REF!</v>
      </c>
      <c r="J3225" s="117"/>
      <c r="K3225" s="116">
        <v>0</v>
      </c>
      <c r="M3225" s="136" t="e">
        <f ca="1">OFFSET(INDEX([1]Composições!I:R,MATCH([1]Orçamentária!I3225,[1]Composições!I:I,0),8),2,0)</f>
        <v>#REF!</v>
      </c>
      <c r="N3225" t="e">
        <v>#REF!</v>
      </c>
      <c r="Q3225" t="e">
        <v>#REF!</v>
      </c>
    </row>
    <row r="3226" spans="1:17" hidden="1" x14ac:dyDescent="0.25">
      <c r="A3226" s="114" t="s">
        <v>6710</v>
      </c>
      <c r="B3226" s="115" t="s">
        <v>6711</v>
      </c>
      <c r="C3226" s="116" t="s">
        <v>70</v>
      </c>
      <c r="D3226" s="116">
        <v>0</v>
      </c>
      <c r="E3226" s="136">
        <f ca="1">OFFSET(INDEX(Composições!A:J,MATCH(Orçamentária!A3226,Composições!A:A,0),8),2,0)</f>
        <v>17.546499999999998</v>
      </c>
      <c r="F3226" s="137">
        <f t="shared" ca="1" si="239"/>
        <v>0</v>
      </c>
      <c r="G3226" s="138" t="e">
        <f>IF(A3226&lt;&gt;"",IF(AND(#REF!="Padrão",$H$4=#REF!),BDI!$B$17,IF(AND(#REF!="Padrão",$H$4=#REF!),BDI!#REF!,IF(AND(#REF!="Diferenciado",$H$4=#REF!),BDI!$E$17,IF(AND(#REF!="Diferenciado",$H$4=#REF!),BDI!#REF!,IF(#REF!="ZERO",0))))),"")</f>
        <v>#REF!</v>
      </c>
      <c r="H3226" s="139" t="e">
        <f t="shared" ca="1" si="240"/>
        <v>#REF!</v>
      </c>
      <c r="I3226" s="137" t="e">
        <f t="shared" ca="1" si="241"/>
        <v>#REF!</v>
      </c>
      <c r="J3226" s="117"/>
      <c r="K3226" s="116">
        <v>0</v>
      </c>
      <c r="M3226" s="136" t="e">
        <f ca="1">OFFSET(INDEX([1]Composições!I:R,MATCH([1]Orçamentária!I3226,[1]Composições!I:I,0),8),2,0)</f>
        <v>#REF!</v>
      </c>
      <c r="N3226" t="e">
        <v>#REF!</v>
      </c>
      <c r="Q3226" t="e">
        <v>#REF!</v>
      </c>
    </row>
    <row r="3227" spans="1:17" hidden="1" x14ac:dyDescent="0.25">
      <c r="A3227" s="114" t="s">
        <v>6712</v>
      </c>
      <c r="B3227" s="115" t="s">
        <v>6713</v>
      </c>
      <c r="C3227" s="116" t="s">
        <v>69</v>
      </c>
      <c r="D3227" s="116">
        <v>0</v>
      </c>
      <c r="E3227" s="136">
        <f ca="1">OFFSET(INDEX(Composições!A:J,MATCH(Orçamentária!A3227,Composições!A:A,0),8),2,0)</f>
        <v>0.9723345000000001</v>
      </c>
      <c r="F3227" s="137">
        <f t="shared" ca="1" si="239"/>
        <v>0</v>
      </c>
      <c r="G3227" s="138" t="e">
        <f>IF(A3227&lt;&gt;"",IF(AND(#REF!="Padrão",$H$4=#REF!),BDI!$B$17,IF(AND(#REF!="Padrão",$H$4=#REF!),BDI!#REF!,IF(AND(#REF!="Diferenciado",$H$4=#REF!),BDI!$E$17,IF(AND(#REF!="Diferenciado",$H$4=#REF!),BDI!#REF!,IF(#REF!="ZERO",0))))),"")</f>
        <v>#REF!</v>
      </c>
      <c r="H3227" s="139" t="e">
        <f t="shared" ca="1" si="240"/>
        <v>#REF!</v>
      </c>
      <c r="I3227" s="137" t="e">
        <f t="shared" ca="1" si="241"/>
        <v>#REF!</v>
      </c>
      <c r="J3227" s="117"/>
      <c r="K3227" s="116">
        <v>0</v>
      </c>
      <c r="M3227" s="136" t="e">
        <f ca="1">OFFSET(INDEX([1]Composições!I:R,MATCH([1]Orçamentária!I3227,[1]Composições!I:I,0),8),2,0)</f>
        <v>#REF!</v>
      </c>
      <c r="N3227" t="e">
        <v>#REF!</v>
      </c>
      <c r="Q3227" t="e">
        <v>#REF!</v>
      </c>
    </row>
    <row r="3228" spans="1:17" hidden="1" x14ac:dyDescent="0.25">
      <c r="A3228" s="114" t="s">
        <v>6714</v>
      </c>
      <c r="B3228" s="115" t="s">
        <v>6715</v>
      </c>
      <c r="C3228" s="116" t="s">
        <v>6717</v>
      </c>
      <c r="D3228" s="116">
        <v>0</v>
      </c>
      <c r="E3228" s="136">
        <f ca="1">OFFSET(INDEX(Composições!A:J,MATCH(Orçamentária!A3228,Composições!A:A,0),8),2,0)</f>
        <v>0</v>
      </c>
      <c r="F3228" s="137">
        <f t="shared" ca="1" si="239"/>
        <v>0</v>
      </c>
      <c r="G3228" s="138" t="e">
        <f>IF(A3228&lt;&gt;"",IF(AND(#REF!="Padrão",$H$4=#REF!),BDI!$B$17,IF(AND(#REF!="Padrão",$H$4=#REF!),BDI!#REF!,IF(AND(#REF!="Diferenciado",$H$4=#REF!),BDI!$E$17,IF(AND(#REF!="Diferenciado",$H$4=#REF!),BDI!#REF!,IF(#REF!="ZERO",0))))),"")</f>
        <v>#REF!</v>
      </c>
      <c r="H3228" s="139" t="e">
        <f t="shared" ca="1" si="240"/>
        <v>#REF!</v>
      </c>
      <c r="I3228" s="137" t="e">
        <f t="shared" ca="1" si="241"/>
        <v>#REF!</v>
      </c>
      <c r="J3228" s="117"/>
      <c r="K3228" s="116">
        <v>0</v>
      </c>
      <c r="M3228" s="136" t="e">
        <f ca="1">OFFSET(INDEX([1]Composições!I:R,MATCH([1]Orçamentária!I3228,[1]Composições!I:I,0),8),2,0)</f>
        <v>#REF!</v>
      </c>
      <c r="N3228" t="e">
        <v>#REF!</v>
      </c>
      <c r="Q3228" t="e">
        <v>#REF!</v>
      </c>
    </row>
    <row r="3229" spans="1:17" hidden="1" x14ac:dyDescent="0.25">
      <c r="A3229" s="114" t="s">
        <v>6722</v>
      </c>
      <c r="B3229" s="115" t="s">
        <v>7278</v>
      </c>
      <c r="C3229" s="116" t="s">
        <v>16</v>
      </c>
      <c r="D3229" s="116">
        <v>0</v>
      </c>
      <c r="E3229" s="136" t="s">
        <v>416</v>
      </c>
      <c r="F3229" s="137" t="str">
        <f t="shared" si="239"/>
        <v/>
      </c>
      <c r="G3229" s="138" t="e">
        <f>IF(A3229&lt;&gt;"",IF(AND(#REF!="Padrão",$H$4=#REF!),BDI!$B$17,IF(AND(#REF!="Padrão",$H$4=#REF!),BDI!#REF!,IF(AND(#REF!="Diferenciado",$H$4=#REF!),BDI!$E$17,IF(AND(#REF!="Diferenciado",$H$4=#REF!),BDI!#REF!,IF(#REF!="ZERO",0))))),"")</f>
        <v>#REF!</v>
      </c>
      <c r="H3229" s="139" t="str">
        <f t="shared" si="240"/>
        <v/>
      </c>
      <c r="I3229" s="137" t="str">
        <f t="shared" si="241"/>
        <v/>
      </c>
      <c r="J3229" s="117"/>
      <c r="K3229" s="116">
        <v>0</v>
      </c>
      <c r="M3229" s="136" t="s">
        <v>416</v>
      </c>
      <c r="N3229" t="e">
        <v>#REF!</v>
      </c>
      <c r="Q3229" t="s">
        <v>416</v>
      </c>
    </row>
    <row r="3230" spans="1:17" hidden="1" x14ac:dyDescent="0.25">
      <c r="A3230" s="114" t="s">
        <v>6723</v>
      </c>
      <c r="B3230" s="115" t="s">
        <v>7275</v>
      </c>
      <c r="C3230" s="116" t="s">
        <v>16</v>
      </c>
      <c r="D3230" s="116">
        <v>0</v>
      </c>
      <c r="E3230" s="136">
        <f ca="1">OFFSET(INDEX(Composições!A:J,MATCH(Orçamentária!A3230,Composições!A:A,0),8),2,0)</f>
        <v>0</v>
      </c>
      <c r="F3230" s="137">
        <f t="shared" ref="F3230:F3237" ca="1" si="242">IF(ISNUMBER(E3230),D3230*E3230,"")</f>
        <v>0</v>
      </c>
      <c r="G3230" s="138" t="e">
        <f>IF(A3230&lt;&gt;"",IF(AND(#REF!="Padrão",$H$4=#REF!),BDI!$B$17,IF(AND(#REF!="Padrão",$H$4=#REF!),BDI!#REF!,IF(AND(#REF!="Diferenciado",$H$4=#REF!),BDI!$E$17,IF(AND(#REF!="Diferenciado",$H$4=#REF!),BDI!#REF!,IF(#REF!="ZERO",0))))),"")</f>
        <v>#REF!</v>
      </c>
      <c r="H3230" s="139" t="e">
        <f t="shared" ref="H3230:H3237" ca="1" si="243">IF(ISNUMBER(E3230),ROUND(E3230*(1+G3230),2),"")</f>
        <v>#REF!</v>
      </c>
      <c r="I3230" s="137" t="e">
        <f t="shared" ref="I3230:I3237" ca="1" si="244">IF(ISNUMBER(E3230),ROUND(H3230*D3230,2),"")</f>
        <v>#REF!</v>
      </c>
      <c r="J3230" s="117"/>
      <c r="K3230" s="116">
        <v>0</v>
      </c>
      <c r="M3230" s="136" t="e">
        <f ca="1">OFFSET(INDEX([1]Composições!I:R,MATCH([1]Orçamentária!I3230,[1]Composições!I:I,0),8),2,0)</f>
        <v>#REF!</v>
      </c>
      <c r="N3230" t="e">
        <v>#REF!</v>
      </c>
      <c r="Q3230" t="e">
        <v>#REF!</v>
      </c>
    </row>
    <row r="3231" spans="1:17" hidden="1" x14ac:dyDescent="0.25">
      <c r="A3231" s="114" t="s">
        <v>6724</v>
      </c>
      <c r="B3231" s="115" t="s">
        <v>7274</v>
      </c>
      <c r="C3231" s="116" t="s">
        <v>16</v>
      </c>
      <c r="D3231" s="116">
        <v>0</v>
      </c>
      <c r="E3231" s="136" t="s">
        <v>416</v>
      </c>
      <c r="F3231" s="137" t="str">
        <f t="shared" si="242"/>
        <v/>
      </c>
      <c r="G3231" s="138" t="e">
        <f>IF(A3231&lt;&gt;"",IF(AND(#REF!="Padrão",$H$4=#REF!),BDI!$B$17,IF(AND(#REF!="Padrão",$H$4=#REF!),BDI!#REF!,IF(AND(#REF!="Diferenciado",$H$4=#REF!),BDI!$E$17,IF(AND(#REF!="Diferenciado",$H$4=#REF!),BDI!#REF!,IF(#REF!="ZERO",0))))),"")</f>
        <v>#REF!</v>
      </c>
      <c r="H3231" s="139" t="str">
        <f t="shared" si="243"/>
        <v/>
      </c>
      <c r="I3231" s="137" t="str">
        <f t="shared" si="244"/>
        <v/>
      </c>
      <c r="J3231" s="117"/>
      <c r="K3231" s="116">
        <v>0</v>
      </c>
      <c r="M3231" s="136" t="s">
        <v>416</v>
      </c>
      <c r="N3231" t="e">
        <v>#REF!</v>
      </c>
      <c r="Q3231" t="s">
        <v>416</v>
      </c>
    </row>
    <row r="3232" spans="1:17" hidden="1" x14ac:dyDescent="0.25">
      <c r="A3232" s="114" t="s">
        <v>6725</v>
      </c>
      <c r="B3232" s="115" t="s">
        <v>6733</v>
      </c>
      <c r="C3232" s="116" t="s">
        <v>16</v>
      </c>
      <c r="D3232" s="116">
        <v>0</v>
      </c>
      <c r="E3232" s="136" t="s">
        <v>416</v>
      </c>
      <c r="F3232" s="137" t="str">
        <f t="shared" si="242"/>
        <v/>
      </c>
      <c r="G3232" s="138" t="e">
        <f>IF(A3232&lt;&gt;"",IF(AND(#REF!="Padrão",$H$4=#REF!),BDI!$B$17,IF(AND(#REF!="Padrão",$H$4=#REF!),BDI!#REF!,IF(AND(#REF!="Diferenciado",$H$4=#REF!),BDI!$E$17,IF(AND(#REF!="Diferenciado",$H$4=#REF!),BDI!#REF!,IF(#REF!="ZERO",0))))),"")</f>
        <v>#REF!</v>
      </c>
      <c r="H3232" s="139" t="str">
        <f t="shared" si="243"/>
        <v/>
      </c>
      <c r="I3232" s="137" t="str">
        <f t="shared" si="244"/>
        <v/>
      </c>
      <c r="J3232" s="117"/>
      <c r="K3232" s="116">
        <v>0</v>
      </c>
      <c r="M3232" s="136" t="s">
        <v>416</v>
      </c>
      <c r="N3232" t="e">
        <v>#REF!</v>
      </c>
      <c r="Q3232" t="s">
        <v>416</v>
      </c>
    </row>
    <row r="3233" spans="1:19" hidden="1" x14ac:dyDescent="0.25">
      <c r="A3233" s="114" t="s">
        <v>6726</v>
      </c>
      <c r="B3233" s="115" t="s">
        <v>6807</v>
      </c>
      <c r="C3233" s="116" t="s">
        <v>70</v>
      </c>
      <c r="D3233" s="116">
        <v>0</v>
      </c>
      <c r="E3233" s="136" t="s">
        <v>416</v>
      </c>
      <c r="F3233" s="137" t="str">
        <f t="shared" si="242"/>
        <v/>
      </c>
      <c r="G3233" s="138" t="e">
        <f>IF(A3233&lt;&gt;"",IF(AND(#REF!="Padrão",$H$4=#REF!),BDI!$B$17,IF(AND(#REF!="Padrão",$H$4=#REF!),BDI!#REF!,IF(AND(#REF!="Diferenciado",$H$4=#REF!),BDI!$E$17,IF(AND(#REF!="Diferenciado",$H$4=#REF!),BDI!#REF!,IF(#REF!="ZERO",0))))),"")</f>
        <v>#REF!</v>
      </c>
      <c r="H3233" s="139" t="str">
        <f t="shared" si="243"/>
        <v/>
      </c>
      <c r="I3233" s="137" t="str">
        <f t="shared" si="244"/>
        <v/>
      </c>
      <c r="J3233" s="117"/>
      <c r="K3233" s="116">
        <v>0</v>
      </c>
      <c r="M3233" s="136" t="s">
        <v>416</v>
      </c>
      <c r="N3233" t="e">
        <v>#REF!</v>
      </c>
      <c r="Q3233" t="s">
        <v>416</v>
      </c>
    </row>
    <row r="3234" spans="1:19" hidden="1" x14ac:dyDescent="0.25">
      <c r="A3234" s="114" t="s">
        <v>6727</v>
      </c>
      <c r="B3234" s="115" t="s">
        <v>6730</v>
      </c>
      <c r="C3234" s="116" t="s">
        <v>16</v>
      </c>
      <c r="D3234" s="116">
        <v>0</v>
      </c>
      <c r="E3234" s="136">
        <f ca="1">OFFSET(INDEX(Composições!A:J,MATCH(Orçamentária!A3234,Composições!A:A,0),8),2,0)</f>
        <v>0</v>
      </c>
      <c r="F3234" s="137">
        <f t="shared" ca="1" si="242"/>
        <v>0</v>
      </c>
      <c r="G3234" s="138" t="e">
        <f>IF(A3234&lt;&gt;"",IF(AND(#REF!="Padrão",$H$4=#REF!),BDI!$B$17,IF(AND(#REF!="Padrão",$H$4=#REF!),BDI!#REF!,IF(AND(#REF!="Diferenciado",$H$4=#REF!),BDI!$E$17,IF(AND(#REF!="Diferenciado",$H$4=#REF!),BDI!#REF!,IF(#REF!="ZERO",0))))),"")</f>
        <v>#REF!</v>
      </c>
      <c r="H3234" s="139" t="e">
        <f t="shared" ca="1" si="243"/>
        <v>#REF!</v>
      </c>
      <c r="I3234" s="137" t="e">
        <f t="shared" ca="1" si="244"/>
        <v>#REF!</v>
      </c>
      <c r="J3234" s="117"/>
      <c r="K3234" s="116">
        <v>0</v>
      </c>
      <c r="M3234" s="136" t="e">
        <f ca="1">OFFSET(INDEX([1]Composições!I:R,MATCH([1]Orçamentária!I3234,[1]Composições!I:I,0),8),2,0)</f>
        <v>#REF!</v>
      </c>
      <c r="N3234" t="e">
        <v>#REF!</v>
      </c>
      <c r="Q3234" t="e">
        <v>#REF!</v>
      </c>
    </row>
    <row r="3235" spans="1:19" hidden="1" x14ac:dyDescent="0.25">
      <c r="A3235" s="114" t="s">
        <v>6728</v>
      </c>
      <c r="B3235" s="115" t="s">
        <v>7276</v>
      </c>
      <c r="C3235" s="116" t="s">
        <v>16</v>
      </c>
      <c r="D3235" s="116">
        <v>0</v>
      </c>
      <c r="E3235" s="136">
        <f ca="1">OFFSET(INDEX(Composições!A:J,MATCH(Orçamentária!A3235,Composições!A:A,0),8),2,0)</f>
        <v>0</v>
      </c>
      <c r="F3235" s="137">
        <f t="shared" ca="1" si="242"/>
        <v>0</v>
      </c>
      <c r="G3235" s="138" t="e">
        <f>IF(A3235&lt;&gt;"",IF(AND(#REF!="Padrão",$H$4=#REF!),BDI!$B$17,IF(AND(#REF!="Padrão",$H$4=#REF!),BDI!#REF!,IF(AND(#REF!="Diferenciado",$H$4=#REF!),BDI!$E$17,IF(AND(#REF!="Diferenciado",$H$4=#REF!),BDI!#REF!,IF(#REF!="ZERO",0))))),"")</f>
        <v>#REF!</v>
      </c>
      <c r="H3235" s="139" t="e">
        <f t="shared" ca="1" si="243"/>
        <v>#REF!</v>
      </c>
      <c r="I3235" s="137" t="e">
        <f t="shared" ca="1" si="244"/>
        <v>#REF!</v>
      </c>
      <c r="J3235" s="117"/>
      <c r="K3235" s="116">
        <v>0</v>
      </c>
      <c r="M3235" s="136" t="e">
        <f ca="1">OFFSET(INDEX([1]Composições!I:R,MATCH([1]Orçamentária!I3235,[1]Composições!I:I,0),8),2,0)</f>
        <v>#REF!</v>
      </c>
      <c r="N3235" t="e">
        <v>#REF!</v>
      </c>
      <c r="Q3235" t="e">
        <v>#REF!</v>
      </c>
    </row>
    <row r="3236" spans="1:19" hidden="1" x14ac:dyDescent="0.25">
      <c r="A3236" s="114" t="s">
        <v>6729</v>
      </c>
      <c r="B3236" s="115" t="s">
        <v>6731</v>
      </c>
      <c r="C3236" s="116" t="s">
        <v>69</v>
      </c>
      <c r="D3236" s="116">
        <v>0</v>
      </c>
      <c r="E3236" s="136">
        <f ca="1">OFFSET(INDEX(Composições!A:J,MATCH(Orçamentária!A3236,Composições!A:A,0),8),2,0)</f>
        <v>17.166499999999999</v>
      </c>
      <c r="F3236" s="137">
        <f t="shared" ca="1" si="242"/>
        <v>0</v>
      </c>
      <c r="G3236" s="138" t="e">
        <f>IF(A3236&lt;&gt;"",IF(AND(#REF!="Padrão",$H$4=#REF!),BDI!$B$17,IF(AND(#REF!="Padrão",$H$4=#REF!),BDI!#REF!,IF(AND(#REF!="Diferenciado",$H$4=#REF!),BDI!$E$17,IF(AND(#REF!="Diferenciado",$H$4=#REF!),BDI!#REF!,IF(#REF!="ZERO",0))))),"")</f>
        <v>#REF!</v>
      </c>
      <c r="H3236" s="139" t="e">
        <f t="shared" ca="1" si="243"/>
        <v>#REF!</v>
      </c>
      <c r="I3236" s="137" t="e">
        <f t="shared" ca="1" si="244"/>
        <v>#REF!</v>
      </c>
      <c r="J3236" s="117"/>
      <c r="K3236" s="116">
        <v>0</v>
      </c>
      <c r="M3236" s="136" t="e">
        <f ca="1">OFFSET(INDEX([1]Composições!I:R,MATCH([1]Orçamentária!I3236,[1]Composições!I:I,0),8),2,0)</f>
        <v>#REF!</v>
      </c>
      <c r="N3236" t="e">
        <v>#REF!</v>
      </c>
      <c r="Q3236" t="e">
        <v>#REF!</v>
      </c>
    </row>
    <row r="3237" spans="1:19" hidden="1" x14ac:dyDescent="0.25">
      <c r="A3237" s="114" t="s">
        <v>6734</v>
      </c>
      <c r="B3237" s="115" t="s">
        <v>6732</v>
      </c>
      <c r="C3237" s="116" t="s">
        <v>69</v>
      </c>
      <c r="D3237" s="116">
        <v>0</v>
      </c>
      <c r="E3237" s="136">
        <f ca="1">OFFSET(INDEX(Composições!A:J,MATCH(Orçamentária!A3237,Composições!A:A,0),8),2,0)</f>
        <v>23.778500000000001</v>
      </c>
      <c r="F3237" s="137">
        <f t="shared" ca="1" si="242"/>
        <v>0</v>
      </c>
      <c r="G3237" s="138" t="e">
        <f>IF(A3237&lt;&gt;"",IF(AND(#REF!="Padrão",$H$4=#REF!),BDI!$B$17,IF(AND(#REF!="Padrão",$H$4=#REF!),BDI!#REF!,IF(AND(#REF!="Diferenciado",$H$4=#REF!),BDI!$E$17,IF(AND(#REF!="Diferenciado",$H$4=#REF!),BDI!#REF!,IF(#REF!="ZERO",0))))),"")</f>
        <v>#REF!</v>
      </c>
      <c r="H3237" s="139" t="e">
        <f t="shared" ca="1" si="243"/>
        <v>#REF!</v>
      </c>
      <c r="I3237" s="137" t="e">
        <f t="shared" ca="1" si="244"/>
        <v>#REF!</v>
      </c>
      <c r="J3237" s="117"/>
      <c r="K3237" s="116">
        <v>0</v>
      </c>
      <c r="M3237" s="136" t="e">
        <f ca="1">OFFSET(INDEX([1]Composições!I:R,MATCH([1]Orçamentária!I3237,[1]Composições!I:I,0),8),2,0)</f>
        <v>#REF!</v>
      </c>
      <c r="N3237" t="e">
        <v>#REF!</v>
      </c>
      <c r="Q3237" t="e">
        <v>#REF!</v>
      </c>
    </row>
    <row r="3238" spans="1:19" hidden="1" x14ac:dyDescent="0.25">
      <c r="A3238" s="114" t="s">
        <v>6735</v>
      </c>
      <c r="B3238" s="115" t="s">
        <v>7277</v>
      </c>
      <c r="C3238" s="116" t="s">
        <v>69</v>
      </c>
      <c r="D3238" s="116">
        <v>0</v>
      </c>
      <c r="E3238" s="136" t="s">
        <v>416</v>
      </c>
      <c r="F3238" s="137" t="str">
        <f>IF(ISNUMBER(E3238),D3238*E3238,"")</f>
        <v/>
      </c>
      <c r="G3238" s="138" t="e">
        <f>IF(A3238&lt;&gt;"",IF(AND(#REF!="Padrão",$H$4=#REF!),BDI!$B$17,IF(AND(#REF!="Padrão",$H$4=#REF!),BDI!#REF!,IF(AND(#REF!="Diferenciado",$H$4=#REF!),BDI!$E$17,IF(AND(#REF!="Diferenciado",$H$4=#REF!),BDI!#REF!,IF(#REF!="ZERO",0))))),"")</f>
        <v>#REF!</v>
      </c>
      <c r="H3238" s="139" t="str">
        <f>IF(ISNUMBER(E3238),ROUND(E3238*(1+G3238),2),"")</f>
        <v/>
      </c>
      <c r="I3238" s="137" t="str">
        <f>IF(ISNUMBER(E3238),ROUND(H3238*D3238,2),"")</f>
        <v/>
      </c>
      <c r="J3238" s="117"/>
      <c r="K3238" s="116">
        <v>0</v>
      </c>
      <c r="M3238" s="136" t="s">
        <v>416</v>
      </c>
      <c r="N3238" t="e">
        <v>#REF!</v>
      </c>
      <c r="Q3238" t="s">
        <v>416</v>
      </c>
    </row>
    <row r="3239" spans="1:19" hidden="1" x14ac:dyDescent="0.25">
      <c r="A3239" s="114" t="s">
        <v>6736</v>
      </c>
      <c r="B3239" s="115" t="s">
        <v>6821</v>
      </c>
      <c r="C3239" s="116" t="s">
        <v>70</v>
      </c>
      <c r="D3239" s="116">
        <v>0</v>
      </c>
      <c r="E3239" s="136" t="s">
        <v>416</v>
      </c>
      <c r="F3239" s="137" t="str">
        <f t="shared" ref="F3239:F3246" si="245">IF(ISNUMBER(E3239),D3239*E3239,"")</f>
        <v/>
      </c>
      <c r="G3239" s="138" t="e">
        <f>IF(A3239&lt;&gt;"",IF(AND(#REF!="Padrão",$H$4=#REF!),BDI!$B$17,IF(AND(#REF!="Padrão",$H$4=#REF!),BDI!#REF!,IF(AND(#REF!="Diferenciado",$H$4=#REF!),BDI!$E$17,IF(AND(#REF!="Diferenciado",$H$4=#REF!),BDI!#REF!,IF(#REF!="ZERO",0))))),"")</f>
        <v>#REF!</v>
      </c>
      <c r="H3239" s="139" t="str">
        <f t="shared" ref="H3239:H3246" si="246">IF(ISNUMBER(E3239),ROUND(E3239*(1+G3239),2),"")</f>
        <v/>
      </c>
      <c r="I3239" s="137" t="str">
        <f t="shared" ref="I3239:I3246" si="247">IF(ISNUMBER(E3239),ROUND(H3239*D3239,2),"")</f>
        <v/>
      </c>
      <c r="J3239" s="117"/>
      <c r="K3239" s="116">
        <v>0</v>
      </c>
      <c r="M3239" s="136" t="s">
        <v>416</v>
      </c>
      <c r="N3239" t="e">
        <v>#REF!</v>
      </c>
      <c r="Q3239" t="s">
        <v>416</v>
      </c>
    </row>
    <row r="3240" spans="1:19" hidden="1" x14ac:dyDescent="0.25">
      <c r="A3240" s="114" t="s">
        <v>6737</v>
      </c>
      <c r="B3240" s="115" t="s">
        <v>6822</v>
      </c>
      <c r="C3240" s="116" t="s">
        <v>70</v>
      </c>
      <c r="D3240" s="116">
        <v>0</v>
      </c>
      <c r="E3240" s="136">
        <f ca="1">OFFSET(INDEX(Composições!A:J,MATCH(Orçamentária!A3240,Composições!A:A,0),8),2,0)</f>
        <v>286.49976499999997</v>
      </c>
      <c r="F3240" s="137">
        <f t="shared" ca="1" si="245"/>
        <v>0</v>
      </c>
      <c r="G3240" s="138" t="e">
        <f>IF(A3240&lt;&gt;"",IF(AND(#REF!="Padrão",$H$4=#REF!),BDI!$B$17,IF(AND(#REF!="Padrão",$H$4=#REF!),BDI!#REF!,IF(AND(#REF!="Diferenciado",$H$4=#REF!),BDI!$E$17,IF(AND(#REF!="Diferenciado",$H$4=#REF!),BDI!#REF!,IF(#REF!="ZERO",0))))),"")</f>
        <v>#REF!</v>
      </c>
      <c r="H3240" s="139" t="e">
        <f t="shared" ca="1" si="246"/>
        <v>#REF!</v>
      </c>
      <c r="I3240" s="137" t="e">
        <f t="shared" ca="1" si="247"/>
        <v>#REF!</v>
      </c>
      <c r="J3240" s="117"/>
      <c r="K3240" s="116">
        <v>0</v>
      </c>
      <c r="M3240" s="136" t="e">
        <f ca="1">OFFSET(INDEX([1]Composições!I:R,MATCH([1]Orçamentária!I3240,[1]Composições!I:I,0),8),2,0)</f>
        <v>#REF!</v>
      </c>
      <c r="N3240" t="e">
        <v>#REF!</v>
      </c>
      <c r="Q3240" t="e">
        <v>#REF!</v>
      </c>
    </row>
    <row r="3241" spans="1:19" hidden="1" x14ac:dyDescent="0.25">
      <c r="A3241" s="114" t="s">
        <v>6738</v>
      </c>
      <c r="B3241" s="115" t="s">
        <v>6823</v>
      </c>
      <c r="C3241" s="116" t="s">
        <v>16</v>
      </c>
      <c r="D3241" s="116">
        <v>0</v>
      </c>
      <c r="E3241" s="136" t="s">
        <v>416</v>
      </c>
      <c r="F3241" s="137" t="str">
        <f t="shared" si="245"/>
        <v/>
      </c>
      <c r="G3241" s="138" t="e">
        <f>IF(A3241&lt;&gt;"",IF(AND(#REF!="Padrão",$H$4=#REF!),BDI!$B$17,IF(AND(#REF!="Padrão",$H$4=#REF!),BDI!#REF!,IF(AND(#REF!="Diferenciado",$H$4=#REF!),BDI!$E$17,IF(AND(#REF!="Diferenciado",$H$4=#REF!),BDI!#REF!,IF(#REF!="ZERO",0))))),"")</f>
        <v>#REF!</v>
      </c>
      <c r="H3241" s="139" t="str">
        <f t="shared" si="246"/>
        <v/>
      </c>
      <c r="I3241" s="137" t="str">
        <f t="shared" si="247"/>
        <v/>
      </c>
      <c r="J3241" s="117"/>
      <c r="K3241" s="116">
        <v>0</v>
      </c>
      <c r="M3241" s="136" t="s">
        <v>416</v>
      </c>
      <c r="N3241" t="e">
        <v>#REF!</v>
      </c>
      <c r="Q3241" t="s">
        <v>416</v>
      </c>
    </row>
    <row r="3242" spans="1:19" ht="25.5" hidden="1" x14ac:dyDescent="0.25">
      <c r="A3242" s="114" t="s">
        <v>6739</v>
      </c>
      <c r="B3242" s="115" t="s">
        <v>6824</v>
      </c>
      <c r="C3242" s="116" t="s">
        <v>16</v>
      </c>
      <c r="D3242" s="116">
        <v>0</v>
      </c>
      <c r="E3242" s="136" t="s">
        <v>416</v>
      </c>
      <c r="F3242" s="137" t="str">
        <f t="shared" si="245"/>
        <v/>
      </c>
      <c r="G3242" s="138" t="e">
        <f>IF(A3242&lt;&gt;"",IF(AND(#REF!="Padrão",$H$4=#REF!),BDI!$B$17,IF(AND(#REF!="Padrão",$H$4=#REF!),BDI!#REF!,IF(AND(#REF!="Diferenciado",$H$4=#REF!),BDI!$E$17,IF(AND(#REF!="Diferenciado",$H$4=#REF!),BDI!#REF!,IF(#REF!="ZERO",0))))),"")</f>
        <v>#REF!</v>
      </c>
      <c r="H3242" s="139" t="str">
        <f t="shared" si="246"/>
        <v/>
      </c>
      <c r="I3242" s="137" t="str">
        <f t="shared" si="247"/>
        <v/>
      </c>
      <c r="J3242" s="117"/>
      <c r="K3242" s="116">
        <v>0</v>
      </c>
      <c r="M3242" s="136" t="s">
        <v>416</v>
      </c>
      <c r="N3242" t="e">
        <v>#REF!</v>
      </c>
      <c r="Q3242" t="s">
        <v>416</v>
      </c>
    </row>
    <row r="3243" spans="1:19" x14ac:dyDescent="0.25">
      <c r="A3243" s="172" t="s">
        <v>6740</v>
      </c>
      <c r="B3243" s="173" t="s">
        <v>6825</v>
      </c>
      <c r="C3243" s="174" t="s">
        <v>69</v>
      </c>
      <c r="D3243" s="174">
        <v>110</v>
      </c>
      <c r="E3243" s="136">
        <f ca="1">OFFSET(INDEX(Composições!A:J,MATCH(Orçamentária!A3243,Composições!A:A,0),8),2,0)</f>
        <v>20.292609899999999</v>
      </c>
      <c r="F3243" s="137">
        <f t="shared" ca="1" si="245"/>
        <v>2232.187089</v>
      </c>
      <c r="G3243" s="138">
        <f>BDI!$B$17</f>
        <v>0.191</v>
      </c>
      <c r="H3243" s="139">
        <f t="shared" ca="1" si="246"/>
        <v>24.17</v>
      </c>
      <c r="I3243" s="137">
        <f t="shared" ca="1" si="247"/>
        <v>2658.7</v>
      </c>
      <c r="J3243" s="117"/>
      <c r="K3243" s="253">
        <v>110</v>
      </c>
      <c r="L3243" s="236" t="str">
        <f>IF(D3243&lt;&gt;K3243,"ERRO","-")</f>
        <v>-</v>
      </c>
      <c r="M3243" s="136">
        <f ca="1">OFFSET(INDEX(Composições!A:S,MATCH(A3243,Composições!A:A,0),15),2,0)</f>
        <v>17.370474074400001</v>
      </c>
      <c r="N3243" s="237">
        <v>0.191</v>
      </c>
      <c r="O3243" s="236">
        <f ca="1">ROUND(M3243*(1+N3243),2)</f>
        <v>20.69</v>
      </c>
      <c r="P3243" s="238">
        <f ca="1">ROUND(K3243*O3243,2)</f>
        <v>2275.9</v>
      </c>
      <c r="Q3243" s="236">
        <v>2275.9</v>
      </c>
      <c r="R3243" s="236">
        <f ca="1">P3243-Q3243</f>
        <v>0</v>
      </c>
      <c r="S3243" s="239">
        <f ca="1">IF(ISNUMBER(O3243),1-P3243/$I3243,"")</f>
        <v>0.14398014067025233</v>
      </c>
    </row>
    <row r="3244" spans="1:19" ht="25.5" hidden="1" x14ac:dyDescent="0.25">
      <c r="A3244" s="114" t="s">
        <v>6741</v>
      </c>
      <c r="B3244" s="115" t="s">
        <v>6826</v>
      </c>
      <c r="C3244" s="116" t="s">
        <v>4170</v>
      </c>
      <c r="D3244" s="116">
        <v>0</v>
      </c>
      <c r="E3244" s="136" t="s">
        <v>416</v>
      </c>
      <c r="F3244" s="137" t="str">
        <f t="shared" si="245"/>
        <v/>
      </c>
      <c r="G3244" s="138" t="e">
        <f>IF(A3244&lt;&gt;"",IF(AND(#REF!="Padrão",$H$4=#REF!),BDI!$B$17,IF(AND(#REF!="Padrão",$H$4=#REF!),BDI!#REF!,IF(AND(#REF!="Diferenciado",$H$4=#REF!),BDI!$E$17,IF(AND(#REF!="Diferenciado",$H$4=#REF!),BDI!#REF!,IF(#REF!="ZERO",0))))),"")</f>
        <v>#REF!</v>
      </c>
      <c r="H3244" s="139" t="str">
        <f t="shared" si="246"/>
        <v/>
      </c>
      <c r="I3244" s="137" t="str">
        <f t="shared" si="247"/>
        <v/>
      </c>
      <c r="J3244" s="117"/>
      <c r="K3244" s="116">
        <v>0</v>
      </c>
      <c r="M3244" s="136" t="s">
        <v>416</v>
      </c>
      <c r="N3244" t="e">
        <v>#REF!</v>
      </c>
      <c r="Q3244" t="s">
        <v>416</v>
      </c>
    </row>
    <row r="3245" spans="1:19" hidden="1" x14ac:dyDescent="0.25">
      <c r="A3245" s="114" t="s">
        <v>6742</v>
      </c>
      <c r="B3245" s="115" t="s">
        <v>6827</v>
      </c>
      <c r="C3245" s="116" t="s">
        <v>16</v>
      </c>
      <c r="D3245" s="116">
        <v>0</v>
      </c>
      <c r="E3245" s="136" t="s">
        <v>416</v>
      </c>
      <c r="F3245" s="137" t="str">
        <f t="shared" si="245"/>
        <v/>
      </c>
      <c r="G3245" s="138" t="e">
        <f>IF(A3245&lt;&gt;"",IF(AND(#REF!="Padrão",$H$4=#REF!),BDI!$B$17,IF(AND(#REF!="Padrão",$H$4=#REF!),BDI!#REF!,IF(AND(#REF!="Diferenciado",$H$4=#REF!),BDI!$E$17,IF(AND(#REF!="Diferenciado",$H$4=#REF!),BDI!#REF!,IF(#REF!="ZERO",0))))),"")</f>
        <v>#REF!</v>
      </c>
      <c r="H3245" s="139" t="str">
        <f t="shared" si="246"/>
        <v/>
      </c>
      <c r="I3245" s="137" t="str">
        <f t="shared" si="247"/>
        <v/>
      </c>
      <c r="J3245" s="117"/>
      <c r="K3245" s="116">
        <v>0</v>
      </c>
      <c r="M3245" s="136" t="s">
        <v>416</v>
      </c>
      <c r="N3245" t="e">
        <v>#REF!</v>
      </c>
      <c r="Q3245" t="s">
        <v>416</v>
      </c>
    </row>
    <row r="3246" spans="1:19" ht="25.5" hidden="1" x14ac:dyDescent="0.25">
      <c r="A3246" s="114" t="s">
        <v>6743</v>
      </c>
      <c r="B3246" s="115" t="s">
        <v>6828</v>
      </c>
      <c r="C3246" s="116" t="s">
        <v>16</v>
      </c>
      <c r="D3246" s="116">
        <v>0</v>
      </c>
      <c r="E3246" s="136" t="s">
        <v>416</v>
      </c>
      <c r="F3246" s="137" t="str">
        <f t="shared" si="245"/>
        <v/>
      </c>
      <c r="G3246" s="138" t="e">
        <f>IF(A3246&lt;&gt;"",IF(AND(#REF!="Padrão",$H$4=#REF!),BDI!$B$17,IF(AND(#REF!="Padrão",$H$4=#REF!),BDI!#REF!,IF(AND(#REF!="Diferenciado",$H$4=#REF!),BDI!$E$17,IF(AND(#REF!="Diferenciado",$H$4=#REF!),BDI!#REF!,IF(#REF!="ZERO",0))))),"")</f>
        <v>#REF!</v>
      </c>
      <c r="H3246" s="139" t="str">
        <f t="shared" si="246"/>
        <v/>
      </c>
      <c r="I3246" s="137" t="str">
        <f t="shared" si="247"/>
        <v/>
      </c>
      <c r="J3246" s="117"/>
      <c r="K3246" s="116">
        <v>0</v>
      </c>
      <c r="M3246" s="136" t="s">
        <v>416</v>
      </c>
      <c r="N3246" t="e">
        <v>#REF!</v>
      </c>
      <c r="Q3246" t="s">
        <v>416</v>
      </c>
    </row>
    <row r="3247" spans="1:19" hidden="1" x14ac:dyDescent="0.25">
      <c r="A3247" s="114" t="s">
        <v>6744</v>
      </c>
      <c r="B3247" s="115" t="s">
        <v>7273</v>
      </c>
      <c r="C3247" s="116" t="s">
        <v>16</v>
      </c>
      <c r="D3247" s="116">
        <v>0</v>
      </c>
      <c r="E3247" s="136">
        <f ca="1">OFFSET(INDEX(Composições!A:J,MATCH(Orçamentária!A3247,Composições!A:A,0),8),2,0)</f>
        <v>1844.5500674999998</v>
      </c>
      <c r="F3247" s="137">
        <f t="shared" ref="F3247:F3260" ca="1" si="248">IF(ISNUMBER(E3247),D3247*E3247,"")</f>
        <v>0</v>
      </c>
      <c r="G3247" s="138" t="e">
        <f>IF(A3247&lt;&gt;"",IF(AND(#REF!="Padrão",$H$4=#REF!),BDI!$B$17,IF(AND(#REF!="Padrão",$H$4=#REF!),BDI!#REF!,IF(AND(#REF!="Diferenciado",$H$4=#REF!),BDI!$E$17,IF(AND(#REF!="Diferenciado",$H$4=#REF!),BDI!#REF!,IF(#REF!="ZERO",0))))),"")</f>
        <v>#REF!</v>
      </c>
      <c r="H3247" s="139" t="e">
        <f t="shared" ref="H3247:H3260" ca="1" si="249">IF(ISNUMBER(E3247),ROUND(E3247*(1+G3247),2),"")</f>
        <v>#REF!</v>
      </c>
      <c r="I3247" s="137" t="e">
        <f t="shared" ref="I3247:I3260" ca="1" si="250">IF(ISNUMBER(E3247),ROUND(H3247*D3247,2),"")</f>
        <v>#REF!</v>
      </c>
      <c r="J3247" s="117"/>
      <c r="K3247" s="116">
        <v>0</v>
      </c>
      <c r="M3247" s="136" t="e">
        <f ca="1">OFFSET(INDEX([1]Composições!I:R,MATCH([1]Orçamentária!I3247,[1]Composições!I:I,0),8),2,0)</f>
        <v>#REF!</v>
      </c>
      <c r="N3247" t="e">
        <v>#REF!</v>
      </c>
      <c r="Q3247" t="e">
        <v>#REF!</v>
      </c>
    </row>
    <row r="3248" spans="1:19" hidden="1" x14ac:dyDescent="0.25">
      <c r="A3248" s="114" t="s">
        <v>6745</v>
      </c>
      <c r="B3248" s="115" t="s">
        <v>7272</v>
      </c>
      <c r="C3248" s="116" t="s">
        <v>16</v>
      </c>
      <c r="D3248" s="116">
        <v>0</v>
      </c>
      <c r="E3248" s="136">
        <f ca="1">OFFSET(INDEX(Composições!A:J,MATCH(Orçamentária!A3248,Composições!A:A,0),8),2,0)</f>
        <v>1568.8636394999999</v>
      </c>
      <c r="F3248" s="137">
        <f t="shared" ca="1" si="248"/>
        <v>0</v>
      </c>
      <c r="G3248" s="138" t="e">
        <f>IF(A3248&lt;&gt;"",IF(AND(#REF!="Padrão",$H$4=#REF!),BDI!$B$17,IF(AND(#REF!="Padrão",$H$4=#REF!),BDI!#REF!,IF(AND(#REF!="Diferenciado",$H$4=#REF!),BDI!$E$17,IF(AND(#REF!="Diferenciado",$H$4=#REF!),BDI!#REF!,IF(#REF!="ZERO",0))))),"")</f>
        <v>#REF!</v>
      </c>
      <c r="H3248" s="139" t="e">
        <f t="shared" ca="1" si="249"/>
        <v>#REF!</v>
      </c>
      <c r="I3248" s="137" t="e">
        <f t="shared" ca="1" si="250"/>
        <v>#REF!</v>
      </c>
      <c r="J3248" s="117"/>
      <c r="K3248" s="116">
        <v>0</v>
      </c>
      <c r="M3248" s="136" t="e">
        <f ca="1">OFFSET(INDEX([1]Composições!I:R,MATCH([1]Orçamentária!I3248,[1]Composições!I:I,0),8),2,0)</f>
        <v>#REF!</v>
      </c>
      <c r="N3248" t="e">
        <v>#REF!</v>
      </c>
      <c r="Q3248" t="e">
        <v>#REF!</v>
      </c>
    </row>
    <row r="3249" spans="1:19" hidden="1" x14ac:dyDescent="0.25">
      <c r="A3249" s="114" t="s">
        <v>6746</v>
      </c>
      <c r="B3249" s="115" t="s">
        <v>6928</v>
      </c>
      <c r="C3249" s="116" t="s">
        <v>16</v>
      </c>
      <c r="D3249" s="116">
        <v>0</v>
      </c>
      <c r="E3249" s="136">
        <f ca="1">OFFSET(INDEX(Composições!A:J,MATCH(Orçamentária!A3249,Composições!A:A,0),8),2,0)</f>
        <v>12.354749999999999</v>
      </c>
      <c r="F3249" s="137">
        <f t="shared" ca="1" si="248"/>
        <v>0</v>
      </c>
      <c r="G3249" s="138" t="e">
        <f>IF(A3249&lt;&gt;"",IF(AND(#REF!="Padrão",$H$4=#REF!),BDI!$B$17,IF(AND(#REF!="Padrão",$H$4=#REF!),BDI!#REF!,IF(AND(#REF!="Diferenciado",$H$4=#REF!),BDI!$E$17,IF(AND(#REF!="Diferenciado",$H$4=#REF!),BDI!#REF!,IF(#REF!="ZERO",0))))),"")</f>
        <v>#REF!</v>
      </c>
      <c r="H3249" s="139" t="e">
        <f t="shared" ca="1" si="249"/>
        <v>#REF!</v>
      </c>
      <c r="I3249" s="137" t="e">
        <f t="shared" ca="1" si="250"/>
        <v>#REF!</v>
      </c>
      <c r="J3249" s="117"/>
      <c r="K3249" s="116">
        <v>0</v>
      </c>
      <c r="M3249" s="136" t="e">
        <f ca="1">OFFSET(INDEX([1]Composições!I:R,MATCH([1]Orçamentária!I3249,[1]Composições!I:I,0),8),2,0)</f>
        <v>#REF!</v>
      </c>
      <c r="N3249" t="e">
        <v>#REF!</v>
      </c>
      <c r="Q3249" t="e">
        <v>#REF!</v>
      </c>
    </row>
    <row r="3250" spans="1:19" hidden="1" x14ac:dyDescent="0.25">
      <c r="A3250" s="114" t="s">
        <v>6747</v>
      </c>
      <c r="B3250" s="115" t="s">
        <v>6929</v>
      </c>
      <c r="C3250" s="116" t="s">
        <v>16</v>
      </c>
      <c r="D3250" s="116">
        <v>0</v>
      </c>
      <c r="E3250" s="136">
        <f ca="1">OFFSET(INDEX(Composições!A:J,MATCH(Orçamentária!A3250,Composições!A:A,0),8),2,0)</f>
        <v>247.09500000000003</v>
      </c>
      <c r="F3250" s="137">
        <f t="shared" ca="1" si="248"/>
        <v>0</v>
      </c>
      <c r="G3250" s="138" t="e">
        <f>IF(A3250&lt;&gt;"",IF(AND(#REF!="Padrão",$H$4=#REF!),BDI!$B$17,IF(AND(#REF!="Padrão",$H$4=#REF!),BDI!#REF!,IF(AND(#REF!="Diferenciado",$H$4=#REF!),BDI!$E$17,IF(AND(#REF!="Diferenciado",$H$4=#REF!),BDI!#REF!,IF(#REF!="ZERO",0))))),"")</f>
        <v>#REF!</v>
      </c>
      <c r="H3250" s="139" t="e">
        <f t="shared" ca="1" si="249"/>
        <v>#REF!</v>
      </c>
      <c r="I3250" s="137" t="e">
        <f t="shared" ca="1" si="250"/>
        <v>#REF!</v>
      </c>
      <c r="J3250" s="117"/>
      <c r="K3250" s="116">
        <v>0</v>
      </c>
      <c r="M3250" s="136" t="e">
        <f ca="1">OFFSET(INDEX([1]Composições!I:R,MATCH([1]Orçamentária!I3250,[1]Composições!I:I,0),8),2,0)</f>
        <v>#REF!</v>
      </c>
      <c r="N3250" t="e">
        <v>#REF!</v>
      </c>
      <c r="Q3250" t="e">
        <v>#REF!</v>
      </c>
    </row>
    <row r="3251" spans="1:19" hidden="1" x14ac:dyDescent="0.25">
      <c r="A3251" s="114" t="s">
        <v>6748</v>
      </c>
      <c r="B3251" s="115" t="s">
        <v>6930</v>
      </c>
      <c r="C3251" s="116" t="s">
        <v>16</v>
      </c>
      <c r="D3251" s="116">
        <v>0</v>
      </c>
      <c r="E3251" s="136">
        <f ca="1">OFFSET(INDEX(Composições!A:J,MATCH(Orçamentária!A3251,Composições!A:A,0),8),2,0)</f>
        <v>39.535200000000003</v>
      </c>
      <c r="F3251" s="137">
        <f t="shared" ca="1" si="248"/>
        <v>0</v>
      </c>
      <c r="G3251" s="138" t="e">
        <f>IF(A3251&lt;&gt;"",IF(AND(#REF!="Padrão",$H$4=#REF!),BDI!$B$17,IF(AND(#REF!="Padrão",$H$4=#REF!),BDI!#REF!,IF(AND(#REF!="Diferenciado",$H$4=#REF!),BDI!$E$17,IF(AND(#REF!="Diferenciado",$H$4=#REF!),BDI!#REF!,IF(#REF!="ZERO",0))))),"")</f>
        <v>#REF!</v>
      </c>
      <c r="H3251" s="139" t="e">
        <f t="shared" ca="1" si="249"/>
        <v>#REF!</v>
      </c>
      <c r="I3251" s="137" t="e">
        <f t="shared" ca="1" si="250"/>
        <v>#REF!</v>
      </c>
      <c r="J3251" s="117"/>
      <c r="K3251" s="116">
        <v>0</v>
      </c>
      <c r="M3251" s="136" t="e">
        <f ca="1">OFFSET(INDEX([1]Composições!I:R,MATCH([1]Orçamentária!I3251,[1]Composições!I:I,0),8),2,0)</f>
        <v>#REF!</v>
      </c>
      <c r="N3251" t="e">
        <v>#REF!</v>
      </c>
      <c r="Q3251" t="e">
        <v>#REF!</v>
      </c>
    </row>
    <row r="3252" spans="1:19" hidden="1" x14ac:dyDescent="0.25">
      <c r="A3252" s="114" t="s">
        <v>6749</v>
      </c>
      <c r="B3252" s="115" t="s">
        <v>7271</v>
      </c>
      <c r="C3252" s="116" t="s">
        <v>69</v>
      </c>
      <c r="D3252" s="116">
        <v>0</v>
      </c>
      <c r="E3252" s="136">
        <f ca="1">OFFSET(INDEX(Composições!A:J,MATCH(Orçamentária!A3252,Composições!A:A,0),8),2,0)</f>
        <v>3.0399012000000005</v>
      </c>
      <c r="F3252" s="137">
        <f t="shared" ca="1" si="248"/>
        <v>0</v>
      </c>
      <c r="G3252" s="138" t="e">
        <f>IF(A3252&lt;&gt;"",IF(AND(#REF!="Padrão",$H$4=#REF!),BDI!$B$17,IF(AND(#REF!="Padrão",$H$4=#REF!),BDI!#REF!,IF(AND(#REF!="Diferenciado",$H$4=#REF!),BDI!$E$17,IF(AND(#REF!="Diferenciado",$H$4=#REF!),BDI!#REF!,IF(#REF!="ZERO",0))))),"")</f>
        <v>#REF!</v>
      </c>
      <c r="H3252" s="139" t="e">
        <f t="shared" ca="1" si="249"/>
        <v>#REF!</v>
      </c>
      <c r="I3252" s="137" t="e">
        <f t="shared" ca="1" si="250"/>
        <v>#REF!</v>
      </c>
      <c r="J3252" s="117"/>
      <c r="K3252" s="116">
        <v>0</v>
      </c>
      <c r="M3252" s="136" t="e">
        <f ca="1">OFFSET(INDEX([1]Composições!I:R,MATCH([1]Orçamentária!I3252,[1]Composições!I:I,0),8),2,0)</f>
        <v>#REF!</v>
      </c>
      <c r="N3252" t="e">
        <v>#REF!</v>
      </c>
      <c r="Q3252" t="e">
        <v>#REF!</v>
      </c>
    </row>
    <row r="3253" spans="1:19" hidden="1" x14ac:dyDescent="0.25">
      <c r="A3253" s="114" t="s">
        <v>6750</v>
      </c>
      <c r="B3253" s="115" t="s">
        <v>6932</v>
      </c>
      <c r="C3253" s="116" t="s">
        <v>16</v>
      </c>
      <c r="D3253" s="116">
        <v>0</v>
      </c>
      <c r="E3253" s="136">
        <f ca="1">OFFSET(INDEX(Composições!A:J,MATCH(Orçamentária!A3253,Composições!A:A,0),8),2,0)</f>
        <v>47.417608440249602</v>
      </c>
      <c r="F3253" s="137">
        <f t="shared" ca="1" si="248"/>
        <v>0</v>
      </c>
      <c r="G3253" s="138" t="e">
        <f>IF(A3253&lt;&gt;"",IF(AND(#REF!="Padrão",$H$4=#REF!),BDI!$B$17,IF(AND(#REF!="Padrão",$H$4=#REF!),BDI!#REF!,IF(AND(#REF!="Diferenciado",$H$4=#REF!),BDI!$E$17,IF(AND(#REF!="Diferenciado",$H$4=#REF!),BDI!#REF!,IF(#REF!="ZERO",0))))),"")</f>
        <v>#REF!</v>
      </c>
      <c r="H3253" s="139" t="e">
        <f t="shared" ca="1" si="249"/>
        <v>#REF!</v>
      </c>
      <c r="I3253" s="137" t="e">
        <f t="shared" ca="1" si="250"/>
        <v>#REF!</v>
      </c>
      <c r="J3253" s="117"/>
      <c r="K3253" s="116">
        <v>0</v>
      </c>
      <c r="M3253" s="136" t="e">
        <f ca="1">OFFSET(INDEX([1]Composições!I:R,MATCH([1]Orçamentária!I3253,[1]Composições!I:I,0),8),2,0)</f>
        <v>#REF!</v>
      </c>
      <c r="N3253" t="e">
        <v>#REF!</v>
      </c>
      <c r="Q3253" t="e">
        <v>#REF!</v>
      </c>
    </row>
    <row r="3254" spans="1:19" hidden="1" x14ac:dyDescent="0.25">
      <c r="A3254" s="114" t="s">
        <v>6751</v>
      </c>
      <c r="B3254" s="115" t="s">
        <v>7270</v>
      </c>
      <c r="C3254" s="116" t="s">
        <v>16</v>
      </c>
      <c r="D3254" s="116">
        <v>0</v>
      </c>
      <c r="E3254" s="136">
        <f ca="1">OFFSET(INDEX(Composições!A:J,MATCH(Orçamentária!A3254,Composições!A:A,0),8),2,0)</f>
        <v>852.66679809999994</v>
      </c>
      <c r="F3254" s="137">
        <f t="shared" ca="1" si="248"/>
        <v>0</v>
      </c>
      <c r="G3254" s="138" t="e">
        <f>IF(A3254&lt;&gt;"",IF(AND(#REF!="Padrão",$H$4=#REF!),BDI!$B$17,IF(AND(#REF!="Padrão",$H$4=#REF!),BDI!#REF!,IF(AND(#REF!="Diferenciado",$H$4=#REF!),BDI!$E$17,IF(AND(#REF!="Diferenciado",$H$4=#REF!),BDI!#REF!,IF(#REF!="ZERO",0))))),"")</f>
        <v>#REF!</v>
      </c>
      <c r="H3254" s="139" t="e">
        <f t="shared" ca="1" si="249"/>
        <v>#REF!</v>
      </c>
      <c r="I3254" s="137" t="e">
        <f t="shared" ca="1" si="250"/>
        <v>#REF!</v>
      </c>
      <c r="J3254" s="117"/>
      <c r="K3254" s="116">
        <v>0</v>
      </c>
      <c r="M3254" s="136" t="e">
        <f ca="1">OFFSET(INDEX([1]Composições!I:R,MATCH([1]Orçamentária!I3254,[1]Composições!I:I,0),8),2,0)</f>
        <v>#REF!</v>
      </c>
      <c r="N3254" t="e">
        <v>#REF!</v>
      </c>
      <c r="Q3254" t="e">
        <v>#REF!</v>
      </c>
    </row>
    <row r="3255" spans="1:19" hidden="1" x14ac:dyDescent="0.25">
      <c r="A3255" s="114" t="s">
        <v>6752</v>
      </c>
      <c r="B3255" s="115" t="s">
        <v>6933</v>
      </c>
      <c r="C3255" s="116" t="s">
        <v>69</v>
      </c>
      <c r="D3255" s="116">
        <v>0</v>
      </c>
      <c r="E3255" s="136">
        <f ca="1">OFFSET(INDEX(Composições!A:J,MATCH(Orçamentária!A3255,Composições!A:A,0),8),2,0)</f>
        <v>7.5218567999999992</v>
      </c>
      <c r="F3255" s="137">
        <f t="shared" ca="1" si="248"/>
        <v>0</v>
      </c>
      <c r="G3255" s="138" t="e">
        <f>IF(A3255&lt;&gt;"",IF(AND(#REF!="Padrão",$H$4=#REF!),BDI!$B$17,IF(AND(#REF!="Padrão",$H$4=#REF!),BDI!#REF!,IF(AND(#REF!="Diferenciado",$H$4=#REF!),BDI!$E$17,IF(AND(#REF!="Diferenciado",$H$4=#REF!),BDI!#REF!,IF(#REF!="ZERO",0))))),"")</f>
        <v>#REF!</v>
      </c>
      <c r="H3255" s="139" t="e">
        <f t="shared" ca="1" si="249"/>
        <v>#REF!</v>
      </c>
      <c r="I3255" s="137" t="e">
        <f t="shared" ca="1" si="250"/>
        <v>#REF!</v>
      </c>
      <c r="J3255" s="117"/>
      <c r="K3255" s="116">
        <v>0</v>
      </c>
      <c r="M3255" s="136" t="e">
        <f ca="1">OFFSET(INDEX([1]Composições!I:R,MATCH([1]Orçamentária!I3255,[1]Composições!I:I,0),8),2,0)</f>
        <v>#REF!</v>
      </c>
      <c r="N3255" t="e">
        <v>#REF!</v>
      </c>
      <c r="Q3255" t="e">
        <v>#REF!</v>
      </c>
    </row>
    <row r="3256" spans="1:19" x14ac:dyDescent="0.25">
      <c r="A3256" s="172" t="s">
        <v>6753</v>
      </c>
      <c r="B3256" s="173" t="s">
        <v>3510</v>
      </c>
      <c r="C3256" s="174" t="s">
        <v>69</v>
      </c>
      <c r="D3256" s="174">
        <v>40</v>
      </c>
      <c r="E3256" s="136">
        <f ca="1">OFFSET(INDEX(Composições!A:J,MATCH(Orçamentária!A3256,Composições!A:A,0),8),2,0)</f>
        <v>19.557846999999999</v>
      </c>
      <c r="F3256" s="137">
        <f t="shared" ca="1" si="248"/>
        <v>782.31387999999993</v>
      </c>
      <c r="G3256" s="138">
        <f>BDI!$B$17</f>
        <v>0.191</v>
      </c>
      <c r="H3256" s="139">
        <f t="shared" ca="1" si="249"/>
        <v>23.29</v>
      </c>
      <c r="I3256" s="137">
        <f t="shared" ca="1" si="250"/>
        <v>931.6</v>
      </c>
      <c r="J3256" s="117"/>
      <c r="K3256" s="253">
        <v>40</v>
      </c>
      <c r="L3256" s="236" t="str">
        <f>IF(D3256&lt;&gt;K3256,"ERRO","-")</f>
        <v>-</v>
      </c>
      <c r="M3256" s="136">
        <f ca="1">OFFSET(INDEX(Composições!A:S,MATCH(A3256,Composições!A:A,0),15),2,0)</f>
        <v>16.741517031999997</v>
      </c>
      <c r="N3256" s="237">
        <v>0.191</v>
      </c>
      <c r="O3256" s="236">
        <f ca="1">ROUND(M3256*(1+N3256),2)</f>
        <v>19.940000000000001</v>
      </c>
      <c r="P3256" s="238">
        <f ca="1">ROUND(K3256*O3256,2)</f>
        <v>797.6</v>
      </c>
      <c r="Q3256" s="236">
        <v>797.6</v>
      </c>
      <c r="R3256" s="236">
        <f ca="1">P3256-Q3256</f>
        <v>0</v>
      </c>
      <c r="S3256" s="239">
        <f ca="1">IF(ISNUMBER(O3256),1-P3256/$I3256,"")</f>
        <v>0.14383855732073847</v>
      </c>
    </row>
    <row r="3257" spans="1:19" hidden="1" x14ac:dyDescent="0.25">
      <c r="A3257" s="114" t="s">
        <v>6754</v>
      </c>
      <c r="B3257" s="115" t="s">
        <v>3553</v>
      </c>
      <c r="C3257" s="116" t="s">
        <v>69</v>
      </c>
      <c r="D3257" s="116">
        <v>0</v>
      </c>
      <c r="E3257" s="136">
        <f ca="1">OFFSET(INDEX(Composições!A:J,MATCH(Orçamentária!A3257,Composições!A:A,0),8),2,0)</f>
        <v>24.709499999999998</v>
      </c>
      <c r="F3257" s="137">
        <f t="shared" ca="1" si="248"/>
        <v>0</v>
      </c>
      <c r="G3257" s="138" t="e">
        <f>IF(A3257&lt;&gt;"",IF(AND(#REF!="Padrão",$H$4=#REF!),BDI!$B$17,IF(AND(#REF!="Padrão",$H$4=#REF!),BDI!#REF!,IF(AND(#REF!="Diferenciado",$H$4=#REF!),BDI!$E$17,IF(AND(#REF!="Diferenciado",$H$4=#REF!),BDI!#REF!,IF(#REF!="ZERO",0))))),"")</f>
        <v>#REF!</v>
      </c>
      <c r="H3257" s="139" t="e">
        <f t="shared" ca="1" si="249"/>
        <v>#REF!</v>
      </c>
      <c r="I3257" s="137" t="e">
        <f t="shared" ca="1" si="250"/>
        <v>#REF!</v>
      </c>
      <c r="J3257" s="117"/>
      <c r="K3257" s="116">
        <v>0</v>
      </c>
      <c r="M3257" s="136" t="e">
        <f ca="1">OFFSET(INDEX([1]Composições!I:R,MATCH([1]Orçamentária!I3257,[1]Composições!I:I,0),8),2,0)</f>
        <v>#REF!</v>
      </c>
      <c r="N3257" t="e">
        <v>#REF!</v>
      </c>
      <c r="Q3257" t="e">
        <v>#REF!</v>
      </c>
    </row>
    <row r="3258" spans="1:19" hidden="1" x14ac:dyDescent="0.25">
      <c r="A3258" s="114" t="s">
        <v>6755</v>
      </c>
      <c r="B3258" s="115" t="s">
        <v>3555</v>
      </c>
      <c r="C3258" s="116" t="s">
        <v>69</v>
      </c>
      <c r="D3258" s="116">
        <v>0</v>
      </c>
      <c r="E3258" s="136">
        <f ca="1">OFFSET(INDEX(Composições!A:J,MATCH(Orçamentária!A3258,Composições!A:A,0),8),2,0)</f>
        <v>37.064250000000001</v>
      </c>
      <c r="F3258" s="137">
        <f ca="1">IF(ISNUMBER(E3258),D3258*E3258,"")</f>
        <v>0</v>
      </c>
      <c r="G3258" s="138" t="e">
        <f>IF(A3258&lt;&gt;"",IF(AND(#REF!="Padrão",$H$4=#REF!),BDI!$B$17,IF(AND(#REF!="Padrão",$H$4=#REF!),BDI!#REF!,IF(AND(#REF!="Diferenciado",$H$4=#REF!),BDI!$E$17,IF(AND(#REF!="Diferenciado",$H$4=#REF!),BDI!#REF!,IF(#REF!="ZERO",0))))),"")</f>
        <v>#REF!</v>
      </c>
      <c r="H3258" s="139" t="e">
        <f t="shared" ca="1" si="249"/>
        <v>#REF!</v>
      </c>
      <c r="I3258" s="137" t="e">
        <f t="shared" ca="1" si="250"/>
        <v>#REF!</v>
      </c>
      <c r="J3258" s="117"/>
      <c r="K3258" s="116">
        <v>0</v>
      </c>
      <c r="M3258" s="136" t="e">
        <f ca="1">OFFSET(INDEX([1]Composições!I:R,MATCH([1]Orçamentária!I3258,[1]Composições!I:I,0),8),2,0)</f>
        <v>#REF!</v>
      </c>
      <c r="N3258" t="e">
        <v>#REF!</v>
      </c>
      <c r="Q3258" t="e">
        <v>#REF!</v>
      </c>
    </row>
    <row r="3259" spans="1:19" hidden="1" x14ac:dyDescent="0.25">
      <c r="A3259" s="114" t="s">
        <v>6756</v>
      </c>
      <c r="B3259" s="115" t="s">
        <v>3556</v>
      </c>
      <c r="C3259" s="116" t="s">
        <v>69</v>
      </c>
      <c r="D3259" s="116">
        <v>0</v>
      </c>
      <c r="E3259" s="136">
        <f ca="1">OFFSET(INDEX(Composições!A:J,MATCH(Orçamentária!A3259,Composições!A:A,0),8),2,0)</f>
        <v>37.064250000000001</v>
      </c>
      <c r="F3259" s="137">
        <f t="shared" ca="1" si="248"/>
        <v>0</v>
      </c>
      <c r="G3259" s="138" t="e">
        <f>IF(A3259&lt;&gt;"",IF(AND(#REF!="Padrão",$H$4=#REF!),BDI!$B$17,IF(AND(#REF!="Padrão",$H$4=#REF!),BDI!#REF!,IF(AND(#REF!="Diferenciado",$H$4=#REF!),BDI!$E$17,IF(AND(#REF!="Diferenciado",$H$4=#REF!),BDI!#REF!,IF(#REF!="ZERO",0))))),"")</f>
        <v>#REF!</v>
      </c>
      <c r="H3259" s="139" t="e">
        <f t="shared" ca="1" si="249"/>
        <v>#REF!</v>
      </c>
      <c r="I3259" s="137" t="e">
        <f t="shared" ca="1" si="250"/>
        <v>#REF!</v>
      </c>
      <c r="J3259" s="117"/>
      <c r="K3259" s="116">
        <v>0</v>
      </c>
      <c r="M3259" s="136" t="e">
        <f ca="1">OFFSET(INDEX([1]Composições!I:R,MATCH([1]Orçamentária!I3259,[1]Composições!I:I,0),8),2,0)</f>
        <v>#REF!</v>
      </c>
      <c r="N3259" t="e">
        <v>#REF!</v>
      </c>
      <c r="Q3259" t="e">
        <v>#REF!</v>
      </c>
    </row>
    <row r="3260" spans="1:19" hidden="1" x14ac:dyDescent="0.25">
      <c r="A3260" s="114" t="s">
        <v>6757</v>
      </c>
      <c r="B3260" s="115" t="s">
        <v>3558</v>
      </c>
      <c r="C3260" s="116" t="s">
        <v>69</v>
      </c>
      <c r="D3260" s="116">
        <v>0</v>
      </c>
      <c r="E3260" s="136">
        <f ca="1">OFFSET(INDEX(Composições!A:J,MATCH(Orçamentária!A3260,Composições!A:A,0),8),2,0)</f>
        <v>49.418999999999997</v>
      </c>
      <c r="F3260" s="137">
        <f t="shared" ca="1" si="248"/>
        <v>0</v>
      </c>
      <c r="G3260" s="138" t="e">
        <f>IF(A3260&lt;&gt;"",IF(AND(#REF!="Padrão",$H$4=#REF!),BDI!$B$17,IF(AND(#REF!="Padrão",$H$4=#REF!),BDI!#REF!,IF(AND(#REF!="Diferenciado",$H$4=#REF!),BDI!$E$17,IF(AND(#REF!="Diferenciado",$H$4=#REF!),BDI!#REF!,IF(#REF!="ZERO",0))))),"")</f>
        <v>#REF!</v>
      </c>
      <c r="H3260" s="139" t="e">
        <f t="shared" ca="1" si="249"/>
        <v>#REF!</v>
      </c>
      <c r="I3260" s="137" t="e">
        <f t="shared" ca="1" si="250"/>
        <v>#REF!</v>
      </c>
      <c r="J3260" s="117"/>
      <c r="K3260" s="116">
        <v>0</v>
      </c>
      <c r="M3260" s="136" t="e">
        <f ca="1">OFFSET(INDEX([1]Composições!I:R,MATCH([1]Orçamentária!I3260,[1]Composições!I:I,0),8),2,0)</f>
        <v>#REF!</v>
      </c>
      <c r="N3260" t="e">
        <v>#REF!</v>
      </c>
      <c r="Q3260" t="e">
        <v>#REF!</v>
      </c>
    </row>
    <row r="3261" spans="1:19" hidden="1" x14ac:dyDescent="0.25">
      <c r="A3261" s="114" t="s">
        <v>6758</v>
      </c>
      <c r="B3261" s="115" t="s">
        <v>6931</v>
      </c>
      <c r="C3261" s="116" t="s">
        <v>16</v>
      </c>
      <c r="D3261" s="116">
        <v>0</v>
      </c>
      <c r="E3261" s="136">
        <f ca="1">OFFSET(INDEX(Composições!A:J,MATCH(Orçamentária!A3261,Composições!A:A,0),8),2,0)</f>
        <v>5604.62</v>
      </c>
      <c r="F3261" s="137">
        <f ca="1">IF(ISNUMBER(E3261),D3261*E3261,"")</f>
        <v>0</v>
      </c>
      <c r="G3261" s="138" t="e">
        <f>IF(A3261&lt;&gt;"",IF(AND(#REF!="Padrão",$H$4=#REF!),BDI!$B$17,IF(AND(#REF!="Padrão",$H$4=#REF!),BDI!#REF!,IF(AND(#REF!="Diferenciado",$H$4=#REF!),BDI!$E$17,IF(AND(#REF!="Diferenciado",$H$4=#REF!),BDI!#REF!,IF(#REF!="ZERO",0))))),"")</f>
        <v>#REF!</v>
      </c>
      <c r="H3261" s="139" t="e">
        <f ca="1">IF(ISNUMBER(E3261),ROUND(E3261*(1+G3261),2),"")</f>
        <v>#REF!</v>
      </c>
      <c r="I3261" s="137" t="e">
        <f ca="1">IF(ISNUMBER(E3261),ROUND(H3261*D3261,2),"")</f>
        <v>#REF!</v>
      </c>
      <c r="J3261" s="117"/>
      <c r="K3261" s="116">
        <v>0</v>
      </c>
      <c r="M3261" s="136" t="e">
        <f ca="1">OFFSET(INDEX([1]Composições!I:R,MATCH([1]Orçamentária!I3261,[1]Composições!I:I,0),8),2,0)</f>
        <v>#REF!</v>
      </c>
      <c r="N3261" t="e">
        <v>#REF!</v>
      </c>
      <c r="Q3261" t="e">
        <v>#REF!</v>
      </c>
    </row>
    <row r="3262" spans="1:19" hidden="1" x14ac:dyDescent="0.25">
      <c r="A3262" s="114" t="s">
        <v>6759</v>
      </c>
      <c r="B3262" s="115" t="s">
        <v>7269</v>
      </c>
      <c r="C3262" s="116" t="s">
        <v>16</v>
      </c>
      <c r="D3262" s="116">
        <v>0</v>
      </c>
      <c r="E3262" s="136">
        <f ca="1">OFFSET(INDEX(Composições!A:J,MATCH(Orçamentária!A3262,Composições!A:A,0),8),2,0)</f>
        <v>744.08179809999979</v>
      </c>
      <c r="F3262" s="137">
        <f ca="1">IF(ISNUMBER(E3262),D3262*E3262,"")</f>
        <v>0</v>
      </c>
      <c r="G3262" s="138" t="e">
        <f>IF(A3262&lt;&gt;"",IF(AND(#REF!="Padrão",$H$4=#REF!),BDI!$B$17,IF(AND(#REF!="Padrão",$H$4=#REF!),BDI!#REF!,IF(AND(#REF!="Diferenciado",$H$4=#REF!),BDI!$E$17,IF(AND(#REF!="Diferenciado",$H$4=#REF!),BDI!#REF!,IF(#REF!="ZERO",0))))),"")</f>
        <v>#REF!</v>
      </c>
      <c r="H3262" s="139" t="e">
        <f ca="1">IF(ISNUMBER(E3262),ROUND(E3262*(1+G3262),2),"")</f>
        <v>#REF!</v>
      </c>
      <c r="I3262" s="137" t="e">
        <f ca="1">IF(ISNUMBER(E3262),ROUND(H3262*D3262,2),"")</f>
        <v>#REF!</v>
      </c>
      <c r="J3262" s="117"/>
      <c r="K3262" s="116">
        <v>0</v>
      </c>
      <c r="M3262" s="136" t="e">
        <f ca="1">OFFSET(INDEX([1]Composições!I:R,MATCH([1]Orçamentária!I3262,[1]Composições!I:I,0),8),2,0)</f>
        <v>#REF!</v>
      </c>
      <c r="N3262" t="e">
        <v>#REF!</v>
      </c>
      <c r="Q3262" t="e">
        <v>#REF!</v>
      </c>
    </row>
    <row r="3263" spans="1:19" hidden="1" x14ac:dyDescent="0.25">
      <c r="A3263" s="114" t="s">
        <v>6760</v>
      </c>
      <c r="B3263" s="115" t="s">
        <v>6947</v>
      </c>
      <c r="C3263" s="116" t="s">
        <v>16</v>
      </c>
      <c r="D3263" s="116">
        <v>0</v>
      </c>
      <c r="E3263" s="136">
        <f ca="1">OFFSET(INDEX(Composições!A:J,MATCH(Orçamentária!A3263,Composições!A:A,0),8),2,0)</f>
        <v>12.354749999999999</v>
      </c>
      <c r="F3263" s="137">
        <f ca="1">IF(ISNUMBER(E3263),D3263*E3263,"")</f>
        <v>0</v>
      </c>
      <c r="G3263" s="138" t="e">
        <f>IF(A3263&lt;&gt;"",IF(AND(#REF!="Padrão",$H$4=#REF!),BDI!$B$17,IF(AND(#REF!="Padrão",$H$4=#REF!),BDI!#REF!,IF(AND(#REF!="Diferenciado",$H$4=#REF!),BDI!$E$17,IF(AND(#REF!="Diferenciado",$H$4=#REF!),BDI!#REF!,IF(#REF!="ZERO",0))))),"")</f>
        <v>#REF!</v>
      </c>
      <c r="H3263" s="139" t="e">
        <f ca="1">IF(ISNUMBER(E3263),ROUND(E3263*(1+G3263),2),"")</f>
        <v>#REF!</v>
      </c>
      <c r="I3263" s="137" t="e">
        <f ca="1">IF(ISNUMBER(E3263),ROUND(H3263*D3263,2),"")</f>
        <v>#REF!</v>
      </c>
      <c r="J3263" s="117"/>
      <c r="K3263" s="116">
        <v>0</v>
      </c>
      <c r="M3263" s="136" t="e">
        <f ca="1">OFFSET(INDEX([1]Composições!I:R,MATCH([1]Orçamentária!I3263,[1]Composições!I:I,0),8),2,0)</f>
        <v>#REF!</v>
      </c>
      <c r="N3263" t="e">
        <v>#REF!</v>
      </c>
      <c r="Q3263" t="e">
        <v>#REF!</v>
      </c>
    </row>
    <row r="3264" spans="1:19" hidden="1" x14ac:dyDescent="0.25">
      <c r="A3264" s="114" t="s">
        <v>6761</v>
      </c>
      <c r="B3264" s="115" t="s">
        <v>3663</v>
      </c>
      <c r="C3264" s="116" t="s">
        <v>16</v>
      </c>
      <c r="D3264" s="116">
        <v>0</v>
      </c>
      <c r="E3264" s="136">
        <f ca="1">OFFSET(INDEX(Composições!A:J,MATCH(Orçamentária!A3264,Composições!A:A,0),8),2,0)</f>
        <v>131.93582519999998</v>
      </c>
      <c r="F3264" s="137">
        <f ca="1">IF(ISNUMBER(E3264),D3264*E3264,"")</f>
        <v>0</v>
      </c>
      <c r="G3264" s="138" t="e">
        <f>IF(A3264&lt;&gt;"",IF(AND(#REF!="Padrão",$H$4=#REF!),BDI!$B$17,IF(AND(#REF!="Padrão",$H$4=#REF!),BDI!#REF!,IF(AND(#REF!="Diferenciado",$H$4=#REF!),BDI!$E$17,IF(AND(#REF!="Diferenciado",$H$4=#REF!),BDI!#REF!,IF(#REF!="ZERO",0))))),"")</f>
        <v>#REF!</v>
      </c>
      <c r="H3264" s="139" t="e">
        <f ca="1">IF(ISNUMBER(E3264),ROUND(E3264*(1+G3264),2),"")</f>
        <v>#REF!</v>
      </c>
      <c r="I3264" s="137" t="e">
        <f ca="1">IF(ISNUMBER(E3264),ROUND(H3264*D3264,2),"")</f>
        <v>#REF!</v>
      </c>
      <c r="J3264" s="117"/>
      <c r="K3264" s="116">
        <v>0</v>
      </c>
      <c r="M3264" s="136" t="e">
        <f ca="1">OFFSET(INDEX([1]Composições!I:R,MATCH([1]Orçamentária!I3264,[1]Composições!I:I,0),8),2,0)</f>
        <v>#REF!</v>
      </c>
      <c r="N3264" t="e">
        <v>#REF!</v>
      </c>
      <c r="Q3264" t="e">
        <v>#REF!</v>
      </c>
    </row>
    <row r="3265" spans="1:17" hidden="1" x14ac:dyDescent="0.25">
      <c r="A3265" s="114" t="s">
        <v>6762</v>
      </c>
      <c r="B3265" s="115" t="s">
        <v>6956</v>
      </c>
      <c r="C3265" s="116" t="s">
        <v>16</v>
      </c>
      <c r="D3265" s="116">
        <v>0</v>
      </c>
      <c r="E3265" s="136">
        <f ca="1">OFFSET(INDEX(Composições!A:J,MATCH(Orçamentária!A3265,Composições!A:A,0),8),2,0)</f>
        <v>47.417608440249602</v>
      </c>
      <c r="F3265" s="137">
        <f t="shared" ref="F3265:F3270" ca="1" si="251">IF(ISNUMBER(E3265),D3265*E3265,"")</f>
        <v>0</v>
      </c>
      <c r="G3265" s="138" t="e">
        <f>IF(A3265&lt;&gt;"",IF(AND(#REF!="Padrão",$H$4=#REF!),BDI!$B$17,IF(AND(#REF!="Padrão",$H$4=#REF!),BDI!#REF!,IF(AND(#REF!="Diferenciado",$H$4=#REF!),BDI!$E$17,IF(AND(#REF!="Diferenciado",$H$4=#REF!),BDI!#REF!,IF(#REF!="ZERO",0))))),"")</f>
        <v>#REF!</v>
      </c>
      <c r="H3265" s="139" t="e">
        <f t="shared" ref="H3265:H3270" ca="1" si="252">IF(ISNUMBER(E3265),ROUND(E3265*(1+G3265),2),"")</f>
        <v>#REF!</v>
      </c>
      <c r="I3265" s="137" t="e">
        <f t="shared" ref="I3265:I3270" ca="1" si="253">IF(ISNUMBER(E3265),ROUND(H3265*D3265,2),"")</f>
        <v>#REF!</v>
      </c>
      <c r="J3265" s="117"/>
      <c r="K3265" s="116">
        <v>0</v>
      </c>
      <c r="M3265" s="136" t="e">
        <f ca="1">OFFSET(INDEX([1]Composições!I:R,MATCH([1]Orçamentária!I3265,[1]Composições!I:I,0),8),2,0)</f>
        <v>#REF!</v>
      </c>
      <c r="N3265" t="e">
        <v>#REF!</v>
      </c>
      <c r="Q3265" t="e">
        <v>#REF!</v>
      </c>
    </row>
    <row r="3266" spans="1:17" hidden="1" x14ac:dyDescent="0.25">
      <c r="A3266" s="114" t="s">
        <v>6763</v>
      </c>
      <c r="B3266" s="115" t="s">
        <v>6957</v>
      </c>
      <c r="C3266" s="116" t="s">
        <v>16</v>
      </c>
      <c r="D3266" s="116">
        <v>0</v>
      </c>
      <c r="E3266" s="136">
        <f ca="1">OFFSET(INDEX(Composições!A:J,MATCH(Orçamentária!A3266,Composições!A:A,0),8),2,0)</f>
        <v>40.041969899999998</v>
      </c>
      <c r="F3266" s="137">
        <f t="shared" ca="1" si="251"/>
        <v>0</v>
      </c>
      <c r="G3266" s="138" t="e">
        <f>IF(A3266&lt;&gt;"",IF(AND(#REF!="Padrão",$H$4=#REF!),BDI!$B$17,IF(AND(#REF!="Padrão",$H$4=#REF!),BDI!#REF!,IF(AND(#REF!="Diferenciado",$H$4=#REF!),BDI!$E$17,IF(AND(#REF!="Diferenciado",$H$4=#REF!),BDI!#REF!,IF(#REF!="ZERO",0))))),"")</f>
        <v>#REF!</v>
      </c>
      <c r="H3266" s="139" t="e">
        <f t="shared" ca="1" si="252"/>
        <v>#REF!</v>
      </c>
      <c r="I3266" s="137" t="e">
        <f t="shared" ca="1" si="253"/>
        <v>#REF!</v>
      </c>
      <c r="J3266" s="117"/>
      <c r="K3266" s="116">
        <v>0</v>
      </c>
      <c r="M3266" s="136" t="e">
        <f ca="1">OFFSET(INDEX([1]Composições!I:R,MATCH([1]Orçamentária!I3266,[1]Composições!I:I,0),8),2,0)</f>
        <v>#REF!</v>
      </c>
      <c r="N3266" t="e">
        <v>#REF!</v>
      </c>
      <c r="Q3266" t="e">
        <v>#REF!</v>
      </c>
    </row>
    <row r="3267" spans="1:17" hidden="1" x14ac:dyDescent="0.25">
      <c r="A3267" s="114" t="s">
        <v>6764</v>
      </c>
      <c r="B3267" s="115" t="s">
        <v>6958</v>
      </c>
      <c r="C3267" s="116" t="s">
        <v>16</v>
      </c>
      <c r="D3267" s="116">
        <v>0</v>
      </c>
      <c r="E3267" s="136">
        <f ca="1">OFFSET(INDEX(Composições!A:J,MATCH(Orçamentária!A3267,Composições!A:A,0),8),2,0)</f>
        <v>71.762469899999999</v>
      </c>
      <c r="F3267" s="137">
        <f t="shared" ca="1" si="251"/>
        <v>0</v>
      </c>
      <c r="G3267" s="138" t="e">
        <f>IF(A3267&lt;&gt;"",IF(AND(#REF!="Padrão",$H$4=#REF!),BDI!$B$17,IF(AND(#REF!="Padrão",$H$4=#REF!),BDI!#REF!,IF(AND(#REF!="Diferenciado",$H$4=#REF!),BDI!$E$17,IF(AND(#REF!="Diferenciado",$H$4=#REF!),BDI!#REF!,IF(#REF!="ZERO",0))))),"")</f>
        <v>#REF!</v>
      </c>
      <c r="H3267" s="139" t="e">
        <f t="shared" ca="1" si="252"/>
        <v>#REF!</v>
      </c>
      <c r="I3267" s="137" t="e">
        <f t="shared" ca="1" si="253"/>
        <v>#REF!</v>
      </c>
      <c r="J3267" s="117"/>
      <c r="K3267" s="116">
        <v>0</v>
      </c>
      <c r="M3267" s="136" t="e">
        <f ca="1">OFFSET(INDEX([1]Composições!I:R,MATCH([1]Orçamentária!I3267,[1]Composições!I:I,0),8),2,0)</f>
        <v>#REF!</v>
      </c>
      <c r="N3267" t="e">
        <v>#REF!</v>
      </c>
      <c r="Q3267" t="e">
        <v>#REF!</v>
      </c>
    </row>
    <row r="3268" spans="1:17" hidden="1" x14ac:dyDescent="0.25">
      <c r="A3268" s="114" t="s">
        <v>6765</v>
      </c>
      <c r="B3268" s="115" t="s">
        <v>6959</v>
      </c>
      <c r="C3268" s="116" t="s">
        <v>16</v>
      </c>
      <c r="D3268" s="116">
        <v>0</v>
      </c>
      <c r="E3268" s="136" t="s">
        <v>416</v>
      </c>
      <c r="F3268" s="137" t="str">
        <f t="shared" si="251"/>
        <v/>
      </c>
      <c r="G3268" s="138" t="e">
        <f>IF(A3268&lt;&gt;"",IF(AND(#REF!="Padrão",$H$4=#REF!),BDI!$B$17,IF(AND(#REF!="Padrão",$H$4=#REF!),BDI!#REF!,IF(AND(#REF!="Diferenciado",$H$4=#REF!),BDI!$E$17,IF(AND(#REF!="Diferenciado",$H$4=#REF!),BDI!#REF!,IF(#REF!="ZERO",0))))),"")</f>
        <v>#REF!</v>
      </c>
      <c r="H3268" s="139" t="str">
        <f t="shared" si="252"/>
        <v/>
      </c>
      <c r="I3268" s="137" t="str">
        <f t="shared" si="253"/>
        <v/>
      </c>
      <c r="J3268" s="117"/>
      <c r="K3268" s="116">
        <v>0</v>
      </c>
      <c r="M3268" s="136" t="s">
        <v>416</v>
      </c>
      <c r="N3268" t="e">
        <v>#REF!</v>
      </c>
      <c r="Q3268" t="s">
        <v>416</v>
      </c>
    </row>
    <row r="3269" spans="1:17" hidden="1" x14ac:dyDescent="0.25">
      <c r="A3269" s="114" t="s">
        <v>6766</v>
      </c>
      <c r="B3269" s="115" t="s">
        <v>6960</v>
      </c>
      <c r="C3269" s="116" t="s">
        <v>70</v>
      </c>
      <c r="D3269" s="116">
        <v>0</v>
      </c>
      <c r="E3269" s="136">
        <f ca="1">OFFSET(INDEX(Composições!A:J,MATCH(Orçamentária!A3269,Composições!A:A,0),8),2,0)</f>
        <v>32.594309999999993</v>
      </c>
      <c r="F3269" s="137">
        <f t="shared" ca="1" si="251"/>
        <v>0</v>
      </c>
      <c r="G3269" s="138" t="e">
        <f>IF(A3269&lt;&gt;"",IF(AND(#REF!="Padrão",$H$4=#REF!),BDI!$B$17,IF(AND(#REF!="Padrão",$H$4=#REF!),BDI!#REF!,IF(AND(#REF!="Diferenciado",$H$4=#REF!),BDI!$E$17,IF(AND(#REF!="Diferenciado",$H$4=#REF!),BDI!#REF!,IF(#REF!="ZERO",0))))),"")</f>
        <v>#REF!</v>
      </c>
      <c r="H3269" s="139" t="e">
        <f t="shared" ca="1" si="252"/>
        <v>#REF!</v>
      </c>
      <c r="I3269" s="137" t="e">
        <f t="shared" ca="1" si="253"/>
        <v>#REF!</v>
      </c>
      <c r="J3269" s="117"/>
      <c r="K3269" s="116">
        <v>0</v>
      </c>
      <c r="M3269" s="136" t="e">
        <f ca="1">OFFSET(INDEX([1]Composições!I:R,MATCH([1]Orçamentária!I3269,[1]Composições!I:I,0),8),2,0)</f>
        <v>#REF!</v>
      </c>
      <c r="N3269" t="e">
        <v>#REF!</v>
      </c>
      <c r="Q3269" t="e">
        <v>#REF!</v>
      </c>
    </row>
    <row r="3270" spans="1:17" hidden="1" x14ac:dyDescent="0.25">
      <c r="A3270" s="114" t="s">
        <v>6767</v>
      </c>
      <c r="B3270" s="115" t="s">
        <v>6961</v>
      </c>
      <c r="C3270" s="116" t="s">
        <v>70</v>
      </c>
      <c r="D3270" s="116">
        <v>0</v>
      </c>
      <c r="E3270" s="136">
        <f ca="1">OFFSET(INDEX(Composições!A:J,MATCH(Orçamentária!A3270,Composições!A:A,0),8),2,0)</f>
        <v>32.594309999999993</v>
      </c>
      <c r="F3270" s="137">
        <f t="shared" ca="1" si="251"/>
        <v>0</v>
      </c>
      <c r="G3270" s="138" t="e">
        <f>IF(A3270&lt;&gt;"",IF(AND(#REF!="Padrão",$H$4=#REF!),BDI!$B$17,IF(AND(#REF!="Padrão",$H$4=#REF!),BDI!#REF!,IF(AND(#REF!="Diferenciado",$H$4=#REF!),BDI!$E$17,IF(AND(#REF!="Diferenciado",$H$4=#REF!),BDI!#REF!,IF(#REF!="ZERO",0))))),"")</f>
        <v>#REF!</v>
      </c>
      <c r="H3270" s="139" t="e">
        <f t="shared" ca="1" si="252"/>
        <v>#REF!</v>
      </c>
      <c r="I3270" s="137" t="e">
        <f t="shared" ca="1" si="253"/>
        <v>#REF!</v>
      </c>
      <c r="J3270" s="117"/>
      <c r="K3270" s="116">
        <v>0</v>
      </c>
      <c r="M3270" s="136" t="e">
        <f ca="1">OFFSET(INDEX([1]Composições!I:R,MATCH([1]Orçamentária!I3270,[1]Composições!I:I,0),8),2,0)</f>
        <v>#REF!</v>
      </c>
      <c r="N3270" t="e">
        <v>#REF!</v>
      </c>
      <c r="Q3270" t="e">
        <v>#REF!</v>
      </c>
    </row>
    <row r="3271" spans="1:17" ht="25.5" hidden="1" x14ac:dyDescent="0.25">
      <c r="A3271" s="114" t="s">
        <v>6768</v>
      </c>
      <c r="B3271" s="115" t="s">
        <v>6962</v>
      </c>
      <c r="C3271" s="116" t="s">
        <v>70</v>
      </c>
      <c r="D3271" s="116">
        <v>0</v>
      </c>
      <c r="E3271" s="136">
        <f ca="1">OFFSET(INDEX(Composições!A:J,MATCH(Orçamentária!A3271,Composições!A:A,0),8),2,0)</f>
        <v>32.594309999999993</v>
      </c>
      <c r="F3271" s="137">
        <f t="shared" ref="F3271:F3278" ca="1" si="254">IF(ISNUMBER(E3271),D3271*E3271,"")</f>
        <v>0</v>
      </c>
      <c r="G3271" s="138" t="e">
        <f>IF(A3271&lt;&gt;"",IF(AND(#REF!="Padrão",$H$4=#REF!),BDI!$B$17,IF(AND(#REF!="Padrão",$H$4=#REF!),BDI!#REF!,IF(AND(#REF!="Diferenciado",$H$4=#REF!),BDI!$E$17,IF(AND(#REF!="Diferenciado",$H$4=#REF!),BDI!#REF!,IF(#REF!="ZERO",0))))),"")</f>
        <v>#REF!</v>
      </c>
      <c r="H3271" s="139" t="e">
        <f t="shared" ref="H3271:H3278" ca="1" si="255">IF(ISNUMBER(E3271),ROUND(E3271*(1+G3271),2),"")</f>
        <v>#REF!</v>
      </c>
      <c r="I3271" s="137" t="e">
        <f t="shared" ref="I3271:I3278" ca="1" si="256">IF(ISNUMBER(E3271),ROUND(H3271*D3271,2),"")</f>
        <v>#REF!</v>
      </c>
      <c r="J3271" s="117"/>
      <c r="K3271" s="116">
        <v>0</v>
      </c>
      <c r="M3271" s="136" t="e">
        <f ca="1">OFFSET(INDEX([1]Composições!I:R,MATCH([1]Orçamentária!I3271,[1]Composições!I:I,0),8),2,0)</f>
        <v>#REF!</v>
      </c>
      <c r="N3271" t="e">
        <v>#REF!</v>
      </c>
      <c r="Q3271" t="e">
        <v>#REF!</v>
      </c>
    </row>
    <row r="3272" spans="1:17" hidden="1" x14ac:dyDescent="0.25">
      <c r="A3272" s="114" t="s">
        <v>6769</v>
      </c>
      <c r="B3272" s="115" t="s">
        <v>6963</v>
      </c>
      <c r="C3272" s="116" t="s">
        <v>69</v>
      </c>
      <c r="D3272" s="116">
        <v>0</v>
      </c>
      <c r="E3272" s="136" t="s">
        <v>416</v>
      </c>
      <c r="F3272" s="137" t="str">
        <f t="shared" si="254"/>
        <v/>
      </c>
      <c r="G3272" s="138" t="e">
        <f>IF(A3272&lt;&gt;"",IF(AND(#REF!="Padrão",$H$4=#REF!),BDI!$B$17,IF(AND(#REF!="Padrão",$H$4=#REF!),BDI!#REF!,IF(AND(#REF!="Diferenciado",$H$4=#REF!),BDI!$E$17,IF(AND(#REF!="Diferenciado",$H$4=#REF!),BDI!#REF!,IF(#REF!="ZERO",0))))),"")</f>
        <v>#REF!</v>
      </c>
      <c r="H3272" s="139" t="str">
        <f t="shared" si="255"/>
        <v/>
      </c>
      <c r="I3272" s="137" t="str">
        <f t="shared" si="256"/>
        <v/>
      </c>
      <c r="J3272" s="117"/>
      <c r="K3272" s="116">
        <v>0</v>
      </c>
      <c r="M3272" s="136" t="s">
        <v>416</v>
      </c>
      <c r="N3272" t="e">
        <v>#REF!</v>
      </c>
      <c r="Q3272" t="s">
        <v>416</v>
      </c>
    </row>
    <row r="3273" spans="1:17" hidden="1" x14ac:dyDescent="0.25">
      <c r="A3273" s="114" t="s">
        <v>6770</v>
      </c>
      <c r="B3273" s="115" t="s">
        <v>6964</v>
      </c>
      <c r="C3273" s="116" t="s">
        <v>69</v>
      </c>
      <c r="D3273" s="116">
        <v>0</v>
      </c>
      <c r="E3273" s="136" t="s">
        <v>416</v>
      </c>
      <c r="F3273" s="137" t="str">
        <f t="shared" si="254"/>
        <v/>
      </c>
      <c r="G3273" s="138" t="e">
        <f>IF(A3273&lt;&gt;"",IF(AND(#REF!="Padrão",$H$4=#REF!),BDI!$B$17,IF(AND(#REF!="Padrão",$H$4=#REF!),BDI!#REF!,IF(AND(#REF!="Diferenciado",$H$4=#REF!),BDI!$E$17,IF(AND(#REF!="Diferenciado",$H$4=#REF!),BDI!#REF!,IF(#REF!="ZERO",0))))),"")</f>
        <v>#REF!</v>
      </c>
      <c r="H3273" s="139" t="str">
        <f t="shared" si="255"/>
        <v/>
      </c>
      <c r="I3273" s="137" t="str">
        <f t="shared" si="256"/>
        <v/>
      </c>
      <c r="J3273" s="117"/>
      <c r="K3273" s="116">
        <v>0</v>
      </c>
      <c r="M3273" s="136" t="s">
        <v>416</v>
      </c>
      <c r="N3273" t="e">
        <v>#REF!</v>
      </c>
      <c r="Q3273" t="s">
        <v>416</v>
      </c>
    </row>
    <row r="3274" spans="1:17" hidden="1" x14ac:dyDescent="0.25">
      <c r="A3274" s="114" t="s">
        <v>6771</v>
      </c>
      <c r="B3274" s="115" t="s">
        <v>6965</v>
      </c>
      <c r="C3274" s="116" t="s">
        <v>69</v>
      </c>
      <c r="D3274" s="116">
        <v>0</v>
      </c>
      <c r="E3274" s="136" t="s">
        <v>416</v>
      </c>
      <c r="F3274" s="137" t="str">
        <f t="shared" si="254"/>
        <v/>
      </c>
      <c r="G3274" s="138" t="e">
        <f>IF(A3274&lt;&gt;"",IF(AND(#REF!="Padrão",$H$4=#REF!),BDI!$B$17,IF(AND(#REF!="Padrão",$H$4=#REF!),BDI!#REF!,IF(AND(#REF!="Diferenciado",$H$4=#REF!),BDI!$E$17,IF(AND(#REF!="Diferenciado",$H$4=#REF!),BDI!#REF!,IF(#REF!="ZERO",0))))),"")</f>
        <v>#REF!</v>
      </c>
      <c r="H3274" s="139" t="str">
        <f t="shared" si="255"/>
        <v/>
      </c>
      <c r="I3274" s="137" t="str">
        <f t="shared" si="256"/>
        <v/>
      </c>
      <c r="J3274" s="117"/>
      <c r="K3274" s="116">
        <v>0</v>
      </c>
      <c r="M3274" s="136" t="s">
        <v>416</v>
      </c>
      <c r="N3274" t="e">
        <v>#REF!</v>
      </c>
      <c r="Q3274" t="s">
        <v>416</v>
      </c>
    </row>
    <row r="3275" spans="1:17" hidden="1" x14ac:dyDescent="0.25">
      <c r="A3275" s="114" t="s">
        <v>6772</v>
      </c>
      <c r="B3275" s="115" t="s">
        <v>6966</v>
      </c>
      <c r="C3275" s="116" t="s">
        <v>69</v>
      </c>
      <c r="D3275" s="116">
        <v>0</v>
      </c>
      <c r="E3275" s="136" t="s">
        <v>416</v>
      </c>
      <c r="F3275" s="137" t="str">
        <f t="shared" si="254"/>
        <v/>
      </c>
      <c r="G3275" s="138" t="e">
        <f>IF(A3275&lt;&gt;"",IF(AND(#REF!="Padrão",$H$4=#REF!),BDI!$B$17,IF(AND(#REF!="Padrão",$H$4=#REF!),BDI!#REF!,IF(AND(#REF!="Diferenciado",$H$4=#REF!),BDI!$E$17,IF(AND(#REF!="Diferenciado",$H$4=#REF!),BDI!#REF!,IF(#REF!="ZERO",0))))),"")</f>
        <v>#REF!</v>
      </c>
      <c r="H3275" s="139" t="str">
        <f t="shared" si="255"/>
        <v/>
      </c>
      <c r="I3275" s="137" t="str">
        <f t="shared" si="256"/>
        <v/>
      </c>
      <c r="J3275" s="117"/>
      <c r="K3275" s="116">
        <v>0</v>
      </c>
      <c r="M3275" s="136" t="s">
        <v>416</v>
      </c>
      <c r="N3275" t="e">
        <v>#REF!</v>
      </c>
      <c r="Q3275" t="s">
        <v>416</v>
      </c>
    </row>
    <row r="3276" spans="1:17" hidden="1" x14ac:dyDescent="0.25">
      <c r="A3276" s="114" t="s">
        <v>6773</v>
      </c>
      <c r="B3276" s="115" t="s">
        <v>6967</v>
      </c>
      <c r="C3276" s="116" t="s">
        <v>69</v>
      </c>
      <c r="D3276" s="116">
        <v>0</v>
      </c>
      <c r="E3276" s="136" t="s">
        <v>416</v>
      </c>
      <c r="F3276" s="137" t="str">
        <f t="shared" si="254"/>
        <v/>
      </c>
      <c r="G3276" s="138" t="e">
        <f>IF(A3276&lt;&gt;"",IF(AND(#REF!="Padrão",$H$4=#REF!),BDI!$B$17,IF(AND(#REF!="Padrão",$H$4=#REF!),BDI!#REF!,IF(AND(#REF!="Diferenciado",$H$4=#REF!),BDI!$E$17,IF(AND(#REF!="Diferenciado",$H$4=#REF!),BDI!#REF!,IF(#REF!="ZERO",0))))),"")</f>
        <v>#REF!</v>
      </c>
      <c r="H3276" s="139" t="str">
        <f t="shared" si="255"/>
        <v/>
      </c>
      <c r="I3276" s="137" t="str">
        <f t="shared" si="256"/>
        <v/>
      </c>
      <c r="J3276" s="117"/>
      <c r="K3276" s="116">
        <v>0</v>
      </c>
      <c r="M3276" s="136" t="s">
        <v>416</v>
      </c>
      <c r="N3276" t="e">
        <v>#REF!</v>
      </c>
      <c r="Q3276" t="s">
        <v>416</v>
      </c>
    </row>
    <row r="3277" spans="1:17" hidden="1" x14ac:dyDescent="0.25">
      <c r="A3277" s="114" t="s">
        <v>6774</v>
      </c>
      <c r="B3277" s="115" t="s">
        <v>6968</v>
      </c>
      <c r="C3277" s="116" t="s">
        <v>69</v>
      </c>
      <c r="D3277" s="116">
        <v>0</v>
      </c>
      <c r="E3277" s="136" t="s">
        <v>416</v>
      </c>
      <c r="F3277" s="137" t="str">
        <f t="shared" si="254"/>
        <v/>
      </c>
      <c r="G3277" s="138" t="e">
        <f>IF(A3277&lt;&gt;"",IF(AND(#REF!="Padrão",$H$4=#REF!),BDI!$B$17,IF(AND(#REF!="Padrão",$H$4=#REF!),BDI!#REF!,IF(AND(#REF!="Diferenciado",$H$4=#REF!),BDI!$E$17,IF(AND(#REF!="Diferenciado",$H$4=#REF!),BDI!#REF!,IF(#REF!="ZERO",0))))),"")</f>
        <v>#REF!</v>
      </c>
      <c r="H3277" s="139" t="str">
        <f t="shared" si="255"/>
        <v/>
      </c>
      <c r="I3277" s="137" t="str">
        <f t="shared" si="256"/>
        <v/>
      </c>
      <c r="J3277" s="117"/>
      <c r="K3277" s="116">
        <v>0</v>
      </c>
      <c r="M3277" s="136" t="s">
        <v>416</v>
      </c>
      <c r="N3277" t="e">
        <v>#REF!</v>
      </c>
      <c r="Q3277" t="s">
        <v>416</v>
      </c>
    </row>
    <row r="3278" spans="1:17" hidden="1" x14ac:dyDescent="0.25">
      <c r="A3278" s="114" t="s">
        <v>6775</v>
      </c>
      <c r="B3278" s="115" t="s">
        <v>6969</v>
      </c>
      <c r="C3278" s="116" t="s">
        <v>69</v>
      </c>
      <c r="D3278" s="116">
        <v>0</v>
      </c>
      <c r="E3278" s="136" t="s">
        <v>416</v>
      </c>
      <c r="F3278" s="137" t="str">
        <f t="shared" si="254"/>
        <v/>
      </c>
      <c r="G3278" s="138" t="e">
        <f>IF(A3278&lt;&gt;"",IF(AND(#REF!="Padrão",$H$4=#REF!),BDI!$B$17,IF(AND(#REF!="Padrão",$H$4=#REF!),BDI!#REF!,IF(AND(#REF!="Diferenciado",$H$4=#REF!),BDI!$E$17,IF(AND(#REF!="Diferenciado",$H$4=#REF!),BDI!#REF!,IF(#REF!="ZERO",0))))),"")</f>
        <v>#REF!</v>
      </c>
      <c r="H3278" s="139" t="str">
        <f t="shared" si="255"/>
        <v/>
      </c>
      <c r="I3278" s="137" t="str">
        <f t="shared" si="256"/>
        <v/>
      </c>
      <c r="J3278" s="117"/>
      <c r="K3278" s="116">
        <v>0</v>
      </c>
      <c r="M3278" s="136" t="s">
        <v>416</v>
      </c>
      <c r="N3278" t="e">
        <v>#REF!</v>
      </c>
      <c r="Q3278" t="s">
        <v>416</v>
      </c>
    </row>
    <row r="3279" spans="1:17" hidden="1" x14ac:dyDescent="0.25">
      <c r="A3279" s="114" t="s">
        <v>6776</v>
      </c>
      <c r="B3279" s="115" t="s">
        <v>6974</v>
      </c>
      <c r="C3279" s="116" t="s">
        <v>70</v>
      </c>
      <c r="D3279" s="116">
        <v>0</v>
      </c>
      <c r="E3279" s="136" t="s">
        <v>416</v>
      </c>
      <c r="F3279" s="137" t="str">
        <f t="shared" ref="F3279:F3342" si="257">IF(ISNUMBER(E3279),D3279*E3279,"")</f>
        <v/>
      </c>
      <c r="G3279" s="138" t="e">
        <f>IF(A3279&lt;&gt;"",IF(AND(#REF!="Padrão",$H$4=#REF!),BDI!$B$17,IF(AND(#REF!="Padrão",$H$4=#REF!),BDI!#REF!,IF(AND(#REF!="Diferenciado",$H$4=#REF!),BDI!$E$17,IF(AND(#REF!="Diferenciado",$H$4=#REF!),BDI!#REF!,IF(#REF!="ZERO",0))))),"")</f>
        <v>#REF!</v>
      </c>
      <c r="H3279" s="139" t="str">
        <f t="shared" ref="H3279:H3342" si="258">IF(ISNUMBER(E3279),ROUND(E3279*(1+G3279),2),"")</f>
        <v/>
      </c>
      <c r="I3279" s="137" t="str">
        <f t="shared" ref="I3279:I3342" si="259">IF(ISNUMBER(E3279),ROUND(H3279*D3279,2),"")</f>
        <v/>
      </c>
      <c r="J3279" s="117"/>
      <c r="K3279" s="116">
        <v>0</v>
      </c>
      <c r="M3279" s="136" t="s">
        <v>416</v>
      </c>
      <c r="N3279" t="e">
        <v>#REF!</v>
      </c>
      <c r="Q3279" t="s">
        <v>416</v>
      </c>
    </row>
    <row r="3280" spans="1:17" hidden="1" x14ac:dyDescent="0.25">
      <c r="A3280" s="114" t="s">
        <v>6777</v>
      </c>
      <c r="B3280" s="115" t="s">
        <v>6975</v>
      </c>
      <c r="C3280" s="116" t="s">
        <v>16</v>
      </c>
      <c r="D3280" s="116">
        <v>0</v>
      </c>
      <c r="E3280" s="136" t="s">
        <v>416</v>
      </c>
      <c r="F3280" s="137" t="str">
        <f t="shared" si="257"/>
        <v/>
      </c>
      <c r="G3280" s="138" t="e">
        <f>IF(A3280&lt;&gt;"",IF(AND(#REF!="Padrão",$H$4=#REF!),BDI!$B$17,IF(AND(#REF!="Padrão",$H$4=#REF!),BDI!#REF!,IF(AND(#REF!="Diferenciado",$H$4=#REF!),BDI!$E$17,IF(AND(#REF!="Diferenciado",$H$4=#REF!),BDI!#REF!,IF(#REF!="ZERO",0))))),"")</f>
        <v>#REF!</v>
      </c>
      <c r="H3280" s="139" t="str">
        <f t="shared" si="258"/>
        <v/>
      </c>
      <c r="I3280" s="137" t="str">
        <f t="shared" si="259"/>
        <v/>
      </c>
      <c r="J3280" s="117"/>
      <c r="K3280" s="116">
        <v>0</v>
      </c>
      <c r="M3280" s="136" t="s">
        <v>416</v>
      </c>
      <c r="N3280" t="e">
        <v>#REF!</v>
      </c>
      <c r="Q3280" t="s">
        <v>416</v>
      </c>
    </row>
    <row r="3281" spans="1:17" hidden="1" x14ac:dyDescent="0.25">
      <c r="A3281" s="114" t="s">
        <v>6778</v>
      </c>
      <c r="B3281" s="115" t="s">
        <v>6976</v>
      </c>
      <c r="C3281" s="116" t="s">
        <v>16</v>
      </c>
      <c r="D3281" s="116">
        <v>0</v>
      </c>
      <c r="E3281" s="136">
        <f ca="1">OFFSET(INDEX(Composições!A:J,MATCH(Orçamentária!A3281,Composições!A:A,0),8),2,0)</f>
        <v>183.20749999999998</v>
      </c>
      <c r="F3281" s="137">
        <f t="shared" ca="1" si="257"/>
        <v>0</v>
      </c>
      <c r="G3281" s="138" t="e">
        <f>IF(A3281&lt;&gt;"",IF(AND(#REF!="Padrão",$H$4=#REF!),BDI!$B$17,IF(AND(#REF!="Padrão",$H$4=#REF!),BDI!#REF!,IF(AND(#REF!="Diferenciado",$H$4=#REF!),BDI!$E$17,IF(AND(#REF!="Diferenciado",$H$4=#REF!),BDI!#REF!,IF(#REF!="ZERO",0))))),"")</f>
        <v>#REF!</v>
      </c>
      <c r="H3281" s="139" t="e">
        <f t="shared" ca="1" si="258"/>
        <v>#REF!</v>
      </c>
      <c r="I3281" s="137" t="e">
        <f t="shared" ca="1" si="259"/>
        <v>#REF!</v>
      </c>
      <c r="J3281" s="117"/>
      <c r="K3281" s="116">
        <v>0</v>
      </c>
      <c r="M3281" s="136" t="e">
        <f ca="1">OFFSET(INDEX([1]Composições!I:R,MATCH([1]Orçamentária!I3281,[1]Composições!I:I,0),8),2,0)</f>
        <v>#REF!</v>
      </c>
      <c r="N3281" t="e">
        <v>#REF!</v>
      </c>
      <c r="Q3281" t="e">
        <v>#REF!</v>
      </c>
    </row>
    <row r="3282" spans="1:17" hidden="1" x14ac:dyDescent="0.25">
      <c r="A3282" s="114" t="s">
        <v>6779</v>
      </c>
      <c r="B3282" s="115" t="s">
        <v>7935</v>
      </c>
      <c r="C3282" s="116" t="s">
        <v>16</v>
      </c>
      <c r="D3282" s="116">
        <v>0</v>
      </c>
      <c r="E3282" s="136">
        <f ca="1">OFFSET(INDEX(Composições!A:J,MATCH(Orçamentária!A3282,Composições!A:A,0),8),2,0)</f>
        <v>183.20749999999998</v>
      </c>
      <c r="F3282" s="137">
        <f t="shared" ca="1" si="257"/>
        <v>0</v>
      </c>
      <c r="G3282" s="138" t="e">
        <f>IF(A3282&lt;&gt;"",IF(AND(#REF!="Padrão",$H$4=#REF!),BDI!$B$17,IF(AND(#REF!="Padrão",$H$4=#REF!),BDI!#REF!,IF(AND(#REF!="Diferenciado",$H$4=#REF!),BDI!$E$17,IF(AND(#REF!="Diferenciado",$H$4=#REF!),BDI!#REF!,IF(#REF!="ZERO",0))))),"")</f>
        <v>#REF!</v>
      </c>
      <c r="H3282" s="139" t="e">
        <f t="shared" ca="1" si="258"/>
        <v>#REF!</v>
      </c>
      <c r="I3282" s="137" t="e">
        <f t="shared" ca="1" si="259"/>
        <v>#REF!</v>
      </c>
      <c r="J3282" s="117"/>
      <c r="K3282" s="116">
        <v>0</v>
      </c>
      <c r="M3282" s="136" t="e">
        <f ca="1">OFFSET(INDEX([1]Composições!I:R,MATCH([1]Orçamentária!I3282,[1]Composições!I:I,0),8),2,0)</f>
        <v>#REF!</v>
      </c>
      <c r="N3282" t="e">
        <v>#REF!</v>
      </c>
      <c r="Q3282" t="e">
        <v>#REF!</v>
      </c>
    </row>
    <row r="3283" spans="1:17" hidden="1" x14ac:dyDescent="0.25">
      <c r="A3283" s="114" t="s">
        <v>6780</v>
      </c>
      <c r="B3283" s="115" t="s">
        <v>7936</v>
      </c>
      <c r="C3283" s="116" t="s">
        <v>16</v>
      </c>
      <c r="D3283" s="116">
        <v>0</v>
      </c>
      <c r="E3283" s="136">
        <f ca="1">OFFSET(INDEX(Composições!A:J,MATCH(Orçamentária!A3283,Composições!A:A,0),8),2,0)</f>
        <v>183.20749999999998</v>
      </c>
      <c r="F3283" s="137">
        <f t="shared" ca="1" si="257"/>
        <v>0</v>
      </c>
      <c r="G3283" s="138" t="e">
        <f>IF(A3283&lt;&gt;"",IF(AND(#REF!="Padrão",$H$4=#REF!),BDI!$B$17,IF(AND(#REF!="Padrão",$H$4=#REF!),BDI!#REF!,IF(AND(#REF!="Diferenciado",$H$4=#REF!),BDI!$E$17,IF(AND(#REF!="Diferenciado",$H$4=#REF!),BDI!#REF!,IF(#REF!="ZERO",0))))),"")</f>
        <v>#REF!</v>
      </c>
      <c r="H3283" s="139" t="e">
        <f t="shared" ca="1" si="258"/>
        <v>#REF!</v>
      </c>
      <c r="I3283" s="137" t="e">
        <f t="shared" ca="1" si="259"/>
        <v>#REF!</v>
      </c>
      <c r="J3283" s="117"/>
      <c r="K3283" s="116">
        <v>0</v>
      </c>
      <c r="M3283" s="136" t="e">
        <f ca="1">OFFSET(INDEX([1]Composições!I:R,MATCH([1]Orçamentária!I3283,[1]Composições!I:I,0),8),2,0)</f>
        <v>#REF!</v>
      </c>
      <c r="N3283" t="e">
        <v>#REF!</v>
      </c>
      <c r="Q3283" t="e">
        <v>#REF!</v>
      </c>
    </row>
    <row r="3284" spans="1:17" hidden="1" x14ac:dyDescent="0.25">
      <c r="A3284" s="114" t="s">
        <v>6781</v>
      </c>
      <c r="B3284" s="115" t="s">
        <v>6977</v>
      </c>
      <c r="C3284" s="116" t="s">
        <v>16</v>
      </c>
      <c r="D3284" s="116">
        <v>0</v>
      </c>
      <c r="E3284" s="136">
        <f ca="1">OFFSET(INDEX(Composições!A:J,MATCH(Orçamentária!A3284,Composições!A:A,0),8),2,0)</f>
        <v>836.63503509999987</v>
      </c>
      <c r="F3284" s="137">
        <f t="shared" ca="1" si="257"/>
        <v>0</v>
      </c>
      <c r="G3284" s="138" t="e">
        <f>IF(A3284&lt;&gt;"",IF(AND(#REF!="Padrão",$H$4=#REF!),BDI!$B$17,IF(AND(#REF!="Padrão",$H$4=#REF!),BDI!#REF!,IF(AND(#REF!="Diferenciado",$H$4=#REF!),BDI!$E$17,IF(AND(#REF!="Diferenciado",$H$4=#REF!),BDI!#REF!,IF(#REF!="ZERO",0))))),"")</f>
        <v>#REF!</v>
      </c>
      <c r="H3284" s="139" t="e">
        <f t="shared" ca="1" si="258"/>
        <v>#REF!</v>
      </c>
      <c r="I3284" s="137" t="e">
        <f t="shared" ca="1" si="259"/>
        <v>#REF!</v>
      </c>
      <c r="J3284" s="117"/>
      <c r="K3284" s="116">
        <v>0</v>
      </c>
      <c r="M3284" s="136" t="e">
        <f ca="1">OFFSET(INDEX([1]Composições!I:R,MATCH([1]Orçamentária!I3284,[1]Composições!I:I,0),8),2,0)</f>
        <v>#REF!</v>
      </c>
      <c r="N3284" t="e">
        <v>#REF!</v>
      </c>
      <c r="Q3284" t="e">
        <v>#REF!</v>
      </c>
    </row>
    <row r="3285" spans="1:17" hidden="1" x14ac:dyDescent="0.25">
      <c r="A3285" s="114" t="s">
        <v>6782</v>
      </c>
      <c r="B3285" s="115" t="s">
        <v>6978</v>
      </c>
      <c r="C3285" s="116" t="s">
        <v>16</v>
      </c>
      <c r="D3285" s="116">
        <v>0</v>
      </c>
      <c r="E3285" s="136">
        <f ca="1">OFFSET(INDEX(Composições!A:J,MATCH(Orçamentária!A3285,Composições!A:A,0),8),2,0)</f>
        <v>836.63503509999987</v>
      </c>
      <c r="F3285" s="137">
        <f t="shared" ca="1" si="257"/>
        <v>0</v>
      </c>
      <c r="G3285" s="138" t="e">
        <f>IF(A3285&lt;&gt;"",IF(AND(#REF!="Padrão",$H$4=#REF!),BDI!$B$17,IF(AND(#REF!="Padrão",$H$4=#REF!),BDI!#REF!,IF(AND(#REF!="Diferenciado",$H$4=#REF!),BDI!$E$17,IF(AND(#REF!="Diferenciado",$H$4=#REF!),BDI!#REF!,IF(#REF!="ZERO",0))))),"")</f>
        <v>#REF!</v>
      </c>
      <c r="H3285" s="139" t="e">
        <f t="shared" ca="1" si="258"/>
        <v>#REF!</v>
      </c>
      <c r="I3285" s="137" t="e">
        <f t="shared" ca="1" si="259"/>
        <v>#REF!</v>
      </c>
      <c r="J3285" s="117"/>
      <c r="K3285" s="116">
        <v>0</v>
      </c>
      <c r="M3285" s="136" t="e">
        <f ca="1">OFFSET(INDEX([1]Composições!I:R,MATCH([1]Orçamentária!I3285,[1]Composições!I:I,0),8),2,0)</f>
        <v>#REF!</v>
      </c>
      <c r="N3285" t="e">
        <v>#REF!</v>
      </c>
      <c r="Q3285" t="e">
        <v>#REF!</v>
      </c>
    </row>
    <row r="3286" spans="1:17" ht="25.5" hidden="1" x14ac:dyDescent="0.25">
      <c r="A3286" s="114" t="s">
        <v>6783</v>
      </c>
      <c r="B3286" s="115" t="s">
        <v>6979</v>
      </c>
      <c r="C3286" s="116" t="s">
        <v>16</v>
      </c>
      <c r="D3286" s="116">
        <v>0</v>
      </c>
      <c r="E3286" s="136">
        <f ca="1">OFFSET(INDEX(Composições!A:J,MATCH(Orçamentária!A3286,Composições!A:A,0),8),2,0)</f>
        <v>47.417608440249602</v>
      </c>
      <c r="F3286" s="137">
        <f t="shared" ca="1" si="257"/>
        <v>0</v>
      </c>
      <c r="G3286" s="138" t="e">
        <f>IF(A3286&lt;&gt;"",IF(AND(#REF!="Padrão",$H$4=#REF!),BDI!$B$17,IF(AND(#REF!="Padrão",$H$4=#REF!),BDI!#REF!,IF(AND(#REF!="Diferenciado",$H$4=#REF!),BDI!$E$17,IF(AND(#REF!="Diferenciado",$H$4=#REF!),BDI!#REF!,IF(#REF!="ZERO",0))))),"")</f>
        <v>#REF!</v>
      </c>
      <c r="H3286" s="139" t="e">
        <f t="shared" ca="1" si="258"/>
        <v>#REF!</v>
      </c>
      <c r="I3286" s="137" t="e">
        <f t="shared" ca="1" si="259"/>
        <v>#REF!</v>
      </c>
      <c r="J3286" s="117"/>
      <c r="K3286" s="116">
        <v>0</v>
      </c>
      <c r="M3286" s="136" t="e">
        <f ca="1">OFFSET(INDEX([1]Composições!I:R,MATCH([1]Orçamentária!I3286,[1]Composições!I:I,0),8),2,0)</f>
        <v>#REF!</v>
      </c>
      <c r="N3286" t="e">
        <v>#REF!</v>
      </c>
      <c r="Q3286" t="e">
        <v>#REF!</v>
      </c>
    </row>
    <row r="3287" spans="1:17" hidden="1" x14ac:dyDescent="0.25">
      <c r="A3287" s="114" t="s">
        <v>6784</v>
      </c>
      <c r="B3287" s="115" t="s">
        <v>6980</v>
      </c>
      <c r="C3287" s="116" t="s">
        <v>70</v>
      </c>
      <c r="D3287" s="116">
        <v>0</v>
      </c>
      <c r="E3287" s="136" t="s">
        <v>416</v>
      </c>
      <c r="F3287" s="137" t="str">
        <f t="shared" si="257"/>
        <v/>
      </c>
      <c r="G3287" s="138" t="e">
        <f>IF(A3287&lt;&gt;"",IF(AND(#REF!="Padrão",$H$4=#REF!),BDI!$B$17,IF(AND(#REF!="Padrão",$H$4=#REF!),BDI!#REF!,IF(AND(#REF!="Diferenciado",$H$4=#REF!),BDI!$E$17,IF(AND(#REF!="Diferenciado",$H$4=#REF!),BDI!#REF!,IF(#REF!="ZERO",0))))),"")</f>
        <v>#REF!</v>
      </c>
      <c r="H3287" s="139" t="str">
        <f t="shared" si="258"/>
        <v/>
      </c>
      <c r="I3287" s="137" t="str">
        <f t="shared" si="259"/>
        <v/>
      </c>
      <c r="J3287" s="117"/>
      <c r="K3287" s="116">
        <v>0</v>
      </c>
      <c r="M3287" s="136" t="s">
        <v>416</v>
      </c>
      <c r="N3287" t="e">
        <v>#REF!</v>
      </c>
      <c r="Q3287" t="s">
        <v>416</v>
      </c>
    </row>
    <row r="3288" spans="1:17" hidden="1" x14ac:dyDescent="0.25">
      <c r="A3288" s="114" t="s">
        <v>6785</v>
      </c>
      <c r="B3288" s="115" t="s">
        <v>6981</v>
      </c>
      <c r="C3288" s="116" t="s">
        <v>16</v>
      </c>
      <c r="D3288" s="116">
        <v>0</v>
      </c>
      <c r="E3288" s="136" t="s">
        <v>416</v>
      </c>
      <c r="F3288" s="137" t="str">
        <f t="shared" si="257"/>
        <v/>
      </c>
      <c r="G3288" s="138" t="e">
        <f>IF(A3288&lt;&gt;"",IF(AND(#REF!="Padrão",$H$4=#REF!),BDI!$B$17,IF(AND(#REF!="Padrão",$H$4=#REF!),BDI!#REF!,IF(AND(#REF!="Diferenciado",$H$4=#REF!),BDI!$E$17,IF(AND(#REF!="Diferenciado",$H$4=#REF!),BDI!#REF!,IF(#REF!="ZERO",0))))),"")</f>
        <v>#REF!</v>
      </c>
      <c r="H3288" s="139" t="str">
        <f t="shared" si="258"/>
        <v/>
      </c>
      <c r="I3288" s="137" t="str">
        <f t="shared" si="259"/>
        <v/>
      </c>
      <c r="J3288" s="117"/>
      <c r="K3288" s="116">
        <v>0</v>
      </c>
      <c r="M3288" s="136" t="s">
        <v>416</v>
      </c>
      <c r="N3288" t="e">
        <v>#REF!</v>
      </c>
      <c r="Q3288" t="s">
        <v>416</v>
      </c>
    </row>
    <row r="3289" spans="1:17" hidden="1" x14ac:dyDescent="0.25">
      <c r="A3289" s="114" t="s">
        <v>6786</v>
      </c>
      <c r="B3289" s="115" t="s">
        <v>6982</v>
      </c>
      <c r="C3289" s="116" t="s">
        <v>16</v>
      </c>
      <c r="D3289" s="116">
        <v>0</v>
      </c>
      <c r="E3289" s="136" t="s">
        <v>416</v>
      </c>
      <c r="F3289" s="137" t="str">
        <f t="shared" si="257"/>
        <v/>
      </c>
      <c r="G3289" s="138" t="e">
        <f>IF(A3289&lt;&gt;"",IF(AND(#REF!="Padrão",$H$4=#REF!),BDI!$B$17,IF(AND(#REF!="Padrão",$H$4=#REF!),BDI!#REF!,IF(AND(#REF!="Diferenciado",$H$4=#REF!),BDI!$E$17,IF(AND(#REF!="Diferenciado",$H$4=#REF!),BDI!#REF!,IF(#REF!="ZERO",0))))),"")</f>
        <v>#REF!</v>
      </c>
      <c r="H3289" s="139" t="str">
        <f t="shared" si="258"/>
        <v/>
      </c>
      <c r="I3289" s="137" t="str">
        <f t="shared" si="259"/>
        <v/>
      </c>
      <c r="J3289" s="117"/>
      <c r="K3289" s="116">
        <v>0</v>
      </c>
      <c r="M3289" s="136" t="s">
        <v>416</v>
      </c>
      <c r="N3289" t="e">
        <v>#REF!</v>
      </c>
      <c r="Q3289" t="s">
        <v>416</v>
      </c>
    </row>
    <row r="3290" spans="1:17" hidden="1" x14ac:dyDescent="0.25">
      <c r="A3290" s="114" t="s">
        <v>6787</v>
      </c>
      <c r="B3290" s="115" t="s">
        <v>6983</v>
      </c>
      <c r="C3290" s="116" t="s">
        <v>4170</v>
      </c>
      <c r="D3290" s="116">
        <v>0</v>
      </c>
      <c r="E3290" s="136" t="s">
        <v>416</v>
      </c>
      <c r="F3290" s="137" t="str">
        <f t="shared" si="257"/>
        <v/>
      </c>
      <c r="G3290" s="138" t="e">
        <f>IF(A3290&lt;&gt;"",IF(AND(#REF!="Padrão",$H$4=#REF!),BDI!$B$17,IF(AND(#REF!="Padrão",$H$4=#REF!),BDI!#REF!,IF(AND(#REF!="Diferenciado",$H$4=#REF!),BDI!$E$17,IF(AND(#REF!="Diferenciado",$H$4=#REF!),BDI!#REF!,IF(#REF!="ZERO",0))))),"")</f>
        <v>#REF!</v>
      </c>
      <c r="H3290" s="139" t="str">
        <f t="shared" si="258"/>
        <v/>
      </c>
      <c r="I3290" s="137" t="str">
        <f t="shared" si="259"/>
        <v/>
      </c>
      <c r="J3290" s="117"/>
      <c r="K3290" s="116">
        <v>0</v>
      </c>
      <c r="M3290" s="136" t="s">
        <v>416</v>
      </c>
      <c r="N3290" t="e">
        <v>#REF!</v>
      </c>
      <c r="Q3290" t="s">
        <v>416</v>
      </c>
    </row>
    <row r="3291" spans="1:17" hidden="1" x14ac:dyDescent="0.25">
      <c r="A3291" s="114" t="s">
        <v>6788</v>
      </c>
      <c r="B3291" s="115" t="s">
        <v>6984</v>
      </c>
      <c r="C3291" s="116" t="s">
        <v>16</v>
      </c>
      <c r="D3291" s="116">
        <v>0</v>
      </c>
      <c r="E3291" s="136" t="s">
        <v>416</v>
      </c>
      <c r="F3291" s="137" t="str">
        <f t="shared" si="257"/>
        <v/>
      </c>
      <c r="G3291" s="138" t="e">
        <f>IF(A3291&lt;&gt;"",IF(AND(#REF!="Padrão",$H$4=#REF!),BDI!$B$17,IF(AND(#REF!="Padrão",$H$4=#REF!),BDI!#REF!,IF(AND(#REF!="Diferenciado",$H$4=#REF!),BDI!$E$17,IF(AND(#REF!="Diferenciado",$H$4=#REF!),BDI!#REF!,IF(#REF!="ZERO",0))))),"")</f>
        <v>#REF!</v>
      </c>
      <c r="H3291" s="139" t="str">
        <f t="shared" si="258"/>
        <v/>
      </c>
      <c r="I3291" s="137" t="str">
        <f t="shared" si="259"/>
        <v/>
      </c>
      <c r="J3291" s="117"/>
      <c r="K3291" s="116">
        <v>0</v>
      </c>
      <c r="M3291" s="136" t="s">
        <v>416</v>
      </c>
      <c r="N3291" t="e">
        <v>#REF!</v>
      </c>
      <c r="Q3291" t="s">
        <v>416</v>
      </c>
    </row>
    <row r="3292" spans="1:17" hidden="1" x14ac:dyDescent="0.25">
      <c r="A3292" s="114" t="s">
        <v>6789</v>
      </c>
      <c r="B3292" s="115" t="s">
        <v>6985</v>
      </c>
      <c r="C3292" s="116" t="s">
        <v>16</v>
      </c>
      <c r="D3292" s="116">
        <v>0</v>
      </c>
      <c r="E3292" s="136" t="s">
        <v>416</v>
      </c>
      <c r="F3292" s="137" t="str">
        <f t="shared" si="257"/>
        <v/>
      </c>
      <c r="G3292" s="138" t="e">
        <f>IF(A3292&lt;&gt;"",IF(AND(#REF!="Padrão",$H$4=#REF!),BDI!$B$17,IF(AND(#REF!="Padrão",$H$4=#REF!),BDI!#REF!,IF(AND(#REF!="Diferenciado",$H$4=#REF!),BDI!$E$17,IF(AND(#REF!="Diferenciado",$H$4=#REF!),BDI!#REF!,IF(#REF!="ZERO",0))))),"")</f>
        <v>#REF!</v>
      </c>
      <c r="H3292" s="139" t="str">
        <f t="shared" si="258"/>
        <v/>
      </c>
      <c r="I3292" s="137" t="str">
        <f t="shared" si="259"/>
        <v/>
      </c>
      <c r="J3292" s="117"/>
      <c r="K3292" s="116">
        <v>0</v>
      </c>
      <c r="M3292" s="136" t="s">
        <v>416</v>
      </c>
      <c r="N3292" t="e">
        <v>#REF!</v>
      </c>
      <c r="Q3292" t="s">
        <v>416</v>
      </c>
    </row>
    <row r="3293" spans="1:17" hidden="1" x14ac:dyDescent="0.25">
      <c r="A3293" s="114" t="s">
        <v>6790</v>
      </c>
      <c r="B3293" s="115" t="s">
        <v>6986</v>
      </c>
      <c r="C3293" s="116" t="s">
        <v>16</v>
      </c>
      <c r="D3293" s="116">
        <v>0</v>
      </c>
      <c r="E3293" s="136" t="s">
        <v>416</v>
      </c>
      <c r="F3293" s="137" t="str">
        <f t="shared" si="257"/>
        <v/>
      </c>
      <c r="G3293" s="138" t="e">
        <f>IF(A3293&lt;&gt;"",IF(AND(#REF!="Padrão",$H$4=#REF!),BDI!$B$17,IF(AND(#REF!="Padrão",$H$4=#REF!),BDI!#REF!,IF(AND(#REF!="Diferenciado",$H$4=#REF!),BDI!$E$17,IF(AND(#REF!="Diferenciado",$H$4=#REF!),BDI!#REF!,IF(#REF!="ZERO",0))))),"")</f>
        <v>#REF!</v>
      </c>
      <c r="H3293" s="139" t="str">
        <f t="shared" si="258"/>
        <v/>
      </c>
      <c r="I3293" s="137" t="str">
        <f t="shared" si="259"/>
        <v/>
      </c>
      <c r="J3293" s="117"/>
      <c r="K3293" s="116">
        <v>0</v>
      </c>
      <c r="M3293" s="136" t="s">
        <v>416</v>
      </c>
      <c r="N3293" t="e">
        <v>#REF!</v>
      </c>
      <c r="Q3293" t="s">
        <v>416</v>
      </c>
    </row>
    <row r="3294" spans="1:17" hidden="1" x14ac:dyDescent="0.25">
      <c r="A3294" s="114" t="s">
        <v>6791</v>
      </c>
      <c r="B3294" s="115" t="s">
        <v>7096</v>
      </c>
      <c r="C3294" s="116" t="s">
        <v>16</v>
      </c>
      <c r="D3294" s="116">
        <v>0</v>
      </c>
      <c r="E3294" s="136">
        <f ca="1">OFFSET(INDEX(Composições!A:J,MATCH(Orçamentária!A3294,Composições!A:A,0),8),2,0)</f>
        <v>6.6025</v>
      </c>
      <c r="F3294" s="137">
        <f t="shared" ca="1" si="257"/>
        <v>0</v>
      </c>
      <c r="G3294" s="138" t="e">
        <f>IF(A3294&lt;&gt;"",IF(AND(#REF!="Padrão",$H$4=#REF!),BDI!$B$17,IF(AND(#REF!="Padrão",$H$4=#REF!),BDI!#REF!,IF(AND(#REF!="Diferenciado",$H$4=#REF!),BDI!$E$17,IF(AND(#REF!="Diferenciado",$H$4=#REF!),BDI!#REF!,IF(#REF!="ZERO",0))))),"")</f>
        <v>#REF!</v>
      </c>
      <c r="H3294" s="139" t="e">
        <f t="shared" ca="1" si="258"/>
        <v>#REF!</v>
      </c>
      <c r="I3294" s="137" t="e">
        <f t="shared" ca="1" si="259"/>
        <v>#REF!</v>
      </c>
      <c r="J3294" s="117"/>
      <c r="K3294" s="116">
        <v>0</v>
      </c>
      <c r="M3294" s="136" t="e">
        <f ca="1">OFFSET(INDEX([1]Composições!I:R,MATCH([1]Orçamentária!I3294,[1]Composições!I:I,0),8),2,0)</f>
        <v>#REF!</v>
      </c>
      <c r="N3294" t="e">
        <v>#REF!</v>
      </c>
      <c r="Q3294" t="e">
        <v>#REF!</v>
      </c>
    </row>
    <row r="3295" spans="1:17" hidden="1" x14ac:dyDescent="0.25">
      <c r="A3295" s="114" t="s">
        <v>6792</v>
      </c>
      <c r="B3295" s="115" t="s">
        <v>7097</v>
      </c>
      <c r="C3295" s="116" t="s">
        <v>16</v>
      </c>
      <c r="D3295" s="116">
        <v>0</v>
      </c>
      <c r="E3295" s="136">
        <f ca="1">OFFSET(INDEX(Composições!A:J,MATCH(Orçamentária!A3295,Composições!A:A,0),8),2,0)</f>
        <v>0.72199999999999998</v>
      </c>
      <c r="F3295" s="137">
        <f t="shared" ca="1" si="257"/>
        <v>0</v>
      </c>
      <c r="G3295" s="138" t="e">
        <f>IF(A3295&lt;&gt;"",IF(AND(#REF!="Padrão",$H$4=#REF!),BDI!$B$17,IF(AND(#REF!="Padrão",$H$4=#REF!),BDI!#REF!,IF(AND(#REF!="Diferenciado",$H$4=#REF!),BDI!$E$17,IF(AND(#REF!="Diferenciado",$H$4=#REF!),BDI!#REF!,IF(#REF!="ZERO",0))))),"")</f>
        <v>#REF!</v>
      </c>
      <c r="H3295" s="139" t="e">
        <f t="shared" ca="1" si="258"/>
        <v>#REF!</v>
      </c>
      <c r="I3295" s="137" t="e">
        <f t="shared" ca="1" si="259"/>
        <v>#REF!</v>
      </c>
      <c r="J3295" s="117"/>
      <c r="K3295" s="116">
        <v>0</v>
      </c>
      <c r="M3295" s="136" t="e">
        <f ca="1">OFFSET(INDEX([1]Composições!I:R,MATCH([1]Orçamentária!I3295,[1]Composições!I:I,0),8),2,0)</f>
        <v>#REF!</v>
      </c>
      <c r="N3295" t="e">
        <v>#REF!</v>
      </c>
      <c r="Q3295" t="e">
        <v>#REF!</v>
      </c>
    </row>
    <row r="3296" spans="1:17" hidden="1" x14ac:dyDescent="0.25">
      <c r="A3296" s="114" t="s">
        <v>6793</v>
      </c>
      <c r="B3296" s="115" t="s">
        <v>7098</v>
      </c>
      <c r="C3296" s="116" t="s">
        <v>16</v>
      </c>
      <c r="D3296" s="116">
        <v>0</v>
      </c>
      <c r="E3296" s="136">
        <f ca="1">OFFSET(INDEX(Composições!A:J,MATCH(Orçamentária!A3296,Composições!A:A,0),8),2,0)</f>
        <v>1.482</v>
      </c>
      <c r="F3296" s="137">
        <f t="shared" ca="1" si="257"/>
        <v>0</v>
      </c>
      <c r="G3296" s="138" t="e">
        <f>IF(A3296&lt;&gt;"",IF(AND(#REF!="Padrão",$H$4=#REF!),BDI!$B$17,IF(AND(#REF!="Padrão",$H$4=#REF!),BDI!#REF!,IF(AND(#REF!="Diferenciado",$H$4=#REF!),BDI!$E$17,IF(AND(#REF!="Diferenciado",$H$4=#REF!),BDI!#REF!,IF(#REF!="ZERO",0))))),"")</f>
        <v>#REF!</v>
      </c>
      <c r="H3296" s="139" t="e">
        <f t="shared" ca="1" si="258"/>
        <v>#REF!</v>
      </c>
      <c r="I3296" s="137" t="e">
        <f t="shared" ca="1" si="259"/>
        <v>#REF!</v>
      </c>
      <c r="J3296" s="117"/>
      <c r="K3296" s="116">
        <v>0</v>
      </c>
      <c r="M3296" s="136" t="e">
        <f ca="1">OFFSET(INDEX([1]Composições!I:R,MATCH([1]Orçamentária!I3296,[1]Composições!I:I,0),8),2,0)</f>
        <v>#REF!</v>
      </c>
      <c r="N3296" t="e">
        <v>#REF!</v>
      </c>
      <c r="Q3296" t="e">
        <v>#REF!</v>
      </c>
    </row>
    <row r="3297" spans="1:17" hidden="1" x14ac:dyDescent="0.25">
      <c r="A3297" s="114" t="s">
        <v>6794</v>
      </c>
      <c r="B3297" s="115" t="s">
        <v>7099</v>
      </c>
      <c r="C3297" s="116" t="s">
        <v>16</v>
      </c>
      <c r="D3297" s="116">
        <v>0</v>
      </c>
      <c r="E3297" s="136">
        <f ca="1">OFFSET(INDEX(Composições!A:J,MATCH(Orçamentária!A3297,Composições!A:A,0),8),2,0)</f>
        <v>2.3939999999999997</v>
      </c>
      <c r="F3297" s="137">
        <f t="shared" ca="1" si="257"/>
        <v>0</v>
      </c>
      <c r="G3297" s="138" t="e">
        <f>IF(A3297&lt;&gt;"",IF(AND(#REF!="Padrão",$H$4=#REF!),BDI!$B$17,IF(AND(#REF!="Padrão",$H$4=#REF!),BDI!#REF!,IF(AND(#REF!="Diferenciado",$H$4=#REF!),BDI!$E$17,IF(AND(#REF!="Diferenciado",$H$4=#REF!),BDI!#REF!,IF(#REF!="ZERO",0))))),"")</f>
        <v>#REF!</v>
      </c>
      <c r="H3297" s="139" t="e">
        <f t="shared" ca="1" si="258"/>
        <v>#REF!</v>
      </c>
      <c r="I3297" s="137" t="e">
        <f t="shared" ca="1" si="259"/>
        <v>#REF!</v>
      </c>
      <c r="J3297" s="117"/>
      <c r="K3297" s="116">
        <v>0</v>
      </c>
      <c r="M3297" s="136" t="e">
        <f ca="1">OFFSET(INDEX([1]Composições!I:R,MATCH([1]Orçamentária!I3297,[1]Composições!I:I,0),8),2,0)</f>
        <v>#REF!</v>
      </c>
      <c r="N3297" t="e">
        <v>#REF!</v>
      </c>
      <c r="Q3297" t="e">
        <v>#REF!</v>
      </c>
    </row>
    <row r="3298" spans="1:17" hidden="1" x14ac:dyDescent="0.25">
      <c r="A3298" s="114" t="s">
        <v>6795</v>
      </c>
      <c r="B3298" s="115" t="s">
        <v>7100</v>
      </c>
      <c r="C3298" s="116" t="s">
        <v>16</v>
      </c>
      <c r="D3298" s="116">
        <v>0</v>
      </c>
      <c r="E3298" s="136">
        <f ca="1">OFFSET(INDEX(Composições!A:J,MATCH(Orçamentária!A3298,Composições!A:A,0),8),2,0)</f>
        <v>5.2915000000000001</v>
      </c>
      <c r="F3298" s="137">
        <f t="shared" ca="1" si="257"/>
        <v>0</v>
      </c>
      <c r="G3298" s="138" t="e">
        <f>IF(A3298&lt;&gt;"",IF(AND(#REF!="Padrão",$H$4=#REF!),BDI!$B$17,IF(AND(#REF!="Padrão",$H$4=#REF!),BDI!#REF!,IF(AND(#REF!="Diferenciado",$H$4=#REF!),BDI!$E$17,IF(AND(#REF!="Diferenciado",$H$4=#REF!),BDI!#REF!,IF(#REF!="ZERO",0))))),"")</f>
        <v>#REF!</v>
      </c>
      <c r="H3298" s="139" t="e">
        <f t="shared" ca="1" si="258"/>
        <v>#REF!</v>
      </c>
      <c r="I3298" s="137" t="e">
        <f t="shared" ca="1" si="259"/>
        <v>#REF!</v>
      </c>
      <c r="J3298" s="117"/>
      <c r="K3298" s="116">
        <v>0</v>
      </c>
      <c r="M3298" s="136" t="e">
        <f ca="1">OFFSET(INDEX([1]Composições!I:R,MATCH([1]Orçamentária!I3298,[1]Composições!I:I,0),8),2,0)</f>
        <v>#REF!</v>
      </c>
      <c r="N3298" t="e">
        <v>#REF!</v>
      </c>
      <c r="Q3298" t="e">
        <v>#REF!</v>
      </c>
    </row>
    <row r="3299" spans="1:17" hidden="1" x14ac:dyDescent="0.25">
      <c r="A3299" s="114" t="s">
        <v>6796</v>
      </c>
      <c r="B3299" s="115" t="s">
        <v>7101</v>
      </c>
      <c r="C3299" s="116" t="s">
        <v>16</v>
      </c>
      <c r="D3299" s="116">
        <v>0</v>
      </c>
      <c r="E3299" s="136">
        <f ca="1">OFFSET(INDEX(Composições!A:J,MATCH(Orçamentária!A3299,Composições!A:A,0),8),2,0)</f>
        <v>7.9610000000000003</v>
      </c>
      <c r="F3299" s="137">
        <f t="shared" ca="1" si="257"/>
        <v>0</v>
      </c>
      <c r="G3299" s="138" t="e">
        <f>IF(A3299&lt;&gt;"",IF(AND(#REF!="Padrão",$H$4=#REF!),BDI!$B$17,IF(AND(#REF!="Padrão",$H$4=#REF!),BDI!#REF!,IF(AND(#REF!="Diferenciado",$H$4=#REF!),BDI!$E$17,IF(AND(#REF!="Diferenciado",$H$4=#REF!),BDI!#REF!,IF(#REF!="ZERO",0))))),"")</f>
        <v>#REF!</v>
      </c>
      <c r="H3299" s="139" t="e">
        <f t="shared" ca="1" si="258"/>
        <v>#REF!</v>
      </c>
      <c r="I3299" s="137" t="e">
        <f t="shared" ca="1" si="259"/>
        <v>#REF!</v>
      </c>
      <c r="J3299" s="117"/>
      <c r="K3299" s="116">
        <v>0</v>
      </c>
      <c r="M3299" s="136" t="e">
        <f ca="1">OFFSET(INDEX([1]Composições!I:R,MATCH([1]Orçamentária!I3299,[1]Composições!I:I,0),8),2,0)</f>
        <v>#REF!</v>
      </c>
      <c r="N3299" t="e">
        <v>#REF!</v>
      </c>
      <c r="Q3299" t="e">
        <v>#REF!</v>
      </c>
    </row>
    <row r="3300" spans="1:17" hidden="1" x14ac:dyDescent="0.25">
      <c r="A3300" s="114" t="s">
        <v>6797</v>
      </c>
      <c r="B3300" s="115" t="s">
        <v>7102</v>
      </c>
      <c r="C3300" s="116" t="s">
        <v>16</v>
      </c>
      <c r="D3300" s="116">
        <v>0</v>
      </c>
      <c r="E3300" s="136">
        <f ca="1">OFFSET(INDEX(Composições!A:J,MATCH(Orçamentária!A3300,Composições!A:A,0),8),2,0)</f>
        <v>1.1875</v>
      </c>
      <c r="F3300" s="137">
        <f t="shared" ca="1" si="257"/>
        <v>0</v>
      </c>
      <c r="G3300" s="138" t="e">
        <f>IF(A3300&lt;&gt;"",IF(AND(#REF!="Padrão",$H$4=#REF!),BDI!$B$17,IF(AND(#REF!="Padrão",$H$4=#REF!),BDI!#REF!,IF(AND(#REF!="Diferenciado",$H$4=#REF!),BDI!$E$17,IF(AND(#REF!="Diferenciado",$H$4=#REF!),BDI!#REF!,IF(#REF!="ZERO",0))))),"")</f>
        <v>#REF!</v>
      </c>
      <c r="H3300" s="139" t="e">
        <f t="shared" ca="1" si="258"/>
        <v>#REF!</v>
      </c>
      <c r="I3300" s="137" t="e">
        <f t="shared" ca="1" si="259"/>
        <v>#REF!</v>
      </c>
      <c r="J3300" s="117"/>
      <c r="K3300" s="116">
        <v>0</v>
      </c>
      <c r="M3300" s="136" t="e">
        <f ca="1">OFFSET(INDEX([1]Composições!I:R,MATCH([1]Orçamentária!I3300,[1]Composições!I:I,0),8),2,0)</f>
        <v>#REF!</v>
      </c>
      <c r="N3300" t="e">
        <v>#REF!</v>
      </c>
      <c r="Q3300" t="e">
        <v>#REF!</v>
      </c>
    </row>
    <row r="3301" spans="1:17" hidden="1" x14ac:dyDescent="0.25">
      <c r="A3301" s="114" t="s">
        <v>6798</v>
      </c>
      <c r="B3301" s="115" t="s">
        <v>7103</v>
      </c>
      <c r="C3301" s="116" t="s">
        <v>16</v>
      </c>
      <c r="D3301" s="116">
        <v>0</v>
      </c>
      <c r="E3301" s="136">
        <f ca="1">OFFSET(INDEX(Composições!A:J,MATCH(Orçamentária!A3301,Composições!A:A,0),8),2,0)</f>
        <v>4.18</v>
      </c>
      <c r="F3301" s="137">
        <f t="shared" ca="1" si="257"/>
        <v>0</v>
      </c>
      <c r="G3301" s="138" t="e">
        <f>IF(A3301&lt;&gt;"",IF(AND(#REF!="Padrão",$H$4=#REF!),BDI!$B$17,IF(AND(#REF!="Padrão",$H$4=#REF!),BDI!#REF!,IF(AND(#REF!="Diferenciado",$H$4=#REF!),BDI!$E$17,IF(AND(#REF!="Diferenciado",$H$4=#REF!),BDI!#REF!,IF(#REF!="ZERO",0))))),"")</f>
        <v>#REF!</v>
      </c>
      <c r="H3301" s="139" t="e">
        <f t="shared" ca="1" si="258"/>
        <v>#REF!</v>
      </c>
      <c r="I3301" s="137" t="e">
        <f t="shared" ca="1" si="259"/>
        <v>#REF!</v>
      </c>
      <c r="J3301" s="117"/>
      <c r="K3301" s="116">
        <v>0</v>
      </c>
      <c r="M3301" s="136" t="e">
        <f ca="1">OFFSET(INDEX([1]Composições!I:R,MATCH([1]Orçamentária!I3301,[1]Composições!I:I,0),8),2,0)</f>
        <v>#REF!</v>
      </c>
      <c r="N3301" t="e">
        <v>#REF!</v>
      </c>
      <c r="Q3301" t="e">
        <v>#REF!</v>
      </c>
    </row>
    <row r="3302" spans="1:17" hidden="1" x14ac:dyDescent="0.25">
      <c r="A3302" s="114" t="s">
        <v>6799</v>
      </c>
      <c r="B3302" s="115" t="s">
        <v>7104</v>
      </c>
      <c r="C3302" s="116" t="s">
        <v>16</v>
      </c>
      <c r="D3302" s="116">
        <v>0</v>
      </c>
      <c r="E3302" s="136">
        <f ca="1">OFFSET(INDEX(Composições!A:J,MATCH(Orçamentária!A3302,Composições!A:A,0),8),2,0)</f>
        <v>5.1395</v>
      </c>
      <c r="F3302" s="137">
        <f t="shared" ca="1" si="257"/>
        <v>0</v>
      </c>
      <c r="G3302" s="138" t="e">
        <f>IF(A3302&lt;&gt;"",IF(AND(#REF!="Padrão",$H$4=#REF!),BDI!$B$17,IF(AND(#REF!="Padrão",$H$4=#REF!),BDI!#REF!,IF(AND(#REF!="Diferenciado",$H$4=#REF!),BDI!$E$17,IF(AND(#REF!="Diferenciado",$H$4=#REF!),BDI!#REF!,IF(#REF!="ZERO",0))))),"")</f>
        <v>#REF!</v>
      </c>
      <c r="H3302" s="139" t="e">
        <f t="shared" ca="1" si="258"/>
        <v>#REF!</v>
      </c>
      <c r="I3302" s="137" t="e">
        <f t="shared" ca="1" si="259"/>
        <v>#REF!</v>
      </c>
      <c r="J3302" s="117"/>
      <c r="K3302" s="116">
        <v>0</v>
      </c>
      <c r="M3302" s="136" t="e">
        <f ca="1">OFFSET(INDEX([1]Composições!I:R,MATCH([1]Orçamentária!I3302,[1]Composições!I:I,0),8),2,0)</f>
        <v>#REF!</v>
      </c>
      <c r="N3302" t="e">
        <v>#REF!</v>
      </c>
      <c r="Q3302" t="e">
        <v>#REF!</v>
      </c>
    </row>
    <row r="3303" spans="1:17" hidden="1" x14ac:dyDescent="0.25">
      <c r="A3303" s="114" t="s">
        <v>6800</v>
      </c>
      <c r="B3303" s="115" t="s">
        <v>7105</v>
      </c>
      <c r="C3303" s="116" t="s">
        <v>16</v>
      </c>
      <c r="D3303" s="116">
        <v>0</v>
      </c>
      <c r="E3303" s="136">
        <f ca="1">OFFSET(INDEX(Composições!A:J,MATCH(Orçamentária!A3303,Composições!A:A,0),8),2,0)</f>
        <v>1.2349999999999999</v>
      </c>
      <c r="F3303" s="137">
        <f t="shared" ca="1" si="257"/>
        <v>0</v>
      </c>
      <c r="G3303" s="138" t="e">
        <f>IF(A3303&lt;&gt;"",IF(AND(#REF!="Padrão",$H$4=#REF!),BDI!$B$17,IF(AND(#REF!="Padrão",$H$4=#REF!),BDI!#REF!,IF(AND(#REF!="Diferenciado",$H$4=#REF!),BDI!$E$17,IF(AND(#REF!="Diferenciado",$H$4=#REF!),BDI!#REF!,IF(#REF!="ZERO",0))))),"")</f>
        <v>#REF!</v>
      </c>
      <c r="H3303" s="139" t="e">
        <f t="shared" ca="1" si="258"/>
        <v>#REF!</v>
      </c>
      <c r="I3303" s="137" t="e">
        <f t="shared" ca="1" si="259"/>
        <v>#REF!</v>
      </c>
      <c r="J3303" s="117"/>
      <c r="K3303" s="116">
        <v>0</v>
      </c>
      <c r="M3303" s="136" t="e">
        <f ca="1">OFFSET(INDEX([1]Composições!I:R,MATCH([1]Orçamentária!I3303,[1]Composições!I:I,0),8),2,0)</f>
        <v>#REF!</v>
      </c>
      <c r="N3303" t="e">
        <v>#REF!</v>
      </c>
      <c r="Q3303" t="e">
        <v>#REF!</v>
      </c>
    </row>
    <row r="3304" spans="1:17" hidden="1" x14ac:dyDescent="0.25">
      <c r="A3304" s="114" t="s">
        <v>6801</v>
      </c>
      <c r="B3304" s="115" t="s">
        <v>7106</v>
      </c>
      <c r="C3304" s="116" t="s">
        <v>16</v>
      </c>
      <c r="D3304" s="116">
        <v>0</v>
      </c>
      <c r="E3304" s="136">
        <f ca="1">OFFSET(INDEX(Composições!A:J,MATCH(Orçamentária!A3304,Composições!A:A,0),8),2,0)</f>
        <v>1.8144999999999998</v>
      </c>
      <c r="F3304" s="137">
        <f t="shared" ca="1" si="257"/>
        <v>0</v>
      </c>
      <c r="G3304" s="138" t="e">
        <f>IF(A3304&lt;&gt;"",IF(AND(#REF!="Padrão",$H$4=#REF!),BDI!$B$17,IF(AND(#REF!="Padrão",$H$4=#REF!),BDI!#REF!,IF(AND(#REF!="Diferenciado",$H$4=#REF!),BDI!$E$17,IF(AND(#REF!="Diferenciado",$H$4=#REF!),BDI!#REF!,IF(#REF!="ZERO",0))))),"")</f>
        <v>#REF!</v>
      </c>
      <c r="H3304" s="139" t="e">
        <f t="shared" ca="1" si="258"/>
        <v>#REF!</v>
      </c>
      <c r="I3304" s="137" t="e">
        <f t="shared" ca="1" si="259"/>
        <v>#REF!</v>
      </c>
      <c r="J3304" s="117"/>
      <c r="K3304" s="116">
        <v>0</v>
      </c>
      <c r="M3304" s="136" t="e">
        <f ca="1">OFFSET(INDEX([1]Composições!I:R,MATCH([1]Orçamentária!I3304,[1]Composições!I:I,0),8),2,0)</f>
        <v>#REF!</v>
      </c>
      <c r="N3304" t="e">
        <v>#REF!</v>
      </c>
      <c r="Q3304" t="e">
        <v>#REF!</v>
      </c>
    </row>
    <row r="3305" spans="1:17" hidden="1" x14ac:dyDescent="0.25">
      <c r="A3305" s="114" t="s">
        <v>6802</v>
      </c>
      <c r="B3305" s="115" t="s">
        <v>7107</v>
      </c>
      <c r="C3305" s="116" t="s">
        <v>16</v>
      </c>
      <c r="D3305" s="116">
        <v>0</v>
      </c>
      <c r="E3305" s="136">
        <f ca="1">OFFSET(INDEX(Composições!A:J,MATCH(Orçamentária!A3305,Composições!A:A,0),8),2,0)</f>
        <v>5.9089999999999998</v>
      </c>
      <c r="F3305" s="137">
        <f t="shared" ca="1" si="257"/>
        <v>0</v>
      </c>
      <c r="G3305" s="138" t="e">
        <f>IF(A3305&lt;&gt;"",IF(AND(#REF!="Padrão",$H$4=#REF!),BDI!$B$17,IF(AND(#REF!="Padrão",$H$4=#REF!),BDI!#REF!,IF(AND(#REF!="Diferenciado",$H$4=#REF!),BDI!$E$17,IF(AND(#REF!="Diferenciado",$H$4=#REF!),BDI!#REF!,IF(#REF!="ZERO",0))))),"")</f>
        <v>#REF!</v>
      </c>
      <c r="H3305" s="139" t="e">
        <f t="shared" ca="1" si="258"/>
        <v>#REF!</v>
      </c>
      <c r="I3305" s="137" t="e">
        <f t="shared" ca="1" si="259"/>
        <v>#REF!</v>
      </c>
      <c r="J3305" s="117"/>
      <c r="K3305" s="116">
        <v>0</v>
      </c>
      <c r="M3305" s="136" t="e">
        <f ca="1">OFFSET(INDEX([1]Composições!I:R,MATCH([1]Orçamentária!I3305,[1]Composições!I:I,0),8),2,0)</f>
        <v>#REF!</v>
      </c>
      <c r="N3305" t="e">
        <v>#REF!</v>
      </c>
      <c r="Q3305" t="e">
        <v>#REF!</v>
      </c>
    </row>
    <row r="3306" spans="1:17" hidden="1" x14ac:dyDescent="0.25">
      <c r="A3306" s="114" t="s">
        <v>6803</v>
      </c>
      <c r="B3306" s="115" t="s">
        <v>7108</v>
      </c>
      <c r="C3306" s="116" t="s">
        <v>16</v>
      </c>
      <c r="D3306" s="116">
        <v>0</v>
      </c>
      <c r="E3306" s="136">
        <f ca="1">OFFSET(INDEX(Composições!A:J,MATCH(Orçamentária!A3306,Composições!A:A,0),8),2,0)</f>
        <v>6.4885000000000002</v>
      </c>
      <c r="F3306" s="137">
        <f t="shared" ca="1" si="257"/>
        <v>0</v>
      </c>
      <c r="G3306" s="138" t="e">
        <f>IF(A3306&lt;&gt;"",IF(AND(#REF!="Padrão",$H$4=#REF!),BDI!$B$17,IF(AND(#REF!="Padrão",$H$4=#REF!),BDI!#REF!,IF(AND(#REF!="Diferenciado",$H$4=#REF!),BDI!$E$17,IF(AND(#REF!="Diferenciado",$H$4=#REF!),BDI!#REF!,IF(#REF!="ZERO",0))))),"")</f>
        <v>#REF!</v>
      </c>
      <c r="H3306" s="139" t="e">
        <f t="shared" ca="1" si="258"/>
        <v>#REF!</v>
      </c>
      <c r="I3306" s="137" t="e">
        <f t="shared" ca="1" si="259"/>
        <v>#REF!</v>
      </c>
      <c r="J3306" s="117"/>
      <c r="K3306" s="116">
        <v>0</v>
      </c>
      <c r="M3306" s="136" t="e">
        <f ca="1">OFFSET(INDEX([1]Composições!I:R,MATCH([1]Orçamentária!I3306,[1]Composições!I:I,0),8),2,0)</f>
        <v>#REF!</v>
      </c>
      <c r="N3306" t="e">
        <v>#REF!</v>
      </c>
      <c r="Q3306" t="e">
        <v>#REF!</v>
      </c>
    </row>
    <row r="3307" spans="1:17" hidden="1" x14ac:dyDescent="0.25">
      <c r="A3307" s="114" t="s">
        <v>6829</v>
      </c>
      <c r="B3307" s="115" t="s">
        <v>7109</v>
      </c>
      <c r="C3307" s="116" t="s">
        <v>16</v>
      </c>
      <c r="D3307" s="116">
        <v>0</v>
      </c>
      <c r="E3307" s="136">
        <f ca="1">OFFSET(INDEX(Composições!A:J,MATCH(Orçamentária!A3307,Composições!A:A,0),8),2,0)</f>
        <v>12.197999999999999</v>
      </c>
      <c r="F3307" s="137">
        <f t="shared" ca="1" si="257"/>
        <v>0</v>
      </c>
      <c r="G3307" s="138" t="e">
        <f>IF(A3307&lt;&gt;"",IF(AND(#REF!="Padrão",$H$4=#REF!),BDI!$B$17,IF(AND(#REF!="Padrão",$H$4=#REF!),BDI!#REF!,IF(AND(#REF!="Diferenciado",$H$4=#REF!),BDI!$E$17,IF(AND(#REF!="Diferenciado",$H$4=#REF!),BDI!#REF!,IF(#REF!="ZERO",0))))),"")</f>
        <v>#REF!</v>
      </c>
      <c r="H3307" s="139" t="e">
        <f t="shared" ca="1" si="258"/>
        <v>#REF!</v>
      </c>
      <c r="I3307" s="137" t="e">
        <f t="shared" ca="1" si="259"/>
        <v>#REF!</v>
      </c>
      <c r="J3307" s="117"/>
      <c r="K3307" s="116">
        <v>0</v>
      </c>
      <c r="M3307" s="136" t="e">
        <f ca="1">OFFSET(INDEX([1]Composições!I:R,MATCH([1]Orçamentária!I3307,[1]Composições!I:I,0),8),2,0)</f>
        <v>#REF!</v>
      </c>
      <c r="N3307" t="e">
        <v>#REF!</v>
      </c>
      <c r="Q3307" t="e">
        <v>#REF!</v>
      </c>
    </row>
    <row r="3308" spans="1:17" hidden="1" x14ac:dyDescent="0.25">
      <c r="A3308" s="114" t="s">
        <v>6830</v>
      </c>
      <c r="B3308" s="115" t="s">
        <v>7110</v>
      </c>
      <c r="C3308" s="116" t="s">
        <v>16</v>
      </c>
      <c r="D3308" s="116">
        <v>0</v>
      </c>
      <c r="E3308" s="136">
        <f ca="1">OFFSET(INDEX(Composições!A:J,MATCH(Orçamentária!A3308,Composições!A:A,0),8),2,0)</f>
        <v>0.8075</v>
      </c>
      <c r="F3308" s="137">
        <f t="shared" ca="1" si="257"/>
        <v>0</v>
      </c>
      <c r="G3308" s="138" t="e">
        <f>IF(A3308&lt;&gt;"",IF(AND(#REF!="Padrão",$H$4=#REF!),BDI!$B$17,IF(AND(#REF!="Padrão",$H$4=#REF!),BDI!#REF!,IF(AND(#REF!="Diferenciado",$H$4=#REF!),BDI!$E$17,IF(AND(#REF!="Diferenciado",$H$4=#REF!),BDI!#REF!,IF(#REF!="ZERO",0))))),"")</f>
        <v>#REF!</v>
      </c>
      <c r="H3308" s="139" t="e">
        <f t="shared" ca="1" si="258"/>
        <v>#REF!</v>
      </c>
      <c r="I3308" s="137" t="e">
        <f t="shared" ca="1" si="259"/>
        <v>#REF!</v>
      </c>
      <c r="J3308" s="117"/>
      <c r="K3308" s="116">
        <v>0</v>
      </c>
      <c r="M3308" s="136" t="e">
        <f ca="1">OFFSET(INDEX([1]Composições!I:R,MATCH([1]Orçamentária!I3308,[1]Composições!I:I,0),8),2,0)</f>
        <v>#REF!</v>
      </c>
      <c r="N3308" t="e">
        <v>#REF!</v>
      </c>
      <c r="Q3308" t="e">
        <v>#REF!</v>
      </c>
    </row>
    <row r="3309" spans="1:17" hidden="1" x14ac:dyDescent="0.25">
      <c r="A3309" s="114" t="s">
        <v>6831</v>
      </c>
      <c r="B3309" s="115" t="s">
        <v>7111</v>
      </c>
      <c r="C3309" s="116" t="s">
        <v>16</v>
      </c>
      <c r="D3309" s="116">
        <v>0</v>
      </c>
      <c r="E3309" s="136">
        <f ca="1">OFFSET(INDEX(Composições!A:J,MATCH(Orçamentária!A3309,Composições!A:A,0),8),2,0)</f>
        <v>7.8944999999999999</v>
      </c>
      <c r="F3309" s="137">
        <f t="shared" ca="1" si="257"/>
        <v>0</v>
      </c>
      <c r="G3309" s="138" t="e">
        <f>IF(A3309&lt;&gt;"",IF(AND(#REF!="Padrão",$H$4=#REF!),BDI!$B$17,IF(AND(#REF!="Padrão",$H$4=#REF!),BDI!#REF!,IF(AND(#REF!="Diferenciado",$H$4=#REF!),BDI!$E$17,IF(AND(#REF!="Diferenciado",$H$4=#REF!),BDI!#REF!,IF(#REF!="ZERO",0))))),"")</f>
        <v>#REF!</v>
      </c>
      <c r="H3309" s="139" t="e">
        <f t="shared" ca="1" si="258"/>
        <v>#REF!</v>
      </c>
      <c r="I3309" s="137" t="e">
        <f t="shared" ca="1" si="259"/>
        <v>#REF!</v>
      </c>
      <c r="J3309" s="117"/>
      <c r="K3309" s="116">
        <v>0</v>
      </c>
      <c r="M3309" s="136" t="e">
        <f ca="1">OFFSET(INDEX([1]Composições!I:R,MATCH([1]Orçamentária!I3309,[1]Composições!I:I,0),8),2,0)</f>
        <v>#REF!</v>
      </c>
      <c r="N3309" t="e">
        <v>#REF!</v>
      </c>
      <c r="Q3309" t="e">
        <v>#REF!</v>
      </c>
    </row>
    <row r="3310" spans="1:17" hidden="1" x14ac:dyDescent="0.25">
      <c r="A3310" s="114" t="s">
        <v>6832</v>
      </c>
      <c r="B3310" s="115" t="s">
        <v>7112</v>
      </c>
      <c r="C3310" s="116" t="s">
        <v>16</v>
      </c>
      <c r="D3310" s="116">
        <v>0</v>
      </c>
      <c r="E3310" s="136">
        <f ca="1">OFFSET(INDEX(Composições!A:J,MATCH(Orçamentária!A3310,Composições!A:A,0),8),2,0)</f>
        <v>0.88349999999999995</v>
      </c>
      <c r="F3310" s="137">
        <f t="shared" ca="1" si="257"/>
        <v>0</v>
      </c>
      <c r="G3310" s="138" t="e">
        <f>IF(A3310&lt;&gt;"",IF(AND(#REF!="Padrão",$H$4=#REF!),BDI!$B$17,IF(AND(#REF!="Padrão",$H$4=#REF!),BDI!#REF!,IF(AND(#REF!="Diferenciado",$H$4=#REF!),BDI!$E$17,IF(AND(#REF!="Diferenciado",$H$4=#REF!),BDI!#REF!,IF(#REF!="ZERO",0))))),"")</f>
        <v>#REF!</v>
      </c>
      <c r="H3310" s="139" t="e">
        <f t="shared" ca="1" si="258"/>
        <v>#REF!</v>
      </c>
      <c r="I3310" s="137" t="e">
        <f t="shared" ca="1" si="259"/>
        <v>#REF!</v>
      </c>
      <c r="J3310" s="117"/>
      <c r="K3310" s="116">
        <v>0</v>
      </c>
      <c r="M3310" s="136" t="e">
        <f ca="1">OFFSET(INDEX([1]Composições!I:R,MATCH([1]Orçamentária!I3310,[1]Composições!I:I,0),8),2,0)</f>
        <v>#REF!</v>
      </c>
      <c r="N3310" t="e">
        <v>#REF!</v>
      </c>
      <c r="Q3310" t="e">
        <v>#REF!</v>
      </c>
    </row>
    <row r="3311" spans="1:17" hidden="1" x14ac:dyDescent="0.25">
      <c r="A3311" s="114" t="s">
        <v>6833</v>
      </c>
      <c r="B3311" s="115" t="s">
        <v>7113</v>
      </c>
      <c r="C3311" s="116" t="s">
        <v>16</v>
      </c>
      <c r="D3311" s="116">
        <v>0</v>
      </c>
      <c r="E3311" s="136">
        <f ca="1">OFFSET(INDEX(Composições!A:J,MATCH(Orçamentária!A3311,Composições!A:A,0),8),2,0)</f>
        <v>12.169499999999999</v>
      </c>
      <c r="F3311" s="137">
        <f t="shared" ca="1" si="257"/>
        <v>0</v>
      </c>
      <c r="G3311" s="138" t="e">
        <f>IF(A3311&lt;&gt;"",IF(AND(#REF!="Padrão",$H$4=#REF!),BDI!$B$17,IF(AND(#REF!="Padrão",$H$4=#REF!),BDI!#REF!,IF(AND(#REF!="Diferenciado",$H$4=#REF!),BDI!$E$17,IF(AND(#REF!="Diferenciado",$H$4=#REF!),BDI!#REF!,IF(#REF!="ZERO",0))))),"")</f>
        <v>#REF!</v>
      </c>
      <c r="H3311" s="139" t="e">
        <f t="shared" ca="1" si="258"/>
        <v>#REF!</v>
      </c>
      <c r="I3311" s="137" t="e">
        <f t="shared" ca="1" si="259"/>
        <v>#REF!</v>
      </c>
      <c r="J3311" s="117"/>
      <c r="K3311" s="116">
        <v>0</v>
      </c>
      <c r="M3311" s="136" t="e">
        <f ca="1">OFFSET(INDEX([1]Composições!I:R,MATCH([1]Orçamentária!I3311,[1]Composições!I:I,0),8),2,0)</f>
        <v>#REF!</v>
      </c>
      <c r="N3311" t="e">
        <v>#REF!</v>
      </c>
      <c r="Q3311" t="e">
        <v>#REF!</v>
      </c>
    </row>
    <row r="3312" spans="1:17" hidden="1" x14ac:dyDescent="0.25">
      <c r="A3312" s="114" t="s">
        <v>6834</v>
      </c>
      <c r="B3312" s="115" t="s">
        <v>7114</v>
      </c>
      <c r="C3312" s="116" t="s">
        <v>16</v>
      </c>
      <c r="D3312" s="116">
        <v>0</v>
      </c>
      <c r="E3312" s="136">
        <f ca="1">OFFSET(INDEX(Composições!A:J,MATCH(Orçamentária!A3312,Composições!A:A,0),8),2,0)</f>
        <v>2.3939999999999997</v>
      </c>
      <c r="F3312" s="137">
        <f t="shared" ca="1" si="257"/>
        <v>0</v>
      </c>
      <c r="G3312" s="138" t="e">
        <f>IF(A3312&lt;&gt;"",IF(AND(#REF!="Padrão",$H$4=#REF!),BDI!$B$17,IF(AND(#REF!="Padrão",$H$4=#REF!),BDI!#REF!,IF(AND(#REF!="Diferenciado",$H$4=#REF!),BDI!$E$17,IF(AND(#REF!="Diferenciado",$H$4=#REF!),BDI!#REF!,IF(#REF!="ZERO",0))))),"")</f>
        <v>#REF!</v>
      </c>
      <c r="H3312" s="139" t="e">
        <f t="shared" ca="1" si="258"/>
        <v>#REF!</v>
      </c>
      <c r="I3312" s="137" t="e">
        <f t="shared" ca="1" si="259"/>
        <v>#REF!</v>
      </c>
      <c r="J3312" s="117"/>
      <c r="K3312" s="116">
        <v>0</v>
      </c>
      <c r="M3312" s="136" t="e">
        <f ca="1">OFFSET(INDEX([1]Composições!I:R,MATCH([1]Orçamentária!I3312,[1]Composições!I:I,0),8),2,0)</f>
        <v>#REF!</v>
      </c>
      <c r="N3312" t="e">
        <v>#REF!</v>
      </c>
      <c r="Q3312" t="e">
        <v>#REF!</v>
      </c>
    </row>
    <row r="3313" spans="1:17" hidden="1" x14ac:dyDescent="0.25">
      <c r="A3313" s="114" t="s">
        <v>6835</v>
      </c>
      <c r="B3313" s="115" t="s">
        <v>7115</v>
      </c>
      <c r="C3313" s="116" t="s">
        <v>16</v>
      </c>
      <c r="D3313" s="116">
        <v>0</v>
      </c>
      <c r="E3313" s="136">
        <f ca="1">OFFSET(INDEX(Composições!A:J,MATCH(Orçamentária!A3313,Composições!A:A,0),8),2,0)</f>
        <v>4.0944999999999991</v>
      </c>
      <c r="F3313" s="137">
        <f t="shared" ca="1" si="257"/>
        <v>0</v>
      </c>
      <c r="G3313" s="138" t="e">
        <f>IF(A3313&lt;&gt;"",IF(AND(#REF!="Padrão",$H$4=#REF!),BDI!$B$17,IF(AND(#REF!="Padrão",$H$4=#REF!),BDI!#REF!,IF(AND(#REF!="Diferenciado",$H$4=#REF!),BDI!$E$17,IF(AND(#REF!="Diferenciado",$H$4=#REF!),BDI!#REF!,IF(#REF!="ZERO",0))))),"")</f>
        <v>#REF!</v>
      </c>
      <c r="H3313" s="139" t="e">
        <f t="shared" ca="1" si="258"/>
        <v>#REF!</v>
      </c>
      <c r="I3313" s="137" t="e">
        <f t="shared" ca="1" si="259"/>
        <v>#REF!</v>
      </c>
      <c r="J3313" s="117"/>
      <c r="K3313" s="116">
        <v>0</v>
      </c>
      <c r="M3313" s="136" t="e">
        <f ca="1">OFFSET(INDEX([1]Composições!I:R,MATCH([1]Orçamentária!I3313,[1]Composições!I:I,0),8),2,0)</f>
        <v>#REF!</v>
      </c>
      <c r="N3313" t="e">
        <v>#REF!</v>
      </c>
      <c r="Q3313" t="e">
        <v>#REF!</v>
      </c>
    </row>
    <row r="3314" spans="1:17" hidden="1" x14ac:dyDescent="0.25">
      <c r="A3314" s="114" t="s">
        <v>6836</v>
      </c>
      <c r="B3314" s="115" t="s">
        <v>7116</v>
      </c>
      <c r="C3314" s="116" t="s">
        <v>16</v>
      </c>
      <c r="D3314" s="116">
        <v>0</v>
      </c>
      <c r="E3314" s="136">
        <f ca="1">OFFSET(INDEX(Composições!A:J,MATCH(Orçamentária!A3314,Composições!A:A,0),8),2,0)</f>
        <v>2.0234999999999999</v>
      </c>
      <c r="F3314" s="137">
        <f t="shared" ca="1" si="257"/>
        <v>0</v>
      </c>
      <c r="G3314" s="138" t="e">
        <f>IF(A3314&lt;&gt;"",IF(AND(#REF!="Padrão",$H$4=#REF!),BDI!$B$17,IF(AND(#REF!="Padrão",$H$4=#REF!),BDI!#REF!,IF(AND(#REF!="Diferenciado",$H$4=#REF!),BDI!$E$17,IF(AND(#REF!="Diferenciado",$H$4=#REF!),BDI!#REF!,IF(#REF!="ZERO",0))))),"")</f>
        <v>#REF!</v>
      </c>
      <c r="H3314" s="139" t="e">
        <f t="shared" ca="1" si="258"/>
        <v>#REF!</v>
      </c>
      <c r="I3314" s="137" t="e">
        <f t="shared" ca="1" si="259"/>
        <v>#REF!</v>
      </c>
      <c r="J3314" s="117"/>
      <c r="K3314" s="116">
        <v>0</v>
      </c>
      <c r="M3314" s="136" t="e">
        <f ca="1">OFFSET(INDEX([1]Composições!I:R,MATCH([1]Orçamentária!I3314,[1]Composições!I:I,0),8),2,0)</f>
        <v>#REF!</v>
      </c>
      <c r="N3314" t="e">
        <v>#REF!</v>
      </c>
      <c r="Q3314" t="e">
        <v>#REF!</v>
      </c>
    </row>
    <row r="3315" spans="1:17" hidden="1" x14ac:dyDescent="0.25">
      <c r="A3315" s="114" t="s">
        <v>6837</v>
      </c>
      <c r="B3315" s="115" t="s">
        <v>7117</v>
      </c>
      <c r="C3315" s="116" t="s">
        <v>16</v>
      </c>
      <c r="D3315" s="116">
        <v>0</v>
      </c>
      <c r="E3315" s="136">
        <f ca="1">OFFSET(INDEX(Composições!A:J,MATCH(Orçamentária!A3315,Composições!A:A,0),8),2,0)</f>
        <v>6.3839999999999995</v>
      </c>
      <c r="F3315" s="137">
        <f t="shared" ca="1" si="257"/>
        <v>0</v>
      </c>
      <c r="G3315" s="138" t="e">
        <f>IF(A3315&lt;&gt;"",IF(AND(#REF!="Padrão",$H$4=#REF!),BDI!$B$17,IF(AND(#REF!="Padrão",$H$4=#REF!),BDI!#REF!,IF(AND(#REF!="Diferenciado",$H$4=#REF!),BDI!$E$17,IF(AND(#REF!="Diferenciado",$H$4=#REF!),BDI!#REF!,IF(#REF!="ZERO",0))))),"")</f>
        <v>#REF!</v>
      </c>
      <c r="H3315" s="139" t="e">
        <f t="shared" ca="1" si="258"/>
        <v>#REF!</v>
      </c>
      <c r="I3315" s="137" t="e">
        <f t="shared" ca="1" si="259"/>
        <v>#REF!</v>
      </c>
      <c r="J3315" s="117"/>
      <c r="K3315" s="116">
        <v>0</v>
      </c>
      <c r="M3315" s="136" t="e">
        <f ca="1">OFFSET(INDEX([1]Composições!I:R,MATCH([1]Orçamentária!I3315,[1]Composições!I:I,0),8),2,0)</f>
        <v>#REF!</v>
      </c>
      <c r="N3315" t="e">
        <v>#REF!</v>
      </c>
      <c r="Q3315" t="e">
        <v>#REF!</v>
      </c>
    </row>
    <row r="3316" spans="1:17" hidden="1" x14ac:dyDescent="0.25">
      <c r="A3316" s="114" t="s">
        <v>6838</v>
      </c>
      <c r="B3316" s="115" t="s">
        <v>7118</v>
      </c>
      <c r="C3316" s="116" t="s">
        <v>16</v>
      </c>
      <c r="D3316" s="116">
        <v>0</v>
      </c>
      <c r="E3316" s="136">
        <f ca="1">OFFSET(INDEX(Composições!A:J,MATCH(Orçamentária!A3316,Composições!A:A,0),8),2,0)</f>
        <v>3.7239999999999998</v>
      </c>
      <c r="F3316" s="137">
        <f t="shared" ca="1" si="257"/>
        <v>0</v>
      </c>
      <c r="G3316" s="138" t="e">
        <f>IF(A3316&lt;&gt;"",IF(AND(#REF!="Padrão",$H$4=#REF!),BDI!$B$17,IF(AND(#REF!="Padrão",$H$4=#REF!),BDI!#REF!,IF(AND(#REF!="Diferenciado",$H$4=#REF!),BDI!$E$17,IF(AND(#REF!="Diferenciado",$H$4=#REF!),BDI!#REF!,IF(#REF!="ZERO",0))))),"")</f>
        <v>#REF!</v>
      </c>
      <c r="H3316" s="139" t="e">
        <f t="shared" ca="1" si="258"/>
        <v>#REF!</v>
      </c>
      <c r="I3316" s="137" t="e">
        <f t="shared" ca="1" si="259"/>
        <v>#REF!</v>
      </c>
      <c r="J3316" s="117"/>
      <c r="K3316" s="116">
        <v>0</v>
      </c>
      <c r="M3316" s="136" t="e">
        <f ca="1">OFFSET(INDEX([1]Composições!I:R,MATCH([1]Orçamentária!I3316,[1]Composições!I:I,0),8),2,0)</f>
        <v>#REF!</v>
      </c>
      <c r="N3316" t="e">
        <v>#REF!</v>
      </c>
      <c r="Q3316" t="e">
        <v>#REF!</v>
      </c>
    </row>
    <row r="3317" spans="1:17" hidden="1" x14ac:dyDescent="0.25">
      <c r="A3317" s="114" t="s">
        <v>6839</v>
      </c>
      <c r="B3317" s="115" t="s">
        <v>7119</v>
      </c>
      <c r="C3317" s="116" t="s">
        <v>16</v>
      </c>
      <c r="D3317" s="116">
        <v>0</v>
      </c>
      <c r="E3317" s="136">
        <f ca="1">OFFSET(INDEX(Composições!A:J,MATCH(Orçamentária!A3317,Composições!A:A,0),8),2,0)</f>
        <v>1.976</v>
      </c>
      <c r="F3317" s="137">
        <f t="shared" ca="1" si="257"/>
        <v>0</v>
      </c>
      <c r="G3317" s="138" t="e">
        <f>IF(A3317&lt;&gt;"",IF(AND(#REF!="Padrão",$H$4=#REF!),BDI!$B$17,IF(AND(#REF!="Padrão",$H$4=#REF!),BDI!#REF!,IF(AND(#REF!="Diferenciado",$H$4=#REF!),BDI!$E$17,IF(AND(#REF!="Diferenciado",$H$4=#REF!),BDI!#REF!,IF(#REF!="ZERO",0))))),"")</f>
        <v>#REF!</v>
      </c>
      <c r="H3317" s="139" t="e">
        <f t="shared" ca="1" si="258"/>
        <v>#REF!</v>
      </c>
      <c r="I3317" s="137" t="e">
        <f t="shared" ca="1" si="259"/>
        <v>#REF!</v>
      </c>
      <c r="J3317" s="117"/>
      <c r="K3317" s="116">
        <v>0</v>
      </c>
      <c r="M3317" s="136" t="e">
        <f ca="1">OFFSET(INDEX([1]Composições!I:R,MATCH([1]Orçamentária!I3317,[1]Composições!I:I,0),8),2,0)</f>
        <v>#REF!</v>
      </c>
      <c r="N3317" t="e">
        <v>#REF!</v>
      </c>
      <c r="Q3317" t="e">
        <v>#REF!</v>
      </c>
    </row>
    <row r="3318" spans="1:17" hidden="1" x14ac:dyDescent="0.25">
      <c r="A3318" s="114" t="s">
        <v>6840</v>
      </c>
      <c r="B3318" s="115" t="s">
        <v>7120</v>
      </c>
      <c r="C3318" s="116" t="s">
        <v>16</v>
      </c>
      <c r="D3318" s="116">
        <v>0</v>
      </c>
      <c r="E3318" s="136">
        <f ca="1">OFFSET(INDEX(Composições!A:J,MATCH(Orçamentária!A3318,Composições!A:A,0),8),2,0)</f>
        <v>21.650499999999997</v>
      </c>
      <c r="F3318" s="137">
        <f t="shared" ca="1" si="257"/>
        <v>0</v>
      </c>
      <c r="G3318" s="138" t="e">
        <f>IF(A3318&lt;&gt;"",IF(AND(#REF!="Padrão",$H$4=#REF!),BDI!$B$17,IF(AND(#REF!="Padrão",$H$4=#REF!),BDI!#REF!,IF(AND(#REF!="Diferenciado",$H$4=#REF!),BDI!$E$17,IF(AND(#REF!="Diferenciado",$H$4=#REF!),BDI!#REF!,IF(#REF!="ZERO",0))))),"")</f>
        <v>#REF!</v>
      </c>
      <c r="H3318" s="139" t="e">
        <f t="shared" ca="1" si="258"/>
        <v>#REF!</v>
      </c>
      <c r="I3318" s="137" t="e">
        <f t="shared" ca="1" si="259"/>
        <v>#REF!</v>
      </c>
      <c r="J3318" s="117"/>
      <c r="K3318" s="116">
        <v>0</v>
      </c>
      <c r="M3318" s="136" t="e">
        <f ca="1">OFFSET(INDEX([1]Composições!I:R,MATCH([1]Orçamentária!I3318,[1]Composições!I:I,0),8),2,0)</f>
        <v>#REF!</v>
      </c>
      <c r="N3318" t="e">
        <v>#REF!</v>
      </c>
      <c r="Q3318" t="e">
        <v>#REF!</v>
      </c>
    </row>
    <row r="3319" spans="1:17" hidden="1" x14ac:dyDescent="0.25">
      <c r="A3319" s="114" t="s">
        <v>6841</v>
      </c>
      <c r="B3319" s="115" t="s">
        <v>7121</v>
      </c>
      <c r="C3319" s="116" t="s">
        <v>16</v>
      </c>
      <c r="D3319" s="116">
        <v>0</v>
      </c>
      <c r="E3319" s="136">
        <f ca="1">OFFSET(INDEX(Composições!A:J,MATCH(Orçamentária!A3319,Composições!A:A,0),8),2,0)</f>
        <v>13.299999999999999</v>
      </c>
      <c r="F3319" s="137">
        <f t="shared" ca="1" si="257"/>
        <v>0</v>
      </c>
      <c r="G3319" s="138" t="e">
        <f>IF(A3319&lt;&gt;"",IF(AND(#REF!="Padrão",$H$4=#REF!),BDI!$B$17,IF(AND(#REF!="Padrão",$H$4=#REF!),BDI!#REF!,IF(AND(#REF!="Diferenciado",$H$4=#REF!),BDI!$E$17,IF(AND(#REF!="Diferenciado",$H$4=#REF!),BDI!#REF!,IF(#REF!="ZERO",0))))),"")</f>
        <v>#REF!</v>
      </c>
      <c r="H3319" s="139" t="e">
        <f t="shared" ca="1" si="258"/>
        <v>#REF!</v>
      </c>
      <c r="I3319" s="137" t="e">
        <f t="shared" ca="1" si="259"/>
        <v>#REF!</v>
      </c>
      <c r="J3319" s="117"/>
      <c r="K3319" s="116">
        <v>0</v>
      </c>
      <c r="M3319" s="136" t="e">
        <f ca="1">OFFSET(INDEX([1]Composições!I:R,MATCH([1]Orçamentária!I3319,[1]Composições!I:I,0),8),2,0)</f>
        <v>#REF!</v>
      </c>
      <c r="N3319" t="e">
        <v>#REF!</v>
      </c>
      <c r="Q3319" t="e">
        <v>#REF!</v>
      </c>
    </row>
    <row r="3320" spans="1:17" hidden="1" x14ac:dyDescent="0.25">
      <c r="A3320" s="114" t="s">
        <v>6842</v>
      </c>
      <c r="B3320" s="115" t="s">
        <v>7122</v>
      </c>
      <c r="C3320" s="116" t="s">
        <v>16</v>
      </c>
      <c r="D3320" s="116">
        <v>0</v>
      </c>
      <c r="E3320" s="136">
        <f ca="1">OFFSET(INDEX(Composições!A:J,MATCH(Orçamentária!A3320,Composições!A:A,0),8),2,0)</f>
        <v>2.7835000000000001</v>
      </c>
      <c r="F3320" s="137">
        <f t="shared" ca="1" si="257"/>
        <v>0</v>
      </c>
      <c r="G3320" s="138" t="e">
        <f>IF(A3320&lt;&gt;"",IF(AND(#REF!="Padrão",$H$4=#REF!),BDI!$B$17,IF(AND(#REF!="Padrão",$H$4=#REF!),BDI!#REF!,IF(AND(#REF!="Diferenciado",$H$4=#REF!),BDI!$E$17,IF(AND(#REF!="Diferenciado",$H$4=#REF!),BDI!#REF!,IF(#REF!="ZERO",0))))),"")</f>
        <v>#REF!</v>
      </c>
      <c r="H3320" s="139" t="e">
        <f t="shared" ca="1" si="258"/>
        <v>#REF!</v>
      </c>
      <c r="I3320" s="137" t="e">
        <f t="shared" ca="1" si="259"/>
        <v>#REF!</v>
      </c>
      <c r="J3320" s="117"/>
      <c r="K3320" s="116">
        <v>0</v>
      </c>
      <c r="M3320" s="136" t="e">
        <f ca="1">OFFSET(INDEX([1]Composições!I:R,MATCH([1]Orçamentária!I3320,[1]Composições!I:I,0),8),2,0)</f>
        <v>#REF!</v>
      </c>
      <c r="N3320" t="e">
        <v>#REF!</v>
      </c>
      <c r="Q3320" t="e">
        <v>#REF!</v>
      </c>
    </row>
    <row r="3321" spans="1:17" hidden="1" x14ac:dyDescent="0.25">
      <c r="A3321" s="114" t="s">
        <v>6843</v>
      </c>
      <c r="B3321" s="115" t="s">
        <v>7123</v>
      </c>
      <c r="C3321" s="116" t="s">
        <v>16</v>
      </c>
      <c r="D3321" s="116">
        <v>0</v>
      </c>
      <c r="E3321" s="136">
        <f ca="1">OFFSET(INDEX(Composições!A:J,MATCH(Orçamentária!A3321,Composições!A:A,0),8),2,0)</f>
        <v>0.9405</v>
      </c>
      <c r="F3321" s="137">
        <f t="shared" ca="1" si="257"/>
        <v>0</v>
      </c>
      <c r="G3321" s="138" t="e">
        <f>IF(A3321&lt;&gt;"",IF(AND(#REF!="Padrão",$H$4=#REF!),BDI!$B$17,IF(AND(#REF!="Padrão",$H$4=#REF!),BDI!#REF!,IF(AND(#REF!="Diferenciado",$H$4=#REF!),BDI!$E$17,IF(AND(#REF!="Diferenciado",$H$4=#REF!),BDI!#REF!,IF(#REF!="ZERO",0))))),"")</f>
        <v>#REF!</v>
      </c>
      <c r="H3321" s="139" t="e">
        <f t="shared" ca="1" si="258"/>
        <v>#REF!</v>
      </c>
      <c r="I3321" s="137" t="e">
        <f t="shared" ca="1" si="259"/>
        <v>#REF!</v>
      </c>
      <c r="J3321" s="117"/>
      <c r="K3321" s="116">
        <v>0</v>
      </c>
      <c r="M3321" s="136" t="e">
        <f ca="1">OFFSET(INDEX([1]Composições!I:R,MATCH([1]Orçamentária!I3321,[1]Composições!I:I,0),8),2,0)</f>
        <v>#REF!</v>
      </c>
      <c r="N3321" t="e">
        <v>#REF!</v>
      </c>
      <c r="Q3321" t="e">
        <v>#REF!</v>
      </c>
    </row>
    <row r="3322" spans="1:17" hidden="1" x14ac:dyDescent="0.25">
      <c r="A3322" s="114" t="s">
        <v>6844</v>
      </c>
      <c r="B3322" s="115" t="s">
        <v>7124</v>
      </c>
      <c r="C3322" s="116" t="s">
        <v>16</v>
      </c>
      <c r="D3322" s="116">
        <v>0</v>
      </c>
      <c r="E3322" s="136">
        <f ca="1">OFFSET(INDEX(Composições!A:J,MATCH(Orçamentária!A3322,Composições!A:A,0),8),2,0)</f>
        <v>1.7669999999999999</v>
      </c>
      <c r="F3322" s="137">
        <f t="shared" ca="1" si="257"/>
        <v>0</v>
      </c>
      <c r="G3322" s="138" t="e">
        <f>IF(A3322&lt;&gt;"",IF(AND(#REF!="Padrão",$H$4=#REF!),BDI!$B$17,IF(AND(#REF!="Padrão",$H$4=#REF!),BDI!#REF!,IF(AND(#REF!="Diferenciado",$H$4=#REF!),BDI!$E$17,IF(AND(#REF!="Diferenciado",$H$4=#REF!),BDI!#REF!,IF(#REF!="ZERO",0))))),"")</f>
        <v>#REF!</v>
      </c>
      <c r="H3322" s="139" t="e">
        <f t="shared" ca="1" si="258"/>
        <v>#REF!</v>
      </c>
      <c r="I3322" s="137" t="e">
        <f t="shared" ca="1" si="259"/>
        <v>#REF!</v>
      </c>
      <c r="J3322" s="117"/>
      <c r="K3322" s="116">
        <v>0</v>
      </c>
      <c r="M3322" s="136" t="e">
        <f ca="1">OFFSET(INDEX([1]Composições!I:R,MATCH([1]Orçamentária!I3322,[1]Composições!I:I,0),8),2,0)</f>
        <v>#REF!</v>
      </c>
      <c r="N3322" t="e">
        <v>#REF!</v>
      </c>
      <c r="Q3322" t="e">
        <v>#REF!</v>
      </c>
    </row>
    <row r="3323" spans="1:17" hidden="1" x14ac:dyDescent="0.25">
      <c r="A3323" s="114" t="s">
        <v>6845</v>
      </c>
      <c r="B3323" s="115" t="s">
        <v>7125</v>
      </c>
      <c r="C3323" s="116" t="s">
        <v>16</v>
      </c>
      <c r="D3323" s="116">
        <v>0</v>
      </c>
      <c r="E3323" s="136">
        <f ca="1">OFFSET(INDEX(Composições!A:J,MATCH(Orçamentária!A3323,Composições!A:A,0),8),2,0)</f>
        <v>18.315999999999999</v>
      </c>
      <c r="F3323" s="137">
        <f t="shared" ca="1" si="257"/>
        <v>0</v>
      </c>
      <c r="G3323" s="138" t="e">
        <f>IF(A3323&lt;&gt;"",IF(AND(#REF!="Padrão",$H$4=#REF!),BDI!$B$17,IF(AND(#REF!="Padrão",$H$4=#REF!),BDI!#REF!,IF(AND(#REF!="Diferenciado",$H$4=#REF!),BDI!$E$17,IF(AND(#REF!="Diferenciado",$H$4=#REF!),BDI!#REF!,IF(#REF!="ZERO",0))))),"")</f>
        <v>#REF!</v>
      </c>
      <c r="H3323" s="139" t="e">
        <f t="shared" ca="1" si="258"/>
        <v>#REF!</v>
      </c>
      <c r="I3323" s="137" t="e">
        <f t="shared" ca="1" si="259"/>
        <v>#REF!</v>
      </c>
      <c r="J3323" s="117"/>
      <c r="K3323" s="116">
        <v>0</v>
      </c>
      <c r="M3323" s="136" t="e">
        <f ca="1">OFFSET(INDEX([1]Composições!I:R,MATCH([1]Orçamentária!I3323,[1]Composições!I:I,0),8),2,0)</f>
        <v>#REF!</v>
      </c>
      <c r="N3323" t="e">
        <v>#REF!</v>
      </c>
      <c r="Q3323" t="e">
        <v>#REF!</v>
      </c>
    </row>
    <row r="3324" spans="1:17" hidden="1" x14ac:dyDescent="0.25">
      <c r="A3324" s="114" t="s">
        <v>6846</v>
      </c>
      <c r="B3324" s="115" t="s">
        <v>7126</v>
      </c>
      <c r="C3324" s="116" t="s">
        <v>16</v>
      </c>
      <c r="D3324" s="116">
        <v>0</v>
      </c>
      <c r="E3324" s="136">
        <f ca="1">OFFSET(INDEX(Composições!A:J,MATCH(Orçamentária!A3324,Composições!A:A,0),8),2,0)</f>
        <v>5.8329999999999993</v>
      </c>
      <c r="F3324" s="137">
        <f t="shared" ca="1" si="257"/>
        <v>0</v>
      </c>
      <c r="G3324" s="138" t="e">
        <f>IF(A3324&lt;&gt;"",IF(AND(#REF!="Padrão",$H$4=#REF!),BDI!$B$17,IF(AND(#REF!="Padrão",$H$4=#REF!),BDI!#REF!,IF(AND(#REF!="Diferenciado",$H$4=#REF!),BDI!$E$17,IF(AND(#REF!="Diferenciado",$H$4=#REF!),BDI!#REF!,IF(#REF!="ZERO",0))))),"")</f>
        <v>#REF!</v>
      </c>
      <c r="H3324" s="139" t="e">
        <f t="shared" ca="1" si="258"/>
        <v>#REF!</v>
      </c>
      <c r="I3324" s="137" t="e">
        <f t="shared" ca="1" si="259"/>
        <v>#REF!</v>
      </c>
      <c r="J3324" s="117"/>
      <c r="K3324" s="116">
        <v>0</v>
      </c>
      <c r="M3324" s="136" t="e">
        <f ca="1">OFFSET(INDEX([1]Composições!I:R,MATCH([1]Orçamentária!I3324,[1]Composições!I:I,0),8),2,0)</f>
        <v>#REF!</v>
      </c>
      <c r="N3324" t="e">
        <v>#REF!</v>
      </c>
      <c r="Q3324" t="e">
        <v>#REF!</v>
      </c>
    </row>
    <row r="3325" spans="1:17" hidden="1" x14ac:dyDescent="0.25">
      <c r="A3325" s="114" t="s">
        <v>6847</v>
      </c>
      <c r="B3325" s="115" t="s">
        <v>7127</v>
      </c>
      <c r="C3325" s="116" t="s">
        <v>16</v>
      </c>
      <c r="D3325" s="116">
        <v>0</v>
      </c>
      <c r="E3325" s="136">
        <f ca="1">OFFSET(INDEX(Composições!A:J,MATCH(Orçamentária!A3325,Composições!A:A,0),8),2,0)</f>
        <v>3.8854999999999995</v>
      </c>
      <c r="F3325" s="137">
        <f t="shared" ca="1" si="257"/>
        <v>0</v>
      </c>
      <c r="G3325" s="138" t="e">
        <f>IF(A3325&lt;&gt;"",IF(AND(#REF!="Padrão",$H$4=#REF!),BDI!$B$17,IF(AND(#REF!="Padrão",$H$4=#REF!),BDI!#REF!,IF(AND(#REF!="Diferenciado",$H$4=#REF!),BDI!$E$17,IF(AND(#REF!="Diferenciado",$H$4=#REF!),BDI!#REF!,IF(#REF!="ZERO",0))))),"")</f>
        <v>#REF!</v>
      </c>
      <c r="H3325" s="139" t="e">
        <f t="shared" ca="1" si="258"/>
        <v>#REF!</v>
      </c>
      <c r="I3325" s="137" t="e">
        <f t="shared" ca="1" si="259"/>
        <v>#REF!</v>
      </c>
      <c r="J3325" s="117"/>
      <c r="K3325" s="116">
        <v>0</v>
      </c>
      <c r="M3325" s="136" t="e">
        <f ca="1">OFFSET(INDEX([1]Composições!I:R,MATCH([1]Orçamentária!I3325,[1]Composições!I:I,0),8),2,0)</f>
        <v>#REF!</v>
      </c>
      <c r="N3325" t="e">
        <v>#REF!</v>
      </c>
      <c r="Q3325" t="e">
        <v>#REF!</v>
      </c>
    </row>
    <row r="3326" spans="1:17" hidden="1" x14ac:dyDescent="0.25">
      <c r="A3326" s="114" t="s">
        <v>6848</v>
      </c>
      <c r="B3326" s="115" t="s">
        <v>7128</v>
      </c>
      <c r="C3326" s="116" t="s">
        <v>16</v>
      </c>
      <c r="D3326" s="116">
        <v>0</v>
      </c>
      <c r="E3326" s="136">
        <f ca="1">OFFSET(INDEX(Composições!A:J,MATCH(Orçamentária!A3326,Composições!A:A,0),8),2,0)</f>
        <v>11.875</v>
      </c>
      <c r="F3326" s="137">
        <f t="shared" ca="1" si="257"/>
        <v>0</v>
      </c>
      <c r="G3326" s="138" t="e">
        <f>IF(A3326&lt;&gt;"",IF(AND(#REF!="Padrão",$H$4=#REF!),BDI!$B$17,IF(AND(#REF!="Padrão",$H$4=#REF!),BDI!#REF!,IF(AND(#REF!="Diferenciado",$H$4=#REF!),BDI!$E$17,IF(AND(#REF!="Diferenciado",$H$4=#REF!),BDI!#REF!,IF(#REF!="ZERO",0))))),"")</f>
        <v>#REF!</v>
      </c>
      <c r="H3326" s="139" t="e">
        <f t="shared" ca="1" si="258"/>
        <v>#REF!</v>
      </c>
      <c r="I3326" s="137" t="e">
        <f t="shared" ca="1" si="259"/>
        <v>#REF!</v>
      </c>
      <c r="J3326" s="117"/>
      <c r="K3326" s="116">
        <v>0</v>
      </c>
      <c r="M3326" s="136" t="e">
        <f ca="1">OFFSET(INDEX([1]Composições!I:R,MATCH([1]Orçamentária!I3326,[1]Composições!I:I,0),8),2,0)</f>
        <v>#REF!</v>
      </c>
      <c r="N3326" t="e">
        <v>#REF!</v>
      </c>
      <c r="Q3326" t="e">
        <v>#REF!</v>
      </c>
    </row>
    <row r="3327" spans="1:17" hidden="1" x14ac:dyDescent="0.25">
      <c r="A3327" s="114" t="s">
        <v>6849</v>
      </c>
      <c r="B3327" s="115" t="s">
        <v>7129</v>
      </c>
      <c r="C3327" s="116" t="s">
        <v>16</v>
      </c>
      <c r="D3327" s="116">
        <v>0</v>
      </c>
      <c r="E3327" s="136">
        <f ca="1">OFFSET(INDEX(Composições!A:J,MATCH(Orçamentária!A3327,Composições!A:A,0),8),2,0)</f>
        <v>5.89</v>
      </c>
      <c r="F3327" s="137">
        <f t="shared" ca="1" si="257"/>
        <v>0</v>
      </c>
      <c r="G3327" s="138" t="e">
        <f>IF(A3327&lt;&gt;"",IF(AND(#REF!="Padrão",$H$4=#REF!),BDI!$B$17,IF(AND(#REF!="Padrão",$H$4=#REF!),BDI!#REF!,IF(AND(#REF!="Diferenciado",$H$4=#REF!),BDI!$E$17,IF(AND(#REF!="Diferenciado",$H$4=#REF!),BDI!#REF!,IF(#REF!="ZERO",0))))),"")</f>
        <v>#REF!</v>
      </c>
      <c r="H3327" s="139" t="e">
        <f t="shared" ca="1" si="258"/>
        <v>#REF!</v>
      </c>
      <c r="I3327" s="137" t="e">
        <f t="shared" ca="1" si="259"/>
        <v>#REF!</v>
      </c>
      <c r="J3327" s="117"/>
      <c r="K3327" s="116">
        <v>0</v>
      </c>
      <c r="M3327" s="136" t="e">
        <f ca="1">OFFSET(INDEX([1]Composições!I:R,MATCH([1]Orçamentária!I3327,[1]Composições!I:I,0),8),2,0)</f>
        <v>#REF!</v>
      </c>
      <c r="N3327" t="e">
        <v>#REF!</v>
      </c>
      <c r="Q3327" t="e">
        <v>#REF!</v>
      </c>
    </row>
    <row r="3328" spans="1:17" hidden="1" x14ac:dyDescent="0.25">
      <c r="A3328" s="114" t="s">
        <v>6850</v>
      </c>
      <c r="B3328" s="115" t="s">
        <v>7130</v>
      </c>
      <c r="C3328" s="116" t="s">
        <v>16</v>
      </c>
      <c r="D3328" s="116">
        <v>0</v>
      </c>
      <c r="E3328" s="136">
        <f ca="1">OFFSET(INDEX(Composições!A:J,MATCH(Orçamentária!A3328,Composições!A:A,0),8),2,0)</f>
        <v>9.1105</v>
      </c>
      <c r="F3328" s="137">
        <f t="shared" ca="1" si="257"/>
        <v>0</v>
      </c>
      <c r="G3328" s="138" t="e">
        <f>IF(A3328&lt;&gt;"",IF(AND(#REF!="Padrão",$H$4=#REF!),BDI!$B$17,IF(AND(#REF!="Padrão",$H$4=#REF!),BDI!#REF!,IF(AND(#REF!="Diferenciado",$H$4=#REF!),BDI!$E$17,IF(AND(#REF!="Diferenciado",$H$4=#REF!),BDI!#REF!,IF(#REF!="ZERO",0))))),"")</f>
        <v>#REF!</v>
      </c>
      <c r="H3328" s="139" t="e">
        <f t="shared" ca="1" si="258"/>
        <v>#REF!</v>
      </c>
      <c r="I3328" s="137" t="e">
        <f t="shared" ca="1" si="259"/>
        <v>#REF!</v>
      </c>
      <c r="J3328" s="117"/>
      <c r="K3328" s="116">
        <v>0</v>
      </c>
      <c r="M3328" s="136" t="e">
        <f ca="1">OFFSET(INDEX([1]Composições!I:R,MATCH([1]Orçamentária!I3328,[1]Composições!I:I,0),8),2,0)</f>
        <v>#REF!</v>
      </c>
      <c r="N3328" t="e">
        <v>#REF!</v>
      </c>
      <c r="Q3328" t="e">
        <v>#REF!</v>
      </c>
    </row>
    <row r="3329" spans="1:17" hidden="1" x14ac:dyDescent="0.25">
      <c r="A3329" s="114" t="s">
        <v>6851</v>
      </c>
      <c r="B3329" s="115" t="s">
        <v>7131</v>
      </c>
      <c r="C3329" s="116" t="s">
        <v>16</v>
      </c>
      <c r="D3329" s="116">
        <v>0</v>
      </c>
      <c r="E3329" s="136">
        <f ca="1">OFFSET(INDEX(Composições!A:J,MATCH(Orçamentária!A3329,Composições!A:A,0),8),2,0)</f>
        <v>4.2084999999999999</v>
      </c>
      <c r="F3329" s="137">
        <f t="shared" ca="1" si="257"/>
        <v>0</v>
      </c>
      <c r="G3329" s="138" t="e">
        <f>IF(A3329&lt;&gt;"",IF(AND(#REF!="Padrão",$H$4=#REF!),BDI!$B$17,IF(AND(#REF!="Padrão",$H$4=#REF!),BDI!#REF!,IF(AND(#REF!="Diferenciado",$H$4=#REF!),BDI!$E$17,IF(AND(#REF!="Diferenciado",$H$4=#REF!),BDI!#REF!,IF(#REF!="ZERO",0))))),"")</f>
        <v>#REF!</v>
      </c>
      <c r="H3329" s="139" t="e">
        <f t="shared" ca="1" si="258"/>
        <v>#REF!</v>
      </c>
      <c r="I3329" s="137" t="e">
        <f t="shared" ca="1" si="259"/>
        <v>#REF!</v>
      </c>
      <c r="J3329" s="117"/>
      <c r="K3329" s="116">
        <v>0</v>
      </c>
      <c r="M3329" s="136" t="e">
        <f ca="1">OFFSET(INDEX([1]Composições!I:R,MATCH([1]Orçamentária!I3329,[1]Composições!I:I,0),8),2,0)</f>
        <v>#REF!</v>
      </c>
      <c r="N3329" t="e">
        <v>#REF!</v>
      </c>
      <c r="Q3329" t="e">
        <v>#REF!</v>
      </c>
    </row>
    <row r="3330" spans="1:17" hidden="1" x14ac:dyDescent="0.25">
      <c r="A3330" s="114" t="s">
        <v>6852</v>
      </c>
      <c r="B3330" s="115" t="s">
        <v>7132</v>
      </c>
      <c r="C3330" s="116" t="s">
        <v>16</v>
      </c>
      <c r="D3330" s="116">
        <v>0</v>
      </c>
      <c r="E3330" s="136">
        <f ca="1">OFFSET(INDEX(Composições!A:J,MATCH(Orçamentária!A3330,Composições!A:A,0),8),2,0)</f>
        <v>27.986999999999998</v>
      </c>
      <c r="F3330" s="137">
        <f t="shared" ca="1" si="257"/>
        <v>0</v>
      </c>
      <c r="G3330" s="138" t="e">
        <f>IF(A3330&lt;&gt;"",IF(AND(#REF!="Padrão",$H$4=#REF!),BDI!$B$17,IF(AND(#REF!="Padrão",$H$4=#REF!),BDI!#REF!,IF(AND(#REF!="Diferenciado",$H$4=#REF!),BDI!$E$17,IF(AND(#REF!="Diferenciado",$H$4=#REF!),BDI!#REF!,IF(#REF!="ZERO",0))))),"")</f>
        <v>#REF!</v>
      </c>
      <c r="H3330" s="139" t="e">
        <f t="shared" ca="1" si="258"/>
        <v>#REF!</v>
      </c>
      <c r="I3330" s="137" t="e">
        <f t="shared" ca="1" si="259"/>
        <v>#REF!</v>
      </c>
      <c r="J3330" s="117"/>
      <c r="K3330" s="116">
        <v>0</v>
      </c>
      <c r="M3330" s="136" t="e">
        <f ca="1">OFFSET(INDEX([1]Composições!I:R,MATCH([1]Orçamentária!I3330,[1]Composições!I:I,0),8),2,0)</f>
        <v>#REF!</v>
      </c>
      <c r="N3330" t="e">
        <v>#REF!</v>
      </c>
      <c r="Q3330" t="e">
        <v>#REF!</v>
      </c>
    </row>
    <row r="3331" spans="1:17" hidden="1" x14ac:dyDescent="0.25">
      <c r="A3331" s="114" t="s">
        <v>6853</v>
      </c>
      <c r="B3331" s="115" t="s">
        <v>7133</v>
      </c>
      <c r="C3331" s="116" t="s">
        <v>16</v>
      </c>
      <c r="D3331" s="116">
        <v>0</v>
      </c>
      <c r="E3331" s="136">
        <f ca="1">OFFSET(INDEX(Composições!A:J,MATCH(Orçamentária!A3331,Composições!A:A,0),8),2,0)</f>
        <v>25.574000000000002</v>
      </c>
      <c r="F3331" s="137">
        <f t="shared" ca="1" si="257"/>
        <v>0</v>
      </c>
      <c r="G3331" s="138" t="e">
        <f>IF(A3331&lt;&gt;"",IF(AND(#REF!="Padrão",$H$4=#REF!),BDI!$B$17,IF(AND(#REF!="Padrão",$H$4=#REF!),BDI!#REF!,IF(AND(#REF!="Diferenciado",$H$4=#REF!),BDI!$E$17,IF(AND(#REF!="Diferenciado",$H$4=#REF!),BDI!#REF!,IF(#REF!="ZERO",0))))),"")</f>
        <v>#REF!</v>
      </c>
      <c r="H3331" s="139" t="e">
        <f t="shared" ca="1" si="258"/>
        <v>#REF!</v>
      </c>
      <c r="I3331" s="137" t="e">
        <f t="shared" ca="1" si="259"/>
        <v>#REF!</v>
      </c>
      <c r="J3331" s="117"/>
      <c r="K3331" s="116">
        <v>0</v>
      </c>
      <c r="M3331" s="136" t="e">
        <f ca="1">OFFSET(INDEX([1]Composições!I:R,MATCH([1]Orçamentária!I3331,[1]Composições!I:I,0),8),2,0)</f>
        <v>#REF!</v>
      </c>
      <c r="N3331" t="e">
        <v>#REF!</v>
      </c>
      <c r="Q3331" t="e">
        <v>#REF!</v>
      </c>
    </row>
    <row r="3332" spans="1:17" hidden="1" x14ac:dyDescent="0.25">
      <c r="A3332" s="114" t="s">
        <v>6854</v>
      </c>
      <c r="B3332" s="115" t="s">
        <v>7134</v>
      </c>
      <c r="C3332" s="116" t="s">
        <v>16</v>
      </c>
      <c r="D3332" s="116">
        <v>0</v>
      </c>
      <c r="E3332" s="136">
        <f ca="1">OFFSET(INDEX(Composições!A:J,MATCH(Orçamentária!A3332,Composições!A:A,0),8),2,0)</f>
        <v>2.0804999999999998</v>
      </c>
      <c r="F3332" s="137">
        <f t="shared" ca="1" si="257"/>
        <v>0</v>
      </c>
      <c r="G3332" s="138" t="e">
        <f>IF(A3332&lt;&gt;"",IF(AND(#REF!="Padrão",$H$4=#REF!),BDI!$B$17,IF(AND(#REF!="Padrão",$H$4=#REF!),BDI!#REF!,IF(AND(#REF!="Diferenciado",$H$4=#REF!),BDI!$E$17,IF(AND(#REF!="Diferenciado",$H$4=#REF!),BDI!#REF!,IF(#REF!="ZERO",0))))),"")</f>
        <v>#REF!</v>
      </c>
      <c r="H3332" s="139" t="e">
        <f t="shared" ca="1" si="258"/>
        <v>#REF!</v>
      </c>
      <c r="I3332" s="137" t="e">
        <f t="shared" ca="1" si="259"/>
        <v>#REF!</v>
      </c>
      <c r="J3332" s="117"/>
      <c r="K3332" s="116">
        <v>0</v>
      </c>
      <c r="M3332" s="136" t="e">
        <f ca="1">OFFSET(INDEX([1]Composições!I:R,MATCH([1]Orçamentária!I3332,[1]Composições!I:I,0),8),2,0)</f>
        <v>#REF!</v>
      </c>
      <c r="N3332" t="e">
        <v>#REF!</v>
      </c>
      <c r="Q3332" t="e">
        <v>#REF!</v>
      </c>
    </row>
    <row r="3333" spans="1:17" hidden="1" x14ac:dyDescent="0.25">
      <c r="A3333" s="114" t="s">
        <v>6855</v>
      </c>
      <c r="B3333" s="115" t="s">
        <v>7135</v>
      </c>
      <c r="C3333" s="116" t="s">
        <v>16</v>
      </c>
      <c r="D3333" s="116">
        <v>0</v>
      </c>
      <c r="E3333" s="136">
        <f ca="1">OFFSET(INDEX(Composições!A:J,MATCH(Orçamentária!A3333,Composições!A:A,0),8),2,0)</f>
        <v>3.6574999999999998</v>
      </c>
      <c r="F3333" s="137">
        <f t="shared" ca="1" si="257"/>
        <v>0</v>
      </c>
      <c r="G3333" s="138" t="e">
        <f>IF(A3333&lt;&gt;"",IF(AND(#REF!="Padrão",$H$4=#REF!),BDI!$B$17,IF(AND(#REF!="Padrão",$H$4=#REF!),BDI!#REF!,IF(AND(#REF!="Diferenciado",$H$4=#REF!),BDI!$E$17,IF(AND(#REF!="Diferenciado",$H$4=#REF!),BDI!#REF!,IF(#REF!="ZERO",0))))),"")</f>
        <v>#REF!</v>
      </c>
      <c r="H3333" s="139" t="e">
        <f t="shared" ca="1" si="258"/>
        <v>#REF!</v>
      </c>
      <c r="I3333" s="137" t="e">
        <f t="shared" ca="1" si="259"/>
        <v>#REF!</v>
      </c>
      <c r="J3333" s="117"/>
      <c r="K3333" s="116">
        <v>0</v>
      </c>
      <c r="M3333" s="136" t="e">
        <f ca="1">OFFSET(INDEX([1]Composições!I:R,MATCH([1]Orçamentária!I3333,[1]Composições!I:I,0),8),2,0)</f>
        <v>#REF!</v>
      </c>
      <c r="N3333" t="e">
        <v>#REF!</v>
      </c>
      <c r="Q3333" t="e">
        <v>#REF!</v>
      </c>
    </row>
    <row r="3334" spans="1:17" hidden="1" x14ac:dyDescent="0.25">
      <c r="A3334" s="114" t="s">
        <v>6856</v>
      </c>
      <c r="B3334" s="115" t="s">
        <v>7136</v>
      </c>
      <c r="C3334" s="116" t="s">
        <v>16</v>
      </c>
      <c r="D3334" s="116">
        <v>0</v>
      </c>
      <c r="E3334" s="136">
        <f ca="1">OFFSET(INDEX(Composições!A:J,MATCH(Orçamentária!A3334,Composições!A:A,0),8),2,0)</f>
        <v>27.416999999999998</v>
      </c>
      <c r="F3334" s="137">
        <f t="shared" ca="1" si="257"/>
        <v>0</v>
      </c>
      <c r="G3334" s="138" t="e">
        <f>IF(A3334&lt;&gt;"",IF(AND(#REF!="Padrão",$H$4=#REF!),BDI!$B$17,IF(AND(#REF!="Padrão",$H$4=#REF!),BDI!#REF!,IF(AND(#REF!="Diferenciado",$H$4=#REF!),BDI!$E$17,IF(AND(#REF!="Diferenciado",$H$4=#REF!),BDI!#REF!,IF(#REF!="ZERO",0))))),"")</f>
        <v>#REF!</v>
      </c>
      <c r="H3334" s="139" t="e">
        <f t="shared" ca="1" si="258"/>
        <v>#REF!</v>
      </c>
      <c r="I3334" s="137" t="e">
        <f t="shared" ca="1" si="259"/>
        <v>#REF!</v>
      </c>
      <c r="J3334" s="117"/>
      <c r="K3334" s="116">
        <v>0</v>
      </c>
      <c r="M3334" s="136" t="e">
        <f ca="1">OFFSET(INDEX([1]Composições!I:R,MATCH([1]Orçamentária!I3334,[1]Composições!I:I,0),8),2,0)</f>
        <v>#REF!</v>
      </c>
      <c r="N3334" t="e">
        <v>#REF!</v>
      </c>
      <c r="Q3334" t="e">
        <v>#REF!</v>
      </c>
    </row>
    <row r="3335" spans="1:17" hidden="1" x14ac:dyDescent="0.25">
      <c r="A3335" s="114" t="s">
        <v>6857</v>
      </c>
      <c r="B3335" s="115" t="s">
        <v>7137</v>
      </c>
      <c r="C3335" s="116" t="s">
        <v>16</v>
      </c>
      <c r="D3335" s="116">
        <v>0</v>
      </c>
      <c r="E3335" s="136">
        <f ca="1">OFFSET(INDEX(Composições!A:J,MATCH(Orçamentária!A3335,Composições!A:A,0),8),2,0)</f>
        <v>4.9305000000000003</v>
      </c>
      <c r="F3335" s="137">
        <f t="shared" ca="1" si="257"/>
        <v>0</v>
      </c>
      <c r="G3335" s="138" t="e">
        <f>IF(A3335&lt;&gt;"",IF(AND(#REF!="Padrão",$H$4=#REF!),BDI!$B$17,IF(AND(#REF!="Padrão",$H$4=#REF!),BDI!#REF!,IF(AND(#REF!="Diferenciado",$H$4=#REF!),BDI!$E$17,IF(AND(#REF!="Diferenciado",$H$4=#REF!),BDI!#REF!,IF(#REF!="ZERO",0))))),"")</f>
        <v>#REF!</v>
      </c>
      <c r="H3335" s="139" t="e">
        <f t="shared" ca="1" si="258"/>
        <v>#REF!</v>
      </c>
      <c r="I3335" s="137" t="e">
        <f t="shared" ca="1" si="259"/>
        <v>#REF!</v>
      </c>
      <c r="J3335" s="117"/>
      <c r="K3335" s="116">
        <v>0</v>
      </c>
      <c r="M3335" s="136" t="e">
        <f ca="1">OFFSET(INDEX([1]Composições!I:R,MATCH([1]Orçamentária!I3335,[1]Composições!I:I,0),8),2,0)</f>
        <v>#REF!</v>
      </c>
      <c r="N3335" t="e">
        <v>#REF!</v>
      </c>
      <c r="Q3335" t="e">
        <v>#REF!</v>
      </c>
    </row>
    <row r="3336" spans="1:17" hidden="1" x14ac:dyDescent="0.25">
      <c r="A3336" s="114" t="s">
        <v>6858</v>
      </c>
      <c r="B3336" s="115" t="s">
        <v>7138</v>
      </c>
      <c r="C3336" s="116" t="s">
        <v>16</v>
      </c>
      <c r="D3336" s="116">
        <v>0</v>
      </c>
      <c r="E3336" s="136">
        <f ca="1">OFFSET(INDEX(Composições!A:J,MATCH(Orçamentária!A3336,Composições!A:A,0),8),2,0)</f>
        <v>7.0109999999999992</v>
      </c>
      <c r="F3336" s="137">
        <f t="shared" ca="1" si="257"/>
        <v>0</v>
      </c>
      <c r="G3336" s="138" t="e">
        <f>IF(A3336&lt;&gt;"",IF(AND(#REF!="Padrão",$H$4=#REF!),BDI!$B$17,IF(AND(#REF!="Padrão",$H$4=#REF!),BDI!#REF!,IF(AND(#REF!="Diferenciado",$H$4=#REF!),BDI!$E$17,IF(AND(#REF!="Diferenciado",$H$4=#REF!),BDI!#REF!,IF(#REF!="ZERO",0))))),"")</f>
        <v>#REF!</v>
      </c>
      <c r="H3336" s="139" t="e">
        <f t="shared" ca="1" si="258"/>
        <v>#REF!</v>
      </c>
      <c r="I3336" s="137" t="e">
        <f t="shared" ca="1" si="259"/>
        <v>#REF!</v>
      </c>
      <c r="J3336" s="117"/>
      <c r="K3336" s="116">
        <v>0</v>
      </c>
      <c r="M3336" s="136" t="e">
        <f ca="1">OFFSET(INDEX([1]Composições!I:R,MATCH([1]Orçamentária!I3336,[1]Composições!I:I,0),8),2,0)</f>
        <v>#REF!</v>
      </c>
      <c r="N3336" t="e">
        <v>#REF!</v>
      </c>
      <c r="Q3336" t="e">
        <v>#REF!</v>
      </c>
    </row>
    <row r="3337" spans="1:17" hidden="1" x14ac:dyDescent="0.25">
      <c r="A3337" s="114" t="s">
        <v>6859</v>
      </c>
      <c r="B3337" s="115" t="s">
        <v>7139</v>
      </c>
      <c r="C3337" s="116" t="s">
        <v>16</v>
      </c>
      <c r="D3337" s="116">
        <v>0</v>
      </c>
      <c r="E3337" s="136">
        <f ca="1">OFFSET(INDEX(Composições!A:J,MATCH(Orçamentária!A3337,Composições!A:A,0),8),2,0)</f>
        <v>12.891499999999999</v>
      </c>
      <c r="F3337" s="137">
        <f t="shared" ca="1" si="257"/>
        <v>0</v>
      </c>
      <c r="G3337" s="138" t="e">
        <f>IF(A3337&lt;&gt;"",IF(AND(#REF!="Padrão",$H$4=#REF!),BDI!$B$17,IF(AND(#REF!="Padrão",$H$4=#REF!),BDI!#REF!,IF(AND(#REF!="Diferenciado",$H$4=#REF!),BDI!$E$17,IF(AND(#REF!="Diferenciado",$H$4=#REF!),BDI!#REF!,IF(#REF!="ZERO",0))))),"")</f>
        <v>#REF!</v>
      </c>
      <c r="H3337" s="139" t="e">
        <f t="shared" ca="1" si="258"/>
        <v>#REF!</v>
      </c>
      <c r="I3337" s="137" t="e">
        <f t="shared" ca="1" si="259"/>
        <v>#REF!</v>
      </c>
      <c r="J3337" s="117"/>
      <c r="K3337" s="116">
        <v>0</v>
      </c>
      <c r="M3337" s="136" t="e">
        <f ca="1">OFFSET(INDEX([1]Composições!I:R,MATCH([1]Orçamentária!I3337,[1]Composições!I:I,0),8),2,0)</f>
        <v>#REF!</v>
      </c>
      <c r="N3337" t="e">
        <v>#REF!</v>
      </c>
      <c r="Q3337" t="e">
        <v>#REF!</v>
      </c>
    </row>
    <row r="3338" spans="1:17" hidden="1" x14ac:dyDescent="0.25">
      <c r="A3338" s="114" t="s">
        <v>6860</v>
      </c>
      <c r="B3338" s="115" t="s">
        <v>7140</v>
      </c>
      <c r="C3338" s="116" t="s">
        <v>16</v>
      </c>
      <c r="D3338" s="116">
        <v>0</v>
      </c>
      <c r="E3338" s="136">
        <f ca="1">OFFSET(INDEX(Composições!A:J,MATCH(Orçamentária!A3338,Composições!A:A,0),8),2,0)</f>
        <v>7.4005000000000001</v>
      </c>
      <c r="F3338" s="137">
        <f t="shared" ca="1" si="257"/>
        <v>0</v>
      </c>
      <c r="G3338" s="138" t="e">
        <f>IF(A3338&lt;&gt;"",IF(AND(#REF!="Padrão",$H$4=#REF!),BDI!$B$17,IF(AND(#REF!="Padrão",$H$4=#REF!),BDI!#REF!,IF(AND(#REF!="Diferenciado",$H$4=#REF!),BDI!$E$17,IF(AND(#REF!="Diferenciado",$H$4=#REF!),BDI!#REF!,IF(#REF!="ZERO",0))))),"")</f>
        <v>#REF!</v>
      </c>
      <c r="H3338" s="139" t="e">
        <f t="shared" ca="1" si="258"/>
        <v>#REF!</v>
      </c>
      <c r="I3338" s="137" t="e">
        <f t="shared" ca="1" si="259"/>
        <v>#REF!</v>
      </c>
      <c r="J3338" s="117"/>
      <c r="K3338" s="116">
        <v>0</v>
      </c>
      <c r="M3338" s="136" t="e">
        <f ca="1">OFFSET(INDEX([1]Composições!I:R,MATCH([1]Orçamentária!I3338,[1]Composições!I:I,0),8),2,0)</f>
        <v>#REF!</v>
      </c>
      <c r="N3338" t="e">
        <v>#REF!</v>
      </c>
      <c r="Q3338" t="e">
        <v>#REF!</v>
      </c>
    </row>
    <row r="3339" spans="1:17" hidden="1" x14ac:dyDescent="0.25">
      <c r="A3339" s="114" t="s">
        <v>6861</v>
      </c>
      <c r="B3339" s="115" t="s">
        <v>7141</v>
      </c>
      <c r="C3339" s="116" t="s">
        <v>16</v>
      </c>
      <c r="D3339" s="116">
        <v>0</v>
      </c>
      <c r="E3339" s="136">
        <f ca="1">OFFSET(INDEX(Composições!A:J,MATCH(Orçamentária!A3339,Composições!A:A,0),8),2,0)</f>
        <v>9.5284999999999993</v>
      </c>
      <c r="F3339" s="137">
        <f t="shared" ca="1" si="257"/>
        <v>0</v>
      </c>
      <c r="G3339" s="138" t="e">
        <f>IF(A3339&lt;&gt;"",IF(AND(#REF!="Padrão",$H$4=#REF!),BDI!$B$17,IF(AND(#REF!="Padrão",$H$4=#REF!),BDI!#REF!,IF(AND(#REF!="Diferenciado",$H$4=#REF!),BDI!$E$17,IF(AND(#REF!="Diferenciado",$H$4=#REF!),BDI!#REF!,IF(#REF!="ZERO",0))))),"")</f>
        <v>#REF!</v>
      </c>
      <c r="H3339" s="139" t="e">
        <f t="shared" ca="1" si="258"/>
        <v>#REF!</v>
      </c>
      <c r="I3339" s="137" t="e">
        <f t="shared" ca="1" si="259"/>
        <v>#REF!</v>
      </c>
      <c r="J3339" s="117"/>
      <c r="K3339" s="116">
        <v>0</v>
      </c>
      <c r="M3339" s="136" t="e">
        <f ca="1">OFFSET(INDEX([1]Composições!I:R,MATCH([1]Orçamentária!I3339,[1]Composições!I:I,0),8),2,0)</f>
        <v>#REF!</v>
      </c>
      <c r="N3339" t="e">
        <v>#REF!</v>
      </c>
      <c r="Q3339" t="e">
        <v>#REF!</v>
      </c>
    </row>
    <row r="3340" spans="1:17" hidden="1" x14ac:dyDescent="0.25">
      <c r="A3340" s="114" t="s">
        <v>6862</v>
      </c>
      <c r="B3340" s="115" t="s">
        <v>7142</v>
      </c>
      <c r="C3340" s="116" t="s">
        <v>16</v>
      </c>
      <c r="D3340" s="116">
        <v>0</v>
      </c>
      <c r="E3340" s="136">
        <f ca="1">OFFSET(INDEX(Composições!A:J,MATCH(Orçamentária!A3340,Composições!A:A,0),8),2,0)</f>
        <v>4.3129999999999997</v>
      </c>
      <c r="F3340" s="137">
        <f t="shared" ca="1" si="257"/>
        <v>0</v>
      </c>
      <c r="G3340" s="138" t="e">
        <f>IF(A3340&lt;&gt;"",IF(AND(#REF!="Padrão",$H$4=#REF!),BDI!$B$17,IF(AND(#REF!="Padrão",$H$4=#REF!),BDI!#REF!,IF(AND(#REF!="Diferenciado",$H$4=#REF!),BDI!$E$17,IF(AND(#REF!="Diferenciado",$H$4=#REF!),BDI!#REF!,IF(#REF!="ZERO",0))))),"")</f>
        <v>#REF!</v>
      </c>
      <c r="H3340" s="139" t="e">
        <f t="shared" ca="1" si="258"/>
        <v>#REF!</v>
      </c>
      <c r="I3340" s="137" t="e">
        <f t="shared" ca="1" si="259"/>
        <v>#REF!</v>
      </c>
      <c r="J3340" s="117"/>
      <c r="K3340" s="116">
        <v>0</v>
      </c>
      <c r="M3340" s="136" t="e">
        <f ca="1">OFFSET(INDEX([1]Composições!I:R,MATCH([1]Orçamentária!I3340,[1]Composições!I:I,0),8),2,0)</f>
        <v>#REF!</v>
      </c>
      <c r="N3340" t="e">
        <v>#REF!</v>
      </c>
      <c r="Q3340" t="e">
        <v>#REF!</v>
      </c>
    </row>
    <row r="3341" spans="1:17" hidden="1" x14ac:dyDescent="0.25">
      <c r="A3341" s="114" t="s">
        <v>6863</v>
      </c>
      <c r="B3341" s="115" t="s">
        <v>7143</v>
      </c>
      <c r="C3341" s="116" t="s">
        <v>16</v>
      </c>
      <c r="D3341" s="116">
        <v>0</v>
      </c>
      <c r="E3341" s="136">
        <f ca="1">OFFSET(INDEX(Composições!A:J,MATCH(Orçamentária!A3341,Composições!A:A,0),8),2,0)</f>
        <v>28.224499999999999</v>
      </c>
      <c r="F3341" s="137">
        <f t="shared" ca="1" si="257"/>
        <v>0</v>
      </c>
      <c r="G3341" s="138" t="e">
        <f>IF(A3341&lt;&gt;"",IF(AND(#REF!="Padrão",$H$4=#REF!),BDI!$B$17,IF(AND(#REF!="Padrão",$H$4=#REF!),BDI!#REF!,IF(AND(#REF!="Diferenciado",$H$4=#REF!),BDI!$E$17,IF(AND(#REF!="Diferenciado",$H$4=#REF!),BDI!#REF!,IF(#REF!="ZERO",0))))),"")</f>
        <v>#REF!</v>
      </c>
      <c r="H3341" s="139" t="e">
        <f t="shared" ca="1" si="258"/>
        <v>#REF!</v>
      </c>
      <c r="I3341" s="137" t="e">
        <f t="shared" ca="1" si="259"/>
        <v>#REF!</v>
      </c>
      <c r="J3341" s="117"/>
      <c r="K3341" s="116">
        <v>0</v>
      </c>
      <c r="M3341" s="136" t="e">
        <f ca="1">OFFSET(INDEX([1]Composições!I:R,MATCH([1]Orçamentária!I3341,[1]Composições!I:I,0),8),2,0)</f>
        <v>#REF!</v>
      </c>
      <c r="N3341" t="e">
        <v>#REF!</v>
      </c>
      <c r="Q3341" t="e">
        <v>#REF!</v>
      </c>
    </row>
    <row r="3342" spans="1:17" hidden="1" x14ac:dyDescent="0.25">
      <c r="A3342" s="114" t="s">
        <v>6864</v>
      </c>
      <c r="B3342" s="115" t="s">
        <v>7144</v>
      </c>
      <c r="C3342" s="116" t="s">
        <v>16</v>
      </c>
      <c r="D3342" s="116">
        <v>0</v>
      </c>
      <c r="E3342" s="136">
        <f ca="1">OFFSET(INDEX(Composições!A:J,MATCH(Orçamentária!A3342,Composições!A:A,0),8),2,0)</f>
        <v>27.302999999999997</v>
      </c>
      <c r="F3342" s="137">
        <f t="shared" ca="1" si="257"/>
        <v>0</v>
      </c>
      <c r="G3342" s="138" t="e">
        <f>IF(A3342&lt;&gt;"",IF(AND(#REF!="Padrão",$H$4=#REF!),BDI!$B$17,IF(AND(#REF!="Padrão",$H$4=#REF!),BDI!#REF!,IF(AND(#REF!="Diferenciado",$H$4=#REF!),BDI!$E$17,IF(AND(#REF!="Diferenciado",$H$4=#REF!),BDI!#REF!,IF(#REF!="ZERO",0))))),"")</f>
        <v>#REF!</v>
      </c>
      <c r="H3342" s="139" t="e">
        <f t="shared" ca="1" si="258"/>
        <v>#REF!</v>
      </c>
      <c r="I3342" s="137" t="e">
        <f t="shared" ca="1" si="259"/>
        <v>#REF!</v>
      </c>
      <c r="J3342" s="117"/>
      <c r="K3342" s="116">
        <v>0</v>
      </c>
      <c r="M3342" s="136" t="e">
        <f ca="1">OFFSET(INDEX([1]Composições!I:R,MATCH([1]Orçamentária!I3342,[1]Composições!I:I,0),8),2,0)</f>
        <v>#REF!</v>
      </c>
      <c r="N3342" t="e">
        <v>#REF!</v>
      </c>
      <c r="Q3342" t="e">
        <v>#REF!</v>
      </c>
    </row>
    <row r="3343" spans="1:17" hidden="1" x14ac:dyDescent="0.25">
      <c r="A3343" s="114" t="s">
        <v>6865</v>
      </c>
      <c r="B3343" s="115" t="s">
        <v>7145</v>
      </c>
      <c r="C3343" s="116" t="s">
        <v>16</v>
      </c>
      <c r="D3343" s="116">
        <v>0</v>
      </c>
      <c r="E3343" s="136">
        <f ca="1">OFFSET(INDEX(Composições!A:J,MATCH(Orçamentária!A3343,Composições!A:A,0),8),2,0)</f>
        <v>3.61</v>
      </c>
      <c r="F3343" s="137">
        <f t="shared" ref="F3343:F3406" ca="1" si="260">IF(ISNUMBER(E3343),D3343*E3343,"")</f>
        <v>0</v>
      </c>
      <c r="G3343" s="138" t="e">
        <f>IF(A3343&lt;&gt;"",IF(AND(#REF!="Padrão",$H$4=#REF!),BDI!$B$17,IF(AND(#REF!="Padrão",$H$4=#REF!),BDI!#REF!,IF(AND(#REF!="Diferenciado",$H$4=#REF!),BDI!$E$17,IF(AND(#REF!="Diferenciado",$H$4=#REF!),BDI!#REF!,IF(#REF!="ZERO",0))))),"")</f>
        <v>#REF!</v>
      </c>
      <c r="H3343" s="139" t="e">
        <f t="shared" ref="H3343:H3406" ca="1" si="261">IF(ISNUMBER(E3343),ROUND(E3343*(1+G3343),2),"")</f>
        <v>#REF!</v>
      </c>
      <c r="I3343" s="137" t="e">
        <f t="shared" ref="I3343:I3406" ca="1" si="262">IF(ISNUMBER(E3343),ROUND(H3343*D3343,2),"")</f>
        <v>#REF!</v>
      </c>
      <c r="J3343" s="117"/>
      <c r="K3343" s="116">
        <v>0</v>
      </c>
      <c r="M3343" s="136" t="e">
        <f ca="1">OFFSET(INDEX([1]Composições!I:R,MATCH([1]Orçamentária!I3343,[1]Composições!I:I,0),8),2,0)</f>
        <v>#REF!</v>
      </c>
      <c r="N3343" t="e">
        <v>#REF!</v>
      </c>
      <c r="Q3343" t="e">
        <v>#REF!</v>
      </c>
    </row>
    <row r="3344" spans="1:17" hidden="1" x14ac:dyDescent="0.25">
      <c r="A3344" s="114" t="s">
        <v>6866</v>
      </c>
      <c r="B3344" s="115" t="s">
        <v>7146</v>
      </c>
      <c r="C3344" s="116" t="s">
        <v>16</v>
      </c>
      <c r="D3344" s="116">
        <v>0</v>
      </c>
      <c r="E3344" s="136">
        <f ca="1">OFFSET(INDEX(Composições!A:J,MATCH(Orçamentária!A3344,Composições!A:A,0),8),2,0)</f>
        <v>4.4079999999999995</v>
      </c>
      <c r="F3344" s="137">
        <f t="shared" ca="1" si="260"/>
        <v>0</v>
      </c>
      <c r="G3344" s="138" t="e">
        <f>IF(A3344&lt;&gt;"",IF(AND(#REF!="Padrão",$H$4=#REF!),BDI!$B$17,IF(AND(#REF!="Padrão",$H$4=#REF!),BDI!#REF!,IF(AND(#REF!="Diferenciado",$H$4=#REF!),BDI!$E$17,IF(AND(#REF!="Diferenciado",$H$4=#REF!),BDI!#REF!,IF(#REF!="ZERO",0))))),"")</f>
        <v>#REF!</v>
      </c>
      <c r="H3344" s="139" t="e">
        <f t="shared" ca="1" si="261"/>
        <v>#REF!</v>
      </c>
      <c r="I3344" s="137" t="e">
        <f t="shared" ca="1" si="262"/>
        <v>#REF!</v>
      </c>
      <c r="J3344" s="117"/>
      <c r="K3344" s="116">
        <v>0</v>
      </c>
      <c r="M3344" s="136" t="e">
        <f ca="1">OFFSET(INDEX([1]Composições!I:R,MATCH([1]Orçamentária!I3344,[1]Composições!I:I,0),8),2,0)</f>
        <v>#REF!</v>
      </c>
      <c r="N3344" t="e">
        <v>#REF!</v>
      </c>
      <c r="Q3344" t="e">
        <v>#REF!</v>
      </c>
    </row>
    <row r="3345" spans="1:17" hidden="1" x14ac:dyDescent="0.25">
      <c r="A3345" s="114" t="s">
        <v>6867</v>
      </c>
      <c r="B3345" s="115" t="s">
        <v>7147</v>
      </c>
      <c r="C3345" s="116" t="s">
        <v>16</v>
      </c>
      <c r="D3345" s="116">
        <v>0</v>
      </c>
      <c r="E3345" s="136">
        <f ca="1">OFFSET(INDEX(Composições!A:J,MATCH(Orçamentária!A3345,Composições!A:A,0),8),2,0)</f>
        <v>25.916</v>
      </c>
      <c r="F3345" s="137">
        <f t="shared" ca="1" si="260"/>
        <v>0</v>
      </c>
      <c r="G3345" s="138" t="e">
        <f>IF(A3345&lt;&gt;"",IF(AND(#REF!="Padrão",$H$4=#REF!),BDI!$B$17,IF(AND(#REF!="Padrão",$H$4=#REF!),BDI!#REF!,IF(AND(#REF!="Diferenciado",$H$4=#REF!),BDI!$E$17,IF(AND(#REF!="Diferenciado",$H$4=#REF!),BDI!#REF!,IF(#REF!="ZERO",0))))),"")</f>
        <v>#REF!</v>
      </c>
      <c r="H3345" s="139" t="e">
        <f t="shared" ca="1" si="261"/>
        <v>#REF!</v>
      </c>
      <c r="I3345" s="137" t="e">
        <f t="shared" ca="1" si="262"/>
        <v>#REF!</v>
      </c>
      <c r="J3345" s="117"/>
      <c r="K3345" s="116">
        <v>0</v>
      </c>
      <c r="M3345" s="136" t="e">
        <f ca="1">OFFSET(INDEX([1]Composições!I:R,MATCH([1]Orçamentária!I3345,[1]Composições!I:I,0),8),2,0)</f>
        <v>#REF!</v>
      </c>
      <c r="N3345" t="e">
        <v>#REF!</v>
      </c>
      <c r="Q3345" t="e">
        <v>#REF!</v>
      </c>
    </row>
    <row r="3346" spans="1:17" hidden="1" x14ac:dyDescent="0.25">
      <c r="A3346" s="114" t="s">
        <v>6868</v>
      </c>
      <c r="B3346" s="115" t="s">
        <v>7148</v>
      </c>
      <c r="C3346" s="116" t="s">
        <v>16</v>
      </c>
      <c r="D3346" s="116">
        <v>0</v>
      </c>
      <c r="E3346" s="136">
        <f ca="1">OFFSET(INDEX(Composições!A:J,MATCH(Orçamentária!A3346,Composições!A:A,0),8),2,0)</f>
        <v>33.686999999999998</v>
      </c>
      <c r="F3346" s="137">
        <f t="shared" ca="1" si="260"/>
        <v>0</v>
      </c>
      <c r="G3346" s="138" t="e">
        <f>IF(A3346&lt;&gt;"",IF(AND(#REF!="Padrão",$H$4=#REF!),BDI!$B$17,IF(AND(#REF!="Padrão",$H$4=#REF!),BDI!#REF!,IF(AND(#REF!="Diferenciado",$H$4=#REF!),BDI!$E$17,IF(AND(#REF!="Diferenciado",$H$4=#REF!),BDI!#REF!,IF(#REF!="ZERO",0))))),"")</f>
        <v>#REF!</v>
      </c>
      <c r="H3346" s="139" t="e">
        <f t="shared" ca="1" si="261"/>
        <v>#REF!</v>
      </c>
      <c r="I3346" s="137" t="e">
        <f t="shared" ca="1" si="262"/>
        <v>#REF!</v>
      </c>
      <c r="J3346" s="117"/>
      <c r="K3346" s="116">
        <v>0</v>
      </c>
      <c r="M3346" s="136" t="e">
        <f ca="1">OFFSET(INDEX([1]Composições!I:R,MATCH([1]Orçamentária!I3346,[1]Composições!I:I,0),8),2,0)</f>
        <v>#REF!</v>
      </c>
      <c r="N3346" t="e">
        <v>#REF!</v>
      </c>
      <c r="Q3346" t="e">
        <v>#REF!</v>
      </c>
    </row>
    <row r="3347" spans="1:17" hidden="1" x14ac:dyDescent="0.25">
      <c r="A3347" s="114" t="s">
        <v>6869</v>
      </c>
      <c r="B3347" s="115" t="s">
        <v>7149</v>
      </c>
      <c r="C3347" s="116" t="s">
        <v>16</v>
      </c>
      <c r="D3347" s="116">
        <v>0</v>
      </c>
      <c r="E3347" s="136">
        <f ca="1">OFFSET(INDEX(Composições!A:J,MATCH(Orçamentária!A3347,Composições!A:A,0),8),2,0)</f>
        <v>38.788499999999999</v>
      </c>
      <c r="F3347" s="137">
        <f t="shared" ca="1" si="260"/>
        <v>0</v>
      </c>
      <c r="G3347" s="138" t="e">
        <f>IF(A3347&lt;&gt;"",IF(AND(#REF!="Padrão",$H$4=#REF!),BDI!$B$17,IF(AND(#REF!="Padrão",$H$4=#REF!),BDI!#REF!,IF(AND(#REF!="Diferenciado",$H$4=#REF!),BDI!$E$17,IF(AND(#REF!="Diferenciado",$H$4=#REF!),BDI!#REF!,IF(#REF!="ZERO",0))))),"")</f>
        <v>#REF!</v>
      </c>
      <c r="H3347" s="139" t="e">
        <f t="shared" ca="1" si="261"/>
        <v>#REF!</v>
      </c>
      <c r="I3347" s="137" t="e">
        <f t="shared" ca="1" si="262"/>
        <v>#REF!</v>
      </c>
      <c r="J3347" s="117"/>
      <c r="K3347" s="116">
        <v>0</v>
      </c>
      <c r="M3347" s="136" t="e">
        <f ca="1">OFFSET(INDEX([1]Composições!I:R,MATCH([1]Orçamentária!I3347,[1]Composições!I:I,0),8),2,0)</f>
        <v>#REF!</v>
      </c>
      <c r="N3347" t="e">
        <v>#REF!</v>
      </c>
      <c r="Q3347" t="e">
        <v>#REF!</v>
      </c>
    </row>
    <row r="3348" spans="1:17" hidden="1" x14ac:dyDescent="0.25">
      <c r="A3348" s="114" t="s">
        <v>6870</v>
      </c>
      <c r="B3348" s="115" t="s">
        <v>7150</v>
      </c>
      <c r="C3348" s="116" t="s">
        <v>16</v>
      </c>
      <c r="D3348" s="116">
        <v>0</v>
      </c>
      <c r="E3348" s="136">
        <f ca="1">OFFSET(INDEX(Composições!A:J,MATCH(Orçamentária!A3348,Composições!A:A,0),8),2,0)</f>
        <v>6.7354999999999992</v>
      </c>
      <c r="F3348" s="137">
        <f t="shared" ca="1" si="260"/>
        <v>0</v>
      </c>
      <c r="G3348" s="138" t="e">
        <f>IF(A3348&lt;&gt;"",IF(AND(#REF!="Padrão",$H$4=#REF!),BDI!$B$17,IF(AND(#REF!="Padrão",$H$4=#REF!),BDI!#REF!,IF(AND(#REF!="Diferenciado",$H$4=#REF!),BDI!$E$17,IF(AND(#REF!="Diferenciado",$H$4=#REF!),BDI!#REF!,IF(#REF!="ZERO",0))))),"")</f>
        <v>#REF!</v>
      </c>
      <c r="H3348" s="139" t="e">
        <f t="shared" ca="1" si="261"/>
        <v>#REF!</v>
      </c>
      <c r="I3348" s="137" t="e">
        <f t="shared" ca="1" si="262"/>
        <v>#REF!</v>
      </c>
      <c r="J3348" s="117"/>
      <c r="K3348" s="116">
        <v>0</v>
      </c>
      <c r="M3348" s="136" t="e">
        <f ca="1">OFFSET(INDEX([1]Composições!I:R,MATCH([1]Orçamentária!I3348,[1]Composições!I:I,0),8),2,0)</f>
        <v>#REF!</v>
      </c>
      <c r="N3348" t="e">
        <v>#REF!</v>
      </c>
      <c r="Q3348" t="e">
        <v>#REF!</v>
      </c>
    </row>
    <row r="3349" spans="1:17" hidden="1" x14ac:dyDescent="0.25">
      <c r="A3349" s="114" t="s">
        <v>6871</v>
      </c>
      <c r="B3349" s="115" t="s">
        <v>7151</v>
      </c>
      <c r="C3349" s="116" t="s">
        <v>16</v>
      </c>
      <c r="D3349" s="116">
        <v>0</v>
      </c>
      <c r="E3349" s="136">
        <f ca="1">OFFSET(INDEX(Composições!A:J,MATCH(Orçamentária!A3349,Composições!A:A,0),8),2,0)</f>
        <v>45.276999999999994</v>
      </c>
      <c r="F3349" s="137">
        <f t="shared" ca="1" si="260"/>
        <v>0</v>
      </c>
      <c r="G3349" s="138" t="e">
        <f>IF(A3349&lt;&gt;"",IF(AND(#REF!="Padrão",$H$4=#REF!),BDI!$B$17,IF(AND(#REF!="Padrão",$H$4=#REF!),BDI!#REF!,IF(AND(#REF!="Diferenciado",$H$4=#REF!),BDI!$E$17,IF(AND(#REF!="Diferenciado",$H$4=#REF!),BDI!#REF!,IF(#REF!="ZERO",0))))),"")</f>
        <v>#REF!</v>
      </c>
      <c r="H3349" s="139" t="e">
        <f t="shared" ca="1" si="261"/>
        <v>#REF!</v>
      </c>
      <c r="I3349" s="137" t="e">
        <f t="shared" ca="1" si="262"/>
        <v>#REF!</v>
      </c>
      <c r="J3349" s="117"/>
      <c r="K3349" s="116">
        <v>0</v>
      </c>
      <c r="M3349" s="136" t="e">
        <f ca="1">OFFSET(INDEX([1]Composições!I:R,MATCH([1]Orçamentária!I3349,[1]Composições!I:I,0),8),2,0)</f>
        <v>#REF!</v>
      </c>
      <c r="N3349" t="e">
        <v>#REF!</v>
      </c>
      <c r="Q3349" t="e">
        <v>#REF!</v>
      </c>
    </row>
    <row r="3350" spans="1:17" hidden="1" x14ac:dyDescent="0.25">
      <c r="A3350" s="114" t="s">
        <v>6872</v>
      </c>
      <c r="B3350" s="115" t="s">
        <v>7152</v>
      </c>
      <c r="C3350" s="116" t="s">
        <v>16</v>
      </c>
      <c r="D3350" s="116">
        <v>0</v>
      </c>
      <c r="E3350" s="136">
        <f ca="1">OFFSET(INDEX(Composições!A:J,MATCH(Orçamentária!A3350,Composições!A:A,0),8),2,0)</f>
        <v>84.36</v>
      </c>
      <c r="F3350" s="137">
        <f t="shared" ca="1" si="260"/>
        <v>0</v>
      </c>
      <c r="G3350" s="138" t="e">
        <f>IF(A3350&lt;&gt;"",IF(AND(#REF!="Padrão",$H$4=#REF!),BDI!$B$17,IF(AND(#REF!="Padrão",$H$4=#REF!),BDI!#REF!,IF(AND(#REF!="Diferenciado",$H$4=#REF!),BDI!$E$17,IF(AND(#REF!="Diferenciado",$H$4=#REF!),BDI!#REF!,IF(#REF!="ZERO",0))))),"")</f>
        <v>#REF!</v>
      </c>
      <c r="H3350" s="139" t="e">
        <f t="shared" ca="1" si="261"/>
        <v>#REF!</v>
      </c>
      <c r="I3350" s="137" t="e">
        <f t="shared" ca="1" si="262"/>
        <v>#REF!</v>
      </c>
      <c r="J3350" s="117"/>
      <c r="K3350" s="116">
        <v>0</v>
      </c>
      <c r="M3350" s="136" t="e">
        <f ca="1">OFFSET(INDEX([1]Composições!I:R,MATCH([1]Orçamentária!I3350,[1]Composições!I:I,0),8),2,0)</f>
        <v>#REF!</v>
      </c>
      <c r="N3350" t="e">
        <v>#REF!</v>
      </c>
      <c r="Q3350" t="e">
        <v>#REF!</v>
      </c>
    </row>
    <row r="3351" spans="1:17" hidden="1" x14ac:dyDescent="0.25">
      <c r="A3351" s="114" t="s">
        <v>6873</v>
      </c>
      <c r="B3351" s="115" t="s">
        <v>7153</v>
      </c>
      <c r="C3351" s="116" t="s">
        <v>16</v>
      </c>
      <c r="D3351" s="116">
        <v>0</v>
      </c>
      <c r="E3351" s="136">
        <f ca="1">OFFSET(INDEX(Composições!A:J,MATCH(Orçamentária!A3351,Composições!A:A,0),8),2,0)</f>
        <v>20.6435</v>
      </c>
      <c r="F3351" s="137">
        <f t="shared" ca="1" si="260"/>
        <v>0</v>
      </c>
      <c r="G3351" s="138" t="e">
        <f>IF(A3351&lt;&gt;"",IF(AND(#REF!="Padrão",$H$4=#REF!),BDI!$B$17,IF(AND(#REF!="Padrão",$H$4=#REF!),BDI!#REF!,IF(AND(#REF!="Diferenciado",$H$4=#REF!),BDI!$E$17,IF(AND(#REF!="Diferenciado",$H$4=#REF!),BDI!#REF!,IF(#REF!="ZERO",0))))),"")</f>
        <v>#REF!</v>
      </c>
      <c r="H3351" s="139" t="e">
        <f t="shared" ca="1" si="261"/>
        <v>#REF!</v>
      </c>
      <c r="I3351" s="137" t="e">
        <f t="shared" ca="1" si="262"/>
        <v>#REF!</v>
      </c>
      <c r="J3351" s="117"/>
      <c r="K3351" s="116">
        <v>0</v>
      </c>
      <c r="M3351" s="136" t="e">
        <f ca="1">OFFSET(INDEX([1]Composições!I:R,MATCH([1]Orçamentária!I3351,[1]Composições!I:I,0),8),2,0)</f>
        <v>#REF!</v>
      </c>
      <c r="N3351" t="e">
        <v>#REF!</v>
      </c>
      <c r="Q3351" t="e">
        <v>#REF!</v>
      </c>
    </row>
    <row r="3352" spans="1:17" hidden="1" x14ac:dyDescent="0.25">
      <c r="A3352" s="114" t="s">
        <v>6874</v>
      </c>
      <c r="B3352" s="115" t="s">
        <v>7154</v>
      </c>
      <c r="C3352" s="116" t="s">
        <v>16</v>
      </c>
      <c r="D3352" s="116">
        <v>0</v>
      </c>
      <c r="E3352" s="136">
        <f ca="1">OFFSET(INDEX(Composições!A:J,MATCH(Orçamentária!A3352,Composições!A:A,0),8),2,0)</f>
        <v>64.447999999999993</v>
      </c>
      <c r="F3352" s="137">
        <f t="shared" ca="1" si="260"/>
        <v>0</v>
      </c>
      <c r="G3352" s="138" t="e">
        <f>IF(A3352&lt;&gt;"",IF(AND(#REF!="Padrão",$H$4=#REF!),BDI!$B$17,IF(AND(#REF!="Padrão",$H$4=#REF!),BDI!#REF!,IF(AND(#REF!="Diferenciado",$H$4=#REF!),BDI!$E$17,IF(AND(#REF!="Diferenciado",$H$4=#REF!),BDI!#REF!,IF(#REF!="ZERO",0))))),"")</f>
        <v>#REF!</v>
      </c>
      <c r="H3352" s="139" t="e">
        <f t="shared" ca="1" si="261"/>
        <v>#REF!</v>
      </c>
      <c r="I3352" s="137" t="e">
        <f t="shared" ca="1" si="262"/>
        <v>#REF!</v>
      </c>
      <c r="J3352" s="117"/>
      <c r="K3352" s="116">
        <v>0</v>
      </c>
      <c r="M3352" s="136" t="e">
        <f ca="1">OFFSET(INDEX([1]Composições!I:R,MATCH([1]Orçamentária!I3352,[1]Composições!I:I,0),8),2,0)</f>
        <v>#REF!</v>
      </c>
      <c r="N3352" t="e">
        <v>#REF!</v>
      </c>
      <c r="Q3352" t="e">
        <v>#REF!</v>
      </c>
    </row>
    <row r="3353" spans="1:17" hidden="1" x14ac:dyDescent="0.25">
      <c r="A3353" s="114" t="s">
        <v>6875</v>
      </c>
      <c r="B3353" s="115" t="s">
        <v>7155</v>
      </c>
      <c r="C3353" s="116" t="s">
        <v>16</v>
      </c>
      <c r="D3353" s="116">
        <v>0</v>
      </c>
      <c r="E3353" s="136">
        <f ca="1">OFFSET(INDEX(Composições!A:J,MATCH(Orçamentária!A3353,Composições!A:A,0),8),2,0)</f>
        <v>51.737000000000002</v>
      </c>
      <c r="F3353" s="137">
        <f t="shared" ca="1" si="260"/>
        <v>0</v>
      </c>
      <c r="G3353" s="138" t="e">
        <f>IF(A3353&lt;&gt;"",IF(AND(#REF!="Padrão",$H$4=#REF!),BDI!$B$17,IF(AND(#REF!="Padrão",$H$4=#REF!),BDI!#REF!,IF(AND(#REF!="Diferenciado",$H$4=#REF!),BDI!$E$17,IF(AND(#REF!="Diferenciado",$H$4=#REF!),BDI!#REF!,IF(#REF!="ZERO",0))))),"")</f>
        <v>#REF!</v>
      </c>
      <c r="H3353" s="139" t="e">
        <f t="shared" ca="1" si="261"/>
        <v>#REF!</v>
      </c>
      <c r="I3353" s="137" t="e">
        <f t="shared" ca="1" si="262"/>
        <v>#REF!</v>
      </c>
      <c r="J3353" s="117"/>
      <c r="K3353" s="116">
        <v>0</v>
      </c>
      <c r="M3353" s="136" t="e">
        <f ca="1">OFFSET(INDEX([1]Composições!I:R,MATCH([1]Orçamentária!I3353,[1]Composições!I:I,0),8),2,0)</f>
        <v>#REF!</v>
      </c>
      <c r="N3353" t="e">
        <v>#REF!</v>
      </c>
      <c r="Q3353" t="e">
        <v>#REF!</v>
      </c>
    </row>
    <row r="3354" spans="1:17" hidden="1" x14ac:dyDescent="0.25">
      <c r="A3354" s="114" t="s">
        <v>6876</v>
      </c>
      <c r="B3354" s="115" t="s">
        <v>7156</v>
      </c>
      <c r="C3354" s="116" t="s">
        <v>16</v>
      </c>
      <c r="D3354" s="116">
        <v>0</v>
      </c>
      <c r="E3354" s="136">
        <f ca="1">OFFSET(INDEX(Composições!A:J,MATCH(Orçamentária!A3354,Composições!A:A,0),8),2,0)</f>
        <v>56.753</v>
      </c>
      <c r="F3354" s="137">
        <f t="shared" ca="1" si="260"/>
        <v>0</v>
      </c>
      <c r="G3354" s="138" t="e">
        <f>IF(A3354&lt;&gt;"",IF(AND(#REF!="Padrão",$H$4=#REF!),BDI!$B$17,IF(AND(#REF!="Padrão",$H$4=#REF!),BDI!#REF!,IF(AND(#REF!="Diferenciado",$H$4=#REF!),BDI!$E$17,IF(AND(#REF!="Diferenciado",$H$4=#REF!),BDI!#REF!,IF(#REF!="ZERO",0))))),"")</f>
        <v>#REF!</v>
      </c>
      <c r="H3354" s="139" t="e">
        <f t="shared" ca="1" si="261"/>
        <v>#REF!</v>
      </c>
      <c r="I3354" s="137" t="e">
        <f t="shared" ca="1" si="262"/>
        <v>#REF!</v>
      </c>
      <c r="J3354" s="117"/>
      <c r="K3354" s="116">
        <v>0</v>
      </c>
      <c r="M3354" s="136" t="e">
        <f ca="1">OFFSET(INDEX([1]Composições!I:R,MATCH([1]Orçamentária!I3354,[1]Composições!I:I,0),8),2,0)</f>
        <v>#REF!</v>
      </c>
      <c r="N3354" t="e">
        <v>#REF!</v>
      </c>
      <c r="Q3354" t="e">
        <v>#REF!</v>
      </c>
    </row>
    <row r="3355" spans="1:17" hidden="1" x14ac:dyDescent="0.25">
      <c r="A3355" s="114" t="s">
        <v>6877</v>
      </c>
      <c r="B3355" s="115" t="s">
        <v>7157</v>
      </c>
      <c r="C3355" s="116" t="s">
        <v>16</v>
      </c>
      <c r="D3355" s="116">
        <v>0</v>
      </c>
      <c r="E3355" s="136">
        <f ca="1">OFFSET(INDEX(Composições!A:J,MATCH(Orçamentária!A3355,Composições!A:A,0),8),2,0)</f>
        <v>19.303999999999998</v>
      </c>
      <c r="F3355" s="137">
        <f t="shared" ca="1" si="260"/>
        <v>0</v>
      </c>
      <c r="G3355" s="138" t="e">
        <f>IF(A3355&lt;&gt;"",IF(AND(#REF!="Padrão",$H$4=#REF!),BDI!$B$17,IF(AND(#REF!="Padrão",$H$4=#REF!),BDI!#REF!,IF(AND(#REF!="Diferenciado",$H$4=#REF!),BDI!$E$17,IF(AND(#REF!="Diferenciado",$H$4=#REF!),BDI!#REF!,IF(#REF!="ZERO",0))))),"")</f>
        <v>#REF!</v>
      </c>
      <c r="H3355" s="139" t="e">
        <f t="shared" ca="1" si="261"/>
        <v>#REF!</v>
      </c>
      <c r="I3355" s="137" t="e">
        <f t="shared" ca="1" si="262"/>
        <v>#REF!</v>
      </c>
      <c r="J3355" s="117"/>
      <c r="K3355" s="116">
        <v>0</v>
      </c>
      <c r="M3355" s="136" t="e">
        <f ca="1">OFFSET(INDEX([1]Composições!I:R,MATCH([1]Orçamentária!I3355,[1]Composições!I:I,0),8),2,0)</f>
        <v>#REF!</v>
      </c>
      <c r="N3355" t="e">
        <v>#REF!</v>
      </c>
      <c r="Q3355" t="e">
        <v>#REF!</v>
      </c>
    </row>
    <row r="3356" spans="1:17" hidden="1" x14ac:dyDescent="0.25">
      <c r="A3356" s="114" t="s">
        <v>6878</v>
      </c>
      <c r="B3356" s="115" t="s">
        <v>7158</v>
      </c>
      <c r="C3356" s="116" t="s">
        <v>16</v>
      </c>
      <c r="D3356" s="116">
        <v>0</v>
      </c>
      <c r="E3356" s="136">
        <f ca="1">OFFSET(INDEX(Composições!A:J,MATCH(Orçamentária!A3356,Composições!A:A,0),8),2,0)</f>
        <v>34.6845</v>
      </c>
      <c r="F3356" s="137">
        <f t="shared" ca="1" si="260"/>
        <v>0</v>
      </c>
      <c r="G3356" s="138" t="e">
        <f>IF(A3356&lt;&gt;"",IF(AND(#REF!="Padrão",$H$4=#REF!),BDI!$B$17,IF(AND(#REF!="Padrão",$H$4=#REF!),BDI!#REF!,IF(AND(#REF!="Diferenciado",$H$4=#REF!),BDI!$E$17,IF(AND(#REF!="Diferenciado",$H$4=#REF!),BDI!#REF!,IF(#REF!="ZERO",0))))),"")</f>
        <v>#REF!</v>
      </c>
      <c r="H3356" s="139" t="e">
        <f t="shared" ca="1" si="261"/>
        <v>#REF!</v>
      </c>
      <c r="I3356" s="137" t="e">
        <f t="shared" ca="1" si="262"/>
        <v>#REF!</v>
      </c>
      <c r="J3356" s="117"/>
      <c r="K3356" s="116">
        <v>0</v>
      </c>
      <c r="M3356" s="136" t="e">
        <f ca="1">OFFSET(INDEX([1]Composições!I:R,MATCH([1]Orçamentária!I3356,[1]Composições!I:I,0),8),2,0)</f>
        <v>#REF!</v>
      </c>
      <c r="N3356" t="e">
        <v>#REF!</v>
      </c>
      <c r="Q3356" t="e">
        <v>#REF!</v>
      </c>
    </row>
    <row r="3357" spans="1:17" hidden="1" x14ac:dyDescent="0.25">
      <c r="A3357" s="114" t="s">
        <v>6879</v>
      </c>
      <c r="B3357" s="115" t="s">
        <v>7159</v>
      </c>
      <c r="C3357" s="116" t="s">
        <v>16</v>
      </c>
      <c r="D3357" s="116">
        <v>0</v>
      </c>
      <c r="E3357" s="136">
        <f ca="1">OFFSET(INDEX(Composições!A:J,MATCH(Orçamentária!A3357,Composições!A:A,0),8),2,0)</f>
        <v>144.69450000000001</v>
      </c>
      <c r="F3357" s="137">
        <f t="shared" ca="1" si="260"/>
        <v>0</v>
      </c>
      <c r="G3357" s="138" t="e">
        <f>IF(A3357&lt;&gt;"",IF(AND(#REF!="Padrão",$H$4=#REF!),BDI!$B$17,IF(AND(#REF!="Padrão",$H$4=#REF!),BDI!#REF!,IF(AND(#REF!="Diferenciado",$H$4=#REF!),BDI!$E$17,IF(AND(#REF!="Diferenciado",$H$4=#REF!),BDI!#REF!,IF(#REF!="ZERO",0))))),"")</f>
        <v>#REF!</v>
      </c>
      <c r="H3357" s="139" t="e">
        <f t="shared" ca="1" si="261"/>
        <v>#REF!</v>
      </c>
      <c r="I3357" s="137" t="e">
        <f t="shared" ca="1" si="262"/>
        <v>#REF!</v>
      </c>
      <c r="J3357" s="117"/>
      <c r="K3357" s="116">
        <v>0</v>
      </c>
      <c r="M3357" s="136" t="e">
        <f ca="1">OFFSET(INDEX([1]Composições!I:R,MATCH([1]Orçamentária!I3357,[1]Composições!I:I,0),8),2,0)</f>
        <v>#REF!</v>
      </c>
      <c r="N3357" t="e">
        <v>#REF!</v>
      </c>
      <c r="Q3357" t="e">
        <v>#REF!</v>
      </c>
    </row>
    <row r="3358" spans="1:17" hidden="1" x14ac:dyDescent="0.25">
      <c r="A3358" s="114" t="s">
        <v>6880</v>
      </c>
      <c r="B3358" s="115" t="s">
        <v>7160</v>
      </c>
      <c r="C3358" s="116" t="s">
        <v>16</v>
      </c>
      <c r="D3358" s="116">
        <v>0</v>
      </c>
      <c r="E3358" s="136">
        <f ca="1">OFFSET(INDEX(Composições!A:J,MATCH(Orçamentária!A3358,Composições!A:A,0),8),2,0)</f>
        <v>0</v>
      </c>
      <c r="F3358" s="137">
        <f t="shared" ca="1" si="260"/>
        <v>0</v>
      </c>
      <c r="G3358" s="138" t="e">
        <f>IF(A3358&lt;&gt;"",IF(AND(#REF!="Padrão",$H$4=#REF!),BDI!$B$17,IF(AND(#REF!="Padrão",$H$4=#REF!),BDI!#REF!,IF(AND(#REF!="Diferenciado",$H$4=#REF!),BDI!$E$17,IF(AND(#REF!="Diferenciado",$H$4=#REF!),BDI!#REF!,IF(#REF!="ZERO",0))))),"")</f>
        <v>#REF!</v>
      </c>
      <c r="H3358" s="139" t="e">
        <f t="shared" ca="1" si="261"/>
        <v>#REF!</v>
      </c>
      <c r="I3358" s="137" t="e">
        <f t="shared" ca="1" si="262"/>
        <v>#REF!</v>
      </c>
      <c r="J3358" s="117"/>
      <c r="K3358" s="116">
        <v>0</v>
      </c>
      <c r="M3358" s="136" t="e">
        <f ca="1">OFFSET(INDEX([1]Composições!I:R,MATCH([1]Orçamentária!I3358,[1]Composições!I:I,0),8),2,0)</f>
        <v>#REF!</v>
      </c>
      <c r="N3358" t="e">
        <v>#REF!</v>
      </c>
      <c r="Q3358" t="e">
        <v>#REF!</v>
      </c>
    </row>
    <row r="3359" spans="1:17" hidden="1" x14ac:dyDescent="0.25">
      <c r="A3359" s="114" t="s">
        <v>6881</v>
      </c>
      <c r="B3359" s="115" t="s">
        <v>7161</v>
      </c>
      <c r="C3359" s="116" t="s">
        <v>16</v>
      </c>
      <c r="D3359" s="116">
        <v>0</v>
      </c>
      <c r="E3359" s="136">
        <f ca="1">OFFSET(INDEX(Composições!A:J,MATCH(Orçamentária!A3359,Composições!A:A,0),8),2,0)</f>
        <v>19.209</v>
      </c>
      <c r="F3359" s="137">
        <f t="shared" ca="1" si="260"/>
        <v>0</v>
      </c>
      <c r="G3359" s="138" t="e">
        <f>IF(A3359&lt;&gt;"",IF(AND(#REF!="Padrão",$H$4=#REF!),BDI!$B$17,IF(AND(#REF!="Padrão",$H$4=#REF!),BDI!#REF!,IF(AND(#REF!="Diferenciado",$H$4=#REF!),BDI!$E$17,IF(AND(#REF!="Diferenciado",$H$4=#REF!),BDI!#REF!,IF(#REF!="ZERO",0))))),"")</f>
        <v>#REF!</v>
      </c>
      <c r="H3359" s="139" t="e">
        <f t="shared" ca="1" si="261"/>
        <v>#REF!</v>
      </c>
      <c r="I3359" s="137" t="e">
        <f t="shared" ca="1" si="262"/>
        <v>#REF!</v>
      </c>
      <c r="J3359" s="117"/>
      <c r="K3359" s="116">
        <v>0</v>
      </c>
      <c r="M3359" s="136" t="e">
        <f ca="1">OFFSET(INDEX([1]Composições!I:R,MATCH([1]Orçamentária!I3359,[1]Composições!I:I,0),8),2,0)</f>
        <v>#REF!</v>
      </c>
      <c r="N3359" t="e">
        <v>#REF!</v>
      </c>
      <c r="Q3359" t="e">
        <v>#REF!</v>
      </c>
    </row>
    <row r="3360" spans="1:17" hidden="1" x14ac:dyDescent="0.25">
      <c r="A3360" s="114" t="s">
        <v>6882</v>
      </c>
      <c r="B3360" s="115" t="s">
        <v>7162</v>
      </c>
      <c r="C3360" s="116" t="s">
        <v>16</v>
      </c>
      <c r="D3360" s="116">
        <v>0</v>
      </c>
      <c r="E3360" s="136">
        <f ca="1">OFFSET(INDEX(Composições!A:J,MATCH(Orçamentária!A3360,Composições!A:A,0),8),2,0)</f>
        <v>211.03299999999999</v>
      </c>
      <c r="F3360" s="137">
        <f t="shared" ca="1" si="260"/>
        <v>0</v>
      </c>
      <c r="G3360" s="138" t="e">
        <f>IF(A3360&lt;&gt;"",IF(AND(#REF!="Padrão",$H$4=#REF!),BDI!$B$17,IF(AND(#REF!="Padrão",$H$4=#REF!),BDI!#REF!,IF(AND(#REF!="Diferenciado",$H$4=#REF!),BDI!$E$17,IF(AND(#REF!="Diferenciado",$H$4=#REF!),BDI!#REF!,IF(#REF!="ZERO",0))))),"")</f>
        <v>#REF!</v>
      </c>
      <c r="H3360" s="139" t="e">
        <f t="shared" ca="1" si="261"/>
        <v>#REF!</v>
      </c>
      <c r="I3360" s="137" t="e">
        <f t="shared" ca="1" si="262"/>
        <v>#REF!</v>
      </c>
      <c r="J3360" s="117"/>
      <c r="K3360" s="116">
        <v>0</v>
      </c>
      <c r="M3360" s="136" t="e">
        <f ca="1">OFFSET(INDEX([1]Composições!I:R,MATCH([1]Orçamentária!I3360,[1]Composições!I:I,0),8),2,0)</f>
        <v>#REF!</v>
      </c>
      <c r="N3360" t="e">
        <v>#REF!</v>
      </c>
      <c r="Q3360" t="e">
        <v>#REF!</v>
      </c>
    </row>
    <row r="3361" spans="1:17" hidden="1" x14ac:dyDescent="0.25">
      <c r="A3361" s="114" t="s">
        <v>6883</v>
      </c>
      <c r="B3361" s="115" t="s">
        <v>7163</v>
      </c>
      <c r="C3361" s="116" t="s">
        <v>16</v>
      </c>
      <c r="D3361" s="116">
        <v>0</v>
      </c>
      <c r="E3361" s="136">
        <f ca="1">OFFSET(INDEX(Composições!A:J,MATCH(Orçamentária!A3361,Composições!A:A,0),8),2,0)</f>
        <v>100.86149999999999</v>
      </c>
      <c r="F3361" s="137">
        <f t="shared" ca="1" si="260"/>
        <v>0</v>
      </c>
      <c r="G3361" s="138" t="e">
        <f>IF(A3361&lt;&gt;"",IF(AND(#REF!="Padrão",$H$4=#REF!),BDI!$B$17,IF(AND(#REF!="Padrão",$H$4=#REF!),BDI!#REF!,IF(AND(#REF!="Diferenciado",$H$4=#REF!),BDI!$E$17,IF(AND(#REF!="Diferenciado",$H$4=#REF!),BDI!#REF!,IF(#REF!="ZERO",0))))),"")</f>
        <v>#REF!</v>
      </c>
      <c r="H3361" s="139" t="e">
        <f t="shared" ca="1" si="261"/>
        <v>#REF!</v>
      </c>
      <c r="I3361" s="137" t="e">
        <f t="shared" ca="1" si="262"/>
        <v>#REF!</v>
      </c>
      <c r="J3361" s="117"/>
      <c r="K3361" s="116">
        <v>0</v>
      </c>
      <c r="M3361" s="136" t="e">
        <f ca="1">OFFSET(INDEX([1]Composições!I:R,MATCH([1]Orçamentária!I3361,[1]Composições!I:I,0),8),2,0)</f>
        <v>#REF!</v>
      </c>
      <c r="N3361" t="e">
        <v>#REF!</v>
      </c>
      <c r="Q3361" t="e">
        <v>#REF!</v>
      </c>
    </row>
    <row r="3362" spans="1:17" hidden="1" x14ac:dyDescent="0.25">
      <c r="A3362" s="114" t="s">
        <v>6884</v>
      </c>
      <c r="B3362" s="115" t="s">
        <v>7164</v>
      </c>
      <c r="C3362" s="116" t="s">
        <v>16</v>
      </c>
      <c r="D3362" s="116">
        <v>0</v>
      </c>
      <c r="E3362" s="136">
        <f ca="1">OFFSET(INDEX(Composições!A:J,MATCH(Orçamentária!A3362,Composições!A:A,0),8),2,0)</f>
        <v>22.514999999999997</v>
      </c>
      <c r="F3362" s="137">
        <f t="shared" ca="1" si="260"/>
        <v>0</v>
      </c>
      <c r="G3362" s="138" t="e">
        <f>IF(A3362&lt;&gt;"",IF(AND(#REF!="Padrão",$H$4=#REF!),BDI!$B$17,IF(AND(#REF!="Padrão",$H$4=#REF!),BDI!#REF!,IF(AND(#REF!="Diferenciado",$H$4=#REF!),BDI!$E$17,IF(AND(#REF!="Diferenciado",$H$4=#REF!),BDI!#REF!,IF(#REF!="ZERO",0))))),"")</f>
        <v>#REF!</v>
      </c>
      <c r="H3362" s="139" t="e">
        <f t="shared" ca="1" si="261"/>
        <v>#REF!</v>
      </c>
      <c r="I3362" s="137" t="e">
        <f t="shared" ca="1" si="262"/>
        <v>#REF!</v>
      </c>
      <c r="J3362" s="117"/>
      <c r="K3362" s="116">
        <v>0</v>
      </c>
      <c r="M3362" s="136" t="e">
        <f ca="1">OFFSET(INDEX([1]Composições!I:R,MATCH([1]Orçamentária!I3362,[1]Composições!I:I,0),8),2,0)</f>
        <v>#REF!</v>
      </c>
      <c r="N3362" t="e">
        <v>#REF!</v>
      </c>
      <c r="Q3362" t="e">
        <v>#REF!</v>
      </c>
    </row>
    <row r="3363" spans="1:17" hidden="1" x14ac:dyDescent="0.25">
      <c r="A3363" s="114" t="s">
        <v>6885</v>
      </c>
      <c r="B3363" s="115" t="s">
        <v>7165</v>
      </c>
      <c r="C3363" s="116" t="s">
        <v>16</v>
      </c>
      <c r="D3363" s="116">
        <v>0</v>
      </c>
      <c r="E3363" s="136">
        <f ca="1">OFFSET(INDEX(Composições!A:J,MATCH(Orçamentária!A3363,Composições!A:A,0),8),2,0)</f>
        <v>79.533999999999992</v>
      </c>
      <c r="F3363" s="137">
        <f t="shared" ca="1" si="260"/>
        <v>0</v>
      </c>
      <c r="G3363" s="138" t="e">
        <f>IF(A3363&lt;&gt;"",IF(AND(#REF!="Padrão",$H$4=#REF!),BDI!$B$17,IF(AND(#REF!="Padrão",$H$4=#REF!),BDI!#REF!,IF(AND(#REF!="Diferenciado",$H$4=#REF!),BDI!$E$17,IF(AND(#REF!="Diferenciado",$H$4=#REF!),BDI!#REF!,IF(#REF!="ZERO",0))))),"")</f>
        <v>#REF!</v>
      </c>
      <c r="H3363" s="139" t="e">
        <f t="shared" ca="1" si="261"/>
        <v>#REF!</v>
      </c>
      <c r="I3363" s="137" t="e">
        <f t="shared" ca="1" si="262"/>
        <v>#REF!</v>
      </c>
      <c r="J3363" s="117"/>
      <c r="K3363" s="116">
        <v>0</v>
      </c>
      <c r="M3363" s="136" t="e">
        <f ca="1">OFFSET(INDEX([1]Composições!I:R,MATCH([1]Orçamentária!I3363,[1]Composições!I:I,0),8),2,0)</f>
        <v>#REF!</v>
      </c>
      <c r="N3363" t="e">
        <v>#REF!</v>
      </c>
      <c r="Q3363" t="e">
        <v>#REF!</v>
      </c>
    </row>
    <row r="3364" spans="1:17" hidden="1" x14ac:dyDescent="0.25">
      <c r="A3364" s="114" t="s">
        <v>6886</v>
      </c>
      <c r="B3364" s="115" t="s">
        <v>7166</v>
      </c>
      <c r="C3364" s="116" t="s">
        <v>16</v>
      </c>
      <c r="D3364" s="116">
        <v>0</v>
      </c>
      <c r="E3364" s="136">
        <f ca="1">OFFSET(INDEX(Composições!A:J,MATCH(Orçamentária!A3364,Composições!A:A,0),8),2,0)</f>
        <v>66.272000000000006</v>
      </c>
      <c r="F3364" s="137">
        <f t="shared" ca="1" si="260"/>
        <v>0</v>
      </c>
      <c r="G3364" s="138" t="e">
        <f>IF(A3364&lt;&gt;"",IF(AND(#REF!="Padrão",$H$4=#REF!),BDI!$B$17,IF(AND(#REF!="Padrão",$H$4=#REF!),BDI!#REF!,IF(AND(#REF!="Diferenciado",$H$4=#REF!),BDI!$E$17,IF(AND(#REF!="Diferenciado",$H$4=#REF!),BDI!#REF!,IF(#REF!="ZERO",0))))),"")</f>
        <v>#REF!</v>
      </c>
      <c r="H3364" s="139" t="e">
        <f t="shared" ca="1" si="261"/>
        <v>#REF!</v>
      </c>
      <c r="I3364" s="137" t="e">
        <f t="shared" ca="1" si="262"/>
        <v>#REF!</v>
      </c>
      <c r="J3364" s="117"/>
      <c r="K3364" s="116">
        <v>0</v>
      </c>
      <c r="M3364" s="136" t="e">
        <f ca="1">OFFSET(INDEX([1]Composições!I:R,MATCH([1]Orçamentária!I3364,[1]Composições!I:I,0),8),2,0)</f>
        <v>#REF!</v>
      </c>
      <c r="N3364" t="e">
        <v>#REF!</v>
      </c>
      <c r="Q3364" t="e">
        <v>#REF!</v>
      </c>
    </row>
    <row r="3365" spans="1:17" hidden="1" x14ac:dyDescent="0.25">
      <c r="A3365" s="114" t="s">
        <v>6887</v>
      </c>
      <c r="B3365" s="115" t="s">
        <v>7167</v>
      </c>
      <c r="C3365" s="116" t="s">
        <v>16</v>
      </c>
      <c r="D3365" s="116">
        <v>0</v>
      </c>
      <c r="E3365" s="136">
        <f ca="1">OFFSET(INDEX(Composições!A:J,MATCH(Orçamentária!A3365,Composições!A:A,0),8),2,0)</f>
        <v>77.168499999999995</v>
      </c>
      <c r="F3365" s="137">
        <f t="shared" ca="1" si="260"/>
        <v>0</v>
      </c>
      <c r="G3365" s="138" t="e">
        <f>IF(A3365&lt;&gt;"",IF(AND(#REF!="Padrão",$H$4=#REF!),BDI!$B$17,IF(AND(#REF!="Padrão",$H$4=#REF!),BDI!#REF!,IF(AND(#REF!="Diferenciado",$H$4=#REF!),BDI!$E$17,IF(AND(#REF!="Diferenciado",$H$4=#REF!),BDI!#REF!,IF(#REF!="ZERO",0))))),"")</f>
        <v>#REF!</v>
      </c>
      <c r="H3365" s="139" t="e">
        <f t="shared" ca="1" si="261"/>
        <v>#REF!</v>
      </c>
      <c r="I3365" s="137" t="e">
        <f t="shared" ca="1" si="262"/>
        <v>#REF!</v>
      </c>
      <c r="J3365" s="117"/>
      <c r="K3365" s="116">
        <v>0</v>
      </c>
      <c r="M3365" s="136" t="e">
        <f ca="1">OFFSET(INDEX([1]Composições!I:R,MATCH([1]Orçamentária!I3365,[1]Composições!I:I,0),8),2,0)</f>
        <v>#REF!</v>
      </c>
      <c r="N3365" t="e">
        <v>#REF!</v>
      </c>
      <c r="Q3365" t="e">
        <v>#REF!</v>
      </c>
    </row>
    <row r="3366" spans="1:17" hidden="1" x14ac:dyDescent="0.25">
      <c r="A3366" s="114" t="s">
        <v>6888</v>
      </c>
      <c r="B3366" s="115" t="s">
        <v>7168</v>
      </c>
      <c r="C3366" s="116" t="s">
        <v>16</v>
      </c>
      <c r="D3366" s="116">
        <v>0</v>
      </c>
      <c r="E3366" s="136">
        <f ca="1">OFFSET(INDEX(Composições!A:J,MATCH(Orçamentária!A3366,Composições!A:A,0),8),2,0)</f>
        <v>43.338999999999999</v>
      </c>
      <c r="F3366" s="137">
        <f t="shared" ca="1" si="260"/>
        <v>0</v>
      </c>
      <c r="G3366" s="138" t="e">
        <f>IF(A3366&lt;&gt;"",IF(AND(#REF!="Padrão",$H$4=#REF!),BDI!$B$17,IF(AND(#REF!="Padrão",$H$4=#REF!),BDI!#REF!,IF(AND(#REF!="Diferenciado",$H$4=#REF!),BDI!$E$17,IF(AND(#REF!="Diferenciado",$H$4=#REF!),BDI!#REF!,IF(#REF!="ZERO",0))))),"")</f>
        <v>#REF!</v>
      </c>
      <c r="H3366" s="139" t="e">
        <f t="shared" ca="1" si="261"/>
        <v>#REF!</v>
      </c>
      <c r="I3366" s="137" t="e">
        <f t="shared" ca="1" si="262"/>
        <v>#REF!</v>
      </c>
      <c r="J3366" s="117"/>
      <c r="K3366" s="116">
        <v>0</v>
      </c>
      <c r="M3366" s="136" t="e">
        <f ca="1">OFFSET(INDEX([1]Composições!I:R,MATCH([1]Orçamentária!I3366,[1]Composições!I:I,0),8),2,0)</f>
        <v>#REF!</v>
      </c>
      <c r="N3366" t="e">
        <v>#REF!</v>
      </c>
      <c r="Q3366" t="e">
        <v>#REF!</v>
      </c>
    </row>
    <row r="3367" spans="1:17" hidden="1" x14ac:dyDescent="0.25">
      <c r="A3367" s="114" t="s">
        <v>6889</v>
      </c>
      <c r="B3367" s="115" t="s">
        <v>7169</v>
      </c>
      <c r="C3367" s="116" t="s">
        <v>16</v>
      </c>
      <c r="D3367" s="116">
        <v>0</v>
      </c>
      <c r="E3367" s="136">
        <f ca="1">OFFSET(INDEX(Composições!A:J,MATCH(Orçamentária!A3367,Composições!A:A,0),8),2,0)</f>
        <v>34.6845</v>
      </c>
      <c r="F3367" s="137">
        <f t="shared" ca="1" si="260"/>
        <v>0</v>
      </c>
      <c r="G3367" s="138" t="e">
        <f>IF(A3367&lt;&gt;"",IF(AND(#REF!="Padrão",$H$4=#REF!),BDI!$B$17,IF(AND(#REF!="Padrão",$H$4=#REF!),BDI!#REF!,IF(AND(#REF!="Diferenciado",$H$4=#REF!),BDI!$E$17,IF(AND(#REF!="Diferenciado",$H$4=#REF!),BDI!#REF!,IF(#REF!="ZERO",0))))),"")</f>
        <v>#REF!</v>
      </c>
      <c r="H3367" s="139" t="e">
        <f t="shared" ca="1" si="261"/>
        <v>#REF!</v>
      </c>
      <c r="I3367" s="137" t="e">
        <f t="shared" ca="1" si="262"/>
        <v>#REF!</v>
      </c>
      <c r="J3367" s="117"/>
      <c r="K3367" s="116">
        <v>0</v>
      </c>
      <c r="M3367" s="136" t="e">
        <f ca="1">OFFSET(INDEX([1]Composições!I:R,MATCH([1]Orçamentária!I3367,[1]Composições!I:I,0),8),2,0)</f>
        <v>#REF!</v>
      </c>
      <c r="N3367" t="e">
        <v>#REF!</v>
      </c>
      <c r="Q3367" t="e">
        <v>#REF!</v>
      </c>
    </row>
    <row r="3368" spans="1:17" hidden="1" x14ac:dyDescent="0.25">
      <c r="A3368" s="114" t="s">
        <v>6890</v>
      </c>
      <c r="B3368" s="115" t="s">
        <v>7170</v>
      </c>
      <c r="C3368" s="116" t="s">
        <v>16</v>
      </c>
      <c r="D3368" s="116">
        <v>0</v>
      </c>
      <c r="E3368" s="136">
        <f ca="1">OFFSET(INDEX(Composições!A:J,MATCH(Orçamentária!A3368,Composições!A:A,0),8),2,0)</f>
        <v>0</v>
      </c>
      <c r="F3368" s="137">
        <f t="shared" ca="1" si="260"/>
        <v>0</v>
      </c>
      <c r="G3368" s="138" t="e">
        <f>IF(A3368&lt;&gt;"",IF(AND(#REF!="Padrão",$H$4=#REF!),BDI!$B$17,IF(AND(#REF!="Padrão",$H$4=#REF!),BDI!#REF!,IF(AND(#REF!="Diferenciado",$H$4=#REF!),BDI!$E$17,IF(AND(#REF!="Diferenciado",$H$4=#REF!),BDI!#REF!,IF(#REF!="ZERO",0))))),"")</f>
        <v>#REF!</v>
      </c>
      <c r="H3368" s="139" t="e">
        <f t="shared" ca="1" si="261"/>
        <v>#REF!</v>
      </c>
      <c r="I3368" s="137" t="e">
        <f t="shared" ca="1" si="262"/>
        <v>#REF!</v>
      </c>
      <c r="J3368" s="117"/>
      <c r="K3368" s="116">
        <v>0</v>
      </c>
      <c r="M3368" s="136" t="e">
        <f ca="1">OFFSET(INDEX([1]Composições!I:R,MATCH([1]Orçamentária!I3368,[1]Composições!I:I,0),8),2,0)</f>
        <v>#REF!</v>
      </c>
      <c r="N3368" t="e">
        <v>#REF!</v>
      </c>
      <c r="Q3368" t="e">
        <v>#REF!</v>
      </c>
    </row>
    <row r="3369" spans="1:17" hidden="1" x14ac:dyDescent="0.25">
      <c r="A3369" s="114" t="s">
        <v>6891</v>
      </c>
      <c r="B3369" s="115" t="s">
        <v>7171</v>
      </c>
      <c r="C3369" s="116" t="s">
        <v>16</v>
      </c>
      <c r="D3369" s="116">
        <v>0</v>
      </c>
      <c r="E3369" s="136">
        <f ca="1">OFFSET(INDEX(Composições!A:J,MATCH(Orçamentária!A3369,Composições!A:A,0),8),2,0)</f>
        <v>26.485999999999997</v>
      </c>
      <c r="F3369" s="137">
        <f t="shared" ca="1" si="260"/>
        <v>0</v>
      </c>
      <c r="G3369" s="138" t="e">
        <f>IF(A3369&lt;&gt;"",IF(AND(#REF!="Padrão",$H$4=#REF!),BDI!$B$17,IF(AND(#REF!="Padrão",$H$4=#REF!),BDI!#REF!,IF(AND(#REF!="Diferenciado",$H$4=#REF!),BDI!$E$17,IF(AND(#REF!="Diferenciado",$H$4=#REF!),BDI!#REF!,IF(#REF!="ZERO",0))))),"")</f>
        <v>#REF!</v>
      </c>
      <c r="H3369" s="139" t="e">
        <f t="shared" ca="1" si="261"/>
        <v>#REF!</v>
      </c>
      <c r="I3369" s="137" t="e">
        <f t="shared" ca="1" si="262"/>
        <v>#REF!</v>
      </c>
      <c r="J3369" s="117"/>
      <c r="K3369" s="116">
        <v>0</v>
      </c>
      <c r="M3369" s="136" t="e">
        <f ca="1">OFFSET(INDEX([1]Composições!I:R,MATCH([1]Orçamentária!I3369,[1]Composições!I:I,0),8),2,0)</f>
        <v>#REF!</v>
      </c>
      <c r="N3369" t="e">
        <v>#REF!</v>
      </c>
      <c r="Q3369" t="e">
        <v>#REF!</v>
      </c>
    </row>
    <row r="3370" spans="1:17" hidden="1" x14ac:dyDescent="0.25">
      <c r="A3370" s="114" t="s">
        <v>6892</v>
      </c>
      <c r="B3370" s="115" t="s">
        <v>7172</v>
      </c>
      <c r="C3370" s="116" t="s">
        <v>16</v>
      </c>
      <c r="D3370" s="116">
        <v>0</v>
      </c>
      <c r="E3370" s="136">
        <f ca="1">OFFSET(INDEX(Composições!A:J,MATCH(Orçamentária!A3370,Composições!A:A,0),8),2,0)</f>
        <v>204.37349999999998</v>
      </c>
      <c r="F3370" s="137">
        <f t="shared" ca="1" si="260"/>
        <v>0</v>
      </c>
      <c r="G3370" s="138" t="e">
        <f>IF(A3370&lt;&gt;"",IF(AND(#REF!="Padrão",$H$4=#REF!),BDI!$B$17,IF(AND(#REF!="Padrão",$H$4=#REF!),BDI!#REF!,IF(AND(#REF!="Diferenciado",$H$4=#REF!),BDI!$E$17,IF(AND(#REF!="Diferenciado",$H$4=#REF!),BDI!#REF!,IF(#REF!="ZERO",0))))),"")</f>
        <v>#REF!</v>
      </c>
      <c r="H3370" s="139" t="e">
        <f t="shared" ca="1" si="261"/>
        <v>#REF!</v>
      </c>
      <c r="I3370" s="137" t="e">
        <f t="shared" ca="1" si="262"/>
        <v>#REF!</v>
      </c>
      <c r="J3370" s="117"/>
      <c r="K3370" s="116">
        <v>0</v>
      </c>
      <c r="M3370" s="136" t="e">
        <f ca="1">OFFSET(INDEX([1]Composições!I:R,MATCH([1]Orçamentária!I3370,[1]Composições!I:I,0),8),2,0)</f>
        <v>#REF!</v>
      </c>
      <c r="N3370" t="e">
        <v>#REF!</v>
      </c>
      <c r="Q3370" t="e">
        <v>#REF!</v>
      </c>
    </row>
    <row r="3371" spans="1:17" hidden="1" x14ac:dyDescent="0.25">
      <c r="A3371" s="114" t="s">
        <v>6893</v>
      </c>
      <c r="B3371" s="115" t="s">
        <v>7173</v>
      </c>
      <c r="C3371" s="116" t="s">
        <v>16</v>
      </c>
      <c r="D3371" s="116">
        <v>0</v>
      </c>
      <c r="E3371" s="136">
        <f ca="1">OFFSET(INDEX(Composições!A:J,MATCH(Orçamentária!A3371,Composições!A:A,0),8),2,0)</f>
        <v>0</v>
      </c>
      <c r="F3371" s="137">
        <f t="shared" ca="1" si="260"/>
        <v>0</v>
      </c>
      <c r="G3371" s="138" t="e">
        <f>IF(A3371&lt;&gt;"",IF(AND(#REF!="Padrão",$H$4=#REF!),BDI!$B$17,IF(AND(#REF!="Padrão",$H$4=#REF!),BDI!#REF!,IF(AND(#REF!="Diferenciado",$H$4=#REF!),BDI!$E$17,IF(AND(#REF!="Diferenciado",$H$4=#REF!),BDI!#REF!,IF(#REF!="ZERO",0))))),"")</f>
        <v>#REF!</v>
      </c>
      <c r="H3371" s="139" t="e">
        <f t="shared" ca="1" si="261"/>
        <v>#REF!</v>
      </c>
      <c r="I3371" s="137" t="e">
        <f t="shared" ca="1" si="262"/>
        <v>#REF!</v>
      </c>
      <c r="J3371" s="117"/>
      <c r="K3371" s="116">
        <v>0</v>
      </c>
      <c r="M3371" s="136" t="e">
        <f ca="1">OFFSET(INDEX([1]Composições!I:R,MATCH([1]Orçamentária!I3371,[1]Composições!I:I,0),8),2,0)</f>
        <v>#REF!</v>
      </c>
      <c r="N3371" t="e">
        <v>#REF!</v>
      </c>
      <c r="Q3371" t="e">
        <v>#REF!</v>
      </c>
    </row>
    <row r="3372" spans="1:17" hidden="1" x14ac:dyDescent="0.25">
      <c r="A3372" s="114" t="s">
        <v>6894</v>
      </c>
      <c r="B3372" s="115" t="s">
        <v>7174</v>
      </c>
      <c r="C3372" s="116" t="s">
        <v>16</v>
      </c>
      <c r="D3372" s="116">
        <v>0</v>
      </c>
      <c r="E3372" s="136">
        <f ca="1">OFFSET(INDEX(Composições!A:J,MATCH(Orçamentária!A3372,Composições!A:A,0),8),2,0)</f>
        <v>34.475499999999997</v>
      </c>
      <c r="F3372" s="137">
        <f t="shared" ca="1" si="260"/>
        <v>0</v>
      </c>
      <c r="G3372" s="138" t="e">
        <f>IF(A3372&lt;&gt;"",IF(AND(#REF!="Padrão",$H$4=#REF!),BDI!$B$17,IF(AND(#REF!="Padrão",$H$4=#REF!),BDI!#REF!,IF(AND(#REF!="Diferenciado",$H$4=#REF!),BDI!$E$17,IF(AND(#REF!="Diferenciado",$H$4=#REF!),BDI!#REF!,IF(#REF!="ZERO",0))))),"")</f>
        <v>#REF!</v>
      </c>
      <c r="H3372" s="139" t="e">
        <f t="shared" ca="1" si="261"/>
        <v>#REF!</v>
      </c>
      <c r="I3372" s="137" t="e">
        <f t="shared" ca="1" si="262"/>
        <v>#REF!</v>
      </c>
      <c r="J3372" s="117"/>
      <c r="K3372" s="116">
        <v>0</v>
      </c>
      <c r="M3372" s="136" t="e">
        <f ca="1">OFFSET(INDEX([1]Composições!I:R,MATCH([1]Orçamentária!I3372,[1]Composições!I:I,0),8),2,0)</f>
        <v>#REF!</v>
      </c>
      <c r="N3372" t="e">
        <v>#REF!</v>
      </c>
      <c r="Q3372" t="e">
        <v>#REF!</v>
      </c>
    </row>
    <row r="3373" spans="1:17" hidden="1" x14ac:dyDescent="0.25">
      <c r="A3373" s="114" t="s">
        <v>6895</v>
      </c>
      <c r="B3373" s="115" t="s">
        <v>7175</v>
      </c>
      <c r="C3373" s="116" t="s">
        <v>16</v>
      </c>
      <c r="D3373" s="116">
        <v>0</v>
      </c>
      <c r="E3373" s="136">
        <f ca="1">OFFSET(INDEX(Composições!A:J,MATCH(Orçamentária!A3373,Composições!A:A,0),8),2,0)</f>
        <v>175.58850000000001</v>
      </c>
      <c r="F3373" s="137">
        <f t="shared" ca="1" si="260"/>
        <v>0</v>
      </c>
      <c r="G3373" s="138" t="e">
        <f>IF(A3373&lt;&gt;"",IF(AND(#REF!="Padrão",$H$4=#REF!),BDI!$B$17,IF(AND(#REF!="Padrão",$H$4=#REF!),BDI!#REF!,IF(AND(#REF!="Diferenciado",$H$4=#REF!),BDI!$E$17,IF(AND(#REF!="Diferenciado",$H$4=#REF!),BDI!#REF!,IF(#REF!="ZERO",0))))),"")</f>
        <v>#REF!</v>
      </c>
      <c r="H3373" s="139" t="e">
        <f t="shared" ca="1" si="261"/>
        <v>#REF!</v>
      </c>
      <c r="I3373" s="137" t="e">
        <f t="shared" ca="1" si="262"/>
        <v>#REF!</v>
      </c>
      <c r="J3373" s="117"/>
      <c r="K3373" s="116">
        <v>0</v>
      </c>
      <c r="M3373" s="136" t="e">
        <f ca="1">OFFSET(INDEX([1]Composições!I:R,MATCH([1]Orçamentária!I3373,[1]Composições!I:I,0),8),2,0)</f>
        <v>#REF!</v>
      </c>
      <c r="N3373" t="e">
        <v>#REF!</v>
      </c>
      <c r="Q3373" t="e">
        <v>#REF!</v>
      </c>
    </row>
    <row r="3374" spans="1:17" hidden="1" x14ac:dyDescent="0.25">
      <c r="A3374" s="114" t="s">
        <v>6896</v>
      </c>
      <c r="B3374" s="115" t="s">
        <v>7176</v>
      </c>
      <c r="C3374" s="116" t="s">
        <v>16</v>
      </c>
      <c r="D3374" s="116">
        <v>0</v>
      </c>
      <c r="E3374" s="136">
        <f ca="1">OFFSET(INDEX(Composições!A:J,MATCH(Orçamentária!A3374,Composições!A:A,0),8),2,0)</f>
        <v>73.586999999999989</v>
      </c>
      <c r="F3374" s="137">
        <f t="shared" ca="1" si="260"/>
        <v>0</v>
      </c>
      <c r="G3374" s="138" t="e">
        <f>IF(A3374&lt;&gt;"",IF(AND(#REF!="Padrão",$H$4=#REF!),BDI!$B$17,IF(AND(#REF!="Padrão",$H$4=#REF!),BDI!#REF!,IF(AND(#REF!="Diferenciado",$H$4=#REF!),BDI!$E$17,IF(AND(#REF!="Diferenciado",$H$4=#REF!),BDI!#REF!,IF(#REF!="ZERO",0))))),"")</f>
        <v>#REF!</v>
      </c>
      <c r="H3374" s="139" t="e">
        <f t="shared" ca="1" si="261"/>
        <v>#REF!</v>
      </c>
      <c r="I3374" s="137" t="e">
        <f t="shared" ca="1" si="262"/>
        <v>#REF!</v>
      </c>
      <c r="J3374" s="117"/>
      <c r="K3374" s="116">
        <v>0</v>
      </c>
      <c r="M3374" s="136" t="e">
        <f ca="1">OFFSET(INDEX([1]Composições!I:R,MATCH([1]Orçamentária!I3374,[1]Composições!I:I,0),8),2,0)</f>
        <v>#REF!</v>
      </c>
      <c r="N3374" t="e">
        <v>#REF!</v>
      </c>
      <c r="Q3374" t="e">
        <v>#REF!</v>
      </c>
    </row>
    <row r="3375" spans="1:17" hidden="1" x14ac:dyDescent="0.25">
      <c r="A3375" s="114" t="s">
        <v>6897</v>
      </c>
      <c r="B3375" s="115" t="s">
        <v>7177</v>
      </c>
      <c r="C3375" s="116" t="s">
        <v>16</v>
      </c>
      <c r="D3375" s="116">
        <v>0</v>
      </c>
      <c r="E3375" s="136" t="e">
        <f ca="1">OFFSET(INDEX(Composições!A:J,MATCH(Orçamentária!A3375,Composições!A:A,0),8),2,0)</f>
        <v>#N/A</v>
      </c>
      <c r="F3375" s="137" t="str">
        <f t="shared" ca="1" si="260"/>
        <v/>
      </c>
      <c r="G3375" s="138" t="e">
        <f>IF(A3375&lt;&gt;"",IF(AND(#REF!="Padrão",$H$4=#REF!),BDI!$B$17,IF(AND(#REF!="Padrão",$H$4=#REF!),BDI!#REF!,IF(AND(#REF!="Diferenciado",$H$4=#REF!),BDI!$E$17,IF(AND(#REF!="Diferenciado",$H$4=#REF!),BDI!#REF!,IF(#REF!="ZERO",0))))),"")</f>
        <v>#REF!</v>
      </c>
      <c r="H3375" s="139" t="str">
        <f t="shared" ca="1" si="261"/>
        <v/>
      </c>
      <c r="I3375" s="137" t="str">
        <f t="shared" ca="1" si="262"/>
        <v/>
      </c>
      <c r="J3375" s="117"/>
      <c r="K3375" s="116">
        <v>0</v>
      </c>
      <c r="M3375" s="136" t="e">
        <f ca="1">OFFSET(INDEX([1]Composições!I:R,MATCH([1]Orçamentária!I3375,[1]Composições!I:I,0),8),2,0)</f>
        <v>#N/A</v>
      </c>
      <c r="N3375" t="e">
        <v>#REF!</v>
      </c>
      <c r="Q3375" t="s">
        <v>416</v>
      </c>
    </row>
    <row r="3376" spans="1:17" hidden="1" x14ac:dyDescent="0.25">
      <c r="A3376" s="114" t="s">
        <v>6898</v>
      </c>
      <c r="B3376" s="115" t="s">
        <v>7178</v>
      </c>
      <c r="C3376" s="116" t="s">
        <v>16</v>
      </c>
      <c r="D3376" s="116">
        <v>0</v>
      </c>
      <c r="E3376" s="136" t="e">
        <f ca="1">OFFSET(INDEX(Composições!A:J,MATCH(Orçamentária!A3376,Composições!A:A,0),8),2,0)</f>
        <v>#N/A</v>
      </c>
      <c r="F3376" s="137" t="str">
        <f t="shared" ca="1" si="260"/>
        <v/>
      </c>
      <c r="G3376" s="138" t="e">
        <f>IF(A3376&lt;&gt;"",IF(AND(#REF!="Padrão",$H$4=#REF!),BDI!$B$17,IF(AND(#REF!="Padrão",$H$4=#REF!),BDI!#REF!,IF(AND(#REF!="Diferenciado",$H$4=#REF!),BDI!$E$17,IF(AND(#REF!="Diferenciado",$H$4=#REF!),BDI!#REF!,IF(#REF!="ZERO",0))))),"")</f>
        <v>#REF!</v>
      </c>
      <c r="H3376" s="139" t="str">
        <f t="shared" ca="1" si="261"/>
        <v/>
      </c>
      <c r="I3376" s="137" t="str">
        <f t="shared" ca="1" si="262"/>
        <v/>
      </c>
      <c r="J3376" s="117"/>
      <c r="K3376" s="116">
        <v>0</v>
      </c>
      <c r="M3376" s="136" t="e">
        <f ca="1">OFFSET(INDEX([1]Composições!I:R,MATCH([1]Orçamentária!I3376,[1]Composições!I:I,0),8),2,0)</f>
        <v>#N/A</v>
      </c>
      <c r="N3376" t="e">
        <v>#REF!</v>
      </c>
      <c r="Q3376" t="s">
        <v>416</v>
      </c>
    </row>
    <row r="3377" spans="1:17" hidden="1" x14ac:dyDescent="0.25">
      <c r="A3377" s="114" t="s">
        <v>6899</v>
      </c>
      <c r="B3377" s="115" t="s">
        <v>7179</v>
      </c>
      <c r="C3377" s="116" t="s">
        <v>16</v>
      </c>
      <c r="D3377" s="116">
        <v>0</v>
      </c>
      <c r="E3377" s="136">
        <f ca="1">OFFSET(INDEX(Composições!A:J,MATCH(Orçamentária!A3377,Composições!A:A,0),8),2,0)</f>
        <v>42.740499999999997</v>
      </c>
      <c r="F3377" s="137">
        <f t="shared" ca="1" si="260"/>
        <v>0</v>
      </c>
      <c r="G3377" s="138" t="e">
        <f>IF(A3377&lt;&gt;"",IF(AND(#REF!="Padrão",$H$4=#REF!),BDI!$B$17,IF(AND(#REF!="Padrão",$H$4=#REF!),BDI!#REF!,IF(AND(#REF!="Diferenciado",$H$4=#REF!),BDI!$E$17,IF(AND(#REF!="Diferenciado",$H$4=#REF!),BDI!#REF!,IF(#REF!="ZERO",0))))),"")</f>
        <v>#REF!</v>
      </c>
      <c r="H3377" s="139" t="e">
        <f t="shared" ca="1" si="261"/>
        <v>#REF!</v>
      </c>
      <c r="I3377" s="137" t="e">
        <f t="shared" ca="1" si="262"/>
        <v>#REF!</v>
      </c>
      <c r="J3377" s="117"/>
      <c r="K3377" s="116">
        <v>0</v>
      </c>
      <c r="M3377" s="136" t="e">
        <f ca="1">OFFSET(INDEX([1]Composições!I:R,MATCH([1]Orçamentária!I3377,[1]Composições!I:I,0),8),2,0)</f>
        <v>#REF!</v>
      </c>
      <c r="N3377" t="e">
        <v>#REF!</v>
      </c>
      <c r="Q3377" t="e">
        <v>#REF!</v>
      </c>
    </row>
    <row r="3378" spans="1:17" hidden="1" x14ac:dyDescent="0.25">
      <c r="A3378" s="114" t="s">
        <v>6900</v>
      </c>
      <c r="B3378" s="115" t="s">
        <v>7180</v>
      </c>
      <c r="C3378" s="116" t="s">
        <v>16</v>
      </c>
      <c r="D3378" s="116">
        <v>0</v>
      </c>
      <c r="E3378" s="136">
        <f ca="1">OFFSET(INDEX(Composições!A:J,MATCH(Orçamentária!A3378,Composições!A:A,0),8),2,0)</f>
        <v>263.96699999999998</v>
      </c>
      <c r="F3378" s="137">
        <f t="shared" ca="1" si="260"/>
        <v>0</v>
      </c>
      <c r="G3378" s="138" t="e">
        <f>IF(A3378&lt;&gt;"",IF(AND(#REF!="Padrão",$H$4=#REF!),BDI!$B$17,IF(AND(#REF!="Padrão",$H$4=#REF!),BDI!#REF!,IF(AND(#REF!="Diferenciado",$H$4=#REF!),BDI!$E$17,IF(AND(#REF!="Diferenciado",$H$4=#REF!),BDI!#REF!,IF(#REF!="ZERO",0))))),"")</f>
        <v>#REF!</v>
      </c>
      <c r="H3378" s="139" t="e">
        <f t="shared" ca="1" si="261"/>
        <v>#REF!</v>
      </c>
      <c r="I3378" s="137" t="e">
        <f t="shared" ca="1" si="262"/>
        <v>#REF!</v>
      </c>
      <c r="J3378" s="117"/>
      <c r="K3378" s="116">
        <v>0</v>
      </c>
      <c r="M3378" s="136" t="e">
        <f ca="1">OFFSET(INDEX([1]Composições!I:R,MATCH([1]Orçamentária!I3378,[1]Composições!I:I,0),8),2,0)</f>
        <v>#REF!</v>
      </c>
      <c r="N3378" t="e">
        <v>#REF!</v>
      </c>
      <c r="Q3378" t="e">
        <v>#REF!</v>
      </c>
    </row>
    <row r="3379" spans="1:17" hidden="1" x14ac:dyDescent="0.25">
      <c r="A3379" s="114" t="s">
        <v>6901</v>
      </c>
      <c r="B3379" s="115" t="s">
        <v>7181</v>
      </c>
      <c r="C3379" s="116" t="s">
        <v>16</v>
      </c>
      <c r="D3379" s="116">
        <v>0</v>
      </c>
      <c r="E3379" s="136">
        <f ca="1">OFFSET(INDEX(Composições!A:J,MATCH(Orçamentária!A3379,Composições!A:A,0),8),2,0)</f>
        <v>4.2084999999999999</v>
      </c>
      <c r="F3379" s="137">
        <f t="shared" ca="1" si="260"/>
        <v>0</v>
      </c>
      <c r="G3379" s="138" t="e">
        <f>IF(A3379&lt;&gt;"",IF(AND(#REF!="Padrão",$H$4=#REF!),BDI!$B$17,IF(AND(#REF!="Padrão",$H$4=#REF!),BDI!#REF!,IF(AND(#REF!="Diferenciado",$H$4=#REF!),BDI!$E$17,IF(AND(#REF!="Diferenciado",$H$4=#REF!),BDI!#REF!,IF(#REF!="ZERO",0))))),"")</f>
        <v>#REF!</v>
      </c>
      <c r="H3379" s="139" t="e">
        <f t="shared" ca="1" si="261"/>
        <v>#REF!</v>
      </c>
      <c r="I3379" s="137" t="e">
        <f t="shared" ca="1" si="262"/>
        <v>#REF!</v>
      </c>
      <c r="J3379" s="117"/>
      <c r="K3379" s="116">
        <v>0</v>
      </c>
      <c r="M3379" s="136" t="e">
        <f ca="1">OFFSET(INDEX([1]Composições!I:R,MATCH([1]Orçamentária!I3379,[1]Composições!I:I,0),8),2,0)</f>
        <v>#REF!</v>
      </c>
      <c r="N3379" t="e">
        <v>#REF!</v>
      </c>
      <c r="Q3379" t="e">
        <v>#REF!</v>
      </c>
    </row>
    <row r="3380" spans="1:17" hidden="1" x14ac:dyDescent="0.25">
      <c r="A3380" s="114" t="s">
        <v>6902</v>
      </c>
      <c r="B3380" s="115" t="s">
        <v>7182</v>
      </c>
      <c r="C3380" s="116" t="s">
        <v>16</v>
      </c>
      <c r="D3380" s="116">
        <v>0</v>
      </c>
      <c r="E3380" s="136">
        <f ca="1">OFFSET(INDEX(Composições!A:J,MATCH(Orçamentária!A3380,Composições!A:A,0),8),2,0)</f>
        <v>0</v>
      </c>
      <c r="F3380" s="137">
        <f t="shared" ca="1" si="260"/>
        <v>0</v>
      </c>
      <c r="G3380" s="138" t="e">
        <f>IF(A3380&lt;&gt;"",IF(AND(#REF!="Padrão",$H$4=#REF!),BDI!$B$17,IF(AND(#REF!="Padrão",$H$4=#REF!),BDI!#REF!,IF(AND(#REF!="Diferenciado",$H$4=#REF!),BDI!$E$17,IF(AND(#REF!="Diferenciado",$H$4=#REF!),BDI!#REF!,IF(#REF!="ZERO",0))))),"")</f>
        <v>#REF!</v>
      </c>
      <c r="H3380" s="139" t="e">
        <f t="shared" ca="1" si="261"/>
        <v>#REF!</v>
      </c>
      <c r="I3380" s="137" t="e">
        <f t="shared" ca="1" si="262"/>
        <v>#REF!</v>
      </c>
      <c r="J3380" s="117"/>
      <c r="K3380" s="116">
        <v>0</v>
      </c>
      <c r="M3380" s="136" t="e">
        <f ca="1">OFFSET(INDEX([1]Composições!I:R,MATCH([1]Orçamentária!I3380,[1]Composições!I:I,0),8),2,0)</f>
        <v>#REF!</v>
      </c>
      <c r="N3380" t="e">
        <v>#REF!</v>
      </c>
      <c r="Q3380" t="e">
        <v>#REF!</v>
      </c>
    </row>
    <row r="3381" spans="1:17" hidden="1" x14ac:dyDescent="0.25">
      <c r="A3381" s="114" t="s">
        <v>6903</v>
      </c>
      <c r="B3381" s="115" t="s">
        <v>7183</v>
      </c>
      <c r="C3381" s="116" t="s">
        <v>16</v>
      </c>
      <c r="D3381" s="116">
        <v>0</v>
      </c>
      <c r="E3381" s="136">
        <f ca="1">OFFSET(INDEX(Composições!A:J,MATCH(Orçamentária!A3381,Composições!A:A,0),8),2,0)</f>
        <v>3.7145000000000001</v>
      </c>
      <c r="F3381" s="137">
        <f t="shared" ca="1" si="260"/>
        <v>0</v>
      </c>
      <c r="G3381" s="138" t="e">
        <f>IF(A3381&lt;&gt;"",IF(AND(#REF!="Padrão",$H$4=#REF!),BDI!$B$17,IF(AND(#REF!="Padrão",$H$4=#REF!),BDI!#REF!,IF(AND(#REF!="Diferenciado",$H$4=#REF!),BDI!$E$17,IF(AND(#REF!="Diferenciado",$H$4=#REF!),BDI!#REF!,IF(#REF!="ZERO",0))))),"")</f>
        <v>#REF!</v>
      </c>
      <c r="H3381" s="139" t="e">
        <f t="shared" ca="1" si="261"/>
        <v>#REF!</v>
      </c>
      <c r="I3381" s="137" t="e">
        <f t="shared" ca="1" si="262"/>
        <v>#REF!</v>
      </c>
      <c r="J3381" s="117"/>
      <c r="K3381" s="116">
        <v>0</v>
      </c>
      <c r="M3381" s="136" t="e">
        <f ca="1">OFFSET(INDEX([1]Composições!I:R,MATCH([1]Orçamentária!I3381,[1]Composições!I:I,0),8),2,0)</f>
        <v>#REF!</v>
      </c>
      <c r="N3381" t="e">
        <v>#REF!</v>
      </c>
      <c r="Q3381" t="e">
        <v>#REF!</v>
      </c>
    </row>
    <row r="3382" spans="1:17" hidden="1" x14ac:dyDescent="0.25">
      <c r="A3382" s="114" t="s">
        <v>6904</v>
      </c>
      <c r="B3382" s="115" t="s">
        <v>7184</v>
      </c>
      <c r="C3382" s="116" t="s">
        <v>16</v>
      </c>
      <c r="D3382" s="116">
        <v>0</v>
      </c>
      <c r="E3382" s="136">
        <f ca="1">OFFSET(INDEX(Composições!A:J,MATCH(Orçamentária!A3382,Composições!A:A,0),8),2,0)</f>
        <v>3.6194999999999999</v>
      </c>
      <c r="F3382" s="137">
        <f t="shared" ca="1" si="260"/>
        <v>0</v>
      </c>
      <c r="G3382" s="138" t="e">
        <f>IF(A3382&lt;&gt;"",IF(AND(#REF!="Padrão",$H$4=#REF!),BDI!$B$17,IF(AND(#REF!="Padrão",$H$4=#REF!),BDI!#REF!,IF(AND(#REF!="Diferenciado",$H$4=#REF!),BDI!$E$17,IF(AND(#REF!="Diferenciado",$H$4=#REF!),BDI!#REF!,IF(#REF!="ZERO",0))))),"")</f>
        <v>#REF!</v>
      </c>
      <c r="H3382" s="139" t="e">
        <f t="shared" ca="1" si="261"/>
        <v>#REF!</v>
      </c>
      <c r="I3382" s="137" t="e">
        <f t="shared" ca="1" si="262"/>
        <v>#REF!</v>
      </c>
      <c r="J3382" s="117"/>
      <c r="K3382" s="116">
        <v>0</v>
      </c>
      <c r="M3382" s="136" t="e">
        <f ca="1">OFFSET(INDEX([1]Composições!I:R,MATCH([1]Orçamentária!I3382,[1]Composições!I:I,0),8),2,0)</f>
        <v>#REF!</v>
      </c>
      <c r="N3382" t="e">
        <v>#REF!</v>
      </c>
      <c r="Q3382" t="e">
        <v>#REF!</v>
      </c>
    </row>
    <row r="3383" spans="1:17" hidden="1" x14ac:dyDescent="0.25">
      <c r="A3383" s="114" t="s">
        <v>6905</v>
      </c>
      <c r="B3383" s="115" t="s">
        <v>7185</v>
      </c>
      <c r="C3383" s="116" t="s">
        <v>16</v>
      </c>
      <c r="D3383" s="116">
        <v>0</v>
      </c>
      <c r="E3383" s="136">
        <f ca="1">OFFSET(INDEX(Composições!A:J,MATCH(Orçamentária!A3383,Composições!A:A,0),8),2,0)</f>
        <v>3.8854999999999995</v>
      </c>
      <c r="F3383" s="137">
        <f t="shared" ca="1" si="260"/>
        <v>0</v>
      </c>
      <c r="G3383" s="138" t="e">
        <f>IF(A3383&lt;&gt;"",IF(AND(#REF!="Padrão",$H$4=#REF!),BDI!$B$17,IF(AND(#REF!="Padrão",$H$4=#REF!),BDI!#REF!,IF(AND(#REF!="Diferenciado",$H$4=#REF!),BDI!$E$17,IF(AND(#REF!="Diferenciado",$H$4=#REF!),BDI!#REF!,IF(#REF!="ZERO",0))))),"")</f>
        <v>#REF!</v>
      </c>
      <c r="H3383" s="139" t="e">
        <f t="shared" ca="1" si="261"/>
        <v>#REF!</v>
      </c>
      <c r="I3383" s="137" t="e">
        <f t="shared" ca="1" si="262"/>
        <v>#REF!</v>
      </c>
      <c r="J3383" s="117"/>
      <c r="K3383" s="116">
        <v>0</v>
      </c>
      <c r="M3383" s="136" t="e">
        <f ca="1">OFFSET(INDEX([1]Composições!I:R,MATCH([1]Orçamentária!I3383,[1]Composições!I:I,0),8),2,0)</f>
        <v>#REF!</v>
      </c>
      <c r="N3383" t="e">
        <v>#REF!</v>
      </c>
      <c r="Q3383" t="e">
        <v>#REF!</v>
      </c>
    </row>
    <row r="3384" spans="1:17" hidden="1" x14ac:dyDescent="0.25">
      <c r="A3384" s="114" t="s">
        <v>6906</v>
      </c>
      <c r="B3384" s="115" t="s">
        <v>7186</v>
      </c>
      <c r="C3384" s="116" t="s">
        <v>16</v>
      </c>
      <c r="D3384" s="116">
        <v>0</v>
      </c>
      <c r="E3384" s="136">
        <f ca="1">OFFSET(INDEX(Composições!A:J,MATCH(Orçamentária!A3384,Composições!A:A,0),8),2,0)</f>
        <v>5.5670000000000002</v>
      </c>
      <c r="F3384" s="137">
        <f t="shared" ca="1" si="260"/>
        <v>0</v>
      </c>
      <c r="G3384" s="138" t="e">
        <f>IF(A3384&lt;&gt;"",IF(AND(#REF!="Padrão",$H$4=#REF!),BDI!$B$17,IF(AND(#REF!="Padrão",$H$4=#REF!),BDI!#REF!,IF(AND(#REF!="Diferenciado",$H$4=#REF!),BDI!$E$17,IF(AND(#REF!="Diferenciado",$H$4=#REF!),BDI!#REF!,IF(#REF!="ZERO",0))))),"")</f>
        <v>#REF!</v>
      </c>
      <c r="H3384" s="139" t="e">
        <f t="shared" ca="1" si="261"/>
        <v>#REF!</v>
      </c>
      <c r="I3384" s="137" t="e">
        <f t="shared" ca="1" si="262"/>
        <v>#REF!</v>
      </c>
      <c r="J3384" s="117"/>
      <c r="K3384" s="116">
        <v>0</v>
      </c>
      <c r="M3384" s="136" t="e">
        <f ca="1">OFFSET(INDEX([1]Composições!I:R,MATCH([1]Orçamentária!I3384,[1]Composições!I:I,0),8),2,0)</f>
        <v>#REF!</v>
      </c>
      <c r="N3384" t="e">
        <v>#REF!</v>
      </c>
      <c r="Q3384" t="e">
        <v>#REF!</v>
      </c>
    </row>
    <row r="3385" spans="1:17" hidden="1" x14ac:dyDescent="0.25">
      <c r="A3385" s="114" t="s">
        <v>6907</v>
      </c>
      <c r="B3385" s="115" t="s">
        <v>7187</v>
      </c>
      <c r="C3385" s="116" t="s">
        <v>16</v>
      </c>
      <c r="D3385" s="116">
        <v>0</v>
      </c>
      <c r="E3385" s="136">
        <f ca="1">OFFSET(INDEX(Composições!A:J,MATCH(Orçamentária!A3385,Composições!A:A,0),8),2,0)</f>
        <v>2.1849999999999996</v>
      </c>
      <c r="F3385" s="137">
        <f t="shared" ca="1" si="260"/>
        <v>0</v>
      </c>
      <c r="G3385" s="138" t="e">
        <f>IF(A3385&lt;&gt;"",IF(AND(#REF!="Padrão",$H$4=#REF!),BDI!$B$17,IF(AND(#REF!="Padrão",$H$4=#REF!),BDI!#REF!,IF(AND(#REF!="Diferenciado",$H$4=#REF!),BDI!$E$17,IF(AND(#REF!="Diferenciado",$H$4=#REF!),BDI!#REF!,IF(#REF!="ZERO",0))))),"")</f>
        <v>#REF!</v>
      </c>
      <c r="H3385" s="139" t="e">
        <f t="shared" ca="1" si="261"/>
        <v>#REF!</v>
      </c>
      <c r="I3385" s="137" t="e">
        <f t="shared" ca="1" si="262"/>
        <v>#REF!</v>
      </c>
      <c r="J3385" s="117"/>
      <c r="K3385" s="116">
        <v>0</v>
      </c>
      <c r="M3385" s="136" t="e">
        <f ca="1">OFFSET(INDEX([1]Composições!I:R,MATCH([1]Orçamentária!I3385,[1]Composições!I:I,0),8),2,0)</f>
        <v>#REF!</v>
      </c>
      <c r="N3385" t="e">
        <v>#REF!</v>
      </c>
      <c r="Q3385" t="e">
        <v>#REF!</v>
      </c>
    </row>
    <row r="3386" spans="1:17" hidden="1" x14ac:dyDescent="0.25">
      <c r="A3386" s="114" t="s">
        <v>6908</v>
      </c>
      <c r="B3386" s="115" t="s">
        <v>7188</v>
      </c>
      <c r="C3386" s="116" t="s">
        <v>16</v>
      </c>
      <c r="D3386" s="116">
        <v>0</v>
      </c>
      <c r="E3386" s="136">
        <f ca="1">OFFSET(INDEX(Composições!A:J,MATCH(Orçamentária!A3386,Composições!A:A,0),8),2,0)</f>
        <v>2.4224999999999999</v>
      </c>
      <c r="F3386" s="137">
        <f t="shared" ca="1" si="260"/>
        <v>0</v>
      </c>
      <c r="G3386" s="138" t="e">
        <f>IF(A3386&lt;&gt;"",IF(AND(#REF!="Padrão",$H$4=#REF!),BDI!$B$17,IF(AND(#REF!="Padrão",$H$4=#REF!),BDI!#REF!,IF(AND(#REF!="Diferenciado",$H$4=#REF!),BDI!$E$17,IF(AND(#REF!="Diferenciado",$H$4=#REF!),BDI!#REF!,IF(#REF!="ZERO",0))))),"")</f>
        <v>#REF!</v>
      </c>
      <c r="H3386" s="139" t="e">
        <f t="shared" ca="1" si="261"/>
        <v>#REF!</v>
      </c>
      <c r="I3386" s="137" t="e">
        <f t="shared" ca="1" si="262"/>
        <v>#REF!</v>
      </c>
      <c r="J3386" s="117"/>
      <c r="K3386" s="116">
        <v>0</v>
      </c>
      <c r="M3386" s="136" t="e">
        <f ca="1">OFFSET(INDEX([1]Composições!I:R,MATCH([1]Orçamentária!I3386,[1]Composições!I:I,0),8),2,0)</f>
        <v>#REF!</v>
      </c>
      <c r="N3386" t="e">
        <v>#REF!</v>
      </c>
      <c r="Q3386" t="e">
        <v>#REF!</v>
      </c>
    </row>
    <row r="3387" spans="1:17" hidden="1" x14ac:dyDescent="0.25">
      <c r="A3387" s="114" t="s">
        <v>6909</v>
      </c>
      <c r="B3387" s="115" t="s">
        <v>7189</v>
      </c>
      <c r="C3387" s="116" t="s">
        <v>16</v>
      </c>
      <c r="D3387" s="116">
        <v>0</v>
      </c>
      <c r="E3387" s="136">
        <f ca="1">OFFSET(INDEX(Composições!A:J,MATCH(Orçamentária!A3387,Composições!A:A,0),8),2,0)</f>
        <v>6.8019999999999996</v>
      </c>
      <c r="F3387" s="137">
        <f t="shared" ca="1" si="260"/>
        <v>0</v>
      </c>
      <c r="G3387" s="138" t="e">
        <f>IF(A3387&lt;&gt;"",IF(AND(#REF!="Padrão",$H$4=#REF!),BDI!$B$17,IF(AND(#REF!="Padrão",$H$4=#REF!),BDI!#REF!,IF(AND(#REF!="Diferenciado",$H$4=#REF!),BDI!$E$17,IF(AND(#REF!="Diferenciado",$H$4=#REF!),BDI!#REF!,IF(#REF!="ZERO",0))))),"")</f>
        <v>#REF!</v>
      </c>
      <c r="H3387" s="139" t="e">
        <f t="shared" ca="1" si="261"/>
        <v>#REF!</v>
      </c>
      <c r="I3387" s="137" t="e">
        <f t="shared" ca="1" si="262"/>
        <v>#REF!</v>
      </c>
      <c r="J3387" s="117"/>
      <c r="K3387" s="116">
        <v>0</v>
      </c>
      <c r="M3387" s="136" t="e">
        <f ca="1">OFFSET(INDEX([1]Composições!I:R,MATCH([1]Orçamentária!I3387,[1]Composições!I:I,0),8),2,0)</f>
        <v>#REF!</v>
      </c>
      <c r="N3387" t="e">
        <v>#REF!</v>
      </c>
      <c r="Q3387" t="e">
        <v>#REF!</v>
      </c>
    </row>
    <row r="3388" spans="1:17" hidden="1" x14ac:dyDescent="0.25">
      <c r="A3388" s="114" t="s">
        <v>6910</v>
      </c>
      <c r="B3388" s="115" t="s">
        <v>7190</v>
      </c>
      <c r="C3388" s="116" t="s">
        <v>16</v>
      </c>
      <c r="D3388" s="116">
        <v>0</v>
      </c>
      <c r="E3388" s="136">
        <f ca="1">OFFSET(INDEX(Composições!A:J,MATCH(Orçamentária!A3388,Composições!A:A,0),8),2,0)</f>
        <v>3.2489999999999997</v>
      </c>
      <c r="F3388" s="137">
        <f t="shared" ca="1" si="260"/>
        <v>0</v>
      </c>
      <c r="G3388" s="138" t="e">
        <f>IF(A3388&lt;&gt;"",IF(AND(#REF!="Padrão",$H$4=#REF!),BDI!$B$17,IF(AND(#REF!="Padrão",$H$4=#REF!),BDI!#REF!,IF(AND(#REF!="Diferenciado",$H$4=#REF!),BDI!$E$17,IF(AND(#REF!="Diferenciado",$H$4=#REF!),BDI!#REF!,IF(#REF!="ZERO",0))))),"")</f>
        <v>#REF!</v>
      </c>
      <c r="H3388" s="139" t="e">
        <f t="shared" ca="1" si="261"/>
        <v>#REF!</v>
      </c>
      <c r="I3388" s="137" t="e">
        <f t="shared" ca="1" si="262"/>
        <v>#REF!</v>
      </c>
      <c r="J3388" s="117"/>
      <c r="K3388" s="116">
        <v>0</v>
      </c>
      <c r="M3388" s="136" t="e">
        <f ca="1">OFFSET(INDEX([1]Composições!I:R,MATCH([1]Orçamentária!I3388,[1]Composições!I:I,0),8),2,0)</f>
        <v>#REF!</v>
      </c>
      <c r="N3388" t="e">
        <v>#REF!</v>
      </c>
      <c r="Q3388" t="e">
        <v>#REF!</v>
      </c>
    </row>
    <row r="3389" spans="1:17" hidden="1" x14ac:dyDescent="0.25">
      <c r="A3389" s="114" t="s">
        <v>6911</v>
      </c>
      <c r="B3389" s="115" t="s">
        <v>7191</v>
      </c>
      <c r="C3389" s="116" t="s">
        <v>16</v>
      </c>
      <c r="D3389" s="116">
        <v>0</v>
      </c>
      <c r="E3389" s="136">
        <f ca="1">OFFSET(INDEX(Composições!A:J,MATCH(Orçamentária!A3389,Composições!A:A,0),8),2,0)</f>
        <v>11.058</v>
      </c>
      <c r="F3389" s="137">
        <f t="shared" ca="1" si="260"/>
        <v>0</v>
      </c>
      <c r="G3389" s="138" t="e">
        <f>IF(A3389&lt;&gt;"",IF(AND(#REF!="Padrão",$H$4=#REF!),BDI!$B$17,IF(AND(#REF!="Padrão",$H$4=#REF!),BDI!#REF!,IF(AND(#REF!="Diferenciado",$H$4=#REF!),BDI!$E$17,IF(AND(#REF!="Diferenciado",$H$4=#REF!),BDI!#REF!,IF(#REF!="ZERO",0))))),"")</f>
        <v>#REF!</v>
      </c>
      <c r="H3389" s="139" t="e">
        <f t="shared" ca="1" si="261"/>
        <v>#REF!</v>
      </c>
      <c r="I3389" s="137" t="e">
        <f t="shared" ca="1" si="262"/>
        <v>#REF!</v>
      </c>
      <c r="J3389" s="117"/>
      <c r="K3389" s="116">
        <v>0</v>
      </c>
      <c r="M3389" s="136" t="e">
        <f ca="1">OFFSET(INDEX([1]Composições!I:R,MATCH([1]Orçamentária!I3389,[1]Composições!I:I,0),8),2,0)</f>
        <v>#REF!</v>
      </c>
      <c r="N3389" t="e">
        <v>#REF!</v>
      </c>
      <c r="Q3389" t="e">
        <v>#REF!</v>
      </c>
    </row>
    <row r="3390" spans="1:17" hidden="1" x14ac:dyDescent="0.25">
      <c r="A3390" s="114" t="s">
        <v>6912</v>
      </c>
      <c r="B3390" s="115" t="s">
        <v>7192</v>
      </c>
      <c r="C3390" s="116" t="s">
        <v>16</v>
      </c>
      <c r="D3390" s="116">
        <v>0</v>
      </c>
      <c r="E3390" s="136">
        <f ca="1">OFFSET(INDEX(Composições!A:J,MATCH(Orçamentária!A3390,Composições!A:A,0),8),2,0)</f>
        <v>9.69</v>
      </c>
      <c r="F3390" s="137">
        <f t="shared" ca="1" si="260"/>
        <v>0</v>
      </c>
      <c r="G3390" s="138" t="e">
        <f>IF(A3390&lt;&gt;"",IF(AND(#REF!="Padrão",$H$4=#REF!),BDI!$B$17,IF(AND(#REF!="Padrão",$H$4=#REF!),BDI!#REF!,IF(AND(#REF!="Diferenciado",$H$4=#REF!),BDI!$E$17,IF(AND(#REF!="Diferenciado",$H$4=#REF!),BDI!#REF!,IF(#REF!="ZERO",0))))),"")</f>
        <v>#REF!</v>
      </c>
      <c r="H3390" s="139" t="e">
        <f t="shared" ca="1" si="261"/>
        <v>#REF!</v>
      </c>
      <c r="I3390" s="137" t="e">
        <f t="shared" ca="1" si="262"/>
        <v>#REF!</v>
      </c>
      <c r="J3390" s="117"/>
      <c r="K3390" s="116">
        <v>0</v>
      </c>
      <c r="M3390" s="136" t="e">
        <f ca="1">OFFSET(INDEX([1]Composições!I:R,MATCH([1]Orçamentária!I3390,[1]Composições!I:I,0),8),2,0)</f>
        <v>#REF!</v>
      </c>
      <c r="N3390" t="e">
        <v>#REF!</v>
      </c>
      <c r="Q3390" t="e">
        <v>#REF!</v>
      </c>
    </row>
    <row r="3391" spans="1:17" hidden="1" x14ac:dyDescent="0.25">
      <c r="A3391" s="114" t="s">
        <v>6913</v>
      </c>
      <c r="B3391" s="115" t="s">
        <v>7193</v>
      </c>
      <c r="C3391" s="116" t="s">
        <v>16</v>
      </c>
      <c r="D3391" s="116">
        <v>0</v>
      </c>
      <c r="E3391" s="136">
        <f ca="1">OFFSET(INDEX(Composições!A:J,MATCH(Orçamentária!A3391,Composições!A:A,0),8),2,0)</f>
        <v>7.3814999999999991</v>
      </c>
      <c r="F3391" s="137">
        <f t="shared" ca="1" si="260"/>
        <v>0</v>
      </c>
      <c r="G3391" s="138" t="e">
        <f>IF(A3391&lt;&gt;"",IF(AND(#REF!="Padrão",$H$4=#REF!),BDI!$B$17,IF(AND(#REF!="Padrão",$H$4=#REF!),BDI!#REF!,IF(AND(#REF!="Diferenciado",$H$4=#REF!),BDI!$E$17,IF(AND(#REF!="Diferenciado",$H$4=#REF!),BDI!#REF!,IF(#REF!="ZERO",0))))),"")</f>
        <v>#REF!</v>
      </c>
      <c r="H3391" s="139" t="e">
        <f t="shared" ca="1" si="261"/>
        <v>#REF!</v>
      </c>
      <c r="I3391" s="137" t="e">
        <f t="shared" ca="1" si="262"/>
        <v>#REF!</v>
      </c>
      <c r="J3391" s="117"/>
      <c r="K3391" s="116">
        <v>0</v>
      </c>
      <c r="M3391" s="136" t="e">
        <f ca="1">OFFSET(INDEX([1]Composições!I:R,MATCH([1]Orçamentária!I3391,[1]Composições!I:I,0),8),2,0)</f>
        <v>#REF!</v>
      </c>
      <c r="N3391" t="e">
        <v>#REF!</v>
      </c>
      <c r="Q3391" t="e">
        <v>#REF!</v>
      </c>
    </row>
    <row r="3392" spans="1:17" hidden="1" x14ac:dyDescent="0.25">
      <c r="A3392" s="114" t="s">
        <v>6914</v>
      </c>
      <c r="B3392" s="115" t="s">
        <v>7194</v>
      </c>
      <c r="C3392" s="116" t="s">
        <v>16</v>
      </c>
      <c r="D3392" s="116">
        <v>0</v>
      </c>
      <c r="E3392" s="136">
        <f ca="1">OFFSET(INDEX(Composições!A:J,MATCH(Orçamentária!A3392,Composições!A:A,0),8),2,0)</f>
        <v>0</v>
      </c>
      <c r="F3392" s="137">
        <f t="shared" ca="1" si="260"/>
        <v>0</v>
      </c>
      <c r="G3392" s="138" t="e">
        <f>IF(A3392&lt;&gt;"",IF(AND(#REF!="Padrão",$H$4=#REF!),BDI!$B$17,IF(AND(#REF!="Padrão",$H$4=#REF!),BDI!#REF!,IF(AND(#REF!="Diferenciado",$H$4=#REF!),BDI!$E$17,IF(AND(#REF!="Diferenciado",$H$4=#REF!),BDI!#REF!,IF(#REF!="ZERO",0))))),"")</f>
        <v>#REF!</v>
      </c>
      <c r="H3392" s="139" t="e">
        <f t="shared" ca="1" si="261"/>
        <v>#REF!</v>
      </c>
      <c r="I3392" s="137" t="e">
        <f t="shared" ca="1" si="262"/>
        <v>#REF!</v>
      </c>
      <c r="J3392" s="117"/>
      <c r="K3392" s="116">
        <v>0</v>
      </c>
      <c r="M3392" s="136" t="e">
        <f ca="1">OFFSET(INDEX([1]Composições!I:R,MATCH([1]Orçamentária!I3392,[1]Composições!I:I,0),8),2,0)</f>
        <v>#REF!</v>
      </c>
      <c r="N3392" t="e">
        <v>#REF!</v>
      </c>
      <c r="Q3392" t="e">
        <v>#REF!</v>
      </c>
    </row>
    <row r="3393" spans="1:17" hidden="1" x14ac:dyDescent="0.25">
      <c r="A3393" s="114" t="s">
        <v>6915</v>
      </c>
      <c r="B3393" s="115" t="s">
        <v>7195</v>
      </c>
      <c r="C3393" s="116" t="s">
        <v>16</v>
      </c>
      <c r="D3393" s="116">
        <v>0</v>
      </c>
      <c r="E3393" s="136">
        <f ca="1">OFFSET(INDEX(Composições!A:J,MATCH(Orçamentária!A3393,Composições!A:A,0),8),2,0)</f>
        <v>3.0114999999999998</v>
      </c>
      <c r="F3393" s="137">
        <f t="shared" ca="1" si="260"/>
        <v>0</v>
      </c>
      <c r="G3393" s="138" t="e">
        <f>IF(A3393&lt;&gt;"",IF(AND(#REF!="Padrão",$H$4=#REF!),BDI!$B$17,IF(AND(#REF!="Padrão",$H$4=#REF!),BDI!#REF!,IF(AND(#REF!="Diferenciado",$H$4=#REF!),BDI!$E$17,IF(AND(#REF!="Diferenciado",$H$4=#REF!),BDI!#REF!,IF(#REF!="ZERO",0))))),"")</f>
        <v>#REF!</v>
      </c>
      <c r="H3393" s="139" t="e">
        <f t="shared" ca="1" si="261"/>
        <v>#REF!</v>
      </c>
      <c r="I3393" s="137" t="e">
        <f t="shared" ca="1" si="262"/>
        <v>#REF!</v>
      </c>
      <c r="J3393" s="117"/>
      <c r="K3393" s="116">
        <v>0</v>
      </c>
      <c r="M3393" s="136" t="e">
        <f ca="1">OFFSET(INDEX([1]Composições!I:R,MATCH([1]Orçamentária!I3393,[1]Composições!I:I,0),8),2,0)</f>
        <v>#REF!</v>
      </c>
      <c r="N3393" t="e">
        <v>#REF!</v>
      </c>
      <c r="Q3393" t="e">
        <v>#REF!</v>
      </c>
    </row>
    <row r="3394" spans="1:17" hidden="1" x14ac:dyDescent="0.25">
      <c r="A3394" s="114" t="s">
        <v>6916</v>
      </c>
      <c r="B3394" s="115" t="s">
        <v>7196</v>
      </c>
      <c r="C3394" s="116" t="s">
        <v>16</v>
      </c>
      <c r="D3394" s="116">
        <v>0</v>
      </c>
      <c r="E3394" s="136">
        <f ca="1">OFFSET(INDEX(Composições!A:J,MATCH(Orçamentária!A3394,Composições!A:A,0),8),2,0)</f>
        <v>4.3984999999999994</v>
      </c>
      <c r="F3394" s="137">
        <f t="shared" ca="1" si="260"/>
        <v>0</v>
      </c>
      <c r="G3394" s="138" t="e">
        <f>IF(A3394&lt;&gt;"",IF(AND(#REF!="Padrão",$H$4=#REF!),BDI!$B$17,IF(AND(#REF!="Padrão",$H$4=#REF!),BDI!#REF!,IF(AND(#REF!="Diferenciado",$H$4=#REF!),BDI!$E$17,IF(AND(#REF!="Diferenciado",$H$4=#REF!),BDI!#REF!,IF(#REF!="ZERO",0))))),"")</f>
        <v>#REF!</v>
      </c>
      <c r="H3394" s="139" t="e">
        <f t="shared" ca="1" si="261"/>
        <v>#REF!</v>
      </c>
      <c r="I3394" s="137" t="e">
        <f t="shared" ca="1" si="262"/>
        <v>#REF!</v>
      </c>
      <c r="J3394" s="117"/>
      <c r="K3394" s="116">
        <v>0</v>
      </c>
      <c r="M3394" s="136" t="e">
        <f ca="1">OFFSET(INDEX([1]Composições!I:R,MATCH([1]Orçamentária!I3394,[1]Composições!I:I,0),8),2,0)</f>
        <v>#REF!</v>
      </c>
      <c r="N3394" t="e">
        <v>#REF!</v>
      </c>
      <c r="Q3394" t="e">
        <v>#REF!</v>
      </c>
    </row>
    <row r="3395" spans="1:17" hidden="1" x14ac:dyDescent="0.25">
      <c r="A3395" s="114" t="s">
        <v>6917</v>
      </c>
      <c r="B3395" s="115" t="s">
        <v>7197</v>
      </c>
      <c r="C3395" s="116" t="s">
        <v>16</v>
      </c>
      <c r="D3395" s="116">
        <v>0</v>
      </c>
      <c r="E3395" s="136">
        <f ca="1">OFFSET(INDEX(Composições!A:J,MATCH(Orçamentária!A3395,Composições!A:A,0),8),2,0)</f>
        <v>5.2154999999999996</v>
      </c>
      <c r="F3395" s="137">
        <f t="shared" ca="1" si="260"/>
        <v>0</v>
      </c>
      <c r="G3395" s="138" t="e">
        <f>IF(A3395&lt;&gt;"",IF(AND(#REF!="Padrão",$H$4=#REF!),BDI!$B$17,IF(AND(#REF!="Padrão",$H$4=#REF!),BDI!#REF!,IF(AND(#REF!="Diferenciado",$H$4=#REF!),BDI!$E$17,IF(AND(#REF!="Diferenciado",$H$4=#REF!),BDI!#REF!,IF(#REF!="ZERO",0))))),"")</f>
        <v>#REF!</v>
      </c>
      <c r="H3395" s="139" t="e">
        <f t="shared" ca="1" si="261"/>
        <v>#REF!</v>
      </c>
      <c r="I3395" s="137" t="e">
        <f t="shared" ca="1" si="262"/>
        <v>#REF!</v>
      </c>
      <c r="J3395" s="117"/>
      <c r="K3395" s="116">
        <v>0</v>
      </c>
      <c r="M3395" s="136" t="e">
        <f ca="1">OFFSET(INDEX([1]Composições!I:R,MATCH([1]Orçamentária!I3395,[1]Composições!I:I,0),8),2,0)</f>
        <v>#REF!</v>
      </c>
      <c r="N3395" t="e">
        <v>#REF!</v>
      </c>
      <c r="Q3395" t="e">
        <v>#REF!</v>
      </c>
    </row>
    <row r="3396" spans="1:17" hidden="1" x14ac:dyDescent="0.25">
      <c r="A3396" s="114" t="s">
        <v>6918</v>
      </c>
      <c r="B3396" s="115" t="s">
        <v>7198</v>
      </c>
      <c r="C3396" s="116" t="s">
        <v>16</v>
      </c>
      <c r="D3396" s="116">
        <v>0</v>
      </c>
      <c r="E3396" s="136">
        <f ca="1">OFFSET(INDEX(Composições!A:J,MATCH(Orçamentária!A3396,Composições!A:A,0),8),2,0)</f>
        <v>13.442499999999999</v>
      </c>
      <c r="F3396" s="137">
        <f t="shared" ca="1" si="260"/>
        <v>0</v>
      </c>
      <c r="G3396" s="138" t="e">
        <f>IF(A3396&lt;&gt;"",IF(AND(#REF!="Padrão",$H$4=#REF!),BDI!$B$17,IF(AND(#REF!="Padrão",$H$4=#REF!),BDI!#REF!,IF(AND(#REF!="Diferenciado",$H$4=#REF!),BDI!$E$17,IF(AND(#REF!="Diferenciado",$H$4=#REF!),BDI!#REF!,IF(#REF!="ZERO",0))))),"")</f>
        <v>#REF!</v>
      </c>
      <c r="H3396" s="139" t="e">
        <f t="shared" ca="1" si="261"/>
        <v>#REF!</v>
      </c>
      <c r="I3396" s="137" t="e">
        <f t="shared" ca="1" si="262"/>
        <v>#REF!</v>
      </c>
      <c r="J3396" s="117"/>
      <c r="K3396" s="116">
        <v>0</v>
      </c>
      <c r="M3396" s="136" t="e">
        <f ca="1">OFFSET(INDEX([1]Composições!I:R,MATCH([1]Orçamentária!I3396,[1]Composições!I:I,0),8),2,0)</f>
        <v>#REF!</v>
      </c>
      <c r="N3396" t="e">
        <v>#REF!</v>
      </c>
      <c r="Q3396" t="e">
        <v>#REF!</v>
      </c>
    </row>
    <row r="3397" spans="1:17" hidden="1" x14ac:dyDescent="0.25">
      <c r="A3397" s="114" t="s">
        <v>6919</v>
      </c>
      <c r="B3397" s="115" t="s">
        <v>7199</v>
      </c>
      <c r="C3397" s="116" t="s">
        <v>16</v>
      </c>
      <c r="D3397" s="116">
        <v>0</v>
      </c>
      <c r="E3397" s="136">
        <f ca="1">OFFSET(INDEX(Composições!A:J,MATCH(Orçamentária!A3397,Composições!A:A,0),8),2,0)</f>
        <v>6.593</v>
      </c>
      <c r="F3397" s="137">
        <f t="shared" ca="1" si="260"/>
        <v>0</v>
      </c>
      <c r="G3397" s="138" t="e">
        <f>IF(A3397&lt;&gt;"",IF(AND(#REF!="Padrão",$H$4=#REF!),BDI!$B$17,IF(AND(#REF!="Padrão",$H$4=#REF!),BDI!#REF!,IF(AND(#REF!="Diferenciado",$H$4=#REF!),BDI!$E$17,IF(AND(#REF!="Diferenciado",$H$4=#REF!),BDI!#REF!,IF(#REF!="ZERO",0))))),"")</f>
        <v>#REF!</v>
      </c>
      <c r="H3397" s="139" t="e">
        <f t="shared" ca="1" si="261"/>
        <v>#REF!</v>
      </c>
      <c r="I3397" s="137" t="e">
        <f t="shared" ca="1" si="262"/>
        <v>#REF!</v>
      </c>
      <c r="J3397" s="117"/>
      <c r="K3397" s="116">
        <v>0</v>
      </c>
      <c r="M3397" s="136" t="e">
        <f ca="1">OFFSET(INDEX([1]Composições!I:R,MATCH([1]Orçamentária!I3397,[1]Composições!I:I,0),8),2,0)</f>
        <v>#REF!</v>
      </c>
      <c r="N3397" t="e">
        <v>#REF!</v>
      </c>
      <c r="Q3397" t="e">
        <v>#REF!</v>
      </c>
    </row>
    <row r="3398" spans="1:17" hidden="1" x14ac:dyDescent="0.25">
      <c r="A3398" s="114" t="s">
        <v>6920</v>
      </c>
      <c r="B3398" s="115" t="s">
        <v>7200</v>
      </c>
      <c r="C3398" s="116" t="s">
        <v>16</v>
      </c>
      <c r="D3398" s="116">
        <v>0</v>
      </c>
      <c r="E3398" s="136">
        <f ca="1">OFFSET(INDEX(Composições!A:J,MATCH(Orçamentária!A3398,Composições!A:A,0),8),2,0)</f>
        <v>6.8304999999999998</v>
      </c>
      <c r="F3398" s="137">
        <f t="shared" ca="1" si="260"/>
        <v>0</v>
      </c>
      <c r="G3398" s="138" t="e">
        <f>IF(A3398&lt;&gt;"",IF(AND(#REF!="Padrão",$H$4=#REF!),BDI!$B$17,IF(AND(#REF!="Padrão",$H$4=#REF!),BDI!#REF!,IF(AND(#REF!="Diferenciado",$H$4=#REF!),BDI!$E$17,IF(AND(#REF!="Diferenciado",$H$4=#REF!),BDI!#REF!,IF(#REF!="ZERO",0))))),"")</f>
        <v>#REF!</v>
      </c>
      <c r="H3398" s="139" t="e">
        <f t="shared" ca="1" si="261"/>
        <v>#REF!</v>
      </c>
      <c r="I3398" s="137" t="e">
        <f t="shared" ca="1" si="262"/>
        <v>#REF!</v>
      </c>
      <c r="J3398" s="117"/>
      <c r="K3398" s="116">
        <v>0</v>
      </c>
      <c r="M3398" s="136" t="e">
        <f ca="1">OFFSET(INDEX([1]Composições!I:R,MATCH([1]Orçamentária!I3398,[1]Composições!I:I,0),8),2,0)</f>
        <v>#REF!</v>
      </c>
      <c r="N3398" t="e">
        <v>#REF!</v>
      </c>
      <c r="Q3398" t="e">
        <v>#REF!</v>
      </c>
    </row>
    <row r="3399" spans="1:17" hidden="1" x14ac:dyDescent="0.25">
      <c r="A3399" s="114" t="s">
        <v>6921</v>
      </c>
      <c r="B3399" s="115" t="s">
        <v>7201</v>
      </c>
      <c r="C3399" s="116" t="s">
        <v>16</v>
      </c>
      <c r="D3399" s="116">
        <v>0</v>
      </c>
      <c r="E3399" s="136">
        <f ca="1">OFFSET(INDEX(Composições!A:J,MATCH(Orçamentária!A3399,Composições!A:A,0),8),2,0)</f>
        <v>43.775999999999996</v>
      </c>
      <c r="F3399" s="137">
        <f t="shared" ca="1" si="260"/>
        <v>0</v>
      </c>
      <c r="G3399" s="138" t="e">
        <f>IF(A3399&lt;&gt;"",IF(AND(#REF!="Padrão",$H$4=#REF!),BDI!$B$17,IF(AND(#REF!="Padrão",$H$4=#REF!),BDI!#REF!,IF(AND(#REF!="Diferenciado",$H$4=#REF!),BDI!$E$17,IF(AND(#REF!="Diferenciado",$H$4=#REF!),BDI!#REF!,IF(#REF!="ZERO",0))))),"")</f>
        <v>#REF!</v>
      </c>
      <c r="H3399" s="139" t="e">
        <f t="shared" ca="1" si="261"/>
        <v>#REF!</v>
      </c>
      <c r="I3399" s="137" t="e">
        <f t="shared" ca="1" si="262"/>
        <v>#REF!</v>
      </c>
      <c r="J3399" s="117"/>
      <c r="K3399" s="116">
        <v>0</v>
      </c>
      <c r="M3399" s="136" t="e">
        <f ca="1">OFFSET(INDEX([1]Composições!I:R,MATCH([1]Orçamentária!I3399,[1]Composições!I:I,0),8),2,0)</f>
        <v>#REF!</v>
      </c>
      <c r="N3399" t="e">
        <v>#REF!</v>
      </c>
      <c r="Q3399" t="e">
        <v>#REF!</v>
      </c>
    </row>
    <row r="3400" spans="1:17" hidden="1" x14ac:dyDescent="0.25">
      <c r="A3400" s="114" t="s">
        <v>6922</v>
      </c>
      <c r="B3400" s="115" t="s">
        <v>7202</v>
      </c>
      <c r="C3400" s="116" t="s">
        <v>16</v>
      </c>
      <c r="D3400" s="116">
        <v>0</v>
      </c>
      <c r="E3400" s="136">
        <f ca="1">OFFSET(INDEX(Composições!A:J,MATCH(Orçamentária!A3400,Composições!A:A,0),8),2,0)</f>
        <v>7.7899999999999991</v>
      </c>
      <c r="F3400" s="137">
        <f t="shared" ca="1" si="260"/>
        <v>0</v>
      </c>
      <c r="G3400" s="138" t="e">
        <f>IF(A3400&lt;&gt;"",IF(AND(#REF!="Padrão",$H$4=#REF!),BDI!$B$17,IF(AND(#REF!="Padrão",$H$4=#REF!),BDI!#REF!,IF(AND(#REF!="Diferenciado",$H$4=#REF!),BDI!$E$17,IF(AND(#REF!="Diferenciado",$H$4=#REF!),BDI!#REF!,IF(#REF!="ZERO",0))))),"")</f>
        <v>#REF!</v>
      </c>
      <c r="H3400" s="139" t="e">
        <f t="shared" ca="1" si="261"/>
        <v>#REF!</v>
      </c>
      <c r="I3400" s="137" t="e">
        <f t="shared" ca="1" si="262"/>
        <v>#REF!</v>
      </c>
      <c r="J3400" s="117"/>
      <c r="K3400" s="116">
        <v>0</v>
      </c>
      <c r="M3400" s="136" t="e">
        <f ca="1">OFFSET(INDEX([1]Composições!I:R,MATCH([1]Orçamentária!I3400,[1]Composições!I:I,0),8),2,0)</f>
        <v>#REF!</v>
      </c>
      <c r="N3400" t="e">
        <v>#REF!</v>
      </c>
      <c r="Q3400" t="e">
        <v>#REF!</v>
      </c>
    </row>
    <row r="3401" spans="1:17" hidden="1" x14ac:dyDescent="0.25">
      <c r="A3401" s="114" t="s">
        <v>6923</v>
      </c>
      <c r="B3401" s="115" t="s">
        <v>7203</v>
      </c>
      <c r="C3401" s="116" t="s">
        <v>16</v>
      </c>
      <c r="D3401" s="116">
        <v>0</v>
      </c>
      <c r="E3401" s="136">
        <f ca="1">OFFSET(INDEX(Composições!A:J,MATCH(Orçamentária!A3401,Composições!A:A,0),8),2,0)</f>
        <v>12.283499999999998</v>
      </c>
      <c r="F3401" s="137">
        <f t="shared" ca="1" si="260"/>
        <v>0</v>
      </c>
      <c r="G3401" s="138" t="e">
        <f>IF(A3401&lt;&gt;"",IF(AND(#REF!="Padrão",$H$4=#REF!),BDI!$B$17,IF(AND(#REF!="Padrão",$H$4=#REF!),BDI!#REF!,IF(AND(#REF!="Diferenciado",$H$4=#REF!),BDI!$E$17,IF(AND(#REF!="Diferenciado",$H$4=#REF!),BDI!#REF!,IF(#REF!="ZERO",0))))),"")</f>
        <v>#REF!</v>
      </c>
      <c r="H3401" s="139" t="e">
        <f t="shared" ca="1" si="261"/>
        <v>#REF!</v>
      </c>
      <c r="I3401" s="137" t="e">
        <f t="shared" ca="1" si="262"/>
        <v>#REF!</v>
      </c>
      <c r="J3401" s="117"/>
      <c r="K3401" s="116">
        <v>0</v>
      </c>
      <c r="M3401" s="136" t="e">
        <f ca="1">OFFSET(INDEX([1]Composições!I:R,MATCH([1]Orçamentária!I3401,[1]Composições!I:I,0),8),2,0)</f>
        <v>#REF!</v>
      </c>
      <c r="N3401" t="e">
        <v>#REF!</v>
      </c>
      <c r="Q3401" t="e">
        <v>#REF!</v>
      </c>
    </row>
    <row r="3402" spans="1:17" hidden="1" x14ac:dyDescent="0.25">
      <c r="A3402" s="114" t="s">
        <v>6924</v>
      </c>
      <c r="B3402" s="115" t="s">
        <v>7204</v>
      </c>
      <c r="C3402" s="116" t="s">
        <v>16</v>
      </c>
      <c r="D3402" s="116">
        <v>0</v>
      </c>
      <c r="E3402" s="136">
        <f ca="1">OFFSET(INDEX(Composições!A:J,MATCH(Orçamentária!A3402,Composições!A:A,0),8),2,0)</f>
        <v>28.186499999999999</v>
      </c>
      <c r="F3402" s="137">
        <f t="shared" ca="1" si="260"/>
        <v>0</v>
      </c>
      <c r="G3402" s="138" t="e">
        <f>IF(A3402&lt;&gt;"",IF(AND(#REF!="Padrão",$H$4=#REF!),BDI!$B$17,IF(AND(#REF!="Padrão",$H$4=#REF!),BDI!#REF!,IF(AND(#REF!="Diferenciado",$H$4=#REF!),BDI!$E$17,IF(AND(#REF!="Diferenciado",$H$4=#REF!),BDI!#REF!,IF(#REF!="ZERO",0))))),"")</f>
        <v>#REF!</v>
      </c>
      <c r="H3402" s="139" t="e">
        <f t="shared" ca="1" si="261"/>
        <v>#REF!</v>
      </c>
      <c r="I3402" s="137" t="e">
        <f t="shared" ca="1" si="262"/>
        <v>#REF!</v>
      </c>
      <c r="J3402" s="117"/>
      <c r="K3402" s="116">
        <v>0</v>
      </c>
      <c r="M3402" s="136" t="e">
        <f ca="1">OFFSET(INDEX([1]Composições!I:R,MATCH([1]Orçamentária!I3402,[1]Composições!I:I,0),8),2,0)</f>
        <v>#REF!</v>
      </c>
      <c r="N3402" t="e">
        <v>#REF!</v>
      </c>
      <c r="Q3402" t="e">
        <v>#REF!</v>
      </c>
    </row>
    <row r="3403" spans="1:17" hidden="1" x14ac:dyDescent="0.25">
      <c r="A3403" s="114" t="s">
        <v>6925</v>
      </c>
      <c r="B3403" s="115" t="s">
        <v>7205</v>
      </c>
      <c r="C3403" s="116" t="s">
        <v>16</v>
      </c>
      <c r="D3403" s="116">
        <v>0</v>
      </c>
      <c r="E3403" s="136">
        <f ca="1">OFFSET(INDEX(Composições!A:J,MATCH(Orçamentária!A3403,Composições!A:A,0),8),2,0)</f>
        <v>10.45</v>
      </c>
      <c r="F3403" s="137">
        <f t="shared" ca="1" si="260"/>
        <v>0</v>
      </c>
      <c r="G3403" s="138" t="e">
        <f>IF(A3403&lt;&gt;"",IF(AND(#REF!="Padrão",$H$4=#REF!),BDI!$B$17,IF(AND(#REF!="Padrão",$H$4=#REF!),BDI!#REF!,IF(AND(#REF!="Diferenciado",$H$4=#REF!),BDI!$E$17,IF(AND(#REF!="Diferenciado",$H$4=#REF!),BDI!#REF!,IF(#REF!="ZERO",0))))),"")</f>
        <v>#REF!</v>
      </c>
      <c r="H3403" s="139" t="e">
        <f t="shared" ca="1" si="261"/>
        <v>#REF!</v>
      </c>
      <c r="I3403" s="137" t="e">
        <f t="shared" ca="1" si="262"/>
        <v>#REF!</v>
      </c>
      <c r="J3403" s="117"/>
      <c r="K3403" s="116">
        <v>0</v>
      </c>
      <c r="M3403" s="136" t="e">
        <f ca="1">OFFSET(INDEX([1]Composições!I:R,MATCH([1]Orçamentária!I3403,[1]Composições!I:I,0),8),2,0)</f>
        <v>#REF!</v>
      </c>
      <c r="N3403" t="e">
        <v>#REF!</v>
      </c>
      <c r="Q3403" t="e">
        <v>#REF!</v>
      </c>
    </row>
    <row r="3404" spans="1:17" hidden="1" x14ac:dyDescent="0.25">
      <c r="A3404" s="114" t="s">
        <v>6926</v>
      </c>
      <c r="B3404" s="115" t="s">
        <v>7206</v>
      </c>
      <c r="C3404" s="116" t="s">
        <v>16</v>
      </c>
      <c r="D3404" s="116">
        <v>0</v>
      </c>
      <c r="E3404" s="136">
        <f ca="1">OFFSET(INDEX(Composições!A:J,MATCH(Orçamentária!A3404,Composições!A:A,0),8),2,0)</f>
        <v>7.6475</v>
      </c>
      <c r="F3404" s="137">
        <f t="shared" ca="1" si="260"/>
        <v>0</v>
      </c>
      <c r="G3404" s="138" t="e">
        <f>IF(A3404&lt;&gt;"",IF(AND(#REF!="Padrão",$H$4=#REF!),BDI!$B$17,IF(AND(#REF!="Padrão",$H$4=#REF!),BDI!#REF!,IF(AND(#REF!="Diferenciado",$H$4=#REF!),BDI!$E$17,IF(AND(#REF!="Diferenciado",$H$4=#REF!),BDI!#REF!,IF(#REF!="ZERO",0))))),"")</f>
        <v>#REF!</v>
      </c>
      <c r="H3404" s="139" t="e">
        <f t="shared" ca="1" si="261"/>
        <v>#REF!</v>
      </c>
      <c r="I3404" s="137" t="e">
        <f t="shared" ca="1" si="262"/>
        <v>#REF!</v>
      </c>
      <c r="J3404" s="117"/>
      <c r="K3404" s="116">
        <v>0</v>
      </c>
      <c r="M3404" s="136" t="e">
        <f ca="1">OFFSET(INDEX([1]Composições!I:R,MATCH([1]Orçamentária!I3404,[1]Composições!I:I,0),8),2,0)</f>
        <v>#REF!</v>
      </c>
      <c r="N3404" t="e">
        <v>#REF!</v>
      </c>
      <c r="Q3404" t="e">
        <v>#REF!</v>
      </c>
    </row>
    <row r="3405" spans="1:17" hidden="1" x14ac:dyDescent="0.25">
      <c r="A3405" s="114" t="s">
        <v>6927</v>
      </c>
      <c r="B3405" s="115" t="s">
        <v>7207</v>
      </c>
      <c r="C3405" s="116" t="s">
        <v>16</v>
      </c>
      <c r="D3405" s="116">
        <v>0</v>
      </c>
      <c r="E3405" s="136">
        <f ca="1">OFFSET(INDEX(Composições!A:J,MATCH(Orçamentária!A3405,Composições!A:A,0),8),2,0)</f>
        <v>6.4409999999999998</v>
      </c>
      <c r="F3405" s="137">
        <f t="shared" ca="1" si="260"/>
        <v>0</v>
      </c>
      <c r="G3405" s="138" t="e">
        <f>IF(A3405&lt;&gt;"",IF(AND(#REF!="Padrão",$H$4=#REF!),BDI!$B$17,IF(AND(#REF!="Padrão",$H$4=#REF!),BDI!#REF!,IF(AND(#REF!="Diferenciado",$H$4=#REF!),BDI!$E$17,IF(AND(#REF!="Diferenciado",$H$4=#REF!),BDI!#REF!,IF(#REF!="ZERO",0))))),"")</f>
        <v>#REF!</v>
      </c>
      <c r="H3405" s="139" t="e">
        <f t="shared" ca="1" si="261"/>
        <v>#REF!</v>
      </c>
      <c r="I3405" s="137" t="e">
        <f t="shared" ca="1" si="262"/>
        <v>#REF!</v>
      </c>
      <c r="J3405" s="117"/>
      <c r="K3405" s="116">
        <v>0</v>
      </c>
      <c r="M3405" s="136" t="e">
        <f ca="1">OFFSET(INDEX([1]Composições!I:R,MATCH([1]Orçamentária!I3405,[1]Composições!I:I,0),8),2,0)</f>
        <v>#REF!</v>
      </c>
      <c r="N3405" t="e">
        <v>#REF!</v>
      </c>
      <c r="Q3405" t="e">
        <v>#REF!</v>
      </c>
    </row>
    <row r="3406" spans="1:17" hidden="1" x14ac:dyDescent="0.25">
      <c r="A3406" s="114" t="s">
        <v>6987</v>
      </c>
      <c r="B3406" s="115" t="s">
        <v>7208</v>
      </c>
      <c r="C3406" s="116" t="s">
        <v>16</v>
      </c>
      <c r="D3406" s="116">
        <v>0</v>
      </c>
      <c r="E3406" s="136">
        <f ca="1">OFFSET(INDEX(Composições!A:J,MATCH(Orçamentária!A3406,Composições!A:A,0),8),2,0)</f>
        <v>8.17</v>
      </c>
      <c r="F3406" s="137">
        <f t="shared" ca="1" si="260"/>
        <v>0</v>
      </c>
      <c r="G3406" s="138" t="e">
        <f>IF(A3406&lt;&gt;"",IF(AND(#REF!="Padrão",$H$4=#REF!),BDI!$B$17,IF(AND(#REF!="Padrão",$H$4=#REF!),BDI!#REF!,IF(AND(#REF!="Diferenciado",$H$4=#REF!),BDI!$E$17,IF(AND(#REF!="Diferenciado",$H$4=#REF!),BDI!#REF!,IF(#REF!="ZERO",0))))),"")</f>
        <v>#REF!</v>
      </c>
      <c r="H3406" s="139" t="e">
        <f t="shared" ca="1" si="261"/>
        <v>#REF!</v>
      </c>
      <c r="I3406" s="137" t="e">
        <f t="shared" ca="1" si="262"/>
        <v>#REF!</v>
      </c>
      <c r="J3406" s="117"/>
      <c r="K3406" s="116">
        <v>0</v>
      </c>
      <c r="M3406" s="136" t="e">
        <f ca="1">OFFSET(INDEX([1]Composições!I:R,MATCH([1]Orçamentária!I3406,[1]Composições!I:I,0),8),2,0)</f>
        <v>#REF!</v>
      </c>
      <c r="N3406" t="e">
        <v>#REF!</v>
      </c>
      <c r="Q3406" t="e">
        <v>#REF!</v>
      </c>
    </row>
    <row r="3407" spans="1:17" hidden="1" x14ac:dyDescent="0.25">
      <c r="A3407" s="114" t="s">
        <v>6988</v>
      </c>
      <c r="B3407" s="115" t="s">
        <v>7209</v>
      </c>
      <c r="C3407" s="116" t="s">
        <v>16</v>
      </c>
      <c r="D3407" s="116">
        <v>0</v>
      </c>
      <c r="E3407" s="136">
        <f ca="1">OFFSET(INDEX(Composições!A:J,MATCH(Orçamentária!A3407,Composições!A:A,0),8),2,0)</f>
        <v>57.294499999999999</v>
      </c>
      <c r="F3407" s="137">
        <f t="shared" ref="F3407:F3470" ca="1" si="263">IF(ISNUMBER(E3407),D3407*E3407,"")</f>
        <v>0</v>
      </c>
      <c r="G3407" s="138" t="e">
        <f>IF(A3407&lt;&gt;"",IF(AND(#REF!="Padrão",$H$4=#REF!),BDI!$B$17,IF(AND(#REF!="Padrão",$H$4=#REF!),BDI!#REF!,IF(AND(#REF!="Diferenciado",$H$4=#REF!),BDI!$E$17,IF(AND(#REF!="Diferenciado",$H$4=#REF!),BDI!#REF!,IF(#REF!="ZERO",0))))),"")</f>
        <v>#REF!</v>
      </c>
      <c r="H3407" s="139" t="e">
        <f t="shared" ref="H3407:H3470" ca="1" si="264">IF(ISNUMBER(E3407),ROUND(E3407*(1+G3407),2),"")</f>
        <v>#REF!</v>
      </c>
      <c r="I3407" s="137" t="e">
        <f t="shared" ref="I3407:I3470" ca="1" si="265">IF(ISNUMBER(E3407),ROUND(H3407*D3407,2),"")</f>
        <v>#REF!</v>
      </c>
      <c r="J3407" s="117"/>
      <c r="K3407" s="116">
        <v>0</v>
      </c>
      <c r="M3407" s="136" t="e">
        <f ca="1">OFFSET(INDEX([1]Composições!I:R,MATCH([1]Orçamentária!I3407,[1]Composições!I:I,0),8),2,0)</f>
        <v>#REF!</v>
      </c>
      <c r="N3407" t="e">
        <v>#REF!</v>
      </c>
      <c r="Q3407" t="e">
        <v>#REF!</v>
      </c>
    </row>
    <row r="3408" spans="1:17" hidden="1" x14ac:dyDescent="0.25">
      <c r="A3408" s="114" t="s">
        <v>6989</v>
      </c>
      <c r="B3408" s="115" t="s">
        <v>7210</v>
      </c>
      <c r="C3408" s="116" t="s">
        <v>16</v>
      </c>
      <c r="D3408" s="116">
        <v>0</v>
      </c>
      <c r="E3408" s="136">
        <f ca="1">OFFSET(INDEX(Composições!A:J,MATCH(Orçamentária!A3408,Composições!A:A,0),8),2,0)</f>
        <v>8.9870000000000001</v>
      </c>
      <c r="F3408" s="137">
        <f t="shared" ca="1" si="263"/>
        <v>0</v>
      </c>
      <c r="G3408" s="138" t="e">
        <f>IF(A3408&lt;&gt;"",IF(AND(#REF!="Padrão",$H$4=#REF!),BDI!$B$17,IF(AND(#REF!="Padrão",$H$4=#REF!),BDI!#REF!,IF(AND(#REF!="Diferenciado",$H$4=#REF!),BDI!$E$17,IF(AND(#REF!="Diferenciado",$H$4=#REF!),BDI!#REF!,IF(#REF!="ZERO",0))))),"")</f>
        <v>#REF!</v>
      </c>
      <c r="H3408" s="139" t="e">
        <f t="shared" ca="1" si="264"/>
        <v>#REF!</v>
      </c>
      <c r="I3408" s="137" t="e">
        <f t="shared" ca="1" si="265"/>
        <v>#REF!</v>
      </c>
      <c r="J3408" s="117"/>
      <c r="K3408" s="116">
        <v>0</v>
      </c>
      <c r="M3408" s="136" t="e">
        <f ca="1">OFFSET(INDEX([1]Composições!I:R,MATCH([1]Orçamentária!I3408,[1]Composições!I:I,0),8),2,0)</f>
        <v>#REF!</v>
      </c>
      <c r="N3408" t="e">
        <v>#REF!</v>
      </c>
      <c r="Q3408" t="e">
        <v>#REF!</v>
      </c>
    </row>
    <row r="3409" spans="1:17" hidden="1" x14ac:dyDescent="0.25">
      <c r="A3409" s="114" t="s">
        <v>6990</v>
      </c>
      <c r="B3409" s="115" t="s">
        <v>7211</v>
      </c>
      <c r="C3409" s="116" t="s">
        <v>16</v>
      </c>
      <c r="D3409" s="116">
        <v>0</v>
      </c>
      <c r="E3409" s="136">
        <f ca="1">OFFSET(INDEX(Composições!A:J,MATCH(Orçamentária!A3409,Composições!A:A,0),8),2,0)</f>
        <v>41.163499999999999</v>
      </c>
      <c r="F3409" s="137">
        <f t="shared" ca="1" si="263"/>
        <v>0</v>
      </c>
      <c r="G3409" s="138" t="e">
        <f>IF(A3409&lt;&gt;"",IF(AND(#REF!="Padrão",$H$4=#REF!),BDI!$B$17,IF(AND(#REF!="Padrão",$H$4=#REF!),BDI!#REF!,IF(AND(#REF!="Diferenciado",$H$4=#REF!),BDI!$E$17,IF(AND(#REF!="Diferenciado",$H$4=#REF!),BDI!#REF!,IF(#REF!="ZERO",0))))),"")</f>
        <v>#REF!</v>
      </c>
      <c r="H3409" s="139" t="e">
        <f t="shared" ca="1" si="264"/>
        <v>#REF!</v>
      </c>
      <c r="I3409" s="137" t="e">
        <f t="shared" ca="1" si="265"/>
        <v>#REF!</v>
      </c>
      <c r="J3409" s="117"/>
      <c r="K3409" s="116">
        <v>0</v>
      </c>
      <c r="M3409" s="136" t="e">
        <f ca="1">OFFSET(INDEX([1]Composições!I:R,MATCH([1]Orçamentária!I3409,[1]Composições!I:I,0),8),2,0)</f>
        <v>#REF!</v>
      </c>
      <c r="N3409" t="e">
        <v>#REF!</v>
      </c>
      <c r="Q3409" t="e">
        <v>#REF!</v>
      </c>
    </row>
    <row r="3410" spans="1:17" hidden="1" x14ac:dyDescent="0.25">
      <c r="A3410" s="114" t="s">
        <v>6991</v>
      </c>
      <c r="B3410" s="115" t="s">
        <v>7212</v>
      </c>
      <c r="C3410" s="116" t="s">
        <v>16</v>
      </c>
      <c r="D3410" s="116">
        <v>0</v>
      </c>
      <c r="E3410" s="136">
        <f ca="1">OFFSET(INDEX(Composições!A:J,MATCH(Orçamentária!A3410,Composições!A:A,0),8),2,0)</f>
        <v>23.607500000000002</v>
      </c>
      <c r="F3410" s="137">
        <f t="shared" ca="1" si="263"/>
        <v>0</v>
      </c>
      <c r="G3410" s="138" t="e">
        <f>IF(A3410&lt;&gt;"",IF(AND(#REF!="Padrão",$H$4=#REF!),BDI!$B$17,IF(AND(#REF!="Padrão",$H$4=#REF!),BDI!#REF!,IF(AND(#REF!="Diferenciado",$H$4=#REF!),BDI!$E$17,IF(AND(#REF!="Diferenciado",$H$4=#REF!),BDI!#REF!,IF(#REF!="ZERO",0))))),"")</f>
        <v>#REF!</v>
      </c>
      <c r="H3410" s="139" t="e">
        <f t="shared" ca="1" si="264"/>
        <v>#REF!</v>
      </c>
      <c r="I3410" s="137" t="e">
        <f t="shared" ca="1" si="265"/>
        <v>#REF!</v>
      </c>
      <c r="J3410" s="117"/>
      <c r="K3410" s="116">
        <v>0</v>
      </c>
      <c r="M3410" s="136" t="e">
        <f ca="1">OFFSET(INDEX([1]Composições!I:R,MATCH([1]Orçamentária!I3410,[1]Composições!I:I,0),8),2,0)</f>
        <v>#REF!</v>
      </c>
      <c r="N3410" t="e">
        <v>#REF!</v>
      </c>
      <c r="Q3410" t="e">
        <v>#REF!</v>
      </c>
    </row>
    <row r="3411" spans="1:17" hidden="1" x14ac:dyDescent="0.25">
      <c r="A3411" s="114" t="s">
        <v>6992</v>
      </c>
      <c r="B3411" s="115" t="s">
        <v>7213</v>
      </c>
      <c r="C3411" s="116" t="s">
        <v>16</v>
      </c>
      <c r="D3411" s="116">
        <v>0</v>
      </c>
      <c r="E3411" s="136">
        <f ca="1">OFFSET(INDEX(Composições!A:J,MATCH(Orçamentária!A3411,Composições!A:A,0),8),2,0)</f>
        <v>12.625499999999999</v>
      </c>
      <c r="F3411" s="137">
        <f t="shared" ca="1" si="263"/>
        <v>0</v>
      </c>
      <c r="G3411" s="138" t="e">
        <f>IF(A3411&lt;&gt;"",IF(AND(#REF!="Padrão",$H$4=#REF!),BDI!$B$17,IF(AND(#REF!="Padrão",$H$4=#REF!),BDI!#REF!,IF(AND(#REF!="Diferenciado",$H$4=#REF!),BDI!$E$17,IF(AND(#REF!="Diferenciado",$H$4=#REF!),BDI!#REF!,IF(#REF!="ZERO",0))))),"")</f>
        <v>#REF!</v>
      </c>
      <c r="H3411" s="139" t="e">
        <f t="shared" ca="1" si="264"/>
        <v>#REF!</v>
      </c>
      <c r="I3411" s="137" t="e">
        <f t="shared" ca="1" si="265"/>
        <v>#REF!</v>
      </c>
      <c r="J3411" s="117"/>
      <c r="K3411" s="116">
        <v>0</v>
      </c>
      <c r="M3411" s="136" t="e">
        <f ca="1">OFFSET(INDEX([1]Composições!I:R,MATCH([1]Orçamentária!I3411,[1]Composições!I:I,0),8),2,0)</f>
        <v>#REF!</v>
      </c>
      <c r="N3411" t="e">
        <v>#REF!</v>
      </c>
      <c r="Q3411" t="e">
        <v>#REF!</v>
      </c>
    </row>
    <row r="3412" spans="1:17" hidden="1" x14ac:dyDescent="0.25">
      <c r="A3412" s="114" t="s">
        <v>6993</v>
      </c>
      <c r="B3412" s="115" t="s">
        <v>7214</v>
      </c>
      <c r="C3412" s="116" t="s">
        <v>16</v>
      </c>
      <c r="D3412" s="116">
        <v>0</v>
      </c>
      <c r="E3412" s="136">
        <f ca="1">OFFSET(INDEX(Composições!A:J,MATCH(Orçamentária!A3412,Composições!A:A,0),8),2,0)</f>
        <v>43.025499999999994</v>
      </c>
      <c r="F3412" s="137">
        <f t="shared" ca="1" si="263"/>
        <v>0</v>
      </c>
      <c r="G3412" s="138" t="e">
        <f>IF(A3412&lt;&gt;"",IF(AND(#REF!="Padrão",$H$4=#REF!),BDI!$B$17,IF(AND(#REF!="Padrão",$H$4=#REF!),BDI!#REF!,IF(AND(#REF!="Diferenciado",$H$4=#REF!),BDI!$E$17,IF(AND(#REF!="Diferenciado",$H$4=#REF!),BDI!#REF!,IF(#REF!="ZERO",0))))),"")</f>
        <v>#REF!</v>
      </c>
      <c r="H3412" s="139" t="e">
        <f t="shared" ca="1" si="264"/>
        <v>#REF!</v>
      </c>
      <c r="I3412" s="137" t="e">
        <f t="shared" ca="1" si="265"/>
        <v>#REF!</v>
      </c>
      <c r="J3412" s="117"/>
      <c r="K3412" s="116">
        <v>0</v>
      </c>
      <c r="M3412" s="136" t="e">
        <f ca="1">OFFSET(INDEX([1]Composições!I:R,MATCH([1]Orçamentária!I3412,[1]Composições!I:I,0),8),2,0)</f>
        <v>#REF!</v>
      </c>
      <c r="N3412" t="e">
        <v>#REF!</v>
      </c>
      <c r="Q3412" t="e">
        <v>#REF!</v>
      </c>
    </row>
    <row r="3413" spans="1:17" hidden="1" x14ac:dyDescent="0.25">
      <c r="A3413" s="114" t="s">
        <v>6994</v>
      </c>
      <c r="B3413" s="115" t="s">
        <v>7215</v>
      </c>
      <c r="C3413" s="116" t="s">
        <v>16</v>
      </c>
      <c r="D3413" s="116">
        <v>0</v>
      </c>
      <c r="E3413" s="136">
        <f ca="1">OFFSET(INDEX(Composições!A:J,MATCH(Orçamentária!A3413,Composições!A:A,0),8),2,0)</f>
        <v>40.336999999999996</v>
      </c>
      <c r="F3413" s="137">
        <f t="shared" ca="1" si="263"/>
        <v>0</v>
      </c>
      <c r="G3413" s="138" t="e">
        <f>IF(A3413&lt;&gt;"",IF(AND(#REF!="Padrão",$H$4=#REF!),BDI!$B$17,IF(AND(#REF!="Padrão",$H$4=#REF!),BDI!#REF!,IF(AND(#REF!="Diferenciado",$H$4=#REF!),BDI!$E$17,IF(AND(#REF!="Diferenciado",$H$4=#REF!),BDI!#REF!,IF(#REF!="ZERO",0))))),"")</f>
        <v>#REF!</v>
      </c>
      <c r="H3413" s="139" t="e">
        <f t="shared" ca="1" si="264"/>
        <v>#REF!</v>
      </c>
      <c r="I3413" s="137" t="e">
        <f t="shared" ca="1" si="265"/>
        <v>#REF!</v>
      </c>
      <c r="J3413" s="117"/>
      <c r="K3413" s="116">
        <v>0</v>
      </c>
      <c r="M3413" s="136" t="e">
        <f ca="1">OFFSET(INDEX([1]Composições!I:R,MATCH([1]Orçamentária!I3413,[1]Composições!I:I,0),8),2,0)</f>
        <v>#REF!</v>
      </c>
      <c r="N3413" t="e">
        <v>#REF!</v>
      </c>
      <c r="Q3413" t="e">
        <v>#REF!</v>
      </c>
    </row>
    <row r="3414" spans="1:17" hidden="1" x14ac:dyDescent="0.25">
      <c r="A3414" s="114" t="s">
        <v>6995</v>
      </c>
      <c r="B3414" s="115" t="s">
        <v>7216</v>
      </c>
      <c r="C3414" s="116" t="s">
        <v>16</v>
      </c>
      <c r="D3414" s="116">
        <v>0</v>
      </c>
      <c r="E3414" s="136">
        <f ca="1">OFFSET(INDEX(Composições!A:J,MATCH(Orçamentária!A3414,Composições!A:A,0),8),2,0)</f>
        <v>19.959500000000002</v>
      </c>
      <c r="F3414" s="137">
        <f t="shared" ca="1" si="263"/>
        <v>0</v>
      </c>
      <c r="G3414" s="138" t="e">
        <f>IF(A3414&lt;&gt;"",IF(AND(#REF!="Padrão",$H$4=#REF!),BDI!$B$17,IF(AND(#REF!="Padrão",$H$4=#REF!),BDI!#REF!,IF(AND(#REF!="Diferenciado",$H$4=#REF!),BDI!$E$17,IF(AND(#REF!="Diferenciado",$H$4=#REF!),BDI!#REF!,IF(#REF!="ZERO",0))))),"")</f>
        <v>#REF!</v>
      </c>
      <c r="H3414" s="139" t="e">
        <f t="shared" ca="1" si="264"/>
        <v>#REF!</v>
      </c>
      <c r="I3414" s="137" t="e">
        <f t="shared" ca="1" si="265"/>
        <v>#REF!</v>
      </c>
      <c r="J3414" s="117"/>
      <c r="K3414" s="116">
        <v>0</v>
      </c>
      <c r="M3414" s="136" t="e">
        <f ca="1">OFFSET(INDEX([1]Composições!I:R,MATCH([1]Orçamentária!I3414,[1]Composições!I:I,0),8),2,0)</f>
        <v>#REF!</v>
      </c>
      <c r="N3414" t="e">
        <v>#REF!</v>
      </c>
      <c r="Q3414" t="e">
        <v>#REF!</v>
      </c>
    </row>
    <row r="3415" spans="1:17" hidden="1" x14ac:dyDescent="0.25">
      <c r="A3415" s="114" t="s">
        <v>6996</v>
      </c>
      <c r="B3415" s="115" t="s">
        <v>7217</v>
      </c>
      <c r="C3415" s="116" t="s">
        <v>16</v>
      </c>
      <c r="D3415" s="116">
        <v>0</v>
      </c>
      <c r="E3415" s="136">
        <f ca="1">OFFSET(INDEX(Composições!A:J,MATCH(Orçamentária!A3415,Composições!A:A,0),8),2,0)</f>
        <v>10.222</v>
      </c>
      <c r="F3415" s="137">
        <f t="shared" ca="1" si="263"/>
        <v>0</v>
      </c>
      <c r="G3415" s="138" t="e">
        <f>IF(A3415&lt;&gt;"",IF(AND(#REF!="Padrão",$H$4=#REF!),BDI!$B$17,IF(AND(#REF!="Padrão",$H$4=#REF!),BDI!#REF!,IF(AND(#REF!="Diferenciado",$H$4=#REF!),BDI!$E$17,IF(AND(#REF!="Diferenciado",$H$4=#REF!),BDI!#REF!,IF(#REF!="ZERO",0))))),"")</f>
        <v>#REF!</v>
      </c>
      <c r="H3415" s="139" t="e">
        <f t="shared" ca="1" si="264"/>
        <v>#REF!</v>
      </c>
      <c r="I3415" s="137" t="e">
        <f t="shared" ca="1" si="265"/>
        <v>#REF!</v>
      </c>
      <c r="J3415" s="117"/>
      <c r="K3415" s="116">
        <v>0</v>
      </c>
      <c r="M3415" s="136" t="e">
        <f ca="1">OFFSET(INDEX([1]Composições!I:R,MATCH([1]Orçamentária!I3415,[1]Composições!I:I,0),8),2,0)</f>
        <v>#REF!</v>
      </c>
      <c r="N3415" t="e">
        <v>#REF!</v>
      </c>
      <c r="Q3415" t="e">
        <v>#REF!</v>
      </c>
    </row>
    <row r="3416" spans="1:17" hidden="1" x14ac:dyDescent="0.25">
      <c r="A3416" s="114" t="s">
        <v>6997</v>
      </c>
      <c r="B3416" s="115" t="s">
        <v>7218</v>
      </c>
      <c r="C3416" s="116" t="s">
        <v>16</v>
      </c>
      <c r="D3416" s="116">
        <v>0</v>
      </c>
      <c r="E3416" s="136">
        <f ca="1">OFFSET(INDEX(Composições!A:J,MATCH(Orçamentária!A3416,Composições!A:A,0),8),2,0)</f>
        <v>32.242999999999995</v>
      </c>
      <c r="F3416" s="137">
        <f t="shared" ca="1" si="263"/>
        <v>0</v>
      </c>
      <c r="G3416" s="138" t="e">
        <f>IF(A3416&lt;&gt;"",IF(AND(#REF!="Padrão",$H$4=#REF!),BDI!$B$17,IF(AND(#REF!="Padrão",$H$4=#REF!),BDI!#REF!,IF(AND(#REF!="Diferenciado",$H$4=#REF!),BDI!$E$17,IF(AND(#REF!="Diferenciado",$H$4=#REF!),BDI!#REF!,IF(#REF!="ZERO",0))))),"")</f>
        <v>#REF!</v>
      </c>
      <c r="H3416" s="139" t="e">
        <f t="shared" ca="1" si="264"/>
        <v>#REF!</v>
      </c>
      <c r="I3416" s="137" t="e">
        <f t="shared" ca="1" si="265"/>
        <v>#REF!</v>
      </c>
      <c r="J3416" s="117"/>
      <c r="K3416" s="116">
        <v>0</v>
      </c>
      <c r="M3416" s="136" t="e">
        <f ca="1">OFFSET(INDEX([1]Composições!I:R,MATCH([1]Orçamentária!I3416,[1]Composições!I:I,0),8),2,0)</f>
        <v>#REF!</v>
      </c>
      <c r="N3416" t="e">
        <v>#REF!</v>
      </c>
      <c r="Q3416" t="e">
        <v>#REF!</v>
      </c>
    </row>
    <row r="3417" spans="1:17" hidden="1" x14ac:dyDescent="0.25">
      <c r="A3417" s="114" t="s">
        <v>6998</v>
      </c>
      <c r="B3417" s="115" t="s">
        <v>7219</v>
      </c>
      <c r="C3417" s="116" t="s">
        <v>16</v>
      </c>
      <c r="D3417" s="116">
        <v>0</v>
      </c>
      <c r="E3417" s="136">
        <f ca="1">OFFSET(INDEX(Composições!A:J,MATCH(Orçamentária!A3417,Composições!A:A,0),8),2,0)</f>
        <v>73.558500000000009</v>
      </c>
      <c r="F3417" s="137">
        <f t="shared" ca="1" si="263"/>
        <v>0</v>
      </c>
      <c r="G3417" s="138" t="e">
        <f>IF(A3417&lt;&gt;"",IF(AND(#REF!="Padrão",$H$4=#REF!),BDI!$B$17,IF(AND(#REF!="Padrão",$H$4=#REF!),BDI!#REF!,IF(AND(#REF!="Diferenciado",$H$4=#REF!),BDI!$E$17,IF(AND(#REF!="Diferenciado",$H$4=#REF!),BDI!#REF!,IF(#REF!="ZERO",0))))),"")</f>
        <v>#REF!</v>
      </c>
      <c r="H3417" s="139" t="e">
        <f t="shared" ca="1" si="264"/>
        <v>#REF!</v>
      </c>
      <c r="I3417" s="137" t="e">
        <f t="shared" ca="1" si="265"/>
        <v>#REF!</v>
      </c>
      <c r="J3417" s="117"/>
      <c r="K3417" s="116">
        <v>0</v>
      </c>
      <c r="M3417" s="136" t="e">
        <f ca="1">OFFSET(INDEX([1]Composições!I:R,MATCH([1]Orçamentária!I3417,[1]Composições!I:I,0),8),2,0)</f>
        <v>#REF!</v>
      </c>
      <c r="N3417" t="e">
        <v>#REF!</v>
      </c>
      <c r="Q3417" t="e">
        <v>#REF!</v>
      </c>
    </row>
    <row r="3418" spans="1:17" hidden="1" x14ac:dyDescent="0.25">
      <c r="A3418" s="114" t="s">
        <v>6999</v>
      </c>
      <c r="B3418" s="115" t="s">
        <v>7220</v>
      </c>
      <c r="C3418" s="116" t="s">
        <v>16</v>
      </c>
      <c r="D3418" s="116">
        <v>0</v>
      </c>
      <c r="E3418" s="136">
        <f ca="1">OFFSET(INDEX(Composições!A:J,MATCH(Orçamentária!A3418,Composições!A:A,0),8),2,0)</f>
        <v>179.64499999999998</v>
      </c>
      <c r="F3418" s="137">
        <f t="shared" ca="1" si="263"/>
        <v>0</v>
      </c>
      <c r="G3418" s="138" t="e">
        <f>IF(A3418&lt;&gt;"",IF(AND(#REF!="Padrão",$H$4=#REF!),BDI!$B$17,IF(AND(#REF!="Padrão",$H$4=#REF!),BDI!#REF!,IF(AND(#REF!="Diferenciado",$H$4=#REF!),BDI!$E$17,IF(AND(#REF!="Diferenciado",$H$4=#REF!),BDI!#REF!,IF(#REF!="ZERO",0))))),"")</f>
        <v>#REF!</v>
      </c>
      <c r="H3418" s="139" t="e">
        <f t="shared" ca="1" si="264"/>
        <v>#REF!</v>
      </c>
      <c r="I3418" s="137" t="e">
        <f t="shared" ca="1" si="265"/>
        <v>#REF!</v>
      </c>
      <c r="J3418" s="117"/>
      <c r="K3418" s="116">
        <v>0</v>
      </c>
      <c r="M3418" s="136" t="e">
        <f ca="1">OFFSET(INDEX([1]Composições!I:R,MATCH([1]Orçamentária!I3418,[1]Composições!I:I,0),8),2,0)</f>
        <v>#REF!</v>
      </c>
      <c r="N3418" t="e">
        <v>#REF!</v>
      </c>
      <c r="Q3418" t="e">
        <v>#REF!</v>
      </c>
    </row>
    <row r="3419" spans="1:17" hidden="1" x14ac:dyDescent="0.25">
      <c r="A3419" s="114" t="s">
        <v>7000</v>
      </c>
      <c r="B3419" s="115" t="s">
        <v>7223</v>
      </c>
      <c r="C3419" s="116" t="s">
        <v>16</v>
      </c>
      <c r="D3419" s="116">
        <v>0</v>
      </c>
      <c r="E3419" s="136">
        <f ca="1">OFFSET(INDEX(Composições!A:J,MATCH(Orçamentária!A3419,Composições!A:A,0),8),2,0)</f>
        <v>113.96199999999999</v>
      </c>
      <c r="F3419" s="137">
        <f t="shared" ca="1" si="263"/>
        <v>0</v>
      </c>
      <c r="G3419" s="138" t="e">
        <f>IF(A3419&lt;&gt;"",IF(AND(#REF!="Padrão",$H$4=#REF!),BDI!$B$17,IF(AND(#REF!="Padrão",$H$4=#REF!),BDI!#REF!,IF(AND(#REF!="Diferenciado",$H$4=#REF!),BDI!$E$17,IF(AND(#REF!="Diferenciado",$H$4=#REF!),BDI!#REF!,IF(#REF!="ZERO",0))))),"")</f>
        <v>#REF!</v>
      </c>
      <c r="H3419" s="139" t="e">
        <f t="shared" ca="1" si="264"/>
        <v>#REF!</v>
      </c>
      <c r="I3419" s="137" t="e">
        <f t="shared" ca="1" si="265"/>
        <v>#REF!</v>
      </c>
      <c r="J3419" s="117"/>
      <c r="K3419" s="116">
        <v>0</v>
      </c>
      <c r="M3419" s="136" t="e">
        <f ca="1">OFFSET(INDEX([1]Composições!I:R,MATCH([1]Orçamentária!I3419,[1]Composições!I:I,0),8),2,0)</f>
        <v>#REF!</v>
      </c>
      <c r="N3419" t="e">
        <v>#REF!</v>
      </c>
      <c r="Q3419" t="e">
        <v>#REF!</v>
      </c>
    </row>
    <row r="3420" spans="1:17" hidden="1" x14ac:dyDescent="0.25">
      <c r="A3420" s="114" t="s">
        <v>7001</v>
      </c>
      <c r="B3420" s="115" t="s">
        <v>7221</v>
      </c>
      <c r="C3420" s="116" t="s">
        <v>16</v>
      </c>
      <c r="D3420" s="116">
        <v>0</v>
      </c>
      <c r="E3420" s="136">
        <f ca="1">OFFSET(INDEX(Composições!A:J,MATCH(Orçamentária!A3420,Composições!A:A,0),8),2,0)</f>
        <v>59.289499999999997</v>
      </c>
      <c r="F3420" s="137">
        <f t="shared" ca="1" si="263"/>
        <v>0</v>
      </c>
      <c r="G3420" s="138" t="e">
        <f>IF(A3420&lt;&gt;"",IF(AND(#REF!="Padrão",$H$4=#REF!),BDI!$B$17,IF(AND(#REF!="Padrão",$H$4=#REF!),BDI!#REF!,IF(AND(#REF!="Diferenciado",$H$4=#REF!),BDI!$E$17,IF(AND(#REF!="Diferenciado",$H$4=#REF!),BDI!#REF!,IF(#REF!="ZERO",0))))),"")</f>
        <v>#REF!</v>
      </c>
      <c r="H3420" s="139" t="e">
        <f t="shared" ca="1" si="264"/>
        <v>#REF!</v>
      </c>
      <c r="I3420" s="137" t="e">
        <f t="shared" ca="1" si="265"/>
        <v>#REF!</v>
      </c>
      <c r="J3420" s="117"/>
      <c r="K3420" s="116">
        <v>0</v>
      </c>
      <c r="M3420" s="136" t="e">
        <f ca="1">OFFSET(INDEX([1]Composições!I:R,MATCH([1]Orçamentária!I3420,[1]Composições!I:I,0),8),2,0)</f>
        <v>#REF!</v>
      </c>
      <c r="N3420" t="e">
        <v>#REF!</v>
      </c>
      <c r="Q3420" t="e">
        <v>#REF!</v>
      </c>
    </row>
    <row r="3421" spans="1:17" hidden="1" x14ac:dyDescent="0.25">
      <c r="A3421" s="114" t="s">
        <v>7002</v>
      </c>
      <c r="B3421" s="115" t="s">
        <v>7222</v>
      </c>
      <c r="C3421" s="116" t="s">
        <v>16</v>
      </c>
      <c r="D3421" s="116">
        <v>0</v>
      </c>
      <c r="E3421" s="136">
        <f ca="1">OFFSET(INDEX(Composições!A:J,MATCH(Orçamentária!A3421,Composições!A:A,0),8),2,0)</f>
        <v>64.400500000000008</v>
      </c>
      <c r="F3421" s="137">
        <f t="shared" ca="1" si="263"/>
        <v>0</v>
      </c>
      <c r="G3421" s="138" t="e">
        <f>IF(A3421&lt;&gt;"",IF(AND(#REF!="Padrão",$H$4=#REF!),BDI!$B$17,IF(AND(#REF!="Padrão",$H$4=#REF!),BDI!#REF!,IF(AND(#REF!="Diferenciado",$H$4=#REF!),BDI!$E$17,IF(AND(#REF!="Diferenciado",$H$4=#REF!),BDI!#REF!,IF(#REF!="ZERO",0))))),"")</f>
        <v>#REF!</v>
      </c>
      <c r="H3421" s="139" t="e">
        <f t="shared" ca="1" si="264"/>
        <v>#REF!</v>
      </c>
      <c r="I3421" s="137" t="e">
        <f t="shared" ca="1" si="265"/>
        <v>#REF!</v>
      </c>
      <c r="J3421" s="117"/>
      <c r="K3421" s="116">
        <v>0</v>
      </c>
      <c r="M3421" s="136" t="e">
        <f ca="1">OFFSET(INDEX([1]Composições!I:R,MATCH([1]Orçamentária!I3421,[1]Composições!I:I,0),8),2,0)</f>
        <v>#REF!</v>
      </c>
      <c r="N3421" t="e">
        <v>#REF!</v>
      </c>
      <c r="Q3421" t="e">
        <v>#REF!</v>
      </c>
    </row>
    <row r="3422" spans="1:17" hidden="1" x14ac:dyDescent="0.25">
      <c r="A3422" s="114" t="s">
        <v>7003</v>
      </c>
      <c r="B3422" s="115" t="s">
        <v>7224</v>
      </c>
      <c r="C3422" s="116" t="s">
        <v>16</v>
      </c>
      <c r="D3422" s="116">
        <v>0</v>
      </c>
      <c r="E3422" s="136">
        <f ca="1">OFFSET(INDEX(Composições!A:J,MATCH(Orçamentária!A3422,Composições!A:A,0),8),2,0)</f>
        <v>149.75799999999998</v>
      </c>
      <c r="F3422" s="137">
        <f t="shared" ca="1" si="263"/>
        <v>0</v>
      </c>
      <c r="G3422" s="138" t="e">
        <f>IF(A3422&lt;&gt;"",IF(AND(#REF!="Padrão",$H$4=#REF!),BDI!$B$17,IF(AND(#REF!="Padrão",$H$4=#REF!),BDI!#REF!,IF(AND(#REF!="Diferenciado",$H$4=#REF!),BDI!$E$17,IF(AND(#REF!="Diferenciado",$H$4=#REF!),BDI!#REF!,IF(#REF!="ZERO",0))))),"")</f>
        <v>#REF!</v>
      </c>
      <c r="H3422" s="139" t="e">
        <f t="shared" ca="1" si="264"/>
        <v>#REF!</v>
      </c>
      <c r="I3422" s="137" t="e">
        <f t="shared" ca="1" si="265"/>
        <v>#REF!</v>
      </c>
      <c r="J3422" s="117"/>
      <c r="K3422" s="116">
        <v>0</v>
      </c>
      <c r="M3422" s="136" t="e">
        <f ca="1">OFFSET(INDEX([1]Composições!I:R,MATCH([1]Orçamentária!I3422,[1]Composições!I:I,0),8),2,0)</f>
        <v>#REF!</v>
      </c>
      <c r="N3422" t="e">
        <v>#REF!</v>
      </c>
      <c r="Q3422" t="e">
        <v>#REF!</v>
      </c>
    </row>
    <row r="3423" spans="1:17" hidden="1" x14ac:dyDescent="0.25">
      <c r="A3423" s="114" t="s">
        <v>7004</v>
      </c>
      <c r="B3423" s="115" t="s">
        <v>7225</v>
      </c>
      <c r="C3423" s="116" t="s">
        <v>16</v>
      </c>
      <c r="D3423" s="116">
        <v>0</v>
      </c>
      <c r="E3423" s="136">
        <f ca="1">OFFSET(INDEX(Composições!A:J,MATCH(Orçamentária!A3423,Composições!A:A,0),8),2,0)</f>
        <v>61.901999999999994</v>
      </c>
      <c r="F3423" s="137">
        <f t="shared" ca="1" si="263"/>
        <v>0</v>
      </c>
      <c r="G3423" s="138" t="e">
        <f>IF(A3423&lt;&gt;"",IF(AND(#REF!="Padrão",$H$4=#REF!),BDI!$B$17,IF(AND(#REF!="Padrão",$H$4=#REF!),BDI!#REF!,IF(AND(#REF!="Diferenciado",$H$4=#REF!),BDI!$E$17,IF(AND(#REF!="Diferenciado",$H$4=#REF!),BDI!#REF!,IF(#REF!="ZERO",0))))),"")</f>
        <v>#REF!</v>
      </c>
      <c r="H3423" s="139" t="e">
        <f t="shared" ca="1" si="264"/>
        <v>#REF!</v>
      </c>
      <c r="I3423" s="137" t="e">
        <f t="shared" ca="1" si="265"/>
        <v>#REF!</v>
      </c>
      <c r="J3423" s="117"/>
      <c r="K3423" s="116">
        <v>0</v>
      </c>
      <c r="M3423" s="136" t="e">
        <f ca="1">OFFSET(INDEX([1]Composições!I:R,MATCH([1]Orçamentária!I3423,[1]Composições!I:I,0),8),2,0)</f>
        <v>#REF!</v>
      </c>
      <c r="N3423" t="e">
        <v>#REF!</v>
      </c>
      <c r="Q3423" t="e">
        <v>#REF!</v>
      </c>
    </row>
    <row r="3424" spans="1:17" hidden="1" x14ac:dyDescent="0.25">
      <c r="A3424" s="114" t="s">
        <v>7005</v>
      </c>
      <c r="B3424" s="115" t="s">
        <v>7226</v>
      </c>
      <c r="C3424" s="116" t="s">
        <v>16</v>
      </c>
      <c r="D3424" s="116">
        <v>0</v>
      </c>
      <c r="E3424" s="136">
        <f ca="1">OFFSET(INDEX(Composições!A:J,MATCH(Orçamentária!A3424,Composições!A:A,0),8),2,0)</f>
        <v>54.301999999999992</v>
      </c>
      <c r="F3424" s="137">
        <f t="shared" ca="1" si="263"/>
        <v>0</v>
      </c>
      <c r="G3424" s="138" t="e">
        <f>IF(A3424&lt;&gt;"",IF(AND(#REF!="Padrão",$H$4=#REF!),BDI!$B$17,IF(AND(#REF!="Padrão",$H$4=#REF!),BDI!#REF!,IF(AND(#REF!="Diferenciado",$H$4=#REF!),BDI!$E$17,IF(AND(#REF!="Diferenciado",$H$4=#REF!),BDI!#REF!,IF(#REF!="ZERO",0))))),"")</f>
        <v>#REF!</v>
      </c>
      <c r="H3424" s="139" t="e">
        <f t="shared" ca="1" si="264"/>
        <v>#REF!</v>
      </c>
      <c r="I3424" s="137" t="e">
        <f t="shared" ca="1" si="265"/>
        <v>#REF!</v>
      </c>
      <c r="J3424" s="117"/>
      <c r="K3424" s="116">
        <v>0</v>
      </c>
      <c r="M3424" s="136" t="e">
        <f ca="1">OFFSET(INDEX([1]Composições!I:R,MATCH([1]Orçamentária!I3424,[1]Composições!I:I,0),8),2,0)</f>
        <v>#REF!</v>
      </c>
      <c r="N3424" t="e">
        <v>#REF!</v>
      </c>
      <c r="Q3424" t="e">
        <v>#REF!</v>
      </c>
    </row>
    <row r="3425" spans="1:17" hidden="1" x14ac:dyDescent="0.25">
      <c r="A3425" s="114" t="s">
        <v>7006</v>
      </c>
      <c r="B3425" s="115" t="s">
        <v>7227</v>
      </c>
      <c r="C3425" s="116" t="s">
        <v>16</v>
      </c>
      <c r="D3425" s="116">
        <v>0</v>
      </c>
      <c r="E3425" s="136" t="s">
        <v>416</v>
      </c>
      <c r="F3425" s="137" t="str">
        <f t="shared" si="263"/>
        <v/>
      </c>
      <c r="G3425" s="138" t="e">
        <f>IF(A3425&lt;&gt;"",IF(AND(#REF!="Padrão",$H$4=#REF!),BDI!$B$17,IF(AND(#REF!="Padrão",$H$4=#REF!),BDI!#REF!,IF(AND(#REF!="Diferenciado",$H$4=#REF!),BDI!$E$17,IF(AND(#REF!="Diferenciado",$H$4=#REF!),BDI!#REF!,IF(#REF!="ZERO",0))))),"")</f>
        <v>#REF!</v>
      </c>
      <c r="H3425" s="139" t="str">
        <f t="shared" si="264"/>
        <v/>
      </c>
      <c r="I3425" s="137" t="str">
        <f t="shared" si="265"/>
        <v/>
      </c>
      <c r="J3425" s="117"/>
      <c r="K3425" s="116">
        <v>0</v>
      </c>
      <c r="M3425" s="136" t="s">
        <v>416</v>
      </c>
      <c r="N3425" t="e">
        <v>#REF!</v>
      </c>
      <c r="Q3425" t="s">
        <v>416</v>
      </c>
    </row>
    <row r="3426" spans="1:17" hidden="1" x14ac:dyDescent="0.25">
      <c r="A3426" s="114" t="s">
        <v>7007</v>
      </c>
      <c r="B3426" s="115" t="s">
        <v>7228</v>
      </c>
      <c r="C3426" s="116" t="s">
        <v>16</v>
      </c>
      <c r="D3426" s="116">
        <v>0</v>
      </c>
      <c r="E3426" s="136">
        <f ca="1">OFFSET(INDEX(Composições!A:J,MATCH(Orçamentária!A3426,Composições!A:A,0),8),2,0)</f>
        <v>41.742999999999995</v>
      </c>
      <c r="F3426" s="137">
        <f t="shared" ca="1" si="263"/>
        <v>0</v>
      </c>
      <c r="G3426" s="138" t="e">
        <f>IF(A3426&lt;&gt;"",IF(AND(#REF!="Padrão",$H$4=#REF!),BDI!$B$17,IF(AND(#REF!="Padrão",$H$4=#REF!),BDI!#REF!,IF(AND(#REF!="Diferenciado",$H$4=#REF!),BDI!$E$17,IF(AND(#REF!="Diferenciado",$H$4=#REF!),BDI!#REF!,IF(#REF!="ZERO",0))))),"")</f>
        <v>#REF!</v>
      </c>
      <c r="H3426" s="139" t="e">
        <f t="shared" ca="1" si="264"/>
        <v>#REF!</v>
      </c>
      <c r="I3426" s="137" t="e">
        <f t="shared" ca="1" si="265"/>
        <v>#REF!</v>
      </c>
      <c r="J3426" s="117"/>
      <c r="K3426" s="116">
        <v>0</v>
      </c>
      <c r="M3426" s="136" t="e">
        <f ca="1">OFFSET(INDEX([1]Composições!I:R,MATCH([1]Orçamentária!I3426,[1]Composições!I:I,0),8),2,0)</f>
        <v>#REF!</v>
      </c>
      <c r="N3426" t="e">
        <v>#REF!</v>
      </c>
      <c r="Q3426" t="e">
        <v>#REF!</v>
      </c>
    </row>
    <row r="3427" spans="1:17" hidden="1" x14ac:dyDescent="0.25">
      <c r="A3427" s="114" t="s">
        <v>7008</v>
      </c>
      <c r="B3427" s="115" t="s">
        <v>7229</v>
      </c>
      <c r="C3427" s="116" t="s">
        <v>16</v>
      </c>
      <c r="D3427" s="116">
        <v>0</v>
      </c>
      <c r="E3427" s="136">
        <f ca="1">OFFSET(INDEX(Composições!A:J,MATCH(Orçamentária!A3427,Composições!A:A,0),8),2,0)</f>
        <v>25.934999999999999</v>
      </c>
      <c r="F3427" s="137">
        <f t="shared" ca="1" si="263"/>
        <v>0</v>
      </c>
      <c r="G3427" s="138" t="e">
        <f>IF(A3427&lt;&gt;"",IF(AND(#REF!="Padrão",$H$4=#REF!),BDI!$B$17,IF(AND(#REF!="Padrão",$H$4=#REF!),BDI!#REF!,IF(AND(#REF!="Diferenciado",$H$4=#REF!),BDI!$E$17,IF(AND(#REF!="Diferenciado",$H$4=#REF!),BDI!#REF!,IF(#REF!="ZERO",0))))),"")</f>
        <v>#REF!</v>
      </c>
      <c r="H3427" s="139" t="e">
        <f t="shared" ca="1" si="264"/>
        <v>#REF!</v>
      </c>
      <c r="I3427" s="137" t="e">
        <f t="shared" ca="1" si="265"/>
        <v>#REF!</v>
      </c>
      <c r="J3427" s="117"/>
      <c r="K3427" s="116">
        <v>0</v>
      </c>
      <c r="M3427" s="136" t="e">
        <f ca="1">OFFSET(INDEX([1]Composições!I:R,MATCH([1]Orçamentária!I3427,[1]Composições!I:I,0),8),2,0)</f>
        <v>#REF!</v>
      </c>
      <c r="N3427" t="e">
        <v>#REF!</v>
      </c>
      <c r="Q3427" t="e">
        <v>#REF!</v>
      </c>
    </row>
    <row r="3428" spans="1:17" hidden="1" x14ac:dyDescent="0.25">
      <c r="A3428" s="114" t="s">
        <v>7009</v>
      </c>
      <c r="B3428" s="115" t="s">
        <v>7230</v>
      </c>
      <c r="C3428" s="116" t="s">
        <v>16</v>
      </c>
      <c r="D3428" s="116">
        <v>0</v>
      </c>
      <c r="E3428" s="136">
        <f ca="1">OFFSET(INDEX(Composições!A:J,MATCH(Orçamentária!A3428,Composições!A:A,0),8),2,0)</f>
        <v>59.716999999999999</v>
      </c>
      <c r="F3428" s="137">
        <f t="shared" ca="1" si="263"/>
        <v>0</v>
      </c>
      <c r="G3428" s="138" t="e">
        <f>IF(A3428&lt;&gt;"",IF(AND(#REF!="Padrão",$H$4=#REF!),BDI!$B$17,IF(AND(#REF!="Padrão",$H$4=#REF!),BDI!#REF!,IF(AND(#REF!="Diferenciado",$H$4=#REF!),BDI!$E$17,IF(AND(#REF!="Diferenciado",$H$4=#REF!),BDI!#REF!,IF(#REF!="ZERO",0))))),"")</f>
        <v>#REF!</v>
      </c>
      <c r="H3428" s="139" t="e">
        <f t="shared" ca="1" si="264"/>
        <v>#REF!</v>
      </c>
      <c r="I3428" s="137" t="e">
        <f t="shared" ca="1" si="265"/>
        <v>#REF!</v>
      </c>
      <c r="J3428" s="117"/>
      <c r="K3428" s="116">
        <v>0</v>
      </c>
      <c r="M3428" s="136" t="e">
        <f ca="1">OFFSET(INDEX([1]Composições!I:R,MATCH([1]Orçamentária!I3428,[1]Composições!I:I,0),8),2,0)</f>
        <v>#REF!</v>
      </c>
      <c r="N3428" t="e">
        <v>#REF!</v>
      </c>
      <c r="Q3428" t="e">
        <v>#REF!</v>
      </c>
    </row>
    <row r="3429" spans="1:17" hidden="1" x14ac:dyDescent="0.25">
      <c r="A3429" s="114" t="s">
        <v>7010</v>
      </c>
      <c r="B3429" s="115" t="s">
        <v>7231</v>
      </c>
      <c r="C3429" s="116" t="s">
        <v>16</v>
      </c>
      <c r="D3429" s="116">
        <v>0</v>
      </c>
      <c r="E3429" s="136" t="s">
        <v>416</v>
      </c>
      <c r="F3429" s="137" t="str">
        <f t="shared" si="263"/>
        <v/>
      </c>
      <c r="G3429" s="138" t="e">
        <f>IF(A3429&lt;&gt;"",IF(AND(#REF!="Padrão",$H$4=#REF!),BDI!$B$17,IF(AND(#REF!="Padrão",$H$4=#REF!),BDI!#REF!,IF(AND(#REF!="Diferenciado",$H$4=#REF!),BDI!$E$17,IF(AND(#REF!="Diferenciado",$H$4=#REF!),BDI!#REF!,IF(#REF!="ZERO",0))))),"")</f>
        <v>#REF!</v>
      </c>
      <c r="H3429" s="139" t="str">
        <f t="shared" si="264"/>
        <v/>
      </c>
      <c r="I3429" s="137" t="str">
        <f t="shared" si="265"/>
        <v/>
      </c>
      <c r="J3429" s="117"/>
      <c r="K3429" s="116">
        <v>0</v>
      </c>
      <c r="M3429" s="136" t="s">
        <v>416</v>
      </c>
      <c r="N3429" t="e">
        <v>#REF!</v>
      </c>
      <c r="Q3429" t="s">
        <v>416</v>
      </c>
    </row>
    <row r="3430" spans="1:17" hidden="1" x14ac:dyDescent="0.25">
      <c r="A3430" s="114" t="s">
        <v>7011</v>
      </c>
      <c r="B3430" s="115" t="s">
        <v>7260</v>
      </c>
      <c r="C3430" s="116" t="s">
        <v>16</v>
      </c>
      <c r="D3430" s="116">
        <v>0</v>
      </c>
      <c r="E3430" s="136" t="s">
        <v>416</v>
      </c>
      <c r="F3430" s="137" t="str">
        <f t="shared" si="263"/>
        <v/>
      </c>
      <c r="G3430" s="138" t="e">
        <f>IF(A3430&lt;&gt;"",IF(AND(#REF!="Padrão",$H$4=#REF!),BDI!$B$17,IF(AND(#REF!="Padrão",$H$4=#REF!),BDI!#REF!,IF(AND(#REF!="Diferenciado",$H$4=#REF!),BDI!$E$17,IF(AND(#REF!="Diferenciado",$H$4=#REF!),BDI!#REF!,IF(#REF!="ZERO",0))))),"")</f>
        <v>#REF!</v>
      </c>
      <c r="H3430" s="139" t="str">
        <f t="shared" si="264"/>
        <v/>
      </c>
      <c r="I3430" s="137" t="str">
        <f t="shared" si="265"/>
        <v/>
      </c>
      <c r="J3430" s="117"/>
      <c r="K3430" s="116">
        <v>0</v>
      </c>
      <c r="M3430" s="136" t="s">
        <v>416</v>
      </c>
      <c r="N3430" t="e">
        <v>#REF!</v>
      </c>
      <c r="Q3430" t="s">
        <v>416</v>
      </c>
    </row>
    <row r="3431" spans="1:17" hidden="1" x14ac:dyDescent="0.25">
      <c r="A3431" s="114" t="s">
        <v>7012</v>
      </c>
      <c r="B3431" s="115" t="s">
        <v>7232</v>
      </c>
      <c r="C3431" s="116" t="s">
        <v>16</v>
      </c>
      <c r="D3431" s="116">
        <v>0</v>
      </c>
      <c r="E3431" s="136" t="s">
        <v>416</v>
      </c>
      <c r="F3431" s="137" t="str">
        <f t="shared" si="263"/>
        <v/>
      </c>
      <c r="G3431" s="138" t="e">
        <f>IF(A3431&lt;&gt;"",IF(AND(#REF!="Padrão",$H$4=#REF!),BDI!$B$17,IF(AND(#REF!="Padrão",$H$4=#REF!),BDI!#REF!,IF(AND(#REF!="Diferenciado",$H$4=#REF!),BDI!$E$17,IF(AND(#REF!="Diferenciado",$H$4=#REF!),BDI!#REF!,IF(#REF!="ZERO",0))))),"")</f>
        <v>#REF!</v>
      </c>
      <c r="H3431" s="139" t="str">
        <f t="shared" si="264"/>
        <v/>
      </c>
      <c r="I3431" s="137" t="str">
        <f t="shared" si="265"/>
        <v/>
      </c>
      <c r="J3431" s="117"/>
      <c r="K3431" s="116">
        <v>0</v>
      </c>
      <c r="M3431" s="136" t="s">
        <v>416</v>
      </c>
      <c r="N3431" t="e">
        <v>#REF!</v>
      </c>
      <c r="Q3431" t="s">
        <v>416</v>
      </c>
    </row>
    <row r="3432" spans="1:17" hidden="1" x14ac:dyDescent="0.25">
      <c r="A3432" s="114" t="s">
        <v>7013</v>
      </c>
      <c r="B3432" s="115" t="s">
        <v>7233</v>
      </c>
      <c r="C3432" s="116" t="s">
        <v>16</v>
      </c>
      <c r="D3432" s="116">
        <v>0</v>
      </c>
      <c r="E3432" s="136" t="s">
        <v>416</v>
      </c>
      <c r="F3432" s="137" t="str">
        <f t="shared" si="263"/>
        <v/>
      </c>
      <c r="G3432" s="138" t="e">
        <f>IF(A3432&lt;&gt;"",IF(AND(#REF!="Padrão",$H$4=#REF!),BDI!$B$17,IF(AND(#REF!="Padrão",$H$4=#REF!),BDI!#REF!,IF(AND(#REF!="Diferenciado",$H$4=#REF!),BDI!$E$17,IF(AND(#REF!="Diferenciado",$H$4=#REF!),BDI!#REF!,IF(#REF!="ZERO",0))))),"")</f>
        <v>#REF!</v>
      </c>
      <c r="H3432" s="139" t="str">
        <f t="shared" si="264"/>
        <v/>
      </c>
      <c r="I3432" s="137" t="str">
        <f t="shared" si="265"/>
        <v/>
      </c>
      <c r="J3432" s="117"/>
      <c r="K3432" s="116">
        <v>0</v>
      </c>
      <c r="M3432" s="136" t="s">
        <v>416</v>
      </c>
      <c r="N3432" t="e">
        <v>#REF!</v>
      </c>
      <c r="Q3432" t="s">
        <v>416</v>
      </c>
    </row>
    <row r="3433" spans="1:17" hidden="1" x14ac:dyDescent="0.25">
      <c r="A3433" s="114" t="s">
        <v>7014</v>
      </c>
      <c r="B3433" s="115" t="s">
        <v>7234</v>
      </c>
      <c r="C3433" s="116" t="s">
        <v>16</v>
      </c>
      <c r="D3433" s="116">
        <v>0</v>
      </c>
      <c r="E3433" s="136">
        <f ca="1">OFFSET(INDEX(Composições!A:J,MATCH(Orçamentária!A3433,Composições!A:A,0),8),2,0)</f>
        <v>64.067999999999998</v>
      </c>
      <c r="F3433" s="137">
        <f t="shared" ca="1" si="263"/>
        <v>0</v>
      </c>
      <c r="G3433" s="138" t="e">
        <f>IF(A3433&lt;&gt;"",IF(AND(#REF!="Padrão",$H$4=#REF!),BDI!$B$17,IF(AND(#REF!="Padrão",$H$4=#REF!),BDI!#REF!,IF(AND(#REF!="Diferenciado",$H$4=#REF!),BDI!$E$17,IF(AND(#REF!="Diferenciado",$H$4=#REF!),BDI!#REF!,IF(#REF!="ZERO",0))))),"")</f>
        <v>#REF!</v>
      </c>
      <c r="H3433" s="139" t="e">
        <f t="shared" ca="1" si="264"/>
        <v>#REF!</v>
      </c>
      <c r="I3433" s="137" t="e">
        <f t="shared" ca="1" si="265"/>
        <v>#REF!</v>
      </c>
      <c r="J3433" s="117"/>
      <c r="K3433" s="116">
        <v>0</v>
      </c>
      <c r="M3433" s="136" t="e">
        <f ca="1">OFFSET(INDEX([1]Composições!I:R,MATCH([1]Orçamentária!I3433,[1]Composições!I:I,0),8),2,0)</f>
        <v>#REF!</v>
      </c>
      <c r="N3433" t="e">
        <v>#REF!</v>
      </c>
      <c r="Q3433" t="e">
        <v>#REF!</v>
      </c>
    </row>
    <row r="3434" spans="1:17" hidden="1" x14ac:dyDescent="0.25">
      <c r="A3434" s="114" t="s">
        <v>7015</v>
      </c>
      <c r="B3434" s="115" t="s">
        <v>7235</v>
      </c>
      <c r="C3434" s="116" t="s">
        <v>16</v>
      </c>
      <c r="D3434" s="116">
        <v>0</v>
      </c>
      <c r="E3434" s="136">
        <f ca="1">OFFSET(INDEX(Composições!A:J,MATCH(Orçamentária!A3434,Composições!A:A,0),8),2,0)</f>
        <v>32.888999999999996</v>
      </c>
      <c r="F3434" s="137">
        <f t="shared" ca="1" si="263"/>
        <v>0</v>
      </c>
      <c r="G3434" s="138" t="e">
        <f>IF(A3434&lt;&gt;"",IF(AND(#REF!="Padrão",$H$4=#REF!),BDI!$B$17,IF(AND(#REF!="Padrão",$H$4=#REF!),BDI!#REF!,IF(AND(#REF!="Diferenciado",$H$4=#REF!),BDI!$E$17,IF(AND(#REF!="Diferenciado",$H$4=#REF!),BDI!#REF!,IF(#REF!="ZERO",0))))),"")</f>
        <v>#REF!</v>
      </c>
      <c r="H3434" s="139" t="e">
        <f t="shared" ca="1" si="264"/>
        <v>#REF!</v>
      </c>
      <c r="I3434" s="137" t="e">
        <f t="shared" ca="1" si="265"/>
        <v>#REF!</v>
      </c>
      <c r="J3434" s="117"/>
      <c r="K3434" s="116">
        <v>0</v>
      </c>
      <c r="M3434" s="136" t="e">
        <f ca="1">OFFSET(INDEX([1]Composições!I:R,MATCH([1]Orçamentária!I3434,[1]Composições!I:I,0),8),2,0)</f>
        <v>#REF!</v>
      </c>
      <c r="N3434" t="e">
        <v>#REF!</v>
      </c>
      <c r="Q3434" t="e">
        <v>#REF!</v>
      </c>
    </row>
    <row r="3435" spans="1:17" hidden="1" x14ac:dyDescent="0.25">
      <c r="A3435" s="114" t="s">
        <v>7016</v>
      </c>
      <c r="B3435" s="115" t="s">
        <v>7236</v>
      </c>
      <c r="C3435" s="116" t="s">
        <v>16</v>
      </c>
      <c r="D3435" s="116">
        <v>0</v>
      </c>
      <c r="E3435" s="136">
        <f ca="1">OFFSET(INDEX(Composições!A:J,MATCH(Orçamentária!A3435,Composições!A:A,0),8),2,0)</f>
        <v>76.930999999999997</v>
      </c>
      <c r="F3435" s="137">
        <f t="shared" ca="1" si="263"/>
        <v>0</v>
      </c>
      <c r="G3435" s="138" t="e">
        <f>IF(A3435&lt;&gt;"",IF(AND(#REF!="Padrão",$H$4=#REF!),BDI!$B$17,IF(AND(#REF!="Padrão",$H$4=#REF!),BDI!#REF!,IF(AND(#REF!="Diferenciado",$H$4=#REF!),BDI!$E$17,IF(AND(#REF!="Diferenciado",$H$4=#REF!),BDI!#REF!,IF(#REF!="ZERO",0))))),"")</f>
        <v>#REF!</v>
      </c>
      <c r="H3435" s="139" t="e">
        <f t="shared" ca="1" si="264"/>
        <v>#REF!</v>
      </c>
      <c r="I3435" s="137" t="e">
        <f t="shared" ca="1" si="265"/>
        <v>#REF!</v>
      </c>
      <c r="J3435" s="117"/>
      <c r="K3435" s="116">
        <v>0</v>
      </c>
      <c r="M3435" s="136" t="e">
        <f ca="1">OFFSET(INDEX([1]Composições!I:R,MATCH([1]Orçamentária!I3435,[1]Composições!I:I,0),8),2,0)</f>
        <v>#REF!</v>
      </c>
      <c r="N3435" t="e">
        <v>#REF!</v>
      </c>
      <c r="Q3435" t="e">
        <v>#REF!</v>
      </c>
    </row>
    <row r="3436" spans="1:17" hidden="1" x14ac:dyDescent="0.25">
      <c r="A3436" s="114" t="s">
        <v>7017</v>
      </c>
      <c r="B3436" s="115" t="s">
        <v>7237</v>
      </c>
      <c r="C3436" s="116" t="s">
        <v>16</v>
      </c>
      <c r="D3436" s="116">
        <v>0</v>
      </c>
      <c r="E3436" s="136" t="s">
        <v>416</v>
      </c>
      <c r="F3436" s="137" t="str">
        <f t="shared" si="263"/>
        <v/>
      </c>
      <c r="G3436" s="138" t="e">
        <f>IF(A3436&lt;&gt;"",IF(AND(#REF!="Padrão",$H$4=#REF!),BDI!$B$17,IF(AND(#REF!="Padrão",$H$4=#REF!),BDI!#REF!,IF(AND(#REF!="Diferenciado",$H$4=#REF!),BDI!$E$17,IF(AND(#REF!="Diferenciado",$H$4=#REF!),BDI!#REF!,IF(#REF!="ZERO",0))))),"")</f>
        <v>#REF!</v>
      </c>
      <c r="H3436" s="139" t="str">
        <f t="shared" si="264"/>
        <v/>
      </c>
      <c r="I3436" s="137" t="str">
        <f t="shared" si="265"/>
        <v/>
      </c>
      <c r="J3436" s="117"/>
      <c r="K3436" s="116">
        <v>0</v>
      </c>
      <c r="M3436" s="136" t="s">
        <v>416</v>
      </c>
      <c r="N3436" t="e">
        <v>#REF!</v>
      </c>
      <c r="Q3436" t="s">
        <v>416</v>
      </c>
    </row>
    <row r="3437" spans="1:17" hidden="1" x14ac:dyDescent="0.25">
      <c r="A3437" s="114" t="s">
        <v>7018</v>
      </c>
      <c r="B3437" s="115" t="s">
        <v>7238</v>
      </c>
      <c r="C3437" s="116" t="s">
        <v>16</v>
      </c>
      <c r="D3437" s="116">
        <v>0</v>
      </c>
      <c r="E3437" s="136">
        <f ca="1">OFFSET(INDEX(Composições!A:J,MATCH(Orçamentária!A3437,Composições!A:A,0),8),2,0)</f>
        <v>36.898000000000003</v>
      </c>
      <c r="F3437" s="137">
        <f t="shared" ca="1" si="263"/>
        <v>0</v>
      </c>
      <c r="G3437" s="138" t="e">
        <f>IF(A3437&lt;&gt;"",IF(AND(#REF!="Padrão",$H$4=#REF!),BDI!$B$17,IF(AND(#REF!="Padrão",$H$4=#REF!),BDI!#REF!,IF(AND(#REF!="Diferenciado",$H$4=#REF!),BDI!$E$17,IF(AND(#REF!="Diferenciado",$H$4=#REF!),BDI!#REF!,IF(#REF!="ZERO",0))))),"")</f>
        <v>#REF!</v>
      </c>
      <c r="H3437" s="139" t="e">
        <f t="shared" ca="1" si="264"/>
        <v>#REF!</v>
      </c>
      <c r="I3437" s="137" t="e">
        <f t="shared" ca="1" si="265"/>
        <v>#REF!</v>
      </c>
      <c r="J3437" s="117"/>
      <c r="K3437" s="116">
        <v>0</v>
      </c>
      <c r="M3437" s="136" t="e">
        <f ca="1">OFFSET(INDEX([1]Composições!I:R,MATCH([1]Orçamentária!I3437,[1]Composições!I:I,0),8),2,0)</f>
        <v>#REF!</v>
      </c>
      <c r="N3437" t="e">
        <v>#REF!</v>
      </c>
      <c r="Q3437" t="e">
        <v>#REF!</v>
      </c>
    </row>
    <row r="3438" spans="1:17" hidden="1" x14ac:dyDescent="0.25">
      <c r="A3438" s="114" t="s">
        <v>7019</v>
      </c>
      <c r="B3438" s="115" t="s">
        <v>7239</v>
      </c>
      <c r="C3438" s="116" t="s">
        <v>16</v>
      </c>
      <c r="D3438" s="116">
        <v>0</v>
      </c>
      <c r="E3438" s="136" t="s">
        <v>416</v>
      </c>
      <c r="F3438" s="137" t="str">
        <f t="shared" si="263"/>
        <v/>
      </c>
      <c r="G3438" s="138" t="e">
        <f>IF(A3438&lt;&gt;"",IF(AND(#REF!="Padrão",$H$4=#REF!),BDI!$B$17,IF(AND(#REF!="Padrão",$H$4=#REF!),BDI!#REF!,IF(AND(#REF!="Diferenciado",$H$4=#REF!),BDI!$E$17,IF(AND(#REF!="Diferenciado",$H$4=#REF!),BDI!#REF!,IF(#REF!="ZERO",0))))),"")</f>
        <v>#REF!</v>
      </c>
      <c r="H3438" s="139" t="str">
        <f t="shared" si="264"/>
        <v/>
      </c>
      <c r="I3438" s="137" t="str">
        <f t="shared" si="265"/>
        <v/>
      </c>
      <c r="J3438" s="117"/>
      <c r="K3438" s="116">
        <v>0</v>
      </c>
      <c r="M3438" s="136" t="s">
        <v>416</v>
      </c>
      <c r="N3438" t="e">
        <v>#REF!</v>
      </c>
      <c r="Q3438" t="s">
        <v>416</v>
      </c>
    </row>
    <row r="3439" spans="1:17" hidden="1" x14ac:dyDescent="0.25">
      <c r="A3439" s="114" t="s">
        <v>7020</v>
      </c>
      <c r="B3439" s="115" t="s">
        <v>7240</v>
      </c>
      <c r="C3439" s="116" t="s">
        <v>16</v>
      </c>
      <c r="D3439" s="116">
        <v>0</v>
      </c>
      <c r="E3439" s="136">
        <f ca="1">OFFSET(INDEX(Composições!A:J,MATCH(Orçamentária!A3439,Composições!A:A,0),8),2,0)</f>
        <v>101.69749999999999</v>
      </c>
      <c r="F3439" s="137">
        <f t="shared" ca="1" si="263"/>
        <v>0</v>
      </c>
      <c r="G3439" s="138" t="e">
        <f>IF(A3439&lt;&gt;"",IF(AND(#REF!="Padrão",$H$4=#REF!),BDI!$B$17,IF(AND(#REF!="Padrão",$H$4=#REF!),BDI!#REF!,IF(AND(#REF!="Diferenciado",$H$4=#REF!),BDI!$E$17,IF(AND(#REF!="Diferenciado",$H$4=#REF!),BDI!#REF!,IF(#REF!="ZERO",0))))),"")</f>
        <v>#REF!</v>
      </c>
      <c r="H3439" s="139" t="e">
        <f t="shared" ca="1" si="264"/>
        <v>#REF!</v>
      </c>
      <c r="I3439" s="137" t="e">
        <f t="shared" ca="1" si="265"/>
        <v>#REF!</v>
      </c>
      <c r="J3439" s="117"/>
      <c r="K3439" s="116">
        <v>0</v>
      </c>
      <c r="M3439" s="136" t="e">
        <f ca="1">OFFSET(INDEX([1]Composições!I:R,MATCH([1]Orçamentária!I3439,[1]Composições!I:I,0),8),2,0)</f>
        <v>#REF!</v>
      </c>
      <c r="N3439" t="e">
        <v>#REF!</v>
      </c>
      <c r="Q3439" t="e">
        <v>#REF!</v>
      </c>
    </row>
    <row r="3440" spans="1:17" hidden="1" x14ac:dyDescent="0.25">
      <c r="A3440" s="114" t="s">
        <v>7021</v>
      </c>
      <c r="B3440" s="115" t="s">
        <v>7241</v>
      </c>
      <c r="C3440" s="116" t="s">
        <v>16</v>
      </c>
      <c r="D3440" s="116">
        <v>0</v>
      </c>
      <c r="E3440" s="136" t="s">
        <v>416</v>
      </c>
      <c r="F3440" s="137" t="str">
        <f t="shared" si="263"/>
        <v/>
      </c>
      <c r="G3440" s="138" t="e">
        <f>IF(A3440&lt;&gt;"",IF(AND(#REF!="Padrão",$H$4=#REF!),BDI!$B$17,IF(AND(#REF!="Padrão",$H$4=#REF!),BDI!#REF!,IF(AND(#REF!="Diferenciado",$H$4=#REF!),BDI!$E$17,IF(AND(#REF!="Diferenciado",$H$4=#REF!),BDI!#REF!,IF(#REF!="ZERO",0))))),"")</f>
        <v>#REF!</v>
      </c>
      <c r="H3440" s="139" t="str">
        <f t="shared" si="264"/>
        <v/>
      </c>
      <c r="I3440" s="137" t="str">
        <f t="shared" si="265"/>
        <v/>
      </c>
      <c r="J3440" s="117"/>
      <c r="K3440" s="116">
        <v>0</v>
      </c>
      <c r="M3440" s="136" t="s">
        <v>416</v>
      </c>
      <c r="N3440" t="e">
        <v>#REF!</v>
      </c>
      <c r="Q3440" t="s">
        <v>416</v>
      </c>
    </row>
    <row r="3441" spans="1:17" hidden="1" x14ac:dyDescent="0.25">
      <c r="A3441" s="114" t="s">
        <v>7022</v>
      </c>
      <c r="B3441" s="115" t="s">
        <v>7242</v>
      </c>
      <c r="C3441" s="116" t="s">
        <v>16</v>
      </c>
      <c r="D3441" s="116">
        <v>0</v>
      </c>
      <c r="E3441" s="136">
        <f ca="1">OFFSET(INDEX(Composições!A:J,MATCH(Orçamentária!A3441,Composições!A:A,0),8),2,0)</f>
        <v>53.712999999999994</v>
      </c>
      <c r="F3441" s="137">
        <f t="shared" ca="1" si="263"/>
        <v>0</v>
      </c>
      <c r="G3441" s="138" t="e">
        <f>IF(A3441&lt;&gt;"",IF(AND(#REF!="Padrão",$H$4=#REF!),BDI!$B$17,IF(AND(#REF!="Padrão",$H$4=#REF!),BDI!#REF!,IF(AND(#REF!="Diferenciado",$H$4=#REF!),BDI!$E$17,IF(AND(#REF!="Diferenciado",$H$4=#REF!),BDI!#REF!,IF(#REF!="ZERO",0))))),"")</f>
        <v>#REF!</v>
      </c>
      <c r="H3441" s="139" t="e">
        <f t="shared" ca="1" si="264"/>
        <v>#REF!</v>
      </c>
      <c r="I3441" s="137" t="e">
        <f t="shared" ca="1" si="265"/>
        <v>#REF!</v>
      </c>
      <c r="J3441" s="117"/>
      <c r="K3441" s="116">
        <v>0</v>
      </c>
      <c r="M3441" s="136" t="e">
        <f ca="1">OFFSET(INDEX([1]Composições!I:R,MATCH([1]Orçamentária!I3441,[1]Composições!I:I,0),8),2,0)</f>
        <v>#REF!</v>
      </c>
      <c r="N3441" t="e">
        <v>#REF!</v>
      </c>
      <c r="Q3441" t="e">
        <v>#REF!</v>
      </c>
    </row>
    <row r="3442" spans="1:17" hidden="1" x14ac:dyDescent="0.25">
      <c r="A3442" s="114" t="s">
        <v>7023</v>
      </c>
      <c r="B3442" s="115" t="s">
        <v>7243</v>
      </c>
      <c r="C3442" s="116" t="s">
        <v>16</v>
      </c>
      <c r="D3442" s="116">
        <v>0</v>
      </c>
      <c r="E3442" s="136">
        <f ca="1">OFFSET(INDEX(Composições!A:J,MATCH(Orçamentária!A3442,Composições!A:A,0),8),2,0)</f>
        <v>152.04750000000001</v>
      </c>
      <c r="F3442" s="137">
        <f t="shared" ca="1" si="263"/>
        <v>0</v>
      </c>
      <c r="G3442" s="138" t="e">
        <f>IF(A3442&lt;&gt;"",IF(AND(#REF!="Padrão",$H$4=#REF!),BDI!$B$17,IF(AND(#REF!="Padrão",$H$4=#REF!),BDI!#REF!,IF(AND(#REF!="Diferenciado",$H$4=#REF!),BDI!$E$17,IF(AND(#REF!="Diferenciado",$H$4=#REF!),BDI!#REF!,IF(#REF!="ZERO",0))))),"")</f>
        <v>#REF!</v>
      </c>
      <c r="H3442" s="139" t="e">
        <f t="shared" ca="1" si="264"/>
        <v>#REF!</v>
      </c>
      <c r="I3442" s="137" t="e">
        <f t="shared" ca="1" si="265"/>
        <v>#REF!</v>
      </c>
      <c r="J3442" s="117"/>
      <c r="K3442" s="116">
        <v>0</v>
      </c>
      <c r="M3442" s="136" t="e">
        <f ca="1">OFFSET(INDEX([1]Composições!I:R,MATCH([1]Orçamentária!I3442,[1]Composições!I:I,0),8),2,0)</f>
        <v>#REF!</v>
      </c>
      <c r="N3442" t="e">
        <v>#REF!</v>
      </c>
      <c r="Q3442" t="e">
        <v>#REF!</v>
      </c>
    </row>
    <row r="3443" spans="1:17" hidden="1" x14ac:dyDescent="0.25">
      <c r="A3443" s="114" t="s">
        <v>7024</v>
      </c>
      <c r="B3443" s="115" t="s">
        <v>7244</v>
      </c>
      <c r="C3443" s="116" t="s">
        <v>16</v>
      </c>
      <c r="D3443" s="116">
        <v>0</v>
      </c>
      <c r="E3443" s="136" t="s">
        <v>416</v>
      </c>
      <c r="F3443" s="137" t="str">
        <f t="shared" si="263"/>
        <v/>
      </c>
      <c r="G3443" s="138" t="e">
        <f>IF(A3443&lt;&gt;"",IF(AND(#REF!="Padrão",$H$4=#REF!),BDI!$B$17,IF(AND(#REF!="Padrão",$H$4=#REF!),BDI!#REF!,IF(AND(#REF!="Diferenciado",$H$4=#REF!),BDI!$E$17,IF(AND(#REF!="Diferenciado",$H$4=#REF!),BDI!#REF!,IF(#REF!="ZERO",0))))),"")</f>
        <v>#REF!</v>
      </c>
      <c r="H3443" s="139" t="str">
        <f t="shared" si="264"/>
        <v/>
      </c>
      <c r="I3443" s="137" t="str">
        <f t="shared" si="265"/>
        <v/>
      </c>
      <c r="J3443" s="117"/>
      <c r="K3443" s="116">
        <v>0</v>
      </c>
      <c r="M3443" s="136" t="s">
        <v>416</v>
      </c>
      <c r="N3443" t="e">
        <v>#REF!</v>
      </c>
      <c r="Q3443" t="s">
        <v>416</v>
      </c>
    </row>
    <row r="3444" spans="1:17" hidden="1" x14ac:dyDescent="0.25">
      <c r="A3444" s="114" t="s">
        <v>7025</v>
      </c>
      <c r="B3444" s="115" t="s">
        <v>7245</v>
      </c>
      <c r="C3444" s="116" t="s">
        <v>16</v>
      </c>
      <c r="D3444" s="116">
        <v>0</v>
      </c>
      <c r="E3444" s="136">
        <f ca="1">OFFSET(INDEX(Composições!A:J,MATCH(Orçamentária!A3444,Composições!A:A,0),8),2,0)</f>
        <v>52.021999999999998</v>
      </c>
      <c r="F3444" s="137">
        <f t="shared" ca="1" si="263"/>
        <v>0</v>
      </c>
      <c r="G3444" s="138" t="e">
        <f>IF(A3444&lt;&gt;"",IF(AND(#REF!="Padrão",$H$4=#REF!),BDI!$B$17,IF(AND(#REF!="Padrão",$H$4=#REF!),BDI!#REF!,IF(AND(#REF!="Diferenciado",$H$4=#REF!),BDI!$E$17,IF(AND(#REF!="Diferenciado",$H$4=#REF!),BDI!#REF!,IF(#REF!="ZERO",0))))),"")</f>
        <v>#REF!</v>
      </c>
      <c r="H3444" s="139" t="e">
        <f t="shared" ca="1" si="264"/>
        <v>#REF!</v>
      </c>
      <c r="I3444" s="137" t="e">
        <f t="shared" ca="1" si="265"/>
        <v>#REF!</v>
      </c>
      <c r="J3444" s="117"/>
      <c r="K3444" s="116">
        <v>0</v>
      </c>
      <c r="M3444" s="136" t="e">
        <f ca="1">OFFSET(INDEX([1]Composições!I:R,MATCH([1]Orçamentária!I3444,[1]Composições!I:I,0),8),2,0)</f>
        <v>#REF!</v>
      </c>
      <c r="N3444" t="e">
        <v>#REF!</v>
      </c>
      <c r="Q3444" t="e">
        <v>#REF!</v>
      </c>
    </row>
    <row r="3445" spans="1:17" hidden="1" x14ac:dyDescent="0.25">
      <c r="A3445" s="114" t="s">
        <v>7026</v>
      </c>
      <c r="B3445" s="115" t="s">
        <v>7246</v>
      </c>
      <c r="C3445" s="116" t="s">
        <v>16</v>
      </c>
      <c r="D3445" s="116">
        <v>0</v>
      </c>
      <c r="E3445" s="136" t="s">
        <v>416</v>
      </c>
      <c r="F3445" s="137" t="str">
        <f t="shared" si="263"/>
        <v/>
      </c>
      <c r="G3445" s="138" t="e">
        <f>IF(A3445&lt;&gt;"",IF(AND(#REF!="Padrão",$H$4=#REF!),BDI!$B$17,IF(AND(#REF!="Padrão",$H$4=#REF!),BDI!#REF!,IF(AND(#REF!="Diferenciado",$H$4=#REF!),BDI!$E$17,IF(AND(#REF!="Diferenciado",$H$4=#REF!),BDI!#REF!,IF(#REF!="ZERO",0))))),"")</f>
        <v>#REF!</v>
      </c>
      <c r="H3445" s="139" t="str">
        <f t="shared" si="264"/>
        <v/>
      </c>
      <c r="I3445" s="137" t="str">
        <f t="shared" si="265"/>
        <v/>
      </c>
      <c r="J3445" s="117"/>
      <c r="K3445" s="116">
        <v>0</v>
      </c>
      <c r="M3445" s="136" t="s">
        <v>416</v>
      </c>
      <c r="N3445" t="e">
        <v>#REF!</v>
      </c>
      <c r="Q3445" t="s">
        <v>416</v>
      </c>
    </row>
    <row r="3446" spans="1:17" hidden="1" x14ac:dyDescent="0.25">
      <c r="A3446" s="114" t="s">
        <v>7027</v>
      </c>
      <c r="B3446" s="115" t="s">
        <v>7247</v>
      </c>
      <c r="C3446" s="116" t="s">
        <v>16</v>
      </c>
      <c r="D3446" s="116">
        <v>0</v>
      </c>
      <c r="E3446" s="136">
        <f ca="1">OFFSET(INDEX(Composições!A:J,MATCH(Orçamentária!A3446,Composições!A:A,0),8),2,0)</f>
        <v>354.12199999999996</v>
      </c>
      <c r="F3446" s="137">
        <f t="shared" ca="1" si="263"/>
        <v>0</v>
      </c>
      <c r="G3446" s="138" t="e">
        <f>IF(A3446&lt;&gt;"",IF(AND(#REF!="Padrão",$H$4=#REF!),BDI!$B$17,IF(AND(#REF!="Padrão",$H$4=#REF!),BDI!#REF!,IF(AND(#REF!="Diferenciado",$H$4=#REF!),BDI!$E$17,IF(AND(#REF!="Diferenciado",$H$4=#REF!),BDI!#REF!,IF(#REF!="ZERO",0))))),"")</f>
        <v>#REF!</v>
      </c>
      <c r="H3446" s="139" t="e">
        <f t="shared" ca="1" si="264"/>
        <v>#REF!</v>
      </c>
      <c r="I3446" s="137" t="e">
        <f t="shared" ca="1" si="265"/>
        <v>#REF!</v>
      </c>
      <c r="J3446" s="117"/>
      <c r="K3446" s="116">
        <v>0</v>
      </c>
      <c r="M3446" s="136" t="e">
        <f ca="1">OFFSET(INDEX([1]Composições!I:R,MATCH([1]Orçamentária!I3446,[1]Composições!I:I,0),8),2,0)</f>
        <v>#REF!</v>
      </c>
      <c r="N3446" t="e">
        <v>#REF!</v>
      </c>
      <c r="Q3446" t="e">
        <v>#REF!</v>
      </c>
    </row>
    <row r="3447" spans="1:17" hidden="1" x14ac:dyDescent="0.25">
      <c r="A3447" s="114" t="s">
        <v>7028</v>
      </c>
      <c r="B3447" s="115" t="s">
        <v>7248</v>
      </c>
      <c r="C3447" s="116" t="s">
        <v>16</v>
      </c>
      <c r="D3447" s="116">
        <v>0</v>
      </c>
      <c r="E3447" s="136" t="s">
        <v>416</v>
      </c>
      <c r="F3447" s="137" t="str">
        <f t="shared" si="263"/>
        <v/>
      </c>
      <c r="G3447" s="138" t="e">
        <f>IF(A3447&lt;&gt;"",IF(AND(#REF!="Padrão",$H$4=#REF!),BDI!$B$17,IF(AND(#REF!="Padrão",$H$4=#REF!),BDI!#REF!,IF(AND(#REF!="Diferenciado",$H$4=#REF!),BDI!$E$17,IF(AND(#REF!="Diferenciado",$H$4=#REF!),BDI!#REF!,IF(#REF!="ZERO",0))))),"")</f>
        <v>#REF!</v>
      </c>
      <c r="H3447" s="139" t="str">
        <f t="shared" si="264"/>
        <v/>
      </c>
      <c r="I3447" s="137" t="str">
        <f t="shared" si="265"/>
        <v/>
      </c>
      <c r="J3447" s="117"/>
      <c r="K3447" s="116">
        <v>0</v>
      </c>
      <c r="M3447" s="136" t="s">
        <v>416</v>
      </c>
      <c r="N3447" t="e">
        <v>#REF!</v>
      </c>
      <c r="Q3447" t="s">
        <v>416</v>
      </c>
    </row>
    <row r="3448" spans="1:17" hidden="1" x14ac:dyDescent="0.25">
      <c r="A3448" s="114" t="s">
        <v>7029</v>
      </c>
      <c r="B3448" s="115" t="s">
        <v>7249</v>
      </c>
      <c r="C3448" s="116" t="s">
        <v>16</v>
      </c>
      <c r="D3448" s="116">
        <v>0</v>
      </c>
      <c r="E3448" s="136">
        <f ca="1">OFFSET(INDEX(Composições!A:J,MATCH(Orçamentária!A3448,Composições!A:A,0),8),2,0)</f>
        <v>176.0635</v>
      </c>
      <c r="F3448" s="137">
        <f t="shared" ca="1" si="263"/>
        <v>0</v>
      </c>
      <c r="G3448" s="138" t="e">
        <f>IF(A3448&lt;&gt;"",IF(AND(#REF!="Padrão",$H$4=#REF!),BDI!$B$17,IF(AND(#REF!="Padrão",$H$4=#REF!),BDI!#REF!,IF(AND(#REF!="Diferenciado",$H$4=#REF!),BDI!$E$17,IF(AND(#REF!="Diferenciado",$H$4=#REF!),BDI!#REF!,IF(#REF!="ZERO",0))))),"")</f>
        <v>#REF!</v>
      </c>
      <c r="H3448" s="139" t="e">
        <f t="shared" ca="1" si="264"/>
        <v>#REF!</v>
      </c>
      <c r="I3448" s="137" t="e">
        <f t="shared" ca="1" si="265"/>
        <v>#REF!</v>
      </c>
      <c r="J3448" s="117"/>
      <c r="K3448" s="116">
        <v>0</v>
      </c>
      <c r="M3448" s="136" t="e">
        <f ca="1">OFFSET(INDEX([1]Composições!I:R,MATCH([1]Orçamentária!I3448,[1]Composições!I:I,0),8),2,0)</f>
        <v>#REF!</v>
      </c>
      <c r="N3448" t="e">
        <v>#REF!</v>
      </c>
      <c r="Q3448" t="e">
        <v>#REF!</v>
      </c>
    </row>
    <row r="3449" spans="1:17" hidden="1" x14ac:dyDescent="0.25">
      <c r="A3449" s="114" t="s">
        <v>7030</v>
      </c>
      <c r="B3449" s="115" t="s">
        <v>7250</v>
      </c>
      <c r="C3449" s="116" t="s">
        <v>16</v>
      </c>
      <c r="D3449" s="116">
        <v>0</v>
      </c>
      <c r="E3449" s="136">
        <f ca="1">OFFSET(INDEX(Composições!A:J,MATCH(Orçamentária!A3449,Composições!A:A,0),8),2,0)</f>
        <v>432.82</v>
      </c>
      <c r="F3449" s="137">
        <f t="shared" ca="1" si="263"/>
        <v>0</v>
      </c>
      <c r="G3449" s="138" t="e">
        <f>IF(A3449&lt;&gt;"",IF(AND(#REF!="Padrão",$H$4=#REF!),BDI!$B$17,IF(AND(#REF!="Padrão",$H$4=#REF!),BDI!#REF!,IF(AND(#REF!="Diferenciado",$H$4=#REF!),BDI!$E$17,IF(AND(#REF!="Diferenciado",$H$4=#REF!),BDI!#REF!,IF(#REF!="ZERO",0))))),"")</f>
        <v>#REF!</v>
      </c>
      <c r="H3449" s="139" t="e">
        <f t="shared" ca="1" si="264"/>
        <v>#REF!</v>
      </c>
      <c r="I3449" s="137" t="e">
        <f t="shared" ca="1" si="265"/>
        <v>#REF!</v>
      </c>
      <c r="J3449" s="117"/>
      <c r="K3449" s="116">
        <v>0</v>
      </c>
      <c r="M3449" s="136" t="e">
        <f ca="1">OFFSET(INDEX([1]Composições!I:R,MATCH([1]Orçamentária!I3449,[1]Composições!I:I,0),8),2,0)</f>
        <v>#REF!</v>
      </c>
      <c r="N3449" t="e">
        <v>#REF!</v>
      </c>
      <c r="Q3449" t="e">
        <v>#REF!</v>
      </c>
    </row>
    <row r="3450" spans="1:17" hidden="1" x14ac:dyDescent="0.25">
      <c r="A3450" s="114" t="s">
        <v>7031</v>
      </c>
      <c r="B3450" s="115" t="s">
        <v>7251</v>
      </c>
      <c r="C3450" s="116" t="s">
        <v>16</v>
      </c>
      <c r="D3450" s="116">
        <v>0</v>
      </c>
      <c r="E3450" s="136" t="s">
        <v>416</v>
      </c>
      <c r="F3450" s="137" t="str">
        <f t="shared" si="263"/>
        <v/>
      </c>
      <c r="G3450" s="138" t="e">
        <f>IF(A3450&lt;&gt;"",IF(AND(#REF!="Padrão",$H$4=#REF!),BDI!$B$17,IF(AND(#REF!="Padrão",$H$4=#REF!),BDI!#REF!,IF(AND(#REF!="Diferenciado",$H$4=#REF!),BDI!$E$17,IF(AND(#REF!="Diferenciado",$H$4=#REF!),BDI!#REF!,IF(#REF!="ZERO",0))))),"")</f>
        <v>#REF!</v>
      </c>
      <c r="H3450" s="139" t="str">
        <f t="shared" si="264"/>
        <v/>
      </c>
      <c r="I3450" s="137" t="str">
        <f t="shared" si="265"/>
        <v/>
      </c>
      <c r="J3450" s="117"/>
      <c r="K3450" s="116">
        <v>0</v>
      </c>
      <c r="M3450" s="136" t="s">
        <v>416</v>
      </c>
      <c r="N3450" t="e">
        <v>#REF!</v>
      </c>
      <c r="Q3450" t="s">
        <v>416</v>
      </c>
    </row>
    <row r="3451" spans="1:17" hidden="1" x14ac:dyDescent="0.25">
      <c r="A3451" s="114" t="s">
        <v>7032</v>
      </c>
      <c r="B3451" s="115" t="s">
        <v>7259</v>
      </c>
      <c r="C3451" s="116" t="s">
        <v>16</v>
      </c>
      <c r="D3451" s="116">
        <v>0</v>
      </c>
      <c r="E3451" s="136">
        <f ca="1">OFFSET(INDEX(Composições!A:J,MATCH(Orçamentária!A3451,Composições!A:A,0),8),2,0)</f>
        <v>162.15549999999999</v>
      </c>
      <c r="F3451" s="137">
        <f t="shared" ca="1" si="263"/>
        <v>0</v>
      </c>
      <c r="G3451" s="138" t="e">
        <f>IF(A3451&lt;&gt;"",IF(AND(#REF!="Padrão",$H$4=#REF!),BDI!$B$17,IF(AND(#REF!="Padrão",$H$4=#REF!),BDI!#REF!,IF(AND(#REF!="Diferenciado",$H$4=#REF!),BDI!$E$17,IF(AND(#REF!="Diferenciado",$H$4=#REF!),BDI!#REF!,IF(#REF!="ZERO",0))))),"")</f>
        <v>#REF!</v>
      </c>
      <c r="H3451" s="139" t="e">
        <f t="shared" ca="1" si="264"/>
        <v>#REF!</v>
      </c>
      <c r="I3451" s="137" t="e">
        <f t="shared" ca="1" si="265"/>
        <v>#REF!</v>
      </c>
      <c r="J3451" s="117"/>
      <c r="K3451" s="116">
        <v>0</v>
      </c>
      <c r="M3451" s="136" t="e">
        <f ca="1">OFFSET(INDEX([1]Composições!I:R,MATCH([1]Orçamentária!I3451,[1]Composições!I:I,0),8),2,0)</f>
        <v>#REF!</v>
      </c>
      <c r="N3451" t="e">
        <v>#REF!</v>
      </c>
      <c r="Q3451" t="e">
        <v>#REF!</v>
      </c>
    </row>
    <row r="3452" spans="1:17" hidden="1" x14ac:dyDescent="0.25">
      <c r="A3452" s="114" t="s">
        <v>7033</v>
      </c>
      <c r="B3452" s="115" t="s">
        <v>7252</v>
      </c>
      <c r="C3452" s="116" t="s">
        <v>16</v>
      </c>
      <c r="D3452" s="116">
        <v>0</v>
      </c>
      <c r="E3452" s="136" t="s">
        <v>416</v>
      </c>
      <c r="F3452" s="137" t="str">
        <f t="shared" si="263"/>
        <v/>
      </c>
      <c r="G3452" s="138" t="e">
        <f>IF(A3452&lt;&gt;"",IF(AND(#REF!="Padrão",$H$4=#REF!),BDI!$B$17,IF(AND(#REF!="Padrão",$H$4=#REF!),BDI!#REF!,IF(AND(#REF!="Diferenciado",$H$4=#REF!),BDI!$E$17,IF(AND(#REF!="Diferenciado",$H$4=#REF!),BDI!#REF!,IF(#REF!="ZERO",0))))),"")</f>
        <v>#REF!</v>
      </c>
      <c r="H3452" s="139" t="str">
        <f t="shared" si="264"/>
        <v/>
      </c>
      <c r="I3452" s="137" t="str">
        <f t="shared" si="265"/>
        <v/>
      </c>
      <c r="J3452" s="117"/>
      <c r="K3452" s="116">
        <v>0</v>
      </c>
      <c r="M3452" s="136" t="s">
        <v>416</v>
      </c>
      <c r="N3452" t="e">
        <v>#REF!</v>
      </c>
      <c r="Q3452" t="s">
        <v>416</v>
      </c>
    </row>
    <row r="3453" spans="1:17" hidden="1" x14ac:dyDescent="0.25">
      <c r="A3453" s="114" t="s">
        <v>7034</v>
      </c>
      <c r="B3453" s="115" t="s">
        <v>7253</v>
      </c>
      <c r="C3453" s="116" t="s">
        <v>16</v>
      </c>
      <c r="D3453" s="116">
        <v>0</v>
      </c>
      <c r="E3453" s="136">
        <f ca="1">OFFSET(INDEX(Composições!A:J,MATCH(Orçamentária!A3453,Composições!A:A,0),8),2,0)</f>
        <v>339.57749999999999</v>
      </c>
      <c r="F3453" s="137">
        <f t="shared" ca="1" si="263"/>
        <v>0</v>
      </c>
      <c r="G3453" s="138" t="e">
        <f>IF(A3453&lt;&gt;"",IF(AND(#REF!="Padrão",$H$4=#REF!),BDI!$B$17,IF(AND(#REF!="Padrão",$H$4=#REF!),BDI!#REF!,IF(AND(#REF!="Diferenciado",$H$4=#REF!),BDI!$E$17,IF(AND(#REF!="Diferenciado",$H$4=#REF!),BDI!#REF!,IF(#REF!="ZERO",0))))),"")</f>
        <v>#REF!</v>
      </c>
      <c r="H3453" s="139" t="e">
        <f t="shared" ca="1" si="264"/>
        <v>#REF!</v>
      </c>
      <c r="I3453" s="137" t="e">
        <f t="shared" ca="1" si="265"/>
        <v>#REF!</v>
      </c>
      <c r="J3453" s="117"/>
      <c r="K3453" s="116">
        <v>0</v>
      </c>
      <c r="M3453" s="136" t="e">
        <f ca="1">OFFSET(INDEX([1]Composições!I:R,MATCH([1]Orçamentária!I3453,[1]Composições!I:I,0),8),2,0)</f>
        <v>#REF!</v>
      </c>
      <c r="N3453" t="e">
        <v>#REF!</v>
      </c>
      <c r="Q3453" t="e">
        <v>#REF!</v>
      </c>
    </row>
    <row r="3454" spans="1:17" hidden="1" x14ac:dyDescent="0.25">
      <c r="A3454" s="114" t="s">
        <v>7035</v>
      </c>
      <c r="B3454" s="115" t="s">
        <v>7254</v>
      </c>
      <c r="C3454" s="116" t="s">
        <v>16</v>
      </c>
      <c r="D3454" s="116">
        <v>0</v>
      </c>
      <c r="E3454" s="136" t="s">
        <v>416</v>
      </c>
      <c r="F3454" s="137" t="str">
        <f t="shared" si="263"/>
        <v/>
      </c>
      <c r="G3454" s="138" t="e">
        <f>IF(A3454&lt;&gt;"",IF(AND(#REF!="Padrão",$H$4=#REF!),BDI!$B$17,IF(AND(#REF!="Padrão",$H$4=#REF!),BDI!#REF!,IF(AND(#REF!="Diferenciado",$H$4=#REF!),BDI!$E$17,IF(AND(#REF!="Diferenciado",$H$4=#REF!),BDI!#REF!,IF(#REF!="ZERO",0))))),"")</f>
        <v>#REF!</v>
      </c>
      <c r="H3454" s="139" t="str">
        <f t="shared" si="264"/>
        <v/>
      </c>
      <c r="I3454" s="137" t="str">
        <f t="shared" si="265"/>
        <v/>
      </c>
      <c r="J3454" s="117"/>
      <c r="K3454" s="116">
        <v>0</v>
      </c>
      <c r="M3454" s="136" t="s">
        <v>416</v>
      </c>
      <c r="N3454" t="e">
        <v>#REF!</v>
      </c>
      <c r="Q3454" t="s">
        <v>416</v>
      </c>
    </row>
    <row r="3455" spans="1:17" hidden="1" x14ac:dyDescent="0.25">
      <c r="A3455" s="114" t="s">
        <v>7036</v>
      </c>
      <c r="B3455" s="115" t="s">
        <v>7255</v>
      </c>
      <c r="C3455" s="116" t="s">
        <v>16</v>
      </c>
      <c r="D3455" s="116">
        <v>0</v>
      </c>
      <c r="E3455" s="136">
        <f ca="1">OFFSET(INDEX(Composições!A:J,MATCH(Orçamentária!A3455,Composições!A:A,0),8),2,0)</f>
        <v>269.5625</v>
      </c>
      <c r="F3455" s="137">
        <f t="shared" ca="1" si="263"/>
        <v>0</v>
      </c>
      <c r="G3455" s="138" t="e">
        <f>IF(A3455&lt;&gt;"",IF(AND(#REF!="Padrão",$H$4=#REF!),BDI!$B$17,IF(AND(#REF!="Padrão",$H$4=#REF!),BDI!#REF!,IF(AND(#REF!="Diferenciado",$H$4=#REF!),BDI!$E$17,IF(AND(#REF!="Diferenciado",$H$4=#REF!),BDI!#REF!,IF(#REF!="ZERO",0))))),"")</f>
        <v>#REF!</v>
      </c>
      <c r="H3455" s="139" t="e">
        <f t="shared" ca="1" si="264"/>
        <v>#REF!</v>
      </c>
      <c r="I3455" s="137" t="e">
        <f t="shared" ca="1" si="265"/>
        <v>#REF!</v>
      </c>
      <c r="J3455" s="117"/>
      <c r="K3455" s="116">
        <v>0</v>
      </c>
      <c r="M3455" s="136" t="e">
        <f ca="1">OFFSET(INDEX([1]Composições!I:R,MATCH([1]Orçamentária!I3455,[1]Composições!I:I,0),8),2,0)</f>
        <v>#REF!</v>
      </c>
      <c r="N3455" t="e">
        <v>#REF!</v>
      </c>
      <c r="Q3455" t="e">
        <v>#REF!</v>
      </c>
    </row>
    <row r="3456" spans="1:17" hidden="1" x14ac:dyDescent="0.25">
      <c r="A3456" s="114" t="s">
        <v>7037</v>
      </c>
      <c r="B3456" s="115" t="s">
        <v>7256</v>
      </c>
      <c r="C3456" s="116" t="s">
        <v>16</v>
      </c>
      <c r="D3456" s="116">
        <v>0</v>
      </c>
      <c r="E3456" s="136">
        <f ca="1">OFFSET(INDEX(Composições!A:J,MATCH(Orçamentária!A3456,Composições!A:A,0),8),2,0)</f>
        <v>677.16949999999997</v>
      </c>
      <c r="F3456" s="137">
        <f t="shared" ca="1" si="263"/>
        <v>0</v>
      </c>
      <c r="G3456" s="138" t="e">
        <f>IF(A3456&lt;&gt;"",IF(AND(#REF!="Padrão",$H$4=#REF!),BDI!$B$17,IF(AND(#REF!="Padrão",$H$4=#REF!),BDI!#REF!,IF(AND(#REF!="Diferenciado",$H$4=#REF!),BDI!$E$17,IF(AND(#REF!="Diferenciado",$H$4=#REF!),BDI!#REF!,IF(#REF!="ZERO",0))))),"")</f>
        <v>#REF!</v>
      </c>
      <c r="H3456" s="139" t="e">
        <f t="shared" ca="1" si="264"/>
        <v>#REF!</v>
      </c>
      <c r="I3456" s="137" t="e">
        <f t="shared" ca="1" si="265"/>
        <v>#REF!</v>
      </c>
      <c r="J3456" s="117"/>
      <c r="K3456" s="116">
        <v>0</v>
      </c>
      <c r="M3456" s="136" t="e">
        <f ca="1">OFFSET(INDEX([1]Composições!I:R,MATCH([1]Orçamentária!I3456,[1]Composições!I:I,0),8),2,0)</f>
        <v>#REF!</v>
      </c>
      <c r="N3456" t="e">
        <v>#REF!</v>
      </c>
      <c r="Q3456" t="e">
        <v>#REF!</v>
      </c>
    </row>
    <row r="3457" spans="1:17" hidden="1" x14ac:dyDescent="0.25">
      <c r="A3457" s="114" t="s">
        <v>7038</v>
      </c>
      <c r="B3457" s="115" t="s">
        <v>7257</v>
      </c>
      <c r="C3457" s="116" t="s">
        <v>16</v>
      </c>
      <c r="D3457" s="116">
        <v>0</v>
      </c>
      <c r="E3457" s="136" t="s">
        <v>416</v>
      </c>
      <c r="F3457" s="137" t="str">
        <f t="shared" si="263"/>
        <v/>
      </c>
      <c r="G3457" s="138" t="e">
        <f>IF(A3457&lt;&gt;"",IF(AND(#REF!="Padrão",$H$4=#REF!),BDI!$B$17,IF(AND(#REF!="Padrão",$H$4=#REF!),BDI!#REF!,IF(AND(#REF!="Diferenciado",$H$4=#REF!),BDI!$E$17,IF(AND(#REF!="Diferenciado",$H$4=#REF!),BDI!#REF!,IF(#REF!="ZERO",0))))),"")</f>
        <v>#REF!</v>
      </c>
      <c r="H3457" s="139" t="str">
        <f t="shared" si="264"/>
        <v/>
      </c>
      <c r="I3457" s="137" t="str">
        <f t="shared" si="265"/>
        <v/>
      </c>
      <c r="J3457" s="117"/>
      <c r="K3457" s="116">
        <v>0</v>
      </c>
      <c r="M3457" s="136" t="s">
        <v>416</v>
      </c>
      <c r="N3457" t="e">
        <v>#REF!</v>
      </c>
      <c r="Q3457" t="s">
        <v>416</v>
      </c>
    </row>
    <row r="3458" spans="1:17" hidden="1" x14ac:dyDescent="0.25">
      <c r="A3458" s="114" t="s">
        <v>7039</v>
      </c>
      <c r="B3458" s="115" t="s">
        <v>7258</v>
      </c>
      <c r="C3458" s="116" t="s">
        <v>16</v>
      </c>
      <c r="D3458" s="116">
        <v>0</v>
      </c>
      <c r="E3458" s="136" t="s">
        <v>416</v>
      </c>
      <c r="F3458" s="137" t="str">
        <f t="shared" si="263"/>
        <v/>
      </c>
      <c r="G3458" s="138" t="e">
        <f>IF(A3458&lt;&gt;"",IF(AND(#REF!="Padrão",$H$4=#REF!),BDI!$B$17,IF(AND(#REF!="Padrão",$H$4=#REF!),BDI!#REF!,IF(AND(#REF!="Diferenciado",$H$4=#REF!),BDI!$E$17,IF(AND(#REF!="Diferenciado",$H$4=#REF!),BDI!#REF!,IF(#REF!="ZERO",0))))),"")</f>
        <v>#REF!</v>
      </c>
      <c r="H3458" s="139" t="str">
        <f t="shared" si="264"/>
        <v/>
      </c>
      <c r="I3458" s="137" t="str">
        <f t="shared" si="265"/>
        <v/>
      </c>
      <c r="J3458" s="117"/>
      <c r="K3458" s="116">
        <v>0</v>
      </c>
      <c r="M3458" s="136" t="s">
        <v>416</v>
      </c>
      <c r="N3458" t="e">
        <v>#REF!</v>
      </c>
      <c r="Q3458" t="s">
        <v>416</v>
      </c>
    </row>
    <row r="3459" spans="1:17" hidden="1" x14ac:dyDescent="0.25">
      <c r="A3459" s="114" t="s">
        <v>7040</v>
      </c>
      <c r="B3459" s="115" t="s">
        <v>7261</v>
      </c>
      <c r="C3459" s="116" t="s">
        <v>16</v>
      </c>
      <c r="D3459" s="116">
        <v>0</v>
      </c>
      <c r="E3459" s="136" t="s">
        <v>416</v>
      </c>
      <c r="F3459" s="137" t="str">
        <f t="shared" si="263"/>
        <v/>
      </c>
      <c r="G3459" s="138" t="e">
        <f>IF(A3459&lt;&gt;"",IF(AND(#REF!="Padrão",$H$4=#REF!),BDI!$B$17,IF(AND(#REF!="Padrão",$H$4=#REF!),BDI!#REF!,IF(AND(#REF!="Diferenciado",$H$4=#REF!),BDI!$E$17,IF(AND(#REF!="Diferenciado",$H$4=#REF!),BDI!#REF!,IF(#REF!="ZERO",0))))),"")</f>
        <v>#REF!</v>
      </c>
      <c r="H3459" s="139" t="str">
        <f t="shared" si="264"/>
        <v/>
      </c>
      <c r="I3459" s="137" t="str">
        <f t="shared" si="265"/>
        <v/>
      </c>
      <c r="J3459" s="117"/>
      <c r="K3459" s="116">
        <v>0</v>
      </c>
      <c r="M3459" s="136" t="s">
        <v>416</v>
      </c>
      <c r="N3459" t="e">
        <v>#REF!</v>
      </c>
      <c r="Q3459" t="s">
        <v>416</v>
      </c>
    </row>
    <row r="3460" spans="1:17" hidden="1" x14ac:dyDescent="0.25">
      <c r="A3460" s="114" t="s">
        <v>7041</v>
      </c>
      <c r="B3460" s="115" t="s">
        <v>7042</v>
      </c>
      <c r="C3460" s="116" t="s">
        <v>16</v>
      </c>
      <c r="D3460" s="116">
        <v>0</v>
      </c>
      <c r="E3460" s="136">
        <f ca="1">OFFSET(INDEX(Composições!A:J,MATCH(Orçamentária!A3460,Composições!A:A,0),8),2,0)</f>
        <v>45.884999999999998</v>
      </c>
      <c r="F3460" s="137">
        <f t="shared" ca="1" si="263"/>
        <v>0</v>
      </c>
      <c r="G3460" s="138" t="e">
        <f>IF(A3460&lt;&gt;"",IF(AND(#REF!="Padrão",$H$4=#REF!),BDI!$B$17,IF(AND(#REF!="Padrão",$H$4=#REF!),BDI!#REF!,IF(AND(#REF!="Diferenciado",$H$4=#REF!),BDI!$E$17,IF(AND(#REF!="Diferenciado",$H$4=#REF!),BDI!#REF!,IF(#REF!="ZERO",0))))),"")</f>
        <v>#REF!</v>
      </c>
      <c r="H3460" s="139" t="e">
        <f t="shared" ca="1" si="264"/>
        <v>#REF!</v>
      </c>
      <c r="I3460" s="137" t="e">
        <f t="shared" ca="1" si="265"/>
        <v>#REF!</v>
      </c>
      <c r="J3460" s="117"/>
      <c r="K3460" s="116">
        <v>0</v>
      </c>
      <c r="M3460" s="136" t="e">
        <f ca="1">OFFSET(INDEX([1]Composições!I:R,MATCH([1]Orçamentária!I3460,[1]Composições!I:I,0),8),2,0)</f>
        <v>#REF!</v>
      </c>
      <c r="N3460" t="e">
        <v>#REF!</v>
      </c>
      <c r="Q3460" t="e">
        <v>#REF!</v>
      </c>
    </row>
    <row r="3461" spans="1:17" hidden="1" x14ac:dyDescent="0.25">
      <c r="A3461" s="114" t="s">
        <v>7043</v>
      </c>
      <c r="B3461" s="115" t="s">
        <v>7044</v>
      </c>
      <c r="C3461" s="116" t="s">
        <v>16</v>
      </c>
      <c r="D3461" s="116">
        <v>0</v>
      </c>
      <c r="E3461" s="136">
        <f ca="1">OFFSET(INDEX(Composições!A:J,MATCH(Orçamentária!A3461,Composições!A:A,0),8),2,0)</f>
        <v>13.727499999999999</v>
      </c>
      <c r="F3461" s="137">
        <f t="shared" ca="1" si="263"/>
        <v>0</v>
      </c>
      <c r="G3461" s="138" t="e">
        <f>IF(A3461&lt;&gt;"",IF(AND(#REF!="Padrão",$H$4=#REF!),BDI!$B$17,IF(AND(#REF!="Padrão",$H$4=#REF!),BDI!#REF!,IF(AND(#REF!="Diferenciado",$H$4=#REF!),BDI!$E$17,IF(AND(#REF!="Diferenciado",$H$4=#REF!),BDI!#REF!,IF(#REF!="ZERO",0))))),"")</f>
        <v>#REF!</v>
      </c>
      <c r="H3461" s="139" t="e">
        <f t="shared" ca="1" si="264"/>
        <v>#REF!</v>
      </c>
      <c r="I3461" s="137" t="e">
        <f t="shared" ca="1" si="265"/>
        <v>#REF!</v>
      </c>
      <c r="J3461" s="117"/>
      <c r="K3461" s="116">
        <v>0</v>
      </c>
      <c r="M3461" s="136" t="e">
        <f ca="1">OFFSET(INDEX([1]Composições!I:R,MATCH([1]Orçamentária!I3461,[1]Composições!I:I,0),8),2,0)</f>
        <v>#REF!</v>
      </c>
      <c r="N3461" t="e">
        <v>#REF!</v>
      </c>
      <c r="Q3461" t="e">
        <v>#REF!</v>
      </c>
    </row>
    <row r="3462" spans="1:17" hidden="1" x14ac:dyDescent="0.25">
      <c r="A3462" s="114" t="s">
        <v>7045</v>
      </c>
      <c r="B3462" s="115" t="s">
        <v>7046</v>
      </c>
      <c r="C3462" s="116" t="s">
        <v>16</v>
      </c>
      <c r="D3462" s="116">
        <v>0</v>
      </c>
      <c r="E3462" s="136">
        <f ca="1">OFFSET(INDEX(Composições!A:J,MATCH(Orçamentária!A3462,Composições!A:A,0),8),2,0)</f>
        <v>17.736499999999999</v>
      </c>
      <c r="F3462" s="137">
        <f t="shared" ca="1" si="263"/>
        <v>0</v>
      </c>
      <c r="G3462" s="138" t="e">
        <f>IF(A3462&lt;&gt;"",IF(AND(#REF!="Padrão",$H$4=#REF!),BDI!$B$17,IF(AND(#REF!="Padrão",$H$4=#REF!),BDI!#REF!,IF(AND(#REF!="Diferenciado",$H$4=#REF!),BDI!$E$17,IF(AND(#REF!="Diferenciado",$H$4=#REF!),BDI!#REF!,IF(#REF!="ZERO",0))))),"")</f>
        <v>#REF!</v>
      </c>
      <c r="H3462" s="139" t="e">
        <f t="shared" ca="1" si="264"/>
        <v>#REF!</v>
      </c>
      <c r="I3462" s="137" t="e">
        <f t="shared" ca="1" si="265"/>
        <v>#REF!</v>
      </c>
      <c r="J3462" s="117"/>
      <c r="K3462" s="116">
        <v>0</v>
      </c>
      <c r="M3462" s="136" t="e">
        <f ca="1">OFFSET(INDEX([1]Composições!I:R,MATCH([1]Orçamentária!I3462,[1]Composições!I:I,0),8),2,0)</f>
        <v>#REF!</v>
      </c>
      <c r="N3462" t="e">
        <v>#REF!</v>
      </c>
      <c r="Q3462" t="e">
        <v>#REF!</v>
      </c>
    </row>
    <row r="3463" spans="1:17" hidden="1" x14ac:dyDescent="0.25">
      <c r="A3463" s="114" t="s">
        <v>7047</v>
      </c>
      <c r="B3463" s="115" t="s">
        <v>7262</v>
      </c>
      <c r="C3463" s="116" t="s">
        <v>16</v>
      </c>
      <c r="D3463" s="116">
        <v>0</v>
      </c>
      <c r="E3463" s="136">
        <f ca="1">OFFSET(INDEX(Composições!A:J,MATCH(Orçamentária!A3463,Composições!A:A,0),8),2,0)</f>
        <v>6.8780000000000001</v>
      </c>
      <c r="F3463" s="137">
        <f t="shared" ca="1" si="263"/>
        <v>0</v>
      </c>
      <c r="G3463" s="138" t="e">
        <f>IF(A3463&lt;&gt;"",IF(AND(#REF!="Padrão",$H$4=#REF!),BDI!$B$17,IF(AND(#REF!="Padrão",$H$4=#REF!),BDI!#REF!,IF(AND(#REF!="Diferenciado",$H$4=#REF!),BDI!$E$17,IF(AND(#REF!="Diferenciado",$H$4=#REF!),BDI!#REF!,IF(#REF!="ZERO",0))))),"")</f>
        <v>#REF!</v>
      </c>
      <c r="H3463" s="139" t="e">
        <f t="shared" ca="1" si="264"/>
        <v>#REF!</v>
      </c>
      <c r="I3463" s="137" t="e">
        <f t="shared" ca="1" si="265"/>
        <v>#REF!</v>
      </c>
      <c r="J3463" s="117"/>
      <c r="K3463" s="116">
        <v>0</v>
      </c>
      <c r="M3463" s="136" t="e">
        <f ca="1">OFFSET(INDEX([1]Composições!I:R,MATCH([1]Orçamentária!I3463,[1]Composições!I:I,0),8),2,0)</f>
        <v>#REF!</v>
      </c>
      <c r="N3463" t="e">
        <v>#REF!</v>
      </c>
      <c r="Q3463" t="e">
        <v>#REF!</v>
      </c>
    </row>
    <row r="3464" spans="1:17" hidden="1" x14ac:dyDescent="0.25">
      <c r="A3464" s="114" t="s">
        <v>7048</v>
      </c>
      <c r="B3464" s="115" t="s">
        <v>7263</v>
      </c>
      <c r="C3464" s="116" t="s">
        <v>16</v>
      </c>
      <c r="D3464" s="116">
        <v>0</v>
      </c>
      <c r="E3464" s="136">
        <f ca="1">OFFSET(INDEX(Composições!A:J,MATCH(Orçamentária!A3464,Composições!A:A,0),8),2,0)</f>
        <v>1.159</v>
      </c>
      <c r="F3464" s="137">
        <f t="shared" ca="1" si="263"/>
        <v>0</v>
      </c>
      <c r="G3464" s="138" t="e">
        <f>IF(A3464&lt;&gt;"",IF(AND(#REF!="Padrão",$H$4=#REF!),BDI!$B$17,IF(AND(#REF!="Padrão",$H$4=#REF!),BDI!#REF!,IF(AND(#REF!="Diferenciado",$H$4=#REF!),BDI!$E$17,IF(AND(#REF!="Diferenciado",$H$4=#REF!),BDI!#REF!,IF(#REF!="ZERO",0))))),"")</f>
        <v>#REF!</v>
      </c>
      <c r="H3464" s="139" t="e">
        <f t="shared" ca="1" si="264"/>
        <v>#REF!</v>
      </c>
      <c r="I3464" s="137" t="e">
        <f t="shared" ca="1" si="265"/>
        <v>#REF!</v>
      </c>
      <c r="J3464" s="117"/>
      <c r="K3464" s="116">
        <v>0</v>
      </c>
      <c r="M3464" s="136" t="e">
        <f ca="1">OFFSET(INDEX([1]Composições!I:R,MATCH([1]Orçamentária!I3464,[1]Composições!I:I,0),8),2,0)</f>
        <v>#REF!</v>
      </c>
      <c r="N3464" t="e">
        <v>#REF!</v>
      </c>
      <c r="Q3464" t="e">
        <v>#REF!</v>
      </c>
    </row>
    <row r="3465" spans="1:17" hidden="1" x14ac:dyDescent="0.25">
      <c r="A3465" s="114" t="s">
        <v>7049</v>
      </c>
      <c r="B3465" s="115" t="s">
        <v>7050</v>
      </c>
      <c r="C3465" s="116" t="s">
        <v>16</v>
      </c>
      <c r="D3465" s="116">
        <v>0</v>
      </c>
      <c r="E3465" s="136">
        <f ca="1">OFFSET(INDEX(Composições!A:J,MATCH(Orçamentária!A3465,Composições!A:A,0),8),2,0)</f>
        <v>18.3825</v>
      </c>
      <c r="F3465" s="137">
        <f t="shared" ca="1" si="263"/>
        <v>0</v>
      </c>
      <c r="G3465" s="138" t="e">
        <f>IF(A3465&lt;&gt;"",IF(AND(#REF!="Padrão",$H$4=#REF!),BDI!$B$17,IF(AND(#REF!="Padrão",$H$4=#REF!),BDI!#REF!,IF(AND(#REF!="Diferenciado",$H$4=#REF!),BDI!$E$17,IF(AND(#REF!="Diferenciado",$H$4=#REF!),BDI!#REF!,IF(#REF!="ZERO",0))))),"")</f>
        <v>#REF!</v>
      </c>
      <c r="H3465" s="139" t="e">
        <f t="shared" ca="1" si="264"/>
        <v>#REF!</v>
      </c>
      <c r="I3465" s="137" t="e">
        <f t="shared" ca="1" si="265"/>
        <v>#REF!</v>
      </c>
      <c r="J3465" s="117"/>
      <c r="K3465" s="116">
        <v>0</v>
      </c>
      <c r="M3465" s="136" t="e">
        <f ca="1">OFFSET(INDEX([1]Composições!I:R,MATCH([1]Orçamentária!I3465,[1]Composições!I:I,0),8),2,0)</f>
        <v>#REF!</v>
      </c>
      <c r="N3465" t="e">
        <v>#REF!</v>
      </c>
      <c r="Q3465" t="e">
        <v>#REF!</v>
      </c>
    </row>
    <row r="3466" spans="1:17" hidden="1" x14ac:dyDescent="0.25">
      <c r="A3466" s="114" t="s">
        <v>7051</v>
      </c>
      <c r="B3466" s="115" t="s">
        <v>7052</v>
      </c>
      <c r="C3466" s="116" t="s">
        <v>16</v>
      </c>
      <c r="D3466" s="116">
        <v>0</v>
      </c>
      <c r="E3466" s="136">
        <f ca="1">OFFSET(INDEX(Composições!A:J,MATCH(Orçamentária!A3466,Composições!A:A,0),8),2,0)</f>
        <v>46.074999999999996</v>
      </c>
      <c r="F3466" s="137">
        <f t="shared" ca="1" si="263"/>
        <v>0</v>
      </c>
      <c r="G3466" s="138" t="e">
        <f>IF(A3466&lt;&gt;"",IF(AND(#REF!="Padrão",$H$4=#REF!),BDI!$B$17,IF(AND(#REF!="Padrão",$H$4=#REF!),BDI!#REF!,IF(AND(#REF!="Diferenciado",$H$4=#REF!),BDI!$E$17,IF(AND(#REF!="Diferenciado",$H$4=#REF!),BDI!#REF!,IF(#REF!="ZERO",0))))),"")</f>
        <v>#REF!</v>
      </c>
      <c r="H3466" s="139" t="e">
        <f t="shared" ca="1" si="264"/>
        <v>#REF!</v>
      </c>
      <c r="I3466" s="137" t="e">
        <f t="shared" ca="1" si="265"/>
        <v>#REF!</v>
      </c>
      <c r="J3466" s="117"/>
      <c r="K3466" s="116">
        <v>0</v>
      </c>
      <c r="M3466" s="136" t="e">
        <f ca="1">OFFSET(INDEX([1]Composições!I:R,MATCH([1]Orçamentária!I3466,[1]Composições!I:I,0),8),2,0)</f>
        <v>#REF!</v>
      </c>
      <c r="N3466" t="e">
        <v>#REF!</v>
      </c>
      <c r="Q3466" t="e">
        <v>#REF!</v>
      </c>
    </row>
    <row r="3467" spans="1:17" hidden="1" x14ac:dyDescent="0.25">
      <c r="A3467" s="114" t="s">
        <v>7053</v>
      </c>
      <c r="B3467" s="115" t="s">
        <v>7054</v>
      </c>
      <c r="C3467" s="116" t="s">
        <v>16</v>
      </c>
      <c r="D3467" s="116">
        <v>0</v>
      </c>
      <c r="E3467" s="136" t="s">
        <v>416</v>
      </c>
      <c r="F3467" s="137" t="str">
        <f t="shared" si="263"/>
        <v/>
      </c>
      <c r="G3467" s="138" t="e">
        <f>IF(A3467&lt;&gt;"",IF(AND(#REF!="Padrão",$H$4=#REF!),BDI!$B$17,IF(AND(#REF!="Padrão",$H$4=#REF!),BDI!#REF!,IF(AND(#REF!="Diferenciado",$H$4=#REF!),BDI!$E$17,IF(AND(#REF!="Diferenciado",$H$4=#REF!),BDI!#REF!,IF(#REF!="ZERO",0))))),"")</f>
        <v>#REF!</v>
      </c>
      <c r="H3467" s="139" t="str">
        <f t="shared" si="264"/>
        <v/>
      </c>
      <c r="I3467" s="137" t="str">
        <f t="shared" si="265"/>
        <v/>
      </c>
      <c r="J3467" s="117"/>
      <c r="K3467" s="116">
        <v>0</v>
      </c>
      <c r="M3467" s="136" t="s">
        <v>416</v>
      </c>
      <c r="N3467" t="e">
        <v>#REF!</v>
      </c>
      <c r="Q3467" t="s">
        <v>416</v>
      </c>
    </row>
    <row r="3468" spans="1:17" hidden="1" x14ac:dyDescent="0.25">
      <c r="A3468" s="114" t="s">
        <v>7055</v>
      </c>
      <c r="B3468" s="115" t="s">
        <v>7264</v>
      </c>
      <c r="C3468" s="116" t="s">
        <v>16</v>
      </c>
      <c r="D3468" s="116">
        <v>0</v>
      </c>
      <c r="E3468" s="136">
        <f ca="1">OFFSET(INDEX(Composições!A:J,MATCH(Orçamentária!A3468,Composições!A:A,0),8),2,0)</f>
        <v>6.9349999999999996</v>
      </c>
      <c r="F3468" s="137">
        <f t="shared" ca="1" si="263"/>
        <v>0</v>
      </c>
      <c r="G3468" s="138" t="e">
        <f>IF(A3468&lt;&gt;"",IF(AND(#REF!="Padrão",$H$4=#REF!),BDI!$B$17,IF(AND(#REF!="Padrão",$H$4=#REF!),BDI!#REF!,IF(AND(#REF!="Diferenciado",$H$4=#REF!),BDI!$E$17,IF(AND(#REF!="Diferenciado",$H$4=#REF!),BDI!#REF!,IF(#REF!="ZERO",0))))),"")</f>
        <v>#REF!</v>
      </c>
      <c r="H3468" s="139" t="e">
        <f t="shared" ca="1" si="264"/>
        <v>#REF!</v>
      </c>
      <c r="I3468" s="137" t="e">
        <f t="shared" ca="1" si="265"/>
        <v>#REF!</v>
      </c>
      <c r="J3468" s="117"/>
      <c r="K3468" s="116">
        <v>0</v>
      </c>
      <c r="M3468" s="136" t="e">
        <f ca="1">OFFSET(INDEX([1]Composições!I:R,MATCH([1]Orçamentária!I3468,[1]Composições!I:I,0),8),2,0)</f>
        <v>#REF!</v>
      </c>
      <c r="N3468" t="e">
        <v>#REF!</v>
      </c>
      <c r="Q3468" t="e">
        <v>#REF!</v>
      </c>
    </row>
    <row r="3469" spans="1:17" hidden="1" x14ac:dyDescent="0.25">
      <c r="A3469" s="114" t="s">
        <v>7056</v>
      </c>
      <c r="B3469" s="115" t="s">
        <v>7265</v>
      </c>
      <c r="C3469" s="116" t="s">
        <v>16</v>
      </c>
      <c r="D3469" s="116">
        <v>0</v>
      </c>
      <c r="E3469" s="136">
        <f ca="1">OFFSET(INDEX(Composições!A:J,MATCH(Orçamentária!A3469,Composições!A:A,0),8),2,0)</f>
        <v>10.250499999999999</v>
      </c>
      <c r="F3469" s="137">
        <f t="shared" ca="1" si="263"/>
        <v>0</v>
      </c>
      <c r="G3469" s="138" t="e">
        <f>IF(A3469&lt;&gt;"",IF(AND(#REF!="Padrão",$H$4=#REF!),BDI!$B$17,IF(AND(#REF!="Padrão",$H$4=#REF!),BDI!#REF!,IF(AND(#REF!="Diferenciado",$H$4=#REF!),BDI!$E$17,IF(AND(#REF!="Diferenciado",$H$4=#REF!),BDI!#REF!,IF(#REF!="ZERO",0))))),"")</f>
        <v>#REF!</v>
      </c>
      <c r="H3469" s="139" t="e">
        <f t="shared" ca="1" si="264"/>
        <v>#REF!</v>
      </c>
      <c r="I3469" s="137" t="e">
        <f t="shared" ca="1" si="265"/>
        <v>#REF!</v>
      </c>
      <c r="J3469" s="117"/>
      <c r="K3469" s="116">
        <v>0</v>
      </c>
      <c r="M3469" s="136" t="e">
        <f ca="1">OFFSET(INDEX([1]Composições!I:R,MATCH([1]Orçamentária!I3469,[1]Composições!I:I,0),8),2,0)</f>
        <v>#REF!</v>
      </c>
      <c r="N3469" t="e">
        <v>#REF!</v>
      </c>
      <c r="Q3469" t="e">
        <v>#REF!</v>
      </c>
    </row>
    <row r="3470" spans="1:17" hidden="1" x14ac:dyDescent="0.25">
      <c r="A3470" s="114" t="s">
        <v>7057</v>
      </c>
      <c r="B3470" s="115" t="s">
        <v>7058</v>
      </c>
      <c r="C3470" s="116" t="s">
        <v>16</v>
      </c>
      <c r="D3470" s="116">
        <v>0</v>
      </c>
      <c r="E3470" s="136" t="s">
        <v>416</v>
      </c>
      <c r="F3470" s="137" t="str">
        <f t="shared" si="263"/>
        <v/>
      </c>
      <c r="G3470" s="138" t="e">
        <f>IF(A3470&lt;&gt;"",IF(AND(#REF!="Padrão",$H$4=#REF!),BDI!$B$17,IF(AND(#REF!="Padrão",$H$4=#REF!),BDI!#REF!,IF(AND(#REF!="Diferenciado",$H$4=#REF!),BDI!$E$17,IF(AND(#REF!="Diferenciado",$H$4=#REF!),BDI!#REF!,IF(#REF!="ZERO",0))))),"")</f>
        <v>#REF!</v>
      </c>
      <c r="H3470" s="139" t="str">
        <f t="shared" si="264"/>
        <v/>
      </c>
      <c r="I3470" s="137" t="str">
        <f t="shared" si="265"/>
        <v/>
      </c>
      <c r="J3470" s="117"/>
      <c r="K3470" s="116">
        <v>0</v>
      </c>
      <c r="M3470" s="136" t="s">
        <v>416</v>
      </c>
      <c r="N3470" t="e">
        <v>#REF!</v>
      </c>
      <c r="Q3470" t="s">
        <v>416</v>
      </c>
    </row>
    <row r="3471" spans="1:17" hidden="1" x14ac:dyDescent="0.25">
      <c r="A3471" s="114" t="s">
        <v>7059</v>
      </c>
      <c r="B3471" s="115" t="s">
        <v>7060</v>
      </c>
      <c r="C3471" s="116" t="s">
        <v>16</v>
      </c>
      <c r="D3471" s="116">
        <v>0</v>
      </c>
      <c r="E3471" s="136" t="s">
        <v>416</v>
      </c>
      <c r="F3471" s="137" t="str">
        <f>IF(ISNUMBER(E3471),D3471*E3471,"")</f>
        <v/>
      </c>
      <c r="G3471" s="138" t="e">
        <f>IF(A3471&lt;&gt;"",IF(AND(#REF!="Padrão",$H$4=#REF!),BDI!$B$17,IF(AND(#REF!="Padrão",$H$4=#REF!),BDI!#REF!,IF(AND(#REF!="Diferenciado",$H$4=#REF!),BDI!$E$17,IF(AND(#REF!="Diferenciado",$H$4=#REF!),BDI!#REF!,IF(#REF!="ZERO",0))))),"")</f>
        <v>#REF!</v>
      </c>
      <c r="H3471" s="139" t="str">
        <f>IF(ISNUMBER(E3471),ROUND(E3471*(1+G3471),2),"")</f>
        <v/>
      </c>
      <c r="I3471" s="137" t="str">
        <f>IF(ISNUMBER(E3471),ROUND(H3471*D3471,2),"")</f>
        <v/>
      </c>
      <c r="J3471" s="117"/>
      <c r="K3471" s="116">
        <v>0</v>
      </c>
      <c r="M3471" s="136" t="s">
        <v>416</v>
      </c>
      <c r="N3471" t="e">
        <v>#REF!</v>
      </c>
      <c r="Q3471" t="s">
        <v>416</v>
      </c>
    </row>
    <row r="3472" spans="1:17" hidden="1" x14ac:dyDescent="0.25">
      <c r="A3472" s="114" t="s">
        <v>7061</v>
      </c>
      <c r="B3472" s="115" t="s">
        <v>7266</v>
      </c>
      <c r="C3472" s="116" t="s">
        <v>16</v>
      </c>
      <c r="D3472" s="116">
        <v>0</v>
      </c>
      <c r="E3472" s="136" t="s">
        <v>416</v>
      </c>
      <c r="F3472" s="137" t="str">
        <f>IF(ISNUMBER(E3472),D3472*E3472,"")</f>
        <v/>
      </c>
      <c r="G3472" s="138" t="e">
        <f>IF(A3472&lt;&gt;"",IF(AND(#REF!="Padrão",$H$4=#REF!),BDI!$B$17,IF(AND(#REF!="Padrão",$H$4=#REF!),BDI!#REF!,IF(AND(#REF!="Diferenciado",$H$4=#REF!),BDI!$E$17,IF(AND(#REF!="Diferenciado",$H$4=#REF!),BDI!#REF!,IF(#REF!="ZERO",0))))),"")</f>
        <v>#REF!</v>
      </c>
      <c r="H3472" s="139" t="str">
        <f>IF(ISNUMBER(E3472),ROUND(E3472*(1+G3472),2),"")</f>
        <v/>
      </c>
      <c r="I3472" s="137" t="str">
        <f>IF(ISNUMBER(E3472),ROUND(H3472*D3472,2),"")</f>
        <v/>
      </c>
      <c r="J3472" s="117"/>
      <c r="K3472" s="116">
        <v>0</v>
      </c>
      <c r="M3472" s="136" t="s">
        <v>416</v>
      </c>
      <c r="N3472" t="e">
        <v>#REF!</v>
      </c>
      <c r="Q3472" t="s">
        <v>416</v>
      </c>
    </row>
    <row r="3473" spans="1:19" hidden="1" x14ac:dyDescent="0.25">
      <c r="A3473" s="114" t="s">
        <v>7062</v>
      </c>
      <c r="B3473" s="115" t="s">
        <v>7267</v>
      </c>
      <c r="C3473" s="116" t="s">
        <v>16</v>
      </c>
      <c r="D3473" s="116">
        <v>0</v>
      </c>
      <c r="E3473" s="136" t="s">
        <v>416</v>
      </c>
      <c r="F3473" s="137" t="str">
        <f>IF(ISNUMBER(E3473),D3473*E3473,"")</f>
        <v/>
      </c>
      <c r="G3473" s="138" t="e">
        <f>IF(A3473&lt;&gt;"",IF(AND(#REF!="Padrão",$H$4=#REF!),BDI!$B$17,IF(AND(#REF!="Padrão",$H$4=#REF!),BDI!#REF!,IF(AND(#REF!="Diferenciado",$H$4=#REF!),BDI!$E$17,IF(AND(#REF!="Diferenciado",$H$4=#REF!),BDI!#REF!,IF(#REF!="ZERO",0))))),"")</f>
        <v>#REF!</v>
      </c>
      <c r="H3473" s="139" t="str">
        <f>IF(ISNUMBER(E3473),ROUND(E3473*(1+G3473),2),"")</f>
        <v/>
      </c>
      <c r="I3473" s="137" t="str">
        <f>IF(ISNUMBER(E3473),ROUND(H3473*D3473,2),"")</f>
        <v/>
      </c>
      <c r="J3473" s="117"/>
      <c r="K3473" s="116">
        <v>0</v>
      </c>
      <c r="M3473" s="136" t="s">
        <v>416</v>
      </c>
      <c r="N3473" t="e">
        <v>#REF!</v>
      </c>
      <c r="Q3473" t="s">
        <v>416</v>
      </c>
    </row>
    <row r="3474" spans="1:19" hidden="1" x14ac:dyDescent="0.25">
      <c r="A3474" s="114" t="s">
        <v>7063</v>
      </c>
      <c r="B3474" s="115" t="s">
        <v>7268</v>
      </c>
      <c r="C3474" s="116" t="s">
        <v>16</v>
      </c>
      <c r="D3474" s="116">
        <v>0</v>
      </c>
      <c r="E3474" s="136" t="s">
        <v>416</v>
      </c>
      <c r="F3474" s="137" t="str">
        <f>IF(ISNUMBER(E3474),D3474*E3474,"")</f>
        <v/>
      </c>
      <c r="G3474" s="138" t="e">
        <f>IF(A3474&lt;&gt;"",IF(AND(#REF!="Padrão",$H$4=#REF!),BDI!$B$17,IF(AND(#REF!="Padrão",$H$4=#REF!),BDI!#REF!,IF(AND(#REF!="Diferenciado",$H$4=#REF!),BDI!$E$17,IF(AND(#REF!="Diferenciado",$H$4=#REF!),BDI!#REF!,IF(#REF!="ZERO",0))))),"")</f>
        <v>#REF!</v>
      </c>
      <c r="H3474" s="139" t="str">
        <f>IF(ISNUMBER(E3474),ROUND(E3474*(1+G3474),2),"")</f>
        <v/>
      </c>
      <c r="I3474" s="137" t="str">
        <f>IF(ISNUMBER(E3474),ROUND(H3474*D3474,2),"")</f>
        <v/>
      </c>
      <c r="J3474" s="117"/>
      <c r="K3474" s="116">
        <v>0</v>
      </c>
      <c r="M3474" s="136" t="s">
        <v>416</v>
      </c>
      <c r="N3474" t="e">
        <v>#REF!</v>
      </c>
      <c r="Q3474" t="s">
        <v>416</v>
      </c>
    </row>
    <row r="3475" spans="1:19" hidden="1" x14ac:dyDescent="0.25">
      <c r="A3475" s="114" t="s">
        <v>7064</v>
      </c>
      <c r="B3475" s="115" t="s">
        <v>7065</v>
      </c>
      <c r="C3475" s="116" t="s">
        <v>16</v>
      </c>
      <c r="D3475" s="116">
        <v>0</v>
      </c>
      <c r="E3475" s="136" t="s">
        <v>416</v>
      </c>
      <c r="F3475" s="137" t="str">
        <f>IF(ISNUMBER(E3475),D3475*E3475,"")</f>
        <v/>
      </c>
      <c r="G3475" s="138" t="e">
        <f>IF(A3475&lt;&gt;"",IF(AND(#REF!="Padrão",$H$4=#REF!),BDI!$B$17,IF(AND(#REF!="Padrão",$H$4=#REF!),BDI!#REF!,IF(AND(#REF!="Diferenciado",$H$4=#REF!),BDI!$E$17,IF(AND(#REF!="Diferenciado",$H$4=#REF!),BDI!#REF!,IF(#REF!="ZERO",0))))),"")</f>
        <v>#REF!</v>
      </c>
      <c r="H3475" s="139" t="str">
        <f>IF(ISNUMBER(E3475),ROUND(E3475*(1+G3475),2),"")</f>
        <v/>
      </c>
      <c r="I3475" s="137" t="str">
        <f>IF(ISNUMBER(E3475),ROUND(H3475*D3475,2),"")</f>
        <v/>
      </c>
      <c r="J3475" s="117"/>
      <c r="K3475" s="116">
        <v>0</v>
      </c>
      <c r="M3475" s="136" t="s">
        <v>416</v>
      </c>
      <c r="N3475" t="e">
        <v>#REF!</v>
      </c>
      <c r="Q3475" t="s">
        <v>416</v>
      </c>
    </row>
    <row r="3476" spans="1:19" ht="25.5" hidden="1" x14ac:dyDescent="0.25">
      <c r="A3476" s="114" t="s">
        <v>7066</v>
      </c>
      <c r="B3476" s="115" t="s">
        <v>7942</v>
      </c>
      <c r="C3476" s="116" t="s">
        <v>69</v>
      </c>
      <c r="D3476" s="116">
        <v>0</v>
      </c>
      <c r="E3476" s="136" t="s">
        <v>416</v>
      </c>
      <c r="F3476" s="137" t="str">
        <f t="shared" ref="F3476:F3486" si="266">IF(ISNUMBER(E3476),D3476*E3476,"")</f>
        <v/>
      </c>
      <c r="G3476" s="138" t="e">
        <f>IF(A3476&lt;&gt;"",IF(AND(#REF!="Padrão",$H$4=#REF!),BDI!$B$17,IF(AND(#REF!="Padrão",$H$4=#REF!),BDI!#REF!,IF(AND(#REF!="Diferenciado",$H$4=#REF!),BDI!$E$17,IF(AND(#REF!="Diferenciado",$H$4=#REF!),BDI!#REF!,IF(#REF!="ZERO",0))))),"")</f>
        <v>#REF!</v>
      </c>
      <c r="H3476" s="139" t="str">
        <f t="shared" ref="H3476:H3486" si="267">IF(ISNUMBER(E3476),ROUND(E3476*(1+G3476),2),"")</f>
        <v/>
      </c>
      <c r="I3476" s="137" t="str">
        <f t="shared" ref="I3476:I3486" si="268">IF(ISNUMBER(E3476),ROUND(H3476*D3476,2),"")</f>
        <v/>
      </c>
      <c r="J3476" s="117"/>
      <c r="K3476" s="116">
        <v>0</v>
      </c>
      <c r="M3476" s="136" t="s">
        <v>416</v>
      </c>
      <c r="N3476" t="e">
        <v>#REF!</v>
      </c>
      <c r="Q3476" t="s">
        <v>416</v>
      </c>
    </row>
    <row r="3477" spans="1:19" hidden="1" x14ac:dyDescent="0.25">
      <c r="A3477" s="114" t="s">
        <v>7067</v>
      </c>
      <c r="B3477" s="115" t="s">
        <v>7943</v>
      </c>
      <c r="C3477" s="116" t="s">
        <v>2177</v>
      </c>
      <c r="D3477" s="116">
        <v>0</v>
      </c>
      <c r="E3477" s="136" t="s">
        <v>416</v>
      </c>
      <c r="F3477" s="137" t="str">
        <f t="shared" si="266"/>
        <v/>
      </c>
      <c r="G3477" s="138" t="e">
        <f>IF(A3477&lt;&gt;"",IF(AND(#REF!="Padrão",$H$4=#REF!),BDI!$B$17,IF(AND(#REF!="Padrão",$H$4=#REF!),BDI!#REF!,IF(AND(#REF!="Diferenciado",$H$4=#REF!),BDI!$E$17,IF(AND(#REF!="Diferenciado",$H$4=#REF!),BDI!#REF!,IF(#REF!="ZERO",0))))),"")</f>
        <v>#REF!</v>
      </c>
      <c r="H3477" s="139" t="str">
        <f t="shared" si="267"/>
        <v/>
      </c>
      <c r="I3477" s="137" t="str">
        <f t="shared" si="268"/>
        <v/>
      </c>
      <c r="J3477" s="117"/>
      <c r="K3477" s="116">
        <v>0</v>
      </c>
      <c r="M3477" s="136" t="s">
        <v>416</v>
      </c>
      <c r="N3477" t="e">
        <v>#REF!</v>
      </c>
      <c r="Q3477" t="s">
        <v>416</v>
      </c>
    </row>
    <row r="3478" spans="1:19" hidden="1" x14ac:dyDescent="0.25">
      <c r="A3478" s="114" t="s">
        <v>7068</v>
      </c>
      <c r="B3478" s="115" t="s">
        <v>7949</v>
      </c>
      <c r="C3478" s="116" t="s">
        <v>16</v>
      </c>
      <c r="D3478" s="116">
        <v>0</v>
      </c>
      <c r="E3478" s="136" t="s">
        <v>416</v>
      </c>
      <c r="F3478" s="137" t="str">
        <f t="shared" si="266"/>
        <v/>
      </c>
      <c r="G3478" s="138" t="e">
        <f>IF(A3478&lt;&gt;"",IF(AND(#REF!="Padrão",$H$4=#REF!),BDI!$B$17,IF(AND(#REF!="Padrão",$H$4=#REF!),BDI!#REF!,IF(AND(#REF!="Diferenciado",$H$4=#REF!),BDI!$E$17,IF(AND(#REF!="Diferenciado",$H$4=#REF!),BDI!#REF!,IF(#REF!="ZERO",0))))),"")</f>
        <v>#REF!</v>
      </c>
      <c r="H3478" s="139" t="str">
        <f t="shared" si="267"/>
        <v/>
      </c>
      <c r="I3478" s="137" t="str">
        <f t="shared" si="268"/>
        <v/>
      </c>
      <c r="J3478" s="117"/>
      <c r="K3478" s="116">
        <v>0</v>
      </c>
      <c r="M3478" s="136" t="s">
        <v>416</v>
      </c>
      <c r="N3478" t="e">
        <v>#REF!</v>
      </c>
      <c r="Q3478" t="s">
        <v>416</v>
      </c>
    </row>
    <row r="3479" spans="1:19" hidden="1" x14ac:dyDescent="0.25">
      <c r="A3479" s="114" t="s">
        <v>7069</v>
      </c>
      <c r="B3479" s="115" t="s">
        <v>7950</v>
      </c>
      <c r="C3479" s="116" t="s">
        <v>70</v>
      </c>
      <c r="D3479" s="116">
        <v>0</v>
      </c>
      <c r="E3479" s="136">
        <f ca="1">OFFSET(INDEX(Composições!A:J,MATCH(Orçamentária!A3479,Composições!A:A,0),8),2,0)</f>
        <v>248.84394999999998</v>
      </c>
      <c r="F3479" s="137">
        <f t="shared" ca="1" si="266"/>
        <v>0</v>
      </c>
      <c r="G3479" s="138" t="e">
        <f>IF(A3479&lt;&gt;"",IF(AND(#REF!="Padrão",$H$4=#REF!),BDI!$B$17,IF(AND(#REF!="Padrão",$H$4=#REF!),BDI!#REF!,IF(AND(#REF!="Diferenciado",$H$4=#REF!),BDI!$E$17,IF(AND(#REF!="Diferenciado",$H$4=#REF!),BDI!#REF!,IF(#REF!="ZERO",0))))),"")</f>
        <v>#REF!</v>
      </c>
      <c r="H3479" s="139" t="e">
        <f t="shared" ca="1" si="267"/>
        <v>#REF!</v>
      </c>
      <c r="I3479" s="137" t="e">
        <f t="shared" ca="1" si="268"/>
        <v>#REF!</v>
      </c>
      <c r="J3479" s="117"/>
      <c r="K3479" s="116">
        <v>0</v>
      </c>
      <c r="M3479" s="136" t="e">
        <f ca="1">OFFSET(INDEX([1]Composições!I:R,MATCH([1]Orçamentária!I3479,[1]Composições!I:I,0),8),2,0)</f>
        <v>#REF!</v>
      </c>
      <c r="N3479" t="e">
        <v>#REF!</v>
      </c>
      <c r="Q3479" t="e">
        <v>#REF!</v>
      </c>
    </row>
    <row r="3480" spans="1:19" hidden="1" x14ac:dyDescent="0.25">
      <c r="A3480" s="114" t="s">
        <v>7070</v>
      </c>
      <c r="B3480" s="115" t="s">
        <v>7951</v>
      </c>
      <c r="C3480" s="116" t="s">
        <v>70</v>
      </c>
      <c r="D3480" s="116">
        <v>0</v>
      </c>
      <c r="E3480" s="136">
        <f ca="1">OFFSET(INDEX(Composições!A:J,MATCH(Orçamentária!A3480,Composições!A:A,0),8),2,0)</f>
        <v>248.84394999999998</v>
      </c>
      <c r="F3480" s="137">
        <f t="shared" ca="1" si="266"/>
        <v>0</v>
      </c>
      <c r="G3480" s="138" t="e">
        <f>IF(A3480&lt;&gt;"",IF(AND(#REF!="Padrão",$H$4=#REF!),BDI!$B$17,IF(AND(#REF!="Padrão",$H$4=#REF!),BDI!#REF!,IF(AND(#REF!="Diferenciado",$H$4=#REF!),BDI!$E$17,IF(AND(#REF!="Diferenciado",$H$4=#REF!),BDI!#REF!,IF(#REF!="ZERO",0))))),"")</f>
        <v>#REF!</v>
      </c>
      <c r="H3480" s="139" t="e">
        <f t="shared" ca="1" si="267"/>
        <v>#REF!</v>
      </c>
      <c r="I3480" s="137" t="e">
        <f t="shared" ca="1" si="268"/>
        <v>#REF!</v>
      </c>
      <c r="J3480" s="117"/>
      <c r="K3480" s="116">
        <v>0</v>
      </c>
      <c r="M3480" s="136" t="e">
        <f ca="1">OFFSET(INDEX([1]Composições!I:R,MATCH([1]Orçamentária!I3480,[1]Composições!I:I,0),8),2,0)</f>
        <v>#REF!</v>
      </c>
      <c r="N3480" t="e">
        <v>#REF!</v>
      </c>
      <c r="Q3480" t="e">
        <v>#REF!</v>
      </c>
    </row>
    <row r="3481" spans="1:19" hidden="1" x14ac:dyDescent="0.25">
      <c r="A3481" s="114" t="s">
        <v>7071</v>
      </c>
      <c r="B3481" s="115" t="s">
        <v>7944</v>
      </c>
      <c r="C3481" s="116" t="s">
        <v>70</v>
      </c>
      <c r="D3481" s="116">
        <v>0</v>
      </c>
      <c r="E3481" s="136" t="s">
        <v>416</v>
      </c>
      <c r="F3481" s="137" t="str">
        <f t="shared" si="266"/>
        <v/>
      </c>
      <c r="G3481" s="138" t="e">
        <f>IF(A3481&lt;&gt;"",IF(AND(#REF!="Padrão",$H$4=#REF!),BDI!$B$17,IF(AND(#REF!="Padrão",$H$4=#REF!),BDI!#REF!,IF(AND(#REF!="Diferenciado",$H$4=#REF!),BDI!$E$17,IF(AND(#REF!="Diferenciado",$H$4=#REF!),BDI!#REF!,IF(#REF!="ZERO",0))))),"")</f>
        <v>#REF!</v>
      </c>
      <c r="H3481" s="139" t="str">
        <f t="shared" si="267"/>
        <v/>
      </c>
      <c r="I3481" s="137" t="str">
        <f t="shared" si="268"/>
        <v/>
      </c>
      <c r="J3481" s="117"/>
      <c r="K3481" s="116">
        <v>0</v>
      </c>
      <c r="M3481" s="136" t="s">
        <v>416</v>
      </c>
      <c r="N3481" t="e">
        <v>#REF!</v>
      </c>
      <c r="Q3481" t="s">
        <v>416</v>
      </c>
    </row>
    <row r="3482" spans="1:19" hidden="1" x14ac:dyDescent="0.25">
      <c r="A3482" s="114" t="s">
        <v>7072</v>
      </c>
      <c r="B3482" s="115" t="s">
        <v>7945</v>
      </c>
      <c r="C3482" s="116" t="s">
        <v>70</v>
      </c>
      <c r="D3482" s="116">
        <v>0</v>
      </c>
      <c r="E3482" s="136" t="s">
        <v>416</v>
      </c>
      <c r="F3482" s="137" t="str">
        <f t="shared" si="266"/>
        <v/>
      </c>
      <c r="G3482" s="138" t="e">
        <f>IF(A3482&lt;&gt;"",IF(AND(#REF!="Padrão",$H$4=#REF!),BDI!$B$17,IF(AND(#REF!="Padrão",$H$4=#REF!),BDI!#REF!,IF(AND(#REF!="Diferenciado",$H$4=#REF!),BDI!$E$17,IF(AND(#REF!="Diferenciado",$H$4=#REF!),BDI!#REF!,IF(#REF!="ZERO",0))))),"")</f>
        <v>#REF!</v>
      </c>
      <c r="H3482" s="139" t="str">
        <f t="shared" si="267"/>
        <v/>
      </c>
      <c r="I3482" s="137" t="str">
        <f t="shared" si="268"/>
        <v/>
      </c>
      <c r="J3482" s="117"/>
      <c r="K3482" s="116">
        <v>0</v>
      </c>
      <c r="M3482" s="136" t="s">
        <v>416</v>
      </c>
      <c r="N3482" t="e">
        <v>#REF!</v>
      </c>
      <c r="Q3482" t="s">
        <v>416</v>
      </c>
    </row>
    <row r="3483" spans="1:19" hidden="1" x14ac:dyDescent="0.25">
      <c r="A3483" s="114" t="s">
        <v>7073</v>
      </c>
      <c r="B3483" s="115" t="s">
        <v>7946</v>
      </c>
      <c r="C3483" s="116" t="s">
        <v>70</v>
      </c>
      <c r="D3483" s="116">
        <v>0</v>
      </c>
      <c r="E3483" s="136">
        <f ca="1">OFFSET(INDEX(Composições!A:J,MATCH(Orçamentária!A3483,Composições!A:A,0),8),2,0)</f>
        <v>133.75771362031705</v>
      </c>
      <c r="F3483" s="137">
        <f t="shared" ca="1" si="266"/>
        <v>0</v>
      </c>
      <c r="G3483" s="138" t="e">
        <f>IF(A3483&lt;&gt;"",IF(AND(#REF!="Padrão",$H$4=#REF!),BDI!$B$17,IF(AND(#REF!="Padrão",$H$4=#REF!),BDI!#REF!,IF(AND(#REF!="Diferenciado",$H$4=#REF!),BDI!$E$17,IF(AND(#REF!="Diferenciado",$H$4=#REF!),BDI!#REF!,IF(#REF!="ZERO",0))))),"")</f>
        <v>#REF!</v>
      </c>
      <c r="H3483" s="139" t="e">
        <f t="shared" ca="1" si="267"/>
        <v>#REF!</v>
      </c>
      <c r="I3483" s="137" t="e">
        <f t="shared" ca="1" si="268"/>
        <v>#REF!</v>
      </c>
      <c r="J3483" s="117"/>
      <c r="K3483" s="116">
        <v>0</v>
      </c>
      <c r="M3483" s="136" t="e">
        <f ca="1">OFFSET(INDEX([1]Composições!I:R,MATCH([1]Orçamentária!I3483,[1]Composições!I:I,0),8),2,0)</f>
        <v>#REF!</v>
      </c>
      <c r="N3483" t="e">
        <v>#REF!</v>
      </c>
      <c r="Q3483" t="e">
        <v>#REF!</v>
      </c>
    </row>
    <row r="3484" spans="1:19" hidden="1" x14ac:dyDescent="0.25">
      <c r="A3484" s="114" t="s">
        <v>7074</v>
      </c>
      <c r="B3484" s="115" t="s">
        <v>7952</v>
      </c>
      <c r="C3484" s="116" t="s">
        <v>16</v>
      </c>
      <c r="D3484" s="116">
        <v>0</v>
      </c>
      <c r="E3484" s="136" t="s">
        <v>416</v>
      </c>
      <c r="F3484" s="137" t="str">
        <f t="shared" si="266"/>
        <v/>
      </c>
      <c r="G3484" s="138" t="e">
        <f>IF(A3484&lt;&gt;"",IF(AND(#REF!="Padrão",$H$4=#REF!),BDI!$B$17,IF(AND(#REF!="Padrão",$H$4=#REF!),BDI!#REF!,IF(AND(#REF!="Diferenciado",$H$4=#REF!),BDI!$E$17,IF(AND(#REF!="Diferenciado",$H$4=#REF!),BDI!#REF!,IF(#REF!="ZERO",0))))),"")</f>
        <v>#REF!</v>
      </c>
      <c r="H3484" s="139" t="str">
        <f t="shared" si="267"/>
        <v/>
      </c>
      <c r="I3484" s="137" t="str">
        <f t="shared" si="268"/>
        <v/>
      </c>
      <c r="J3484" s="117"/>
      <c r="K3484" s="116">
        <v>0</v>
      </c>
      <c r="M3484" s="136" t="s">
        <v>416</v>
      </c>
      <c r="N3484" t="e">
        <v>#REF!</v>
      </c>
      <c r="Q3484" t="s">
        <v>416</v>
      </c>
    </row>
    <row r="3485" spans="1:19" hidden="1" x14ac:dyDescent="0.25">
      <c r="A3485" s="114" t="s">
        <v>7075</v>
      </c>
      <c r="B3485" s="115" t="s">
        <v>7947</v>
      </c>
      <c r="C3485" s="116" t="s">
        <v>80</v>
      </c>
      <c r="D3485" s="116">
        <v>0</v>
      </c>
      <c r="E3485" s="136">
        <f ca="1">OFFSET(INDEX(Composições!A:J,MATCH(Orçamentária!A3485,Composições!A:A,0),8),2,0)</f>
        <v>127.01499999999999</v>
      </c>
      <c r="F3485" s="137">
        <f t="shared" ca="1" si="266"/>
        <v>0</v>
      </c>
      <c r="G3485" s="138" t="e">
        <f>IF(A3485&lt;&gt;"",IF(AND(#REF!="Padrão",$H$4=#REF!),BDI!$B$17,IF(AND(#REF!="Padrão",$H$4=#REF!),BDI!#REF!,IF(AND(#REF!="Diferenciado",$H$4=#REF!),BDI!$E$17,IF(AND(#REF!="Diferenciado",$H$4=#REF!),BDI!#REF!,IF(#REF!="ZERO",0))))),"")</f>
        <v>#REF!</v>
      </c>
      <c r="H3485" s="139" t="e">
        <f t="shared" ca="1" si="267"/>
        <v>#REF!</v>
      </c>
      <c r="I3485" s="137" t="e">
        <f t="shared" ca="1" si="268"/>
        <v>#REF!</v>
      </c>
      <c r="J3485" s="117"/>
      <c r="K3485" s="116">
        <v>0</v>
      </c>
      <c r="M3485" s="136" t="e">
        <f ca="1">OFFSET(INDEX([1]Composições!I:R,MATCH([1]Orçamentária!I3485,[1]Composições!I:I,0),8),2,0)</f>
        <v>#REF!</v>
      </c>
      <c r="N3485" t="e">
        <v>#REF!</v>
      </c>
      <c r="Q3485" t="e">
        <v>#REF!</v>
      </c>
    </row>
    <row r="3486" spans="1:19" hidden="1" x14ac:dyDescent="0.25">
      <c r="A3486" s="114" t="s">
        <v>7076</v>
      </c>
      <c r="B3486" s="115" t="s">
        <v>7948</v>
      </c>
      <c r="C3486" s="116" t="s">
        <v>16</v>
      </c>
      <c r="D3486" s="116">
        <v>0</v>
      </c>
      <c r="E3486" s="136" t="s">
        <v>416</v>
      </c>
      <c r="F3486" s="137" t="str">
        <f t="shared" si="266"/>
        <v/>
      </c>
      <c r="G3486" s="138" t="e">
        <f>IF(A3486&lt;&gt;"",IF(AND(#REF!="Padrão",$H$4=#REF!),BDI!$B$17,IF(AND(#REF!="Padrão",$H$4=#REF!),BDI!#REF!,IF(AND(#REF!="Diferenciado",$H$4=#REF!),BDI!$E$17,IF(AND(#REF!="Diferenciado",$H$4=#REF!),BDI!#REF!,IF(#REF!="ZERO",0))))),"")</f>
        <v>#REF!</v>
      </c>
      <c r="H3486" s="139" t="str">
        <f t="shared" si="267"/>
        <v/>
      </c>
      <c r="I3486" s="137" t="str">
        <f t="shared" si="268"/>
        <v/>
      </c>
      <c r="J3486" s="117"/>
      <c r="K3486" s="116">
        <v>0</v>
      </c>
      <c r="M3486" s="136" t="s">
        <v>416</v>
      </c>
      <c r="N3486" t="e">
        <v>#REF!</v>
      </c>
      <c r="Q3486" t="s">
        <v>416</v>
      </c>
    </row>
    <row r="3487" spans="1:19" hidden="1" x14ac:dyDescent="0.25">
      <c r="A3487" s="114" t="s">
        <v>7077</v>
      </c>
      <c r="B3487" s="115" t="s">
        <v>8507</v>
      </c>
      <c r="C3487" s="116" t="s">
        <v>28</v>
      </c>
      <c r="D3487" s="116">
        <v>0</v>
      </c>
      <c r="E3487" s="136">
        <f ca="1">OFFSET(INDEX(Composições!A:J,MATCH(Orçamentária!A3487,Composições!A:A,0),8),2,0)</f>
        <v>19.116729678638936</v>
      </c>
      <c r="F3487" s="137">
        <f ca="1">IF(ISNUMBER(E3487),D3487*E3487,"")</f>
        <v>0</v>
      </c>
      <c r="G3487" s="138" t="e">
        <f>IF(A3487&lt;&gt;"",IF(AND(#REF!="Padrão",$H$4=#REF!),BDI!$B$17,IF(AND(#REF!="Padrão",$H$4=#REF!),BDI!#REF!,IF(AND(#REF!="Diferenciado",$H$4=#REF!),BDI!$E$17,IF(AND(#REF!="Diferenciado",$H$4=#REF!),BDI!#REF!,IF(#REF!="ZERO",0))))),"")</f>
        <v>#REF!</v>
      </c>
      <c r="H3487" s="139" t="e">
        <f ca="1">IF(ISNUMBER(E3487),ROUND(E3487*(1+G3487),2),"")</f>
        <v>#REF!</v>
      </c>
      <c r="I3487" s="137" t="e">
        <f ca="1">IF(ISNUMBER(E3487),ROUND(H3487*D3487,2),"")</f>
        <v>#REF!</v>
      </c>
      <c r="J3487" s="117"/>
      <c r="K3487" s="116">
        <v>0</v>
      </c>
      <c r="M3487" s="136" t="e">
        <f ca="1">OFFSET(INDEX([1]Composições!I:R,MATCH([1]Orçamentária!I3487,[1]Composições!I:I,0),8),2,0)</f>
        <v>#REF!</v>
      </c>
      <c r="N3487" t="e">
        <v>#REF!</v>
      </c>
      <c r="Q3487" t="e">
        <v>#REF!</v>
      </c>
    </row>
    <row r="3488" spans="1:19" x14ac:dyDescent="0.25">
      <c r="A3488" s="172" t="s">
        <v>7078</v>
      </c>
      <c r="B3488" s="173" t="s">
        <v>8508</v>
      </c>
      <c r="C3488" s="174" t="s">
        <v>16</v>
      </c>
      <c r="D3488" s="174">
        <v>2</v>
      </c>
      <c r="E3488" s="136">
        <f ca="1">OFFSET(INDEX(Composições!A:J,MATCH(Orçamentária!A3488,Composições!A:A,0),8),2,0)</f>
        <v>531.36692949999997</v>
      </c>
      <c r="F3488" s="137">
        <f ca="1">IF(ISNUMBER(E3488),D3488*E3488,"")</f>
        <v>1062.7338589999999</v>
      </c>
      <c r="G3488" s="138">
        <f>BDI!$B$17</f>
        <v>0.191</v>
      </c>
      <c r="H3488" s="139">
        <f ca="1">IF(ISNUMBER(E3488),ROUND(E3488*(1+G3488),2),"")</f>
        <v>632.86</v>
      </c>
      <c r="I3488" s="137">
        <f ca="1">IF(ISNUMBER(E3488),ROUND(H3488*D3488,2),"")</f>
        <v>1265.72</v>
      </c>
      <c r="J3488" s="117"/>
      <c r="K3488" s="253">
        <v>2</v>
      </c>
      <c r="L3488" s="236" t="str">
        <f>IF(D3488&lt;&gt;K3488,"ERRO","-")</f>
        <v>-</v>
      </c>
      <c r="M3488" s="136">
        <f ca="1">OFFSET(INDEX(Composições!A:S,MATCH(A3488,Composições!A:A,0),15),2,0)</f>
        <v>454.85009165199995</v>
      </c>
      <c r="N3488" s="237">
        <v>0.191</v>
      </c>
      <c r="O3488" s="236">
        <f ca="1">ROUND(M3488*(1+N3488),2)</f>
        <v>541.73</v>
      </c>
      <c r="P3488" s="238">
        <f ca="1">ROUND(K3488*O3488,2)</f>
        <v>1083.46</v>
      </c>
      <c r="Q3488" s="236">
        <v>1083.46</v>
      </c>
      <c r="R3488" s="236">
        <f ca="1">P3488-Q3488</f>
        <v>0</v>
      </c>
      <c r="S3488" s="239">
        <f ca="1">IF(ISNUMBER(O3488),1-P3488/$I3488,"")</f>
        <v>0.14399709256391613</v>
      </c>
    </row>
    <row r="3489" spans="1:19" hidden="1" x14ac:dyDescent="0.25">
      <c r="A3489" s="114" t="s">
        <v>7079</v>
      </c>
      <c r="B3489" s="115" t="s">
        <v>8509</v>
      </c>
      <c r="C3489" s="116" t="s">
        <v>70</v>
      </c>
      <c r="D3489" s="116">
        <v>0</v>
      </c>
      <c r="E3489" s="136" t="s">
        <v>416</v>
      </c>
      <c r="F3489" s="137" t="str">
        <f>IF(ISNUMBER(E3489),D3489*E3489,"")</f>
        <v/>
      </c>
      <c r="G3489" s="138" t="e">
        <f>IF(A3489&lt;&gt;"",IF(AND(#REF!="Padrão",$H$4=#REF!),BDI!$B$17,IF(AND(#REF!="Padrão",$H$4=#REF!),BDI!#REF!,IF(AND(#REF!="Diferenciado",$H$4=#REF!),BDI!$E$17,IF(AND(#REF!="Diferenciado",$H$4=#REF!),BDI!#REF!,IF(#REF!="ZERO",0))))),"")</f>
        <v>#REF!</v>
      </c>
      <c r="H3489" s="139" t="str">
        <f>IF(ISNUMBER(E3489),ROUND(E3489*(1+G3489),2),"")</f>
        <v/>
      </c>
      <c r="I3489" s="137" t="str">
        <f>IF(ISNUMBER(E3489),ROUND(H3489*D3489,2),"")</f>
        <v/>
      </c>
      <c r="J3489" s="117"/>
      <c r="K3489" s="116">
        <v>0</v>
      </c>
      <c r="M3489" s="136" t="s">
        <v>416</v>
      </c>
      <c r="N3489" t="e">
        <v>#REF!</v>
      </c>
      <c r="Q3489" t="s">
        <v>416</v>
      </c>
    </row>
    <row r="3490" spans="1:19" x14ac:dyDescent="0.25">
      <c r="A3490" s="172" t="s">
        <v>7080</v>
      </c>
      <c r="B3490" s="173" t="s">
        <v>8510</v>
      </c>
      <c r="C3490" s="174" t="s">
        <v>16</v>
      </c>
      <c r="D3490" s="174">
        <v>1</v>
      </c>
      <c r="E3490" s="136">
        <f ca="1">OFFSET(INDEX(Composições!A:J,MATCH(Orçamentária!A3490,Composições!A:A,0),8),2,0)</f>
        <v>5540.96</v>
      </c>
      <c r="F3490" s="137">
        <f ca="1">IF(ISNUMBER(E3490),D3490*E3490,"")</f>
        <v>5540.96</v>
      </c>
      <c r="G3490" s="138">
        <f>BDI!$B$17</f>
        <v>0.191</v>
      </c>
      <c r="H3490" s="139">
        <f ca="1">IF(ISNUMBER(E3490),ROUND(E3490*(1+G3490),2),"")</f>
        <v>6599.28</v>
      </c>
      <c r="I3490" s="137">
        <f ca="1">IF(ISNUMBER(E3490),ROUND(H3490*D3490,2),"")</f>
        <v>6599.28</v>
      </c>
      <c r="J3490" s="117"/>
      <c r="K3490" s="253">
        <v>1</v>
      </c>
      <c r="L3490" s="236" t="str">
        <f t="shared" ref="L3490:L3491" si="269">IF(D3490&lt;&gt;K3490,"ERRO","-")</f>
        <v>-</v>
      </c>
      <c r="M3490" s="136">
        <f ca="1">OFFSET(INDEX(Composições!A:S,MATCH(A3490,Composições!A:A,0),15),2,0)</f>
        <v>4743.0617599999996</v>
      </c>
      <c r="N3490" s="237">
        <v>0.191</v>
      </c>
      <c r="O3490" s="236">
        <f t="shared" ref="O3490:O3491" ca="1" si="270">ROUND(M3490*(1+N3490),2)</f>
        <v>5648.99</v>
      </c>
      <c r="P3490" s="238">
        <f t="shared" ref="P3490:P3491" ca="1" si="271">ROUND(K3490*O3490,2)</f>
        <v>5648.99</v>
      </c>
      <c r="Q3490" s="236">
        <v>5648.99</v>
      </c>
      <c r="R3490" s="236">
        <f t="shared" ref="R3490:R3491" ca="1" si="272">P3490-Q3490</f>
        <v>0</v>
      </c>
      <c r="S3490" s="239">
        <f t="shared" ref="S3490:S3491" ca="1" si="273">IF(ISNUMBER(O3490),1-P3490/$I3490,"")</f>
        <v>0.14399904231976823</v>
      </c>
    </row>
    <row r="3491" spans="1:19" x14ac:dyDescent="0.25">
      <c r="A3491" s="172" t="s">
        <v>7081</v>
      </c>
      <c r="B3491" s="173" t="s">
        <v>8511</v>
      </c>
      <c r="C3491" s="174" t="s">
        <v>16</v>
      </c>
      <c r="D3491" s="174">
        <v>1</v>
      </c>
      <c r="E3491" s="136">
        <f ca="1">OFFSET(INDEX(Composições!A:J,MATCH(Orçamentária!A3491,Composições!A:A,0),8),2,0)</f>
        <v>25534.717608440253</v>
      </c>
      <c r="F3491" s="137">
        <f ca="1">IF(ISNUMBER(E3491),D3491*E3491,"")</f>
        <v>25534.717608440253</v>
      </c>
      <c r="G3491" s="138">
        <f>BDI!$E$17</f>
        <v>0.11260000000000001</v>
      </c>
      <c r="H3491" s="139">
        <f ca="1">IF(ISNUMBER(E3491),ROUND(E3491*(1+G3491),2),"")</f>
        <v>28409.93</v>
      </c>
      <c r="I3491" s="137">
        <f ca="1">IF(ISNUMBER(E3491),ROUND(H3491*D3491,2),"")</f>
        <v>28409.93</v>
      </c>
      <c r="J3491" s="117"/>
      <c r="K3491" s="253">
        <v>1</v>
      </c>
      <c r="L3491" s="236" t="str">
        <f t="shared" si="269"/>
        <v>-</v>
      </c>
      <c r="M3491" s="136">
        <f ca="1">OFFSET(INDEX(Composições!A:S,MATCH(A3491,Composições!A:A,0),15),2,0)</f>
        <v>21857.718272824852</v>
      </c>
      <c r="N3491" s="237">
        <v>0.11260000000000001</v>
      </c>
      <c r="O3491" s="236">
        <f t="shared" ca="1" si="270"/>
        <v>24318.9</v>
      </c>
      <c r="P3491" s="238">
        <f t="shared" ca="1" si="271"/>
        <v>24318.9</v>
      </c>
      <c r="Q3491" s="236">
        <v>24318.9</v>
      </c>
      <c r="R3491" s="236">
        <f t="shared" ca="1" si="272"/>
        <v>0</v>
      </c>
      <c r="S3491" s="239">
        <f t="shared" ca="1" si="273"/>
        <v>0.14400000281591674</v>
      </c>
    </row>
    <row r="3492" spans="1:19" ht="15.75" thickBot="1" x14ac:dyDescent="0.3">
      <c r="A3492" s="175"/>
      <c r="B3492" s="176"/>
      <c r="C3492" s="177"/>
      <c r="D3492" s="177"/>
      <c r="E3492" s="178"/>
      <c r="F3492" s="178"/>
      <c r="G3492" s="179"/>
      <c r="H3492" s="180"/>
      <c r="I3492" s="181"/>
      <c r="J3492" s="119"/>
      <c r="K3492" s="240"/>
      <c r="L3492" s="241"/>
      <c r="M3492" s="241"/>
      <c r="N3492" s="241"/>
      <c r="O3492" s="241"/>
      <c r="P3492" s="242" t="s">
        <v>8585</v>
      </c>
      <c r="Q3492" s="140">
        <f ca="1">SUBTOTAL(109,P6:P3491)</f>
        <v>356996.89</v>
      </c>
      <c r="R3492" s="184"/>
      <c r="S3492" s="184"/>
    </row>
    <row r="3493" spans="1:19" ht="15.75" thickBot="1" x14ac:dyDescent="0.3">
      <c r="A3493" s="182">
        <f>SUBTOTAL(103,A6:A3492)</f>
        <v>59</v>
      </c>
      <c r="B3493" s="183"/>
      <c r="C3493" s="142"/>
      <c r="D3493" s="184"/>
      <c r="E3493" s="184"/>
      <c r="F3493" s="185"/>
      <c r="G3493" s="184"/>
      <c r="H3493" s="184" t="s">
        <v>1282</v>
      </c>
      <c r="I3493" s="140">
        <f ca="1">SUBTOTAL(109,F6:F3492)</f>
        <v>344274.82934731303</v>
      </c>
      <c r="J3493" s="119"/>
      <c r="K3493" s="240"/>
      <c r="L3493" s="241"/>
      <c r="M3493" s="241"/>
      <c r="N3493" s="241"/>
      <c r="O3493" s="241"/>
      <c r="P3493" s="243" t="s">
        <v>8583</v>
      </c>
      <c r="Q3493" s="140">
        <f>SUBTOTAL(109,Q6:Q3491)</f>
        <v>356996.89</v>
      </c>
      <c r="R3493" s="184"/>
      <c r="S3493" s="244"/>
    </row>
    <row r="3494" spans="1:19" ht="15.75" thickBot="1" x14ac:dyDescent="0.3">
      <c r="A3494" s="186"/>
      <c r="B3494" s="187"/>
      <c r="C3494" s="142"/>
      <c r="D3494" s="188"/>
      <c r="E3494" s="188"/>
      <c r="F3494" s="189"/>
      <c r="G3494" s="190"/>
      <c r="H3494" s="190" t="s">
        <v>7</v>
      </c>
      <c r="I3494" s="141">
        <f ca="1">SUBTOTAL(109,I6:I3492)</f>
        <v>400405.14000000007</v>
      </c>
      <c r="J3494" s="119"/>
      <c r="K3494" s="240"/>
      <c r="L3494" s="241"/>
      <c r="M3494" s="241"/>
      <c r="N3494" s="241"/>
      <c r="O3494" s="241"/>
      <c r="P3494" s="243" t="s">
        <v>8586</v>
      </c>
      <c r="Q3494" s="245">
        <f ca="1">1-Q3493/I3494</f>
        <v>0.10841082109984912</v>
      </c>
      <c r="R3494" s="184"/>
      <c r="S3494" s="184"/>
    </row>
    <row r="3495" spans="1:19" x14ac:dyDescent="0.25">
      <c r="A3495" s="3"/>
      <c r="B3495" s="120"/>
      <c r="C3495" s="3"/>
      <c r="D3495" s="121"/>
      <c r="E3495" s="122"/>
      <c r="F3495" s="123"/>
      <c r="G3495" s="122"/>
      <c r="H3495" s="122"/>
      <c r="I3495" s="123"/>
      <c r="J3495" s="119"/>
    </row>
    <row r="3496" spans="1:19" x14ac:dyDescent="0.25">
      <c r="A3496" s="3"/>
      <c r="B3496" s="120"/>
      <c r="C3496" s="3"/>
      <c r="D3496" s="124"/>
      <c r="E3496" s="125"/>
      <c r="F3496" s="125"/>
      <c r="G3496" s="125"/>
      <c r="H3496" s="125"/>
      <c r="I3496" s="125"/>
      <c r="J3496" s="119"/>
    </row>
  </sheetData>
  <autoFilter ref="A5:J3492">
    <filterColumn colId="3">
      <filters blank="1">
        <filter val="1,00"/>
        <filter val="1,50"/>
        <filter val="10,00"/>
        <filter val="105,00"/>
        <filter val="107,00"/>
        <filter val="11,00"/>
        <filter val="110,00"/>
        <filter val="118,00"/>
        <filter val="12,00"/>
        <filter val="120,00"/>
        <filter val="122,00"/>
        <filter val="15,00"/>
        <filter val="17,00"/>
        <filter val="2,00"/>
        <filter val="2.200,00"/>
        <filter val="21,00"/>
        <filter val="222,00"/>
        <filter val="24,00"/>
        <filter val="271,00"/>
        <filter val="28,00"/>
        <filter val="30,00"/>
        <filter val="31,00"/>
        <filter val="32,00"/>
        <filter val="356,00"/>
        <filter val="388,00"/>
        <filter val="4,00"/>
        <filter val="40,00"/>
        <filter val="480,00"/>
        <filter val="500,00"/>
        <filter val="504,00"/>
        <filter val="6,00"/>
        <filter val="60,00"/>
        <filter val="71,00"/>
        <filter val="76,00"/>
        <filter val="890,00"/>
        <filter val="9,00"/>
      </filters>
    </filterColumn>
  </autoFilter>
  <mergeCells count="1">
    <mergeCell ref="K1:S1"/>
  </mergeCells>
  <phoneticPr fontId="33" type="noConversion"/>
  <conditionalFormatting sqref="B364">
    <cfRule type="duplicateValues" dxfId="37" priority="36"/>
  </conditionalFormatting>
  <conditionalFormatting sqref="B366:B370">
    <cfRule type="duplicateValues" dxfId="36" priority="37"/>
  </conditionalFormatting>
  <conditionalFormatting sqref="B1300:B1344">
    <cfRule type="duplicateValues" dxfId="35" priority="1993"/>
  </conditionalFormatting>
  <conditionalFormatting sqref="B1345:B1348">
    <cfRule type="duplicateValues" dxfId="34" priority="34"/>
  </conditionalFormatting>
  <conditionalFormatting sqref="B1349">
    <cfRule type="duplicateValues" dxfId="33" priority="33"/>
  </conditionalFormatting>
  <conditionalFormatting sqref="B1350">
    <cfRule type="duplicateValues" dxfId="32" priority="32"/>
  </conditionalFormatting>
  <conditionalFormatting sqref="B1351:B1383">
    <cfRule type="duplicateValues" dxfId="31" priority="31"/>
  </conditionalFormatting>
  <conditionalFormatting sqref="B1384">
    <cfRule type="duplicateValues" dxfId="30" priority="29"/>
  </conditionalFormatting>
  <conditionalFormatting sqref="B1385">
    <cfRule type="duplicateValues" dxfId="29" priority="30"/>
  </conditionalFormatting>
  <conditionalFormatting sqref="B1386:B1388">
    <cfRule type="duplicateValues" dxfId="28" priority="28"/>
  </conditionalFormatting>
  <conditionalFormatting sqref="B2624:B2681">
    <cfRule type="duplicateValues" dxfId="27" priority="26"/>
  </conditionalFormatting>
  <conditionalFormatting sqref="B2682:B2707">
    <cfRule type="duplicateValues" dxfId="26" priority="4513"/>
  </conditionalFormatting>
  <conditionalFormatting sqref="B2708:B2710">
    <cfRule type="duplicateValues" dxfId="25" priority="24"/>
  </conditionalFormatting>
  <conditionalFormatting sqref="B2711:B3119">
    <cfRule type="duplicateValues" dxfId="24" priority="4614"/>
  </conditionalFormatting>
  <conditionalFormatting sqref="B3120:B3128">
    <cfRule type="duplicateValues" dxfId="23" priority="5934"/>
  </conditionalFormatting>
  <conditionalFormatting sqref="B3129:B3136">
    <cfRule type="duplicateValues" dxfId="22" priority="21"/>
  </conditionalFormatting>
  <conditionalFormatting sqref="B3137:B3139">
    <cfRule type="duplicateValues" dxfId="21" priority="20"/>
  </conditionalFormatting>
  <conditionalFormatting sqref="B3140:B3228">
    <cfRule type="duplicateValues" dxfId="20" priority="5988"/>
  </conditionalFormatting>
  <conditionalFormatting sqref="B3229">
    <cfRule type="duplicateValues" dxfId="19" priority="15"/>
  </conditionalFormatting>
  <conditionalFormatting sqref="B3229:B3237">
    <cfRule type="duplicateValues" dxfId="18" priority="16"/>
  </conditionalFormatting>
  <conditionalFormatting sqref="B3238">
    <cfRule type="duplicateValues" dxfId="17" priority="14"/>
  </conditionalFormatting>
  <conditionalFormatting sqref="B3239:B3246">
    <cfRule type="duplicateValues" dxfId="16" priority="6222"/>
  </conditionalFormatting>
  <conditionalFormatting sqref="B3247:B3260">
    <cfRule type="duplicateValues" dxfId="15" priority="12"/>
  </conditionalFormatting>
  <conditionalFormatting sqref="B3261">
    <cfRule type="duplicateValues" dxfId="14" priority="11"/>
  </conditionalFormatting>
  <conditionalFormatting sqref="B3262:B3264">
    <cfRule type="duplicateValues" dxfId="13" priority="6511"/>
  </conditionalFormatting>
  <conditionalFormatting sqref="B3265:B3278">
    <cfRule type="duplicateValues" dxfId="12" priority="6"/>
  </conditionalFormatting>
  <conditionalFormatting sqref="B3279:B3475">
    <cfRule type="duplicateValues" dxfId="11" priority="6605"/>
  </conditionalFormatting>
  <conditionalFormatting sqref="B3476:B3486">
    <cfRule type="duplicateValues" dxfId="10" priority="7572"/>
  </conditionalFormatting>
  <conditionalFormatting sqref="B3487:B3491">
    <cfRule type="duplicateValues" dxfId="9" priority="3"/>
  </conditionalFormatting>
  <conditionalFormatting sqref="B3492 B371:B1299 B365 B6:B363">
    <cfRule type="duplicateValues" dxfId="8" priority="38"/>
  </conditionalFormatting>
  <conditionalFormatting sqref="B3492:B3868 B6:B2623">
    <cfRule type="duplicateValues" dxfId="7" priority="2644"/>
  </conditionalFormatting>
  <conditionalFormatting sqref="C6">
    <cfRule type="containsBlanks" dxfId="6" priority="63">
      <formula>LEN(TRIM(C6))=0</formula>
    </cfRule>
    <cfRule type="containsBlanks" priority="64">
      <formula>LEN(TRIM(C6))=0</formula>
    </cfRule>
  </conditionalFormatting>
  <conditionalFormatting sqref="C59">
    <cfRule type="containsBlanks" priority="54">
      <formula>LEN(TRIM(C59))=0</formula>
    </cfRule>
    <cfRule type="containsBlanks" dxfId="5" priority="53">
      <formula>LEN(TRIM(C59))=0</formula>
    </cfRule>
  </conditionalFormatting>
  <conditionalFormatting sqref="C61">
    <cfRule type="containsBlanks" dxfId="4" priority="51">
      <formula>LEN(TRIM(C61))=0</formula>
    </cfRule>
    <cfRule type="containsBlanks" priority="52">
      <formula>LEN(TRIM(C61))=0</formula>
    </cfRule>
  </conditionalFormatting>
  <conditionalFormatting sqref="C340:C356">
    <cfRule type="containsBlanks" dxfId="3" priority="57">
      <formula>LEN(TRIM(C340))=0</formula>
    </cfRule>
    <cfRule type="containsBlanks" priority="58">
      <formula>LEN(TRIM(C340))=0</formula>
    </cfRule>
  </conditionalFormatting>
  <conditionalFormatting sqref="C942:C943">
    <cfRule type="containsBlanks" dxfId="2" priority="55">
      <formula>LEN(TRIM(C942))=0</formula>
    </cfRule>
    <cfRule type="containsBlanks" priority="56">
      <formula>LEN(TRIM(C942))=0</formula>
    </cfRule>
  </conditionalFormatting>
  <conditionalFormatting sqref="C1091:C1101">
    <cfRule type="containsBlanks" priority="46">
      <formula>LEN(TRIM(C1091))=0</formula>
    </cfRule>
    <cfRule type="containsBlanks" dxfId="1" priority="45">
      <formula>LEN(TRIM(C1091))=0</formula>
    </cfRule>
  </conditionalFormatting>
  <conditionalFormatting sqref="C1104:C1105">
    <cfRule type="containsBlanks" priority="44">
      <formula>LEN(TRIM(C1104))=0</formula>
    </cfRule>
    <cfRule type="containsBlanks" dxfId="0" priority="43">
      <formula>LEN(TRIM(C1104))=0</formula>
    </cfRule>
  </conditionalFormatting>
  <conditionalFormatting sqref="S6:S9 S13:S14 S30 S49 S104 S108 S149 S172 S176 S250:S251 S254 S256 S258 S262 S266 S284:S286 S288:S291 S296:S297 S320 S322:S323 S334:S335 S337:S339 S349:S350 S352:S354 S356 S924:S925 S934 S936 S1070 S1082 S1106 S1378 S2706:S2707 S3132 S3243 S3256 S3488 S3490:S3491">
    <cfRule type="dataBar" priority="1">
      <dataBar>
        <cfvo type="min"/>
        <cfvo type="max"/>
        <color rgb="FF008AEF"/>
      </dataBar>
      <extLst>
        <ext xmlns:x14="http://schemas.microsoft.com/office/spreadsheetml/2009/9/main" uri="{B025F937-C7B1-47D3-B67F-A62EFF666E3E}">
          <x14:id>{7EBC57F7-6BAB-4E50-8F61-3787368606A5}</x14:id>
        </ext>
      </extLst>
    </cfRule>
    <cfRule type="colorScale" priority="2">
      <colorScale>
        <cfvo type="min"/>
        <cfvo type="percentile" val="50"/>
        <cfvo type="max"/>
        <color rgb="FF63BE7B"/>
        <color rgb="FFFFEB84"/>
        <color rgb="FFF8696B"/>
      </colorScale>
    </cfRule>
  </conditionalFormatting>
  <dataValidations disablePrompts="1" count="1">
    <dataValidation type="list" allowBlank="1" showInputMessage="1" showErrorMessage="1" sqref="H4">
      <formula1>#REF!</formula1>
    </dataValidation>
  </dataValidations>
  <printOptions horizontalCentered="1"/>
  <pageMargins left="0.19685039370078741" right="0.19685039370078741" top="1.03" bottom="0.59055118110236227" header="0.19685039370078741" footer="0.19685039370078741"/>
  <pageSetup paperSize="9" scale="45"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 r:id="rId3"/>
  <legacyDrawingHF r:id="rId4"/>
  <extLst>
    <ext xmlns:x14="http://schemas.microsoft.com/office/spreadsheetml/2009/9/main" uri="{78C0D931-6437-407d-A8EE-F0AAD7539E65}">
      <x14:conditionalFormattings>
        <x14:conditionalFormatting xmlns:xm="http://schemas.microsoft.com/office/excel/2006/main">
          <x14:cfRule type="dataBar" id="{7EBC57F7-6BAB-4E50-8F61-3787368606A5}">
            <x14:dataBar minLength="0" maxLength="100" negativeBarColorSameAsPositive="1" axisPosition="none">
              <x14:cfvo type="min"/>
              <x14:cfvo type="max"/>
            </x14:dataBar>
          </x14:cfRule>
          <xm:sqref>S6:S9 S13:S14 S30 S49 S104 S108 S149 S172 S176 S250:S251 S254 S256 S258 S262 S266 S284:S286 S288:S291 S296:S297 S320 S322:S323 S334:S335 S337:S339 S349:S350 S352:S354 S356 S924:S925 S934 S936 S1070 S1082 S1106 S1378 S2706:S2707 S3132 S3243 S3256 S3488 S3490:S3491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pageSetUpPr fitToPage="1"/>
  </sheetPr>
  <dimension ref="A1:M41"/>
  <sheetViews>
    <sheetView zoomScale="80" zoomScaleNormal="80" workbookViewId="0">
      <selection activeCell="L27" sqref="A20:L27"/>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 min="7" max="7" width="30.7109375" customWidth="1"/>
    <col min="8" max="9" width="25.7109375" customWidth="1"/>
    <col min="10" max="10" width="5.5703125" customWidth="1"/>
    <col min="11" max="11" width="30.7109375" customWidth="1"/>
    <col min="12" max="13" width="25.7109375" customWidth="1"/>
  </cols>
  <sheetData>
    <row r="1" spans="1:13" ht="24.95" customHeight="1" x14ac:dyDescent="0.25">
      <c r="A1" s="104" t="str">
        <f>Orçamentária!A1</f>
        <v>Instalação de splits no Bloco 17</v>
      </c>
      <c r="B1" s="126"/>
      <c r="C1" s="126"/>
      <c r="D1" s="126"/>
      <c r="E1" s="126"/>
      <c r="G1" s="104" t="str">
        <f>Composições!L1</f>
        <v>Altri Construtora LTDA</v>
      </c>
      <c r="H1" s="126"/>
      <c r="I1" s="126"/>
      <c r="J1" s="126"/>
      <c r="K1" s="126"/>
      <c r="L1" s="126"/>
      <c r="M1" s="126"/>
    </row>
    <row r="2" spans="1:13" ht="24.95" customHeight="1" x14ac:dyDescent="0.25">
      <c r="A2" s="106" t="s">
        <v>2845</v>
      </c>
      <c r="B2" s="106"/>
      <c r="C2" s="106"/>
      <c r="D2" s="106"/>
      <c r="E2" s="106"/>
      <c r="G2" s="106"/>
      <c r="H2" s="106"/>
      <c r="I2" s="106"/>
      <c r="J2" s="106"/>
      <c r="K2" s="106"/>
      <c r="L2" s="106"/>
      <c r="M2" s="106"/>
    </row>
    <row r="3" spans="1:13" ht="18" customHeight="1" thickBot="1" x14ac:dyDescent="0.3">
      <c r="A3" s="128"/>
      <c r="B3" s="128"/>
      <c r="C3" s="129"/>
      <c r="D3" s="128"/>
      <c r="E3" s="128"/>
      <c r="G3" s="129"/>
      <c r="H3" s="129"/>
      <c r="I3" s="129"/>
      <c r="J3" s="129"/>
      <c r="K3" s="129"/>
      <c r="L3" s="129"/>
      <c r="M3" s="129"/>
    </row>
    <row r="4" spans="1:13" ht="24.95" customHeight="1" thickBot="1" x14ac:dyDescent="0.3">
      <c r="A4" s="192" t="s">
        <v>2846</v>
      </c>
      <c r="B4" s="193"/>
      <c r="C4" s="194"/>
      <c r="D4" s="192" t="s">
        <v>2847</v>
      </c>
      <c r="E4" s="193"/>
      <c r="G4" s="192" t="s">
        <v>2846</v>
      </c>
      <c r="H4" s="246"/>
      <c r="I4" s="246"/>
      <c r="J4" s="247"/>
      <c r="K4" s="192" t="s">
        <v>2847</v>
      </c>
      <c r="L4" s="246"/>
      <c r="M4" s="246"/>
    </row>
    <row r="5" spans="1:13" ht="20.100000000000001" customHeight="1" x14ac:dyDescent="0.25">
      <c r="A5" s="273" t="s">
        <v>2848</v>
      </c>
      <c r="B5" s="195" t="s">
        <v>2849</v>
      </c>
      <c r="C5" s="196"/>
      <c r="D5" s="273" t="s">
        <v>2848</v>
      </c>
      <c r="E5" s="195" t="s">
        <v>2849</v>
      </c>
      <c r="G5" s="273" t="s">
        <v>2848</v>
      </c>
      <c r="H5" s="248" t="s">
        <v>2849</v>
      </c>
      <c r="I5" s="276" t="s">
        <v>8587</v>
      </c>
      <c r="J5" s="196"/>
      <c r="K5" s="273" t="s">
        <v>2848</v>
      </c>
      <c r="L5" s="248" t="s">
        <v>2849</v>
      </c>
      <c r="M5" s="276" t="s">
        <v>8587</v>
      </c>
    </row>
    <row r="6" spans="1:13" ht="20.100000000000001" customHeight="1" x14ac:dyDescent="0.25">
      <c r="A6" s="274"/>
      <c r="B6" s="197" t="s">
        <v>2850</v>
      </c>
      <c r="C6" s="196"/>
      <c r="D6" s="274"/>
      <c r="E6" s="197" t="s">
        <v>2850</v>
      </c>
      <c r="G6" s="274"/>
      <c r="H6" s="249" t="s">
        <v>2850</v>
      </c>
      <c r="I6" s="277"/>
      <c r="J6" s="196"/>
      <c r="K6" s="274"/>
      <c r="L6" s="249" t="s">
        <v>2850</v>
      </c>
      <c r="M6" s="277"/>
    </row>
    <row r="7" spans="1:13" ht="20.100000000000001" customHeight="1" thickBot="1" x14ac:dyDescent="0.3">
      <c r="A7" s="275"/>
      <c r="B7" s="198" t="s">
        <v>2851</v>
      </c>
      <c r="C7" s="196"/>
      <c r="D7" s="275"/>
      <c r="E7" s="198" t="s">
        <v>2851</v>
      </c>
      <c r="G7" s="275"/>
      <c r="H7" s="250" t="s">
        <v>2851</v>
      </c>
      <c r="I7" s="278"/>
      <c r="J7" s="196"/>
      <c r="K7" s="275"/>
      <c r="L7" s="250" t="s">
        <v>2851</v>
      </c>
      <c r="M7" s="278"/>
    </row>
    <row r="8" spans="1:13" ht="20.100000000000001" customHeight="1" x14ac:dyDescent="0.25">
      <c r="A8" s="199" t="s">
        <v>2852</v>
      </c>
      <c r="B8" s="130">
        <v>3.5000000000000003E-2</v>
      </c>
      <c r="C8" s="49"/>
      <c r="D8" s="199" t="s">
        <v>2852</v>
      </c>
      <c r="E8" s="130">
        <v>1.7500000000000002E-2</v>
      </c>
      <c r="G8" s="199" t="s">
        <v>2852</v>
      </c>
      <c r="H8" s="130">
        <v>3.5000000000000003E-2</v>
      </c>
      <c r="I8" s="251" t="str">
        <f>IF(H8&lt;&gt;B8,"SIM","NÃO")</f>
        <v>NÃO</v>
      </c>
      <c r="J8" s="49"/>
      <c r="K8" s="199" t="s">
        <v>2852</v>
      </c>
      <c r="L8" s="130">
        <v>1.7500000000000002E-2</v>
      </c>
      <c r="M8" s="251" t="str">
        <f>IF(L8&lt;&gt;E8,"SIM","NÃO")</f>
        <v>NÃO</v>
      </c>
    </row>
    <row r="9" spans="1:13" ht="20.100000000000001" customHeight="1" x14ac:dyDescent="0.25">
      <c r="A9" s="199" t="s">
        <v>2853</v>
      </c>
      <c r="B9" s="130">
        <v>8.0000000000000002E-3</v>
      </c>
      <c r="C9" s="49"/>
      <c r="D9" s="199" t="s">
        <v>2853</v>
      </c>
      <c r="E9" s="130">
        <v>3.8999999999999998E-3</v>
      </c>
      <c r="G9" s="199" t="s">
        <v>2853</v>
      </c>
      <c r="H9" s="130">
        <v>8.0000000000000002E-3</v>
      </c>
      <c r="I9" s="251" t="str">
        <f t="shared" ref="I9:I17" si="0">IF(H9&lt;&gt;B9,"SIM","NÃO")</f>
        <v>NÃO</v>
      </c>
      <c r="J9" s="49"/>
      <c r="K9" s="199" t="s">
        <v>2853</v>
      </c>
      <c r="L9" s="130">
        <v>3.8999999999999998E-3</v>
      </c>
      <c r="M9" s="251" t="str">
        <f t="shared" ref="M9:M17" si="1">IF(L9&lt;&gt;E9,"SIM","NÃO")</f>
        <v>NÃO</v>
      </c>
    </row>
    <row r="10" spans="1:13" ht="20.100000000000001" customHeight="1" x14ac:dyDescent="0.25">
      <c r="A10" s="199" t="s">
        <v>2854</v>
      </c>
      <c r="B10" s="130">
        <v>1.2500000000000001E-2</v>
      </c>
      <c r="C10" s="49"/>
      <c r="D10" s="199" t="s">
        <v>2854</v>
      </c>
      <c r="E10" s="130">
        <v>5.5999999999999999E-3</v>
      </c>
      <c r="G10" s="199" t="s">
        <v>2854</v>
      </c>
      <c r="H10" s="130">
        <v>1.2500000000000001E-2</v>
      </c>
      <c r="I10" s="251" t="str">
        <f t="shared" si="0"/>
        <v>NÃO</v>
      </c>
      <c r="J10" s="49"/>
      <c r="K10" s="199" t="s">
        <v>2854</v>
      </c>
      <c r="L10" s="130">
        <v>5.5999999999999999E-3</v>
      </c>
      <c r="M10" s="251" t="str">
        <f t="shared" si="1"/>
        <v>NÃO</v>
      </c>
    </row>
    <row r="11" spans="1:13" ht="20.100000000000001" customHeight="1" x14ac:dyDescent="0.25">
      <c r="A11" s="199" t="s">
        <v>2855</v>
      </c>
      <c r="B11" s="130">
        <v>7.6E-3</v>
      </c>
      <c r="C11" s="49"/>
      <c r="D11" s="199" t="s">
        <v>2855</v>
      </c>
      <c r="E11" s="130">
        <v>8.5000000000000006E-3</v>
      </c>
      <c r="G11" s="199" t="s">
        <v>2855</v>
      </c>
      <c r="H11" s="130">
        <v>7.6E-3</v>
      </c>
      <c r="I11" s="251" t="str">
        <f t="shared" si="0"/>
        <v>NÃO</v>
      </c>
      <c r="J11" s="49"/>
      <c r="K11" s="199" t="s">
        <v>2855</v>
      </c>
      <c r="L11" s="130">
        <v>8.5000000000000006E-3</v>
      </c>
      <c r="M11" s="251" t="str">
        <f t="shared" si="1"/>
        <v>NÃO</v>
      </c>
    </row>
    <row r="12" spans="1:13" ht="20.100000000000001" customHeight="1" x14ac:dyDescent="0.25">
      <c r="A12" s="199" t="s">
        <v>75</v>
      </c>
      <c r="B12" s="130">
        <v>6.7799999999999999E-2</v>
      </c>
      <c r="C12" s="49"/>
      <c r="D12" s="199" t="s">
        <v>75</v>
      </c>
      <c r="E12" s="130">
        <v>3.5000000000000003E-2</v>
      </c>
      <c r="G12" s="199" t="s">
        <v>75</v>
      </c>
      <c r="H12" s="130">
        <v>6.7799999999999999E-2</v>
      </c>
      <c r="I12" s="251" t="str">
        <f t="shared" si="0"/>
        <v>NÃO</v>
      </c>
      <c r="J12" s="49"/>
      <c r="K12" s="199" t="s">
        <v>75</v>
      </c>
      <c r="L12" s="130">
        <v>3.5000000000000003E-2</v>
      </c>
      <c r="M12" s="251" t="str">
        <f t="shared" si="1"/>
        <v>NÃO</v>
      </c>
    </row>
    <row r="13" spans="1:13" ht="20.100000000000001" customHeight="1" x14ac:dyDescent="0.25">
      <c r="A13" s="199" t="s">
        <v>2856</v>
      </c>
      <c r="B13" s="130">
        <v>6.4999999999999997E-3</v>
      </c>
      <c r="C13" s="49"/>
      <c r="D13" s="199" t="s">
        <v>2856</v>
      </c>
      <c r="E13" s="130">
        <v>6.4999999999999997E-3</v>
      </c>
      <c r="G13" s="199" t="s">
        <v>2856</v>
      </c>
      <c r="H13" s="130">
        <v>6.4999999999999997E-3</v>
      </c>
      <c r="I13" s="251" t="str">
        <f t="shared" si="0"/>
        <v>NÃO</v>
      </c>
      <c r="J13" s="49"/>
      <c r="K13" s="199" t="s">
        <v>2856</v>
      </c>
      <c r="L13" s="130">
        <v>6.4999999999999997E-3</v>
      </c>
      <c r="M13" s="251" t="str">
        <f t="shared" si="1"/>
        <v>NÃO</v>
      </c>
    </row>
    <row r="14" spans="1:13" ht="20.100000000000001" customHeight="1" x14ac:dyDescent="0.25">
      <c r="A14" s="199" t="s">
        <v>2857</v>
      </c>
      <c r="B14" s="130">
        <v>0.03</v>
      </c>
      <c r="C14" s="49"/>
      <c r="D14" s="199" t="s">
        <v>2857</v>
      </c>
      <c r="E14" s="130">
        <v>0.03</v>
      </c>
      <c r="G14" s="199" t="s">
        <v>2857</v>
      </c>
      <c r="H14" s="130">
        <v>0.03</v>
      </c>
      <c r="I14" s="251" t="str">
        <f t="shared" si="0"/>
        <v>NÃO</v>
      </c>
      <c r="J14" s="49"/>
      <c r="K14" s="199" t="s">
        <v>2857</v>
      </c>
      <c r="L14" s="130">
        <v>0.03</v>
      </c>
      <c r="M14" s="251" t="str">
        <f t="shared" si="1"/>
        <v>NÃO</v>
      </c>
    </row>
    <row r="15" spans="1:13" ht="20.100000000000001" customHeight="1" x14ac:dyDescent="0.25">
      <c r="A15" s="199" t="s">
        <v>2858</v>
      </c>
      <c r="B15" s="130">
        <v>0</v>
      </c>
      <c r="C15" s="49"/>
      <c r="D15" s="199" t="s">
        <v>2858</v>
      </c>
      <c r="E15" s="130">
        <v>0</v>
      </c>
      <c r="G15" s="199" t="s">
        <v>2858</v>
      </c>
      <c r="H15" s="130">
        <v>0</v>
      </c>
      <c r="I15" s="251" t="str">
        <f>IF(H15&lt;&gt;B15,"SIM","NÃO")</f>
        <v>NÃO</v>
      </c>
      <c r="J15" s="49"/>
      <c r="K15" s="199" t="s">
        <v>2858</v>
      </c>
      <c r="L15" s="130">
        <v>0</v>
      </c>
      <c r="M15" s="251" t="str">
        <f t="shared" si="1"/>
        <v>NÃO</v>
      </c>
    </row>
    <row r="16" spans="1:13" ht="20.100000000000001" customHeight="1" x14ac:dyDescent="0.25">
      <c r="A16" s="199" t="s">
        <v>2859</v>
      </c>
      <c r="B16" s="130">
        <v>0.01</v>
      </c>
      <c r="C16" s="49"/>
      <c r="D16" s="199" t="s">
        <v>2859</v>
      </c>
      <c r="E16" s="130">
        <v>0</v>
      </c>
      <c r="G16" s="199" t="s">
        <v>2859</v>
      </c>
      <c r="H16" s="130">
        <v>0.01</v>
      </c>
      <c r="I16" s="251" t="str">
        <f t="shared" si="0"/>
        <v>NÃO</v>
      </c>
      <c r="J16" s="49"/>
      <c r="K16" s="199" t="s">
        <v>2859</v>
      </c>
      <c r="L16" s="130">
        <v>0</v>
      </c>
      <c r="M16" s="251" t="str">
        <f t="shared" si="1"/>
        <v>NÃO</v>
      </c>
    </row>
    <row r="17" spans="1:13" ht="24.95" customHeight="1" thickBot="1" x14ac:dyDescent="0.3">
      <c r="A17" s="200" t="s">
        <v>2846</v>
      </c>
      <c r="B17" s="201">
        <f>ROUND(((1+B8+B9+B10)*(1+B11)*(1+B12))/(1-(B13+B14+B15+B16))-1,4)</f>
        <v>0.191</v>
      </c>
      <c r="C17" s="49"/>
      <c r="D17" s="202" t="s">
        <v>2847</v>
      </c>
      <c r="E17" s="201">
        <f>ROUND(((1+E8+E9+E10)*(1+E11)*(1+E12))/(1-(E13+E14+E15+E16))-1,4)</f>
        <v>0.11260000000000001</v>
      </c>
      <c r="G17" s="200" t="s">
        <v>2846</v>
      </c>
      <c r="H17" s="252">
        <f>ROUND(((1+H8+H9+H10)*(1+H11)*(1+H12))/(1-(H13+H14+H15+H16))-1,4)</f>
        <v>0.191</v>
      </c>
      <c r="I17" s="251" t="str">
        <f t="shared" si="0"/>
        <v>NÃO</v>
      </c>
      <c r="J17" s="49"/>
      <c r="K17" s="202" t="s">
        <v>2847</v>
      </c>
      <c r="L17" s="252">
        <f>ROUND(((1+L8+L9+L10)*(1+L11)*(1+L12))/(1-(L13+L14+L15+L16))-1,4)</f>
        <v>0.11260000000000001</v>
      </c>
      <c r="M17" s="251" t="str">
        <f t="shared" si="1"/>
        <v>NÃO</v>
      </c>
    </row>
    <row r="18" spans="1:13" x14ac:dyDescent="0.25">
      <c r="A18" s="203"/>
      <c r="B18" s="49"/>
      <c r="C18" s="204"/>
      <c r="D18" s="203"/>
      <c r="E18" s="49"/>
      <c r="G18" s="205"/>
      <c r="H18" s="206"/>
      <c r="I18" s="206"/>
      <c r="J18" s="49"/>
      <c r="K18" s="205"/>
      <c r="L18" s="206"/>
      <c r="M18" s="206"/>
    </row>
    <row r="19" spans="1:13" x14ac:dyDescent="0.25">
      <c r="A19" s="205"/>
      <c r="B19" s="206"/>
      <c r="C19" s="49"/>
      <c r="D19" s="205"/>
      <c r="E19" s="206"/>
      <c r="K19" s="207"/>
    </row>
    <row r="20" spans="1:13" x14ac:dyDescent="0.25">
      <c r="D20" s="207"/>
    </row>
    <row r="38" spans="1:13" ht="15.75" x14ac:dyDescent="0.25">
      <c r="G38" s="272" t="s">
        <v>2860</v>
      </c>
      <c r="H38" s="272"/>
      <c r="I38" s="272"/>
      <c r="J38" s="272"/>
      <c r="K38" s="272"/>
      <c r="L38" s="272"/>
      <c r="M38" s="208"/>
    </row>
    <row r="39" spans="1:13" ht="15.75" x14ac:dyDescent="0.25">
      <c r="A39" s="272" t="s">
        <v>2860</v>
      </c>
      <c r="B39" s="272"/>
      <c r="C39" s="272"/>
      <c r="D39" s="272"/>
      <c r="E39" s="272"/>
      <c r="G39" s="119"/>
      <c r="H39" s="119"/>
      <c r="I39" s="119"/>
      <c r="J39" s="119"/>
      <c r="K39" s="119"/>
      <c r="L39" s="119"/>
      <c r="M39" s="119"/>
    </row>
    <row r="40" spans="1:13" x14ac:dyDescent="0.25">
      <c r="A40" s="119"/>
      <c r="B40" s="119"/>
      <c r="C40" s="119"/>
      <c r="D40" s="119"/>
      <c r="E40" s="119"/>
      <c r="G40" s="119"/>
      <c r="H40" s="119"/>
      <c r="I40" s="119"/>
      <c r="J40" s="119"/>
      <c r="K40" s="119"/>
      <c r="L40" s="119"/>
      <c r="M40" s="119"/>
    </row>
    <row r="41" spans="1:13" x14ac:dyDescent="0.25">
      <c r="A41" s="119"/>
      <c r="B41" s="119"/>
      <c r="C41" s="119"/>
      <c r="D41" s="119"/>
      <c r="E41" s="119"/>
    </row>
  </sheetData>
  <mergeCells count="8">
    <mergeCell ref="A39:E39"/>
    <mergeCell ref="G5:G7"/>
    <mergeCell ref="I5:I7"/>
    <mergeCell ref="K5:K7"/>
    <mergeCell ref="M5:M7"/>
    <mergeCell ref="G38:L38"/>
    <mergeCell ref="A5:A7"/>
    <mergeCell ref="D5:D7"/>
  </mergeCells>
  <printOptions horizontalCentered="1"/>
  <pageMargins left="0.19685039370078741" right="0.19685039370078741" top="1.3779527559055118" bottom="0.59055118110236227" header="0.19685039370078741" footer="0.19685039370078741"/>
  <pageSetup paperSize="9" scale="68"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8</vt:i4>
      </vt:variant>
    </vt:vector>
  </HeadingPairs>
  <TitlesOfParts>
    <vt:vector size="13" baseType="lpstr">
      <vt:lpstr>Composições</vt:lpstr>
      <vt:lpstr>Comp.Aux1</vt:lpstr>
      <vt:lpstr>Comp.Aux2</vt:lpstr>
      <vt:lpstr>Orçamentária</vt:lpstr>
      <vt:lpstr>BDI</vt:lpstr>
      <vt:lpstr>Comp.Aux1!Area_de_impressao</vt:lpstr>
      <vt:lpstr>Comp.Aux2!Area_de_impressao</vt:lpstr>
      <vt:lpstr>Composições!Area_de_impressao</vt:lpstr>
      <vt:lpstr>Orçamentária!Area_de_impressao</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Alexandre Bolzan Gutierrez Martins</cp:lastModifiedBy>
  <cp:lastPrinted>2023-03-22T20:21:47Z</cp:lastPrinted>
  <dcterms:created xsi:type="dcterms:W3CDTF">2020-07-07T13:57:42Z</dcterms:created>
  <dcterms:modified xsi:type="dcterms:W3CDTF">2024-04-12T01:31:57Z</dcterms:modified>
</cp:coreProperties>
</file>